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drawings/drawing24.xml" ContentType="application/vnd.openxmlformats-officedocument.drawing+xml"/>
  <Override PartName="/xl/comments2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235" yWindow="2865" windowWidth="18240" windowHeight="3075" tabRatio="897" firstSheet="7" activeTab="24"/>
  </bookViews>
  <sheets>
    <sheet name="Avispa Fukuoka" sheetId="11" r:id="rId1"/>
    <sheet name="Ehime" sheetId="60" r:id="rId2"/>
    <sheet name="Fagiano Okayama" sheetId="61" r:id="rId3"/>
    <sheet name="Gifu" sheetId="62" r:id="rId4"/>
    <sheet name="JEF United" sheetId="64" r:id="rId5"/>
    <sheet name="Kamatamare Sanuki" sheetId="65" r:id="rId6"/>
    <sheet name="Kyoto Sanga" sheetId="66" r:id="rId7"/>
    <sheet name="Machida Zelvia" sheetId="67" r:id="rId8"/>
    <sheet name="Matsumoto Yamaga" sheetId="68" r:id="rId9"/>
    <sheet name="Mito Hollyhock" sheetId="69" r:id="rId10"/>
    <sheet name="Montedio Yamagata" sheetId="70" r:id="rId11"/>
    <sheet name="Tips" sheetId="38" state="hidden" r:id="rId12"/>
    <sheet name="Fixture tool" sheetId="37" state="hidden" r:id="rId13"/>
    <sheet name="Squad" sheetId="28" state="hidden" r:id="rId14"/>
    <sheet name="Nagoya Grampus" sheetId="73" r:id="rId15"/>
    <sheet name="Oita Trinita" sheetId="59" r:id="rId16"/>
    <sheet name="Renofa Yamaguchi" sheetId="71" r:id="rId17"/>
    <sheet name="Roasso Kumamoto" sheetId="72" r:id="rId18"/>
    <sheet name="Shonan Bellmare" sheetId="63" r:id="rId19"/>
    <sheet name="Tokushima Vortis" sheetId="75" r:id="rId20"/>
    <sheet name="ThespaKusatsu Gunma" sheetId="74" r:id="rId21"/>
    <sheet name="Tokyo Verdy" sheetId="76" r:id="rId22"/>
    <sheet name="V-Varen Nagasaki" sheetId="77" r:id="rId23"/>
    <sheet name="Yokohama" sheetId="78" r:id="rId24"/>
    <sheet name="Zweigen Kanazawa" sheetId="79" r:id="rId25"/>
    <sheet name="Helper" sheetId="29" r:id="rId26"/>
    <sheet name="Table" sheetId="30" r:id="rId27"/>
    <sheet name="HAD" sheetId="32" r:id="rId28"/>
    <sheet name="HHAD" sheetId="35" r:id="rId29"/>
    <sheet name="HD" sheetId="33" r:id="rId30"/>
    <sheet name="HiLo" sheetId="31" r:id="rId31"/>
    <sheet name="Matrix" sheetId="34" r:id="rId32"/>
    <sheet name="CRS" sheetId="36" r:id="rId33"/>
    <sheet name="SUP" sheetId="57" r:id="rId34"/>
    <sheet name="TTG" sheetId="58" r:id="rId35"/>
  </sheets>
  <functionGroups builtInGroupCount="17"/>
  <externalReferences>
    <externalReference r:id="rId36"/>
    <externalReference r:id="rId37"/>
  </externalReferences>
  <definedNames>
    <definedName name="_xlnm._FilterDatabase" localSheetId="0" hidden="1">'Avispa Fukuoka'!$A$22:$DK$81</definedName>
    <definedName name="_xlnm._FilterDatabase" localSheetId="1" hidden="1">Ehime!$A$22:$DG$77</definedName>
    <definedName name="_xlnm._FilterDatabase" localSheetId="2" hidden="1">'Fagiano Okayama'!$A$22:$DG$79</definedName>
    <definedName name="_xlnm._FilterDatabase" localSheetId="3" hidden="1">Gifu!$A$22:$DF$75</definedName>
    <definedName name="_xlnm._FilterDatabase" localSheetId="4" hidden="1">'JEF United'!$A$22:$DG$81</definedName>
    <definedName name="_xlnm._FilterDatabase" localSheetId="5" hidden="1">'Kamatamare Sanuki'!$A$22:$DF$75</definedName>
    <definedName name="_xlnm._FilterDatabase" localSheetId="6" hidden="1">'Kyoto Sanga'!$A$22:$DG$76</definedName>
    <definedName name="_xlnm._FilterDatabase" localSheetId="7" hidden="1">'Machida Zelvia'!$A$22:$DG$74</definedName>
    <definedName name="_xlnm._FilterDatabase" localSheetId="8" hidden="1">'Matsumoto Yamaga'!$A$22:$DI$78</definedName>
    <definedName name="_xlnm._FilterDatabase" localSheetId="9" hidden="1">'Mito Hollyhock'!$A$22:$DL$75</definedName>
    <definedName name="_xlnm._FilterDatabase" localSheetId="10" hidden="1">'Montedio Yamagata'!$A$22:$DH$77</definedName>
    <definedName name="_xlnm._FilterDatabase" localSheetId="14" hidden="1">'Nagoya Grampus'!$A$22:$DI$84</definedName>
    <definedName name="_xlnm._FilterDatabase" localSheetId="15" hidden="1">'Oita Trinita'!$A$22:$DG$79</definedName>
    <definedName name="_xlnm._FilterDatabase" localSheetId="16" hidden="1">'Renofa Yamaguchi'!$A$22:$DK$76</definedName>
    <definedName name="_xlnm._FilterDatabase" localSheetId="17" hidden="1">'Roasso Kumamoto'!$A$22:$DL$79</definedName>
    <definedName name="_xlnm._FilterDatabase" localSheetId="18" hidden="1">'Shonan Bellmare'!$A$22:$DG$79</definedName>
    <definedName name="_xlnm._FilterDatabase" localSheetId="20" hidden="1">'ThespaKusatsu Gunma'!$A$22:$DI$76</definedName>
    <definedName name="_xlnm._FilterDatabase" localSheetId="19" hidden="1">'Tokushima Vortis'!$A$22:$DE$76</definedName>
    <definedName name="_xlnm._FilterDatabase" localSheetId="21" hidden="1">'Tokyo Verdy'!$A$22:$DH$80</definedName>
    <definedName name="_xlnm._FilterDatabase" localSheetId="22" hidden="1">'V-Varen Nagasaki'!$A$22:$DI$75</definedName>
    <definedName name="_xlnm._FilterDatabase" localSheetId="23" hidden="1">Yokohama!$A$22:$DG$77</definedName>
    <definedName name="_xlnm._FilterDatabase" localSheetId="24" hidden="1">'Zweigen Kanazawa'!$A$22:$DJ$78</definedName>
    <definedName name="path">"[K:\FB Odds Locals\SFL\Spainish playersheet 2011-2012.xlsm]"</definedName>
    <definedName name="_xlnm.Print_Area" localSheetId="33">SUP!$D$35:$J$153</definedName>
    <definedName name="_xlnm.Print_Area" localSheetId="34">TTG!$D$35:$J$153</definedName>
    <definedName name="SheetTeamMapping" localSheetId="33">[1]Table!$B$9:$C$32</definedName>
    <definedName name="SheetTeamMapping" localSheetId="34">[1]Table!$B$9:$C$32</definedName>
    <definedName name="SUP_HDC" localSheetId="34">SUP!$U$6:$W$36</definedName>
    <definedName name="SUP_HDC">SUP!$U$6:$W$36</definedName>
    <definedName name="teamname">[2]helper!$CM$29:$CM$48</definedName>
  </definedNames>
  <calcPr calcId="145621"/>
</workbook>
</file>

<file path=xl/calcChain.xml><?xml version="1.0" encoding="utf-8"?>
<calcChain xmlns="http://schemas.openxmlformats.org/spreadsheetml/2006/main">
  <c r="L67" i="11" l="1"/>
  <c r="M67" i="11"/>
  <c r="N67" i="11" s="1"/>
  <c r="L68" i="11"/>
  <c r="M68" i="11"/>
  <c r="N68" i="11" s="1"/>
  <c r="L69" i="73"/>
  <c r="M69" i="73"/>
  <c r="N69" i="73" s="1"/>
  <c r="U67" i="64"/>
  <c r="V67" i="64"/>
  <c r="AD65" i="70" l="1" a="1"/>
  <c r="AD65" i="70" s="1"/>
  <c r="AE65" i="70" a="1"/>
  <c r="AE65" i="70" s="1"/>
  <c r="AD66" i="70" a="1"/>
  <c r="AD66" i="70" s="1"/>
  <c r="AE66" i="70" a="1"/>
  <c r="AE66" i="70" s="1"/>
  <c r="O67" i="61" l="1"/>
  <c r="P67" i="61" s="1"/>
  <c r="O68" i="61"/>
  <c r="P68" i="61" s="1"/>
  <c r="O69" i="61"/>
  <c r="P69" i="61" s="1"/>
  <c r="O70" i="61"/>
  <c r="P70" i="61" s="1"/>
  <c r="O71" i="61"/>
  <c r="P71" i="61" s="1"/>
  <c r="L67" i="64"/>
  <c r="M67" i="64"/>
  <c r="N67" i="64"/>
  <c r="O67" i="64"/>
  <c r="P67" i="64" s="1"/>
  <c r="R67" i="64"/>
  <c r="T67" i="64"/>
  <c r="U68" i="64"/>
  <c r="V68" i="64"/>
  <c r="U69" i="64"/>
  <c r="V69" i="64"/>
  <c r="U70" i="64"/>
  <c r="V70" i="64"/>
  <c r="U71" i="64"/>
  <c r="V71" i="64"/>
  <c r="U72" i="64"/>
  <c r="V72" i="64"/>
  <c r="U73" i="64"/>
  <c r="V73" i="64"/>
  <c r="O67" i="11"/>
  <c r="P67" i="11" s="1"/>
  <c r="L66" i="76"/>
  <c r="M66" i="76"/>
  <c r="N66" i="76" s="1"/>
  <c r="L68" i="73"/>
  <c r="M68" i="73"/>
  <c r="N68" i="73"/>
  <c r="O68" i="73"/>
  <c r="P68" i="73" s="1"/>
  <c r="R68" i="73"/>
  <c r="T68" i="73"/>
  <c r="U68" i="73"/>
  <c r="V68" i="73"/>
  <c r="AD68" i="73" a="1"/>
  <c r="AD68" i="73" s="1"/>
  <c r="AE68" i="73" a="1"/>
  <c r="AE68" i="73" s="1"/>
  <c r="AF68" i="73" a="1"/>
  <c r="AF68" i="73" s="1"/>
  <c r="O64" i="76"/>
  <c r="P64" i="76" s="1"/>
  <c r="R64" i="76"/>
  <c r="T64" i="76"/>
  <c r="U64" i="76"/>
  <c r="V64" i="76"/>
  <c r="AD64" i="76" a="1"/>
  <c r="AD64" i="76" s="1"/>
  <c r="AE64" i="76" a="1"/>
  <c r="AE64" i="76" s="1"/>
  <c r="AF64" i="76" a="1"/>
  <c r="AF64" i="76" s="1"/>
  <c r="O65" i="76"/>
  <c r="P65" i="76" s="1"/>
  <c r="R65" i="76"/>
  <c r="T65" i="76"/>
  <c r="U65" i="76"/>
  <c r="V65" i="76"/>
  <c r="AD65" i="76" a="1"/>
  <c r="AD65" i="76" s="1"/>
  <c r="AE65" i="76" a="1"/>
  <c r="AE65" i="76" s="1"/>
  <c r="AF65" i="76" a="1"/>
  <c r="AF65" i="76" s="1"/>
  <c r="O66" i="76"/>
  <c r="P66" i="76" s="1"/>
  <c r="R66" i="76"/>
  <c r="T66" i="76"/>
  <c r="U66" i="76"/>
  <c r="V66" i="76" s="1"/>
  <c r="AD66" i="76" a="1"/>
  <c r="AD66" i="76" s="1"/>
  <c r="AE66" i="76" a="1"/>
  <c r="AE66" i="76" s="1"/>
  <c r="AF66" i="76" a="1"/>
  <c r="AF66" i="76" s="1"/>
  <c r="R67" i="11"/>
  <c r="T67" i="11"/>
  <c r="U67" i="11"/>
  <c r="V67" i="11" s="1"/>
  <c r="AD67" i="11" a="1"/>
  <c r="AD67" i="11" s="1"/>
  <c r="AE67" i="11" a="1"/>
  <c r="AE67" i="11" s="1"/>
  <c r="AF67" i="11" a="1"/>
  <c r="AF67" i="11" s="1"/>
  <c r="L66" i="60" l="1"/>
  <c r="L69" i="11" l="1"/>
  <c r="M69" i="11"/>
  <c r="N69" i="11"/>
  <c r="O69" i="11"/>
  <c r="P69" i="11" s="1"/>
  <c r="R69" i="11"/>
  <c r="L70" i="11"/>
  <c r="M70" i="11"/>
  <c r="N70" i="11"/>
  <c r="O70" i="11"/>
  <c r="P70" i="11" s="1"/>
  <c r="R70" i="11"/>
  <c r="L71" i="11"/>
  <c r="M71" i="11"/>
  <c r="N71" i="11"/>
  <c r="O71" i="11"/>
  <c r="P71" i="11" s="1"/>
  <c r="R71" i="11"/>
  <c r="L72" i="11"/>
  <c r="M72" i="11"/>
  <c r="N72" i="11"/>
  <c r="O72" i="11"/>
  <c r="P72" i="11" s="1"/>
  <c r="R72" i="11"/>
  <c r="L73" i="11"/>
  <c r="M73" i="11"/>
  <c r="N73" i="11"/>
  <c r="O73" i="11"/>
  <c r="P73" i="11" s="1"/>
  <c r="R73" i="11"/>
  <c r="L64" i="59" l="1"/>
  <c r="L63" i="69"/>
  <c r="M63" i="69"/>
  <c r="N63" i="69"/>
  <c r="O63" i="69"/>
  <c r="P63" i="69" s="1"/>
  <c r="R63" i="69"/>
  <c r="T63" i="69"/>
  <c r="U63" i="69"/>
  <c r="V63" i="69"/>
  <c r="AD63" i="69" a="1"/>
  <c r="AD63" i="69" s="1"/>
  <c r="AE63" i="69" a="1"/>
  <c r="AE63" i="69" s="1"/>
  <c r="AF63" i="69" a="1"/>
  <c r="AF63" i="69" s="1"/>
  <c r="AD65" i="68" l="1" a="1"/>
  <c r="AD65" i="68" s="1"/>
  <c r="AE65" i="68" a="1"/>
  <c r="AE65" i="68" s="1"/>
  <c r="AF65" i="68" a="1"/>
  <c r="AF65" i="68" s="1"/>
  <c r="AD66" i="68" a="1"/>
  <c r="AD66" i="68" s="1"/>
  <c r="AE66" i="68" a="1"/>
  <c r="AE66" i="68" s="1"/>
  <c r="AF66" i="68" a="1"/>
  <c r="AF66" i="68" s="1"/>
  <c r="AD63" i="77" l="1" a="1"/>
  <c r="AD63" i="77" s="1"/>
  <c r="AE63" i="77" a="1"/>
  <c r="AE63" i="77" s="1"/>
  <c r="AF63" i="77" a="1"/>
  <c r="AF63" i="77" s="1"/>
  <c r="AD62" i="77" a="1"/>
  <c r="AD62" i="77" s="1"/>
  <c r="AE62" i="77" a="1"/>
  <c r="AE62" i="77" s="1"/>
  <c r="AF62" i="77" a="1"/>
  <c r="AF62" i="77" s="1"/>
  <c r="AZ15" i="77" l="1" a="1"/>
  <c r="AZ15" i="77" s="1"/>
  <c r="AZ16" i="77" a="1"/>
  <c r="AZ16" i="77" s="1"/>
  <c r="AZ17" i="77" a="1"/>
  <c r="AZ17" i="77" s="1"/>
  <c r="AZ14" i="77" l="1"/>
  <c r="L62" i="64" l="1"/>
  <c r="M62" i="64"/>
  <c r="N62" i="64"/>
  <c r="O62" i="64"/>
  <c r="P62" i="64" s="1"/>
  <c r="R62" i="64"/>
  <c r="T62" i="64"/>
  <c r="U62" i="64"/>
  <c r="V62" i="64" s="1"/>
  <c r="AD62" i="64" a="1"/>
  <c r="AD62" i="64" s="1"/>
  <c r="BC15" i="74" l="1" a="1"/>
  <c r="BC15" i="74" s="1"/>
  <c r="BC16" i="74" a="1"/>
  <c r="BC16" i="74" s="1"/>
  <c r="BC17" i="74" a="1"/>
  <c r="BC17" i="74" s="1"/>
  <c r="BC14" i="74" l="1"/>
  <c r="R65" i="71" l="1"/>
  <c r="R39" i="71"/>
  <c r="R40" i="71"/>
  <c r="R41" i="71"/>
  <c r="R42" i="71"/>
  <c r="R43" i="71"/>
  <c r="R44" i="71"/>
  <c r="R45" i="71"/>
  <c r="R46" i="71"/>
  <c r="R47" i="71"/>
  <c r="R48" i="71"/>
  <c r="R49" i="71"/>
  <c r="R50" i="71"/>
  <c r="R51" i="71"/>
  <c r="R52" i="71"/>
  <c r="R53" i="71"/>
  <c r="R54" i="71"/>
  <c r="R55" i="71"/>
  <c r="R56" i="71"/>
  <c r="R57" i="71"/>
  <c r="R58" i="71"/>
  <c r="R59" i="71"/>
  <c r="R60" i="71"/>
  <c r="R61" i="71"/>
  <c r="R62" i="71"/>
  <c r="R63" i="71"/>
  <c r="R64" i="71"/>
  <c r="R48" i="70"/>
  <c r="R49" i="70"/>
  <c r="R50" i="70"/>
  <c r="R51" i="70"/>
  <c r="R52" i="70"/>
  <c r="R53" i="70"/>
  <c r="R54" i="70"/>
  <c r="R55" i="70"/>
  <c r="R56" i="70"/>
  <c r="R57" i="70"/>
  <c r="R58" i="70"/>
  <c r="R59" i="70"/>
  <c r="R60" i="70"/>
  <c r="R61" i="70"/>
  <c r="R62" i="70"/>
  <c r="R63" i="70"/>
  <c r="R64" i="70"/>
  <c r="R65" i="70"/>
  <c r="R66" i="70"/>
  <c r="AD56" i="66" a="1"/>
  <c r="AD56" i="66" s="1"/>
  <c r="AE56" i="66" a="1"/>
  <c r="AE56" i="66" s="1"/>
  <c r="AF56" i="66" a="1"/>
  <c r="AF56" i="66" s="1"/>
  <c r="AD57" i="66" a="1"/>
  <c r="AD57" i="66" s="1"/>
  <c r="AE57" i="66" a="1"/>
  <c r="AE57" i="66" s="1"/>
  <c r="AF57" i="66" a="1"/>
  <c r="AF57" i="66" s="1"/>
  <c r="AD58" i="66" a="1"/>
  <c r="AD58" i="66" s="1"/>
  <c r="AE58" i="66" a="1"/>
  <c r="AE58" i="66" s="1"/>
  <c r="AF58" i="66" a="1"/>
  <c r="AF58" i="66" s="1"/>
  <c r="AD59" i="66" a="1"/>
  <c r="AD59" i="66" s="1"/>
  <c r="AE59" i="66" a="1"/>
  <c r="AE59" i="66" s="1"/>
  <c r="AF59" i="66" a="1"/>
  <c r="AF59" i="66" s="1"/>
  <c r="AD60" i="66" a="1"/>
  <c r="AD60" i="66" s="1"/>
  <c r="AE60" i="66" a="1"/>
  <c r="AE60" i="66" s="1"/>
  <c r="AF60" i="66" a="1"/>
  <c r="AF60" i="66" s="1"/>
  <c r="AD61" i="66" a="1"/>
  <c r="AD61" i="66" s="1"/>
  <c r="AE61" i="66" a="1"/>
  <c r="AE61" i="66" s="1"/>
  <c r="AF61" i="66" a="1"/>
  <c r="AF61" i="66" s="1"/>
  <c r="AD62" i="66" a="1"/>
  <c r="AD62" i="66" s="1"/>
  <c r="AE62" i="66" a="1"/>
  <c r="AE62" i="66" s="1"/>
  <c r="AF62" i="66" a="1"/>
  <c r="AF62" i="66" s="1"/>
  <c r="AD63" i="66" a="1"/>
  <c r="AD63" i="66" s="1"/>
  <c r="AE63" i="66" a="1"/>
  <c r="AE63" i="66" s="1"/>
  <c r="AF63" i="66" a="1"/>
  <c r="AF63" i="66" s="1"/>
  <c r="AD64" i="66" a="1"/>
  <c r="AD64" i="66" s="1"/>
  <c r="AE64" i="66" a="1"/>
  <c r="AE64" i="66" s="1"/>
  <c r="AF64" i="66" a="1"/>
  <c r="AF64" i="66" s="1"/>
  <c r="AD65" i="66" a="1"/>
  <c r="AD65" i="66" s="1"/>
  <c r="AE65" i="66" a="1"/>
  <c r="AE65" i="66" s="1"/>
  <c r="AF65" i="66" a="1"/>
  <c r="AF65" i="66" s="1"/>
  <c r="AD55" i="60" a="1"/>
  <c r="AD55" i="60" s="1"/>
  <c r="AE55" i="60" a="1"/>
  <c r="AE55" i="60" s="1"/>
  <c r="AF55" i="60" a="1"/>
  <c r="AF55" i="60" s="1"/>
  <c r="AD56" i="60" a="1"/>
  <c r="AD56" i="60" s="1"/>
  <c r="AE56" i="60" a="1"/>
  <c r="AE56" i="60" s="1"/>
  <c r="AF56" i="60" a="1"/>
  <c r="AF56" i="60" s="1"/>
  <c r="AD57" i="60" a="1"/>
  <c r="AD57" i="60" s="1"/>
  <c r="AE57" i="60" a="1"/>
  <c r="AE57" i="60" s="1"/>
  <c r="AF57" i="60" a="1"/>
  <c r="AF57" i="60" s="1"/>
  <c r="AD58" i="60" a="1"/>
  <c r="AD58" i="60" s="1"/>
  <c r="AE58" i="60" a="1"/>
  <c r="AE58" i="60" s="1"/>
  <c r="AF58" i="60" a="1"/>
  <c r="AF58" i="60" s="1"/>
  <c r="AD59" i="60" a="1"/>
  <c r="AD59" i="60" s="1"/>
  <c r="AE59" i="60" a="1"/>
  <c r="AE59" i="60" s="1"/>
  <c r="AF59" i="60" a="1"/>
  <c r="AF59" i="60" s="1"/>
  <c r="AD60" i="60" a="1"/>
  <c r="AD60" i="60" s="1"/>
  <c r="AE60" i="60" a="1"/>
  <c r="AE60" i="60" s="1"/>
  <c r="AF60" i="60" a="1"/>
  <c r="AF60" i="60" s="1"/>
  <c r="AD61" i="60" a="1"/>
  <c r="AD61" i="60" s="1"/>
  <c r="AE61" i="60" a="1"/>
  <c r="AE61" i="60" s="1"/>
  <c r="AF61" i="60" a="1"/>
  <c r="AF61" i="60" s="1"/>
  <c r="AD62" i="60" a="1"/>
  <c r="AD62" i="60" s="1"/>
  <c r="AE62" i="60" a="1"/>
  <c r="AE62" i="60" s="1"/>
  <c r="AF62" i="60" a="1"/>
  <c r="AF62" i="60" s="1"/>
  <c r="AD63" i="60" a="1"/>
  <c r="AD63" i="60" s="1"/>
  <c r="AE63" i="60" a="1"/>
  <c r="AE63" i="60" s="1"/>
  <c r="AF63" i="60" a="1"/>
  <c r="AF63" i="60" s="1"/>
  <c r="AD64" i="60" a="1"/>
  <c r="AD64" i="60" s="1"/>
  <c r="AE64" i="60" a="1"/>
  <c r="AE64" i="60" s="1"/>
  <c r="AF64" i="60" a="1"/>
  <c r="AF64" i="60" s="1"/>
  <c r="AD65" i="60" a="1"/>
  <c r="AD65" i="60" s="1"/>
  <c r="AE65" i="60" a="1"/>
  <c r="AE65" i="60" s="1"/>
  <c r="AF65" i="60" a="1"/>
  <c r="AF65" i="60" s="1"/>
  <c r="AD66" i="60" a="1"/>
  <c r="AD66" i="60" s="1"/>
  <c r="AE66" i="60" a="1"/>
  <c r="AE66" i="60" s="1"/>
  <c r="AF66" i="60" a="1"/>
  <c r="AF66" i="60" s="1"/>
  <c r="AD67" i="60" a="1"/>
  <c r="AD67" i="60" s="1"/>
  <c r="AE67" i="60" a="1"/>
  <c r="AE67" i="60" s="1"/>
  <c r="AF67" i="60" a="1"/>
  <c r="AF67" i="60" s="1"/>
  <c r="AD68" i="60" a="1"/>
  <c r="AD68" i="60" s="1"/>
  <c r="AE68" i="60" a="1"/>
  <c r="AE68" i="60" s="1"/>
  <c r="AF68" i="60" a="1"/>
  <c r="AF68" i="60" s="1"/>
  <c r="AD69" i="60" a="1"/>
  <c r="AD69" i="60" s="1"/>
  <c r="AE69" i="60" a="1"/>
  <c r="AE69" i="60" s="1"/>
  <c r="AF69" i="60" a="1"/>
  <c r="AF69" i="60" s="1"/>
  <c r="AJ15" i="70" l="1" a="1"/>
  <c r="AJ15" i="70" s="1"/>
  <c r="AJ16" i="70" a="1"/>
  <c r="AJ16" i="70" s="1"/>
  <c r="AJ17" i="70" a="1"/>
  <c r="AJ17" i="70" s="1"/>
  <c r="AJ14" i="70" l="1"/>
  <c r="R57" i="67"/>
  <c r="R57" i="75"/>
  <c r="AZ15" i="69" l="1" a="1"/>
  <c r="AZ15" i="69" s="1"/>
  <c r="AZ16" i="69" a="1"/>
  <c r="AZ16" i="69" s="1"/>
  <c r="AZ17" i="69" a="1"/>
  <c r="AZ17" i="69" s="1"/>
  <c r="BE15" i="75" a="1"/>
  <c r="BE15" i="75" s="1"/>
  <c r="BE16" i="75" a="1"/>
  <c r="BE16" i="75" s="1"/>
  <c r="BE17" i="75" a="1"/>
  <c r="BE17" i="75" s="1"/>
  <c r="AD57" i="65" a="1"/>
  <c r="AD57" i="65" s="1"/>
  <c r="AE57" i="65" a="1"/>
  <c r="AE57" i="65" s="1"/>
  <c r="AF57" i="65" a="1"/>
  <c r="AF57" i="65" s="1"/>
  <c r="AD58" i="65" a="1"/>
  <c r="AD58" i="65" s="1"/>
  <c r="AE58" i="65" a="1"/>
  <c r="AE58" i="65" s="1"/>
  <c r="AF58" i="65" a="1"/>
  <c r="AF58" i="65" s="1"/>
  <c r="AD59" i="65" a="1"/>
  <c r="AD59" i="65" s="1"/>
  <c r="AE59" i="65" a="1"/>
  <c r="AE59" i="65" s="1"/>
  <c r="AF59" i="65" a="1"/>
  <c r="AF59" i="65" s="1"/>
  <c r="AD60" i="65" a="1"/>
  <c r="AD60" i="65" s="1"/>
  <c r="AE60" i="65" a="1"/>
  <c r="AE60" i="65" s="1"/>
  <c r="AF60" i="65" a="1"/>
  <c r="AF60" i="65" s="1"/>
  <c r="AD61" i="65" a="1"/>
  <c r="AD61" i="65" s="1"/>
  <c r="AE61" i="65" a="1"/>
  <c r="AE61" i="65" s="1"/>
  <c r="AF61" i="65" a="1"/>
  <c r="AF61" i="65" s="1"/>
  <c r="AD62" i="65" a="1"/>
  <c r="AD62" i="65" s="1"/>
  <c r="AE62" i="65" a="1"/>
  <c r="AE62" i="65" s="1"/>
  <c r="AF62" i="65" a="1"/>
  <c r="AF62" i="65" s="1"/>
  <c r="AD63" i="65" a="1"/>
  <c r="AD63" i="65" s="1"/>
  <c r="AE63" i="65" a="1"/>
  <c r="AE63" i="65" s="1"/>
  <c r="AF63" i="65" a="1"/>
  <c r="AF63" i="65" s="1"/>
  <c r="AD64" i="65" a="1"/>
  <c r="AD64" i="65" s="1"/>
  <c r="AE64" i="65" a="1"/>
  <c r="AE64" i="65" s="1"/>
  <c r="AF64" i="65" a="1"/>
  <c r="AF64" i="65" s="1"/>
  <c r="AZ14" i="69" l="1"/>
  <c r="BE14" i="75"/>
  <c r="L58" i="73" l="1"/>
  <c r="M58" i="73"/>
  <c r="N58" i="73" s="1"/>
  <c r="AD58" i="68" a="1"/>
  <c r="AD58" i="68" s="1"/>
  <c r="AE58" i="68" a="1"/>
  <c r="AE58" i="68" s="1"/>
  <c r="AF58" i="68" a="1"/>
  <c r="AF58" i="68" s="1"/>
  <c r="L58" i="68" l="1"/>
  <c r="M58" i="68"/>
  <c r="N58" i="68" s="1"/>
  <c r="L57" i="72" l="1"/>
  <c r="M57" i="72"/>
  <c r="N57" i="72" s="1"/>
  <c r="O57" i="72"/>
  <c r="P57" i="72" s="1"/>
  <c r="R57" i="72"/>
  <c r="T57" i="72"/>
  <c r="U57" i="72"/>
  <c r="V57" i="72" s="1"/>
  <c r="AD57" i="72" a="1"/>
  <c r="AD57" i="72" s="1"/>
  <c r="AE57" i="72" a="1"/>
  <c r="AE57" i="72" s="1"/>
  <c r="AQ15" i="79" l="1" a="1"/>
  <c r="AQ15" i="79" s="1"/>
  <c r="AR15" i="79" a="1"/>
  <c r="AR15" i="79" s="1"/>
  <c r="AS15" i="79" a="1"/>
  <c r="AS15" i="79" s="1"/>
  <c r="AT15" i="79" a="1"/>
  <c r="AT15" i="79" s="1"/>
  <c r="AU15" i="79" a="1"/>
  <c r="AU15" i="79" s="1"/>
  <c r="AQ16" i="79" a="1"/>
  <c r="AQ16" i="79" s="1"/>
  <c r="AR16" i="79" a="1"/>
  <c r="AR16" i="79" s="1"/>
  <c r="AS16" i="79" a="1"/>
  <c r="AS16" i="79" s="1"/>
  <c r="AT16" i="79" a="1"/>
  <c r="AT16" i="79" s="1"/>
  <c r="AU16" i="79" a="1"/>
  <c r="AU16" i="79" s="1"/>
  <c r="AQ17" i="79" a="1"/>
  <c r="AQ17" i="79" s="1"/>
  <c r="AR17" i="79" a="1"/>
  <c r="AR17" i="79" s="1"/>
  <c r="AS17" i="79" a="1"/>
  <c r="AS17" i="79" s="1"/>
  <c r="AT17" i="79" a="1"/>
  <c r="AT17" i="79" s="1"/>
  <c r="AU17" i="79" a="1"/>
  <c r="AU17" i="79" s="1"/>
  <c r="AS14" i="79" l="1"/>
  <c r="AR14" i="79"/>
  <c r="AU14" i="79"/>
  <c r="AQ14" i="79"/>
  <c r="AT14" i="79"/>
  <c r="BE15" i="70" a="1"/>
  <c r="BE15" i="70" s="1"/>
  <c r="BE16" i="70" a="1"/>
  <c r="BE16" i="70" s="1"/>
  <c r="BE17" i="70" a="1"/>
  <c r="BE17" i="70" s="1"/>
  <c r="AJ15" i="78" a="1"/>
  <c r="AJ15" i="78" s="1"/>
  <c r="AK15" i="78" a="1"/>
  <c r="AK15" i="78" s="1"/>
  <c r="AJ16" i="78" a="1"/>
  <c r="AJ16" i="78" s="1"/>
  <c r="AK16" i="78" a="1"/>
  <c r="AK16" i="78" s="1"/>
  <c r="AJ17" i="78" a="1"/>
  <c r="AJ17" i="78" s="1"/>
  <c r="AK17" i="78" a="1"/>
  <c r="AK17" i="78" s="1"/>
  <c r="AK14" i="78" l="1"/>
  <c r="BE14" i="70"/>
  <c r="AJ14" i="78"/>
  <c r="AU15" i="11" l="1" a="1"/>
  <c r="AU15" i="11" s="1"/>
  <c r="AU16" i="11" a="1"/>
  <c r="AU16" i="11" s="1"/>
  <c r="AU17" i="11" a="1"/>
  <c r="AU17" i="11" s="1"/>
  <c r="AU14" i="11" l="1"/>
  <c r="AQ15" i="71" l="1" a="1"/>
  <c r="AQ15" i="71" s="1"/>
  <c r="AQ16" i="71" a="1"/>
  <c r="AQ16" i="71" s="1"/>
  <c r="AQ17" i="71" a="1"/>
  <c r="AQ17" i="71" s="1"/>
  <c r="AQ14" i="71" l="1"/>
  <c r="BH15" i="72" a="1"/>
  <c r="BH15" i="72" s="1"/>
  <c r="BH16" i="72" a="1"/>
  <c r="BH16" i="72" s="1"/>
  <c r="BH17" i="72" a="1"/>
  <c r="BH17" i="72" s="1"/>
  <c r="L53" i="75"/>
  <c r="M53" i="75"/>
  <c r="N53" i="75"/>
  <c r="O53" i="75"/>
  <c r="P53" i="75" s="1"/>
  <c r="R53" i="75"/>
  <c r="T53" i="75"/>
  <c r="U53" i="75"/>
  <c r="V53" i="75"/>
  <c r="AD53" i="75" a="1"/>
  <c r="AD53" i="75" s="1"/>
  <c r="AE53" i="75" a="1"/>
  <c r="AE53" i="75" s="1"/>
  <c r="AF53" i="75" a="1"/>
  <c r="AF53" i="75" s="1"/>
  <c r="AJ15" i="64" a="1"/>
  <c r="AJ15" i="64" s="1"/>
  <c r="AJ16" i="64" a="1"/>
  <c r="AJ16" i="64" s="1"/>
  <c r="AJ17" i="64" a="1"/>
  <c r="AJ17" i="64" s="1"/>
  <c r="BH14" i="72" l="1"/>
  <c r="AJ14" i="64"/>
  <c r="AH15" i="73" l="1" a="1"/>
  <c r="AH15" i="73" s="1"/>
  <c r="AI15" i="73" a="1"/>
  <c r="AI15" i="73" s="1"/>
  <c r="AJ15" i="73" a="1"/>
  <c r="AJ15" i="73" s="1"/>
  <c r="AK15" i="73" a="1"/>
  <c r="AK15" i="73" s="1"/>
  <c r="AL15" i="73" a="1"/>
  <c r="AL15" i="73" s="1"/>
  <c r="AM15" i="73" a="1"/>
  <c r="AM15" i="73" s="1"/>
  <c r="AN15" i="73" a="1"/>
  <c r="AN15" i="73" s="1"/>
  <c r="AO15" i="73" a="1"/>
  <c r="AO15" i="73" s="1"/>
  <c r="AP15" i="73" a="1"/>
  <c r="AP15" i="73" s="1"/>
  <c r="AQ15" i="73" a="1"/>
  <c r="AQ15" i="73" s="1"/>
  <c r="AR15" i="73" a="1"/>
  <c r="AR15" i="73" s="1"/>
  <c r="AS15" i="73" a="1"/>
  <c r="AS15" i="73" s="1"/>
  <c r="AT15" i="73" a="1"/>
  <c r="AT15" i="73" s="1"/>
  <c r="AU15" i="73" a="1"/>
  <c r="AU15" i="73" s="1"/>
  <c r="AV15" i="73" a="1"/>
  <c r="AV15" i="73" s="1"/>
  <c r="AW15" i="73" a="1"/>
  <c r="AW15" i="73" s="1"/>
  <c r="AX15" i="73" a="1"/>
  <c r="AX15" i="73" s="1"/>
  <c r="AY15" i="73" a="1"/>
  <c r="AY15" i="73" s="1"/>
  <c r="AZ15" i="73" a="1"/>
  <c r="AZ15" i="73" s="1"/>
  <c r="BA15" i="73" a="1"/>
  <c r="BA15" i="73" s="1"/>
  <c r="BB15" i="73" a="1"/>
  <c r="BB15" i="73" s="1"/>
  <c r="BC15" i="73" a="1"/>
  <c r="BC15" i="73" s="1"/>
  <c r="BD15" i="73" a="1"/>
  <c r="BD15" i="73" s="1"/>
  <c r="BE15" i="73" a="1"/>
  <c r="BE15" i="73" s="1"/>
  <c r="BF15" i="73" a="1"/>
  <c r="BF15" i="73" s="1"/>
  <c r="BG15" i="73" a="1"/>
  <c r="BG15" i="73" s="1"/>
  <c r="BH15" i="73" a="1"/>
  <c r="BH15" i="73" s="1"/>
  <c r="BI15" i="73" a="1"/>
  <c r="BI15" i="73" s="1"/>
  <c r="BJ15" i="73" a="1"/>
  <c r="BJ15" i="73" s="1"/>
  <c r="BK15" i="73" a="1"/>
  <c r="BK15" i="73" s="1"/>
  <c r="BL15" i="73" a="1"/>
  <c r="BL15" i="73" s="1"/>
  <c r="BM15" i="73" a="1"/>
  <c r="BM15" i="73" s="1"/>
  <c r="BN15" i="73" a="1"/>
  <c r="BN15" i="73" s="1"/>
  <c r="BO15" i="73" a="1"/>
  <c r="BO15" i="73" s="1"/>
  <c r="BP15" i="73" a="1"/>
  <c r="BP15" i="73" s="1"/>
  <c r="BQ15" i="73" a="1"/>
  <c r="BQ15" i="73" s="1"/>
  <c r="BR15" i="73" a="1"/>
  <c r="BR15" i="73" s="1"/>
  <c r="AH16" i="73" a="1"/>
  <c r="AH16" i="73" s="1"/>
  <c r="AI16" i="73" a="1"/>
  <c r="AI16" i="73" s="1"/>
  <c r="AJ16" i="73" a="1"/>
  <c r="AJ16" i="73" s="1"/>
  <c r="AK16" i="73" a="1"/>
  <c r="AK16" i="73" s="1"/>
  <c r="AL16" i="73" a="1"/>
  <c r="AL16" i="73" s="1"/>
  <c r="AM16" i="73" a="1"/>
  <c r="AM16" i="73" s="1"/>
  <c r="AN16" i="73" a="1"/>
  <c r="AN16" i="73" s="1"/>
  <c r="AO16" i="73" a="1"/>
  <c r="AO16" i="73" s="1"/>
  <c r="AP16" i="73" a="1"/>
  <c r="AP16" i="73" s="1"/>
  <c r="AQ16" i="73" a="1"/>
  <c r="AQ16" i="73" s="1"/>
  <c r="AR16" i="73" a="1"/>
  <c r="AR16" i="73" s="1"/>
  <c r="AS16" i="73" a="1"/>
  <c r="AS16" i="73" s="1"/>
  <c r="AT16" i="73" a="1"/>
  <c r="AT16" i="73" s="1"/>
  <c r="AU16" i="73" a="1"/>
  <c r="AU16" i="73" s="1"/>
  <c r="AV16" i="73" a="1"/>
  <c r="AV16" i="73" s="1"/>
  <c r="AW16" i="73" a="1"/>
  <c r="AW16" i="73" s="1"/>
  <c r="AX16" i="73" a="1"/>
  <c r="AX16" i="73" s="1"/>
  <c r="AY16" i="73" a="1"/>
  <c r="AY16" i="73" s="1"/>
  <c r="AZ16" i="73" a="1"/>
  <c r="AZ16" i="73" s="1"/>
  <c r="BA16" i="73" a="1"/>
  <c r="BA16" i="73" s="1"/>
  <c r="BB16" i="73" a="1"/>
  <c r="BB16" i="73" s="1"/>
  <c r="BC16" i="73" a="1"/>
  <c r="BC16" i="73" s="1"/>
  <c r="BD16" i="73" a="1"/>
  <c r="BD16" i="73" s="1"/>
  <c r="BE16" i="73" a="1"/>
  <c r="BE16" i="73" s="1"/>
  <c r="BF16" i="73" a="1"/>
  <c r="BF16" i="73" s="1"/>
  <c r="BG16" i="73" a="1"/>
  <c r="BG16" i="73" s="1"/>
  <c r="BH16" i="73" a="1"/>
  <c r="BH16" i="73" s="1"/>
  <c r="BI16" i="73" a="1"/>
  <c r="BI16" i="73" s="1"/>
  <c r="BJ16" i="73" a="1"/>
  <c r="BJ16" i="73" s="1"/>
  <c r="BK16" i="73" a="1"/>
  <c r="BK16" i="73" s="1"/>
  <c r="BL16" i="73" a="1"/>
  <c r="BL16" i="73" s="1"/>
  <c r="BM16" i="73" a="1"/>
  <c r="BM16" i="73" s="1"/>
  <c r="BN16" i="73" a="1"/>
  <c r="BN16" i="73" s="1"/>
  <c r="BO16" i="73" a="1"/>
  <c r="BO16" i="73" s="1"/>
  <c r="BP16" i="73" a="1"/>
  <c r="BP16" i="73" s="1"/>
  <c r="BQ16" i="73" a="1"/>
  <c r="BQ16" i="73" s="1"/>
  <c r="BR16" i="73" a="1"/>
  <c r="BR16" i="73" s="1"/>
  <c r="AH17" i="73" a="1"/>
  <c r="AH17" i="73" s="1"/>
  <c r="AI17" i="73" a="1"/>
  <c r="AI17" i="73" s="1"/>
  <c r="AJ17" i="73" a="1"/>
  <c r="AJ17" i="73" s="1"/>
  <c r="AK17" i="73" a="1"/>
  <c r="AK17" i="73" s="1"/>
  <c r="AL17" i="73" a="1"/>
  <c r="AL17" i="73" s="1"/>
  <c r="AM17" i="73" a="1"/>
  <c r="AM17" i="73" s="1"/>
  <c r="AN17" i="73" a="1"/>
  <c r="AN17" i="73" s="1"/>
  <c r="AO17" i="73" a="1"/>
  <c r="AO17" i="73" s="1"/>
  <c r="AP17" i="73" a="1"/>
  <c r="AP17" i="73" s="1"/>
  <c r="AQ17" i="73" a="1"/>
  <c r="AQ17" i="73" s="1"/>
  <c r="AR17" i="73" a="1"/>
  <c r="AR17" i="73" s="1"/>
  <c r="AS17" i="73" a="1"/>
  <c r="AS17" i="73" s="1"/>
  <c r="AT17" i="73" a="1"/>
  <c r="AT17" i="73" s="1"/>
  <c r="AU17" i="73" a="1"/>
  <c r="AU17" i="73" s="1"/>
  <c r="AV17" i="73" a="1"/>
  <c r="AV17" i="73" s="1"/>
  <c r="AW17" i="73" a="1"/>
  <c r="AW17" i="73" s="1"/>
  <c r="AX17" i="73" a="1"/>
  <c r="AX17" i="73" s="1"/>
  <c r="AY17" i="73" a="1"/>
  <c r="AY17" i="73" s="1"/>
  <c r="AZ17" i="73" a="1"/>
  <c r="AZ17" i="73" s="1"/>
  <c r="BA17" i="73" a="1"/>
  <c r="BA17" i="73" s="1"/>
  <c r="BB17" i="73" a="1"/>
  <c r="BB17" i="73" s="1"/>
  <c r="BC17" i="73" a="1"/>
  <c r="BC17" i="73" s="1"/>
  <c r="BD17" i="73" a="1"/>
  <c r="BD17" i="73" s="1"/>
  <c r="BE17" i="73" a="1"/>
  <c r="BE17" i="73" s="1"/>
  <c r="BF17" i="73" a="1"/>
  <c r="BF17" i="73" s="1"/>
  <c r="BG17" i="73" a="1"/>
  <c r="BG17" i="73" s="1"/>
  <c r="BH17" i="73" a="1"/>
  <c r="BH17" i="73" s="1"/>
  <c r="BI17" i="73" a="1"/>
  <c r="BI17" i="73" s="1"/>
  <c r="BJ17" i="73" a="1"/>
  <c r="BJ17" i="73" s="1"/>
  <c r="BK17" i="73" a="1"/>
  <c r="BK17" i="73" s="1"/>
  <c r="BL17" i="73" a="1"/>
  <c r="BL17" i="73" s="1"/>
  <c r="BM17" i="73" a="1"/>
  <c r="BM17" i="73" s="1"/>
  <c r="BN17" i="73" a="1"/>
  <c r="BN17" i="73" s="1"/>
  <c r="BO17" i="73" a="1"/>
  <c r="BO17" i="73" s="1"/>
  <c r="BP17" i="73" a="1"/>
  <c r="BP17" i="73" s="1"/>
  <c r="BQ17" i="73" a="1"/>
  <c r="BQ17" i="73" s="1"/>
  <c r="BR17" i="73" a="1"/>
  <c r="BR17" i="73" s="1"/>
  <c r="BO14" i="73" l="1"/>
  <c r="BK14" i="73"/>
  <c r="BG14" i="73"/>
  <c r="BC14" i="73"/>
  <c r="AY14" i="73"/>
  <c r="AU14" i="73"/>
  <c r="AQ14" i="73"/>
  <c r="AM14" i="73"/>
  <c r="AI14" i="73"/>
  <c r="BN14" i="73"/>
  <c r="BB14" i="73"/>
  <c r="BQ14" i="73"/>
  <c r="BI14" i="73"/>
  <c r="BE14" i="73"/>
  <c r="BA14" i="73"/>
  <c r="AW14" i="73"/>
  <c r="AS14" i="73"/>
  <c r="AO14" i="73"/>
  <c r="AK14" i="73"/>
  <c r="BR14" i="73"/>
  <c r="BJ14" i="73"/>
  <c r="BF14" i="73"/>
  <c r="AX14" i="73"/>
  <c r="AT14" i="73"/>
  <c r="AP14" i="73"/>
  <c r="AL14" i="73"/>
  <c r="AH14" i="73"/>
  <c r="BM14" i="73"/>
  <c r="BP14" i="73"/>
  <c r="BL14" i="73"/>
  <c r="BH14" i="73"/>
  <c r="BD14" i="73"/>
  <c r="AZ14" i="73"/>
  <c r="AV14" i="73"/>
  <c r="AR14" i="73"/>
  <c r="AN14" i="73"/>
  <c r="AJ14" i="73"/>
  <c r="BH15" i="77" a="1"/>
  <c r="BH15" i="77" s="1"/>
  <c r="BI15" i="77" a="1"/>
  <c r="BI15" i="77" s="1"/>
  <c r="BJ15" i="77" a="1"/>
  <c r="BJ15" i="77" s="1"/>
  <c r="BK15" i="77" a="1"/>
  <c r="BK15" i="77" s="1"/>
  <c r="BH16" i="77" a="1"/>
  <c r="BH16" i="77" s="1"/>
  <c r="BI16" i="77" a="1"/>
  <c r="BI16" i="77" s="1"/>
  <c r="BJ16" i="77" a="1"/>
  <c r="BJ16" i="77" s="1"/>
  <c r="BK16" i="77" a="1"/>
  <c r="BK16" i="77" s="1"/>
  <c r="BH17" i="77" a="1"/>
  <c r="BH17" i="77" s="1"/>
  <c r="BI17" i="77" a="1"/>
  <c r="BI17" i="77" s="1"/>
  <c r="BJ17" i="77" a="1"/>
  <c r="BJ17" i="77" s="1"/>
  <c r="BK17" i="77" a="1"/>
  <c r="BK17" i="77" s="1"/>
  <c r="BK15" i="68" a="1"/>
  <c r="BK15" i="68" s="1"/>
  <c r="BL15" i="68" a="1"/>
  <c r="BL15" i="68" s="1"/>
  <c r="BK16" i="68" a="1"/>
  <c r="BK16" i="68" s="1"/>
  <c r="BL16" i="68" a="1"/>
  <c r="BL16" i="68" s="1"/>
  <c r="BK17" i="68" a="1"/>
  <c r="BK17" i="68" s="1"/>
  <c r="BL17" i="68" a="1"/>
  <c r="BL17" i="68" s="1"/>
  <c r="L53" i="62"/>
  <c r="M53" i="62"/>
  <c r="N53" i="62"/>
  <c r="O53" i="62"/>
  <c r="P53" i="62" s="1"/>
  <c r="R53" i="62"/>
  <c r="T53" i="62"/>
  <c r="U53" i="62"/>
  <c r="V53" i="62"/>
  <c r="L53" i="11"/>
  <c r="M53" i="11"/>
  <c r="N53" i="11"/>
  <c r="O53" i="11"/>
  <c r="P53" i="11" s="1"/>
  <c r="R53" i="11"/>
  <c r="T53" i="11"/>
  <c r="U53" i="11"/>
  <c r="V53" i="11"/>
  <c r="AD53" i="11" a="1"/>
  <c r="AD53" i="11" s="1"/>
  <c r="AE53" i="11" a="1"/>
  <c r="AE53" i="11" s="1"/>
  <c r="AF53" i="11" a="1"/>
  <c r="AF53" i="11" s="1"/>
  <c r="BL14" i="68" l="1"/>
  <c r="BK14" i="68"/>
  <c r="BJ14" i="77"/>
  <c r="BI14" i="77"/>
  <c r="BH14" i="77"/>
  <c r="BK14" i="77"/>
  <c r="AD51" i="73" l="1" a="1"/>
  <c r="AD51" i="73" s="1"/>
  <c r="AE51" i="73" a="1"/>
  <c r="AE51" i="73" s="1"/>
  <c r="AF51" i="73" a="1"/>
  <c r="AF51" i="73" s="1"/>
  <c r="AD52" i="73" a="1"/>
  <c r="AD52" i="73" s="1"/>
  <c r="AE52" i="73" a="1"/>
  <c r="AE52" i="73" s="1"/>
  <c r="AF52" i="73" a="1"/>
  <c r="AF52" i="73" s="1"/>
  <c r="AD53" i="73" a="1"/>
  <c r="AD53" i="73" s="1"/>
  <c r="AE53" i="73" a="1"/>
  <c r="AE53" i="73" s="1"/>
  <c r="AF53" i="73" a="1"/>
  <c r="AF53" i="73" s="1"/>
  <c r="AD54" i="73" a="1"/>
  <c r="AD54" i="73" s="1"/>
  <c r="AE54" i="73" a="1"/>
  <c r="AE54" i="73" s="1"/>
  <c r="AF54" i="73" a="1"/>
  <c r="AF54" i="73" s="1"/>
  <c r="AD55" i="73" a="1"/>
  <c r="AD55" i="73" s="1"/>
  <c r="AE55" i="73" a="1"/>
  <c r="AE55" i="73" s="1"/>
  <c r="AF55" i="73" a="1"/>
  <c r="AF55" i="73" s="1"/>
  <c r="AD56" i="73" a="1"/>
  <c r="AD56" i="73" s="1"/>
  <c r="AE56" i="73" a="1"/>
  <c r="AE56" i="73" s="1"/>
  <c r="AF56" i="73" a="1"/>
  <c r="AF56" i="73" s="1"/>
  <c r="AD57" i="73" a="1"/>
  <c r="AD57" i="73" s="1"/>
  <c r="AE57" i="73" a="1"/>
  <c r="AE57" i="73" s="1"/>
  <c r="AF57" i="73" a="1"/>
  <c r="AF57" i="73" s="1"/>
  <c r="AD58" i="73" a="1"/>
  <c r="AD58" i="73" s="1"/>
  <c r="AE58" i="73" a="1"/>
  <c r="AE58" i="73" s="1"/>
  <c r="AF58" i="73" a="1"/>
  <c r="AF58" i="73" s="1"/>
  <c r="AD59" i="73" a="1"/>
  <c r="AD59" i="73" s="1"/>
  <c r="AE59" i="73" a="1"/>
  <c r="AE59" i="73" s="1"/>
  <c r="AF59" i="73" a="1"/>
  <c r="AF59" i="73" s="1"/>
  <c r="AS15" i="65" l="1" a="1"/>
  <c r="AS15" i="65" s="1"/>
  <c r="AT15" i="65" a="1"/>
  <c r="AT15" i="65" s="1"/>
  <c r="AS16" i="65" a="1"/>
  <c r="AS16" i="65" s="1"/>
  <c r="AT16" i="65" a="1"/>
  <c r="AT16" i="65" s="1"/>
  <c r="AS17" i="65" a="1"/>
  <c r="AS17" i="65" s="1"/>
  <c r="AT17" i="65" a="1"/>
  <c r="AT17" i="65" s="1"/>
  <c r="AH15" i="66" a="1"/>
  <c r="AH15" i="66" s="1"/>
  <c r="AI15" i="66" a="1"/>
  <c r="AI15" i="66" s="1"/>
  <c r="AJ15" i="66" a="1"/>
  <c r="AJ15" i="66" s="1"/>
  <c r="AK15" i="66" a="1"/>
  <c r="AK15" i="66" s="1"/>
  <c r="AL15" i="66" a="1"/>
  <c r="AL15" i="66" s="1"/>
  <c r="AM15" i="66" a="1"/>
  <c r="AM15" i="66" s="1"/>
  <c r="AN15" i="66" a="1"/>
  <c r="AN15" i="66" s="1"/>
  <c r="AO15" i="66" a="1"/>
  <c r="AO15" i="66" s="1"/>
  <c r="AP15" i="66" a="1"/>
  <c r="AP15" i="66" s="1"/>
  <c r="AQ15" i="66" a="1"/>
  <c r="AQ15" i="66" s="1"/>
  <c r="AR15" i="66" a="1"/>
  <c r="AR15" i="66" s="1"/>
  <c r="AS15" i="66" a="1"/>
  <c r="AS15" i="66" s="1"/>
  <c r="AT15" i="66" a="1"/>
  <c r="AT15" i="66" s="1"/>
  <c r="AU15" i="66" a="1"/>
  <c r="AU15" i="66" s="1"/>
  <c r="AV15" i="66" a="1"/>
  <c r="AV15" i="66" s="1"/>
  <c r="AW15" i="66" a="1"/>
  <c r="AW15" i="66" s="1"/>
  <c r="AX15" i="66" a="1"/>
  <c r="AX15" i="66" s="1"/>
  <c r="AY15" i="66" a="1"/>
  <c r="AY15" i="66" s="1"/>
  <c r="AZ15" i="66" a="1"/>
  <c r="AZ15" i="66" s="1"/>
  <c r="BA15" i="66" a="1"/>
  <c r="BA15" i="66" s="1"/>
  <c r="BB15" i="66" a="1"/>
  <c r="BB15" i="66" s="1"/>
  <c r="BC15" i="66" a="1"/>
  <c r="BC15" i="66" s="1"/>
  <c r="BD15" i="66" a="1"/>
  <c r="BD15" i="66" s="1"/>
  <c r="AH16" i="66" a="1"/>
  <c r="AH16" i="66" s="1"/>
  <c r="AI16" i="66" a="1"/>
  <c r="AI16" i="66" s="1"/>
  <c r="AJ16" i="66" a="1"/>
  <c r="AJ16" i="66" s="1"/>
  <c r="AK16" i="66" a="1"/>
  <c r="AK16" i="66" s="1"/>
  <c r="AL16" i="66" a="1"/>
  <c r="AL16" i="66" s="1"/>
  <c r="AM16" i="66" a="1"/>
  <c r="AM16" i="66" s="1"/>
  <c r="AN16" i="66" a="1"/>
  <c r="AN16" i="66" s="1"/>
  <c r="AO16" i="66" a="1"/>
  <c r="AO16" i="66" s="1"/>
  <c r="AP16" i="66" a="1"/>
  <c r="AP16" i="66" s="1"/>
  <c r="AQ16" i="66" a="1"/>
  <c r="AQ16" i="66" s="1"/>
  <c r="AR16" i="66" a="1"/>
  <c r="AR16" i="66" s="1"/>
  <c r="AS16" i="66" a="1"/>
  <c r="AS16" i="66" s="1"/>
  <c r="AT16" i="66" a="1"/>
  <c r="AT16" i="66" s="1"/>
  <c r="AU16" i="66" a="1"/>
  <c r="AU16" i="66" s="1"/>
  <c r="AV16" i="66" a="1"/>
  <c r="AV16" i="66" s="1"/>
  <c r="AW16" i="66" a="1"/>
  <c r="AW16" i="66" s="1"/>
  <c r="AX16" i="66" a="1"/>
  <c r="AX16" i="66" s="1"/>
  <c r="AY16" i="66" a="1"/>
  <c r="AY16" i="66" s="1"/>
  <c r="AZ16" i="66" a="1"/>
  <c r="AZ16" i="66" s="1"/>
  <c r="BA16" i="66" a="1"/>
  <c r="BA16" i="66" s="1"/>
  <c r="BB16" i="66" a="1"/>
  <c r="BB16" i="66" s="1"/>
  <c r="BC16" i="66" a="1"/>
  <c r="BC16" i="66" s="1"/>
  <c r="BD16" i="66" a="1"/>
  <c r="BD16" i="66" s="1"/>
  <c r="AH17" i="66" a="1"/>
  <c r="AH17" i="66" s="1"/>
  <c r="AI17" i="66" a="1"/>
  <c r="AI17" i="66" s="1"/>
  <c r="AJ17" i="66" a="1"/>
  <c r="AJ17" i="66" s="1"/>
  <c r="AK17" i="66" a="1"/>
  <c r="AK17" i="66" s="1"/>
  <c r="AL17" i="66" a="1"/>
  <c r="AL17" i="66" s="1"/>
  <c r="AM17" i="66" a="1"/>
  <c r="AM17" i="66" s="1"/>
  <c r="AN17" i="66" a="1"/>
  <c r="AN17" i="66" s="1"/>
  <c r="AO17" i="66" a="1"/>
  <c r="AO17" i="66" s="1"/>
  <c r="AP17" i="66" a="1"/>
  <c r="AP17" i="66" s="1"/>
  <c r="AQ17" i="66" a="1"/>
  <c r="AQ17" i="66" s="1"/>
  <c r="AR17" i="66" a="1"/>
  <c r="AR17" i="66" s="1"/>
  <c r="AS17" i="66" a="1"/>
  <c r="AS17" i="66" s="1"/>
  <c r="AT17" i="66" a="1"/>
  <c r="AT17" i="66" s="1"/>
  <c r="AU17" i="66" a="1"/>
  <c r="AU17" i="66" s="1"/>
  <c r="AV17" i="66" a="1"/>
  <c r="AV17" i="66" s="1"/>
  <c r="AW17" i="66" a="1"/>
  <c r="AW17" i="66" s="1"/>
  <c r="AX17" i="66" a="1"/>
  <c r="AX17" i="66" s="1"/>
  <c r="AY17" i="66" a="1"/>
  <c r="AY17" i="66" s="1"/>
  <c r="AZ17" i="66" a="1"/>
  <c r="AZ17" i="66" s="1"/>
  <c r="BA17" i="66" a="1"/>
  <c r="BA17" i="66" s="1"/>
  <c r="BB17" i="66" a="1"/>
  <c r="BB17" i="66" s="1"/>
  <c r="BC17" i="66" a="1"/>
  <c r="BC17" i="66" s="1"/>
  <c r="BD17" i="66" a="1"/>
  <c r="BD17" i="66" s="1"/>
  <c r="AH15" i="65" a="1"/>
  <c r="AH15" i="65" s="1"/>
  <c r="AI15" i="65" a="1"/>
  <c r="AI15" i="65"/>
  <c r="AJ15" i="65" a="1"/>
  <c r="AJ15" i="65" s="1"/>
  <c r="AK15" i="65" a="1"/>
  <c r="AK15" i="65" s="1"/>
  <c r="AL15" i="65" a="1"/>
  <c r="AL15" i="65" s="1"/>
  <c r="AM15" i="65" a="1"/>
  <c r="AM15" i="65" s="1"/>
  <c r="AN15" i="65" a="1"/>
  <c r="AN15" i="65" s="1"/>
  <c r="AO15" i="65" a="1"/>
  <c r="AO15" i="65" s="1"/>
  <c r="AP15" i="65" a="1"/>
  <c r="AP15" i="65" s="1"/>
  <c r="AR15" i="65" a="1"/>
  <c r="AR15" i="65" s="1"/>
  <c r="AU15" i="65" a="1"/>
  <c r="AU15" i="65" s="1"/>
  <c r="AV15" i="65" a="1"/>
  <c r="AV15" i="65" s="1"/>
  <c r="AW15" i="65" a="1"/>
  <c r="AW15" i="65" s="1"/>
  <c r="AH16" i="65" a="1"/>
  <c r="AH16" i="65" s="1"/>
  <c r="AI16" i="65" a="1"/>
  <c r="AI16" i="65" s="1"/>
  <c r="AJ16" i="65" a="1"/>
  <c r="AJ16" i="65" s="1"/>
  <c r="AK16" i="65" a="1"/>
  <c r="AK16" i="65" s="1"/>
  <c r="AL16" i="65" a="1"/>
  <c r="AL16" i="65" s="1"/>
  <c r="AM16" i="65" a="1"/>
  <c r="AM16" i="65" s="1"/>
  <c r="AN16" i="65" a="1"/>
  <c r="AN16" i="65" s="1"/>
  <c r="AO16" i="65" a="1"/>
  <c r="AO16" i="65" s="1"/>
  <c r="AP16" i="65" a="1"/>
  <c r="AP16" i="65" s="1"/>
  <c r="AR16" i="65" a="1"/>
  <c r="AR16" i="65" s="1"/>
  <c r="AU16" i="65" a="1"/>
  <c r="AU16" i="65" s="1"/>
  <c r="AV16" i="65" a="1"/>
  <c r="AV16" i="65" s="1"/>
  <c r="AW16" i="65" a="1"/>
  <c r="AW16" i="65" s="1"/>
  <c r="AH17" i="65" a="1"/>
  <c r="AH17" i="65" s="1"/>
  <c r="AI17" i="65" a="1"/>
  <c r="AI17" i="65" s="1"/>
  <c r="AJ17" i="65" a="1"/>
  <c r="AJ17" i="65" s="1"/>
  <c r="AK17" i="65" a="1"/>
  <c r="AK17" i="65" s="1"/>
  <c r="AL17" i="65" a="1"/>
  <c r="AL17" i="65" s="1"/>
  <c r="AM17" i="65" a="1"/>
  <c r="AM17" i="65" s="1"/>
  <c r="AN17" i="65" a="1"/>
  <c r="AN17" i="65" s="1"/>
  <c r="AO17" i="65" a="1"/>
  <c r="AO17" i="65" s="1"/>
  <c r="AP17" i="65" a="1"/>
  <c r="AP17" i="65" s="1"/>
  <c r="AR17" i="65" a="1"/>
  <c r="AR17" i="65" s="1"/>
  <c r="AU17" i="65" a="1"/>
  <c r="AU17" i="65" s="1"/>
  <c r="AV17" i="65" a="1"/>
  <c r="AV17" i="65" s="1"/>
  <c r="AW17" i="65" a="1"/>
  <c r="AW17" i="65" s="1"/>
  <c r="AM14" i="65" l="1"/>
  <c r="AT14" i="65"/>
  <c r="AU14" i="66"/>
  <c r="AQ14" i="66"/>
  <c r="AI14" i="66"/>
  <c r="BB14" i="66"/>
  <c r="AX14" i="66"/>
  <c r="AT14" i="66"/>
  <c r="AP14" i="66"/>
  <c r="AL14" i="66"/>
  <c r="AH14" i="66"/>
  <c r="BD14" i="66"/>
  <c r="AZ14" i="66"/>
  <c r="AV14" i="66"/>
  <c r="AR14" i="66"/>
  <c r="AN14" i="66"/>
  <c r="AJ14" i="66"/>
  <c r="AK14" i="65"/>
  <c r="AW14" i="65"/>
  <c r="AM14" i="66"/>
  <c r="BC14" i="66"/>
  <c r="AY14" i="66"/>
  <c r="AV14" i="65"/>
  <c r="AS14" i="65"/>
  <c r="BA14" i="66"/>
  <c r="AW14" i="66"/>
  <c r="AS14" i="66"/>
  <c r="AO14" i="66"/>
  <c r="AK14" i="66"/>
  <c r="AN14" i="65"/>
  <c r="AP14" i="65"/>
  <c r="AH14" i="65"/>
  <c r="AO14" i="65"/>
  <c r="AJ14" i="65"/>
  <c r="AU14" i="65"/>
  <c r="AR14" i="65"/>
  <c r="AL14" i="65"/>
  <c r="AI14" i="65"/>
  <c r="BB15" i="63" a="1"/>
  <c r="BB15" i="63" s="1"/>
  <c r="BC15" i="63" a="1"/>
  <c r="BC15" i="63" s="1"/>
  <c r="BD15" i="63" a="1"/>
  <c r="BD15" i="63" s="1"/>
  <c r="BE15" i="63" a="1"/>
  <c r="BE15" i="63" s="1"/>
  <c r="BF15" i="63" a="1"/>
  <c r="BF15" i="63" s="1"/>
  <c r="BG15" i="63" a="1"/>
  <c r="BG15" i="63" s="1"/>
  <c r="BH15" i="63" a="1"/>
  <c r="BH15" i="63" s="1"/>
  <c r="BI15" i="63" a="1"/>
  <c r="BI15" i="63" s="1"/>
  <c r="BJ15" i="63" a="1"/>
  <c r="BJ15" i="63" s="1"/>
  <c r="BK15" i="63" a="1"/>
  <c r="BK15" i="63" s="1"/>
  <c r="BM15" i="63" a="1"/>
  <c r="BM15" i="63" s="1"/>
  <c r="BN15" i="63" a="1"/>
  <c r="BN15" i="63" s="1"/>
  <c r="BN14" i="63" s="1"/>
  <c r="BO15" i="63" a="1"/>
  <c r="BO15" i="63" s="1"/>
  <c r="BO14" i="63" s="1"/>
  <c r="BB16" i="63" a="1"/>
  <c r="BB16" i="63" s="1"/>
  <c r="BC16" i="63" a="1"/>
  <c r="BC16" i="63" s="1"/>
  <c r="BD16" i="63" a="1"/>
  <c r="BD16" i="63" s="1"/>
  <c r="BE16" i="63" a="1"/>
  <c r="BE16" i="63" s="1"/>
  <c r="BF16" i="63" a="1"/>
  <c r="BF16" i="63" s="1"/>
  <c r="BG16" i="63" a="1"/>
  <c r="BG16" i="63" s="1"/>
  <c r="BH16" i="63" a="1"/>
  <c r="BH16" i="63" s="1"/>
  <c r="BI16" i="63" a="1"/>
  <c r="BI16" i="63" s="1"/>
  <c r="BJ16" i="63" a="1"/>
  <c r="BJ16" i="63" s="1"/>
  <c r="BK16" i="63" a="1"/>
  <c r="BK16" i="63" s="1"/>
  <c r="BM16" i="63" a="1"/>
  <c r="BM16" i="63" s="1"/>
  <c r="BN16" i="63" a="1"/>
  <c r="BN16" i="63" s="1"/>
  <c r="BO16" i="63" a="1"/>
  <c r="BO16" i="63" s="1"/>
  <c r="BB17" i="63" a="1"/>
  <c r="BB17" i="63" s="1"/>
  <c r="BC17" i="63" a="1"/>
  <c r="BC17" i="63" s="1"/>
  <c r="BD17" i="63" a="1"/>
  <c r="BD17" i="63" s="1"/>
  <c r="BE17" i="63" a="1"/>
  <c r="BE17" i="63" s="1"/>
  <c r="BF17" i="63" a="1"/>
  <c r="BF17" i="63" s="1"/>
  <c r="BG17" i="63" a="1"/>
  <c r="BG17" i="63" s="1"/>
  <c r="BH17" i="63" a="1"/>
  <c r="BH17" i="63" s="1"/>
  <c r="BI17" i="63" a="1"/>
  <c r="BI17" i="63" s="1"/>
  <c r="BJ17" i="63" a="1"/>
  <c r="BJ17" i="63" s="1"/>
  <c r="BK17" i="63" a="1"/>
  <c r="BK17" i="63" s="1"/>
  <c r="BM17" i="63" a="1"/>
  <c r="BM17" i="63" s="1"/>
  <c r="BN17" i="63" a="1"/>
  <c r="BN17" i="63" s="1"/>
  <c r="BO17" i="63" a="1"/>
  <c r="BO17" i="63" s="1"/>
  <c r="BK14" i="63" l="1"/>
  <c r="BG14" i="63"/>
  <c r="BC14" i="63"/>
  <c r="BJ14" i="63"/>
  <c r="BF14" i="63"/>
  <c r="BB14" i="63"/>
  <c r="BM14" i="63"/>
  <c r="BI14" i="63"/>
  <c r="BE14" i="63"/>
  <c r="BH14" i="63"/>
  <c r="BD14" i="63"/>
  <c r="AD45" i="73" a="1"/>
  <c r="AD45" i="73" s="1"/>
  <c r="AE45" i="73" a="1"/>
  <c r="AE45" i="73"/>
  <c r="AF45" i="73" a="1"/>
  <c r="AF45" i="73" s="1"/>
  <c r="AD46" i="73" a="1"/>
  <c r="AD46" i="73" s="1"/>
  <c r="AE46" i="73" a="1"/>
  <c r="AE46" i="73" s="1"/>
  <c r="AF46" i="73" a="1"/>
  <c r="AF46" i="73" s="1"/>
  <c r="AD47" i="73" a="1"/>
  <c r="AD47" i="73" s="1"/>
  <c r="AE47" i="73" a="1"/>
  <c r="AE47" i="73" s="1"/>
  <c r="AF47" i="73" a="1"/>
  <c r="AF47" i="73" s="1"/>
  <c r="AD48" i="73" a="1"/>
  <c r="AD48" i="73" s="1"/>
  <c r="AE48" i="73" a="1"/>
  <c r="AE48" i="73" s="1"/>
  <c r="AF48" i="73" a="1"/>
  <c r="AF48" i="73"/>
  <c r="AD49" i="73" a="1"/>
  <c r="AD49" i="73" s="1"/>
  <c r="AE49" i="73" a="1"/>
  <c r="AE49" i="73" s="1"/>
  <c r="AF49" i="73" a="1"/>
  <c r="AF49" i="73" s="1"/>
  <c r="AD50" i="73" a="1"/>
  <c r="AD50" i="73" s="1"/>
  <c r="AE50" i="73" a="1"/>
  <c r="AE50" i="73" s="1"/>
  <c r="AF50" i="73" a="1"/>
  <c r="AF50" i="73" s="1"/>
  <c r="L46" i="73"/>
  <c r="M46" i="73"/>
  <c r="N46" i="73" s="1"/>
  <c r="AR15" i="72" l="1" a="1"/>
  <c r="AR15" i="72" s="1"/>
  <c r="AS15" i="72" a="1"/>
  <c r="AS15" i="72" s="1"/>
  <c r="AT15" i="72" a="1"/>
  <c r="AT15" i="72" s="1"/>
  <c r="AU15" i="72" a="1"/>
  <c r="AU15" i="72" s="1"/>
  <c r="AR16" i="72" a="1"/>
  <c r="AR16" i="72" s="1"/>
  <c r="AS16" i="72" a="1"/>
  <c r="AS16" i="72" s="1"/>
  <c r="AT16" i="72" a="1"/>
  <c r="AT16" i="72" s="1"/>
  <c r="AU16" i="72" a="1"/>
  <c r="AU16" i="72" s="1"/>
  <c r="AR17" i="72" a="1"/>
  <c r="AR17" i="72" s="1"/>
  <c r="AS17" i="72" a="1"/>
  <c r="AS17" i="72" s="1"/>
  <c r="AT17" i="72" a="1"/>
  <c r="AT17" i="72" s="1"/>
  <c r="AU17" i="72" a="1"/>
  <c r="AU17" i="72" s="1"/>
  <c r="AI15" i="59" a="1"/>
  <c r="AI15" i="59" s="1"/>
  <c r="AJ15" i="59" a="1"/>
  <c r="AJ15" i="59" s="1"/>
  <c r="AI16" i="59" a="1"/>
  <c r="AI16" i="59" s="1"/>
  <c r="AJ16" i="59" a="1"/>
  <c r="AJ16" i="59" s="1"/>
  <c r="AI17" i="59" a="1"/>
  <c r="AI17" i="59" s="1"/>
  <c r="AJ17" i="59" a="1"/>
  <c r="AJ17" i="59" s="1"/>
  <c r="AJ14" i="59" l="1"/>
  <c r="AS14" i="72"/>
  <c r="AR14" i="72"/>
  <c r="AU14" i="72"/>
  <c r="AT14" i="72"/>
  <c r="AI14" i="59"/>
  <c r="BD15" i="71" l="1" a="1"/>
  <c r="BD15" i="71" s="1"/>
  <c r="BE15" i="71" a="1"/>
  <c r="BE15" i="71" s="1"/>
  <c r="BF15" i="71" a="1"/>
  <c r="BF15" i="71" s="1"/>
  <c r="BD16" i="71" a="1"/>
  <c r="BD16" i="71" s="1"/>
  <c r="BE16" i="71" a="1"/>
  <c r="BE16" i="71" s="1"/>
  <c r="BF16" i="71" a="1"/>
  <c r="BF16" i="71" s="1"/>
  <c r="BD17" i="71" a="1"/>
  <c r="BD17" i="71" s="1"/>
  <c r="BE17" i="71" a="1"/>
  <c r="BE17" i="71" s="1"/>
  <c r="BF17" i="71" a="1"/>
  <c r="BF17" i="71" s="1"/>
  <c r="BD14" i="71" l="1"/>
  <c r="BF14" i="71"/>
  <c r="BE14" i="71"/>
  <c r="AX15" i="65" l="1" a="1"/>
  <c r="AX15" i="65" s="1"/>
  <c r="AY15" i="65" a="1"/>
  <c r="AY15" i="65" s="1"/>
  <c r="AZ15" i="65" a="1"/>
  <c r="AZ15" i="65" s="1"/>
  <c r="BA15" i="65" a="1"/>
  <c r="BA15" i="65" s="1"/>
  <c r="BB15" i="65" a="1"/>
  <c r="BB15" i="65" s="1"/>
  <c r="BC15" i="65" a="1"/>
  <c r="BC15" i="65" s="1"/>
  <c r="BD15" i="65" a="1"/>
  <c r="BD15" i="65" s="1"/>
  <c r="AQ15" i="65" a="1"/>
  <c r="AQ15" i="65" s="1"/>
  <c r="BE15" i="65" a="1"/>
  <c r="BE15" i="65" s="1"/>
  <c r="BF15" i="65" a="1"/>
  <c r="BF15" i="65" s="1"/>
  <c r="BG15" i="65" a="1"/>
  <c r="BG15" i="65" s="1"/>
  <c r="BH15" i="65" a="1"/>
  <c r="BH15" i="65" s="1"/>
  <c r="BI15" i="65" a="1"/>
  <c r="BI15" i="65" s="1"/>
  <c r="BJ15" i="65" a="1"/>
  <c r="BJ15" i="65" s="1"/>
  <c r="BK15" i="65" a="1"/>
  <c r="BK15" i="65" s="1"/>
  <c r="BL15" i="65" a="1"/>
  <c r="BL15" i="65" s="1"/>
  <c r="AX16" i="65" a="1"/>
  <c r="AX16" i="65" s="1"/>
  <c r="AY16" i="65" a="1"/>
  <c r="AY16" i="65" s="1"/>
  <c r="AZ16" i="65" a="1"/>
  <c r="AZ16" i="65" s="1"/>
  <c r="BA16" i="65" a="1"/>
  <c r="BA16" i="65" s="1"/>
  <c r="BB16" i="65" a="1"/>
  <c r="BB16" i="65" s="1"/>
  <c r="BC16" i="65" a="1"/>
  <c r="BC16" i="65" s="1"/>
  <c r="BD16" i="65" a="1"/>
  <c r="BD16" i="65" s="1"/>
  <c r="AQ16" i="65" a="1"/>
  <c r="AQ16" i="65" s="1"/>
  <c r="BE16" i="65" a="1"/>
  <c r="BE16" i="65" s="1"/>
  <c r="BF16" i="65" a="1"/>
  <c r="BF16" i="65" s="1"/>
  <c r="BG16" i="65" a="1"/>
  <c r="BG16" i="65" s="1"/>
  <c r="BH16" i="65" a="1"/>
  <c r="BH16" i="65" s="1"/>
  <c r="BI16" i="65" a="1"/>
  <c r="BI16" i="65" s="1"/>
  <c r="BJ16" i="65" a="1"/>
  <c r="BJ16" i="65" s="1"/>
  <c r="BK16" i="65" a="1"/>
  <c r="BK16" i="65" s="1"/>
  <c r="BL16" i="65" a="1"/>
  <c r="BL16" i="65" s="1"/>
  <c r="AX17" i="65" a="1"/>
  <c r="AX17" i="65" s="1"/>
  <c r="AY17" i="65" a="1"/>
  <c r="AY17" i="65" s="1"/>
  <c r="AZ17" i="65" a="1"/>
  <c r="AZ17" i="65" s="1"/>
  <c r="BA17" i="65" a="1"/>
  <c r="BA17" i="65" s="1"/>
  <c r="BB17" i="65" a="1"/>
  <c r="BB17" i="65" s="1"/>
  <c r="BC17" i="65" a="1"/>
  <c r="BC17" i="65" s="1"/>
  <c r="BD17" i="65" a="1"/>
  <c r="BD17" i="65" s="1"/>
  <c r="AQ17" i="65" a="1"/>
  <c r="AQ17" i="65" s="1"/>
  <c r="BE17" i="65" a="1"/>
  <c r="BE17" i="65" s="1"/>
  <c r="BF17" i="65" a="1"/>
  <c r="BF17" i="65" s="1"/>
  <c r="BG17" i="65" a="1"/>
  <c r="BG17" i="65" s="1"/>
  <c r="BH17" i="65" a="1"/>
  <c r="BH17" i="65" s="1"/>
  <c r="BI17" i="65" a="1"/>
  <c r="BI17" i="65" s="1"/>
  <c r="BJ17" i="65" a="1"/>
  <c r="BJ17" i="65" s="1"/>
  <c r="BK17" i="65" a="1"/>
  <c r="BK17" i="65" s="1"/>
  <c r="BL17" i="65" a="1"/>
  <c r="BL17" i="65" s="1"/>
  <c r="BJ14" i="65" l="1"/>
  <c r="BF14" i="65"/>
  <c r="BC14" i="65"/>
  <c r="AY14" i="65"/>
  <c r="BI14" i="65"/>
  <c r="BE14" i="65"/>
  <c r="BB14" i="65"/>
  <c r="AX14" i="65"/>
  <c r="BL14" i="65"/>
  <c r="BH14" i="65"/>
  <c r="AQ14" i="65"/>
  <c r="BA14" i="65"/>
  <c r="BK14" i="65"/>
  <c r="BG14" i="65"/>
  <c r="BD14" i="65"/>
  <c r="AZ14" i="65"/>
  <c r="BL15" i="70" a="1"/>
  <c r="BL15" i="70" s="1"/>
  <c r="BL16" i="70" a="1"/>
  <c r="BL16" i="70" s="1"/>
  <c r="BL17" i="70" a="1"/>
  <c r="BL17" i="70" s="1"/>
  <c r="BG15" i="75" a="1"/>
  <c r="BG15" i="75" s="1"/>
  <c r="BG16" i="75" a="1"/>
  <c r="BG16" i="75" s="1"/>
  <c r="BG17" i="75" a="1"/>
  <c r="BG17" i="75" s="1"/>
  <c r="BJ15" i="11" a="1"/>
  <c r="BJ15" i="11" s="1"/>
  <c r="BJ16" i="11" a="1"/>
  <c r="BJ16" i="11" s="1"/>
  <c r="BJ17" i="11" a="1"/>
  <c r="BJ17" i="11" s="1"/>
  <c r="BH15" i="11" a="1"/>
  <c r="BH15" i="11" s="1"/>
  <c r="BI15" i="11" a="1"/>
  <c r="BI15" i="11" s="1"/>
  <c r="BH16" i="11" a="1"/>
  <c r="BH16" i="11" s="1"/>
  <c r="BI16" i="11" a="1"/>
  <c r="BI16" i="11" s="1"/>
  <c r="BH17" i="11" a="1"/>
  <c r="BH17" i="11" s="1"/>
  <c r="BI17" i="11" a="1"/>
  <c r="BI17" i="11" s="1"/>
  <c r="BM15" i="69" a="1"/>
  <c r="BM15" i="69" s="1"/>
  <c r="BM16" i="69" a="1"/>
  <c r="BM16" i="69" s="1"/>
  <c r="BM17" i="69" a="1"/>
  <c r="BM17" i="69" s="1"/>
  <c r="BF15" i="64" a="1"/>
  <c r="BF15" i="64" s="1"/>
  <c r="BG15" i="64" a="1"/>
  <c r="BG15" i="64" s="1"/>
  <c r="BF16" i="64" a="1"/>
  <c r="BF16" i="64" s="1"/>
  <c r="BG16" i="64" a="1"/>
  <c r="BG16" i="64" s="1"/>
  <c r="BF17" i="64" a="1"/>
  <c r="BF17" i="64" s="1"/>
  <c r="BG17" i="64" a="1"/>
  <c r="BG17" i="64" s="1"/>
  <c r="BJ14" i="11" l="1"/>
  <c r="BF14" i="64"/>
  <c r="BL14" i="70"/>
  <c r="BM14" i="69"/>
  <c r="BG14" i="64"/>
  <c r="BG14" i="75"/>
  <c r="BI14" i="11"/>
  <c r="BH14" i="11"/>
  <c r="AH15" i="72" l="1" a="1"/>
  <c r="AH15" i="72" s="1"/>
  <c r="AI15" i="72" a="1"/>
  <c r="AI15" i="72" s="1"/>
  <c r="AJ15" i="72" a="1"/>
  <c r="AJ15" i="72" s="1"/>
  <c r="AK15" i="72" a="1"/>
  <c r="AK15" i="72" s="1"/>
  <c r="AL15" i="72" a="1"/>
  <c r="AL15" i="72" s="1"/>
  <c r="AH16" i="72" a="1"/>
  <c r="AH16" i="72" s="1"/>
  <c r="AI16" i="72" a="1"/>
  <c r="AI16" i="72" s="1"/>
  <c r="AJ16" i="72" a="1"/>
  <c r="AJ16" i="72" s="1"/>
  <c r="AK16" i="72" a="1"/>
  <c r="AK16" i="72" s="1"/>
  <c r="AL16" i="72" a="1"/>
  <c r="AL16" i="72" s="1"/>
  <c r="AH17" i="72" a="1"/>
  <c r="AH17" i="72" s="1"/>
  <c r="AI17" i="72" a="1"/>
  <c r="AI17" i="72" s="1"/>
  <c r="AJ17" i="72" a="1"/>
  <c r="AJ17" i="72" s="1"/>
  <c r="AK17" i="72" a="1"/>
  <c r="AK17" i="72" s="1"/>
  <c r="AL17" i="72" a="1"/>
  <c r="AL17" i="72" s="1"/>
  <c r="AO15" i="69" a="1"/>
  <c r="AO15" i="69" s="1"/>
  <c r="AP15" i="69" a="1"/>
  <c r="AP15" i="69" s="1"/>
  <c r="AQ15" i="69" a="1"/>
  <c r="AQ15" i="69" s="1"/>
  <c r="AR15" i="69" a="1"/>
  <c r="AR15" i="69" s="1"/>
  <c r="AS15" i="69" a="1"/>
  <c r="AS15" i="69" s="1"/>
  <c r="AT15" i="69" a="1"/>
  <c r="AT15" i="69" s="1"/>
  <c r="BP15" i="69" a="1"/>
  <c r="BP15" i="69" s="1"/>
  <c r="AO16" i="69" a="1"/>
  <c r="AO16" i="69" s="1"/>
  <c r="AP16" i="69" a="1"/>
  <c r="AP16" i="69" s="1"/>
  <c r="AQ16" i="69" a="1"/>
  <c r="AQ16" i="69" s="1"/>
  <c r="AR16" i="69" a="1"/>
  <c r="AR16" i="69" s="1"/>
  <c r="AS16" i="69" a="1"/>
  <c r="AS16" i="69" s="1"/>
  <c r="AT16" i="69" a="1"/>
  <c r="AT16" i="69" s="1"/>
  <c r="BP16" i="69" a="1"/>
  <c r="BP16" i="69" s="1"/>
  <c r="AO17" i="69" a="1"/>
  <c r="AO17" i="69" s="1"/>
  <c r="AP17" i="69" a="1"/>
  <c r="AP17" i="69" s="1"/>
  <c r="AQ17" i="69" a="1"/>
  <c r="AQ17" i="69" s="1"/>
  <c r="AR17" i="69" a="1"/>
  <c r="AR17" i="69" s="1"/>
  <c r="AS17" i="69" a="1"/>
  <c r="AS17" i="69" s="1"/>
  <c r="AT17" i="69" a="1"/>
  <c r="AT17" i="69" s="1"/>
  <c r="BP17" i="69" a="1"/>
  <c r="BP17" i="69" s="1"/>
  <c r="AS15" i="63" a="1"/>
  <c r="AS15" i="63" s="1"/>
  <c r="AT15" i="63" a="1"/>
  <c r="AT15" i="63" s="1"/>
  <c r="AS16" i="63" a="1"/>
  <c r="AS16" i="63" s="1"/>
  <c r="AT16" i="63" a="1"/>
  <c r="AT16" i="63" s="1"/>
  <c r="AS17" i="63" a="1"/>
  <c r="AS17" i="63" s="1"/>
  <c r="AT17" i="63" a="1"/>
  <c r="AT17" i="63" s="1"/>
  <c r="AS14" i="63" l="1"/>
  <c r="AJ14" i="72"/>
  <c r="AI14" i="72"/>
  <c r="AL14" i="72"/>
  <c r="AH14" i="72"/>
  <c r="AK14" i="72"/>
  <c r="BP14" i="69"/>
  <c r="AQ14" i="69"/>
  <c r="AT14" i="69"/>
  <c r="AP14" i="69"/>
  <c r="AS14" i="69"/>
  <c r="AO14" i="69"/>
  <c r="AR14" i="69"/>
  <c r="AT14" i="63"/>
  <c r="AQ15" i="74" l="1" a="1"/>
  <c r="AQ15" i="74" s="1"/>
  <c r="AR15" i="74" a="1"/>
  <c r="AR15" i="74" s="1"/>
  <c r="AS15" i="74" a="1"/>
  <c r="AS15" i="74" s="1"/>
  <c r="AT15" i="74" a="1"/>
  <c r="AT15" i="74" s="1"/>
  <c r="AU15" i="74" a="1"/>
  <c r="AU15" i="74" s="1"/>
  <c r="AV15" i="74" a="1"/>
  <c r="AV15" i="74" s="1"/>
  <c r="AW15" i="74" a="1"/>
  <c r="AW15" i="74" s="1"/>
  <c r="AX15" i="74" a="1"/>
  <c r="AX15" i="74" s="1"/>
  <c r="AY15" i="74" a="1"/>
  <c r="AY15" i="74" s="1"/>
  <c r="AZ15" i="74" a="1"/>
  <c r="AZ15" i="74" s="1"/>
  <c r="BA15" i="74" a="1"/>
  <c r="BA15" i="74" s="1"/>
  <c r="BB15" i="74" a="1"/>
  <c r="BB15" i="74" s="1"/>
  <c r="BD15" i="74" a="1"/>
  <c r="BD15" i="74" s="1"/>
  <c r="BE15" i="74" a="1"/>
  <c r="BE15" i="74" s="1"/>
  <c r="BF15" i="74" a="1"/>
  <c r="BF15" i="74" s="1"/>
  <c r="BG15" i="74" a="1"/>
  <c r="BG15" i="74" s="1"/>
  <c r="BH15" i="74" a="1"/>
  <c r="BH15" i="74" s="1"/>
  <c r="BI15" i="74" a="1"/>
  <c r="BI15" i="74" s="1"/>
  <c r="BV15" i="74" a="1"/>
  <c r="BV15" i="74" s="1"/>
  <c r="BJ15" i="74" a="1"/>
  <c r="BJ15" i="74" s="1"/>
  <c r="BK15" i="74" a="1"/>
  <c r="BK15" i="74" s="1"/>
  <c r="BL15" i="74" a="1"/>
  <c r="BL15" i="74" s="1"/>
  <c r="BM15" i="74" a="1"/>
  <c r="BM15" i="74" s="1"/>
  <c r="BN15" i="74" a="1"/>
  <c r="BN15" i="74" s="1"/>
  <c r="BO15" i="74" a="1"/>
  <c r="BO15" i="74" s="1"/>
  <c r="BP15" i="74" a="1"/>
  <c r="BP15" i="74" s="1"/>
  <c r="BQ15" i="74" a="1"/>
  <c r="BQ15" i="74" s="1"/>
  <c r="BR15" i="74" a="1"/>
  <c r="BR15" i="74" s="1"/>
  <c r="BS15" i="74" a="1"/>
  <c r="BS15" i="74" s="1"/>
  <c r="AQ16" i="74" a="1"/>
  <c r="AQ16" i="74" s="1"/>
  <c r="AR16" i="74" a="1"/>
  <c r="AR16" i="74" s="1"/>
  <c r="AS16" i="74" a="1"/>
  <c r="AS16" i="74" s="1"/>
  <c r="AT16" i="74" a="1"/>
  <c r="AT16" i="74" s="1"/>
  <c r="AU16" i="74" a="1"/>
  <c r="AU16" i="74" s="1"/>
  <c r="AV16" i="74" a="1"/>
  <c r="AV16" i="74" s="1"/>
  <c r="AW16" i="74" a="1"/>
  <c r="AW16" i="74" s="1"/>
  <c r="AX16" i="74" a="1"/>
  <c r="AX16" i="74" s="1"/>
  <c r="AY16" i="74" a="1"/>
  <c r="AY16" i="74" s="1"/>
  <c r="AZ16" i="74" a="1"/>
  <c r="AZ16" i="74" s="1"/>
  <c r="BA16" i="74" a="1"/>
  <c r="BA16" i="74" s="1"/>
  <c r="BB16" i="74" a="1"/>
  <c r="BB16" i="74" s="1"/>
  <c r="BD16" i="74" a="1"/>
  <c r="BD16" i="74" s="1"/>
  <c r="BE16" i="74" a="1"/>
  <c r="BE16" i="74" s="1"/>
  <c r="BF16" i="74" a="1"/>
  <c r="BF16" i="74" s="1"/>
  <c r="BG16" i="74" a="1"/>
  <c r="BG16" i="74" s="1"/>
  <c r="BH16" i="74" a="1"/>
  <c r="BH16" i="74" s="1"/>
  <c r="BI16" i="74" a="1"/>
  <c r="BI16" i="74" s="1"/>
  <c r="BV16" i="74" a="1"/>
  <c r="BV16" i="74" s="1"/>
  <c r="BJ16" i="74" a="1"/>
  <c r="BJ16" i="74" s="1"/>
  <c r="BK16" i="74" a="1"/>
  <c r="BK16" i="74" s="1"/>
  <c r="BL16" i="74" a="1"/>
  <c r="BL16" i="74" s="1"/>
  <c r="BM16" i="74" a="1"/>
  <c r="BM16" i="74" s="1"/>
  <c r="BN16" i="74" a="1"/>
  <c r="BN16" i="74" s="1"/>
  <c r="BO16" i="74" a="1"/>
  <c r="BO16" i="74" s="1"/>
  <c r="BP16" i="74" a="1"/>
  <c r="BP16" i="74" s="1"/>
  <c r="BQ16" i="74" a="1"/>
  <c r="BQ16" i="74" s="1"/>
  <c r="BR16" i="74" a="1"/>
  <c r="BR16" i="74" s="1"/>
  <c r="BS16" i="74" a="1"/>
  <c r="BS16" i="74" s="1"/>
  <c r="AQ17" i="74" a="1"/>
  <c r="AQ17" i="74" s="1"/>
  <c r="AR17" i="74" a="1"/>
  <c r="AR17" i="74" s="1"/>
  <c r="AS17" i="74" a="1"/>
  <c r="AS17" i="74" s="1"/>
  <c r="AT17" i="74" a="1"/>
  <c r="AT17" i="74" s="1"/>
  <c r="AU17" i="74" a="1"/>
  <c r="AU17" i="74" s="1"/>
  <c r="AV17" i="74" a="1"/>
  <c r="AV17" i="74" s="1"/>
  <c r="AW17" i="74" a="1"/>
  <c r="AW17" i="74" s="1"/>
  <c r="AX17" i="74" a="1"/>
  <c r="AX17" i="74" s="1"/>
  <c r="AY17" i="74" a="1"/>
  <c r="AY17" i="74" s="1"/>
  <c r="AZ17" i="74" a="1"/>
  <c r="AZ17" i="74" s="1"/>
  <c r="BA17" i="74" a="1"/>
  <c r="BA17" i="74" s="1"/>
  <c r="BB17" i="74" a="1"/>
  <c r="BB17" i="74" s="1"/>
  <c r="BD17" i="74" a="1"/>
  <c r="BD17" i="74" s="1"/>
  <c r="BE17" i="74" a="1"/>
  <c r="BE17" i="74" s="1"/>
  <c r="BF17" i="74" a="1"/>
  <c r="BF17" i="74" s="1"/>
  <c r="BG17" i="74" a="1"/>
  <c r="BG17" i="74" s="1"/>
  <c r="BH17" i="74" a="1"/>
  <c r="BH17" i="74" s="1"/>
  <c r="BI17" i="74" a="1"/>
  <c r="BI17" i="74" s="1"/>
  <c r="BV17" i="74" a="1"/>
  <c r="BV17" i="74" s="1"/>
  <c r="BJ17" i="74" a="1"/>
  <c r="BJ17" i="74" s="1"/>
  <c r="BK17" i="74" a="1"/>
  <c r="BK17" i="74" s="1"/>
  <c r="BL17" i="74" a="1"/>
  <c r="BL17" i="74" s="1"/>
  <c r="BM17" i="74" a="1"/>
  <c r="BM17" i="74" s="1"/>
  <c r="BN17" i="74" a="1"/>
  <c r="BN17" i="74" s="1"/>
  <c r="BO17" i="74" a="1"/>
  <c r="BO17" i="74" s="1"/>
  <c r="BP17" i="74" a="1"/>
  <c r="BP17" i="74" s="1"/>
  <c r="BQ17" i="74" a="1"/>
  <c r="BQ17" i="74" s="1"/>
  <c r="BR17" i="74" a="1"/>
  <c r="BR17" i="74" s="1"/>
  <c r="BS17" i="74" a="1"/>
  <c r="BS17" i="74" s="1"/>
  <c r="BQ14" i="74" l="1"/>
  <c r="BM14" i="74"/>
  <c r="BV14" i="74"/>
  <c r="BF14" i="74"/>
  <c r="BA14" i="74"/>
  <c r="AW14" i="74"/>
  <c r="AS14" i="74"/>
  <c r="BP14" i="74"/>
  <c r="BL14" i="74"/>
  <c r="BI14" i="74"/>
  <c r="BE14" i="74"/>
  <c r="AZ14" i="74"/>
  <c r="AV14" i="74"/>
  <c r="AR14" i="74"/>
  <c r="BS14" i="74"/>
  <c r="BO14" i="74"/>
  <c r="BK14" i="74"/>
  <c r="BH14" i="74"/>
  <c r="BD14" i="74"/>
  <c r="AY14" i="74"/>
  <c r="AU14" i="74"/>
  <c r="AQ14" i="74"/>
  <c r="BR14" i="74"/>
  <c r="BN14" i="74"/>
  <c r="BJ14" i="74"/>
  <c r="BG14" i="74"/>
  <c r="BB14" i="74"/>
  <c r="AX14" i="74"/>
  <c r="AT14" i="74"/>
  <c r="BA15" i="70" l="1" a="1"/>
  <c r="BA15" i="70" s="1"/>
  <c r="BB15" i="70" a="1"/>
  <c r="BB15" i="70" s="1"/>
  <c r="BC15" i="70" a="1"/>
  <c r="BC15" i="70" s="1"/>
  <c r="BD15" i="70" a="1"/>
  <c r="BD15" i="70" s="1"/>
  <c r="BF15" i="70" a="1"/>
  <c r="BF15" i="70" s="1"/>
  <c r="BG15" i="70" a="1"/>
  <c r="BG15" i="70" s="1"/>
  <c r="BH15" i="70" a="1"/>
  <c r="BH15" i="70" s="1"/>
  <c r="BI15" i="70" a="1"/>
  <c r="BI15" i="70" s="1"/>
  <c r="BJ15" i="70" a="1"/>
  <c r="BJ15" i="70" s="1"/>
  <c r="BK15" i="70" a="1"/>
  <c r="BK15" i="70" s="1"/>
  <c r="BA16" i="70" a="1"/>
  <c r="BA16" i="70" s="1"/>
  <c r="BB16" i="70" a="1"/>
  <c r="BB16" i="70" s="1"/>
  <c r="BC16" i="70" a="1"/>
  <c r="BC16" i="70" s="1"/>
  <c r="BD16" i="70" a="1"/>
  <c r="BD16" i="70" s="1"/>
  <c r="BF16" i="70" a="1"/>
  <c r="BF16" i="70" s="1"/>
  <c r="BG16" i="70" a="1"/>
  <c r="BG16" i="70" s="1"/>
  <c r="BH16" i="70" a="1"/>
  <c r="BH16" i="70" s="1"/>
  <c r="BI16" i="70" a="1"/>
  <c r="BI16" i="70" s="1"/>
  <c r="BJ16" i="70" a="1"/>
  <c r="BJ16" i="70" s="1"/>
  <c r="BK16" i="70" a="1"/>
  <c r="BK16" i="70" s="1"/>
  <c r="BA17" i="70" a="1"/>
  <c r="BA17" i="70" s="1"/>
  <c r="BB17" i="70" a="1"/>
  <c r="BB17" i="70" s="1"/>
  <c r="BC17" i="70" a="1"/>
  <c r="BC17" i="70" s="1"/>
  <c r="BD17" i="70" a="1"/>
  <c r="BD17" i="70" s="1"/>
  <c r="BF17" i="70" a="1"/>
  <c r="BF17" i="70" s="1"/>
  <c r="BG17" i="70" a="1"/>
  <c r="BG17" i="70" s="1"/>
  <c r="BH17" i="70" a="1"/>
  <c r="BH17" i="70" s="1"/>
  <c r="BI17" i="70" a="1"/>
  <c r="BI17" i="70" s="1"/>
  <c r="BJ17" i="70" a="1"/>
  <c r="BJ17" i="70" s="1"/>
  <c r="BK17" i="70" a="1"/>
  <c r="BK17" i="70" s="1"/>
  <c r="BK14" i="70" l="1"/>
  <c r="BH14" i="70"/>
  <c r="BC14" i="70"/>
  <c r="BG14" i="70"/>
  <c r="BB14" i="70"/>
  <c r="BJ14" i="70"/>
  <c r="BF14" i="70"/>
  <c r="BA14" i="70"/>
  <c r="BI14" i="70"/>
  <c r="BD14" i="70"/>
  <c r="BM15" i="61" l="1" a="1"/>
  <c r="BM15" i="61" s="1"/>
  <c r="BL15" i="61" a="1"/>
  <c r="BL15" i="61" s="1"/>
  <c r="BM16" i="61" a="1"/>
  <c r="BM16" i="61" s="1"/>
  <c r="BL16" i="61" a="1"/>
  <c r="BL16" i="61" s="1"/>
  <c r="BM17" i="61" a="1"/>
  <c r="BM17" i="61" s="1"/>
  <c r="BL17" i="61" a="1"/>
  <c r="BL17" i="61" s="1"/>
  <c r="BB15" i="62" a="1"/>
  <c r="BB15" i="62" s="1"/>
  <c r="BB16" i="62" a="1"/>
  <c r="BB16" i="62" s="1"/>
  <c r="BB17" i="62" a="1"/>
  <c r="BB17" i="62" s="1"/>
  <c r="BB14" i="62" l="1"/>
  <c r="BL14" i="61"/>
  <c r="BM14" i="61"/>
  <c r="AT1" i="11"/>
  <c r="AT2" i="11" a="1"/>
  <c r="AT2" i="11" s="1"/>
  <c r="AT10" i="11" a="1"/>
  <c r="AT10" i="11" s="1"/>
  <c r="AT11" i="11" s="1"/>
  <c r="AT12" i="11" a="1"/>
  <c r="AT12" i="11" s="1"/>
  <c r="AT15" i="11" a="1"/>
  <c r="AT15" i="11" s="1"/>
  <c r="AT16" i="11" a="1"/>
  <c r="AT16" i="11" s="1"/>
  <c r="AT17" i="11" a="1"/>
  <c r="AT17" i="11" s="1"/>
  <c r="AD46" i="11" a="1"/>
  <c r="AD46" i="11" s="1"/>
  <c r="AE46" i="11" a="1"/>
  <c r="AE46" i="11" s="1"/>
  <c r="AF46" i="11" a="1"/>
  <c r="AF46" i="11" s="1"/>
  <c r="R46" i="11"/>
  <c r="T46" i="11"/>
  <c r="AD46" i="62" a="1"/>
  <c r="AD46" i="62" s="1"/>
  <c r="AE46" i="62" a="1"/>
  <c r="AE46" i="62" s="1"/>
  <c r="AF46" i="62" a="1"/>
  <c r="AF46" i="62" s="1"/>
  <c r="AD46" i="63" a="1"/>
  <c r="AD46" i="63" s="1"/>
  <c r="AE46" i="63" a="1"/>
  <c r="AE46" i="63" s="1"/>
  <c r="AF46" i="63" a="1"/>
  <c r="AF46" i="63" s="1"/>
  <c r="AD46" i="61" a="1"/>
  <c r="AD46" i="61" s="1"/>
  <c r="AE46" i="61" a="1"/>
  <c r="AE46" i="61" s="1"/>
  <c r="AF46" i="61" a="1"/>
  <c r="AF46" i="61" s="1"/>
  <c r="AD46" i="74" a="1"/>
  <c r="AD46" i="74" s="1"/>
  <c r="AE46" i="74" a="1"/>
  <c r="AE46" i="74" s="1"/>
  <c r="AF46" i="74" a="1"/>
  <c r="AF46" i="74" s="1"/>
  <c r="AT14" i="11" l="1"/>
  <c r="AT13" i="11"/>
  <c r="L46" i="62"/>
  <c r="M46" i="62"/>
  <c r="N46" i="62" s="1"/>
  <c r="R46" i="62"/>
  <c r="T46" i="62"/>
  <c r="L46" i="79"/>
  <c r="M46" i="79"/>
  <c r="N46" i="79" s="1"/>
  <c r="R46" i="79"/>
  <c r="T46" i="79"/>
  <c r="L46" i="64"/>
  <c r="M46" i="64"/>
  <c r="N46" i="64" s="1"/>
  <c r="R46" i="64"/>
  <c r="T46" i="64"/>
  <c r="L46" i="63"/>
  <c r="M46" i="63"/>
  <c r="N46" i="63" s="1"/>
  <c r="R46" i="63"/>
  <c r="T46" i="63"/>
  <c r="L46" i="61"/>
  <c r="M46" i="61"/>
  <c r="N46" i="61" s="1"/>
  <c r="R46" i="61"/>
  <c r="T46" i="61"/>
  <c r="L46" i="74"/>
  <c r="M46" i="74"/>
  <c r="N46" i="74" s="1"/>
  <c r="T46" i="74"/>
  <c r="L46" i="59"/>
  <c r="M46" i="59"/>
  <c r="N46" i="59" s="1"/>
  <c r="R46" i="59"/>
  <c r="T46" i="59"/>
  <c r="L46" i="60"/>
  <c r="M46" i="60"/>
  <c r="N46" i="60" s="1"/>
  <c r="R46" i="60"/>
  <c r="T46" i="60"/>
  <c r="L46" i="70"/>
  <c r="M46" i="70"/>
  <c r="N46" i="70"/>
  <c r="R46" i="70"/>
  <c r="T46" i="70"/>
  <c r="R46" i="72"/>
  <c r="T46" i="72"/>
  <c r="AH15" i="79" l="1" a="1"/>
  <c r="AH15" i="79" s="1"/>
  <c r="AI15" i="79" a="1"/>
  <c r="AI15" i="79" s="1"/>
  <c r="AJ15" i="79" a="1"/>
  <c r="AJ15" i="79" s="1"/>
  <c r="AK15" i="79" a="1"/>
  <c r="AK15" i="79" s="1"/>
  <c r="AL15" i="79" a="1"/>
  <c r="AL15" i="79" s="1"/>
  <c r="AM15" i="79" a="1"/>
  <c r="AM15" i="79" s="1"/>
  <c r="AN15" i="79" a="1"/>
  <c r="AN15" i="79" s="1"/>
  <c r="BN15" i="79" a="1"/>
  <c r="BN15" i="79" s="1"/>
  <c r="AO15" i="79" a="1"/>
  <c r="AO15" i="79" s="1"/>
  <c r="AP15" i="79" a="1"/>
  <c r="AP15" i="79" s="1"/>
  <c r="AV15" i="79" a="1"/>
  <c r="AV15" i="79" s="1"/>
  <c r="AH16" i="79" a="1"/>
  <c r="AH16" i="79" s="1"/>
  <c r="AI16" i="79" a="1"/>
  <c r="AI16" i="79" s="1"/>
  <c r="AJ16" i="79" a="1"/>
  <c r="AJ16" i="79" s="1"/>
  <c r="AK16" i="79" a="1"/>
  <c r="AK16" i="79" s="1"/>
  <c r="AL16" i="79" a="1"/>
  <c r="AL16" i="79" s="1"/>
  <c r="AM16" i="79" a="1"/>
  <c r="AM16" i="79" s="1"/>
  <c r="AN16" i="79" a="1"/>
  <c r="AN16" i="79" s="1"/>
  <c r="BN16" i="79" a="1"/>
  <c r="BN16" i="79" s="1"/>
  <c r="AO16" i="79" a="1"/>
  <c r="AO16" i="79" s="1"/>
  <c r="AP16" i="79" a="1"/>
  <c r="AP16" i="79" s="1"/>
  <c r="AV16" i="79" a="1"/>
  <c r="AV16" i="79" s="1"/>
  <c r="AH17" i="79" a="1"/>
  <c r="AH17" i="79" s="1"/>
  <c r="AI17" i="79" a="1"/>
  <c r="AI17" i="79" s="1"/>
  <c r="AJ17" i="79" a="1"/>
  <c r="AJ17" i="79" s="1"/>
  <c r="AK17" i="79" a="1"/>
  <c r="AK17" i="79" s="1"/>
  <c r="AL17" i="79" a="1"/>
  <c r="AL17" i="79" s="1"/>
  <c r="AM17" i="79" a="1"/>
  <c r="AM17" i="79" s="1"/>
  <c r="AN17" i="79" a="1"/>
  <c r="AN17" i="79" s="1"/>
  <c r="BN17" i="79" a="1"/>
  <c r="BN17" i="79" s="1"/>
  <c r="AO17" i="79" a="1"/>
  <c r="AO17" i="79" s="1"/>
  <c r="AP17" i="79" a="1"/>
  <c r="AP17" i="79" s="1"/>
  <c r="AV17" i="79" a="1"/>
  <c r="AV17" i="79" s="1"/>
  <c r="AV14" i="79" l="1"/>
  <c r="AN14" i="79"/>
  <c r="AJ14" i="79"/>
  <c r="AP14" i="79"/>
  <c r="AM14" i="79"/>
  <c r="AI14" i="79"/>
  <c r="AO14" i="79"/>
  <c r="AL14" i="79"/>
  <c r="AH14" i="79"/>
  <c r="BN14" i="79"/>
  <c r="AK14" i="79"/>
  <c r="BH15" i="61" l="1" a="1"/>
  <c r="BH15" i="61" s="1"/>
  <c r="BI15" i="61" a="1"/>
  <c r="BI15" i="61" s="1"/>
  <c r="BJ15" i="61" a="1"/>
  <c r="BJ15" i="61" s="1"/>
  <c r="BK15" i="61" a="1"/>
  <c r="BK15" i="61" s="1"/>
  <c r="BH16" i="61" a="1"/>
  <c r="BH16" i="61" s="1"/>
  <c r="BI16" i="61" a="1"/>
  <c r="BI16" i="61" s="1"/>
  <c r="BJ16" i="61" a="1"/>
  <c r="BJ16" i="61" s="1"/>
  <c r="BK16" i="61" a="1"/>
  <c r="BK16" i="61" s="1"/>
  <c r="BH17" i="61" a="1"/>
  <c r="BH17" i="61" s="1"/>
  <c r="BI17" i="61" a="1"/>
  <c r="BI17" i="61" s="1"/>
  <c r="BJ17" i="61" a="1"/>
  <c r="BJ17" i="61" s="1"/>
  <c r="BK17" i="61" a="1"/>
  <c r="BK17" i="61" s="1"/>
  <c r="AW15" i="79" a="1"/>
  <c r="AW15" i="79" s="1"/>
  <c r="AX15" i="79" a="1"/>
  <c r="AX15" i="79" s="1"/>
  <c r="AW16" i="79" a="1"/>
  <c r="AW16" i="79" s="1"/>
  <c r="AX16" i="79" a="1"/>
  <c r="AX16" i="79" s="1"/>
  <c r="AW17" i="79" a="1"/>
  <c r="AW17" i="79" s="1"/>
  <c r="AX17" i="79" a="1"/>
  <c r="AX17" i="79" s="1"/>
  <c r="BH14" i="61" l="1"/>
  <c r="BI14" i="61"/>
  <c r="AX14" i="79"/>
  <c r="AW14" i="79"/>
  <c r="BK14" i="61"/>
  <c r="BJ14" i="61"/>
  <c r="AH15" i="63" a="1"/>
  <c r="AH15" i="63" s="1"/>
  <c r="AI15" i="63" a="1"/>
  <c r="AI15" i="63" s="1"/>
  <c r="AJ15" i="63" a="1"/>
  <c r="AJ15" i="63" s="1"/>
  <c r="AK15" i="63" a="1"/>
  <c r="AK15" i="63" s="1"/>
  <c r="AL15" i="63" a="1"/>
  <c r="AL15" i="63" s="1"/>
  <c r="AM15" i="63" a="1"/>
  <c r="AM15" i="63" s="1"/>
  <c r="AN15" i="63" a="1"/>
  <c r="AN15" i="63" s="1"/>
  <c r="AO15" i="63" a="1"/>
  <c r="AO15" i="63" s="1"/>
  <c r="AP15" i="63" a="1"/>
  <c r="AP15" i="63" s="1"/>
  <c r="AQ15" i="63" a="1"/>
  <c r="AQ15" i="63" s="1"/>
  <c r="AR15" i="63" a="1"/>
  <c r="AR15" i="63" s="1"/>
  <c r="AU15" i="63" a="1"/>
  <c r="AU15" i="63" s="1"/>
  <c r="AV15" i="63" a="1"/>
  <c r="AV15" i="63" s="1"/>
  <c r="AW15" i="63" a="1"/>
  <c r="AW15" i="63" s="1"/>
  <c r="AX15" i="63" a="1"/>
  <c r="AX15" i="63" s="1"/>
  <c r="AY15" i="63" a="1"/>
  <c r="AY15" i="63" s="1"/>
  <c r="AZ15" i="63" a="1"/>
  <c r="AZ15" i="63" s="1"/>
  <c r="BA15" i="63" a="1"/>
  <c r="BA15" i="63" s="1"/>
  <c r="AH16" i="63" a="1"/>
  <c r="AH16" i="63" s="1"/>
  <c r="AI16" i="63" a="1"/>
  <c r="AI16" i="63" s="1"/>
  <c r="AJ16" i="63" a="1"/>
  <c r="AJ16" i="63" s="1"/>
  <c r="AK16" i="63" a="1"/>
  <c r="AK16" i="63" s="1"/>
  <c r="AL16" i="63" a="1"/>
  <c r="AL16" i="63" s="1"/>
  <c r="AM16" i="63" a="1"/>
  <c r="AM16" i="63" s="1"/>
  <c r="AN16" i="63" a="1"/>
  <c r="AN16" i="63" s="1"/>
  <c r="AO16" i="63" a="1"/>
  <c r="AO16" i="63" s="1"/>
  <c r="AP16" i="63" a="1"/>
  <c r="AP16" i="63" s="1"/>
  <c r="AQ16" i="63" a="1"/>
  <c r="AQ16" i="63" s="1"/>
  <c r="AR16" i="63" a="1"/>
  <c r="AR16" i="63" s="1"/>
  <c r="AU16" i="63" a="1"/>
  <c r="AU16" i="63" s="1"/>
  <c r="AV16" i="63" a="1"/>
  <c r="AV16" i="63" s="1"/>
  <c r="AW16" i="63" a="1"/>
  <c r="AW16" i="63" s="1"/>
  <c r="AX16" i="63" a="1"/>
  <c r="AX16" i="63" s="1"/>
  <c r="AY16" i="63" a="1"/>
  <c r="AY16" i="63" s="1"/>
  <c r="AZ16" i="63" a="1"/>
  <c r="AZ16" i="63" s="1"/>
  <c r="BA16" i="63" a="1"/>
  <c r="BA16" i="63" s="1"/>
  <c r="AH17" i="63" a="1"/>
  <c r="AH17" i="63" s="1"/>
  <c r="AI17" i="63" a="1"/>
  <c r="AI17" i="63" s="1"/>
  <c r="AJ17" i="63" a="1"/>
  <c r="AJ17" i="63" s="1"/>
  <c r="AK17" i="63" a="1"/>
  <c r="AK17" i="63" s="1"/>
  <c r="AL17" i="63" a="1"/>
  <c r="AL17" i="63" s="1"/>
  <c r="AM17" i="63" a="1"/>
  <c r="AM17" i="63" s="1"/>
  <c r="AN17" i="63" a="1"/>
  <c r="AN17" i="63" s="1"/>
  <c r="AO17" i="63" a="1"/>
  <c r="AO17" i="63" s="1"/>
  <c r="AP17" i="63" a="1"/>
  <c r="AP17" i="63" s="1"/>
  <c r="AQ17" i="63" a="1"/>
  <c r="AQ17" i="63" s="1"/>
  <c r="AR17" i="63" a="1"/>
  <c r="AR17" i="63" s="1"/>
  <c r="AU17" i="63" a="1"/>
  <c r="AU17" i="63" s="1"/>
  <c r="AV17" i="63" a="1"/>
  <c r="AV17" i="63" s="1"/>
  <c r="AW17" i="63" a="1"/>
  <c r="AW17" i="63" s="1"/>
  <c r="AX17" i="63" a="1"/>
  <c r="AX17" i="63" s="1"/>
  <c r="AY17" i="63" a="1"/>
  <c r="AY17" i="63" s="1"/>
  <c r="AZ17" i="63" a="1"/>
  <c r="AZ17" i="63" s="1"/>
  <c r="BA17" i="63" a="1"/>
  <c r="BA17" i="63" s="1"/>
  <c r="AW14" i="63" l="1"/>
  <c r="AK14" i="63"/>
  <c r="AX14" i="63"/>
  <c r="AO14" i="63"/>
  <c r="BA14" i="63"/>
  <c r="AR14" i="63"/>
  <c r="AN14" i="63"/>
  <c r="AJ14" i="63"/>
  <c r="AZ14" i="63"/>
  <c r="AV14" i="63"/>
  <c r="AQ14" i="63"/>
  <c r="AM14" i="63"/>
  <c r="AI14" i="63"/>
  <c r="AY14" i="63"/>
  <c r="AU14" i="63"/>
  <c r="AP14" i="63"/>
  <c r="AL14" i="63"/>
  <c r="AH14" i="63"/>
  <c r="BJ15" i="78" a="1"/>
  <c r="BJ15" i="78" s="1"/>
  <c r="BK15" i="78" a="1"/>
  <c r="BK15" i="78" s="1"/>
  <c r="BJ16" i="78" a="1"/>
  <c r="BJ16" i="78" s="1"/>
  <c r="BK16" i="78" a="1"/>
  <c r="BK16" i="78" s="1"/>
  <c r="BJ17" i="78" a="1"/>
  <c r="BJ17" i="78" s="1"/>
  <c r="BK17" i="78" a="1"/>
  <c r="BK17" i="78" s="1"/>
  <c r="BK14" i="78" l="1"/>
  <c r="BJ14" i="78"/>
  <c r="BH15" i="64" a="1"/>
  <c r="BH15" i="64" s="1"/>
  <c r="BH16" i="64" a="1"/>
  <c r="BH16" i="64" s="1"/>
  <c r="BH17" i="64" a="1"/>
  <c r="BH17" i="64" s="1"/>
  <c r="BH14" i="64" l="1"/>
  <c r="L44" i="11"/>
  <c r="M44" i="11"/>
  <c r="N44" i="11" s="1"/>
  <c r="L45" i="11"/>
  <c r="M45" i="11"/>
  <c r="N45" i="11"/>
  <c r="L46" i="11"/>
  <c r="M46" i="11"/>
  <c r="N46" i="11" s="1"/>
  <c r="L47" i="11"/>
  <c r="M47" i="11"/>
  <c r="N47" i="11"/>
  <c r="L48" i="11"/>
  <c r="M48" i="11"/>
  <c r="N48" i="11" s="1"/>
  <c r="L49" i="11"/>
  <c r="M49" i="11"/>
  <c r="N49" i="11" s="1"/>
  <c r="L50" i="11"/>
  <c r="M50" i="11"/>
  <c r="N50" i="11" s="1"/>
  <c r="AD43" i="59" a="1"/>
  <c r="AD43" i="59" s="1"/>
  <c r="AE43" i="59" a="1"/>
  <c r="AE43" i="59" s="1"/>
  <c r="AF43" i="59" a="1"/>
  <c r="AF43" i="59" s="1"/>
  <c r="AD44" i="59" a="1"/>
  <c r="AD44" i="59" s="1"/>
  <c r="AE44" i="59" a="1"/>
  <c r="AE44" i="59" s="1"/>
  <c r="AF44" i="59" a="1"/>
  <c r="AF44" i="59" s="1"/>
  <c r="AD45" i="59" a="1"/>
  <c r="AD45" i="59" s="1"/>
  <c r="AE45" i="59" a="1"/>
  <c r="AE45" i="59" s="1"/>
  <c r="AF45" i="59" a="1"/>
  <c r="AF45" i="59" s="1"/>
  <c r="AD46" i="59" a="1"/>
  <c r="AD46" i="59" s="1"/>
  <c r="AE46" i="59" a="1"/>
  <c r="AE46" i="59" s="1"/>
  <c r="AF46" i="59" a="1"/>
  <c r="AF46" i="59" s="1"/>
  <c r="AD47" i="59" a="1"/>
  <c r="AD47" i="59" s="1"/>
  <c r="AE47" i="59" a="1"/>
  <c r="AE47" i="59" s="1"/>
  <c r="AF47" i="59" a="1"/>
  <c r="AF47" i="59" s="1"/>
  <c r="AD48" i="59" a="1"/>
  <c r="AD48" i="59" s="1"/>
  <c r="AE48" i="59" a="1"/>
  <c r="AE48" i="59" s="1"/>
  <c r="AF48" i="59" a="1"/>
  <c r="AF48" i="59" s="1"/>
  <c r="AD41" i="60" a="1"/>
  <c r="AD41" i="60" s="1"/>
  <c r="AE41" i="60" a="1"/>
  <c r="AE41" i="60" s="1"/>
  <c r="AF41" i="60" a="1"/>
  <c r="AF41" i="60" s="1"/>
  <c r="AD42" i="60" a="1"/>
  <c r="AD42" i="60" s="1"/>
  <c r="AE42" i="60" a="1"/>
  <c r="AE42" i="60" s="1"/>
  <c r="AF42" i="60" a="1"/>
  <c r="AF42" i="60" s="1"/>
  <c r="AD43" i="60" a="1"/>
  <c r="AD43" i="60" s="1"/>
  <c r="AE43" i="60" a="1"/>
  <c r="AE43" i="60" s="1"/>
  <c r="AF43" i="60" a="1"/>
  <c r="AF43" i="60" s="1"/>
  <c r="AD44" i="60" a="1"/>
  <c r="AD44" i="60" s="1"/>
  <c r="AE44" i="60" a="1"/>
  <c r="AE44" i="60" s="1"/>
  <c r="AF44" i="60" a="1"/>
  <c r="AF44" i="60" s="1"/>
  <c r="AD45" i="60" a="1"/>
  <c r="AD45" i="60" s="1"/>
  <c r="AE45" i="60" a="1"/>
  <c r="AE45" i="60" s="1"/>
  <c r="AF45" i="60" a="1"/>
  <c r="AF45" i="60" s="1"/>
  <c r="AD46" i="60" a="1"/>
  <c r="AD46" i="60" s="1"/>
  <c r="AE46" i="60" a="1"/>
  <c r="AE46" i="60" s="1"/>
  <c r="AF46" i="60" a="1"/>
  <c r="AF46" i="60" s="1"/>
  <c r="AD47" i="60" a="1"/>
  <c r="AD47" i="60" s="1"/>
  <c r="AE47" i="60" a="1"/>
  <c r="AE47" i="60" s="1"/>
  <c r="AF47" i="60" a="1"/>
  <c r="AF47" i="60" s="1"/>
  <c r="AD48" i="60" a="1"/>
  <c r="AD48" i="60" s="1"/>
  <c r="AE48" i="60" a="1"/>
  <c r="AE48" i="60" s="1"/>
  <c r="AF48" i="60" a="1"/>
  <c r="AF48" i="60" s="1"/>
  <c r="AD49" i="60" a="1"/>
  <c r="AD49" i="60" s="1"/>
  <c r="AE49" i="60" a="1"/>
  <c r="AE49" i="60" s="1"/>
  <c r="AF49" i="60" a="1"/>
  <c r="AF49" i="60" s="1"/>
  <c r="AD50" i="60" a="1"/>
  <c r="AD50" i="60" s="1"/>
  <c r="AE50" i="60" a="1"/>
  <c r="AE50" i="60" s="1"/>
  <c r="AF50" i="60" a="1"/>
  <c r="AF50" i="60" s="1"/>
  <c r="AD51" i="60" a="1"/>
  <c r="AD51" i="60" s="1"/>
  <c r="AE51" i="60" a="1"/>
  <c r="AE51" i="60" s="1"/>
  <c r="AF51" i="60" a="1"/>
  <c r="AF51" i="60" s="1"/>
  <c r="AD52" i="60" a="1"/>
  <c r="AD52" i="60" s="1"/>
  <c r="AE52" i="60" a="1"/>
  <c r="AE52" i="60" s="1"/>
  <c r="AF52" i="60" a="1"/>
  <c r="AF52" i="60" s="1"/>
  <c r="AD41" i="72" a="1"/>
  <c r="AD41" i="72" s="1"/>
  <c r="AE41" i="72" a="1"/>
  <c r="AE41" i="72" s="1"/>
  <c r="AF41" i="72" a="1"/>
  <c r="AF41" i="72" s="1"/>
  <c r="AD42" i="72" a="1"/>
  <c r="AD42" i="72" s="1"/>
  <c r="AE42" i="72" a="1"/>
  <c r="AE42" i="72" s="1"/>
  <c r="AF42" i="72" a="1"/>
  <c r="AF42" i="72" s="1"/>
  <c r="AD43" i="72" a="1"/>
  <c r="AD43" i="72" s="1"/>
  <c r="AE43" i="72" a="1"/>
  <c r="AE43" i="72" s="1"/>
  <c r="AF43" i="72" a="1"/>
  <c r="AF43" i="72" s="1"/>
  <c r="AD44" i="72" a="1"/>
  <c r="AD44" i="72" s="1"/>
  <c r="AE44" i="72" a="1"/>
  <c r="AE44" i="72" s="1"/>
  <c r="AF44" i="72" a="1"/>
  <c r="AF44" i="72" s="1"/>
  <c r="AD45" i="72" a="1"/>
  <c r="AD45" i="72" s="1"/>
  <c r="AE45" i="72" a="1"/>
  <c r="AE45" i="72" s="1"/>
  <c r="AF45" i="72" a="1"/>
  <c r="AF45" i="72" s="1"/>
  <c r="AD46" i="72" a="1"/>
  <c r="AD46" i="72" s="1"/>
  <c r="AE46" i="72" a="1"/>
  <c r="AE46" i="72" s="1"/>
  <c r="AF46" i="72" a="1"/>
  <c r="AF46" i="72" s="1"/>
  <c r="AD47" i="72" a="1"/>
  <c r="AD47" i="72" s="1"/>
  <c r="AE47" i="72" a="1"/>
  <c r="AE47" i="72" s="1"/>
  <c r="AF47" i="72" a="1"/>
  <c r="AF47" i="72" s="1"/>
  <c r="AD48" i="72" a="1"/>
  <c r="AD48" i="72" s="1"/>
  <c r="AE48" i="72" a="1"/>
  <c r="AE48" i="72" s="1"/>
  <c r="AF48" i="72" a="1"/>
  <c r="AF48" i="72" s="1"/>
  <c r="AD49" i="72" a="1"/>
  <c r="AD49" i="72" s="1"/>
  <c r="AE49" i="72" a="1"/>
  <c r="AE49" i="72" s="1"/>
  <c r="AF49" i="72" a="1"/>
  <c r="AF49" i="72" s="1"/>
  <c r="AD50" i="72" a="1"/>
  <c r="AD50" i="72" s="1"/>
  <c r="AE50" i="72" a="1"/>
  <c r="AE50" i="72" s="1"/>
  <c r="AF50" i="72" a="1"/>
  <c r="AF50" i="72" s="1"/>
  <c r="L45" i="72"/>
  <c r="M45" i="72"/>
  <c r="N45" i="72" s="1"/>
  <c r="L46" i="72"/>
  <c r="M46" i="72"/>
  <c r="N46" i="72" s="1"/>
  <c r="L47" i="72"/>
  <c r="M47" i="72"/>
  <c r="N47" i="72" s="1"/>
  <c r="L48" i="72"/>
  <c r="M48" i="72"/>
  <c r="N48" i="72" s="1"/>
  <c r="L49" i="72"/>
  <c r="M49" i="72"/>
  <c r="N49" i="72" s="1"/>
  <c r="L50" i="72"/>
  <c r="M50" i="72"/>
  <c r="N50" i="72" s="1"/>
  <c r="L51" i="72"/>
  <c r="M51" i="72"/>
  <c r="N51" i="72" s="1"/>
  <c r="AV15" i="11" l="1" a="1"/>
  <c r="AV15" i="11" s="1"/>
  <c r="AV16" i="11" a="1"/>
  <c r="AV16" i="11" s="1"/>
  <c r="AV17" i="11" a="1"/>
  <c r="AV17" i="11" s="1"/>
  <c r="AV14" i="11" l="1"/>
  <c r="AT15" i="59" a="1"/>
  <c r="AT15" i="59" s="1"/>
  <c r="AT16" i="59" a="1"/>
  <c r="AT16" i="59" s="1"/>
  <c r="AT17" i="59" a="1"/>
  <c r="AT17" i="59" s="1"/>
  <c r="AZ15" i="71" a="1"/>
  <c r="AZ15" i="71" s="1"/>
  <c r="BA15" i="71" a="1"/>
  <c r="BA15" i="71" s="1"/>
  <c r="AZ16" i="71" a="1"/>
  <c r="AZ16" i="71" s="1"/>
  <c r="BA16" i="71" a="1"/>
  <c r="BA16" i="71" s="1"/>
  <c r="AZ17" i="71" a="1"/>
  <c r="AZ17" i="71" s="1"/>
  <c r="BA17" i="71" a="1"/>
  <c r="BA17" i="71" s="1"/>
  <c r="BG15" i="76" a="1"/>
  <c r="BG15" i="76" s="1"/>
  <c r="BG16" i="76" a="1"/>
  <c r="BG16" i="76" s="1"/>
  <c r="BG17" i="76" a="1"/>
  <c r="BG17" i="76" s="1"/>
  <c r="BG14" i="76" l="1"/>
  <c r="BA14" i="71"/>
  <c r="AT14" i="59"/>
  <c r="AZ14" i="71"/>
  <c r="L42" i="79" l="1"/>
  <c r="M42" i="79"/>
  <c r="N42" i="79" s="1"/>
  <c r="O42" i="79"/>
  <c r="P42" i="79" s="1"/>
  <c r="R42" i="79"/>
  <c r="T42" i="79"/>
  <c r="U42" i="79"/>
  <c r="V42" i="79"/>
  <c r="AD42" i="79" a="1"/>
  <c r="AD42" i="79" s="1"/>
  <c r="AE42" i="79" a="1"/>
  <c r="AE42" i="79" s="1"/>
  <c r="AF42" i="79" a="1"/>
  <c r="AF42" i="79" s="1"/>
  <c r="L42" i="78"/>
  <c r="M42" i="78"/>
  <c r="N42" i="78" s="1"/>
  <c r="O42" i="78"/>
  <c r="P42" i="78" s="1"/>
  <c r="R42" i="78"/>
  <c r="T42" i="78"/>
  <c r="U42" i="78"/>
  <c r="V42" i="78"/>
  <c r="AD42" i="78" a="1"/>
  <c r="AD42" i="78" s="1"/>
  <c r="AE42" i="78" a="1"/>
  <c r="AE42" i="78" s="1"/>
  <c r="AF42" i="78" a="1"/>
  <c r="AF42" i="78" s="1"/>
  <c r="L42" i="77"/>
  <c r="M42" i="77"/>
  <c r="N42" i="77" s="1"/>
  <c r="O42" i="77"/>
  <c r="P42" i="77" s="1"/>
  <c r="R42" i="77"/>
  <c r="T42" i="77"/>
  <c r="U42" i="77"/>
  <c r="V42" i="77"/>
  <c r="AD42" i="77" a="1"/>
  <c r="AD42" i="77" s="1"/>
  <c r="AE42" i="77" a="1"/>
  <c r="AE42" i="77" s="1"/>
  <c r="AF42" i="77" a="1"/>
  <c r="AF42" i="77" s="1"/>
  <c r="L42" i="76"/>
  <c r="M42" i="76"/>
  <c r="N42" i="76" s="1"/>
  <c r="O42" i="76"/>
  <c r="P42" i="76" s="1"/>
  <c r="R42" i="76"/>
  <c r="T42" i="76"/>
  <c r="U42" i="76"/>
  <c r="V42" i="76"/>
  <c r="AD42" i="76" a="1"/>
  <c r="AD42" i="76" s="1"/>
  <c r="AE42" i="76" a="1"/>
  <c r="AE42" i="76" s="1"/>
  <c r="AF42" i="76" a="1"/>
  <c r="AF42" i="76" s="1"/>
  <c r="L42" i="75"/>
  <c r="M42" i="75"/>
  <c r="N42" i="75" s="1"/>
  <c r="O42" i="75"/>
  <c r="P42" i="75" s="1"/>
  <c r="R42" i="75"/>
  <c r="T42" i="75"/>
  <c r="U42" i="75"/>
  <c r="V42" i="75"/>
  <c r="AD42" i="75" a="1"/>
  <c r="AD42" i="75" s="1"/>
  <c r="AE42" i="75" a="1"/>
  <c r="AE42" i="75" s="1"/>
  <c r="AF42" i="75" a="1"/>
  <c r="AF42" i="75" s="1"/>
  <c r="L42" i="74"/>
  <c r="M42" i="74"/>
  <c r="N42" i="74" s="1"/>
  <c r="O42" i="74"/>
  <c r="P42" i="74" s="1"/>
  <c r="R42" i="74"/>
  <c r="T42" i="74"/>
  <c r="U42" i="74"/>
  <c r="V42" i="74"/>
  <c r="AD42" i="74" a="1"/>
  <c r="AD42" i="74" s="1"/>
  <c r="AE42" i="74" a="1"/>
  <c r="AE42" i="74" s="1"/>
  <c r="AF42" i="74" a="1"/>
  <c r="AF42" i="74" s="1"/>
  <c r="L42" i="63"/>
  <c r="M42" i="63"/>
  <c r="N42" i="63" s="1"/>
  <c r="O42" i="63"/>
  <c r="P42" i="63" s="1"/>
  <c r="R42" i="63"/>
  <c r="T42" i="63"/>
  <c r="U42" i="63"/>
  <c r="V42" i="63"/>
  <c r="AD42" i="63" a="1"/>
  <c r="AD42" i="63" s="1"/>
  <c r="AE42" i="63" a="1"/>
  <c r="AE42" i="63" s="1"/>
  <c r="AF42" i="63" a="1"/>
  <c r="AF42" i="63" s="1"/>
  <c r="L42" i="72"/>
  <c r="M42" i="72"/>
  <c r="N42" i="72" s="1"/>
  <c r="O42" i="72"/>
  <c r="P42" i="72" s="1"/>
  <c r="R42" i="72"/>
  <c r="T42" i="72"/>
  <c r="U42" i="72"/>
  <c r="V42" i="72"/>
  <c r="L42" i="71"/>
  <c r="M42" i="71"/>
  <c r="N42" i="71" s="1"/>
  <c r="O42" i="71"/>
  <c r="P42" i="71" s="1"/>
  <c r="T42" i="71"/>
  <c r="U42" i="71"/>
  <c r="V42" i="71"/>
  <c r="AD42" i="71" a="1"/>
  <c r="AD42" i="71" s="1"/>
  <c r="AE42" i="71" a="1"/>
  <c r="AE42" i="71" s="1"/>
  <c r="AF42" i="71" a="1"/>
  <c r="AF42" i="71" s="1"/>
  <c r="L42" i="59"/>
  <c r="M42" i="59"/>
  <c r="N42" i="59" s="1"/>
  <c r="O42" i="59"/>
  <c r="P42" i="59" s="1"/>
  <c r="R42" i="59"/>
  <c r="T42" i="59"/>
  <c r="U42" i="59"/>
  <c r="V42" i="59"/>
  <c r="AD42" i="59" a="1"/>
  <c r="AD42" i="59" s="1"/>
  <c r="AE42" i="59" a="1"/>
  <c r="AE42" i="59" s="1"/>
  <c r="AF42" i="59" a="1"/>
  <c r="AF42" i="59" s="1"/>
  <c r="L42" i="73"/>
  <c r="M42" i="73"/>
  <c r="N42" i="73" s="1"/>
  <c r="O42" i="73"/>
  <c r="P42" i="73" s="1"/>
  <c r="R42" i="73"/>
  <c r="T42" i="73"/>
  <c r="U42" i="73"/>
  <c r="V42" i="73"/>
  <c r="AD42" i="73" a="1"/>
  <c r="AD42" i="73" s="1"/>
  <c r="AE42" i="73" a="1"/>
  <c r="AE42" i="73" s="1"/>
  <c r="AF42" i="73" a="1"/>
  <c r="AF42" i="73" s="1"/>
  <c r="L42" i="70"/>
  <c r="M42" i="70"/>
  <c r="N42" i="70" s="1"/>
  <c r="O42" i="70"/>
  <c r="P42" i="70" s="1"/>
  <c r="R42" i="70"/>
  <c r="T42" i="70"/>
  <c r="U42" i="70"/>
  <c r="V42" i="70"/>
  <c r="AD42" i="70" a="1"/>
  <c r="AD42" i="70" s="1"/>
  <c r="AE42" i="70" a="1"/>
  <c r="AE42" i="70" s="1"/>
  <c r="AF42" i="70" a="1"/>
  <c r="AF42" i="70" s="1"/>
  <c r="L42" i="69"/>
  <c r="M42" i="69"/>
  <c r="N42" i="69" s="1"/>
  <c r="O42" i="69"/>
  <c r="P42" i="69" s="1"/>
  <c r="R42" i="69"/>
  <c r="T42" i="69"/>
  <c r="U42" i="69"/>
  <c r="V42" i="69"/>
  <c r="AD42" i="69" a="1"/>
  <c r="AD42" i="69" s="1"/>
  <c r="AE42" i="69" a="1"/>
  <c r="AE42" i="69" s="1"/>
  <c r="AF42" i="69" a="1"/>
  <c r="AF42" i="69" s="1"/>
  <c r="L42" i="68"/>
  <c r="M42" i="68"/>
  <c r="N42" i="68" s="1"/>
  <c r="O42" i="68"/>
  <c r="P42" i="68" s="1"/>
  <c r="R42" i="68"/>
  <c r="T42" i="68"/>
  <c r="U42" i="68"/>
  <c r="V42" i="68"/>
  <c r="AD42" i="68" a="1"/>
  <c r="AD42" i="68" s="1"/>
  <c r="AE42" i="68" a="1"/>
  <c r="AE42" i="68" s="1"/>
  <c r="AF42" i="68" a="1"/>
  <c r="AF42" i="68" s="1"/>
  <c r="L42" i="67"/>
  <c r="M42" i="67"/>
  <c r="N42" i="67" s="1"/>
  <c r="O42" i="67"/>
  <c r="P42" i="67" s="1"/>
  <c r="R42" i="67"/>
  <c r="T42" i="67"/>
  <c r="U42" i="67"/>
  <c r="V42" i="67"/>
  <c r="AD42" i="67" a="1"/>
  <c r="AD42" i="67" s="1"/>
  <c r="AE42" i="67" a="1"/>
  <c r="AE42" i="67" s="1"/>
  <c r="AF42" i="67" a="1"/>
  <c r="AF42" i="67" s="1"/>
  <c r="L42" i="66"/>
  <c r="M42" i="66"/>
  <c r="N42" i="66" s="1"/>
  <c r="O42" i="66"/>
  <c r="P42" i="66" s="1"/>
  <c r="R42" i="66"/>
  <c r="T42" i="66"/>
  <c r="U42" i="66"/>
  <c r="V42" i="66"/>
  <c r="AD42" i="66" a="1"/>
  <c r="AD42" i="66" s="1"/>
  <c r="AE42" i="66" a="1"/>
  <c r="AE42" i="66" s="1"/>
  <c r="AF42" i="66" a="1"/>
  <c r="AF42" i="66" s="1"/>
  <c r="L42" i="65"/>
  <c r="M42" i="65"/>
  <c r="N42" i="65" s="1"/>
  <c r="O42" i="65"/>
  <c r="P42" i="65" s="1"/>
  <c r="R42" i="65"/>
  <c r="T42" i="65"/>
  <c r="U42" i="65"/>
  <c r="V42" i="65"/>
  <c r="AD42" i="65" a="1"/>
  <c r="AD42" i="65" s="1"/>
  <c r="AE42" i="65" a="1"/>
  <c r="AE42" i="65" s="1"/>
  <c r="AF42" i="65" a="1"/>
  <c r="AF42" i="65" s="1"/>
  <c r="L42" i="64"/>
  <c r="M42" i="64"/>
  <c r="N42" i="64" s="1"/>
  <c r="O42" i="64"/>
  <c r="P42" i="64" s="1"/>
  <c r="R42" i="64"/>
  <c r="T42" i="64"/>
  <c r="U42" i="64"/>
  <c r="V42" i="64"/>
  <c r="AD42" i="64" a="1"/>
  <c r="AD42" i="64" s="1"/>
  <c r="AE42" i="64" a="1"/>
  <c r="AE42" i="64" s="1"/>
  <c r="AF42" i="64" a="1"/>
  <c r="AF42" i="64" s="1"/>
  <c r="L42" i="62"/>
  <c r="M42" i="62"/>
  <c r="N42" i="62" s="1"/>
  <c r="O42" i="62"/>
  <c r="P42" i="62" s="1"/>
  <c r="R42" i="62"/>
  <c r="T42" i="62"/>
  <c r="U42" i="62"/>
  <c r="V42" i="62"/>
  <c r="AD42" i="62" a="1"/>
  <c r="AD42" i="62" s="1"/>
  <c r="AE42" i="62" a="1"/>
  <c r="AE42" i="62" s="1"/>
  <c r="AF42" i="62" a="1"/>
  <c r="AF42" i="62" s="1"/>
  <c r="L42" i="61"/>
  <c r="M42" i="61"/>
  <c r="N42" i="61" s="1"/>
  <c r="O42" i="61"/>
  <c r="P42" i="61" s="1"/>
  <c r="R42" i="61"/>
  <c r="T42" i="61"/>
  <c r="U42" i="61"/>
  <c r="V42" i="61"/>
  <c r="AD42" i="61" a="1"/>
  <c r="AD42" i="61" s="1"/>
  <c r="AE42" i="61" a="1"/>
  <c r="AE42" i="61" s="1"/>
  <c r="AF42" i="61" a="1"/>
  <c r="AF42" i="61" s="1"/>
  <c r="L42" i="60"/>
  <c r="M42" i="60"/>
  <c r="N42" i="60" s="1"/>
  <c r="O42" i="60"/>
  <c r="P42" i="60" s="1"/>
  <c r="R42" i="60"/>
  <c r="T42" i="60"/>
  <c r="U42" i="60"/>
  <c r="V42" i="60"/>
  <c r="L42" i="11"/>
  <c r="M42" i="11"/>
  <c r="N42" i="11" s="1"/>
  <c r="O42" i="11"/>
  <c r="P42" i="11" s="1"/>
  <c r="R42" i="11"/>
  <c r="T42" i="11"/>
  <c r="U42" i="11"/>
  <c r="V42" i="11"/>
  <c r="AD42" i="11" a="1"/>
  <c r="AD42" i="11" s="1"/>
  <c r="AE42" i="11" a="1"/>
  <c r="AE42" i="11" s="1"/>
  <c r="AF42" i="11" a="1"/>
  <c r="AF42" i="11" s="1"/>
  <c r="AD43" i="11" l="1" a="1"/>
  <c r="AD43" i="11" s="1"/>
  <c r="AE43" i="11" a="1"/>
  <c r="AE43" i="11" s="1"/>
  <c r="AF43" i="11" a="1"/>
  <c r="AF43" i="11" s="1"/>
  <c r="AD44" i="11" a="1"/>
  <c r="AD44" i="11" s="1"/>
  <c r="AE44" i="11" a="1"/>
  <c r="AE44" i="11" s="1"/>
  <c r="AF44" i="11" a="1"/>
  <c r="AF44" i="11" s="1"/>
  <c r="AD43" i="65" a="1"/>
  <c r="AD43" i="65" s="1"/>
  <c r="AE43" i="65" a="1"/>
  <c r="AE43" i="65" s="1"/>
  <c r="AF43" i="65" a="1"/>
  <c r="AF43" i="65" s="1"/>
  <c r="AD44" i="65" a="1"/>
  <c r="AD44" i="65" s="1"/>
  <c r="AE44" i="65" a="1"/>
  <c r="AE44" i="65" s="1"/>
  <c r="AF44" i="65" a="1"/>
  <c r="AF44" i="65" s="1"/>
  <c r="AZ15" i="60" a="1"/>
  <c r="AZ15" i="60" s="1"/>
  <c r="AZ16" i="60" a="1"/>
  <c r="AZ16" i="60" s="1"/>
  <c r="AZ17" i="60" a="1"/>
  <c r="AZ17" i="60" s="1"/>
  <c r="AD43" i="75" a="1"/>
  <c r="AD43" i="75" s="1"/>
  <c r="AE43" i="75" a="1"/>
  <c r="AE43" i="75" s="1"/>
  <c r="AF43" i="75" a="1"/>
  <c r="AF43" i="75" s="1"/>
  <c r="AD44" i="75" a="1"/>
  <c r="AD44" i="75" s="1"/>
  <c r="AE44" i="75" a="1"/>
  <c r="AE44" i="75" s="1"/>
  <c r="AF44" i="75" a="1"/>
  <c r="AF44" i="75" s="1"/>
  <c r="AD45" i="75" a="1"/>
  <c r="AD45" i="75" s="1"/>
  <c r="AE45" i="75" a="1"/>
  <c r="AE45" i="75" s="1"/>
  <c r="AF45" i="75" a="1"/>
  <c r="AF45" i="75" s="1"/>
  <c r="AD46" i="75" a="1"/>
  <c r="AD46" i="75" s="1"/>
  <c r="AE46" i="75" a="1"/>
  <c r="AE46" i="75" s="1"/>
  <c r="AF46" i="75" a="1"/>
  <c r="AF46" i="75" s="1"/>
  <c r="AD47" i="75" a="1"/>
  <c r="AD47" i="75" s="1"/>
  <c r="AE47" i="75" a="1"/>
  <c r="AE47" i="75" s="1"/>
  <c r="AF47" i="75" a="1"/>
  <c r="AF47" i="75" s="1"/>
  <c r="AD48" i="75" a="1"/>
  <c r="AD48" i="75" s="1"/>
  <c r="AE48" i="75" a="1"/>
  <c r="AE48" i="75" s="1"/>
  <c r="AF48" i="75" a="1"/>
  <c r="AF48" i="75" s="1"/>
  <c r="AD49" i="75" a="1"/>
  <c r="AD49" i="75" s="1"/>
  <c r="AE49" i="75" a="1"/>
  <c r="AE49" i="75" s="1"/>
  <c r="AF49" i="75" a="1"/>
  <c r="AF49" i="75" s="1"/>
  <c r="AD50" i="75" a="1"/>
  <c r="AD50" i="75" s="1"/>
  <c r="AE50" i="75" a="1"/>
  <c r="AE50" i="75" s="1"/>
  <c r="AF50" i="75" a="1"/>
  <c r="AF50" i="75" s="1"/>
  <c r="AD51" i="75" a="1"/>
  <c r="AD51" i="75" s="1"/>
  <c r="AE51" i="75" a="1"/>
  <c r="AE51" i="75" s="1"/>
  <c r="AF51" i="75" a="1"/>
  <c r="AF51" i="75" s="1"/>
  <c r="AD43" i="74" a="1"/>
  <c r="AD43" i="74" s="1"/>
  <c r="AE43" i="74" a="1"/>
  <c r="AE43" i="74" s="1"/>
  <c r="AF43" i="74" a="1"/>
  <c r="AF43" i="74" s="1"/>
  <c r="AD44" i="74" a="1"/>
  <c r="AD44" i="74" s="1"/>
  <c r="AE44" i="74" a="1"/>
  <c r="AE44" i="74" s="1"/>
  <c r="AF44" i="74" a="1"/>
  <c r="AF44" i="74" s="1"/>
  <c r="AD45" i="74" a="1"/>
  <c r="AD45" i="74" s="1"/>
  <c r="AE45" i="74" a="1"/>
  <c r="AE45" i="74" s="1"/>
  <c r="AF45" i="74" a="1"/>
  <c r="AF45" i="74" s="1"/>
  <c r="AD47" i="74" a="1"/>
  <c r="AD47" i="74" s="1"/>
  <c r="AE47" i="74" a="1"/>
  <c r="AE47" i="74" s="1"/>
  <c r="AF47" i="74" a="1"/>
  <c r="AF47" i="74" s="1"/>
  <c r="AD48" i="74" a="1"/>
  <c r="AD48" i="74" s="1"/>
  <c r="AE48" i="74" a="1"/>
  <c r="AE48" i="74" s="1"/>
  <c r="AF48" i="74" a="1"/>
  <c r="AF48" i="74" s="1"/>
  <c r="AD43" i="66" a="1"/>
  <c r="AD43" i="66" s="1"/>
  <c r="AE43" i="66" a="1"/>
  <c r="AE43" i="66" s="1"/>
  <c r="AF43" i="66" a="1"/>
  <c r="AF43" i="66" s="1"/>
  <c r="AD44" i="66" a="1"/>
  <c r="AD44" i="66" s="1"/>
  <c r="AE44" i="66" a="1"/>
  <c r="AE44" i="66" s="1"/>
  <c r="AF44" i="66" a="1"/>
  <c r="AF44" i="66" s="1"/>
  <c r="AD45" i="66" a="1"/>
  <c r="AD45" i="66" s="1"/>
  <c r="AE45" i="66" a="1"/>
  <c r="AE45" i="66" s="1"/>
  <c r="AF45" i="66" a="1"/>
  <c r="AF45" i="66" s="1"/>
  <c r="AD46" i="66" a="1"/>
  <c r="AD46" i="66" s="1"/>
  <c r="AE46" i="66" a="1"/>
  <c r="AE46" i="66" s="1"/>
  <c r="AF46" i="66" a="1"/>
  <c r="AF46" i="66" s="1"/>
  <c r="AD47" i="66" a="1"/>
  <c r="AD47" i="66" s="1"/>
  <c r="AE47" i="66" a="1"/>
  <c r="AE47" i="66" s="1"/>
  <c r="AF47" i="66" a="1"/>
  <c r="AF47" i="66" s="1"/>
  <c r="AD48" i="66" a="1"/>
  <c r="AD48" i="66" s="1"/>
  <c r="AE48" i="66" a="1"/>
  <c r="AE48" i="66" s="1"/>
  <c r="AF48" i="66" a="1"/>
  <c r="AF48" i="66" s="1"/>
  <c r="AD49" i="66" a="1"/>
  <c r="AD49" i="66" s="1"/>
  <c r="AE49" i="66" a="1"/>
  <c r="AE49" i="66" s="1"/>
  <c r="AF49" i="66" a="1"/>
  <c r="AF49" i="66" s="1"/>
  <c r="AD50" i="66" a="1"/>
  <c r="AD50" i="66" s="1"/>
  <c r="AE50" i="66" a="1"/>
  <c r="AE50" i="66" s="1"/>
  <c r="AF50" i="66" a="1"/>
  <c r="AF50" i="66" s="1"/>
  <c r="AD51" i="66" a="1"/>
  <c r="AD51" i="66" s="1"/>
  <c r="AE51" i="66" a="1"/>
  <c r="AE51" i="66" s="1"/>
  <c r="AF51" i="66" a="1"/>
  <c r="AF51" i="66" s="1"/>
  <c r="AD43" i="79" a="1"/>
  <c r="AD43" i="79" s="1"/>
  <c r="AE43" i="79" a="1"/>
  <c r="AE43" i="79" s="1"/>
  <c r="AF43" i="79" a="1"/>
  <c r="AF43" i="79" s="1"/>
  <c r="AD44" i="79" a="1"/>
  <c r="AD44" i="79" s="1"/>
  <c r="AE44" i="79" a="1"/>
  <c r="AE44" i="79" s="1"/>
  <c r="AF44" i="79" a="1"/>
  <c r="AF44" i="79" s="1"/>
  <c r="AD45" i="79" a="1"/>
  <c r="AD45" i="79" s="1"/>
  <c r="AE45" i="79" a="1"/>
  <c r="AE45" i="79" s="1"/>
  <c r="AF45" i="79" a="1"/>
  <c r="AF45" i="79" s="1"/>
  <c r="AD47" i="79" a="1"/>
  <c r="AD47" i="79" s="1"/>
  <c r="AE47" i="79" a="1"/>
  <c r="AE47" i="79" s="1"/>
  <c r="AF47" i="79" a="1"/>
  <c r="AF47" i="79" s="1"/>
  <c r="AD48" i="79" a="1"/>
  <c r="AD48" i="79" s="1"/>
  <c r="AE48" i="79" a="1"/>
  <c r="AE48" i="79" s="1"/>
  <c r="AF48" i="79" a="1"/>
  <c r="AF48" i="79" s="1"/>
  <c r="AD49" i="79" a="1"/>
  <c r="AD49" i="79" s="1"/>
  <c r="AE49" i="79" a="1"/>
  <c r="AE49" i="79" s="1"/>
  <c r="AF49" i="79" a="1"/>
  <c r="AF49" i="79" s="1"/>
  <c r="AD50" i="79" a="1"/>
  <c r="AD50" i="79" s="1"/>
  <c r="AE50" i="79" a="1"/>
  <c r="AE50" i="79" s="1"/>
  <c r="AF50" i="79" a="1"/>
  <c r="AF50" i="79" s="1"/>
  <c r="AD51" i="79" a="1"/>
  <c r="AD51" i="79" s="1"/>
  <c r="AE51" i="79" a="1"/>
  <c r="AE51" i="79" s="1"/>
  <c r="AF51" i="79" a="1"/>
  <c r="AF51" i="79" s="1"/>
  <c r="AD52" i="79" a="1"/>
  <c r="AD52" i="79" s="1"/>
  <c r="AE52" i="79" a="1"/>
  <c r="AE52" i="79" s="1"/>
  <c r="AF52" i="79" a="1"/>
  <c r="AF52" i="79" s="1"/>
  <c r="AD43" i="78" a="1"/>
  <c r="AD43" i="78" s="1"/>
  <c r="AE43" i="78" a="1"/>
  <c r="AE43" i="78" s="1"/>
  <c r="AF43" i="78" a="1"/>
  <c r="AF43" i="78" s="1"/>
  <c r="AD44" i="78" a="1"/>
  <c r="AD44" i="78" s="1"/>
  <c r="AE44" i="78" a="1"/>
  <c r="AE44" i="78" s="1"/>
  <c r="AF44" i="78" a="1"/>
  <c r="AF44" i="78" s="1"/>
  <c r="AD45" i="78" a="1"/>
  <c r="AD45" i="78" s="1"/>
  <c r="AE45" i="78" a="1"/>
  <c r="AE45" i="78" s="1"/>
  <c r="AF45" i="78" a="1"/>
  <c r="AF45" i="78" s="1"/>
  <c r="AD46" i="78" a="1"/>
  <c r="AD46" i="78" s="1"/>
  <c r="AE46" i="78" a="1"/>
  <c r="AE46" i="78" s="1"/>
  <c r="AF46" i="78" a="1"/>
  <c r="AF46" i="78" s="1"/>
  <c r="AZ14" i="60" l="1"/>
  <c r="L40" i="63" l="1"/>
  <c r="M40" i="63"/>
  <c r="N40" i="63" s="1"/>
  <c r="L41" i="63"/>
  <c r="M41" i="63"/>
  <c r="N41" i="63" s="1"/>
  <c r="L43" i="63"/>
  <c r="M43" i="63"/>
  <c r="N43" i="63" s="1"/>
  <c r="L44" i="63"/>
  <c r="M44" i="63"/>
  <c r="N44" i="63" s="1"/>
  <c r="L45" i="63"/>
  <c r="M45" i="63"/>
  <c r="N45" i="63" s="1"/>
  <c r="L47" i="63"/>
  <c r="M47" i="63"/>
  <c r="N47" i="63" s="1"/>
  <c r="L48" i="63"/>
  <c r="M48" i="63"/>
  <c r="N48" i="63" s="1"/>
  <c r="L49" i="63"/>
  <c r="M49" i="63"/>
  <c r="N49" i="63" s="1"/>
  <c r="L50" i="63"/>
  <c r="M50" i="63"/>
  <c r="N50" i="63" s="1"/>
  <c r="L51" i="63"/>
  <c r="M51" i="63"/>
  <c r="N51" i="63" s="1"/>
  <c r="L52" i="63"/>
  <c r="M52" i="63"/>
  <c r="N52" i="63" s="1"/>
  <c r="BF15" i="75" l="1" a="1"/>
  <c r="BF15" i="75" s="1"/>
  <c r="BP15" i="75" a="1"/>
  <c r="BP15" i="75" s="1"/>
  <c r="BH15" i="75" a="1"/>
  <c r="BH15" i="75" s="1"/>
  <c r="BI15" i="75" a="1"/>
  <c r="BI15" i="75" s="1"/>
  <c r="BJ15" i="75" a="1"/>
  <c r="BJ15" i="75" s="1"/>
  <c r="BK15" i="75" a="1"/>
  <c r="BK15" i="75" s="1"/>
  <c r="BL15" i="75" a="1"/>
  <c r="BL15" i="75" s="1"/>
  <c r="BM15" i="75" a="1"/>
  <c r="BM15" i="75" s="1"/>
  <c r="BF16" i="75" a="1"/>
  <c r="BF16" i="75" s="1"/>
  <c r="BP16" i="75" a="1"/>
  <c r="BP16" i="75" s="1"/>
  <c r="BH16" i="75" a="1"/>
  <c r="BH16" i="75" s="1"/>
  <c r="BI16" i="75" a="1"/>
  <c r="BI16" i="75" s="1"/>
  <c r="BJ16" i="75" a="1"/>
  <c r="BJ16" i="75" s="1"/>
  <c r="BK16" i="75" a="1"/>
  <c r="BK16" i="75" s="1"/>
  <c r="BL16" i="75" a="1"/>
  <c r="BL16" i="75" s="1"/>
  <c r="BM16" i="75" a="1"/>
  <c r="BM16" i="75" s="1"/>
  <c r="BF17" i="75" a="1"/>
  <c r="BF17" i="75" s="1"/>
  <c r="BP17" i="75" a="1"/>
  <c r="BP17" i="75" s="1"/>
  <c r="BH17" i="75" a="1"/>
  <c r="BH17" i="75" s="1"/>
  <c r="BI17" i="75" a="1"/>
  <c r="BI17" i="75" s="1"/>
  <c r="BJ17" i="75" a="1"/>
  <c r="BJ17" i="75" s="1"/>
  <c r="BK17" i="75" a="1"/>
  <c r="BK17" i="75" s="1"/>
  <c r="BL17" i="75" a="1"/>
  <c r="BL17" i="75" s="1"/>
  <c r="BM17" i="75" a="1"/>
  <c r="BM17" i="75" s="1"/>
  <c r="BC15" i="75" a="1"/>
  <c r="BC15" i="75" s="1"/>
  <c r="BD15" i="75" a="1"/>
  <c r="BD15" i="75" s="1"/>
  <c r="BC16" i="75" a="1"/>
  <c r="BC16" i="75" s="1"/>
  <c r="BD16" i="75" a="1"/>
  <c r="BD16" i="75" s="1"/>
  <c r="BC17" i="75" a="1"/>
  <c r="BC17" i="75" s="1"/>
  <c r="BD17" i="75" a="1"/>
  <c r="BD17" i="75" s="1"/>
  <c r="BL14" i="75" l="1"/>
  <c r="BH14" i="75"/>
  <c r="BK14" i="75"/>
  <c r="BP14" i="75"/>
  <c r="BJ14" i="75"/>
  <c r="BF14" i="75"/>
  <c r="BM14" i="75"/>
  <c r="BI14" i="75"/>
  <c r="BD14" i="75"/>
  <c r="BC14" i="75"/>
  <c r="BH15" i="62" l="1" a="1"/>
  <c r="BH15" i="62" s="1"/>
  <c r="BH16" i="62" a="1"/>
  <c r="BH16" i="62" s="1"/>
  <c r="BH17" i="62" a="1"/>
  <c r="BH17" i="62" s="1"/>
  <c r="BH14" i="62" l="1"/>
  <c r="BL15" i="79" l="1" a="1"/>
  <c r="BL15" i="79" s="1"/>
  <c r="BL16" i="79" a="1"/>
  <c r="BL16" i="79" s="1"/>
  <c r="BL17" i="79" a="1"/>
  <c r="BL17" i="79" s="1"/>
  <c r="BL14" i="79" l="1"/>
  <c r="BK15" i="72" l="1" a="1"/>
  <c r="BK15" i="72" s="1"/>
  <c r="BL15" i="72" a="1"/>
  <c r="BL15" i="72" s="1"/>
  <c r="BM15" i="72" a="1"/>
  <c r="BM15" i="72" s="1"/>
  <c r="BK16" i="72" a="1"/>
  <c r="BK16" i="72" s="1"/>
  <c r="BL16" i="72" a="1"/>
  <c r="BL16" i="72" s="1"/>
  <c r="BM16" i="72" a="1"/>
  <c r="BM16" i="72" s="1"/>
  <c r="BK17" i="72" a="1"/>
  <c r="BK17" i="72" s="1"/>
  <c r="BL17" i="72" a="1"/>
  <c r="BL17" i="72" s="1"/>
  <c r="BM17" i="72" a="1"/>
  <c r="BM17" i="72" s="1"/>
  <c r="BL14" i="72" l="1"/>
  <c r="BK14" i="72"/>
  <c r="BM14" i="72"/>
  <c r="AY15" i="79" l="1" a="1"/>
  <c r="AY15" i="79" s="1"/>
  <c r="AZ15" i="79" a="1"/>
  <c r="AZ15" i="79" s="1"/>
  <c r="BA15" i="79" a="1"/>
  <c r="BA15" i="79" s="1"/>
  <c r="BB15" i="79" a="1"/>
  <c r="BB15" i="79" s="1"/>
  <c r="BC15" i="79" a="1"/>
  <c r="BC15" i="79" s="1"/>
  <c r="BD15" i="79" a="1"/>
  <c r="BD15" i="79" s="1"/>
  <c r="BE15" i="79" a="1"/>
  <c r="BE15" i="79" s="1"/>
  <c r="BF15" i="79" a="1"/>
  <c r="BF15" i="79" s="1"/>
  <c r="BG15" i="79" a="1"/>
  <c r="BG15" i="79" s="1"/>
  <c r="BH15" i="79" a="1"/>
  <c r="BH15" i="79" s="1"/>
  <c r="BI15" i="79" a="1"/>
  <c r="BI15" i="79" s="1"/>
  <c r="BJ15" i="79" a="1"/>
  <c r="BJ15" i="79" s="1"/>
  <c r="BK15" i="79" a="1"/>
  <c r="BK15" i="79" s="1"/>
  <c r="AY16" i="79" a="1"/>
  <c r="AY16" i="79" s="1"/>
  <c r="AZ16" i="79" a="1"/>
  <c r="AZ16" i="79" s="1"/>
  <c r="BA16" i="79" a="1"/>
  <c r="BA16" i="79" s="1"/>
  <c r="BB16" i="79" a="1"/>
  <c r="BB16" i="79" s="1"/>
  <c r="BC16" i="79" a="1"/>
  <c r="BC16" i="79" s="1"/>
  <c r="BD16" i="79" a="1"/>
  <c r="BD16" i="79" s="1"/>
  <c r="BE16" i="79" a="1"/>
  <c r="BE16" i="79" s="1"/>
  <c r="BF16" i="79" a="1"/>
  <c r="BF16" i="79" s="1"/>
  <c r="BG16" i="79" a="1"/>
  <c r="BG16" i="79" s="1"/>
  <c r="BH16" i="79" a="1"/>
  <c r="BH16" i="79" s="1"/>
  <c r="BI16" i="79" a="1"/>
  <c r="BI16" i="79" s="1"/>
  <c r="BJ16" i="79" a="1"/>
  <c r="BJ16" i="79" s="1"/>
  <c r="BK16" i="79" a="1"/>
  <c r="BK16" i="79" s="1"/>
  <c r="AY17" i="79" a="1"/>
  <c r="AY17" i="79" s="1"/>
  <c r="AZ17" i="79" a="1"/>
  <c r="AZ17" i="79" s="1"/>
  <c r="BA17" i="79" a="1"/>
  <c r="BA17" i="79" s="1"/>
  <c r="BB17" i="79" a="1"/>
  <c r="BB17" i="79" s="1"/>
  <c r="BC17" i="79" a="1"/>
  <c r="BC17" i="79" s="1"/>
  <c r="BD17" i="79" a="1"/>
  <c r="BD17" i="79" s="1"/>
  <c r="BE17" i="79" a="1"/>
  <c r="BE17" i="79" s="1"/>
  <c r="BF17" i="79" a="1"/>
  <c r="BF17" i="79" s="1"/>
  <c r="BG17" i="79" a="1"/>
  <c r="BG17" i="79" s="1"/>
  <c r="BH17" i="79" a="1"/>
  <c r="BH17" i="79" s="1"/>
  <c r="BI17" i="79" a="1"/>
  <c r="BI17" i="79" s="1"/>
  <c r="BJ17" i="79" a="1"/>
  <c r="BJ17" i="79" s="1"/>
  <c r="BK17" i="79" a="1"/>
  <c r="BK17" i="79" s="1"/>
  <c r="AQ15" i="77" a="1"/>
  <c r="AQ15" i="77" s="1"/>
  <c r="AR15" i="77" a="1"/>
  <c r="AR15" i="77" s="1"/>
  <c r="AS15" i="77" a="1"/>
  <c r="AS15" i="77" s="1"/>
  <c r="AT15" i="77" a="1"/>
  <c r="AT15" i="77" s="1"/>
  <c r="AU15" i="77" a="1"/>
  <c r="AU15" i="77" s="1"/>
  <c r="AV15" i="77" a="1"/>
  <c r="AV15" i="77" s="1"/>
  <c r="AW15" i="77" a="1"/>
  <c r="AW15" i="77" s="1"/>
  <c r="AX15" i="77" a="1"/>
  <c r="AX15" i="77" s="1"/>
  <c r="AY15" i="77" a="1"/>
  <c r="AY15" i="77" s="1"/>
  <c r="BA15" i="77" a="1"/>
  <c r="BA15" i="77" s="1"/>
  <c r="BB15" i="77" a="1"/>
  <c r="BB15" i="77" s="1"/>
  <c r="BC15" i="77" a="1"/>
  <c r="BC15" i="77" s="1"/>
  <c r="BD15" i="77" a="1"/>
  <c r="BD15" i="77" s="1"/>
  <c r="BE15" i="77" a="1"/>
  <c r="BE15" i="77" s="1"/>
  <c r="BF15" i="77" a="1"/>
  <c r="BF15" i="77" s="1"/>
  <c r="BG15" i="77" a="1"/>
  <c r="BG15" i="77" s="1"/>
  <c r="BL15" i="77" a="1"/>
  <c r="BL15" i="77" s="1"/>
  <c r="BM15" i="77" a="1"/>
  <c r="BM15" i="77" s="1"/>
  <c r="AQ16" i="77" a="1"/>
  <c r="AQ16" i="77" s="1"/>
  <c r="AR16" i="77" a="1"/>
  <c r="AR16" i="77" s="1"/>
  <c r="AS16" i="77" a="1"/>
  <c r="AS16" i="77" s="1"/>
  <c r="AT16" i="77" a="1"/>
  <c r="AT16" i="77" s="1"/>
  <c r="AU16" i="77" a="1"/>
  <c r="AU16" i="77" s="1"/>
  <c r="AV16" i="77" a="1"/>
  <c r="AV16" i="77" s="1"/>
  <c r="AW16" i="77" a="1"/>
  <c r="AW16" i="77" s="1"/>
  <c r="AX16" i="77" a="1"/>
  <c r="AX16" i="77" s="1"/>
  <c r="AY16" i="77" a="1"/>
  <c r="AY16" i="77" s="1"/>
  <c r="BA16" i="77" a="1"/>
  <c r="BA16" i="77" s="1"/>
  <c r="BB16" i="77" a="1"/>
  <c r="BB16" i="77" s="1"/>
  <c r="BC16" i="77" a="1"/>
  <c r="BC16" i="77" s="1"/>
  <c r="BD16" i="77" a="1"/>
  <c r="BD16" i="77" s="1"/>
  <c r="BE16" i="77" a="1"/>
  <c r="BE16" i="77" s="1"/>
  <c r="BF16" i="77" a="1"/>
  <c r="BF16" i="77" s="1"/>
  <c r="BG16" i="77" a="1"/>
  <c r="BG16" i="77" s="1"/>
  <c r="BL16" i="77" a="1"/>
  <c r="BL16" i="77" s="1"/>
  <c r="BM16" i="77" a="1"/>
  <c r="BM16" i="77" s="1"/>
  <c r="AQ17" i="77" a="1"/>
  <c r="AQ17" i="77" s="1"/>
  <c r="AR17" i="77" a="1"/>
  <c r="AR17" i="77" s="1"/>
  <c r="AS17" i="77" a="1"/>
  <c r="AS17" i="77" s="1"/>
  <c r="AT17" i="77" a="1"/>
  <c r="AT17" i="77" s="1"/>
  <c r="AU17" i="77" a="1"/>
  <c r="AU17" i="77" s="1"/>
  <c r="AV17" i="77" a="1"/>
  <c r="AV17" i="77" s="1"/>
  <c r="AW17" i="77" a="1"/>
  <c r="AW17" i="77" s="1"/>
  <c r="AX17" i="77" a="1"/>
  <c r="AX17" i="77" s="1"/>
  <c r="AY17" i="77" a="1"/>
  <c r="AY17" i="77" s="1"/>
  <c r="BA17" i="77" a="1"/>
  <c r="BA17" i="77" s="1"/>
  <c r="BB17" i="77" a="1"/>
  <c r="BB17" i="77" s="1"/>
  <c r="BC17" i="77" a="1"/>
  <c r="BC17" i="77" s="1"/>
  <c r="BD17" i="77" a="1"/>
  <c r="BD17" i="77" s="1"/>
  <c r="BE17" i="77" a="1"/>
  <c r="BE17" i="77" s="1"/>
  <c r="BF17" i="77" a="1"/>
  <c r="BF17" i="77" s="1"/>
  <c r="BG17" i="77" a="1"/>
  <c r="BG17" i="77" s="1"/>
  <c r="BL17" i="77" a="1"/>
  <c r="BL17" i="77" s="1"/>
  <c r="BM17" i="77" a="1"/>
  <c r="BM17" i="77" s="1"/>
  <c r="AP15" i="76" a="1"/>
  <c r="AP15" i="76" s="1"/>
  <c r="AQ15" i="76" a="1"/>
  <c r="AQ15" i="76" s="1"/>
  <c r="AR15" i="76" a="1"/>
  <c r="AR15" i="76" s="1"/>
  <c r="AS15" i="76" a="1"/>
  <c r="AS15" i="76" s="1"/>
  <c r="AT15" i="76" a="1"/>
  <c r="AT15" i="76" s="1"/>
  <c r="AU15" i="76" a="1"/>
  <c r="AU15" i="76" s="1"/>
  <c r="AV15" i="76" a="1"/>
  <c r="AV15" i="76" s="1"/>
  <c r="AW15" i="76" a="1"/>
  <c r="AW15" i="76" s="1"/>
  <c r="AX15" i="76" a="1"/>
  <c r="AX15" i="76" s="1"/>
  <c r="AY15" i="76" a="1"/>
  <c r="AY15" i="76" s="1"/>
  <c r="AZ15" i="76" a="1"/>
  <c r="AZ15" i="76" s="1"/>
  <c r="BA15" i="76" a="1"/>
  <c r="BA15" i="76" s="1"/>
  <c r="BB15" i="76" a="1"/>
  <c r="BB15" i="76" s="1"/>
  <c r="BC15" i="76" a="1"/>
  <c r="BC15" i="76" s="1"/>
  <c r="BD15" i="76" a="1"/>
  <c r="BD15" i="76" s="1"/>
  <c r="BE15" i="76" a="1"/>
  <c r="BE15" i="76" s="1"/>
  <c r="BF15" i="76" a="1"/>
  <c r="BF15" i="76" s="1"/>
  <c r="BJ15" i="76" a="1"/>
  <c r="BJ15" i="76" s="1"/>
  <c r="AP16" i="76" a="1"/>
  <c r="AP16" i="76" s="1"/>
  <c r="AQ16" i="76" a="1"/>
  <c r="AQ16" i="76" s="1"/>
  <c r="AR16" i="76" a="1"/>
  <c r="AR16" i="76" s="1"/>
  <c r="AS16" i="76" a="1"/>
  <c r="AS16" i="76" s="1"/>
  <c r="AT16" i="76" a="1"/>
  <c r="AT16" i="76" s="1"/>
  <c r="AU16" i="76" a="1"/>
  <c r="AU16" i="76" s="1"/>
  <c r="AV16" i="76" a="1"/>
  <c r="AV16" i="76" s="1"/>
  <c r="AW16" i="76" a="1"/>
  <c r="AW16" i="76" s="1"/>
  <c r="AX16" i="76" a="1"/>
  <c r="AX16" i="76" s="1"/>
  <c r="AY16" i="76" a="1"/>
  <c r="AY16" i="76" s="1"/>
  <c r="AZ16" i="76" a="1"/>
  <c r="AZ16" i="76" s="1"/>
  <c r="BA16" i="76" a="1"/>
  <c r="BA16" i="76" s="1"/>
  <c r="BB16" i="76" a="1"/>
  <c r="BB16" i="76" s="1"/>
  <c r="BC16" i="76" a="1"/>
  <c r="BC16" i="76" s="1"/>
  <c r="BD16" i="76" a="1"/>
  <c r="BD16" i="76" s="1"/>
  <c r="BE16" i="76" a="1"/>
  <c r="BE16" i="76" s="1"/>
  <c r="BF16" i="76" a="1"/>
  <c r="BF16" i="76" s="1"/>
  <c r="BJ16" i="76" a="1"/>
  <c r="BJ16" i="76" s="1"/>
  <c r="AP17" i="76" a="1"/>
  <c r="AP17" i="76" s="1"/>
  <c r="AQ17" i="76" a="1"/>
  <c r="AQ17" i="76" s="1"/>
  <c r="AR17" i="76" a="1"/>
  <c r="AR17" i="76" s="1"/>
  <c r="AS17" i="76" a="1"/>
  <c r="AS17" i="76" s="1"/>
  <c r="AT17" i="76" a="1"/>
  <c r="AT17" i="76" s="1"/>
  <c r="AU17" i="76" a="1"/>
  <c r="AU17" i="76" s="1"/>
  <c r="AV17" i="76" a="1"/>
  <c r="AV17" i="76" s="1"/>
  <c r="AW17" i="76" a="1"/>
  <c r="AW17" i="76" s="1"/>
  <c r="AX17" i="76" a="1"/>
  <c r="AX17" i="76" s="1"/>
  <c r="AY17" i="76" a="1"/>
  <c r="AY17" i="76" s="1"/>
  <c r="AZ17" i="76" a="1"/>
  <c r="AZ17" i="76" s="1"/>
  <c r="BA17" i="76" a="1"/>
  <c r="BA17" i="76" s="1"/>
  <c r="BB17" i="76" a="1"/>
  <c r="BB17" i="76" s="1"/>
  <c r="BC17" i="76" a="1"/>
  <c r="BC17" i="76" s="1"/>
  <c r="BD17" i="76" a="1"/>
  <c r="BD17" i="76" s="1"/>
  <c r="BE17" i="76" a="1"/>
  <c r="BE17" i="76" s="1"/>
  <c r="BF17" i="76" a="1"/>
  <c r="BF17" i="76" s="1"/>
  <c r="BJ17" i="76" a="1"/>
  <c r="BJ17" i="76" s="1"/>
  <c r="AK15" i="75" a="1"/>
  <c r="AK15" i="75" s="1"/>
  <c r="AL15" i="75" a="1"/>
  <c r="AL15" i="75" s="1"/>
  <c r="AM15" i="75" a="1"/>
  <c r="AM15" i="75" s="1"/>
  <c r="AN15" i="75" a="1"/>
  <c r="AN15" i="75" s="1"/>
  <c r="AO15" i="75" a="1"/>
  <c r="AO15" i="75" s="1"/>
  <c r="AP15" i="75" a="1"/>
  <c r="AP15" i="75" s="1"/>
  <c r="AQ15" i="75" a="1"/>
  <c r="AQ15" i="75" s="1"/>
  <c r="AR15" i="75" a="1"/>
  <c r="AR15" i="75" s="1"/>
  <c r="AS15" i="75" a="1"/>
  <c r="AS15" i="75" s="1"/>
  <c r="AT15" i="75" a="1"/>
  <c r="AT15" i="75" s="1"/>
  <c r="AU15" i="75" a="1"/>
  <c r="AU15" i="75" s="1"/>
  <c r="AV15" i="75" a="1"/>
  <c r="AV15" i="75" s="1"/>
  <c r="AW15" i="75" a="1"/>
  <c r="AW15" i="75" s="1"/>
  <c r="AX15" i="75" a="1"/>
  <c r="AX15" i="75" s="1"/>
  <c r="AY15" i="75" a="1"/>
  <c r="AY15" i="75" s="1"/>
  <c r="AZ15" i="75" a="1"/>
  <c r="AZ15" i="75" s="1"/>
  <c r="BA15" i="75" a="1"/>
  <c r="BA15" i="75" s="1"/>
  <c r="BB15" i="75" a="1"/>
  <c r="BB15" i="75" s="1"/>
  <c r="AK16" i="75" a="1"/>
  <c r="AK16" i="75" s="1"/>
  <c r="AL16" i="75" a="1"/>
  <c r="AL16" i="75" s="1"/>
  <c r="AM16" i="75" a="1"/>
  <c r="AM16" i="75" s="1"/>
  <c r="AN16" i="75" a="1"/>
  <c r="AN16" i="75" s="1"/>
  <c r="AO16" i="75" a="1"/>
  <c r="AO16" i="75" s="1"/>
  <c r="AP16" i="75" a="1"/>
  <c r="AP16" i="75" s="1"/>
  <c r="AQ16" i="75" a="1"/>
  <c r="AQ16" i="75" s="1"/>
  <c r="AR16" i="75" a="1"/>
  <c r="AR16" i="75" s="1"/>
  <c r="AS16" i="75" a="1"/>
  <c r="AS16" i="75" s="1"/>
  <c r="AT16" i="75" a="1"/>
  <c r="AT16" i="75" s="1"/>
  <c r="AU16" i="75" a="1"/>
  <c r="AU16" i="75" s="1"/>
  <c r="AV16" i="75" a="1"/>
  <c r="AV16" i="75" s="1"/>
  <c r="AW16" i="75" a="1"/>
  <c r="AW16" i="75" s="1"/>
  <c r="AX16" i="75" a="1"/>
  <c r="AX16" i="75" s="1"/>
  <c r="AY16" i="75" a="1"/>
  <c r="AY16" i="75" s="1"/>
  <c r="AZ16" i="75" a="1"/>
  <c r="AZ16" i="75" s="1"/>
  <c r="BA16" i="75" a="1"/>
  <c r="BA16" i="75" s="1"/>
  <c r="BB16" i="75" a="1"/>
  <c r="BB16" i="75" s="1"/>
  <c r="AK17" i="75" a="1"/>
  <c r="AK17" i="75" s="1"/>
  <c r="AL17" i="75" a="1"/>
  <c r="AL17" i="75" s="1"/>
  <c r="AM17" i="75" a="1"/>
  <c r="AM17" i="75" s="1"/>
  <c r="AN17" i="75" a="1"/>
  <c r="AN17" i="75" s="1"/>
  <c r="AO17" i="75" a="1"/>
  <c r="AO17" i="75" s="1"/>
  <c r="AP17" i="75" a="1"/>
  <c r="AP17" i="75" s="1"/>
  <c r="AQ17" i="75" a="1"/>
  <c r="AQ17" i="75" s="1"/>
  <c r="AR17" i="75" a="1"/>
  <c r="AR17" i="75" s="1"/>
  <c r="AS17" i="75" a="1"/>
  <c r="AS17" i="75" s="1"/>
  <c r="AT17" i="75" a="1"/>
  <c r="AT17" i="75" s="1"/>
  <c r="AU17" i="75" a="1"/>
  <c r="AU17" i="75" s="1"/>
  <c r="AV17" i="75" a="1"/>
  <c r="AV17" i="75" s="1"/>
  <c r="AW17" i="75" a="1"/>
  <c r="AW17" i="75" s="1"/>
  <c r="AX17" i="75" a="1"/>
  <c r="AX17" i="75" s="1"/>
  <c r="AY17" i="75" a="1"/>
  <c r="AY17" i="75" s="1"/>
  <c r="AZ17" i="75" a="1"/>
  <c r="AZ17" i="75" s="1"/>
  <c r="BA17" i="75" a="1"/>
  <c r="BA17" i="75" s="1"/>
  <c r="BB17" i="75" a="1"/>
  <c r="BB17" i="75" s="1"/>
  <c r="BH14" i="79" l="1"/>
  <c r="BD14" i="79"/>
  <c r="AZ14" i="79"/>
  <c r="BK14" i="79"/>
  <c r="BG14" i="79"/>
  <c r="BC14" i="79"/>
  <c r="AY14" i="79"/>
  <c r="BJ14" i="76"/>
  <c r="BC14" i="76"/>
  <c r="AY14" i="76"/>
  <c r="AU14" i="76"/>
  <c r="AQ14" i="76"/>
  <c r="BD14" i="76"/>
  <c r="AZ14" i="76"/>
  <c r="AV14" i="76"/>
  <c r="AR14" i="76"/>
  <c r="BJ14" i="79"/>
  <c r="BF14" i="79"/>
  <c r="BB14" i="79"/>
  <c r="BI14" i="79"/>
  <c r="BE14" i="79"/>
  <c r="BA14" i="79"/>
  <c r="BL14" i="77"/>
  <c r="BF14" i="77"/>
  <c r="BB14" i="77"/>
  <c r="AW14" i="77"/>
  <c r="AS14" i="77"/>
  <c r="BE14" i="77"/>
  <c r="BA14" i="77"/>
  <c r="AV14" i="77"/>
  <c r="AR14" i="77"/>
  <c r="BD14" i="77"/>
  <c r="AY14" i="77"/>
  <c r="AU14" i="77"/>
  <c r="AQ14" i="77"/>
  <c r="BM14" i="77"/>
  <c r="BG14" i="77"/>
  <c r="BC14" i="77"/>
  <c r="AX14" i="77"/>
  <c r="AT14" i="77"/>
  <c r="BF14" i="76"/>
  <c r="BB14" i="76"/>
  <c r="AX14" i="76"/>
  <c r="AT14" i="76"/>
  <c r="AP14" i="76"/>
  <c r="BE14" i="76"/>
  <c r="BA14" i="76"/>
  <c r="AW14" i="76"/>
  <c r="AS14" i="76"/>
  <c r="AY14" i="75"/>
  <c r="AU14" i="75"/>
  <c r="AQ14" i="75"/>
  <c r="AM14" i="75"/>
  <c r="BB14" i="75"/>
  <c r="AX14" i="75"/>
  <c r="AT14" i="75"/>
  <c r="AP14" i="75"/>
  <c r="AL14" i="75"/>
  <c r="BA14" i="75"/>
  <c r="AW14" i="75"/>
  <c r="AS14" i="75"/>
  <c r="AO14" i="75"/>
  <c r="AK14" i="75"/>
  <c r="AZ14" i="75"/>
  <c r="AV14" i="75"/>
  <c r="AR14" i="75"/>
  <c r="AN14" i="75"/>
  <c r="AQ15" i="67" l="1" a="1"/>
  <c r="AQ15" i="67" s="1"/>
  <c r="AR15" i="67" a="1"/>
  <c r="AR15" i="67" s="1"/>
  <c r="AQ16" i="67" a="1"/>
  <c r="AQ16" i="67" s="1"/>
  <c r="AR16" i="67" a="1"/>
  <c r="AR16" i="67" s="1"/>
  <c r="AQ17" i="67" a="1"/>
  <c r="AQ17" i="67" s="1"/>
  <c r="AR17" i="67" a="1"/>
  <c r="AR17" i="67" s="1"/>
  <c r="AH15" i="67" a="1"/>
  <c r="AH15" i="67" s="1"/>
  <c r="AI15" i="67" a="1"/>
  <c r="AI15" i="67" s="1"/>
  <c r="AJ15" i="67" a="1"/>
  <c r="AJ15" i="67" s="1"/>
  <c r="AK15" i="67" a="1"/>
  <c r="AK15" i="67" s="1"/>
  <c r="AL15" i="67" a="1"/>
  <c r="AL15" i="67" s="1"/>
  <c r="AM15" i="67" a="1"/>
  <c r="AM15" i="67" s="1"/>
  <c r="AN15" i="67" a="1"/>
  <c r="AN15" i="67" s="1"/>
  <c r="AO15" i="67" a="1"/>
  <c r="AO15" i="67" s="1"/>
  <c r="AP15" i="67" a="1"/>
  <c r="AP15" i="67" s="1"/>
  <c r="AS15" i="67" a="1"/>
  <c r="AS15" i="67" s="1"/>
  <c r="AT15" i="67" a="1"/>
  <c r="AT15" i="67" s="1"/>
  <c r="AU15" i="67" a="1"/>
  <c r="AU15" i="67" s="1"/>
  <c r="BA15" i="67" a="1"/>
  <c r="BA15" i="67" s="1"/>
  <c r="AV15" i="67" a="1"/>
  <c r="AV15" i="67" s="1"/>
  <c r="AW15" i="67" a="1"/>
  <c r="AW15" i="67" s="1"/>
  <c r="AX15" i="67" a="1"/>
  <c r="AX15" i="67" s="1"/>
  <c r="AH16" i="67" a="1"/>
  <c r="AH16" i="67" s="1"/>
  <c r="AI16" i="67" a="1"/>
  <c r="AI16" i="67" s="1"/>
  <c r="AJ16" i="67" a="1"/>
  <c r="AJ16" i="67" s="1"/>
  <c r="AK16" i="67" a="1"/>
  <c r="AK16" i="67" s="1"/>
  <c r="AL16" i="67" a="1"/>
  <c r="AL16" i="67" s="1"/>
  <c r="AM16" i="67" a="1"/>
  <c r="AM16" i="67" s="1"/>
  <c r="AN16" i="67" a="1"/>
  <c r="AN16" i="67" s="1"/>
  <c r="AO16" i="67" a="1"/>
  <c r="AO16" i="67" s="1"/>
  <c r="AP16" i="67" a="1"/>
  <c r="AP16" i="67" s="1"/>
  <c r="AS16" i="67" a="1"/>
  <c r="AS16" i="67" s="1"/>
  <c r="AT16" i="67" a="1"/>
  <c r="AT16" i="67" s="1"/>
  <c r="AU16" i="67" a="1"/>
  <c r="AU16" i="67" s="1"/>
  <c r="BA16" i="67" a="1"/>
  <c r="BA16" i="67" s="1"/>
  <c r="AV16" i="67" a="1"/>
  <c r="AV16" i="67" s="1"/>
  <c r="AW16" i="67" a="1"/>
  <c r="AW16" i="67" s="1"/>
  <c r="AX16" i="67" a="1"/>
  <c r="AX16" i="67" s="1"/>
  <c r="AH17" i="67" a="1"/>
  <c r="AH17" i="67" s="1"/>
  <c r="AI17" i="67" a="1"/>
  <c r="AI17" i="67" s="1"/>
  <c r="AJ17" i="67" a="1"/>
  <c r="AJ17" i="67" s="1"/>
  <c r="AK17" i="67" a="1"/>
  <c r="AK17" i="67" s="1"/>
  <c r="AL17" i="67" a="1"/>
  <c r="AL17" i="67" s="1"/>
  <c r="AM17" i="67" a="1"/>
  <c r="AM17" i="67" s="1"/>
  <c r="AN17" i="67" a="1"/>
  <c r="AN17" i="67" s="1"/>
  <c r="AO17" i="67" a="1"/>
  <c r="AO17" i="67" s="1"/>
  <c r="AP17" i="67" a="1"/>
  <c r="AP17" i="67" s="1"/>
  <c r="AS17" i="67" a="1"/>
  <c r="AS17" i="67" s="1"/>
  <c r="AT17" i="67" a="1"/>
  <c r="AT17" i="67" s="1"/>
  <c r="AU17" i="67" a="1"/>
  <c r="AU17" i="67" s="1"/>
  <c r="BA17" i="67" a="1"/>
  <c r="BA17" i="67" s="1"/>
  <c r="AV17" i="67" a="1"/>
  <c r="AV17" i="67" s="1"/>
  <c r="AW17" i="67" a="1"/>
  <c r="AW17" i="67" s="1"/>
  <c r="AX17" i="67" a="1"/>
  <c r="AX17" i="67" s="1"/>
  <c r="AR14" i="67" l="1"/>
  <c r="AM14" i="67"/>
  <c r="AI14" i="67"/>
  <c r="BA14" i="67"/>
  <c r="AQ14" i="67"/>
  <c r="AX14" i="67"/>
  <c r="AU14" i="67"/>
  <c r="AP14" i="67"/>
  <c r="AL14" i="67"/>
  <c r="AH14" i="67"/>
  <c r="AW14" i="67"/>
  <c r="AT14" i="67"/>
  <c r="AO14" i="67"/>
  <c r="AK14" i="67"/>
  <c r="AV14" i="67"/>
  <c r="AS14" i="67"/>
  <c r="AN14" i="67"/>
  <c r="AJ14" i="67"/>
  <c r="AH15" i="69" l="1" a="1"/>
  <c r="AH15" i="69" s="1"/>
  <c r="AI15" i="69" a="1"/>
  <c r="AI15" i="69" s="1"/>
  <c r="AJ15" i="69" a="1"/>
  <c r="AJ15" i="69" s="1"/>
  <c r="AK15" i="69" a="1"/>
  <c r="AK15" i="69" s="1"/>
  <c r="BQ15" i="69" a="1"/>
  <c r="BQ15" i="69" s="1"/>
  <c r="AL15" i="69" a="1"/>
  <c r="AL15" i="69" s="1"/>
  <c r="AM15" i="69" a="1"/>
  <c r="AM15" i="69" s="1"/>
  <c r="AN15" i="69" a="1"/>
  <c r="AN15" i="69" s="1"/>
  <c r="AU15" i="69" a="1"/>
  <c r="AU15" i="69" s="1"/>
  <c r="AV15" i="69" a="1"/>
  <c r="AV15" i="69" s="1"/>
  <c r="AW15" i="69" a="1"/>
  <c r="AW15" i="69" s="1"/>
  <c r="AX15" i="69" a="1"/>
  <c r="AX15" i="69" s="1"/>
  <c r="AY15" i="69" a="1"/>
  <c r="AY15" i="69" s="1"/>
  <c r="BA15" i="69" a="1"/>
  <c r="BA15" i="69" s="1"/>
  <c r="BB15" i="69" a="1"/>
  <c r="BB15" i="69" s="1"/>
  <c r="BC15" i="69" a="1"/>
  <c r="BC15" i="69" s="1"/>
  <c r="BD15" i="69" a="1"/>
  <c r="BD15" i="69" s="1"/>
  <c r="BE15" i="69" a="1"/>
  <c r="BE15" i="69" s="1"/>
  <c r="BF15" i="69" a="1"/>
  <c r="BF15" i="69" s="1"/>
  <c r="BG15" i="69" a="1"/>
  <c r="BG15" i="69" s="1"/>
  <c r="BH15" i="69" a="1"/>
  <c r="BH15" i="69" s="1"/>
  <c r="BI15" i="69" a="1"/>
  <c r="BI15" i="69" s="1"/>
  <c r="BJ15" i="69" a="1"/>
  <c r="BJ15" i="69" s="1"/>
  <c r="BK15" i="69" a="1"/>
  <c r="BK15" i="69" s="1"/>
  <c r="BL15" i="69" a="1"/>
  <c r="BL15" i="69" s="1"/>
  <c r="AH16" i="69" a="1"/>
  <c r="AH16" i="69" s="1"/>
  <c r="AI16" i="69" a="1"/>
  <c r="AI16" i="69" s="1"/>
  <c r="AJ16" i="69" a="1"/>
  <c r="AJ16" i="69" s="1"/>
  <c r="AK16" i="69" a="1"/>
  <c r="AK16" i="69" s="1"/>
  <c r="BQ16" i="69" a="1"/>
  <c r="BQ16" i="69" s="1"/>
  <c r="AL16" i="69" a="1"/>
  <c r="AL16" i="69" s="1"/>
  <c r="AM16" i="69" a="1"/>
  <c r="AM16" i="69" s="1"/>
  <c r="AN16" i="69" a="1"/>
  <c r="AN16" i="69" s="1"/>
  <c r="AU16" i="69" a="1"/>
  <c r="AU16" i="69" s="1"/>
  <c r="AV16" i="69" a="1"/>
  <c r="AV16" i="69" s="1"/>
  <c r="AW16" i="69" a="1"/>
  <c r="AW16" i="69" s="1"/>
  <c r="AX16" i="69" a="1"/>
  <c r="AX16" i="69" s="1"/>
  <c r="AY16" i="69" a="1"/>
  <c r="AY16" i="69" s="1"/>
  <c r="BA16" i="69" a="1"/>
  <c r="BA16" i="69" s="1"/>
  <c r="BB16" i="69" a="1"/>
  <c r="BB16" i="69" s="1"/>
  <c r="BC16" i="69" a="1"/>
  <c r="BC16" i="69" s="1"/>
  <c r="BD16" i="69" a="1"/>
  <c r="BD16" i="69" s="1"/>
  <c r="BE16" i="69" a="1"/>
  <c r="BE16" i="69" s="1"/>
  <c r="BF16" i="69" a="1"/>
  <c r="BF16" i="69" s="1"/>
  <c r="BG16" i="69" a="1"/>
  <c r="BG16" i="69" s="1"/>
  <c r="BH16" i="69" a="1"/>
  <c r="BH16" i="69" s="1"/>
  <c r="BI16" i="69" a="1"/>
  <c r="BI16" i="69" s="1"/>
  <c r="BJ16" i="69" a="1"/>
  <c r="BJ16" i="69" s="1"/>
  <c r="BK16" i="69" a="1"/>
  <c r="BK16" i="69" s="1"/>
  <c r="BL16" i="69" a="1"/>
  <c r="BL16" i="69" s="1"/>
  <c r="AH17" i="69" a="1"/>
  <c r="AH17" i="69" s="1"/>
  <c r="AI17" i="69" a="1"/>
  <c r="AI17" i="69" s="1"/>
  <c r="AJ17" i="69" a="1"/>
  <c r="AJ17" i="69" s="1"/>
  <c r="AK17" i="69" a="1"/>
  <c r="AK17" i="69" s="1"/>
  <c r="BQ17" i="69" a="1"/>
  <c r="BQ17" i="69" s="1"/>
  <c r="AL17" i="69" a="1"/>
  <c r="AL17" i="69" s="1"/>
  <c r="AM17" i="69" a="1"/>
  <c r="AM17" i="69" s="1"/>
  <c r="AN17" i="69" a="1"/>
  <c r="AN17" i="69" s="1"/>
  <c r="AU17" i="69" a="1"/>
  <c r="AU17" i="69" s="1"/>
  <c r="AV17" i="69" a="1"/>
  <c r="AV17" i="69" s="1"/>
  <c r="AW17" i="69" a="1"/>
  <c r="AW17" i="69" s="1"/>
  <c r="AX17" i="69" a="1"/>
  <c r="AX17" i="69" s="1"/>
  <c r="AY17" i="69" a="1"/>
  <c r="AY17" i="69" s="1"/>
  <c r="BA17" i="69" a="1"/>
  <c r="BA17" i="69" s="1"/>
  <c r="BB17" i="69" a="1"/>
  <c r="BB17" i="69" s="1"/>
  <c r="BC17" i="69" a="1"/>
  <c r="BC17" i="69" s="1"/>
  <c r="BD17" i="69" a="1"/>
  <c r="BD17" i="69" s="1"/>
  <c r="BE17" i="69" a="1"/>
  <c r="BE17" i="69" s="1"/>
  <c r="BF17" i="69" a="1"/>
  <c r="BF17" i="69" s="1"/>
  <c r="BG17" i="69" a="1"/>
  <c r="BG17" i="69" s="1"/>
  <c r="BH17" i="69" a="1"/>
  <c r="BH17" i="69" s="1"/>
  <c r="BI17" i="69" a="1"/>
  <c r="BI17" i="69" s="1"/>
  <c r="BJ17" i="69" a="1"/>
  <c r="BJ17" i="69" s="1"/>
  <c r="BK17" i="69" a="1"/>
  <c r="BK17" i="69" s="1"/>
  <c r="BL17" i="69" a="1"/>
  <c r="BL17" i="69" s="1"/>
  <c r="BK14" i="69" l="1"/>
  <c r="BJ14" i="69"/>
  <c r="BI14" i="69"/>
  <c r="BE14" i="69"/>
  <c r="BA14" i="69"/>
  <c r="AV14" i="69"/>
  <c r="AN14" i="69"/>
  <c r="BG14" i="69"/>
  <c r="BC14" i="69"/>
  <c r="AX14" i="69"/>
  <c r="AL14" i="69"/>
  <c r="AI14" i="69"/>
  <c r="BF14" i="69"/>
  <c r="BB14" i="69"/>
  <c r="AW14" i="69"/>
  <c r="BQ14" i="69"/>
  <c r="AH14" i="69"/>
  <c r="AK14" i="69"/>
  <c r="BL14" i="69"/>
  <c r="BH14" i="69"/>
  <c r="BD14" i="69"/>
  <c r="AY14" i="69"/>
  <c r="AU14" i="69"/>
  <c r="AM14" i="69"/>
  <c r="AJ14" i="69"/>
  <c r="AQ15" i="64" l="1" a="1"/>
  <c r="AQ15" i="64" s="1"/>
  <c r="AR15" i="64" a="1"/>
  <c r="AR15" i="64" s="1"/>
  <c r="AS15" i="64" a="1"/>
  <c r="AS15" i="64" s="1"/>
  <c r="AT15" i="64" a="1"/>
  <c r="AT15" i="64" s="1"/>
  <c r="AU15" i="64" a="1"/>
  <c r="AU15" i="64" s="1"/>
  <c r="BO15" i="64" a="1"/>
  <c r="BO15" i="64" s="1"/>
  <c r="AV15" i="64" a="1"/>
  <c r="AV15" i="64" s="1"/>
  <c r="AW15" i="64" a="1"/>
  <c r="AW15" i="64" s="1"/>
  <c r="AX15" i="64" a="1"/>
  <c r="AX15" i="64" s="1"/>
  <c r="BE15" i="64" a="1"/>
  <c r="BE15" i="64" s="1"/>
  <c r="AY15" i="64" a="1"/>
  <c r="AY15" i="64" s="1"/>
  <c r="AZ15" i="64" a="1"/>
  <c r="AZ15" i="64" s="1"/>
  <c r="BA15" i="64" a="1"/>
  <c r="BA15" i="64" s="1"/>
  <c r="BB15" i="64" a="1"/>
  <c r="BB15" i="64" s="1"/>
  <c r="BC15" i="64" a="1"/>
  <c r="BC15" i="64" s="1"/>
  <c r="BD15" i="64" a="1"/>
  <c r="BD15" i="64" s="1"/>
  <c r="BI15" i="64" a="1"/>
  <c r="BI15" i="64" s="1"/>
  <c r="BJ15" i="64" a="1"/>
  <c r="BJ15" i="64" s="1"/>
  <c r="BK15" i="64" a="1"/>
  <c r="BK15" i="64" s="1"/>
  <c r="BP15" i="64" a="1"/>
  <c r="BP15" i="64" s="1"/>
  <c r="BL15" i="64" a="1"/>
  <c r="BL15" i="64" s="1"/>
  <c r="AQ16" i="64" a="1"/>
  <c r="AQ16" i="64" s="1"/>
  <c r="AR16" i="64" a="1"/>
  <c r="AR16" i="64" s="1"/>
  <c r="AS16" i="64" a="1"/>
  <c r="AS16" i="64" s="1"/>
  <c r="AT16" i="64" a="1"/>
  <c r="AT16" i="64" s="1"/>
  <c r="AU16" i="64" a="1"/>
  <c r="AU16" i="64" s="1"/>
  <c r="BO16" i="64" a="1"/>
  <c r="BO16" i="64" s="1"/>
  <c r="AV16" i="64" a="1"/>
  <c r="AV16" i="64" s="1"/>
  <c r="AW16" i="64" a="1"/>
  <c r="AW16" i="64" s="1"/>
  <c r="AX16" i="64" a="1"/>
  <c r="AX16" i="64" s="1"/>
  <c r="BE16" i="64" a="1"/>
  <c r="BE16" i="64" s="1"/>
  <c r="AY16" i="64" a="1"/>
  <c r="AY16" i="64" s="1"/>
  <c r="AZ16" i="64" a="1"/>
  <c r="AZ16" i="64" s="1"/>
  <c r="BA16" i="64" a="1"/>
  <c r="BA16" i="64" s="1"/>
  <c r="BB16" i="64" a="1"/>
  <c r="BB16" i="64" s="1"/>
  <c r="BC16" i="64" a="1"/>
  <c r="BC16" i="64" s="1"/>
  <c r="BD16" i="64" a="1"/>
  <c r="BD16" i="64" s="1"/>
  <c r="BI16" i="64" a="1"/>
  <c r="BI16" i="64" s="1"/>
  <c r="BJ16" i="64" a="1"/>
  <c r="BJ16" i="64" s="1"/>
  <c r="BK16" i="64" a="1"/>
  <c r="BK16" i="64" s="1"/>
  <c r="BP16" i="64" a="1"/>
  <c r="BP16" i="64" s="1"/>
  <c r="BL16" i="64" a="1"/>
  <c r="BL16" i="64" s="1"/>
  <c r="AQ17" i="64" a="1"/>
  <c r="AQ17" i="64" s="1"/>
  <c r="AR17" i="64" a="1"/>
  <c r="AR17" i="64" s="1"/>
  <c r="AS17" i="64" a="1"/>
  <c r="AS17" i="64" s="1"/>
  <c r="AT17" i="64" a="1"/>
  <c r="AT17" i="64" s="1"/>
  <c r="AU17" i="64" a="1"/>
  <c r="AU17" i="64" s="1"/>
  <c r="BO17" i="64" a="1"/>
  <c r="BO17" i="64" s="1"/>
  <c r="AV17" i="64" a="1"/>
  <c r="AV17" i="64" s="1"/>
  <c r="AW17" i="64" a="1"/>
  <c r="AW17" i="64" s="1"/>
  <c r="AX17" i="64" a="1"/>
  <c r="AX17" i="64" s="1"/>
  <c r="BE17" i="64" a="1"/>
  <c r="BE17" i="64" s="1"/>
  <c r="AY17" i="64" a="1"/>
  <c r="AY17" i="64" s="1"/>
  <c r="AZ17" i="64" a="1"/>
  <c r="AZ17" i="64" s="1"/>
  <c r="BA17" i="64" a="1"/>
  <c r="BA17" i="64" s="1"/>
  <c r="BB17" i="64" a="1"/>
  <c r="BB17" i="64" s="1"/>
  <c r="BC17" i="64" a="1"/>
  <c r="BC17" i="64" s="1"/>
  <c r="BD17" i="64" a="1"/>
  <c r="BD17" i="64" s="1"/>
  <c r="BI17" i="64" a="1"/>
  <c r="BI17" i="64" s="1"/>
  <c r="BJ17" i="64" a="1"/>
  <c r="BJ17" i="64" s="1"/>
  <c r="BK17" i="64" a="1"/>
  <c r="BK17" i="64" s="1"/>
  <c r="BP17" i="64" a="1"/>
  <c r="BP17" i="64" s="1"/>
  <c r="BL17" i="64" a="1"/>
  <c r="BL17" i="64" s="1"/>
  <c r="BK14" i="64" l="1"/>
  <c r="AY14" i="64"/>
  <c r="AV14" i="64"/>
  <c r="BD14" i="64"/>
  <c r="BJ14" i="64"/>
  <c r="BC14" i="64"/>
  <c r="AZ14" i="64"/>
  <c r="AT14" i="64"/>
  <c r="AS14" i="64"/>
  <c r="BE14" i="64"/>
  <c r="AR14" i="64"/>
  <c r="AX14" i="64"/>
  <c r="AQ14" i="64"/>
  <c r="BL14" i="64"/>
  <c r="BI14" i="64"/>
  <c r="BB14" i="64"/>
  <c r="BO14" i="64"/>
  <c r="BP14" i="64"/>
  <c r="BA14" i="64"/>
  <c r="AW14" i="64"/>
  <c r="AU14" i="64"/>
  <c r="AL15" i="74" l="1" a="1"/>
  <c r="AL15" i="74" s="1"/>
  <c r="AM15" i="74" a="1"/>
  <c r="AM15" i="74" s="1"/>
  <c r="AN15" i="74" a="1"/>
  <c r="AN15" i="74" s="1"/>
  <c r="AO15" i="74" a="1"/>
  <c r="AO15" i="74" s="1"/>
  <c r="AP15" i="74" a="1"/>
  <c r="AP15" i="74" s="1"/>
  <c r="AL16" i="74" a="1"/>
  <c r="AL16" i="74" s="1"/>
  <c r="AM16" i="74" a="1"/>
  <c r="AM16" i="74" s="1"/>
  <c r="AN16" i="74" a="1"/>
  <c r="AN16" i="74" s="1"/>
  <c r="AO16" i="74" a="1"/>
  <c r="AO16" i="74" s="1"/>
  <c r="AP16" i="74" a="1"/>
  <c r="AP16" i="74" s="1"/>
  <c r="AL17" i="74" a="1"/>
  <c r="AL17" i="74" s="1"/>
  <c r="AM17" i="74" a="1"/>
  <c r="AM17" i="74" s="1"/>
  <c r="AN17" i="74" a="1"/>
  <c r="AN17" i="74" s="1"/>
  <c r="AO17" i="74" a="1"/>
  <c r="AO17" i="74" s="1"/>
  <c r="AP17" i="74" a="1"/>
  <c r="AP17" i="74" s="1"/>
  <c r="AO15" i="72" a="1"/>
  <c r="AO15" i="72" s="1"/>
  <c r="AP15" i="72" a="1"/>
  <c r="AP15" i="72" s="1"/>
  <c r="AQ15" i="72" a="1"/>
  <c r="AQ15" i="72" s="1"/>
  <c r="BO15" i="72" a="1"/>
  <c r="BO15" i="72" s="1"/>
  <c r="AV15" i="72" a="1"/>
  <c r="AV15" i="72" s="1"/>
  <c r="AW15" i="72" a="1"/>
  <c r="AW15" i="72" s="1"/>
  <c r="AX15" i="72" a="1"/>
  <c r="AX15" i="72" s="1"/>
  <c r="AY15" i="72" a="1"/>
  <c r="AY15" i="72" s="1"/>
  <c r="AZ15" i="72" a="1"/>
  <c r="AZ15" i="72" s="1"/>
  <c r="BA15" i="72" a="1"/>
  <c r="BA15" i="72" s="1"/>
  <c r="BC15" i="72" a="1"/>
  <c r="BC15" i="72" s="1"/>
  <c r="BD15" i="72" a="1"/>
  <c r="BD15" i="72" s="1"/>
  <c r="BE15" i="72" a="1"/>
  <c r="BE15" i="72" s="1"/>
  <c r="BF15" i="72" a="1"/>
  <c r="BF15" i="72" s="1"/>
  <c r="BG15" i="72" a="1"/>
  <c r="BG15" i="72" s="1"/>
  <c r="BI15" i="72" a="1"/>
  <c r="BI15" i="72" s="1"/>
  <c r="BP15" i="72" a="1"/>
  <c r="BP15" i="72" s="1"/>
  <c r="BJ15" i="72" a="1"/>
  <c r="BJ15" i="72" s="1"/>
  <c r="AO16" i="72" a="1"/>
  <c r="AO16" i="72" s="1"/>
  <c r="AP16" i="72" a="1"/>
  <c r="AP16" i="72" s="1"/>
  <c r="AQ16" i="72" a="1"/>
  <c r="AQ16" i="72" s="1"/>
  <c r="BO16" i="72" a="1"/>
  <c r="BO16" i="72" s="1"/>
  <c r="AV16" i="72" a="1"/>
  <c r="AV16" i="72" s="1"/>
  <c r="AW16" i="72" a="1"/>
  <c r="AW16" i="72" s="1"/>
  <c r="AX16" i="72" a="1"/>
  <c r="AX16" i="72" s="1"/>
  <c r="AY16" i="72" a="1"/>
  <c r="AY16" i="72" s="1"/>
  <c r="AZ16" i="72" a="1"/>
  <c r="AZ16" i="72" s="1"/>
  <c r="BA16" i="72" a="1"/>
  <c r="BA16" i="72" s="1"/>
  <c r="BC16" i="72" a="1"/>
  <c r="BC16" i="72" s="1"/>
  <c r="BD16" i="72" a="1"/>
  <c r="BD16" i="72" s="1"/>
  <c r="BE16" i="72" a="1"/>
  <c r="BE16" i="72" s="1"/>
  <c r="BF16" i="72" a="1"/>
  <c r="BF16" i="72" s="1"/>
  <c r="BG16" i="72" a="1"/>
  <c r="BG16" i="72" s="1"/>
  <c r="BI16" i="72" a="1"/>
  <c r="BI16" i="72" s="1"/>
  <c r="BP16" i="72" a="1"/>
  <c r="BP16" i="72" s="1"/>
  <c r="BJ16" i="72" a="1"/>
  <c r="BJ16" i="72" s="1"/>
  <c r="AO17" i="72" a="1"/>
  <c r="AO17" i="72" s="1"/>
  <c r="AP17" i="72" a="1"/>
  <c r="AP17" i="72" s="1"/>
  <c r="AQ17" i="72" a="1"/>
  <c r="AQ17" i="72" s="1"/>
  <c r="BO17" i="72" a="1"/>
  <c r="BO17" i="72" s="1"/>
  <c r="AV17" i="72" a="1"/>
  <c r="AV17" i="72" s="1"/>
  <c r="AW17" i="72" a="1"/>
  <c r="AW17" i="72" s="1"/>
  <c r="AX17" i="72" a="1"/>
  <c r="AX17" i="72" s="1"/>
  <c r="AY17" i="72" a="1"/>
  <c r="AY17" i="72" s="1"/>
  <c r="AZ17" i="72" a="1"/>
  <c r="AZ17" i="72" s="1"/>
  <c r="BA17" i="72" a="1"/>
  <c r="BA17" i="72" s="1"/>
  <c r="BC17" i="72" a="1"/>
  <c r="BC17" i="72" s="1"/>
  <c r="BD17" i="72" a="1"/>
  <c r="BD17" i="72" s="1"/>
  <c r="BE17" i="72" a="1"/>
  <c r="BE17" i="72" s="1"/>
  <c r="BF17" i="72" a="1"/>
  <c r="BF17" i="72" s="1"/>
  <c r="BG17" i="72" a="1"/>
  <c r="BG17" i="72" s="1"/>
  <c r="BI17" i="72" a="1"/>
  <c r="BI17" i="72" s="1"/>
  <c r="BP17" i="72" a="1"/>
  <c r="BP17" i="72" s="1"/>
  <c r="BJ17" i="72" a="1"/>
  <c r="BJ17" i="72" s="1"/>
  <c r="AO14" i="74" l="1"/>
  <c r="BP14" i="72"/>
  <c r="BE14" i="72"/>
  <c r="AZ14" i="72"/>
  <c r="AV14" i="72"/>
  <c r="AN14" i="74"/>
  <c r="AM14" i="74"/>
  <c r="AP14" i="74"/>
  <c r="AL14" i="74"/>
  <c r="BI14" i="72"/>
  <c r="BD14" i="72"/>
  <c r="AY14" i="72"/>
  <c r="AQ14" i="72"/>
  <c r="BG14" i="72"/>
  <c r="BC14" i="72"/>
  <c r="AX14" i="72"/>
  <c r="AP14" i="72"/>
  <c r="BJ14" i="72"/>
  <c r="BF14" i="72"/>
  <c r="BA14" i="72"/>
  <c r="AW14" i="72"/>
  <c r="BO14" i="72"/>
  <c r="AO14" i="72"/>
  <c r="AS15" i="59" a="1"/>
  <c r="AS15" i="59" s="1"/>
  <c r="AU15" i="59" a="1"/>
  <c r="AU15" i="59" s="1"/>
  <c r="AV15" i="59" a="1"/>
  <c r="AV15" i="59" s="1"/>
  <c r="AW15" i="59" a="1"/>
  <c r="AW15" i="59" s="1"/>
  <c r="AX15" i="59" a="1"/>
  <c r="AX15" i="59" s="1"/>
  <c r="AY15" i="59" a="1"/>
  <c r="AY15" i="59" s="1"/>
  <c r="AZ15" i="59" a="1"/>
  <c r="AZ15" i="59" s="1"/>
  <c r="BM15" i="59" a="1"/>
  <c r="BM15" i="59" s="1"/>
  <c r="BA15" i="59" a="1"/>
  <c r="BA15" i="59" s="1"/>
  <c r="BB15" i="59" a="1"/>
  <c r="BB15" i="59" s="1"/>
  <c r="BN15" i="59" a="1"/>
  <c r="BN15" i="59" s="1"/>
  <c r="BC15" i="59" a="1"/>
  <c r="BC15" i="59" s="1"/>
  <c r="BD15" i="59" a="1"/>
  <c r="BD15" i="59" s="1"/>
  <c r="BE15" i="59" a="1"/>
  <c r="BE15" i="59" s="1"/>
  <c r="BF15" i="59" a="1"/>
  <c r="BF15" i="59" s="1"/>
  <c r="BG15" i="59" a="1"/>
  <c r="BG15" i="59" s="1"/>
  <c r="BH15" i="59" a="1"/>
  <c r="BH15" i="59" s="1"/>
  <c r="BI15" i="59" a="1"/>
  <c r="BI15" i="59" s="1"/>
  <c r="BJ15" i="59" a="1"/>
  <c r="BJ15" i="59" s="1"/>
  <c r="AS16" i="59" a="1"/>
  <c r="AS16" i="59" s="1"/>
  <c r="AU16" i="59" a="1"/>
  <c r="AU16" i="59" s="1"/>
  <c r="AV16" i="59" a="1"/>
  <c r="AV16" i="59" s="1"/>
  <c r="AW16" i="59" a="1"/>
  <c r="AW16" i="59" s="1"/>
  <c r="AX16" i="59" a="1"/>
  <c r="AX16" i="59" s="1"/>
  <c r="AY16" i="59" a="1"/>
  <c r="AY16" i="59" s="1"/>
  <c r="AZ16" i="59" a="1"/>
  <c r="AZ16" i="59" s="1"/>
  <c r="BM16" i="59" a="1"/>
  <c r="BM16" i="59" s="1"/>
  <c r="BA16" i="59" a="1"/>
  <c r="BA16" i="59" s="1"/>
  <c r="BB16" i="59" a="1"/>
  <c r="BB16" i="59" s="1"/>
  <c r="BN16" i="59" a="1"/>
  <c r="BN16" i="59" s="1"/>
  <c r="BC16" i="59" a="1"/>
  <c r="BC16" i="59" s="1"/>
  <c r="BD16" i="59" a="1"/>
  <c r="BD16" i="59" s="1"/>
  <c r="BE16" i="59" a="1"/>
  <c r="BE16" i="59" s="1"/>
  <c r="BF16" i="59" a="1"/>
  <c r="BF16" i="59" s="1"/>
  <c r="BG16" i="59" a="1"/>
  <c r="BG16" i="59" s="1"/>
  <c r="BH16" i="59" a="1"/>
  <c r="BH16" i="59" s="1"/>
  <c r="BI16" i="59" a="1"/>
  <c r="BI16" i="59" s="1"/>
  <c r="BJ16" i="59" a="1"/>
  <c r="BJ16" i="59" s="1"/>
  <c r="AS17" i="59" a="1"/>
  <c r="AS17" i="59" s="1"/>
  <c r="AU17" i="59" a="1"/>
  <c r="AU17" i="59" s="1"/>
  <c r="AV17" i="59" a="1"/>
  <c r="AV17" i="59" s="1"/>
  <c r="AW17" i="59" a="1"/>
  <c r="AW17" i="59" s="1"/>
  <c r="AX17" i="59" a="1"/>
  <c r="AX17" i="59" s="1"/>
  <c r="AY17" i="59" a="1"/>
  <c r="AY17" i="59" s="1"/>
  <c r="AZ17" i="59" a="1"/>
  <c r="AZ17" i="59" s="1"/>
  <c r="BM17" i="59" a="1"/>
  <c r="BM17" i="59" s="1"/>
  <c r="BA17" i="59" a="1"/>
  <c r="BA17" i="59" s="1"/>
  <c r="BB17" i="59" a="1"/>
  <c r="BB17" i="59" s="1"/>
  <c r="BN17" i="59" a="1"/>
  <c r="BN17" i="59" s="1"/>
  <c r="BC17" i="59" a="1"/>
  <c r="BC17" i="59" s="1"/>
  <c r="BD17" i="59" a="1"/>
  <c r="BD17" i="59" s="1"/>
  <c r="BE17" i="59" a="1"/>
  <c r="BE17" i="59" s="1"/>
  <c r="BF17" i="59" a="1"/>
  <c r="BF17" i="59" s="1"/>
  <c r="BG17" i="59" a="1"/>
  <c r="BG17" i="59" s="1"/>
  <c r="BH17" i="59" a="1"/>
  <c r="BH17" i="59" s="1"/>
  <c r="BI17" i="59" a="1"/>
  <c r="BI17" i="59" s="1"/>
  <c r="BJ17" i="59" a="1"/>
  <c r="BJ17" i="59" s="1"/>
  <c r="AM15" i="70" a="1"/>
  <c r="AM15" i="70" s="1"/>
  <c r="AN15" i="70" a="1"/>
  <c r="AN15" i="70" s="1"/>
  <c r="AO15" i="70" a="1"/>
  <c r="AO15" i="70" s="1"/>
  <c r="AP15" i="70" a="1"/>
  <c r="AP15" i="70" s="1"/>
  <c r="AQ15" i="70" a="1"/>
  <c r="AQ15" i="70" s="1"/>
  <c r="AR15" i="70" a="1"/>
  <c r="AR15" i="70" s="1"/>
  <c r="AS15" i="70" a="1"/>
  <c r="AS15" i="70" s="1"/>
  <c r="AT15" i="70" a="1"/>
  <c r="AT15" i="70" s="1"/>
  <c r="AU15" i="70" a="1"/>
  <c r="AU15" i="70" s="1"/>
  <c r="AV15" i="70" a="1"/>
  <c r="AV15" i="70" s="1"/>
  <c r="AW15" i="70" a="1"/>
  <c r="AW15" i="70" s="1"/>
  <c r="AX15" i="70" a="1"/>
  <c r="AX15" i="70" s="1"/>
  <c r="AY15" i="70" a="1"/>
  <c r="AY15" i="70" s="1"/>
  <c r="AZ15" i="70" a="1"/>
  <c r="AZ15" i="70" s="1"/>
  <c r="AM16" i="70" a="1"/>
  <c r="AM16" i="70" s="1"/>
  <c r="AN16" i="70" a="1"/>
  <c r="AN16" i="70" s="1"/>
  <c r="AO16" i="70" a="1"/>
  <c r="AO16" i="70" s="1"/>
  <c r="AP16" i="70" a="1"/>
  <c r="AP16" i="70" s="1"/>
  <c r="AQ16" i="70" a="1"/>
  <c r="AQ16" i="70" s="1"/>
  <c r="AR16" i="70" a="1"/>
  <c r="AR16" i="70" s="1"/>
  <c r="AS16" i="70" a="1"/>
  <c r="AS16" i="70" s="1"/>
  <c r="AT16" i="70" a="1"/>
  <c r="AT16" i="70" s="1"/>
  <c r="AU16" i="70" a="1"/>
  <c r="AU16" i="70" s="1"/>
  <c r="AV16" i="70" a="1"/>
  <c r="AV16" i="70" s="1"/>
  <c r="AW16" i="70" a="1"/>
  <c r="AW16" i="70" s="1"/>
  <c r="AX16" i="70" a="1"/>
  <c r="AX16" i="70" s="1"/>
  <c r="AY16" i="70" a="1"/>
  <c r="AY16" i="70" s="1"/>
  <c r="AZ16" i="70" a="1"/>
  <c r="AZ16" i="70" s="1"/>
  <c r="AM17" i="70" a="1"/>
  <c r="AM17" i="70" s="1"/>
  <c r="AN17" i="70" a="1"/>
  <c r="AN17" i="70" s="1"/>
  <c r="AO17" i="70" a="1"/>
  <c r="AO17" i="70" s="1"/>
  <c r="AP17" i="70" a="1"/>
  <c r="AP17" i="70" s="1"/>
  <c r="AQ17" i="70" a="1"/>
  <c r="AQ17" i="70" s="1"/>
  <c r="AR17" i="70" a="1"/>
  <c r="AR17" i="70" s="1"/>
  <c r="AS17" i="70" a="1"/>
  <c r="AS17" i="70" s="1"/>
  <c r="AT17" i="70" a="1"/>
  <c r="AT17" i="70" s="1"/>
  <c r="AU17" i="70" a="1"/>
  <c r="AU17" i="70" s="1"/>
  <c r="AV17" i="70" a="1"/>
  <c r="AV17" i="70" s="1"/>
  <c r="AW17" i="70" a="1"/>
  <c r="AW17" i="70" s="1"/>
  <c r="AX17" i="70" a="1"/>
  <c r="AX17" i="70" s="1"/>
  <c r="AY17" i="70" a="1"/>
  <c r="AY17" i="70" s="1"/>
  <c r="AZ17" i="70" a="1"/>
  <c r="AZ17" i="70" s="1"/>
  <c r="BN15" i="69" a="1"/>
  <c r="BN15" i="69" s="1"/>
  <c r="BN16" i="69" a="1"/>
  <c r="BN16" i="69" s="1"/>
  <c r="BN17" i="69" a="1"/>
  <c r="BN17" i="69" s="1"/>
  <c r="BG14" i="59" l="1"/>
  <c r="BC14" i="59"/>
  <c r="BM14" i="59"/>
  <c r="AX14" i="70"/>
  <c r="AT14" i="70"/>
  <c r="AP14" i="70"/>
  <c r="AY14" i="70"/>
  <c r="AU14" i="70"/>
  <c r="AQ14" i="70"/>
  <c r="AM14" i="70"/>
  <c r="AW14" i="59"/>
  <c r="BJ14" i="59"/>
  <c r="BF14" i="59"/>
  <c r="BN14" i="59"/>
  <c r="AZ14" i="59"/>
  <c r="AV14" i="59"/>
  <c r="BI14" i="59"/>
  <c r="BE14" i="59"/>
  <c r="BB14" i="59"/>
  <c r="AY14" i="59"/>
  <c r="AU14" i="59"/>
  <c r="BH14" i="59"/>
  <c r="BD14" i="59"/>
  <c r="BA14" i="59"/>
  <c r="AX14" i="59"/>
  <c r="AS14" i="59"/>
  <c r="AW14" i="70"/>
  <c r="AS14" i="70"/>
  <c r="AO14" i="70"/>
  <c r="AZ14" i="70"/>
  <c r="AV14" i="70"/>
  <c r="AR14" i="70"/>
  <c r="AN14" i="70"/>
  <c r="BN14" i="69"/>
  <c r="AY15" i="67" a="1"/>
  <c r="AY15" i="67" s="1"/>
  <c r="AZ15" i="67" a="1"/>
  <c r="AZ15" i="67" s="1"/>
  <c r="BB15" i="67" a="1"/>
  <c r="BB15" i="67" s="1"/>
  <c r="BC15" i="67" a="1"/>
  <c r="BC15" i="67" s="1"/>
  <c r="BD15" i="67" a="1"/>
  <c r="BD15" i="67" s="1"/>
  <c r="BE15" i="67" a="1"/>
  <c r="BE15" i="67" s="1"/>
  <c r="BF15" i="67" a="1"/>
  <c r="BF15" i="67" s="1"/>
  <c r="BG15" i="67" a="1"/>
  <c r="BG15" i="67" s="1"/>
  <c r="BH15" i="67" a="1"/>
  <c r="BH15" i="67" s="1"/>
  <c r="BI15" i="67" a="1"/>
  <c r="BI15" i="67" s="1"/>
  <c r="AY16" i="67" a="1"/>
  <c r="AY16" i="67" s="1"/>
  <c r="AZ16" i="67" a="1"/>
  <c r="AZ16" i="67" s="1"/>
  <c r="BB16" i="67" a="1"/>
  <c r="BB16" i="67" s="1"/>
  <c r="BC16" i="67" a="1"/>
  <c r="BC16" i="67" s="1"/>
  <c r="BD16" i="67" a="1"/>
  <c r="BD16" i="67" s="1"/>
  <c r="BE16" i="67" a="1"/>
  <c r="BE16" i="67" s="1"/>
  <c r="BF16" i="67" a="1"/>
  <c r="BF16" i="67" s="1"/>
  <c r="BG16" i="67" a="1"/>
  <c r="BG16" i="67" s="1"/>
  <c r="BH16" i="67" a="1"/>
  <c r="BH16" i="67" s="1"/>
  <c r="BI16" i="67" a="1"/>
  <c r="BI16" i="67" s="1"/>
  <c r="AY17" i="67" a="1"/>
  <c r="AY17" i="67" s="1"/>
  <c r="AZ17" i="67" a="1"/>
  <c r="AZ17" i="67" s="1"/>
  <c r="BB17" i="67" a="1"/>
  <c r="BB17" i="67" s="1"/>
  <c r="BC17" i="67" a="1"/>
  <c r="BC17" i="67" s="1"/>
  <c r="BD17" i="67" a="1"/>
  <c r="BD17" i="67" s="1"/>
  <c r="BE17" i="67" a="1"/>
  <c r="BE17" i="67" s="1"/>
  <c r="BF17" i="67" a="1"/>
  <c r="BF17" i="67" s="1"/>
  <c r="BG17" i="67" a="1"/>
  <c r="BG17" i="67" s="1"/>
  <c r="BH17" i="67" a="1"/>
  <c r="BH17" i="67" s="1"/>
  <c r="BI17" i="67" a="1"/>
  <c r="BI17" i="67" s="1"/>
  <c r="BE15" i="66" a="1"/>
  <c r="BE15" i="66" s="1"/>
  <c r="BF15" i="66" a="1"/>
  <c r="BF15" i="66" s="1"/>
  <c r="BG15" i="66" a="1"/>
  <c r="BG15" i="66" s="1"/>
  <c r="BH15" i="66" a="1"/>
  <c r="BH15" i="66" s="1"/>
  <c r="BI15" i="66" a="1"/>
  <c r="BI15" i="66" s="1"/>
  <c r="BE16" i="66" a="1"/>
  <c r="BE16" i="66" s="1"/>
  <c r="BF16" i="66" a="1"/>
  <c r="BF16" i="66" s="1"/>
  <c r="BG16" i="66" a="1"/>
  <c r="BG16" i="66" s="1"/>
  <c r="BH16" i="66" a="1"/>
  <c r="BH16" i="66" s="1"/>
  <c r="BI16" i="66" a="1"/>
  <c r="BI16" i="66" s="1"/>
  <c r="BE17" i="66" a="1"/>
  <c r="BE17" i="66" s="1"/>
  <c r="BF17" i="66" a="1"/>
  <c r="BF17" i="66" s="1"/>
  <c r="BG17" i="66" a="1"/>
  <c r="BG17" i="66" s="1"/>
  <c r="BH17" i="66" a="1"/>
  <c r="BH17" i="66" s="1"/>
  <c r="BI17" i="66" a="1"/>
  <c r="BI17" i="66" s="1"/>
  <c r="AT15" i="62" a="1"/>
  <c r="AT15" i="62" s="1"/>
  <c r="AU15" i="62" a="1"/>
  <c r="AU15" i="62" s="1"/>
  <c r="AV15" i="62" a="1"/>
  <c r="AV15" i="62" s="1"/>
  <c r="AW15" i="62" a="1"/>
  <c r="AW15" i="62" s="1"/>
  <c r="AX15" i="62" a="1"/>
  <c r="AX15" i="62" s="1"/>
  <c r="AY15" i="62" a="1"/>
  <c r="AY15" i="62" s="1"/>
  <c r="AZ15" i="62" a="1"/>
  <c r="AZ15" i="62" s="1"/>
  <c r="BA15" i="62" a="1"/>
  <c r="BA15" i="62" s="1"/>
  <c r="BC15" i="62" a="1"/>
  <c r="BC15" i="62" s="1"/>
  <c r="BD15" i="62" a="1"/>
  <c r="BD15" i="62" s="1"/>
  <c r="BE15" i="62" a="1"/>
  <c r="BE15" i="62" s="1"/>
  <c r="BF15" i="62" a="1"/>
  <c r="BF15" i="62" s="1"/>
  <c r="BG15" i="62" a="1"/>
  <c r="BG15" i="62" s="1"/>
  <c r="AT16" i="62" a="1"/>
  <c r="AT16" i="62" s="1"/>
  <c r="AU16" i="62" a="1"/>
  <c r="AU16" i="62" s="1"/>
  <c r="AV16" i="62" a="1"/>
  <c r="AV16" i="62" s="1"/>
  <c r="AW16" i="62" a="1"/>
  <c r="AW16" i="62" s="1"/>
  <c r="AX16" i="62" a="1"/>
  <c r="AX16" i="62" s="1"/>
  <c r="AY16" i="62" a="1"/>
  <c r="AY16" i="62" s="1"/>
  <c r="AZ16" i="62" a="1"/>
  <c r="AZ16" i="62" s="1"/>
  <c r="BA16" i="62" a="1"/>
  <c r="BA16" i="62" s="1"/>
  <c r="BC16" i="62" a="1"/>
  <c r="BC16" i="62" s="1"/>
  <c r="BD16" i="62" a="1"/>
  <c r="BD16" i="62" s="1"/>
  <c r="BE16" i="62" a="1"/>
  <c r="BE16" i="62" s="1"/>
  <c r="BF16" i="62" a="1"/>
  <c r="BF16" i="62" s="1"/>
  <c r="BG16" i="62" a="1"/>
  <c r="BG16" i="62" s="1"/>
  <c r="AT17" i="62" a="1"/>
  <c r="AT17" i="62" s="1"/>
  <c r="AU17" i="62" a="1"/>
  <c r="AU17" i="62" s="1"/>
  <c r="AV17" i="62" a="1"/>
  <c r="AV17" i="62" s="1"/>
  <c r="AW17" i="62" a="1"/>
  <c r="AW17" i="62" s="1"/>
  <c r="AX17" i="62" a="1"/>
  <c r="AX17" i="62" s="1"/>
  <c r="AY17" i="62" a="1"/>
  <c r="AY17" i="62" s="1"/>
  <c r="AZ17" i="62" a="1"/>
  <c r="AZ17" i="62" s="1"/>
  <c r="BA17" i="62" a="1"/>
  <c r="BA17" i="62" s="1"/>
  <c r="BC17" i="62" a="1"/>
  <c r="BC17" i="62" s="1"/>
  <c r="BD17" i="62" a="1"/>
  <c r="BD17" i="62" s="1"/>
  <c r="BE17" i="62" a="1"/>
  <c r="BE17" i="62" s="1"/>
  <c r="BF17" i="62" a="1"/>
  <c r="BF17" i="62" s="1"/>
  <c r="BG17" i="62" a="1"/>
  <c r="BG17" i="62" s="1"/>
  <c r="BE14" i="62" l="1"/>
  <c r="AZ14" i="62"/>
  <c r="AV14" i="62"/>
  <c r="BI14" i="67"/>
  <c r="BE14" i="67"/>
  <c r="AZ14" i="67"/>
  <c r="BH14" i="67"/>
  <c r="BD14" i="67"/>
  <c r="AY14" i="67"/>
  <c r="BG14" i="67"/>
  <c r="BC14" i="67"/>
  <c r="BF14" i="67"/>
  <c r="BB14" i="67"/>
  <c r="BH14" i="66"/>
  <c r="BG14" i="66"/>
  <c r="BF14" i="66"/>
  <c r="BI14" i="66"/>
  <c r="BE14" i="66"/>
  <c r="BD14" i="62"/>
  <c r="AY14" i="62"/>
  <c r="AU14" i="62"/>
  <c r="BG14" i="62"/>
  <c r="BC14" i="62"/>
  <c r="AX14" i="62"/>
  <c r="AT14" i="62"/>
  <c r="BF14" i="62"/>
  <c r="BA14" i="62"/>
  <c r="AW14" i="62"/>
  <c r="AK15" i="61" a="1"/>
  <c r="AK15" i="61" s="1"/>
  <c r="AL15" i="61" a="1"/>
  <c r="AL15" i="61" s="1"/>
  <c r="AM15" i="61" a="1"/>
  <c r="AM15" i="61" s="1"/>
  <c r="AN15" i="61" a="1"/>
  <c r="AN15" i="61" s="1"/>
  <c r="AO15" i="61" a="1"/>
  <c r="AO15" i="61" s="1"/>
  <c r="AP15" i="61" a="1"/>
  <c r="AP15" i="61" s="1"/>
  <c r="AQ15" i="61" a="1"/>
  <c r="AQ15" i="61" s="1"/>
  <c r="AR15" i="61" a="1"/>
  <c r="AR15" i="61" s="1"/>
  <c r="AS15" i="61" a="1"/>
  <c r="AS15" i="61" s="1"/>
  <c r="AT15" i="61" a="1"/>
  <c r="AT15" i="61" s="1"/>
  <c r="AU15" i="61" a="1"/>
  <c r="AU15" i="61" s="1"/>
  <c r="AV15" i="61" a="1"/>
  <c r="AV15" i="61" s="1"/>
  <c r="AW15" i="61" a="1"/>
  <c r="AW15" i="61" s="1"/>
  <c r="AX15" i="61" a="1"/>
  <c r="AX15" i="61" s="1"/>
  <c r="AY15" i="61" a="1"/>
  <c r="AY15" i="61" s="1"/>
  <c r="AZ15" i="61" a="1"/>
  <c r="AZ15" i="61" s="1"/>
  <c r="BA15" i="61" a="1"/>
  <c r="BA15" i="61" s="1"/>
  <c r="BB15" i="61" a="1"/>
  <c r="BB15" i="61" s="1"/>
  <c r="BC15" i="61" a="1"/>
  <c r="BC15" i="61" s="1"/>
  <c r="BD15" i="61" a="1"/>
  <c r="BD15" i="61" s="1"/>
  <c r="BE15" i="61" a="1"/>
  <c r="BE15" i="61" s="1"/>
  <c r="BF15" i="61" a="1"/>
  <c r="BF15" i="61" s="1"/>
  <c r="BG15" i="61" a="1"/>
  <c r="BG15" i="61" s="1"/>
  <c r="AK16" i="61" a="1"/>
  <c r="AK16" i="61" s="1"/>
  <c r="AL16" i="61" a="1"/>
  <c r="AL16" i="61" s="1"/>
  <c r="AM16" i="61" a="1"/>
  <c r="AM16" i="61" s="1"/>
  <c r="AN16" i="61" a="1"/>
  <c r="AN16" i="61" s="1"/>
  <c r="AO16" i="61" a="1"/>
  <c r="AO16" i="61" s="1"/>
  <c r="AP16" i="61" a="1"/>
  <c r="AP16" i="61" s="1"/>
  <c r="AQ16" i="61" a="1"/>
  <c r="AQ16" i="61" s="1"/>
  <c r="AR16" i="61" a="1"/>
  <c r="AR16" i="61" s="1"/>
  <c r="AS16" i="61" a="1"/>
  <c r="AS16" i="61" s="1"/>
  <c r="AT16" i="61" a="1"/>
  <c r="AT16" i="61" s="1"/>
  <c r="AU16" i="61" a="1"/>
  <c r="AU16" i="61" s="1"/>
  <c r="AV16" i="61" a="1"/>
  <c r="AV16" i="61" s="1"/>
  <c r="AW16" i="61" a="1"/>
  <c r="AW16" i="61" s="1"/>
  <c r="AX16" i="61" a="1"/>
  <c r="AX16" i="61" s="1"/>
  <c r="AY16" i="61" a="1"/>
  <c r="AY16" i="61" s="1"/>
  <c r="AZ16" i="61" a="1"/>
  <c r="AZ16" i="61" s="1"/>
  <c r="BA16" i="61" a="1"/>
  <c r="BA16" i="61" s="1"/>
  <c r="BB16" i="61" a="1"/>
  <c r="BB16" i="61" s="1"/>
  <c r="BC16" i="61" a="1"/>
  <c r="BC16" i="61" s="1"/>
  <c r="BD16" i="61" a="1"/>
  <c r="BD16" i="61" s="1"/>
  <c r="BE16" i="61" a="1"/>
  <c r="BE16" i="61" s="1"/>
  <c r="BF16" i="61" a="1"/>
  <c r="BF16" i="61" s="1"/>
  <c r="BG16" i="61" a="1"/>
  <c r="BG16" i="61" s="1"/>
  <c r="AK17" i="61" a="1"/>
  <c r="AK17" i="61" s="1"/>
  <c r="AL17" i="61" a="1"/>
  <c r="AL17" i="61" s="1"/>
  <c r="AM17" i="61" a="1"/>
  <c r="AM17" i="61" s="1"/>
  <c r="AN17" i="61" a="1"/>
  <c r="AN17" i="61" s="1"/>
  <c r="AO17" i="61" a="1"/>
  <c r="AO17" i="61" s="1"/>
  <c r="AP17" i="61" a="1"/>
  <c r="AP17" i="61" s="1"/>
  <c r="AQ17" i="61" a="1"/>
  <c r="AQ17" i="61" s="1"/>
  <c r="AR17" i="61" a="1"/>
  <c r="AR17" i="61" s="1"/>
  <c r="AS17" i="61" a="1"/>
  <c r="AS17" i="61" s="1"/>
  <c r="AT17" i="61" a="1"/>
  <c r="AT17" i="61" s="1"/>
  <c r="AU17" i="61" a="1"/>
  <c r="AU17" i="61" s="1"/>
  <c r="AV17" i="61" a="1"/>
  <c r="AV17" i="61" s="1"/>
  <c r="AW17" i="61" a="1"/>
  <c r="AW17" i="61" s="1"/>
  <c r="AX17" i="61" a="1"/>
  <c r="AX17" i="61" s="1"/>
  <c r="AY17" i="61" a="1"/>
  <c r="AY17" i="61" s="1"/>
  <c r="AZ17" i="61" a="1"/>
  <c r="AZ17" i="61" s="1"/>
  <c r="BA17" i="61" a="1"/>
  <c r="BA17" i="61" s="1"/>
  <c r="BB17" i="61" a="1"/>
  <c r="BB17" i="61" s="1"/>
  <c r="BC17" i="61" a="1"/>
  <c r="BC17" i="61" s="1"/>
  <c r="BD17" i="61" a="1"/>
  <c r="BD17" i="61" s="1"/>
  <c r="BE17" i="61" a="1"/>
  <c r="BE17" i="61" s="1"/>
  <c r="BF17" i="61" a="1"/>
  <c r="BF17" i="61" s="1"/>
  <c r="BG17" i="61" a="1"/>
  <c r="BG17" i="61" s="1"/>
  <c r="AM15" i="60" a="1"/>
  <c r="AM15" i="60" s="1"/>
  <c r="AN15" i="60" a="1"/>
  <c r="AN15" i="60" s="1"/>
  <c r="AO15" i="60" a="1"/>
  <c r="AO15" i="60" s="1"/>
  <c r="AP15" i="60" a="1"/>
  <c r="AP15" i="60" s="1"/>
  <c r="AQ15" i="60" a="1"/>
  <c r="AQ15" i="60" s="1"/>
  <c r="AR15" i="60" a="1"/>
  <c r="AR15" i="60" s="1"/>
  <c r="AS15" i="60" a="1"/>
  <c r="AS15" i="60" s="1"/>
  <c r="AT15" i="60" a="1"/>
  <c r="AT15" i="60" s="1"/>
  <c r="AU15" i="60" a="1"/>
  <c r="AU15" i="60" s="1"/>
  <c r="AV15" i="60" a="1"/>
  <c r="AV15" i="60" s="1"/>
  <c r="AW15" i="60" a="1"/>
  <c r="AW15" i="60" s="1"/>
  <c r="AX15" i="60" a="1"/>
  <c r="AX15" i="60" s="1"/>
  <c r="AY15" i="60" a="1"/>
  <c r="AY15" i="60" s="1"/>
  <c r="BA15" i="60" a="1"/>
  <c r="BA15" i="60" s="1"/>
  <c r="BB15" i="60" a="1"/>
  <c r="BB15" i="60" s="1"/>
  <c r="BC15" i="60" a="1"/>
  <c r="BC15" i="60" s="1"/>
  <c r="BD15" i="60" a="1"/>
  <c r="BD15" i="60" s="1"/>
  <c r="BE15" i="60" a="1"/>
  <c r="BE15" i="60" s="1"/>
  <c r="AM16" i="60" a="1"/>
  <c r="AM16" i="60" s="1"/>
  <c r="AN16" i="60" a="1"/>
  <c r="AN16" i="60" s="1"/>
  <c r="AO16" i="60" a="1"/>
  <c r="AO16" i="60" s="1"/>
  <c r="AP16" i="60" a="1"/>
  <c r="AP16" i="60" s="1"/>
  <c r="AQ16" i="60" a="1"/>
  <c r="AQ16" i="60" s="1"/>
  <c r="AR16" i="60" a="1"/>
  <c r="AR16" i="60" s="1"/>
  <c r="AS16" i="60" a="1"/>
  <c r="AS16" i="60" s="1"/>
  <c r="AT16" i="60" a="1"/>
  <c r="AT16" i="60" s="1"/>
  <c r="AU16" i="60" a="1"/>
  <c r="AU16" i="60" s="1"/>
  <c r="AV16" i="60" a="1"/>
  <c r="AV16" i="60" s="1"/>
  <c r="AW16" i="60" a="1"/>
  <c r="AW16" i="60" s="1"/>
  <c r="AX16" i="60" a="1"/>
  <c r="AX16" i="60" s="1"/>
  <c r="AY16" i="60" a="1"/>
  <c r="AY16" i="60" s="1"/>
  <c r="BA16" i="60" a="1"/>
  <c r="BA16" i="60" s="1"/>
  <c r="BB16" i="60" a="1"/>
  <c r="BB16" i="60" s="1"/>
  <c r="BC16" i="60" a="1"/>
  <c r="BC16" i="60" s="1"/>
  <c r="BD16" i="60" a="1"/>
  <c r="BD16" i="60" s="1"/>
  <c r="BE16" i="60" a="1"/>
  <c r="BE16" i="60" s="1"/>
  <c r="AM17" i="60" a="1"/>
  <c r="AM17" i="60" s="1"/>
  <c r="AN17" i="60" a="1"/>
  <c r="AN17" i="60" s="1"/>
  <c r="AO17" i="60" a="1"/>
  <c r="AO17" i="60" s="1"/>
  <c r="AP17" i="60" a="1"/>
  <c r="AP17" i="60" s="1"/>
  <c r="AQ17" i="60" a="1"/>
  <c r="AQ17" i="60" s="1"/>
  <c r="AR17" i="60" a="1"/>
  <c r="AR17" i="60" s="1"/>
  <c r="AS17" i="60" a="1"/>
  <c r="AS17" i="60" s="1"/>
  <c r="AT17" i="60" a="1"/>
  <c r="AT17" i="60" s="1"/>
  <c r="AU17" i="60" a="1"/>
  <c r="AU17" i="60" s="1"/>
  <c r="AV17" i="60" a="1"/>
  <c r="AV17" i="60" s="1"/>
  <c r="AW17" i="60" a="1"/>
  <c r="AW17" i="60" s="1"/>
  <c r="AX17" i="60" a="1"/>
  <c r="AX17" i="60" s="1"/>
  <c r="AY17" i="60" a="1"/>
  <c r="AY17" i="60" s="1"/>
  <c r="BA17" i="60" a="1"/>
  <c r="BA17" i="60" s="1"/>
  <c r="BB17" i="60" a="1"/>
  <c r="BB17" i="60" s="1"/>
  <c r="BC17" i="60" a="1"/>
  <c r="BC17" i="60" s="1"/>
  <c r="BD17" i="60" a="1"/>
  <c r="BD17" i="60" s="1"/>
  <c r="BE17" i="60" a="1"/>
  <c r="BE17" i="60" s="1"/>
  <c r="BE14" i="60" l="1"/>
  <c r="BB14" i="60"/>
  <c r="AW14" i="60"/>
  <c r="AS14" i="60"/>
  <c r="AO14" i="60"/>
  <c r="BA14" i="60"/>
  <c r="AV14" i="60"/>
  <c r="AR14" i="60"/>
  <c r="AN14" i="60"/>
  <c r="BG14" i="61"/>
  <c r="BC14" i="61"/>
  <c r="AY14" i="61"/>
  <c r="AU14" i="61"/>
  <c r="AM14" i="61"/>
  <c r="BF14" i="61"/>
  <c r="BB14" i="61"/>
  <c r="AX14" i="61"/>
  <c r="AT14" i="61"/>
  <c r="AP14" i="61"/>
  <c r="AL14" i="61"/>
  <c r="BE14" i="61"/>
  <c r="BA14" i="61"/>
  <c r="AW14" i="61"/>
  <c r="AS14" i="61"/>
  <c r="AK14" i="61"/>
  <c r="AQ14" i="61"/>
  <c r="AO14" i="61"/>
  <c r="BD14" i="61"/>
  <c r="AZ14" i="61"/>
  <c r="AV14" i="61"/>
  <c r="AR14" i="61"/>
  <c r="AN14" i="61"/>
  <c r="BD14" i="60"/>
  <c r="AY14" i="60"/>
  <c r="AU14" i="60"/>
  <c r="AQ14" i="60"/>
  <c r="AM14" i="60"/>
  <c r="BC14" i="60"/>
  <c r="AX14" i="60"/>
  <c r="AT14" i="60"/>
  <c r="AP14" i="60"/>
  <c r="BM15" i="11" a="1"/>
  <c r="BM15" i="11" s="1"/>
  <c r="AX15" i="11" a="1"/>
  <c r="AX15" i="11" s="1"/>
  <c r="AY15" i="11" a="1"/>
  <c r="AY15" i="11" s="1"/>
  <c r="AZ15" i="11" a="1"/>
  <c r="AZ15" i="11" s="1"/>
  <c r="BA15" i="11" a="1"/>
  <c r="BA15" i="11" s="1"/>
  <c r="BB15" i="11" a="1"/>
  <c r="BB15" i="11" s="1"/>
  <c r="BC15" i="11" a="1"/>
  <c r="BC15" i="11" s="1"/>
  <c r="BD15" i="11" a="1"/>
  <c r="BD15" i="11" s="1"/>
  <c r="BE15" i="11" a="1"/>
  <c r="BE15" i="11" s="1"/>
  <c r="BF15" i="11" a="1"/>
  <c r="BF15" i="11" s="1"/>
  <c r="BG15" i="11" a="1"/>
  <c r="BG15" i="11" s="1"/>
  <c r="BO15" i="11" a="1"/>
  <c r="BO15" i="11" s="1"/>
  <c r="BM16" i="11" a="1"/>
  <c r="BM16" i="11" s="1"/>
  <c r="AX16" i="11" a="1"/>
  <c r="AX16" i="11" s="1"/>
  <c r="AY16" i="11" a="1"/>
  <c r="AY16" i="11" s="1"/>
  <c r="AZ16" i="11" a="1"/>
  <c r="AZ16" i="11" s="1"/>
  <c r="BA16" i="11" a="1"/>
  <c r="BA16" i="11" s="1"/>
  <c r="BB16" i="11" a="1"/>
  <c r="BB16" i="11" s="1"/>
  <c r="BC16" i="11" a="1"/>
  <c r="BC16" i="11" s="1"/>
  <c r="BD16" i="11" a="1"/>
  <c r="BD16" i="11" s="1"/>
  <c r="BE16" i="11" a="1"/>
  <c r="BE16" i="11" s="1"/>
  <c r="BF16" i="11" a="1"/>
  <c r="BF16" i="11" s="1"/>
  <c r="BG16" i="11" a="1"/>
  <c r="BG16" i="11" s="1"/>
  <c r="BO16" i="11" a="1"/>
  <c r="BO16" i="11" s="1"/>
  <c r="BM17" i="11" a="1"/>
  <c r="BM17" i="11" s="1"/>
  <c r="AX17" i="11" a="1"/>
  <c r="AX17" i="11" s="1"/>
  <c r="AY17" i="11" a="1"/>
  <c r="AY17" i="11" s="1"/>
  <c r="AZ17" i="11" a="1"/>
  <c r="AZ17" i="11" s="1"/>
  <c r="BA17" i="11" a="1"/>
  <c r="BA17" i="11" s="1"/>
  <c r="BB17" i="11" a="1"/>
  <c r="BB17" i="11" s="1"/>
  <c r="BC17" i="11" a="1"/>
  <c r="BC17" i="11" s="1"/>
  <c r="BD17" i="11" a="1"/>
  <c r="BD17" i="11" s="1"/>
  <c r="BE17" i="11" a="1"/>
  <c r="BE17" i="11" s="1"/>
  <c r="BF17" i="11" a="1"/>
  <c r="BF17" i="11" s="1"/>
  <c r="BG17" i="11" a="1"/>
  <c r="BG17" i="11" s="1"/>
  <c r="BO17" i="11" a="1"/>
  <c r="BO17" i="11" s="1"/>
  <c r="BE14" i="11" l="1"/>
  <c r="BA14" i="11"/>
  <c r="BM14" i="11"/>
  <c r="BF14" i="11"/>
  <c r="BB14" i="11"/>
  <c r="AX14" i="11"/>
  <c r="BO14" i="11"/>
  <c r="BD14" i="11"/>
  <c r="AZ14" i="11"/>
  <c r="BG14" i="11"/>
  <c r="BC14" i="11"/>
  <c r="AY14" i="11"/>
  <c r="AF24" i="77" l="1" a="1"/>
  <c r="AF24" i="77" s="1"/>
  <c r="AF25" i="77" a="1"/>
  <c r="AF25" i="77" s="1"/>
  <c r="AF26" i="77" a="1"/>
  <c r="AF26" i="77" s="1"/>
  <c r="AD24" i="77" a="1"/>
  <c r="AD24" i="77" s="1"/>
  <c r="AE24" i="77" a="1"/>
  <c r="AE24" i="77" s="1"/>
  <c r="AD25" i="77" a="1"/>
  <c r="AD25" i="77" s="1"/>
  <c r="AE25" i="77" a="1"/>
  <c r="AE25" i="77" s="1"/>
  <c r="AD26" i="77" a="1"/>
  <c r="AD26" i="77" s="1"/>
  <c r="AE26" i="77" a="1"/>
  <c r="AE26" i="77" s="1"/>
  <c r="AD27" i="77" a="1"/>
  <c r="AD27" i="77" s="1"/>
  <c r="AE27" i="77" a="1"/>
  <c r="AE27" i="77" s="1"/>
  <c r="AF27" i="77" a="1"/>
  <c r="AF27" i="77" s="1"/>
  <c r="AD28" i="77" a="1"/>
  <c r="AD28" i="77" s="1"/>
  <c r="AE28" i="77" a="1"/>
  <c r="AE28" i="77" s="1"/>
  <c r="AF28" i="77" a="1"/>
  <c r="AF28" i="77" s="1"/>
  <c r="AG15" i="61" l="1" a="1"/>
  <c r="AG15" i="61" s="1"/>
  <c r="AH15" i="61" a="1"/>
  <c r="AH15" i="61" s="1"/>
  <c r="AI15" i="61" a="1"/>
  <c r="AI15" i="61" s="1"/>
  <c r="AJ15" i="61" a="1"/>
  <c r="AJ15" i="61" s="1"/>
  <c r="AG16" i="61" a="1"/>
  <c r="AG16" i="61" s="1"/>
  <c r="AH16" i="61" a="1"/>
  <c r="AH16" i="61" s="1"/>
  <c r="AI16" i="61" a="1"/>
  <c r="AI16" i="61" s="1"/>
  <c r="AJ16" i="61" a="1"/>
  <c r="AJ16" i="61" s="1"/>
  <c r="AG17" i="61" a="1"/>
  <c r="AG17" i="61" s="1"/>
  <c r="AH17" i="61" a="1"/>
  <c r="AH17" i="61" s="1"/>
  <c r="AI17" i="61" a="1"/>
  <c r="AI17" i="61" s="1"/>
  <c r="AJ17" i="61" a="1"/>
  <c r="AJ17" i="61" s="1"/>
  <c r="AG15" i="68" a="1"/>
  <c r="AG15" i="68" s="1"/>
  <c r="AH15" i="68" a="1"/>
  <c r="AH15" i="68" s="1"/>
  <c r="AI15" i="68" a="1"/>
  <c r="AI15" i="68" s="1"/>
  <c r="AJ15" i="68" a="1"/>
  <c r="AJ15" i="68" s="1"/>
  <c r="AK15" i="68" a="1"/>
  <c r="AK15" i="68" s="1"/>
  <c r="AL15" i="68" a="1"/>
  <c r="AL15" i="68" s="1"/>
  <c r="AM15" i="68" a="1"/>
  <c r="AM15" i="68" s="1"/>
  <c r="AN15" i="68" a="1"/>
  <c r="AN15" i="68" s="1"/>
  <c r="AO15" i="68" a="1"/>
  <c r="AO15" i="68" s="1"/>
  <c r="AP15" i="68" a="1"/>
  <c r="AP15" i="68" s="1"/>
  <c r="AQ15" i="68" a="1"/>
  <c r="AQ15" i="68" s="1"/>
  <c r="AR15" i="68" a="1"/>
  <c r="AR15" i="68" s="1"/>
  <c r="AS15" i="68" a="1"/>
  <c r="AS15" i="68" s="1"/>
  <c r="AT15" i="68" a="1"/>
  <c r="AT15" i="68" s="1"/>
  <c r="AU15" i="68" a="1"/>
  <c r="AU15" i="68" s="1"/>
  <c r="AV15" i="68" a="1"/>
  <c r="AV15" i="68" s="1"/>
  <c r="AW15" i="68" a="1"/>
  <c r="AW15" i="68" s="1"/>
  <c r="AX15" i="68" a="1"/>
  <c r="AX15" i="68" s="1"/>
  <c r="AY15" i="68" a="1"/>
  <c r="AY15" i="68" s="1"/>
  <c r="AZ15" i="68" a="1"/>
  <c r="AZ15" i="68" s="1"/>
  <c r="BA15" i="68" a="1"/>
  <c r="BA15" i="68" s="1"/>
  <c r="BB15" i="68" a="1"/>
  <c r="BB15" i="68" s="1"/>
  <c r="BC15" i="68" a="1"/>
  <c r="BC15" i="68" s="1"/>
  <c r="BD15" i="68" a="1"/>
  <c r="BD15" i="68" s="1"/>
  <c r="BE15" i="68" a="1"/>
  <c r="BE15" i="68" s="1"/>
  <c r="BN15" i="68" a="1"/>
  <c r="BN15" i="68" s="1"/>
  <c r="BF15" i="68" a="1"/>
  <c r="BF15" i="68" s="1"/>
  <c r="BG15" i="68" a="1"/>
  <c r="BG15" i="68" s="1"/>
  <c r="BH15" i="68" a="1"/>
  <c r="BH15" i="68" s="1"/>
  <c r="BI15" i="68" a="1"/>
  <c r="BI15" i="68" s="1"/>
  <c r="AG16" i="68" a="1"/>
  <c r="AG16" i="68" s="1"/>
  <c r="AH16" i="68" a="1"/>
  <c r="AH16" i="68" s="1"/>
  <c r="AI16" i="68" a="1"/>
  <c r="AI16" i="68" s="1"/>
  <c r="AJ16" i="68" a="1"/>
  <c r="AJ16" i="68" s="1"/>
  <c r="AK16" i="68" a="1"/>
  <c r="AK16" i="68" s="1"/>
  <c r="AL16" i="68" a="1"/>
  <c r="AL16" i="68" s="1"/>
  <c r="AM16" i="68" a="1"/>
  <c r="AM16" i="68" s="1"/>
  <c r="AN16" i="68" a="1"/>
  <c r="AN16" i="68" s="1"/>
  <c r="AO16" i="68" a="1"/>
  <c r="AO16" i="68" s="1"/>
  <c r="AP16" i="68" a="1"/>
  <c r="AP16" i="68" s="1"/>
  <c r="AQ16" i="68" a="1"/>
  <c r="AQ16" i="68" s="1"/>
  <c r="AR16" i="68" a="1"/>
  <c r="AR16" i="68" s="1"/>
  <c r="AS16" i="68" a="1"/>
  <c r="AS16" i="68" s="1"/>
  <c r="AT16" i="68" a="1"/>
  <c r="AT16" i="68" s="1"/>
  <c r="AU16" i="68" a="1"/>
  <c r="AU16" i="68" s="1"/>
  <c r="AV16" i="68" a="1"/>
  <c r="AV16" i="68" s="1"/>
  <c r="AW16" i="68" a="1"/>
  <c r="AW16" i="68" s="1"/>
  <c r="AX16" i="68" a="1"/>
  <c r="AX16" i="68" s="1"/>
  <c r="AY16" i="68" a="1"/>
  <c r="AY16" i="68" s="1"/>
  <c r="AZ16" i="68" a="1"/>
  <c r="AZ16" i="68" s="1"/>
  <c r="BA16" i="68" a="1"/>
  <c r="BA16" i="68" s="1"/>
  <c r="BB16" i="68" a="1"/>
  <c r="BB16" i="68" s="1"/>
  <c r="BC16" i="68" a="1"/>
  <c r="BC16" i="68" s="1"/>
  <c r="BD16" i="68" a="1"/>
  <c r="BD16" i="68" s="1"/>
  <c r="BE16" i="68" a="1"/>
  <c r="BE16" i="68" s="1"/>
  <c r="BN16" i="68" a="1"/>
  <c r="BN16" i="68" s="1"/>
  <c r="BF16" i="68" a="1"/>
  <c r="BF16" i="68" s="1"/>
  <c r="BG16" i="68" a="1"/>
  <c r="BG16" i="68" s="1"/>
  <c r="BH16" i="68" a="1"/>
  <c r="BH16" i="68" s="1"/>
  <c r="BI16" i="68" a="1"/>
  <c r="BI16" i="68" s="1"/>
  <c r="AG17" i="68" a="1"/>
  <c r="AG17" i="68" s="1"/>
  <c r="AH17" i="68" a="1"/>
  <c r="AH17" i="68" s="1"/>
  <c r="AI17" i="68" a="1"/>
  <c r="AI17" i="68" s="1"/>
  <c r="AJ17" i="68" a="1"/>
  <c r="AJ17" i="68" s="1"/>
  <c r="AK17" i="68" a="1"/>
  <c r="AK17" i="68" s="1"/>
  <c r="AL17" i="68" a="1"/>
  <c r="AL17" i="68" s="1"/>
  <c r="AM17" i="68" a="1"/>
  <c r="AM17" i="68" s="1"/>
  <c r="AN17" i="68" a="1"/>
  <c r="AN17" i="68" s="1"/>
  <c r="AO17" i="68" a="1"/>
  <c r="AO17" i="68" s="1"/>
  <c r="AP17" i="68" a="1"/>
  <c r="AP17" i="68" s="1"/>
  <c r="AQ17" i="68" a="1"/>
  <c r="AQ17" i="68" s="1"/>
  <c r="AR17" i="68" a="1"/>
  <c r="AR17" i="68" s="1"/>
  <c r="AS17" i="68" a="1"/>
  <c r="AS17" i="68" s="1"/>
  <c r="AT17" i="68" a="1"/>
  <c r="AT17" i="68" s="1"/>
  <c r="AU17" i="68" a="1"/>
  <c r="AU17" i="68" s="1"/>
  <c r="AV17" i="68" a="1"/>
  <c r="AV17" i="68" s="1"/>
  <c r="AW17" i="68" a="1"/>
  <c r="AW17" i="68" s="1"/>
  <c r="AX17" i="68" a="1"/>
  <c r="AX17" i="68" s="1"/>
  <c r="AY17" i="68" a="1"/>
  <c r="AY17" i="68" s="1"/>
  <c r="AZ17" i="68" a="1"/>
  <c r="AZ17" i="68" s="1"/>
  <c r="BA17" i="68" a="1"/>
  <c r="BA17" i="68" s="1"/>
  <c r="BB17" i="68" a="1"/>
  <c r="BB17" i="68" s="1"/>
  <c r="BC17" i="68" a="1"/>
  <c r="BC17" i="68" s="1"/>
  <c r="BD17" i="68" a="1"/>
  <c r="BD17" i="68" s="1"/>
  <c r="BE17" i="68" a="1"/>
  <c r="BE17" i="68" s="1"/>
  <c r="BN17" i="68" a="1"/>
  <c r="BN17" i="68" s="1"/>
  <c r="BF17" i="68" a="1"/>
  <c r="BF17" i="68" s="1"/>
  <c r="BG17" i="68" a="1"/>
  <c r="BG17" i="68" s="1"/>
  <c r="BH17" i="68" a="1"/>
  <c r="BH17" i="68" s="1"/>
  <c r="BI17" i="68" a="1"/>
  <c r="BI17" i="68" s="1"/>
  <c r="AG15" i="67" a="1"/>
  <c r="AG15" i="67" s="1"/>
  <c r="AG16" i="67" a="1"/>
  <c r="AG16" i="67" s="1"/>
  <c r="AG17" i="67" a="1"/>
  <c r="AG17" i="67" s="1"/>
  <c r="AI14" i="61" l="1"/>
  <c r="AH14" i="61"/>
  <c r="AG14" i="61"/>
  <c r="AJ14" i="61"/>
  <c r="BF14" i="68"/>
  <c r="BC14" i="68"/>
  <c r="AY14" i="68"/>
  <c r="AU14" i="68"/>
  <c r="AQ14" i="68"/>
  <c r="AM14" i="68"/>
  <c r="AI14" i="68"/>
  <c r="BI14" i="68"/>
  <c r="BN14" i="68"/>
  <c r="BB14" i="68"/>
  <c r="AX14" i="68"/>
  <c r="AT14" i="68"/>
  <c r="AP14" i="68"/>
  <c r="AL14" i="68"/>
  <c r="AH14" i="68"/>
  <c r="BH14" i="68"/>
  <c r="BE14" i="68"/>
  <c r="BA14" i="68"/>
  <c r="AW14" i="68"/>
  <c r="AS14" i="68"/>
  <c r="AO14" i="68"/>
  <c r="AK14" i="68"/>
  <c r="AG14" i="68"/>
  <c r="BG14" i="68"/>
  <c r="BD14" i="68"/>
  <c r="AZ14" i="68"/>
  <c r="AV14" i="68"/>
  <c r="AR14" i="68"/>
  <c r="AN14" i="68"/>
  <c r="AJ14" i="68"/>
  <c r="AG14" i="67"/>
  <c r="AG15" i="72" l="1" a="1"/>
  <c r="AG15" i="72" s="1"/>
  <c r="AM15" i="72" a="1"/>
  <c r="AM15" i="72" s="1"/>
  <c r="AN15" i="72" a="1"/>
  <c r="AN15" i="72" s="1"/>
  <c r="AG16" i="72" a="1"/>
  <c r="AG16" i="72" s="1"/>
  <c r="AM16" i="72" a="1"/>
  <c r="AM16" i="72" s="1"/>
  <c r="AN16" i="72" a="1"/>
  <c r="AN16" i="72" s="1"/>
  <c r="AG17" i="72" a="1"/>
  <c r="AG17" i="72" s="1"/>
  <c r="AM17" i="72" a="1"/>
  <c r="AM17" i="72" s="1"/>
  <c r="AN17" i="72" a="1"/>
  <c r="AN17" i="72" s="1"/>
  <c r="AN14" i="72" l="1"/>
  <c r="AM14" i="72"/>
  <c r="AG14" i="72"/>
  <c r="AG15" i="77" l="1" a="1"/>
  <c r="AG15" i="77" s="1"/>
  <c r="AH15" i="77" a="1"/>
  <c r="AH15" i="77" s="1"/>
  <c r="AI15" i="77" a="1"/>
  <c r="AI15" i="77" s="1"/>
  <c r="AJ15" i="77" a="1"/>
  <c r="AJ15" i="77" s="1"/>
  <c r="AK15" i="77" a="1"/>
  <c r="AK15" i="77" s="1"/>
  <c r="AL15" i="77" a="1"/>
  <c r="AL15" i="77" s="1"/>
  <c r="AM15" i="77" a="1"/>
  <c r="AM15" i="77" s="1"/>
  <c r="AN15" i="77" a="1"/>
  <c r="AN15" i="77" s="1"/>
  <c r="AO15" i="77" a="1"/>
  <c r="AO15" i="77" s="1"/>
  <c r="AP15" i="77" a="1"/>
  <c r="AP15" i="77" s="1"/>
  <c r="AG16" i="77" a="1"/>
  <c r="AG16" i="77" s="1"/>
  <c r="AH16" i="77" a="1"/>
  <c r="AH16" i="77" s="1"/>
  <c r="AI16" i="77" a="1"/>
  <c r="AI16" i="77" s="1"/>
  <c r="AJ16" i="77" a="1"/>
  <c r="AJ16" i="77" s="1"/>
  <c r="AK16" i="77" a="1"/>
  <c r="AK16" i="77" s="1"/>
  <c r="AL16" i="77" a="1"/>
  <c r="AL16" i="77" s="1"/>
  <c r="AM16" i="77" a="1"/>
  <c r="AM16" i="77" s="1"/>
  <c r="AN16" i="77" a="1"/>
  <c r="AN16" i="77" s="1"/>
  <c r="AO16" i="77" a="1"/>
  <c r="AO16" i="77" s="1"/>
  <c r="AP16" i="77" a="1"/>
  <c r="AP16" i="77" s="1"/>
  <c r="AG17" i="77" a="1"/>
  <c r="AG17" i="77" s="1"/>
  <c r="AH17" i="77" a="1"/>
  <c r="AH17" i="77" s="1"/>
  <c r="AI17" i="77" a="1"/>
  <c r="AI17" i="77" s="1"/>
  <c r="AJ17" i="77" a="1"/>
  <c r="AJ17" i="77" s="1"/>
  <c r="AK17" i="77" a="1"/>
  <c r="AK17" i="77" s="1"/>
  <c r="AL17" i="77" a="1"/>
  <c r="AL17" i="77" s="1"/>
  <c r="AM17" i="77" a="1"/>
  <c r="AM17" i="77" s="1"/>
  <c r="AN17" i="77" a="1"/>
  <c r="AN17" i="77" s="1"/>
  <c r="AO17" i="77" a="1"/>
  <c r="AO17" i="77" s="1"/>
  <c r="AP17" i="77" a="1"/>
  <c r="AP17" i="77" s="1"/>
  <c r="AG15" i="75" a="1"/>
  <c r="AG15" i="75" s="1"/>
  <c r="AH15" i="75" a="1"/>
  <c r="AH15" i="75" s="1"/>
  <c r="AI15" i="75" a="1"/>
  <c r="AI15" i="75" s="1"/>
  <c r="AJ15" i="75" a="1"/>
  <c r="AJ15" i="75" s="1"/>
  <c r="AG16" i="75" a="1"/>
  <c r="AG16" i="75" s="1"/>
  <c r="AH16" i="75" a="1"/>
  <c r="AH16" i="75" s="1"/>
  <c r="AI16" i="75" a="1"/>
  <c r="AI16" i="75" s="1"/>
  <c r="AJ16" i="75" a="1"/>
  <c r="AJ16" i="75" s="1"/>
  <c r="AG17" i="75" a="1"/>
  <c r="AG17" i="75" s="1"/>
  <c r="AH17" i="75" a="1"/>
  <c r="AH17" i="75" s="1"/>
  <c r="AI17" i="75" a="1"/>
  <c r="AI17" i="75" s="1"/>
  <c r="AJ17" i="75" a="1"/>
  <c r="AJ17" i="75" s="1"/>
  <c r="AG15" i="71" a="1"/>
  <c r="AG15" i="71" s="1"/>
  <c r="AH15" i="71" a="1"/>
  <c r="AH15" i="71" s="1"/>
  <c r="AI15" i="71" a="1"/>
  <c r="AI15" i="71" s="1"/>
  <c r="AJ15" i="71" a="1"/>
  <c r="AJ15" i="71" s="1"/>
  <c r="AK15" i="71" a="1"/>
  <c r="AK15" i="71" s="1"/>
  <c r="AL15" i="71" a="1"/>
  <c r="AL15" i="71" s="1"/>
  <c r="AS15" i="71" a="1"/>
  <c r="AS15" i="71" s="1"/>
  <c r="AM15" i="71" a="1"/>
  <c r="AM15" i="71" s="1"/>
  <c r="AN15" i="71" a="1"/>
  <c r="AN15" i="71" s="1"/>
  <c r="AO15" i="71" a="1"/>
  <c r="AO15" i="71" s="1"/>
  <c r="AP15" i="71" a="1"/>
  <c r="AP15" i="71" s="1"/>
  <c r="AR15" i="71" a="1"/>
  <c r="AR15" i="71" s="1"/>
  <c r="BB15" i="71" a="1"/>
  <c r="BB15" i="71" s="1"/>
  <c r="AT15" i="71" a="1"/>
  <c r="AT15" i="71" s="1"/>
  <c r="AU15" i="71" a="1"/>
  <c r="AU15" i="71" s="1"/>
  <c r="AV15" i="71" a="1"/>
  <c r="AV15" i="71" s="1"/>
  <c r="AW15" i="71" a="1"/>
  <c r="AW15" i="71" s="1"/>
  <c r="AX15" i="71" a="1"/>
  <c r="AX15" i="71" s="1"/>
  <c r="AY15" i="71" a="1"/>
  <c r="AY15" i="71" s="1"/>
  <c r="BC15" i="71" a="1"/>
  <c r="BC15" i="71" s="1"/>
  <c r="BG15" i="71" a="1"/>
  <c r="BG15" i="71" s="1"/>
  <c r="BH15" i="71" a="1"/>
  <c r="BH15" i="71" s="1"/>
  <c r="AG16" i="71" a="1"/>
  <c r="AG16" i="71" s="1"/>
  <c r="AH16" i="71" a="1"/>
  <c r="AH16" i="71" s="1"/>
  <c r="AI16" i="71" a="1"/>
  <c r="AI16" i="71" s="1"/>
  <c r="AJ16" i="71" a="1"/>
  <c r="AJ16" i="71" s="1"/>
  <c r="AK16" i="71" a="1"/>
  <c r="AK16" i="71" s="1"/>
  <c r="AL16" i="71" a="1"/>
  <c r="AL16" i="71" s="1"/>
  <c r="AS16" i="71" a="1"/>
  <c r="AS16" i="71" s="1"/>
  <c r="AM16" i="71" a="1"/>
  <c r="AM16" i="71" s="1"/>
  <c r="AN16" i="71" a="1"/>
  <c r="AN16" i="71" s="1"/>
  <c r="AO16" i="71" a="1"/>
  <c r="AO16" i="71" s="1"/>
  <c r="AP16" i="71" a="1"/>
  <c r="AP16" i="71" s="1"/>
  <c r="AR16" i="71" a="1"/>
  <c r="AR16" i="71" s="1"/>
  <c r="BB16" i="71" a="1"/>
  <c r="BB16" i="71" s="1"/>
  <c r="AT16" i="71" a="1"/>
  <c r="AT16" i="71" s="1"/>
  <c r="AU16" i="71" a="1"/>
  <c r="AU16" i="71" s="1"/>
  <c r="AV16" i="71" a="1"/>
  <c r="AV16" i="71" s="1"/>
  <c r="AW16" i="71" a="1"/>
  <c r="AW16" i="71" s="1"/>
  <c r="AX16" i="71" a="1"/>
  <c r="AX16" i="71" s="1"/>
  <c r="AY16" i="71" a="1"/>
  <c r="AY16" i="71" s="1"/>
  <c r="BC16" i="71" a="1"/>
  <c r="BC16" i="71" s="1"/>
  <c r="BG16" i="71" a="1"/>
  <c r="BG16" i="71" s="1"/>
  <c r="BH16" i="71" a="1"/>
  <c r="BH16" i="71" s="1"/>
  <c r="AG17" i="71" a="1"/>
  <c r="AG17" i="71" s="1"/>
  <c r="AH17" i="71" a="1"/>
  <c r="AH17" i="71" s="1"/>
  <c r="AI17" i="71" a="1"/>
  <c r="AI17" i="71" s="1"/>
  <c r="AJ17" i="71" a="1"/>
  <c r="AJ17" i="71" s="1"/>
  <c r="AK17" i="71" a="1"/>
  <c r="AK17" i="71" s="1"/>
  <c r="AL17" i="71" a="1"/>
  <c r="AL17" i="71" s="1"/>
  <c r="AS17" i="71" a="1"/>
  <c r="AS17" i="71" s="1"/>
  <c r="AM17" i="71" a="1"/>
  <c r="AM17" i="71" s="1"/>
  <c r="AN17" i="71" a="1"/>
  <c r="AN17" i="71" s="1"/>
  <c r="AO17" i="71" a="1"/>
  <c r="AO17" i="71" s="1"/>
  <c r="AP17" i="71" a="1"/>
  <c r="AP17" i="71" s="1"/>
  <c r="AR17" i="71" a="1"/>
  <c r="AR17" i="71" s="1"/>
  <c r="BB17" i="71" a="1"/>
  <c r="BB17" i="71" s="1"/>
  <c r="AT17" i="71" a="1"/>
  <c r="AT17" i="71" s="1"/>
  <c r="AU17" i="71" a="1"/>
  <c r="AU17" i="71" s="1"/>
  <c r="AV17" i="71" a="1"/>
  <c r="AV17" i="71" s="1"/>
  <c r="AW17" i="71" a="1"/>
  <c r="AW17" i="71" s="1"/>
  <c r="AX17" i="71" a="1"/>
  <c r="AX17" i="71" s="1"/>
  <c r="AY17" i="71" a="1"/>
  <c r="AY17" i="71" s="1"/>
  <c r="BC17" i="71" a="1"/>
  <c r="BC17" i="71" s="1"/>
  <c r="BG17" i="71" a="1"/>
  <c r="BG17" i="71" s="1"/>
  <c r="BH17" i="71" a="1"/>
  <c r="BH17" i="71" s="1"/>
  <c r="AH15" i="62" a="1"/>
  <c r="AH15" i="62" s="1"/>
  <c r="AI15" i="62" a="1"/>
  <c r="AI15" i="62" s="1"/>
  <c r="AJ15" i="62" a="1"/>
  <c r="AJ15" i="62" s="1"/>
  <c r="AK15" i="62" a="1"/>
  <c r="AK15" i="62" s="1"/>
  <c r="AL15" i="62" a="1"/>
  <c r="AL15" i="62" s="1"/>
  <c r="AM15" i="62" a="1"/>
  <c r="AM15" i="62" s="1"/>
  <c r="AN15" i="62" a="1"/>
  <c r="AN15" i="62" s="1"/>
  <c r="AO15" i="62" a="1"/>
  <c r="AO15" i="62" s="1"/>
  <c r="AP15" i="62" a="1"/>
  <c r="AP15" i="62" s="1"/>
  <c r="AQ15" i="62" a="1"/>
  <c r="AQ15" i="62" s="1"/>
  <c r="AR15" i="62" a="1"/>
  <c r="AR15" i="62" s="1"/>
  <c r="AS15" i="62" a="1"/>
  <c r="AS15" i="62" s="1"/>
  <c r="AH16" i="62" a="1"/>
  <c r="AH16" i="62" s="1"/>
  <c r="AI16" i="62" a="1"/>
  <c r="AI16" i="62" s="1"/>
  <c r="AJ16" i="62" a="1"/>
  <c r="AJ16" i="62" s="1"/>
  <c r="AK16" i="62" a="1"/>
  <c r="AK16" i="62" s="1"/>
  <c r="AL16" i="62" a="1"/>
  <c r="AL16" i="62" s="1"/>
  <c r="AM16" i="62" a="1"/>
  <c r="AM16" i="62" s="1"/>
  <c r="AN16" i="62" a="1"/>
  <c r="AN16" i="62" s="1"/>
  <c r="AO16" i="62" a="1"/>
  <c r="AO16" i="62" s="1"/>
  <c r="AP16" i="62" a="1"/>
  <c r="AP16" i="62" s="1"/>
  <c r="AQ16" i="62" a="1"/>
  <c r="AQ16" i="62" s="1"/>
  <c r="AR16" i="62" a="1"/>
  <c r="AR16" i="62" s="1"/>
  <c r="AS16" i="62" a="1"/>
  <c r="AS16" i="62" s="1"/>
  <c r="AH17" i="62" a="1"/>
  <c r="AH17" i="62" s="1"/>
  <c r="AI17" i="62" a="1"/>
  <c r="AI17" i="62" s="1"/>
  <c r="AJ17" i="62" a="1"/>
  <c r="AJ17" i="62" s="1"/>
  <c r="AK17" i="62" a="1"/>
  <c r="AK17" i="62" s="1"/>
  <c r="AL17" i="62" a="1"/>
  <c r="AL17" i="62" s="1"/>
  <c r="AM17" i="62" a="1"/>
  <c r="AM17" i="62" s="1"/>
  <c r="AN17" i="62" a="1"/>
  <c r="AN17" i="62" s="1"/>
  <c r="AO17" i="62" a="1"/>
  <c r="AO17" i="62" s="1"/>
  <c r="AP17" i="62" a="1"/>
  <c r="AP17" i="62" s="1"/>
  <c r="AQ17" i="62" a="1"/>
  <c r="AQ17" i="62" s="1"/>
  <c r="AR17" i="62" a="1"/>
  <c r="AR17" i="62" s="1"/>
  <c r="AS17" i="62" a="1"/>
  <c r="AS17" i="62" s="1"/>
  <c r="AH15" i="74" a="1"/>
  <c r="AH15" i="74" s="1"/>
  <c r="AI15" i="74" a="1"/>
  <c r="AI15" i="74" s="1"/>
  <c r="AJ15" i="74" a="1"/>
  <c r="AJ15" i="74" s="1"/>
  <c r="BU15" i="74" a="1"/>
  <c r="BU15" i="74" s="1"/>
  <c r="AK15" i="74" a="1"/>
  <c r="AK15" i="74" s="1"/>
  <c r="AH16" i="74" a="1"/>
  <c r="AH16" i="74" s="1"/>
  <c r="AI16" i="74" a="1"/>
  <c r="AI16" i="74" s="1"/>
  <c r="AJ16" i="74" a="1"/>
  <c r="AJ16" i="74" s="1"/>
  <c r="BU16" i="74" a="1"/>
  <c r="BU16" i="74" s="1"/>
  <c r="AK16" i="74" a="1"/>
  <c r="AK16" i="74" s="1"/>
  <c r="AH17" i="74" a="1"/>
  <c r="AH17" i="74" s="1"/>
  <c r="AI17" i="74" a="1"/>
  <c r="AI17" i="74" s="1"/>
  <c r="AJ17" i="74" a="1"/>
  <c r="AJ17" i="74" s="1"/>
  <c r="BU17" i="74" a="1"/>
  <c r="BU17" i="74" s="1"/>
  <c r="AK17" i="74" a="1"/>
  <c r="AK17" i="74" s="1"/>
  <c r="AI14" i="75" l="1"/>
  <c r="AX14" i="71"/>
  <c r="AT14" i="71"/>
  <c r="AP14" i="71"/>
  <c r="AS14" i="71"/>
  <c r="AI14" i="71"/>
  <c r="AP14" i="62"/>
  <c r="AL14" i="62"/>
  <c r="AH14" i="62"/>
  <c r="AR14" i="62"/>
  <c r="AN14" i="62"/>
  <c r="AJ14" i="62"/>
  <c r="AQ14" i="62"/>
  <c r="AM14" i="62"/>
  <c r="AI14" i="62"/>
  <c r="AP14" i="77"/>
  <c r="AL14" i="77"/>
  <c r="AO14" i="77"/>
  <c r="AK14" i="77"/>
  <c r="AG14" i="77"/>
  <c r="AN14" i="77"/>
  <c r="AJ14" i="77"/>
  <c r="AM14" i="77"/>
  <c r="AI14" i="77"/>
  <c r="AH14" i="77"/>
  <c r="AH14" i="75"/>
  <c r="AG14" i="75"/>
  <c r="AJ14" i="75"/>
  <c r="BC14" i="71"/>
  <c r="AW14" i="71"/>
  <c r="AO14" i="71"/>
  <c r="AH14" i="71"/>
  <c r="BH14" i="71"/>
  <c r="AV14" i="71"/>
  <c r="BB14" i="71"/>
  <c r="AN14" i="71"/>
  <c r="AK14" i="71"/>
  <c r="AG14" i="71"/>
  <c r="BG14" i="71"/>
  <c r="AY14" i="71"/>
  <c r="AU14" i="71"/>
  <c r="AR14" i="71"/>
  <c r="AM14" i="71"/>
  <c r="AJ14" i="71"/>
  <c r="AL14" i="71"/>
  <c r="AS14" i="62"/>
  <c r="AO14" i="62"/>
  <c r="AK14" i="62"/>
  <c r="AJ14" i="74"/>
  <c r="BU14" i="74"/>
  <c r="AI14" i="74"/>
  <c r="AK14" i="74"/>
  <c r="AH14" i="74"/>
  <c r="BJ15" i="68" a="1"/>
  <c r="BJ15" i="68" s="1"/>
  <c r="BJ16" i="68" a="1"/>
  <c r="BJ16" i="68" s="1"/>
  <c r="BJ17" i="68" a="1"/>
  <c r="BJ17" i="68" s="1"/>
  <c r="BJ14" i="68" l="1"/>
  <c r="T70" i="79"/>
  <c r="U70" i="79"/>
  <c r="V70" i="79" s="1"/>
  <c r="AD70" i="79" a="1"/>
  <c r="AD70" i="79" s="1"/>
  <c r="AE70" i="79" a="1"/>
  <c r="AE70" i="79" s="1"/>
  <c r="AF70" i="79" a="1"/>
  <c r="AF70" i="79" s="1"/>
  <c r="AD71" i="11" l="1" a="1"/>
  <c r="AD71" i="11" s="1"/>
  <c r="AE71" i="11" a="1"/>
  <c r="AE71" i="11" s="1"/>
  <c r="AF71" i="11" a="1"/>
  <c r="AF71" i="11" s="1"/>
  <c r="AD72" i="11" a="1"/>
  <c r="AD72" i="11" s="1"/>
  <c r="AE72" i="11" a="1"/>
  <c r="AE72" i="11" s="1"/>
  <c r="AF72" i="11" a="1"/>
  <c r="AF72" i="11" s="1"/>
  <c r="AD73" i="11" a="1"/>
  <c r="AD73" i="11" s="1"/>
  <c r="AE73" i="11" a="1"/>
  <c r="AE73" i="11" s="1"/>
  <c r="AF73" i="11" a="1"/>
  <c r="AF73" i="11" s="1"/>
  <c r="AD74" i="11" a="1"/>
  <c r="AD74" i="11" s="1"/>
  <c r="AE74" i="11" a="1"/>
  <c r="AE74" i="11" s="1"/>
  <c r="AF74" i="11" a="1"/>
  <c r="AF74" i="11" s="1"/>
  <c r="AD75" i="11" a="1"/>
  <c r="AD75" i="11" s="1"/>
  <c r="AE75" i="11" a="1"/>
  <c r="AE75" i="11" s="1"/>
  <c r="AF75" i="11" a="1"/>
  <c r="AF75" i="11" s="1"/>
  <c r="AD76" i="11" a="1"/>
  <c r="AD76" i="11" s="1"/>
  <c r="AE76" i="11" a="1"/>
  <c r="AE76" i="11" s="1"/>
  <c r="AF76" i="11" a="1"/>
  <c r="AF76" i="11" s="1"/>
  <c r="T73" i="11"/>
  <c r="U73" i="11"/>
  <c r="V73" i="11"/>
  <c r="U71" i="61"/>
  <c r="V71" i="61"/>
  <c r="AD71" i="61" a="1"/>
  <c r="AD71" i="61" s="1"/>
  <c r="AE71" i="61" a="1"/>
  <c r="AE71" i="61" s="1"/>
  <c r="AF71" i="61" a="1"/>
  <c r="AF71" i="61" s="1"/>
  <c r="T69" i="79" l="1"/>
  <c r="U69" i="79"/>
  <c r="V69" i="79" s="1"/>
  <c r="AD69" i="79" a="1"/>
  <c r="AD69" i="79" s="1"/>
  <c r="AE69" i="79" a="1"/>
  <c r="AE69" i="79" s="1"/>
  <c r="AF69" i="79" a="1"/>
  <c r="AF69" i="79" s="1"/>
  <c r="T70" i="68"/>
  <c r="U70" i="68"/>
  <c r="V70" i="68" s="1"/>
  <c r="AD70" i="68" a="1"/>
  <c r="AD70" i="68" s="1"/>
  <c r="AE70" i="68" a="1"/>
  <c r="AE70" i="68" s="1"/>
  <c r="AF70" i="68" a="1"/>
  <c r="AF70" i="68" s="1"/>
  <c r="U69" i="60" l="1"/>
  <c r="V69" i="60"/>
  <c r="U67" i="62"/>
  <c r="V67" i="62" s="1"/>
  <c r="T68" i="66" l="1"/>
  <c r="U68" i="66"/>
  <c r="V68" i="66" s="1"/>
  <c r="AD68" i="66" a="1"/>
  <c r="AD68" i="66" s="1"/>
  <c r="AE68" i="66" a="1"/>
  <c r="AE68" i="66" s="1"/>
  <c r="AF68" i="66" a="1"/>
  <c r="AF68" i="66" s="1"/>
  <c r="U70" i="61"/>
  <c r="V70" i="61"/>
  <c r="AD70" i="61" a="1"/>
  <c r="AD70" i="61" s="1"/>
  <c r="AE70" i="61" a="1"/>
  <c r="AE70" i="61" s="1"/>
  <c r="AF70" i="61" a="1"/>
  <c r="AF70" i="61" s="1"/>
  <c r="T72" i="11"/>
  <c r="U72" i="11"/>
  <c r="V72" i="11"/>
  <c r="U66" i="62" l="1"/>
  <c r="V66" i="62" s="1"/>
  <c r="U68" i="60"/>
  <c r="V68" i="60"/>
  <c r="U67" i="60" l="1"/>
  <c r="V67" i="60"/>
  <c r="U65" i="62"/>
  <c r="V65" i="62" s="1"/>
  <c r="U64" i="62" l="1"/>
  <c r="V64" i="62" s="1"/>
  <c r="U66" i="60"/>
  <c r="V66" i="60" s="1"/>
  <c r="U65" i="60" l="1"/>
  <c r="V65" i="60" s="1"/>
  <c r="U63" i="62"/>
  <c r="V63" i="62" s="1"/>
  <c r="U66" i="59" l="1"/>
  <c r="V66" i="59" s="1"/>
  <c r="U67" i="59"/>
  <c r="V67" i="59"/>
  <c r="U68" i="59"/>
  <c r="V68" i="59" s="1"/>
  <c r="U69" i="59"/>
  <c r="V69" i="59"/>
  <c r="U70" i="59"/>
  <c r="V70" i="59" s="1"/>
  <c r="U71" i="59"/>
  <c r="V71" i="59" s="1"/>
  <c r="U62" i="62"/>
  <c r="V62" i="62" s="1"/>
  <c r="U61" i="62"/>
  <c r="V61" i="62" s="1"/>
  <c r="U63" i="60"/>
  <c r="V63" i="60" s="1"/>
  <c r="U62" i="60"/>
  <c r="V62" i="60" s="1"/>
  <c r="U65" i="59"/>
  <c r="V65" i="59" s="1"/>
  <c r="AE74" i="73" l="1" a="1"/>
  <c r="AE74" i="73" s="1"/>
  <c r="AF74" i="73" a="1"/>
  <c r="AF74" i="73" s="1"/>
  <c r="T67" i="78"/>
  <c r="U67" i="78"/>
  <c r="V67" i="78"/>
  <c r="AD67" i="78" a="1"/>
  <c r="AD67" i="78" s="1"/>
  <c r="AE67" i="78" a="1"/>
  <c r="AE67" i="78" s="1"/>
  <c r="AF67" i="78" a="1"/>
  <c r="AF67" i="78" s="1"/>
  <c r="U60" i="62" l="1"/>
  <c r="V60" i="62" s="1"/>
  <c r="U61" i="60"/>
  <c r="V61" i="60" s="1"/>
  <c r="U64" i="59"/>
  <c r="V64" i="59" s="1"/>
  <c r="U61" i="76" l="1"/>
  <c r="V61" i="76" s="1"/>
  <c r="U62" i="76"/>
  <c r="V62" i="76" s="1"/>
  <c r="U63" i="76"/>
  <c r="V63" i="76" s="1"/>
  <c r="U67" i="76"/>
  <c r="V67" i="76" s="1"/>
  <c r="U68" i="76"/>
  <c r="V68" i="76"/>
  <c r="U69" i="76"/>
  <c r="V69" i="76" s="1"/>
  <c r="U70" i="76"/>
  <c r="V70" i="76" s="1"/>
  <c r="U71" i="76"/>
  <c r="V71" i="76" s="1"/>
  <c r="U72" i="76"/>
  <c r="V72" i="76" s="1"/>
  <c r="O61" i="76"/>
  <c r="P61" i="76" s="1"/>
  <c r="O62" i="76"/>
  <c r="P62" i="76" s="1"/>
  <c r="O63" i="76"/>
  <c r="P63" i="76" s="1"/>
  <c r="U58" i="75"/>
  <c r="V58" i="75" s="1"/>
  <c r="U59" i="75"/>
  <c r="V59" i="75" s="1"/>
  <c r="U60" i="75"/>
  <c r="V60" i="75" s="1"/>
  <c r="U61" i="75"/>
  <c r="V61" i="75" s="1"/>
  <c r="U62" i="75"/>
  <c r="V62" i="75" s="1"/>
  <c r="U63" i="75"/>
  <c r="V63" i="75" s="1"/>
  <c r="U64" i="75"/>
  <c r="V64" i="75" s="1"/>
  <c r="U65" i="75"/>
  <c r="V65" i="75" s="1"/>
  <c r="U66" i="75"/>
  <c r="V66" i="75" s="1"/>
  <c r="U67" i="75"/>
  <c r="V67" i="75" s="1"/>
  <c r="U68" i="75"/>
  <c r="V68" i="75" s="1"/>
  <c r="O58" i="75"/>
  <c r="P58" i="75" s="1"/>
  <c r="O59" i="75"/>
  <c r="P59" i="75" s="1"/>
  <c r="O60" i="75"/>
  <c r="P60" i="75" s="1"/>
  <c r="O61" i="75"/>
  <c r="P61" i="75" s="1"/>
  <c r="O62" i="75"/>
  <c r="P62" i="75" s="1"/>
  <c r="O63" i="75"/>
  <c r="P63" i="75" s="1"/>
  <c r="O64" i="75"/>
  <c r="P64" i="75" s="1"/>
  <c r="O65" i="75"/>
  <c r="P65" i="75" s="1"/>
  <c r="U59" i="74"/>
  <c r="V59" i="74" s="1"/>
  <c r="U60" i="74"/>
  <c r="V60" i="74" s="1"/>
  <c r="U61" i="74"/>
  <c r="V61" i="74" s="1"/>
  <c r="U62" i="74"/>
  <c r="V62" i="74" s="1"/>
  <c r="U63" i="74"/>
  <c r="V63" i="74" s="1"/>
  <c r="U64" i="74"/>
  <c r="V64" i="74" s="1"/>
  <c r="U65" i="74"/>
  <c r="V65" i="74" s="1"/>
  <c r="U66" i="74"/>
  <c r="V66" i="74" s="1"/>
  <c r="U67" i="74"/>
  <c r="V67" i="74" s="1"/>
  <c r="U68" i="74"/>
  <c r="V68" i="74" s="1"/>
  <c r="O59" i="74"/>
  <c r="P59" i="74" s="1"/>
  <c r="O60" i="74"/>
  <c r="P60" i="74" s="1"/>
  <c r="O61" i="74"/>
  <c r="P61" i="74" s="1"/>
  <c r="O62" i="74"/>
  <c r="P62" i="74" s="1"/>
  <c r="O63" i="74"/>
  <c r="P63" i="74" s="1"/>
  <c r="O64" i="74"/>
  <c r="P64" i="74" s="1"/>
  <c r="O65" i="74"/>
  <c r="P65" i="74" s="1"/>
  <c r="O66" i="74"/>
  <c r="P66" i="74" s="1"/>
  <c r="U63" i="73"/>
  <c r="V63" i="73" s="1"/>
  <c r="U64" i="73"/>
  <c r="V64" i="73" s="1"/>
  <c r="U65" i="73"/>
  <c r="V65" i="73" s="1"/>
  <c r="U66" i="73"/>
  <c r="V66" i="73" s="1"/>
  <c r="U67" i="73"/>
  <c r="V67" i="73" s="1"/>
  <c r="O63" i="73"/>
  <c r="P63" i="73" s="1"/>
  <c r="O64" i="73"/>
  <c r="P64" i="73" s="1"/>
  <c r="O65" i="73"/>
  <c r="P65" i="73" s="1"/>
  <c r="O66" i="73"/>
  <c r="P66" i="73" s="1"/>
  <c r="O67" i="73"/>
  <c r="P67" i="73" s="1"/>
  <c r="U62" i="72"/>
  <c r="V62" i="72" s="1"/>
  <c r="U63" i="72"/>
  <c r="V63" i="72" s="1"/>
  <c r="U64" i="72"/>
  <c r="V64" i="72" s="1"/>
  <c r="U65" i="72"/>
  <c r="V65" i="72" s="1"/>
  <c r="U66" i="72"/>
  <c r="V66" i="72" s="1"/>
  <c r="U67" i="72"/>
  <c r="V67" i="72" s="1"/>
  <c r="U68" i="72"/>
  <c r="V68" i="72" s="1"/>
  <c r="U69" i="72"/>
  <c r="V69" i="72" s="1"/>
  <c r="U70" i="72"/>
  <c r="V70" i="72" s="1"/>
  <c r="U71" i="72"/>
  <c r="V71" i="72" s="1"/>
  <c r="O62" i="72"/>
  <c r="P62" i="72" s="1"/>
  <c r="O63" i="72"/>
  <c r="P63" i="72" s="1"/>
  <c r="O64" i="72"/>
  <c r="P64" i="72" s="1"/>
  <c r="O65" i="72"/>
  <c r="P65" i="72" s="1"/>
  <c r="O66" i="72"/>
  <c r="P66" i="72" s="1"/>
  <c r="U58" i="71"/>
  <c r="V58" i="71" s="1"/>
  <c r="U59" i="71"/>
  <c r="V59" i="71" s="1"/>
  <c r="U60" i="71"/>
  <c r="V60" i="71" s="1"/>
  <c r="U61" i="71"/>
  <c r="V61" i="71" s="1"/>
  <c r="U62" i="71"/>
  <c r="V62" i="71" s="1"/>
  <c r="U63" i="71"/>
  <c r="V63" i="71" s="1"/>
  <c r="U64" i="71"/>
  <c r="V64" i="71" s="1"/>
  <c r="U65" i="71"/>
  <c r="V65" i="71" s="1"/>
  <c r="U66" i="71"/>
  <c r="V66" i="71" s="1"/>
  <c r="U67" i="71"/>
  <c r="V67" i="71" s="1"/>
  <c r="U68" i="71"/>
  <c r="V68" i="71" s="1"/>
  <c r="O58" i="71"/>
  <c r="P58" i="71" s="1"/>
  <c r="O59" i="71"/>
  <c r="P59" i="71" s="1"/>
  <c r="O60" i="71"/>
  <c r="P60" i="71" s="1"/>
  <c r="O61" i="71"/>
  <c r="P61" i="71" s="1"/>
  <c r="O62" i="71"/>
  <c r="P62" i="71" s="1"/>
  <c r="O63" i="71"/>
  <c r="P63" i="71" s="1"/>
  <c r="O64" i="71"/>
  <c r="P64" i="71" s="1"/>
  <c r="O65" i="71"/>
  <c r="P65" i="71" s="1"/>
  <c r="U59" i="70"/>
  <c r="V59" i="70" s="1"/>
  <c r="U60" i="70"/>
  <c r="V60" i="70" s="1"/>
  <c r="U61" i="70"/>
  <c r="V61" i="70" s="1"/>
  <c r="U62" i="70"/>
  <c r="V62" i="70" s="1"/>
  <c r="U63" i="70"/>
  <c r="V63" i="70" s="1"/>
  <c r="U64" i="70"/>
  <c r="V64" i="70" s="1"/>
  <c r="U65" i="70"/>
  <c r="V65" i="70" s="1"/>
  <c r="U66" i="70"/>
  <c r="V66" i="70" s="1"/>
  <c r="U67" i="70"/>
  <c r="V67" i="70" s="1"/>
  <c r="U68" i="70"/>
  <c r="V68" i="70" s="1"/>
  <c r="U69" i="70"/>
  <c r="V69" i="70" s="1"/>
  <c r="O59" i="70"/>
  <c r="P59" i="70" s="1"/>
  <c r="O60" i="70"/>
  <c r="P60" i="70" s="1"/>
  <c r="O61" i="70"/>
  <c r="P61" i="70" s="1"/>
  <c r="O62" i="70"/>
  <c r="P62" i="70" s="1"/>
  <c r="O63" i="70"/>
  <c r="P63" i="70" s="1"/>
  <c r="O64" i="70"/>
  <c r="P64" i="70" s="1"/>
  <c r="O65" i="70"/>
  <c r="P65" i="70" s="1"/>
  <c r="O66" i="70"/>
  <c r="P66" i="70" s="1"/>
  <c r="U58" i="69"/>
  <c r="V58" i="69" s="1"/>
  <c r="U59" i="69"/>
  <c r="V59" i="69" s="1"/>
  <c r="U60" i="69"/>
  <c r="V60" i="69" s="1"/>
  <c r="U61" i="69"/>
  <c r="V61" i="69" s="1"/>
  <c r="U62" i="69"/>
  <c r="V62" i="69" s="1"/>
  <c r="U64" i="69"/>
  <c r="V64" i="69" s="1"/>
  <c r="U65" i="69"/>
  <c r="V65" i="69" s="1"/>
  <c r="U66" i="69"/>
  <c r="V66" i="69" s="1"/>
  <c r="U67" i="69"/>
  <c r="V67" i="69" s="1"/>
  <c r="O58" i="69"/>
  <c r="P58" i="69" s="1"/>
  <c r="O59" i="69"/>
  <c r="P59" i="69" s="1"/>
  <c r="O60" i="69"/>
  <c r="P60" i="69" s="1"/>
  <c r="O61" i="69"/>
  <c r="P61" i="69" s="1"/>
  <c r="O62" i="69"/>
  <c r="P62" i="69" s="1"/>
  <c r="O64" i="69"/>
  <c r="P64" i="69" s="1"/>
  <c r="O65" i="69"/>
  <c r="P65" i="69" s="1"/>
  <c r="U60" i="68"/>
  <c r="V60" i="68" s="1"/>
  <c r="U61" i="68"/>
  <c r="V61" i="68" s="1"/>
  <c r="U62" i="68"/>
  <c r="V62" i="68" s="1"/>
  <c r="U63" i="68"/>
  <c r="V63" i="68" s="1"/>
  <c r="U64" i="68"/>
  <c r="V64" i="68" s="1"/>
  <c r="U65" i="68"/>
  <c r="V65" i="68" s="1"/>
  <c r="U66" i="68"/>
  <c r="V66" i="68" s="1"/>
  <c r="U67" i="68"/>
  <c r="V67" i="68" s="1"/>
  <c r="U68" i="68"/>
  <c r="V68" i="68" s="1"/>
  <c r="U69" i="68"/>
  <c r="V69" i="68" s="1"/>
  <c r="O60" i="68"/>
  <c r="P60" i="68" s="1"/>
  <c r="O61" i="68"/>
  <c r="P61" i="68" s="1"/>
  <c r="O62" i="68"/>
  <c r="P62" i="68" s="1"/>
  <c r="O63" i="68"/>
  <c r="P63" i="68" s="1"/>
  <c r="O64" i="68"/>
  <c r="P64" i="68" s="1"/>
  <c r="O65" i="68"/>
  <c r="P65" i="68" s="1"/>
  <c r="O66" i="68"/>
  <c r="P66" i="68" s="1"/>
  <c r="O67" i="68"/>
  <c r="P67" i="68" s="1"/>
  <c r="U57" i="67"/>
  <c r="V57" i="67" s="1"/>
  <c r="U58" i="67"/>
  <c r="V58" i="67" s="1"/>
  <c r="U59" i="67"/>
  <c r="V59" i="67" s="1"/>
  <c r="U60" i="67"/>
  <c r="V60" i="67" s="1"/>
  <c r="U61" i="67"/>
  <c r="V61" i="67" s="1"/>
  <c r="U62" i="67"/>
  <c r="V62" i="67" s="1"/>
  <c r="U63" i="67"/>
  <c r="V63" i="67" s="1"/>
  <c r="U64" i="67"/>
  <c r="V64" i="67" s="1"/>
  <c r="U65" i="67"/>
  <c r="V65" i="67" s="1"/>
  <c r="U66" i="67"/>
  <c r="V66" i="67" s="1"/>
  <c r="O57" i="67"/>
  <c r="P57" i="67" s="1"/>
  <c r="O58" i="67"/>
  <c r="P58" i="67" s="1"/>
  <c r="O59" i="67"/>
  <c r="P59" i="67" s="1"/>
  <c r="O60" i="67"/>
  <c r="P60" i="67" s="1"/>
  <c r="O61" i="67"/>
  <c r="P61" i="67" s="1"/>
  <c r="O62" i="67"/>
  <c r="P62" i="67" s="1"/>
  <c r="O63" i="67"/>
  <c r="P63" i="67" s="1"/>
  <c r="O64" i="67"/>
  <c r="P64" i="67" s="1"/>
  <c r="O65" i="67"/>
  <c r="P65" i="67" s="1"/>
  <c r="U57" i="66"/>
  <c r="V57" i="66" s="1"/>
  <c r="U58" i="66"/>
  <c r="V58" i="66" s="1"/>
  <c r="U59" i="66"/>
  <c r="V59" i="66" s="1"/>
  <c r="U60" i="66"/>
  <c r="V60" i="66" s="1"/>
  <c r="U61" i="66"/>
  <c r="V61" i="66" s="1"/>
  <c r="U62" i="66"/>
  <c r="V62" i="66" s="1"/>
  <c r="U64" i="66"/>
  <c r="V64" i="66" s="1"/>
  <c r="U65" i="66"/>
  <c r="V65" i="66" s="1"/>
  <c r="U66" i="66"/>
  <c r="V66" i="66" s="1"/>
  <c r="U67" i="66"/>
  <c r="V67" i="66" s="1"/>
  <c r="O57" i="66"/>
  <c r="P57" i="66" s="1"/>
  <c r="O58" i="66"/>
  <c r="P58" i="66" s="1"/>
  <c r="O59" i="66"/>
  <c r="P59" i="66" s="1"/>
  <c r="O60" i="66"/>
  <c r="P60" i="66" s="1"/>
  <c r="O61" i="66"/>
  <c r="P61" i="66" s="1"/>
  <c r="O62" i="66"/>
  <c r="P62" i="66" s="1"/>
  <c r="O64" i="66"/>
  <c r="P64" i="66" s="1"/>
  <c r="O65" i="66"/>
  <c r="P65" i="66" s="1"/>
  <c r="U58" i="65"/>
  <c r="V58" i="65" s="1"/>
  <c r="U59" i="65"/>
  <c r="V59" i="65" s="1"/>
  <c r="U60" i="65"/>
  <c r="V60" i="65" s="1"/>
  <c r="U61" i="65"/>
  <c r="V61" i="65" s="1"/>
  <c r="U62" i="65"/>
  <c r="V62" i="65" s="1"/>
  <c r="U63" i="65"/>
  <c r="V63" i="65" s="1"/>
  <c r="U64" i="65"/>
  <c r="V64" i="65" s="1"/>
  <c r="U65" i="65"/>
  <c r="V65" i="65" s="1"/>
  <c r="U66" i="65"/>
  <c r="V66" i="65" s="1"/>
  <c r="U67" i="65"/>
  <c r="V67" i="65" s="1"/>
  <c r="O58" i="65"/>
  <c r="P58" i="65" s="1"/>
  <c r="O59" i="65"/>
  <c r="P59" i="65" s="1"/>
  <c r="O60" i="65"/>
  <c r="P60" i="65" s="1"/>
  <c r="O61" i="65"/>
  <c r="P61" i="65" s="1"/>
  <c r="O62" i="65"/>
  <c r="P62" i="65" s="1"/>
  <c r="O63" i="65"/>
  <c r="P63" i="65" s="1"/>
  <c r="O64" i="65"/>
  <c r="P64" i="65" s="1"/>
  <c r="O65" i="65"/>
  <c r="P65" i="65" s="1"/>
  <c r="U63" i="64"/>
  <c r="V63" i="64" s="1"/>
  <c r="U64" i="64"/>
  <c r="V64" i="64" s="1"/>
  <c r="U65" i="64"/>
  <c r="V65" i="64" s="1"/>
  <c r="U66" i="64"/>
  <c r="V66" i="64" s="1"/>
  <c r="U74" i="64"/>
  <c r="V74" i="64"/>
  <c r="O63" i="64"/>
  <c r="P63" i="64" s="1"/>
  <c r="O64" i="64"/>
  <c r="P64" i="64" s="1"/>
  <c r="O65" i="64"/>
  <c r="P65" i="64" s="1"/>
  <c r="O66" i="64"/>
  <c r="P66" i="64" s="1"/>
  <c r="U62" i="63"/>
  <c r="V62" i="63" s="1"/>
  <c r="U63" i="63"/>
  <c r="V63" i="63" s="1"/>
  <c r="U64" i="63"/>
  <c r="V64" i="63" s="1"/>
  <c r="U65" i="63"/>
  <c r="V65" i="63" s="1"/>
  <c r="U66" i="63"/>
  <c r="V66" i="63" s="1"/>
  <c r="U67" i="63"/>
  <c r="V67" i="63" s="1"/>
  <c r="U68" i="63"/>
  <c r="V68" i="63" s="1"/>
  <c r="U69" i="63"/>
  <c r="V69" i="63" s="1"/>
  <c r="U70" i="63"/>
  <c r="V70" i="63" s="1"/>
  <c r="U71" i="63"/>
  <c r="V71" i="63" s="1"/>
  <c r="O62" i="63"/>
  <c r="P62" i="63" s="1"/>
  <c r="O63" i="63"/>
  <c r="P63" i="63" s="1"/>
  <c r="O64" i="63"/>
  <c r="P64" i="63" s="1"/>
  <c r="O65" i="63"/>
  <c r="P65" i="63" s="1"/>
  <c r="O66" i="63"/>
  <c r="P66" i="63" s="1"/>
  <c r="U59" i="62"/>
  <c r="V59" i="62" s="1"/>
  <c r="U58" i="62"/>
  <c r="V58" i="62" s="1"/>
  <c r="O58" i="62"/>
  <c r="P58" i="62" s="1"/>
  <c r="O59" i="62"/>
  <c r="P59" i="62" s="1"/>
  <c r="O60" i="62"/>
  <c r="P60" i="62" s="1"/>
  <c r="O61" i="62"/>
  <c r="P61" i="62" s="1"/>
  <c r="O62" i="62"/>
  <c r="P62" i="62" s="1"/>
  <c r="O63" i="62"/>
  <c r="P63" i="62" s="1"/>
  <c r="O64" i="62"/>
  <c r="P64" i="62" s="1"/>
  <c r="O65" i="62"/>
  <c r="P65" i="62" s="1"/>
  <c r="O66" i="62"/>
  <c r="P66" i="62" s="1"/>
  <c r="U59" i="61"/>
  <c r="V59" i="61" s="1"/>
  <c r="U60" i="61"/>
  <c r="V60" i="61" s="1"/>
  <c r="U61" i="61"/>
  <c r="V61" i="61" s="1"/>
  <c r="U62" i="61"/>
  <c r="V62" i="61" s="1"/>
  <c r="U63" i="61"/>
  <c r="V63" i="61" s="1"/>
  <c r="U64" i="61"/>
  <c r="V64" i="61" s="1"/>
  <c r="U65" i="61"/>
  <c r="V65" i="61" s="1"/>
  <c r="U66" i="61"/>
  <c r="V66" i="61" s="1"/>
  <c r="U67" i="61"/>
  <c r="V67" i="61" s="1"/>
  <c r="U68" i="61"/>
  <c r="V68" i="61" s="1"/>
  <c r="U69" i="61"/>
  <c r="V69" i="61" s="1"/>
  <c r="O59" i="61"/>
  <c r="P59" i="61" s="1"/>
  <c r="O60" i="61"/>
  <c r="P60" i="61" s="1"/>
  <c r="O61" i="61"/>
  <c r="P61" i="61" s="1"/>
  <c r="O62" i="61"/>
  <c r="P62" i="61" s="1"/>
  <c r="O63" i="61"/>
  <c r="P63" i="61" s="1"/>
  <c r="O64" i="61"/>
  <c r="P64" i="61" s="1"/>
  <c r="O65" i="61"/>
  <c r="P65" i="61" s="1"/>
  <c r="O66" i="61"/>
  <c r="P66" i="61" s="1"/>
  <c r="O72" i="61"/>
  <c r="P72" i="61" s="1"/>
  <c r="U58" i="77"/>
  <c r="V58" i="77" s="1"/>
  <c r="U59" i="77"/>
  <c r="V59" i="77" s="1"/>
  <c r="U60" i="77"/>
  <c r="V60" i="77" s="1"/>
  <c r="U61" i="77"/>
  <c r="V61" i="77" s="1"/>
  <c r="U62" i="77"/>
  <c r="V62" i="77" s="1"/>
  <c r="U63" i="77"/>
  <c r="V63" i="77" s="1"/>
  <c r="U64" i="77"/>
  <c r="V64" i="77" s="1"/>
  <c r="U65" i="77"/>
  <c r="V65" i="77" s="1"/>
  <c r="U66" i="77"/>
  <c r="V66" i="77" s="1"/>
  <c r="U67" i="77"/>
  <c r="V67" i="77" s="1"/>
  <c r="O58" i="77"/>
  <c r="P58" i="77" s="1"/>
  <c r="O59" i="77"/>
  <c r="P59" i="77" s="1"/>
  <c r="O60" i="77"/>
  <c r="P60" i="77" s="1"/>
  <c r="O61" i="77"/>
  <c r="P61" i="77" s="1"/>
  <c r="O62" i="77"/>
  <c r="P62" i="77" s="1"/>
  <c r="O63" i="77"/>
  <c r="P63" i="77" s="1"/>
  <c r="O64" i="77"/>
  <c r="P64" i="77" s="1"/>
  <c r="O65" i="77"/>
  <c r="P65" i="77" s="1"/>
  <c r="U58" i="79"/>
  <c r="V58" i="79" s="1"/>
  <c r="U59" i="79"/>
  <c r="V59" i="79" s="1"/>
  <c r="U60" i="79"/>
  <c r="V60" i="79" s="1"/>
  <c r="U61" i="79"/>
  <c r="V61" i="79" s="1"/>
  <c r="U62" i="79"/>
  <c r="V62" i="79" s="1"/>
  <c r="U63" i="79"/>
  <c r="V63" i="79" s="1"/>
  <c r="U64" i="79"/>
  <c r="V64" i="79" s="1"/>
  <c r="U65" i="79"/>
  <c r="V65" i="79" s="1"/>
  <c r="U66" i="79"/>
  <c r="V66" i="79" s="1"/>
  <c r="U67" i="79"/>
  <c r="V67" i="79" s="1"/>
  <c r="U68" i="79"/>
  <c r="V68" i="79" s="1"/>
  <c r="O58" i="79"/>
  <c r="P58" i="79" s="1"/>
  <c r="O59" i="79"/>
  <c r="P59" i="79" s="1"/>
  <c r="O60" i="79"/>
  <c r="P60" i="79" s="1"/>
  <c r="O61" i="79"/>
  <c r="P61" i="79" s="1"/>
  <c r="O62" i="79"/>
  <c r="P62" i="79" s="1"/>
  <c r="O63" i="79"/>
  <c r="P63" i="79" s="1"/>
  <c r="O64" i="79"/>
  <c r="P64" i="79" s="1"/>
  <c r="O65" i="79"/>
  <c r="P65" i="79" s="1"/>
  <c r="O66" i="79"/>
  <c r="P66" i="79" s="1"/>
  <c r="U58" i="78"/>
  <c r="V58" i="78" s="1"/>
  <c r="U59" i="78"/>
  <c r="V59" i="78" s="1"/>
  <c r="U60" i="78"/>
  <c r="V60" i="78" s="1"/>
  <c r="U61" i="78"/>
  <c r="V61" i="78" s="1"/>
  <c r="U62" i="78"/>
  <c r="V62" i="78" s="1"/>
  <c r="U63" i="78"/>
  <c r="V63" i="78" s="1"/>
  <c r="U64" i="78"/>
  <c r="V64" i="78" s="1"/>
  <c r="U65" i="78"/>
  <c r="V65" i="78" s="1"/>
  <c r="U66" i="78"/>
  <c r="V66" i="78" s="1"/>
  <c r="U68" i="78"/>
  <c r="V68" i="78" s="1"/>
  <c r="U69" i="78"/>
  <c r="V69" i="78" s="1"/>
  <c r="O58" i="78"/>
  <c r="P58" i="78" s="1"/>
  <c r="O59" i="78"/>
  <c r="P59" i="78" s="1"/>
  <c r="O60" i="78"/>
  <c r="P60" i="78" s="1"/>
  <c r="O61" i="78"/>
  <c r="P61" i="78" s="1"/>
  <c r="O62" i="78"/>
  <c r="P62" i="78" s="1"/>
  <c r="O63" i="78"/>
  <c r="P63" i="78" s="1"/>
  <c r="O64" i="78"/>
  <c r="P64" i="78" s="1"/>
  <c r="O65" i="78"/>
  <c r="P65" i="78" s="1"/>
  <c r="O58" i="60"/>
  <c r="P58" i="60" s="1"/>
  <c r="O59" i="60"/>
  <c r="P59" i="60" s="1"/>
  <c r="O60" i="60"/>
  <c r="P60" i="60" s="1"/>
  <c r="O61" i="60"/>
  <c r="P61" i="60" s="1"/>
  <c r="O62" i="60"/>
  <c r="P62" i="60" s="1"/>
  <c r="O63" i="60"/>
  <c r="P63" i="60" s="1"/>
  <c r="O65" i="60"/>
  <c r="P65" i="60" s="1"/>
  <c r="O66" i="60"/>
  <c r="P66" i="60" s="1"/>
  <c r="U60" i="60"/>
  <c r="V60" i="60" s="1"/>
  <c r="U59" i="60"/>
  <c r="V59" i="60" s="1"/>
  <c r="U58" i="60"/>
  <c r="V58" i="60" s="1"/>
  <c r="O62" i="59"/>
  <c r="P62" i="59" s="1"/>
  <c r="O63" i="59"/>
  <c r="P63" i="59" s="1"/>
  <c r="O64" i="59"/>
  <c r="P64" i="59" s="1"/>
  <c r="O65" i="59"/>
  <c r="P65" i="59" s="1"/>
  <c r="O66" i="59"/>
  <c r="P66" i="59" s="1"/>
  <c r="U63" i="59"/>
  <c r="V63" i="59" s="1"/>
  <c r="U62" i="59"/>
  <c r="V62" i="59" s="1"/>
  <c r="U59" i="11"/>
  <c r="V59" i="11" s="1"/>
  <c r="U60" i="11"/>
  <c r="V60" i="11" s="1"/>
  <c r="U61" i="11"/>
  <c r="V61" i="11" s="1"/>
  <c r="U62" i="11"/>
  <c r="V62" i="11" s="1"/>
  <c r="U63" i="11"/>
  <c r="V63" i="11" s="1"/>
  <c r="U64" i="11"/>
  <c r="V64" i="11" s="1"/>
  <c r="U65" i="11"/>
  <c r="V65" i="11" s="1"/>
  <c r="U66" i="11"/>
  <c r="V66" i="11" s="1"/>
  <c r="U69" i="11"/>
  <c r="V69" i="11" s="1"/>
  <c r="U70" i="11"/>
  <c r="V70" i="11" s="1"/>
  <c r="U71" i="11"/>
  <c r="V71" i="11" s="1"/>
  <c r="T58" i="11"/>
  <c r="O59" i="11"/>
  <c r="P59" i="11" s="1"/>
  <c r="O60" i="11"/>
  <c r="P60" i="11" s="1"/>
  <c r="O61" i="11"/>
  <c r="P61" i="11" s="1"/>
  <c r="O62" i="11"/>
  <c r="P62" i="11" s="1"/>
  <c r="O63" i="11"/>
  <c r="P63" i="11" s="1"/>
  <c r="O64" i="11"/>
  <c r="P64" i="11" s="1"/>
  <c r="O65" i="11"/>
  <c r="P65" i="11" s="1"/>
  <c r="O66" i="11"/>
  <c r="P66" i="11" s="1"/>
  <c r="O74" i="11"/>
  <c r="P74" i="11" s="1"/>
  <c r="L59" i="11" l="1"/>
  <c r="M59" i="11"/>
  <c r="N59" i="11" s="1"/>
  <c r="R59" i="11"/>
  <c r="T59" i="11"/>
  <c r="AD59" i="11" a="1"/>
  <c r="AD59" i="11" s="1"/>
  <c r="AE59" i="11" a="1"/>
  <c r="AE59" i="11" s="1"/>
  <c r="AF59" i="11" a="1"/>
  <c r="AF59" i="11" s="1"/>
  <c r="L58" i="78"/>
  <c r="M58" i="78"/>
  <c r="N58" i="78" s="1"/>
  <c r="R58" i="78"/>
  <c r="T58" i="78"/>
  <c r="AD58" i="78" a="1"/>
  <c r="AD58" i="78" s="1"/>
  <c r="AE58" i="78" a="1"/>
  <c r="AE58" i="78" s="1"/>
  <c r="AF58" i="78" a="1"/>
  <c r="AF58" i="78" s="1"/>
  <c r="L58" i="75"/>
  <c r="M58" i="75"/>
  <c r="N58" i="75" s="1"/>
  <c r="R58" i="75"/>
  <c r="T58" i="75"/>
  <c r="AD58" i="75" a="1"/>
  <c r="AD58" i="75" s="1"/>
  <c r="AE58" i="75" a="1"/>
  <c r="AE58" i="75" s="1"/>
  <c r="AF58" i="75" a="1"/>
  <c r="AF58" i="75" s="1"/>
  <c r="L58" i="60"/>
  <c r="M58" i="60"/>
  <c r="N58" i="60" s="1"/>
  <c r="R58" i="60"/>
  <c r="T58" i="60"/>
  <c r="AE62" i="64" a="1"/>
  <c r="AE62" i="64" s="1"/>
  <c r="AF62" i="64" a="1"/>
  <c r="AF62" i="64" s="1"/>
  <c r="L61" i="76"/>
  <c r="M61" i="76"/>
  <c r="N61" i="76" s="1"/>
  <c r="R61" i="76"/>
  <c r="T61" i="76"/>
  <c r="AD61" i="76" a="1"/>
  <c r="AD61" i="76" s="1"/>
  <c r="AE61" i="76" a="1"/>
  <c r="AE61" i="76" s="1"/>
  <c r="AF61" i="76" a="1"/>
  <c r="AF61" i="76" s="1"/>
  <c r="L63" i="73"/>
  <c r="M63" i="73"/>
  <c r="N63" i="73" s="1"/>
  <c r="R63" i="73"/>
  <c r="T63" i="73"/>
  <c r="AD63" i="73" a="1"/>
  <c r="AD63" i="73" s="1"/>
  <c r="AE63" i="73" a="1"/>
  <c r="AE63" i="73" s="1"/>
  <c r="AF63" i="73" a="1"/>
  <c r="AF63" i="73" s="1"/>
  <c r="L59" i="70"/>
  <c r="M59" i="70"/>
  <c r="N59" i="70" s="1"/>
  <c r="T59" i="70"/>
  <c r="AD59" i="70" a="1"/>
  <c r="AD59" i="70" s="1"/>
  <c r="AE59" i="70" a="1"/>
  <c r="AE59" i="70" s="1"/>
  <c r="AF59" i="70" a="1"/>
  <c r="AF59" i="70" s="1"/>
  <c r="L59" i="61"/>
  <c r="M59" i="61"/>
  <c r="N59" i="61" s="1"/>
  <c r="R59" i="61"/>
  <c r="T59" i="61"/>
  <c r="AD59" i="61" a="1"/>
  <c r="AD59" i="61" s="1"/>
  <c r="AE59" i="61" a="1"/>
  <c r="AE59" i="61" s="1"/>
  <c r="AF59" i="61" a="1"/>
  <c r="AF59" i="61" s="1"/>
  <c r="L58" i="71"/>
  <c r="M58" i="71"/>
  <c r="N58" i="71" s="1"/>
  <c r="T58" i="71"/>
  <c r="AD58" i="71" a="1"/>
  <c r="AD58" i="71" s="1"/>
  <c r="AE58" i="71" a="1"/>
  <c r="AE58" i="71" s="1"/>
  <c r="AF58" i="71" a="1"/>
  <c r="AF58" i="71" s="1"/>
  <c r="O55" i="71" l="1"/>
  <c r="P55" i="71" s="1"/>
  <c r="T55" i="71"/>
  <c r="U55" i="71"/>
  <c r="V55" i="71" s="1"/>
  <c r="AD55" i="71" a="1"/>
  <c r="AD55" i="71" s="1"/>
  <c r="AE55" i="71" a="1"/>
  <c r="AE55" i="71" s="1"/>
  <c r="AF55" i="71" a="1"/>
  <c r="AF55" i="71" s="1"/>
  <c r="L55" i="71"/>
  <c r="M55" i="71"/>
  <c r="N55" i="71" s="1"/>
  <c r="O58" i="76" l="1"/>
  <c r="P58" i="76" s="1"/>
  <c r="R58" i="76"/>
  <c r="T58" i="76"/>
  <c r="U58" i="76"/>
  <c r="V58" i="76" s="1"/>
  <c r="AD58" i="76" a="1"/>
  <c r="AD58" i="76" s="1"/>
  <c r="AE58" i="76" a="1"/>
  <c r="AE58" i="76" s="1"/>
  <c r="AF58" i="76" a="1"/>
  <c r="AF58" i="76" s="1"/>
  <c r="L58" i="76"/>
  <c r="M58" i="76"/>
  <c r="N58" i="76" s="1"/>
  <c r="O58" i="72"/>
  <c r="P58" i="72" s="1"/>
  <c r="R58" i="72"/>
  <c r="T58" i="72"/>
  <c r="U58" i="72"/>
  <c r="V58" i="72" s="1"/>
  <c r="AD58" i="72" a="1"/>
  <c r="AD58" i="72" s="1"/>
  <c r="AE58" i="72" a="1"/>
  <c r="AE58" i="72" s="1"/>
  <c r="AF58" i="72" a="1"/>
  <c r="AF58" i="72" s="1"/>
  <c r="L58" i="72"/>
  <c r="M58" i="72"/>
  <c r="N58" i="72" s="1"/>
  <c r="O55" i="66"/>
  <c r="P55" i="66" s="1"/>
  <c r="R55" i="66"/>
  <c r="T55" i="66"/>
  <c r="U55" i="66"/>
  <c r="V55" i="66" s="1"/>
  <c r="AD55" i="66" a="1"/>
  <c r="AD55" i="66" s="1"/>
  <c r="AE55" i="66" a="1"/>
  <c r="AE55" i="66" s="1"/>
  <c r="AF55" i="66" a="1"/>
  <c r="AF55" i="66" s="1"/>
  <c r="L55" i="66"/>
  <c r="M55" i="66"/>
  <c r="N55" i="66" s="1"/>
  <c r="O56" i="11"/>
  <c r="P56" i="11" s="1"/>
  <c r="R56" i="11"/>
  <c r="T56" i="11"/>
  <c r="U56" i="11"/>
  <c r="V56" i="11" s="1"/>
  <c r="AD56" i="11" a="1"/>
  <c r="AD56" i="11" s="1"/>
  <c r="AE56" i="11" a="1"/>
  <c r="AE56" i="11" s="1"/>
  <c r="AF56" i="11" a="1"/>
  <c r="AF56" i="11" s="1"/>
  <c r="L56" i="11"/>
  <c r="M56" i="11"/>
  <c r="N56" i="11" s="1"/>
  <c r="O54" i="69"/>
  <c r="P54" i="69" s="1"/>
  <c r="R54" i="69"/>
  <c r="T54" i="69"/>
  <c r="U54" i="69"/>
  <c r="V54" i="69" s="1"/>
  <c r="AD54" i="69" a="1"/>
  <c r="AD54" i="69" s="1"/>
  <c r="AE54" i="69" a="1"/>
  <c r="AE54" i="69" s="1"/>
  <c r="AF54" i="69" a="1"/>
  <c r="AF54" i="69" s="1"/>
  <c r="L54" i="69"/>
  <c r="M54" i="69"/>
  <c r="N54" i="69" s="1"/>
  <c r="L60" i="73"/>
  <c r="M60" i="73"/>
  <c r="N60" i="73" s="1"/>
  <c r="O60" i="73"/>
  <c r="P60" i="73" s="1"/>
  <c r="R60" i="73"/>
  <c r="T60" i="73"/>
  <c r="U60" i="73"/>
  <c r="V60" i="73" s="1"/>
  <c r="AD60" i="73" a="1"/>
  <c r="AD60" i="73" s="1"/>
  <c r="AE60" i="73" a="1"/>
  <c r="AE60" i="73" s="1"/>
  <c r="AF60" i="73" a="1"/>
  <c r="AF60" i="73" s="1"/>
  <c r="O54" i="78"/>
  <c r="P54" i="78" s="1"/>
  <c r="R54" i="78"/>
  <c r="T54" i="78"/>
  <c r="U54" i="78"/>
  <c r="V54" i="78"/>
  <c r="AD54" i="78" a="1"/>
  <c r="AD54" i="78" s="1"/>
  <c r="AE54" i="78" a="1"/>
  <c r="AE54" i="78" s="1"/>
  <c r="AF54" i="78" a="1"/>
  <c r="AF54" i="78" s="1"/>
  <c r="L54" i="78"/>
  <c r="M54" i="78"/>
  <c r="N54" i="78" s="1"/>
  <c r="O54" i="77"/>
  <c r="P54" i="77" s="1"/>
  <c r="R54" i="77"/>
  <c r="T54" i="77"/>
  <c r="U54" i="77"/>
  <c r="V54" i="77" s="1"/>
  <c r="AD54" i="77" a="1"/>
  <c r="AD54" i="77" s="1"/>
  <c r="AE54" i="77" a="1"/>
  <c r="AE54" i="77" s="1"/>
  <c r="AF54" i="77" a="1"/>
  <c r="AF54" i="77" s="1"/>
  <c r="L54" i="77"/>
  <c r="M54" i="77"/>
  <c r="N54" i="77" s="1"/>
  <c r="O55" i="75"/>
  <c r="P55" i="75" s="1"/>
  <c r="T55" i="75"/>
  <c r="U55" i="75"/>
  <c r="V55" i="75" s="1"/>
  <c r="AD55" i="75" a="1"/>
  <c r="AD55" i="75" s="1"/>
  <c r="AE55" i="75" a="1"/>
  <c r="AE55" i="75" s="1"/>
  <c r="AF55" i="75" a="1"/>
  <c r="AF55" i="75" s="1"/>
  <c r="O59" i="63"/>
  <c r="P59" i="63" s="1"/>
  <c r="R59" i="63"/>
  <c r="T59" i="63"/>
  <c r="U59" i="63"/>
  <c r="V59" i="63" s="1"/>
  <c r="AD59" i="63" a="1"/>
  <c r="AD59" i="63" s="1"/>
  <c r="AE59" i="63" a="1"/>
  <c r="AE59" i="63" s="1"/>
  <c r="AF59" i="63" a="1"/>
  <c r="AF59" i="63" s="1"/>
  <c r="L59" i="63"/>
  <c r="M59" i="63"/>
  <c r="N59" i="63" s="1"/>
  <c r="L55" i="75"/>
  <c r="M55" i="75"/>
  <c r="N55" i="75" s="1"/>
  <c r="O56" i="79"/>
  <c r="P56" i="79" s="1"/>
  <c r="R56" i="79"/>
  <c r="T56" i="79"/>
  <c r="U56" i="79"/>
  <c r="V56" i="79" s="1"/>
  <c r="AD56" i="79" a="1"/>
  <c r="AD56" i="79" s="1"/>
  <c r="AE56" i="79" a="1"/>
  <c r="AE56" i="79" s="1"/>
  <c r="AF56" i="79" a="1"/>
  <c r="AF56" i="79" s="1"/>
  <c r="L56" i="79"/>
  <c r="M56" i="79"/>
  <c r="N56" i="79" s="1"/>
  <c r="L59" i="64"/>
  <c r="M59" i="64"/>
  <c r="N59" i="64" s="1"/>
  <c r="O59" i="64"/>
  <c r="P59" i="64" s="1"/>
  <c r="R59" i="64"/>
  <c r="T59" i="64"/>
  <c r="U59" i="64"/>
  <c r="V59" i="64"/>
  <c r="AD59" i="64" a="1"/>
  <c r="AD59" i="64" s="1"/>
  <c r="AE59" i="64" a="1"/>
  <c r="AE59" i="64" s="1"/>
  <c r="AF59" i="64" a="1"/>
  <c r="AF59" i="64" s="1"/>
  <c r="O56" i="74"/>
  <c r="P56" i="74" s="1"/>
  <c r="R56" i="74"/>
  <c r="T56" i="74"/>
  <c r="U56" i="74"/>
  <c r="V56" i="74" s="1"/>
  <c r="AD56" i="74" a="1"/>
  <c r="AD56" i="74" s="1"/>
  <c r="AE56" i="74" a="1"/>
  <c r="AE56" i="74" s="1"/>
  <c r="AF56" i="74" a="1"/>
  <c r="AF56" i="74" s="1"/>
  <c r="L56" i="74"/>
  <c r="M56" i="74"/>
  <c r="N56" i="74" s="1"/>
  <c r="O56" i="70"/>
  <c r="P56" i="70" s="1"/>
  <c r="T56" i="70"/>
  <c r="U56" i="70"/>
  <c r="V56" i="70" s="1"/>
  <c r="AD56" i="70" a="1"/>
  <c r="AD56" i="70" s="1"/>
  <c r="AE56" i="70" a="1"/>
  <c r="AE56" i="70" s="1"/>
  <c r="AF56" i="70" a="1"/>
  <c r="AF56" i="70" s="1"/>
  <c r="L56" i="70"/>
  <c r="M56" i="70"/>
  <c r="N56" i="70" s="1"/>
  <c r="O56" i="68"/>
  <c r="P56" i="68" s="1"/>
  <c r="R56" i="68"/>
  <c r="T56" i="68"/>
  <c r="U56" i="68"/>
  <c r="V56" i="68" s="1"/>
  <c r="AD56" i="68" a="1"/>
  <c r="AD56" i="68" s="1"/>
  <c r="AE56" i="68" a="1"/>
  <c r="AE56" i="68" s="1"/>
  <c r="AF56" i="68" a="1"/>
  <c r="AF56" i="68" s="1"/>
  <c r="L56" i="68"/>
  <c r="M56" i="68"/>
  <c r="N56" i="68" s="1"/>
  <c r="O56" i="60"/>
  <c r="P56" i="60" s="1"/>
  <c r="R56" i="60"/>
  <c r="T56" i="60"/>
  <c r="U56" i="60"/>
  <c r="V56" i="60" s="1"/>
  <c r="L56" i="60"/>
  <c r="M56" i="60"/>
  <c r="N56" i="60" s="1"/>
  <c r="O55" i="65" l="1"/>
  <c r="P55" i="65" s="1"/>
  <c r="R55" i="65"/>
  <c r="T55" i="65"/>
  <c r="U55" i="65"/>
  <c r="V55" i="65" s="1"/>
  <c r="AD55" i="65" a="1"/>
  <c r="AD55" i="65" s="1"/>
  <c r="AE55" i="65" a="1"/>
  <c r="AE55" i="65" s="1"/>
  <c r="AF55" i="65" a="1"/>
  <c r="AF55" i="65" s="1"/>
  <c r="L55" i="65"/>
  <c r="M55" i="65"/>
  <c r="N55" i="65"/>
  <c r="O56" i="61"/>
  <c r="P56" i="61" s="1"/>
  <c r="R56" i="61"/>
  <c r="T56" i="61"/>
  <c r="U56" i="61"/>
  <c r="V56" i="61" s="1"/>
  <c r="AD56" i="61" a="1"/>
  <c r="AD56" i="61" s="1"/>
  <c r="AE56" i="61" a="1"/>
  <c r="AE56" i="61" s="1"/>
  <c r="AF56" i="61" a="1"/>
  <c r="AF56" i="61" s="1"/>
  <c r="L56" i="61"/>
  <c r="M56" i="61"/>
  <c r="N56" i="61" s="1"/>
  <c r="L59" i="59"/>
  <c r="M59" i="59"/>
  <c r="N59" i="59" s="1"/>
  <c r="O59" i="59"/>
  <c r="P59" i="59" s="1"/>
  <c r="R59" i="59"/>
  <c r="T59" i="59"/>
  <c r="U59" i="59"/>
  <c r="V59" i="59" s="1"/>
  <c r="AD59" i="59" a="1"/>
  <c r="AD59" i="59" s="1"/>
  <c r="AE59" i="59" a="1"/>
  <c r="AE59" i="59" s="1"/>
  <c r="AF59" i="59" a="1"/>
  <c r="AF59" i="59" s="1"/>
  <c r="O56" i="72" l="1"/>
  <c r="P56" i="72" s="1"/>
  <c r="R56" i="72"/>
  <c r="T56" i="72"/>
  <c r="U56" i="72"/>
  <c r="V56" i="72" s="1"/>
  <c r="AD56" i="72" a="1"/>
  <c r="AD56" i="72" s="1"/>
  <c r="AE56" i="72" a="1"/>
  <c r="AE56" i="72" s="1"/>
  <c r="AF56" i="72" a="1"/>
  <c r="AF56" i="72" s="1"/>
  <c r="L56" i="72"/>
  <c r="M56" i="72"/>
  <c r="N56" i="72" s="1"/>
  <c r="O55" i="11"/>
  <c r="P55" i="11" s="1"/>
  <c r="R55" i="11"/>
  <c r="T55" i="11"/>
  <c r="U55" i="11"/>
  <c r="V55" i="11" s="1"/>
  <c r="AD55" i="11" a="1"/>
  <c r="AD55" i="11" s="1"/>
  <c r="AE55" i="11" a="1"/>
  <c r="AE55" i="11" s="1"/>
  <c r="AF55" i="11" a="1"/>
  <c r="AF55" i="11" s="1"/>
  <c r="L55" i="11"/>
  <c r="M55" i="11"/>
  <c r="N55" i="11" s="1"/>
  <c r="O54" i="66"/>
  <c r="P54" i="66" s="1"/>
  <c r="R54" i="66"/>
  <c r="T54" i="66"/>
  <c r="U54" i="66"/>
  <c r="V54" i="66" s="1"/>
  <c r="AD54" i="66" a="1"/>
  <c r="AD54" i="66" s="1"/>
  <c r="AE54" i="66" a="1"/>
  <c r="AE54" i="66" s="1"/>
  <c r="AF54" i="66" a="1"/>
  <c r="AF54" i="66" s="1"/>
  <c r="L54" i="66"/>
  <c r="M54" i="66"/>
  <c r="N54" i="66" s="1"/>
  <c r="O55" i="68"/>
  <c r="P55" i="68" s="1"/>
  <c r="R55" i="68"/>
  <c r="T55" i="68"/>
  <c r="U55" i="68"/>
  <c r="V55" i="68"/>
  <c r="AD55" i="68" a="1"/>
  <c r="AD55" i="68" s="1"/>
  <c r="AE55" i="68" a="1"/>
  <c r="AE55" i="68" s="1"/>
  <c r="AF55" i="68" a="1"/>
  <c r="AF55" i="68" s="1"/>
  <c r="L55" i="68"/>
  <c r="M55" i="68"/>
  <c r="N55" i="68" s="1"/>
  <c r="O53" i="78"/>
  <c r="P53" i="78" s="1"/>
  <c r="R53" i="78"/>
  <c r="T53" i="78"/>
  <c r="U53" i="78"/>
  <c r="V53" i="78" s="1"/>
  <c r="AD53" i="78" a="1"/>
  <c r="AD53" i="78" s="1"/>
  <c r="AE53" i="78" a="1"/>
  <c r="AE53" i="78" s="1"/>
  <c r="AF53" i="78" a="1"/>
  <c r="AF53" i="78" s="1"/>
  <c r="L53" i="78"/>
  <c r="M53" i="78"/>
  <c r="N53" i="78" s="1"/>
  <c r="O54" i="65"/>
  <c r="P54" i="65" s="1"/>
  <c r="R54" i="65"/>
  <c r="T54" i="65"/>
  <c r="U54" i="65"/>
  <c r="V54" i="65" s="1"/>
  <c r="AD54" i="65" a="1"/>
  <c r="AD54" i="65" s="1"/>
  <c r="AE54" i="65" a="1"/>
  <c r="AE54" i="65" s="1"/>
  <c r="AF54" i="65" a="1"/>
  <c r="AF54" i="65" s="1"/>
  <c r="L54" i="65"/>
  <c r="M54" i="65"/>
  <c r="N54" i="65" s="1"/>
  <c r="O55" i="79"/>
  <c r="P55" i="79" s="1"/>
  <c r="R55" i="79"/>
  <c r="T55" i="79"/>
  <c r="U55" i="79"/>
  <c r="V55" i="79" s="1"/>
  <c r="AD55" i="79" a="1"/>
  <c r="AD55" i="79" s="1"/>
  <c r="AE55" i="79" a="1"/>
  <c r="AE55" i="79" s="1"/>
  <c r="AF55" i="79" a="1"/>
  <c r="AF55" i="79" s="1"/>
  <c r="L55" i="79"/>
  <c r="M55" i="79"/>
  <c r="N55" i="79" s="1"/>
  <c r="O59" i="73"/>
  <c r="P59" i="73" s="1"/>
  <c r="R59" i="73"/>
  <c r="T59" i="73"/>
  <c r="U59" i="73"/>
  <c r="V59" i="73" s="1"/>
  <c r="L59" i="73"/>
  <c r="M59" i="73"/>
  <c r="N59" i="73" s="1"/>
  <c r="O53" i="77"/>
  <c r="P53" i="77" s="1"/>
  <c r="R53" i="77"/>
  <c r="T53" i="77"/>
  <c r="U53" i="77"/>
  <c r="V53" i="77" s="1"/>
  <c r="AD53" i="77" a="1"/>
  <c r="AD53" i="77" s="1"/>
  <c r="AE53" i="77" a="1"/>
  <c r="AE53" i="77" s="1"/>
  <c r="AF53" i="77" a="1"/>
  <c r="AF53" i="77" s="1"/>
  <c r="L53" i="77"/>
  <c r="M53" i="77"/>
  <c r="N53" i="77" s="1"/>
  <c r="O54" i="75"/>
  <c r="P54" i="75" s="1"/>
  <c r="R54" i="75"/>
  <c r="T54" i="75"/>
  <c r="U54" i="75"/>
  <c r="V54" i="75" s="1"/>
  <c r="AD54" i="75" a="1"/>
  <c r="AD54" i="75" s="1"/>
  <c r="AE54" i="75" a="1"/>
  <c r="AE54" i="75" s="1"/>
  <c r="AF54" i="75" a="1"/>
  <c r="AF54" i="75" s="1"/>
  <c r="L54" i="75"/>
  <c r="M54" i="75"/>
  <c r="N54" i="75" s="1"/>
  <c r="O54" i="71"/>
  <c r="P54" i="71" s="1"/>
  <c r="T54" i="71"/>
  <c r="U54" i="71"/>
  <c r="V54" i="71" s="1"/>
  <c r="AD54" i="71" a="1"/>
  <c r="AD54" i="71" s="1"/>
  <c r="AE54" i="71" a="1"/>
  <c r="AE54" i="71" s="1"/>
  <c r="AF54" i="71" a="1"/>
  <c r="AF54" i="71" s="1"/>
  <c r="L54" i="71"/>
  <c r="M54" i="71"/>
  <c r="N54" i="71" s="1"/>
  <c r="O54" i="67"/>
  <c r="P54" i="67" s="1"/>
  <c r="R54" i="67"/>
  <c r="T54" i="67"/>
  <c r="U54" i="67"/>
  <c r="V54" i="67" s="1"/>
  <c r="AD54" i="67" a="1"/>
  <c r="AD54" i="67" s="1"/>
  <c r="AE54" i="67" a="1"/>
  <c r="AE54" i="67" s="1"/>
  <c r="AF54" i="67" a="1"/>
  <c r="AF54" i="67" s="1"/>
  <c r="L54" i="67"/>
  <c r="M54" i="67"/>
  <c r="N54" i="67" s="1"/>
  <c r="L57" i="76"/>
  <c r="M57" i="76"/>
  <c r="N57" i="76" s="1"/>
  <c r="O57" i="76"/>
  <c r="P57" i="76" s="1"/>
  <c r="R57" i="76"/>
  <c r="T57" i="76"/>
  <c r="U57" i="76"/>
  <c r="V57" i="76" s="1"/>
  <c r="AD57" i="76" a="1"/>
  <c r="AD57" i="76" s="1"/>
  <c r="AE57" i="76" a="1"/>
  <c r="AE57" i="76" s="1"/>
  <c r="AF57" i="76" a="1"/>
  <c r="AF57" i="76" s="1"/>
  <c r="L58" i="64"/>
  <c r="M58" i="64"/>
  <c r="N58" i="64" s="1"/>
  <c r="O58" i="64"/>
  <c r="P58" i="64" s="1"/>
  <c r="R58" i="64"/>
  <c r="T58" i="64"/>
  <c r="U58" i="64"/>
  <c r="V58" i="64" s="1"/>
  <c r="AD58" i="64" a="1"/>
  <c r="AD58" i="64" s="1"/>
  <c r="AE58" i="64" a="1"/>
  <c r="AE58" i="64" s="1"/>
  <c r="AF58" i="64" a="1"/>
  <c r="AF58" i="64" s="1"/>
  <c r="L53" i="69"/>
  <c r="M53" i="69"/>
  <c r="N53" i="69" s="1"/>
  <c r="O53" i="69"/>
  <c r="P53" i="69" s="1"/>
  <c r="R53" i="69"/>
  <c r="T53" i="69"/>
  <c r="U53" i="69"/>
  <c r="V53" i="69" s="1"/>
  <c r="AD53" i="69" a="1"/>
  <c r="AD53" i="69" s="1"/>
  <c r="AE53" i="69" a="1"/>
  <c r="AE53" i="69" s="1"/>
  <c r="AF53" i="69" a="1"/>
  <c r="AF53" i="69" s="1"/>
  <c r="O55" i="70"/>
  <c r="P55" i="70" s="1"/>
  <c r="T55" i="70"/>
  <c r="U55" i="70"/>
  <c r="V55" i="70" s="1"/>
  <c r="AD55" i="70" a="1"/>
  <c r="AD55" i="70" s="1"/>
  <c r="AE55" i="70" a="1"/>
  <c r="AE55" i="70" s="1"/>
  <c r="AF55" i="70" a="1"/>
  <c r="AF55" i="70" s="1"/>
  <c r="L55" i="70"/>
  <c r="M55" i="70"/>
  <c r="N55" i="70"/>
  <c r="O58" i="63"/>
  <c r="P58" i="63" s="1"/>
  <c r="R58" i="63"/>
  <c r="T58" i="63"/>
  <c r="U58" i="63"/>
  <c r="V58" i="63" s="1"/>
  <c r="AD58" i="63" a="1"/>
  <c r="AD58" i="63" s="1"/>
  <c r="AE58" i="63" a="1"/>
  <c r="AE58" i="63" s="1"/>
  <c r="AF58" i="63" a="1"/>
  <c r="AF58" i="63" s="1"/>
  <c r="L58" i="63"/>
  <c r="M58" i="63"/>
  <c r="N58" i="63" s="1"/>
  <c r="O54" i="60"/>
  <c r="P54" i="60" s="1"/>
  <c r="R54" i="60"/>
  <c r="T54" i="60"/>
  <c r="U54" i="60"/>
  <c r="V54" i="60" s="1"/>
  <c r="AD54" i="60" a="1"/>
  <c r="AD54" i="60" s="1"/>
  <c r="AE54" i="60" a="1"/>
  <c r="AE54" i="60" s="1"/>
  <c r="AF54" i="60" a="1"/>
  <c r="AF54" i="60" s="1"/>
  <c r="L54" i="60"/>
  <c r="M54" i="60"/>
  <c r="N54" i="60" s="1"/>
  <c r="O55" i="61" l="1"/>
  <c r="P55" i="61" s="1"/>
  <c r="R55" i="61"/>
  <c r="T55" i="61"/>
  <c r="U55" i="61"/>
  <c r="V55" i="61" s="1"/>
  <c r="AD55" i="61" a="1"/>
  <c r="AD55" i="61" s="1"/>
  <c r="AE55" i="61" a="1"/>
  <c r="AE55" i="61" s="1"/>
  <c r="AF55" i="61" a="1"/>
  <c r="AF55" i="61" s="1"/>
  <c r="L55" i="61"/>
  <c r="M55" i="61"/>
  <c r="N55" i="61" s="1"/>
  <c r="O55" i="74"/>
  <c r="P55" i="74" s="1"/>
  <c r="R55" i="74"/>
  <c r="T55" i="74"/>
  <c r="U55" i="74"/>
  <c r="V55" i="74" s="1"/>
  <c r="AD55" i="74" a="1"/>
  <c r="AD55" i="74" s="1"/>
  <c r="AE55" i="74" a="1"/>
  <c r="AE55" i="74" s="1"/>
  <c r="AF55" i="74" a="1"/>
  <c r="AF55" i="74" s="1"/>
  <c r="L55" i="74"/>
  <c r="M55" i="74"/>
  <c r="N55" i="74" s="1"/>
  <c r="L55" i="62" l="1"/>
  <c r="M55" i="62"/>
  <c r="N55" i="62" s="1"/>
  <c r="O55" i="62"/>
  <c r="P55" i="62" s="1"/>
  <c r="R55" i="62"/>
  <c r="T55" i="62"/>
  <c r="U55" i="62"/>
  <c r="V55" i="62" s="1"/>
  <c r="AD55" i="62" a="1"/>
  <c r="AD55" i="62" s="1"/>
  <c r="AE55" i="62" a="1"/>
  <c r="AE55" i="62" s="1"/>
  <c r="AF55" i="62" a="1"/>
  <c r="AF55" i="62" s="1"/>
  <c r="O58" i="59"/>
  <c r="P58" i="59" s="1"/>
  <c r="R58" i="59"/>
  <c r="T58" i="59"/>
  <c r="U58" i="59"/>
  <c r="V58" i="59" s="1"/>
  <c r="AD58" i="59" a="1"/>
  <c r="AD58" i="59" s="1"/>
  <c r="AE58" i="59" a="1"/>
  <c r="AE58" i="59" s="1"/>
  <c r="AF58" i="59" a="1"/>
  <c r="AF58" i="59" s="1"/>
  <c r="O57" i="59"/>
  <c r="L58" i="59" l="1"/>
  <c r="M58" i="59"/>
  <c r="N58" i="59" s="1"/>
  <c r="AL15" i="76" l="1" a="1"/>
  <c r="AL15" i="76" s="1"/>
  <c r="AL16" i="76" a="1"/>
  <c r="AL16" i="76" s="1"/>
  <c r="AL17" i="76" a="1"/>
  <c r="AL17" i="76" s="1"/>
  <c r="AL14" i="76" l="1"/>
  <c r="AH15" i="11" a="1"/>
  <c r="AH15" i="11" s="1"/>
  <c r="AI15" i="11" a="1"/>
  <c r="AI15" i="11" s="1"/>
  <c r="AJ15" i="11" a="1"/>
  <c r="AJ15" i="11" s="1"/>
  <c r="AK15" i="11" a="1"/>
  <c r="AK15" i="11" s="1"/>
  <c r="AH16" i="11" a="1"/>
  <c r="AH16" i="11" s="1"/>
  <c r="AI16" i="11" a="1"/>
  <c r="AI16" i="11" s="1"/>
  <c r="AJ16" i="11" a="1"/>
  <c r="AJ16" i="11" s="1"/>
  <c r="AK16" i="11" a="1"/>
  <c r="AK16" i="11" s="1"/>
  <c r="AH17" i="11" a="1"/>
  <c r="AH17" i="11" s="1"/>
  <c r="AI17" i="11" a="1"/>
  <c r="AI17" i="11" s="1"/>
  <c r="AJ17" i="11" a="1"/>
  <c r="AJ17" i="11" s="1"/>
  <c r="AK17" i="11" a="1"/>
  <c r="AK17" i="11" s="1"/>
  <c r="AJ14" i="11" l="1"/>
  <c r="AI14" i="11"/>
  <c r="AH14" i="11"/>
  <c r="AK14" i="11"/>
  <c r="U46" i="65" l="1"/>
  <c r="U47" i="65"/>
  <c r="U48" i="65"/>
  <c r="U49" i="65"/>
  <c r="U50" i="65"/>
  <c r="U51" i="65"/>
  <c r="U52" i="65"/>
  <c r="U53" i="65"/>
  <c r="U56" i="65"/>
  <c r="U57" i="65"/>
  <c r="AU1" i="59" l="1"/>
  <c r="AU2" i="59" a="1"/>
  <c r="AU2" i="59" s="1"/>
  <c r="AU10" i="59" a="1"/>
  <c r="AU10" i="59" s="1"/>
  <c r="AU11" i="59" s="1"/>
  <c r="AU12" i="59" a="1"/>
  <c r="AU12" i="59" s="1"/>
  <c r="AU13" i="59" l="1"/>
  <c r="R24" i="68" l="1"/>
  <c r="R25" i="68"/>
  <c r="R26" i="68"/>
  <c r="R27" i="68"/>
  <c r="R28" i="68"/>
  <c r="R29" i="68"/>
  <c r="R30" i="68"/>
  <c r="R31" i="68"/>
  <c r="R32" i="68"/>
  <c r="R33" i="68"/>
  <c r="R34" i="68"/>
  <c r="R35" i="68"/>
  <c r="R36" i="68"/>
  <c r="R37" i="68"/>
  <c r="R38" i="68"/>
  <c r="R39" i="68"/>
  <c r="R40" i="68"/>
  <c r="R41" i="68"/>
  <c r="R43" i="68"/>
  <c r="R44" i="68"/>
  <c r="R45" i="68"/>
  <c r="R47" i="68"/>
  <c r="R48" i="68"/>
  <c r="R49" i="68"/>
  <c r="R50" i="68"/>
  <c r="R51" i="68"/>
  <c r="R52" i="68"/>
  <c r="R53" i="68"/>
  <c r="R54" i="68"/>
  <c r="R57" i="68"/>
  <c r="R59" i="68"/>
  <c r="R60" i="68"/>
  <c r="R61" i="68"/>
  <c r="R62" i="68"/>
  <c r="R63" i="68"/>
  <c r="R64" i="68"/>
  <c r="R65" i="68"/>
  <c r="R66" i="68"/>
  <c r="R67" i="68"/>
  <c r="R24" i="67"/>
  <c r="R25" i="67"/>
  <c r="R26" i="67"/>
  <c r="R27" i="67"/>
  <c r="R28" i="67"/>
  <c r="R29" i="67"/>
  <c r="R30" i="67"/>
  <c r="R31" i="67"/>
  <c r="R32" i="67"/>
  <c r="R33" i="67"/>
  <c r="R34" i="67"/>
  <c r="R35" i="67"/>
  <c r="R36" i="67"/>
  <c r="R37" i="67"/>
  <c r="R38" i="67"/>
  <c r="R39" i="67"/>
  <c r="R40" i="67"/>
  <c r="R41" i="67"/>
  <c r="R43" i="67"/>
  <c r="R44" i="67"/>
  <c r="R45" i="67"/>
  <c r="R46" i="67"/>
  <c r="R47" i="67"/>
  <c r="R48" i="67"/>
  <c r="R49" i="67"/>
  <c r="R50" i="67"/>
  <c r="R51" i="67"/>
  <c r="R52" i="67"/>
  <c r="R53" i="67"/>
  <c r="R55" i="67"/>
  <c r="R56" i="67"/>
  <c r="R58" i="67"/>
  <c r="R59" i="67"/>
  <c r="R60" i="67"/>
  <c r="R61" i="67"/>
  <c r="R62" i="67"/>
  <c r="R63" i="67"/>
  <c r="R64" i="67"/>
  <c r="R65" i="67"/>
  <c r="R24" i="65"/>
  <c r="R25" i="65"/>
  <c r="R26" i="65"/>
  <c r="R27" i="65"/>
  <c r="R28" i="65"/>
  <c r="R29" i="65"/>
  <c r="R30" i="65"/>
  <c r="R31" i="65"/>
  <c r="R32" i="65"/>
  <c r="R33" i="65"/>
  <c r="R34" i="65"/>
  <c r="R35" i="65"/>
  <c r="R36" i="65"/>
  <c r="R37" i="65"/>
  <c r="R38" i="65"/>
  <c r="R39" i="65"/>
  <c r="R40" i="65"/>
  <c r="R41" i="65"/>
  <c r="R43" i="65"/>
  <c r="R44" i="65"/>
  <c r="R45" i="65"/>
  <c r="R46" i="65"/>
  <c r="R47" i="65"/>
  <c r="R48" i="65"/>
  <c r="R49" i="65"/>
  <c r="R50" i="65"/>
  <c r="R51" i="65"/>
  <c r="R52" i="65"/>
  <c r="R53" i="65"/>
  <c r="R56" i="65"/>
  <c r="R57" i="65"/>
  <c r="R58" i="65"/>
  <c r="R59" i="65"/>
  <c r="R60" i="65"/>
  <c r="R61" i="65"/>
  <c r="R62" i="65"/>
  <c r="R63" i="65"/>
  <c r="R64" i="65"/>
  <c r="R65" i="65"/>
  <c r="R27" i="64"/>
  <c r="R28" i="64"/>
  <c r="R29" i="64"/>
  <c r="R30" i="64"/>
  <c r="R31" i="64"/>
  <c r="R32" i="64"/>
  <c r="R33" i="64"/>
  <c r="R34" i="64"/>
  <c r="R35" i="64"/>
  <c r="R36" i="64"/>
  <c r="R37" i="64"/>
  <c r="R38" i="64"/>
  <c r="R39" i="64"/>
  <c r="R40" i="64"/>
  <c r="R41" i="64"/>
  <c r="R43" i="64"/>
  <c r="R44" i="64"/>
  <c r="R45" i="64"/>
  <c r="R47" i="64"/>
  <c r="R48" i="64"/>
  <c r="R49" i="64"/>
  <c r="R50" i="64"/>
  <c r="R51" i="64"/>
  <c r="R52" i="64"/>
  <c r="R53" i="64"/>
  <c r="R54" i="64"/>
  <c r="R55" i="64"/>
  <c r="R56" i="64"/>
  <c r="R57" i="64"/>
  <c r="R60" i="64"/>
  <c r="R61" i="64"/>
  <c r="R63" i="64"/>
  <c r="R64" i="64"/>
  <c r="R65" i="64"/>
  <c r="R66" i="64"/>
  <c r="R27" i="63"/>
  <c r="R28" i="63"/>
  <c r="R29" i="63"/>
  <c r="R30" i="63"/>
  <c r="R31" i="63"/>
  <c r="R32" i="63"/>
  <c r="R33" i="63"/>
  <c r="R34" i="63"/>
  <c r="R35" i="63"/>
  <c r="R36" i="63"/>
  <c r="R37" i="63"/>
  <c r="R38" i="63"/>
  <c r="R39" i="63"/>
  <c r="R40" i="63"/>
  <c r="R41" i="63"/>
  <c r="R43" i="63"/>
  <c r="R44" i="63"/>
  <c r="R45" i="63"/>
  <c r="R47" i="63"/>
  <c r="R48" i="63"/>
  <c r="R49" i="63"/>
  <c r="R50" i="63"/>
  <c r="R51" i="63"/>
  <c r="R52" i="63"/>
  <c r="R53" i="63"/>
  <c r="R54" i="63"/>
  <c r="R55" i="63"/>
  <c r="R56" i="63"/>
  <c r="R57" i="63"/>
  <c r="R60" i="63"/>
  <c r="R61" i="63"/>
  <c r="R62" i="63"/>
  <c r="R63" i="63"/>
  <c r="R64" i="63"/>
  <c r="R65" i="63"/>
  <c r="R66" i="63"/>
  <c r="R24" i="62"/>
  <c r="R25" i="62"/>
  <c r="R26" i="62"/>
  <c r="R27" i="62"/>
  <c r="R28" i="62"/>
  <c r="R29" i="62"/>
  <c r="R30" i="62"/>
  <c r="R31" i="62"/>
  <c r="R32" i="62"/>
  <c r="R33" i="62"/>
  <c r="R34" i="62"/>
  <c r="R35" i="62"/>
  <c r="R36" i="62"/>
  <c r="R37" i="62"/>
  <c r="R38" i="62"/>
  <c r="R39" i="62"/>
  <c r="R40" i="62"/>
  <c r="R41" i="62"/>
  <c r="R43" i="62"/>
  <c r="R44" i="62"/>
  <c r="R45" i="62"/>
  <c r="R47" i="62"/>
  <c r="R48" i="62"/>
  <c r="R49" i="62"/>
  <c r="R50" i="62"/>
  <c r="R51" i="62"/>
  <c r="R52" i="62"/>
  <c r="R54" i="62"/>
  <c r="R56" i="62"/>
  <c r="R57" i="62"/>
  <c r="R58" i="62"/>
  <c r="R59" i="62"/>
  <c r="R60" i="62"/>
  <c r="R61" i="62"/>
  <c r="R62" i="62"/>
  <c r="R63" i="62"/>
  <c r="R64" i="62"/>
  <c r="R65" i="62"/>
  <c r="R66" i="62"/>
  <c r="R24" i="61"/>
  <c r="R25" i="61"/>
  <c r="R26" i="61"/>
  <c r="R27" i="61"/>
  <c r="R28" i="61"/>
  <c r="R29" i="61"/>
  <c r="R30" i="61"/>
  <c r="R31" i="61"/>
  <c r="R32" i="61"/>
  <c r="R33" i="61"/>
  <c r="R34" i="61"/>
  <c r="R35" i="61"/>
  <c r="R36" i="61"/>
  <c r="R37" i="61"/>
  <c r="R38" i="61"/>
  <c r="R39" i="61"/>
  <c r="R40" i="61"/>
  <c r="R41" i="61"/>
  <c r="R43" i="61"/>
  <c r="R44" i="61"/>
  <c r="R45" i="61"/>
  <c r="R47" i="61"/>
  <c r="R48" i="61"/>
  <c r="R49" i="61"/>
  <c r="R50" i="61"/>
  <c r="R51" i="61"/>
  <c r="R52" i="61"/>
  <c r="R53" i="61"/>
  <c r="R54" i="61"/>
  <c r="R57" i="61"/>
  <c r="R58" i="61"/>
  <c r="R60" i="61"/>
  <c r="R61" i="61"/>
  <c r="R62" i="61"/>
  <c r="R63" i="61"/>
  <c r="R64" i="61"/>
  <c r="R65" i="61"/>
  <c r="R66" i="61"/>
  <c r="R24" i="60"/>
  <c r="R25" i="60"/>
  <c r="R26" i="60"/>
  <c r="R27" i="60"/>
  <c r="R28" i="60"/>
  <c r="R29" i="60"/>
  <c r="R30" i="60"/>
  <c r="R31" i="60"/>
  <c r="R55" i="60"/>
  <c r="R32" i="60"/>
  <c r="R33" i="60"/>
  <c r="R34" i="60"/>
  <c r="R35" i="60"/>
  <c r="R36" i="60"/>
  <c r="R37" i="60"/>
  <c r="R38" i="60"/>
  <c r="R39" i="60"/>
  <c r="R40" i="60"/>
  <c r="R41" i="60"/>
  <c r="R43" i="60"/>
  <c r="R44" i="60"/>
  <c r="R45" i="60"/>
  <c r="R47" i="60"/>
  <c r="R48" i="60"/>
  <c r="R49" i="60"/>
  <c r="R50" i="60"/>
  <c r="R51" i="60"/>
  <c r="R52" i="60"/>
  <c r="R53" i="60"/>
  <c r="R64" i="60"/>
  <c r="R57" i="60"/>
  <c r="R59" i="60"/>
  <c r="R60" i="60"/>
  <c r="R61" i="60"/>
  <c r="R62" i="60"/>
  <c r="R63" i="60"/>
  <c r="R65" i="60"/>
  <c r="R66" i="60"/>
  <c r="R27" i="59"/>
  <c r="R28" i="59"/>
  <c r="R29" i="59"/>
  <c r="R30" i="59"/>
  <c r="R31" i="59"/>
  <c r="R32" i="59"/>
  <c r="R33" i="59"/>
  <c r="R34" i="59"/>
  <c r="R35" i="59"/>
  <c r="R36" i="59"/>
  <c r="R37" i="59"/>
  <c r="R38" i="59"/>
  <c r="R39" i="59"/>
  <c r="R40" i="59"/>
  <c r="R41" i="59"/>
  <c r="R43" i="59"/>
  <c r="R44" i="59"/>
  <c r="R45" i="59"/>
  <c r="R47" i="59"/>
  <c r="R48" i="59"/>
  <c r="R49" i="59"/>
  <c r="R50" i="59"/>
  <c r="R51" i="59"/>
  <c r="R52" i="59"/>
  <c r="R53" i="59"/>
  <c r="R54" i="59"/>
  <c r="R55" i="59"/>
  <c r="R56" i="59"/>
  <c r="R57" i="59"/>
  <c r="R60" i="59"/>
  <c r="R61" i="59"/>
  <c r="R62" i="59"/>
  <c r="R63" i="59"/>
  <c r="R64" i="59"/>
  <c r="R65" i="59"/>
  <c r="R66" i="59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3" i="11"/>
  <c r="R44" i="11"/>
  <c r="R45" i="11"/>
  <c r="R47" i="11"/>
  <c r="R48" i="11"/>
  <c r="R49" i="11"/>
  <c r="R50" i="11"/>
  <c r="R51" i="11"/>
  <c r="R52" i="11"/>
  <c r="R54" i="11"/>
  <c r="R57" i="11"/>
  <c r="R58" i="11"/>
  <c r="R60" i="11"/>
  <c r="R61" i="11"/>
  <c r="R62" i="11"/>
  <c r="R63" i="11"/>
  <c r="R64" i="11"/>
  <c r="R65" i="11"/>
  <c r="R66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24" i="66"/>
  <c r="R25" i="66"/>
  <c r="R26" i="66"/>
  <c r="R27" i="66"/>
  <c r="R28" i="66"/>
  <c r="R29" i="66"/>
  <c r="R30" i="66"/>
  <c r="R31" i="66"/>
  <c r="R32" i="66"/>
  <c r="R33" i="66"/>
  <c r="R34" i="66"/>
  <c r="R35" i="66"/>
  <c r="R36" i="66"/>
  <c r="R37" i="66"/>
  <c r="R38" i="66"/>
  <c r="R39" i="66"/>
  <c r="R40" i="66"/>
  <c r="R41" i="66"/>
  <c r="R43" i="66"/>
  <c r="R44" i="66"/>
  <c r="R45" i="66"/>
  <c r="R46" i="66"/>
  <c r="R47" i="66"/>
  <c r="R48" i="66"/>
  <c r="R49" i="66"/>
  <c r="R50" i="66"/>
  <c r="R51" i="66"/>
  <c r="R52" i="66"/>
  <c r="R53" i="66"/>
  <c r="R63" i="66"/>
  <c r="R56" i="66"/>
  <c r="R57" i="66"/>
  <c r="R58" i="66"/>
  <c r="R59" i="66"/>
  <c r="R60" i="66"/>
  <c r="R61" i="66"/>
  <c r="R62" i="66"/>
  <c r="R64" i="66"/>
  <c r="R65" i="66"/>
  <c r="AL15" i="11" l="1" a="1"/>
  <c r="AL15" i="11" s="1"/>
  <c r="AM15" i="11" a="1"/>
  <c r="AM15" i="11" s="1"/>
  <c r="AN15" i="11" a="1"/>
  <c r="AN15" i="11" s="1"/>
  <c r="AO15" i="11" a="1"/>
  <c r="AO15" i="11" s="1"/>
  <c r="AP15" i="11" a="1"/>
  <c r="AP15" i="11" s="1"/>
  <c r="AQ15" i="11" a="1"/>
  <c r="AQ15" i="11" s="1"/>
  <c r="AR15" i="11" a="1"/>
  <c r="AR15" i="11" s="1"/>
  <c r="AS15" i="11" a="1"/>
  <c r="AS15" i="11" s="1"/>
  <c r="BN15" i="11" a="1"/>
  <c r="BN15" i="11" s="1"/>
  <c r="AW15" i="11" a="1"/>
  <c r="AW15" i="11" s="1"/>
  <c r="AL16" i="11" a="1"/>
  <c r="AL16" i="11" s="1"/>
  <c r="AM16" i="11" a="1"/>
  <c r="AM16" i="11" s="1"/>
  <c r="AN16" i="11" a="1"/>
  <c r="AN16" i="11" s="1"/>
  <c r="AO16" i="11" a="1"/>
  <c r="AO16" i="11" s="1"/>
  <c r="AP16" i="11" a="1"/>
  <c r="AP16" i="11" s="1"/>
  <c r="AQ16" i="11" a="1"/>
  <c r="AQ16" i="11" s="1"/>
  <c r="AR16" i="11" a="1"/>
  <c r="AR16" i="11" s="1"/>
  <c r="AS16" i="11" a="1"/>
  <c r="AS16" i="11" s="1"/>
  <c r="BN16" i="11" a="1"/>
  <c r="BN16" i="11" s="1"/>
  <c r="AW16" i="11" a="1"/>
  <c r="AW16" i="11" s="1"/>
  <c r="AL17" i="11" a="1"/>
  <c r="AL17" i="11" s="1"/>
  <c r="AM17" i="11" a="1"/>
  <c r="AM17" i="11" s="1"/>
  <c r="AN17" i="11" a="1"/>
  <c r="AN17" i="11" s="1"/>
  <c r="AO17" i="11" a="1"/>
  <c r="AO17" i="11" s="1"/>
  <c r="AP17" i="11" a="1"/>
  <c r="AP17" i="11" s="1"/>
  <c r="AQ17" i="11" a="1"/>
  <c r="AQ17" i="11" s="1"/>
  <c r="AR17" i="11" a="1"/>
  <c r="AR17" i="11" s="1"/>
  <c r="AS17" i="11" a="1"/>
  <c r="AS17" i="11" s="1"/>
  <c r="BN17" i="11" a="1"/>
  <c r="BN17" i="11" s="1"/>
  <c r="AW17" i="11" a="1"/>
  <c r="AW17" i="11" s="1"/>
  <c r="BN14" i="11" l="1"/>
  <c r="AM14" i="11"/>
  <c r="AS14" i="11"/>
  <c r="AP14" i="11"/>
  <c r="AL14" i="11"/>
  <c r="AR14" i="11"/>
  <c r="AO14" i="11"/>
  <c r="AW14" i="11"/>
  <c r="AQ14" i="11"/>
  <c r="AN14" i="11"/>
  <c r="L41" i="62"/>
  <c r="R39" i="77" l="1"/>
  <c r="R40" i="77"/>
  <c r="R41" i="77"/>
  <c r="R43" i="77"/>
  <c r="R44" i="77"/>
  <c r="R45" i="77"/>
  <c r="R46" i="77"/>
  <c r="R47" i="77"/>
  <c r="R48" i="77"/>
  <c r="R44" i="76"/>
  <c r="R45" i="76"/>
  <c r="R46" i="76"/>
  <c r="R47" i="76"/>
  <c r="R48" i="76"/>
  <c r="R49" i="76"/>
  <c r="R50" i="76"/>
  <c r="R38" i="72"/>
  <c r="R39" i="72"/>
  <c r="R40" i="72"/>
  <c r="R41" i="72"/>
  <c r="R43" i="72"/>
  <c r="R40" i="74"/>
  <c r="R41" i="74"/>
  <c r="R43" i="74"/>
  <c r="R44" i="74"/>
  <c r="R33" i="79"/>
  <c r="R34" i="79"/>
  <c r="R35" i="79"/>
  <c r="R36" i="79"/>
  <c r="R37" i="79"/>
  <c r="R38" i="79"/>
  <c r="R39" i="79"/>
  <c r="R40" i="79"/>
  <c r="R41" i="79"/>
  <c r="R43" i="79"/>
  <c r="R44" i="79"/>
  <c r="R45" i="79"/>
  <c r="R47" i="79"/>
  <c r="R48" i="79"/>
  <c r="R49" i="79"/>
  <c r="R39" i="70"/>
  <c r="R40" i="70"/>
  <c r="R41" i="70"/>
  <c r="R43" i="70"/>
  <c r="R44" i="70"/>
  <c r="R45" i="70"/>
  <c r="R47" i="70"/>
  <c r="R38" i="78"/>
  <c r="R39" i="78"/>
  <c r="R40" i="78"/>
  <c r="R41" i="78"/>
  <c r="R43" i="78"/>
  <c r="R44" i="78"/>
  <c r="R45" i="78"/>
  <c r="R46" i="78"/>
  <c r="R41" i="73"/>
  <c r="R43" i="73"/>
  <c r="R44" i="73"/>
  <c r="R45" i="73"/>
  <c r="R47" i="73"/>
  <c r="R48" i="73"/>
  <c r="R49" i="73"/>
  <c r="R50" i="73"/>
  <c r="R51" i="73"/>
  <c r="R52" i="73"/>
  <c r="R37" i="69"/>
  <c r="R38" i="69"/>
  <c r="R39" i="69"/>
  <c r="R40" i="69"/>
  <c r="R41" i="69"/>
  <c r="R43" i="69"/>
  <c r="R44" i="69"/>
  <c r="R45" i="69"/>
  <c r="R46" i="69"/>
  <c r="R47" i="69"/>
  <c r="R48" i="69"/>
  <c r="R49" i="69"/>
  <c r="O39" i="75"/>
  <c r="P39" i="75" s="1"/>
  <c r="O40" i="75"/>
  <c r="P40" i="75" s="1"/>
  <c r="O41" i="75"/>
  <c r="P41" i="75" s="1"/>
  <c r="O43" i="75"/>
  <c r="P43" i="75" s="1"/>
  <c r="O44" i="75"/>
  <c r="P44" i="75" s="1"/>
  <c r="O45" i="75"/>
  <c r="P45" i="75" s="1"/>
  <c r="O46" i="75"/>
  <c r="P46" i="75" s="1"/>
  <c r="O47" i="75"/>
  <c r="P47" i="75" s="1"/>
  <c r="O48" i="75"/>
  <c r="P48" i="75" s="1"/>
  <c r="R38" i="75"/>
  <c r="R39" i="75"/>
  <c r="R40" i="75"/>
  <c r="R41" i="75"/>
  <c r="R43" i="75"/>
  <c r="R44" i="75"/>
  <c r="R45" i="75"/>
  <c r="R46" i="75"/>
  <c r="R47" i="75"/>
  <c r="T24" i="62"/>
  <c r="T25" i="62"/>
  <c r="T26" i="62"/>
  <c r="T27" i="62"/>
  <c r="T28" i="62"/>
  <c r="T29" i="62"/>
  <c r="T30" i="62"/>
  <c r="T31" i="62"/>
  <c r="T32" i="62"/>
  <c r="T33" i="62"/>
  <c r="T34" i="62"/>
  <c r="T35" i="62"/>
  <c r="T36" i="62"/>
  <c r="T37" i="62"/>
  <c r="T38" i="62"/>
  <c r="T39" i="62"/>
  <c r="T40" i="62"/>
  <c r="T41" i="62"/>
  <c r="T43" i="62"/>
  <c r="T44" i="62"/>
  <c r="T45" i="62"/>
  <c r="T47" i="62"/>
  <c r="T48" i="62"/>
  <c r="U43" i="63" l="1"/>
  <c r="V43" i="63" s="1"/>
  <c r="R44" i="72" l="1"/>
  <c r="R45" i="72"/>
  <c r="R47" i="72"/>
  <c r="R48" i="72"/>
  <c r="R49" i="72"/>
  <c r="AK15" i="60" l="1" a="1"/>
  <c r="AK15" i="60" s="1"/>
  <c r="AK16" i="60" a="1"/>
  <c r="AK16" i="60" s="1"/>
  <c r="AK17" i="60" a="1"/>
  <c r="AK17" i="60" s="1"/>
  <c r="AK14" i="60" l="1"/>
  <c r="Q39" i="30" a="1"/>
  <c r="Q53" i="30" a="1"/>
  <c r="H56" i="30" a="1"/>
  <c r="Q54" i="30" a="1"/>
  <c r="R51" i="30" a="1"/>
  <c r="H57" i="30" a="1"/>
  <c r="H48" i="30" a="1"/>
  <c r="I58" i="30" a="1"/>
  <c r="I53" i="30" a="1"/>
  <c r="I57" i="30" a="1"/>
  <c r="Q57" i="30" a="1"/>
  <c r="H49" i="30" a="1"/>
  <c r="R39" i="30" a="1"/>
  <c r="Q50" i="30" a="1"/>
  <c r="H43" i="30" a="1"/>
  <c r="R57" i="30" a="1"/>
  <c r="R50" i="30" a="1"/>
  <c r="I46" i="30" a="1"/>
  <c r="H52" i="30" a="1"/>
  <c r="R56" i="30" a="1"/>
  <c r="H46" i="30" a="1"/>
  <c r="H54" i="30" a="1"/>
  <c r="I56" i="30" a="1"/>
  <c r="I44" i="30" a="1"/>
  <c r="Q43" i="30" a="1"/>
  <c r="I42" i="30" a="1"/>
  <c r="H45" i="30" a="1"/>
  <c r="Q58" i="30" a="1"/>
  <c r="Q51" i="30" a="1"/>
  <c r="I39" i="30" a="1"/>
  <c r="I48" i="30" a="1"/>
  <c r="H42" i="30" a="1"/>
  <c r="H51" i="30" a="1"/>
  <c r="Q59" i="30" a="1"/>
  <c r="Q44" i="30" a="1"/>
  <c r="I49" i="30" a="1"/>
  <c r="I43" i="30" a="1"/>
  <c r="R43" i="30" a="1"/>
  <c r="H53" i="30" a="1"/>
  <c r="H39" i="30" a="1"/>
  <c r="I40" i="30" a="1"/>
  <c r="R55" i="30" a="1"/>
  <c r="H41" i="30" a="1"/>
  <c r="H50" i="30" a="1"/>
  <c r="R47" i="30" a="1"/>
  <c r="I50" i="30" a="1"/>
  <c r="I51" i="30" a="1"/>
  <c r="H55" i="30" a="1"/>
  <c r="I45" i="30" a="1"/>
  <c r="Q41" i="30" a="1"/>
  <c r="Q47" i="30" a="1"/>
  <c r="H40" i="30" a="1"/>
  <c r="I54" i="30" a="1"/>
  <c r="H58" i="30" a="1"/>
  <c r="R52" i="30" a="1"/>
  <c r="I55" i="30" a="1"/>
  <c r="Q40" i="30" a="1"/>
  <c r="R49" i="30" a="1"/>
  <c r="I59" i="30" a="1"/>
  <c r="Q52" i="30" a="1"/>
  <c r="I47" i="30" a="1"/>
  <c r="R54" i="30" a="1"/>
  <c r="R48" i="30" a="1"/>
  <c r="Q42" i="30" a="1"/>
  <c r="Q56" i="30" a="1"/>
  <c r="R58" i="30" a="1"/>
  <c r="Q49" i="30" a="1"/>
  <c r="R42" i="30" a="1"/>
  <c r="R44" i="30" a="1"/>
  <c r="R59" i="30" a="1"/>
  <c r="I52" i="30" a="1"/>
  <c r="Q55" i="30" a="1"/>
  <c r="R40" i="30" a="1"/>
  <c r="R46" i="30" a="1"/>
  <c r="H59" i="30" a="1"/>
  <c r="H44" i="30" a="1"/>
  <c r="Q45" i="30" a="1"/>
  <c r="R53" i="30" a="1"/>
  <c r="R45" i="30" a="1"/>
  <c r="Q48" i="30" a="1"/>
  <c r="R41" i="30" a="1"/>
  <c r="Q46" i="30" a="1"/>
  <c r="I41" i="30" a="1"/>
  <c r="H47" i="30" a="1"/>
  <c r="R59" i="30" l="1"/>
  <c r="I59" i="30"/>
  <c r="I58" i="30"/>
  <c r="R56" i="30"/>
  <c r="H56" i="30"/>
  <c r="R55" i="30"/>
  <c r="H55" i="30"/>
  <c r="I54" i="30"/>
  <c r="R53" i="30"/>
  <c r="R58" i="30"/>
  <c r="H58" i="30"/>
  <c r="R57" i="30"/>
  <c r="H57" i="30"/>
  <c r="Q55" i="30"/>
  <c r="R54" i="30"/>
  <c r="Q52" i="30"/>
  <c r="Q57" i="30"/>
  <c r="Q56" i="30"/>
  <c r="I55" i="30"/>
  <c r="H53" i="30"/>
  <c r="H59" i="30"/>
  <c r="I57" i="30"/>
  <c r="I56" i="30"/>
  <c r="Q59" i="30"/>
  <c r="Q58" i="30"/>
  <c r="Q54" i="30"/>
  <c r="R51" i="30"/>
  <c r="H51" i="30"/>
  <c r="I52" i="30"/>
  <c r="I50" i="30"/>
  <c r="Q50" i="30"/>
  <c r="H54" i="30"/>
  <c r="Q53" i="30"/>
  <c r="I53" i="30"/>
  <c r="R52" i="30"/>
  <c r="H52" i="30"/>
  <c r="Q51" i="30"/>
  <c r="I51" i="30"/>
  <c r="R50" i="30"/>
  <c r="H50" i="30"/>
  <c r="Q49" i="30"/>
  <c r="I49" i="30"/>
  <c r="R48" i="30"/>
  <c r="H48" i="30"/>
  <c r="Q47" i="30"/>
  <c r="I47" i="30"/>
  <c r="I46" i="30"/>
  <c r="I43" i="30"/>
  <c r="R46" i="30"/>
  <c r="H46" i="30"/>
  <c r="I45" i="30"/>
  <c r="Q43" i="30"/>
  <c r="R49" i="30"/>
  <c r="H49" i="30"/>
  <c r="Q48" i="30"/>
  <c r="I48" i="30"/>
  <c r="R47" i="30"/>
  <c r="H47" i="30"/>
  <c r="Q46" i="30"/>
  <c r="R45" i="30"/>
  <c r="H45" i="30"/>
  <c r="R44" i="30"/>
  <c r="H44" i="30"/>
  <c r="Q45" i="30"/>
  <c r="R42" i="30"/>
  <c r="H42" i="30"/>
  <c r="Q44" i="30"/>
  <c r="I44" i="30"/>
  <c r="R43" i="30"/>
  <c r="H43" i="30"/>
  <c r="Q42" i="30"/>
  <c r="I42" i="30"/>
  <c r="R41" i="30"/>
  <c r="H41" i="30"/>
  <c r="Q40" i="30"/>
  <c r="I40" i="30"/>
  <c r="R39" i="30"/>
  <c r="H39" i="30"/>
  <c r="Q41" i="30"/>
  <c r="I41" i="30"/>
  <c r="R40" i="30"/>
  <c r="H40" i="30"/>
  <c r="Q39" i="30"/>
  <c r="I39" i="30"/>
  <c r="J49" i="30" l="1"/>
  <c r="S48" i="30"/>
  <c r="S45" i="30"/>
  <c r="J52" i="30"/>
  <c r="J54" i="30"/>
  <c r="S44" i="30"/>
  <c r="S53" i="30"/>
  <c r="J47" i="30"/>
  <c r="J40" i="30"/>
  <c r="J48" i="30"/>
  <c r="S59" i="30"/>
  <c r="S55" i="30"/>
  <c r="S39" i="30"/>
  <c r="J43" i="30"/>
  <c r="J42" i="30"/>
  <c r="S43" i="30"/>
  <c r="J50" i="30"/>
  <c r="S58" i="30"/>
  <c r="J53" i="30"/>
  <c r="J57" i="30"/>
  <c r="J55" i="30"/>
  <c r="J59" i="30"/>
  <c r="S47" i="30"/>
  <c r="S40" i="30"/>
  <c r="J39" i="30"/>
  <c r="J44" i="30"/>
  <c r="S46" i="30"/>
  <c r="S51" i="30"/>
  <c r="S52" i="30"/>
  <c r="S41" i="30"/>
  <c r="S42" i="30"/>
  <c r="J46" i="30"/>
  <c r="S49" i="30"/>
  <c r="S50" i="30"/>
  <c r="S54" i="30"/>
  <c r="S56" i="30"/>
  <c r="S57" i="30"/>
  <c r="J51" i="30"/>
  <c r="J58" i="30"/>
  <c r="J41" i="30"/>
  <c r="J45" i="30"/>
  <c r="J56" i="30"/>
  <c r="L23" i="64" l="1"/>
  <c r="M23" i="64"/>
  <c r="N23" i="64" s="1"/>
  <c r="O23" i="64"/>
  <c r="P23" i="64" s="1"/>
  <c r="R23" i="64"/>
  <c r="T23" i="64"/>
  <c r="U23" i="64"/>
  <c r="V23" i="64" s="1"/>
  <c r="AD23" i="64" a="1"/>
  <c r="AD23" i="64" s="1"/>
  <c r="AE23" i="64" a="1"/>
  <c r="AE23" i="64" s="1"/>
  <c r="AF23" i="64" a="1"/>
  <c r="AF23" i="64" s="1"/>
  <c r="L24" i="64"/>
  <c r="M24" i="64"/>
  <c r="N24" i="64" s="1"/>
  <c r="O24" i="64"/>
  <c r="P24" i="64" s="1"/>
  <c r="R24" i="64"/>
  <c r="T24" i="64"/>
  <c r="U24" i="64"/>
  <c r="V24" i="64" s="1"/>
  <c r="AD24" i="64" a="1"/>
  <c r="AD24" i="64" s="1"/>
  <c r="AE24" i="64" a="1"/>
  <c r="AE24" i="64" s="1"/>
  <c r="AF24" i="64" a="1"/>
  <c r="AF24" i="64" s="1"/>
  <c r="L25" i="64"/>
  <c r="M25" i="64"/>
  <c r="N25" i="64" s="1"/>
  <c r="O25" i="64"/>
  <c r="P25" i="64" s="1"/>
  <c r="R25" i="64"/>
  <c r="T25" i="64"/>
  <c r="U25" i="64"/>
  <c r="V25" i="64" s="1"/>
  <c r="AD25" i="64" a="1"/>
  <c r="AD25" i="64" s="1"/>
  <c r="AE25" i="64" a="1"/>
  <c r="AE25" i="64" s="1"/>
  <c r="AF25" i="64" a="1"/>
  <c r="AF25" i="64" s="1"/>
  <c r="L26" i="64"/>
  <c r="M26" i="64"/>
  <c r="N26" i="64" s="1"/>
  <c r="O26" i="64"/>
  <c r="P26" i="64" s="1"/>
  <c r="R26" i="64"/>
  <c r="T26" i="64"/>
  <c r="U26" i="64"/>
  <c r="V26" i="64" s="1"/>
  <c r="AD26" i="64" a="1"/>
  <c r="AD26" i="64" s="1"/>
  <c r="AE26" i="64" a="1"/>
  <c r="AE26" i="64" s="1"/>
  <c r="AF26" i="64" a="1"/>
  <c r="AF26" i="64" s="1"/>
  <c r="L27" i="64"/>
  <c r="M27" i="64"/>
  <c r="N27" i="64" s="1"/>
  <c r="O27" i="64"/>
  <c r="P27" i="64" s="1"/>
  <c r="T27" i="64"/>
  <c r="U27" i="64"/>
  <c r="V27" i="64" s="1"/>
  <c r="AD27" i="64" a="1"/>
  <c r="AD27" i="64" s="1"/>
  <c r="AE27" i="64" a="1"/>
  <c r="AE27" i="64" s="1"/>
  <c r="AF27" i="64" a="1"/>
  <c r="AF27" i="64" s="1"/>
  <c r="L24" i="72"/>
  <c r="M24" i="72"/>
  <c r="N24" i="72" s="1"/>
  <c r="O24" i="72"/>
  <c r="P24" i="72" s="1"/>
  <c r="R24" i="72"/>
  <c r="T24" i="72"/>
  <c r="U24" i="72"/>
  <c r="V24" i="72" s="1"/>
  <c r="AD24" i="72" a="1"/>
  <c r="AD24" i="72" s="1"/>
  <c r="L25" i="72"/>
  <c r="M25" i="72"/>
  <c r="N25" i="72" s="1"/>
  <c r="O25" i="72"/>
  <c r="P25" i="72" s="1"/>
  <c r="R25" i="72"/>
  <c r="T25" i="72"/>
  <c r="U25" i="72"/>
  <c r="V25" i="72" s="1"/>
  <c r="AD25" i="72" a="1"/>
  <c r="AD25" i="72" s="1"/>
  <c r="AE25" i="72" a="1"/>
  <c r="AE25" i="72" s="1"/>
  <c r="AF25" i="72" a="1"/>
  <c r="AF25" i="72" s="1"/>
  <c r="L26" i="72"/>
  <c r="M26" i="72"/>
  <c r="N26" i="72" s="1"/>
  <c r="O26" i="72"/>
  <c r="P26" i="72" s="1"/>
  <c r="R26" i="72"/>
  <c r="T26" i="72"/>
  <c r="U26" i="72"/>
  <c r="V26" i="72" s="1"/>
  <c r="AD26" i="72" a="1"/>
  <c r="AD26" i="72" s="1"/>
  <c r="AE26" i="72" a="1"/>
  <c r="AE26" i="72" s="1"/>
  <c r="AF26" i="72" a="1"/>
  <c r="AF26" i="72" s="1"/>
  <c r="L23" i="76"/>
  <c r="M23" i="76"/>
  <c r="N23" i="76" s="1"/>
  <c r="O23" i="76"/>
  <c r="P23" i="76" s="1"/>
  <c r="R23" i="76"/>
  <c r="T23" i="76"/>
  <c r="U23" i="76"/>
  <c r="V23" i="76"/>
  <c r="AD23" i="76" a="1"/>
  <c r="AD23" i="76" s="1"/>
  <c r="AE23" i="76" a="1"/>
  <c r="AE23" i="76" s="1"/>
  <c r="AF23" i="76" a="1"/>
  <c r="AF23" i="76" s="1"/>
  <c r="L24" i="76"/>
  <c r="M24" i="76"/>
  <c r="N24" i="76" s="1"/>
  <c r="O24" i="76"/>
  <c r="P24" i="76" s="1"/>
  <c r="R24" i="76"/>
  <c r="T24" i="76"/>
  <c r="U24" i="76"/>
  <c r="V24" i="76" s="1"/>
  <c r="AD24" i="76" a="1"/>
  <c r="AD24" i="76" s="1"/>
  <c r="AE24" i="76" a="1"/>
  <c r="AE24" i="76" s="1"/>
  <c r="AF24" i="76" a="1"/>
  <c r="AF24" i="76" s="1"/>
  <c r="L25" i="76"/>
  <c r="M25" i="76"/>
  <c r="N25" i="76" s="1"/>
  <c r="O25" i="76"/>
  <c r="P25" i="76" s="1"/>
  <c r="R25" i="76"/>
  <c r="T25" i="76"/>
  <c r="U25" i="76"/>
  <c r="V25" i="76" s="1"/>
  <c r="AD25" i="76" a="1"/>
  <c r="AD25" i="76" s="1"/>
  <c r="AE25" i="76" a="1"/>
  <c r="AE25" i="76" s="1"/>
  <c r="AF25" i="76" a="1"/>
  <c r="AF25" i="76" s="1"/>
  <c r="L26" i="76"/>
  <c r="M26" i="76"/>
  <c r="N26" i="76" s="1"/>
  <c r="O26" i="76"/>
  <c r="P26" i="76" s="1"/>
  <c r="R26" i="76"/>
  <c r="T26" i="76"/>
  <c r="U26" i="76"/>
  <c r="V26" i="76" s="1"/>
  <c r="AD26" i="76" a="1"/>
  <c r="AD26" i="76" s="1"/>
  <c r="AE26" i="76" a="1"/>
  <c r="AE26" i="76" s="1"/>
  <c r="AF26" i="76" a="1"/>
  <c r="AF26" i="76" s="1"/>
  <c r="L24" i="59"/>
  <c r="M24" i="59"/>
  <c r="N24" i="59" s="1"/>
  <c r="O24" i="59"/>
  <c r="P24" i="59" s="1"/>
  <c r="R24" i="59"/>
  <c r="T24" i="59"/>
  <c r="U24" i="59"/>
  <c r="V24" i="59" s="1"/>
  <c r="AD24" i="59" a="1"/>
  <c r="AD24" i="59" s="1"/>
  <c r="AE24" i="59" a="1"/>
  <c r="AE24" i="59" s="1"/>
  <c r="AF24" i="59" a="1"/>
  <c r="AF24" i="59" s="1"/>
  <c r="L25" i="59"/>
  <c r="M25" i="59"/>
  <c r="N25" i="59" s="1"/>
  <c r="O25" i="59"/>
  <c r="P25" i="59" s="1"/>
  <c r="R25" i="59"/>
  <c r="T25" i="59"/>
  <c r="U25" i="59"/>
  <c r="V25" i="59" s="1"/>
  <c r="AD25" i="59" a="1"/>
  <c r="AD25" i="59" s="1"/>
  <c r="AE25" i="59" a="1"/>
  <c r="AE25" i="59" s="1"/>
  <c r="AF25" i="59" a="1"/>
  <c r="AF25" i="59" s="1"/>
  <c r="L26" i="59"/>
  <c r="M26" i="59"/>
  <c r="N26" i="59" s="1"/>
  <c r="O26" i="59"/>
  <c r="P26" i="59" s="1"/>
  <c r="R26" i="59"/>
  <c r="T26" i="59"/>
  <c r="U26" i="59"/>
  <c r="V26" i="59" s="1"/>
  <c r="AD26" i="59" a="1"/>
  <c r="AD26" i="59" s="1"/>
  <c r="AE26" i="59" a="1"/>
  <c r="AE26" i="59" s="1"/>
  <c r="AF26" i="59" a="1"/>
  <c r="AF26" i="59" s="1"/>
  <c r="L23" i="73" l="1"/>
  <c r="M23" i="73"/>
  <c r="N23" i="73" s="1"/>
  <c r="O23" i="73"/>
  <c r="P23" i="73" s="1"/>
  <c r="R23" i="73"/>
  <c r="T23" i="73"/>
  <c r="U23" i="73"/>
  <c r="V23" i="73" s="1"/>
  <c r="AD23" i="73" a="1"/>
  <c r="AD23" i="73" s="1"/>
  <c r="AE23" i="73" a="1"/>
  <c r="AE23" i="73" s="1"/>
  <c r="AF23" i="73" a="1"/>
  <c r="AF23" i="73" s="1"/>
  <c r="L24" i="73"/>
  <c r="M24" i="73"/>
  <c r="N24" i="73" s="1"/>
  <c r="O24" i="73"/>
  <c r="P24" i="73" s="1"/>
  <c r="R24" i="73"/>
  <c r="T24" i="73"/>
  <c r="U24" i="73"/>
  <c r="V24" i="73" s="1"/>
  <c r="AD24" i="73" a="1"/>
  <c r="AD24" i="73" s="1"/>
  <c r="AE24" i="73" a="1"/>
  <c r="AE24" i="73" s="1"/>
  <c r="AF24" i="73" a="1"/>
  <c r="AF24" i="73" s="1"/>
  <c r="L25" i="73"/>
  <c r="M25" i="73"/>
  <c r="N25" i="73" s="1"/>
  <c r="O25" i="73"/>
  <c r="P25" i="73" s="1"/>
  <c r="R25" i="73"/>
  <c r="T25" i="73"/>
  <c r="U25" i="73"/>
  <c r="V25" i="73" s="1"/>
  <c r="AD25" i="73" a="1"/>
  <c r="AD25" i="73" s="1"/>
  <c r="AE25" i="73" a="1"/>
  <c r="AE25" i="73" s="1"/>
  <c r="AF25" i="73" a="1"/>
  <c r="AF25" i="73" s="1"/>
  <c r="L26" i="73"/>
  <c r="M26" i="73"/>
  <c r="N26" i="73" s="1"/>
  <c r="O26" i="73"/>
  <c r="P26" i="73" s="1"/>
  <c r="R26" i="73"/>
  <c r="T26" i="73"/>
  <c r="U26" i="73"/>
  <c r="V26" i="73" s="1"/>
  <c r="AD26" i="73" a="1"/>
  <c r="AD26" i="73" s="1"/>
  <c r="AE26" i="73" a="1"/>
  <c r="AE26" i="73" s="1"/>
  <c r="AF26" i="73" a="1"/>
  <c r="AF26" i="73" s="1"/>
  <c r="L27" i="73"/>
  <c r="M27" i="73"/>
  <c r="N27" i="73" s="1"/>
  <c r="O27" i="73"/>
  <c r="P27" i="73" s="1"/>
  <c r="R27" i="73"/>
  <c r="T27" i="73"/>
  <c r="U27" i="73"/>
  <c r="V27" i="73" s="1"/>
  <c r="AD27" i="73" a="1"/>
  <c r="AD27" i="73" s="1"/>
  <c r="AE27" i="73" a="1"/>
  <c r="AE27" i="73" s="1"/>
  <c r="AF27" i="73" a="1"/>
  <c r="AF27" i="73" s="1"/>
  <c r="L23" i="63" l="1"/>
  <c r="M23" i="63"/>
  <c r="N23" i="63" s="1"/>
  <c r="O23" i="63"/>
  <c r="P23" i="63" s="1"/>
  <c r="R23" i="63"/>
  <c r="T23" i="63"/>
  <c r="U23" i="63"/>
  <c r="V23" i="63"/>
  <c r="AD23" i="63" a="1"/>
  <c r="AD23" i="63" s="1"/>
  <c r="AE23" i="63" a="1"/>
  <c r="AE23" i="63" s="1"/>
  <c r="AF23" i="63" a="1"/>
  <c r="AF23" i="63" s="1"/>
  <c r="L24" i="63"/>
  <c r="M24" i="63"/>
  <c r="N24" i="63" s="1"/>
  <c r="O24" i="63"/>
  <c r="P24" i="63" s="1"/>
  <c r="R24" i="63"/>
  <c r="T24" i="63"/>
  <c r="U24" i="63"/>
  <c r="V24" i="63" s="1"/>
  <c r="AD24" i="63" a="1"/>
  <c r="AD24" i="63" s="1"/>
  <c r="AE24" i="63" a="1"/>
  <c r="AE24" i="63" s="1"/>
  <c r="AF24" i="63" a="1"/>
  <c r="AF24" i="63" s="1"/>
  <c r="L25" i="63"/>
  <c r="M25" i="63"/>
  <c r="N25" i="63" s="1"/>
  <c r="O25" i="63"/>
  <c r="P25" i="63" s="1"/>
  <c r="R25" i="63"/>
  <c r="T25" i="63"/>
  <c r="U25" i="63"/>
  <c r="V25" i="63" s="1"/>
  <c r="AD25" i="63" a="1"/>
  <c r="AD25" i="63" s="1"/>
  <c r="AE25" i="63" a="1"/>
  <c r="AE25" i="63" s="1"/>
  <c r="AF25" i="63" a="1"/>
  <c r="AF25" i="63" s="1"/>
  <c r="L26" i="63"/>
  <c r="M26" i="63"/>
  <c r="N26" i="63" s="1"/>
  <c r="O26" i="63"/>
  <c r="P26" i="63" s="1"/>
  <c r="R26" i="63"/>
  <c r="T26" i="63"/>
  <c r="U26" i="63"/>
  <c r="V26" i="63" s="1"/>
  <c r="AD26" i="63" a="1"/>
  <c r="AD26" i="63" s="1"/>
  <c r="AE26" i="63" a="1"/>
  <c r="AE26" i="63" s="1"/>
  <c r="AF26" i="63" a="1"/>
  <c r="AF26" i="63" s="1"/>
  <c r="AT15" i="78" l="1" a="1"/>
  <c r="AT15" i="78" s="1"/>
  <c r="AU15" i="78" a="1"/>
  <c r="AU15" i="78" s="1"/>
  <c r="BD15" i="78" a="1"/>
  <c r="BD15" i="78" s="1"/>
  <c r="AV15" i="78" a="1"/>
  <c r="AV15" i="78" s="1"/>
  <c r="AW15" i="78" a="1"/>
  <c r="AW15" i="78" s="1"/>
  <c r="BE15" i="78" a="1"/>
  <c r="BE15" i="78" s="1"/>
  <c r="AX15" i="78" a="1"/>
  <c r="AX15" i="78" s="1"/>
  <c r="AY15" i="78" a="1"/>
  <c r="AY15" i="78" s="1"/>
  <c r="BC15" i="78" a="1"/>
  <c r="BC15" i="78" s="1"/>
  <c r="AZ15" i="78" a="1"/>
  <c r="AZ15" i="78" s="1"/>
  <c r="BA15" i="78" a="1"/>
  <c r="BA15" i="78" s="1"/>
  <c r="BN15" i="78" a="1"/>
  <c r="BN15" i="78" s="1"/>
  <c r="BB15" i="78" a="1"/>
  <c r="BB15" i="78" s="1"/>
  <c r="BF15" i="78" a="1"/>
  <c r="BF15" i="78" s="1"/>
  <c r="BH15" i="78" a="1"/>
  <c r="BH15" i="78" s="1"/>
  <c r="BI15" i="78" a="1"/>
  <c r="BI15" i="78" s="1"/>
  <c r="AT16" i="78" a="1"/>
  <c r="AT16" i="78" s="1"/>
  <c r="AU16" i="78" a="1"/>
  <c r="AU16" i="78" s="1"/>
  <c r="BD16" i="78" a="1"/>
  <c r="BD16" i="78" s="1"/>
  <c r="AV16" i="78" a="1"/>
  <c r="AV16" i="78" s="1"/>
  <c r="AW16" i="78" a="1"/>
  <c r="AW16" i="78" s="1"/>
  <c r="BE16" i="78" a="1"/>
  <c r="BE16" i="78" s="1"/>
  <c r="AX16" i="78" a="1"/>
  <c r="AX16" i="78" s="1"/>
  <c r="AY16" i="78" a="1"/>
  <c r="AY16" i="78" s="1"/>
  <c r="BC16" i="78" a="1"/>
  <c r="BC16" i="78" s="1"/>
  <c r="AZ16" i="78" a="1"/>
  <c r="AZ16" i="78" s="1"/>
  <c r="BA16" i="78" a="1"/>
  <c r="BA16" i="78" s="1"/>
  <c r="BN16" i="78" a="1"/>
  <c r="BN16" i="78" s="1"/>
  <c r="BB16" i="78" a="1"/>
  <c r="BB16" i="78" s="1"/>
  <c r="BF16" i="78" a="1"/>
  <c r="BF16" i="78" s="1"/>
  <c r="BH16" i="78" a="1"/>
  <c r="BH16" i="78" s="1"/>
  <c r="BI16" i="78" a="1"/>
  <c r="BI16" i="78" s="1"/>
  <c r="AT17" i="78" a="1"/>
  <c r="AT17" i="78" s="1"/>
  <c r="AU17" i="78" a="1"/>
  <c r="AU17" i="78" s="1"/>
  <c r="BD17" i="78" a="1"/>
  <c r="BD17" i="78" s="1"/>
  <c r="AV17" i="78" a="1"/>
  <c r="AV17" i="78" s="1"/>
  <c r="AW17" i="78" a="1"/>
  <c r="AW17" i="78" s="1"/>
  <c r="BE17" i="78" a="1"/>
  <c r="BE17" i="78" s="1"/>
  <c r="AX17" i="78" a="1"/>
  <c r="AX17" i="78" s="1"/>
  <c r="AY17" i="78" a="1"/>
  <c r="AY17" i="78" s="1"/>
  <c r="BC17" i="78" a="1"/>
  <c r="BC17" i="78" s="1"/>
  <c r="AZ17" i="78" a="1"/>
  <c r="AZ17" i="78" s="1"/>
  <c r="BA17" i="78" a="1"/>
  <c r="BA17" i="78" s="1"/>
  <c r="BN17" i="78" a="1"/>
  <c r="BN17" i="78" s="1"/>
  <c r="BB17" i="78" a="1"/>
  <c r="BB17" i="78" s="1"/>
  <c r="BF17" i="78" a="1"/>
  <c r="BF17" i="78" s="1"/>
  <c r="BH17" i="78" a="1"/>
  <c r="BH17" i="78" s="1"/>
  <c r="BI17" i="78" a="1"/>
  <c r="BI17" i="78" s="1"/>
  <c r="AH15" i="70" a="1"/>
  <c r="AH15" i="70" s="1"/>
  <c r="AI15" i="70" a="1"/>
  <c r="AI15" i="70" s="1"/>
  <c r="AK15" i="70" a="1"/>
  <c r="AK15" i="70" s="1"/>
  <c r="AL15" i="70" a="1"/>
  <c r="AL15" i="70" s="1"/>
  <c r="AH16" i="70" a="1"/>
  <c r="AH16" i="70" s="1"/>
  <c r="AI16" i="70" a="1"/>
  <c r="AI16" i="70" s="1"/>
  <c r="AK16" i="70" a="1"/>
  <c r="AK16" i="70" s="1"/>
  <c r="AL16" i="70" a="1"/>
  <c r="AL16" i="70" s="1"/>
  <c r="AH17" i="70" a="1"/>
  <c r="AH17" i="70" s="1"/>
  <c r="AI17" i="70" a="1"/>
  <c r="AI17" i="70" s="1"/>
  <c r="AK17" i="70" a="1"/>
  <c r="AK17" i="70" s="1"/>
  <c r="AL17" i="70" a="1"/>
  <c r="AL17" i="70" s="1"/>
  <c r="BB14" i="78" l="1"/>
  <c r="AZ14" i="78"/>
  <c r="BE14" i="78"/>
  <c r="AU14" i="78"/>
  <c r="BI14" i="78"/>
  <c r="BH14" i="78"/>
  <c r="BA14" i="78"/>
  <c r="AY14" i="78"/>
  <c r="AV14" i="78"/>
  <c r="BF14" i="78"/>
  <c r="AX14" i="78"/>
  <c r="BD14" i="78"/>
  <c r="BN14" i="78"/>
  <c r="BC14" i="78"/>
  <c r="AW14" i="78"/>
  <c r="AT14" i="78"/>
  <c r="AH14" i="70"/>
  <c r="AL14" i="70"/>
  <c r="AK14" i="70"/>
  <c r="AI14" i="70"/>
  <c r="AF131" i="79" l="1" a="1"/>
  <c r="AF131" i="79" s="1"/>
  <c r="AE131" i="79" a="1"/>
  <c r="AE131" i="79" s="1"/>
  <c r="AD131" i="79" a="1"/>
  <c r="AD131" i="79" s="1"/>
  <c r="T131" i="79"/>
  <c r="R131" i="79"/>
  <c r="N131" i="79"/>
  <c r="M131" i="79"/>
  <c r="L131" i="79"/>
  <c r="F131" i="79"/>
  <c r="D131" i="79"/>
  <c r="AF130" i="79" a="1"/>
  <c r="AF130" i="79" s="1"/>
  <c r="AE130" i="79" a="1"/>
  <c r="AE130" i="79" s="1"/>
  <c r="AD130" i="79" a="1"/>
  <c r="AD130" i="79" s="1"/>
  <c r="T130" i="79"/>
  <c r="R130" i="79"/>
  <c r="N130" i="79"/>
  <c r="M130" i="79"/>
  <c r="L130" i="79"/>
  <c r="F130" i="79"/>
  <c r="D130" i="79"/>
  <c r="AF129" i="79" a="1"/>
  <c r="AF129" i="79" s="1"/>
  <c r="AE129" i="79" a="1"/>
  <c r="AE129" i="79" s="1"/>
  <c r="AD129" i="79" a="1"/>
  <c r="AD129" i="79" s="1"/>
  <c r="T129" i="79"/>
  <c r="R129" i="79"/>
  <c r="N129" i="79"/>
  <c r="M129" i="79"/>
  <c r="L129" i="79"/>
  <c r="F129" i="79"/>
  <c r="D129" i="79"/>
  <c r="AF128" i="79" a="1"/>
  <c r="AF128" i="79" s="1"/>
  <c r="AE128" i="79" a="1"/>
  <c r="AE128" i="79" s="1"/>
  <c r="AD128" i="79" a="1"/>
  <c r="AD128" i="79" s="1"/>
  <c r="T128" i="79"/>
  <c r="R128" i="79"/>
  <c r="N128" i="79"/>
  <c r="M128" i="79"/>
  <c r="L128" i="79"/>
  <c r="F128" i="79"/>
  <c r="D128" i="79"/>
  <c r="AF127" i="79" a="1"/>
  <c r="AF127" i="79" s="1"/>
  <c r="AE127" i="79" a="1"/>
  <c r="AE127" i="79" s="1"/>
  <c r="AD127" i="79" a="1"/>
  <c r="AD127" i="79" s="1"/>
  <c r="T127" i="79"/>
  <c r="R127" i="79"/>
  <c r="N127" i="79"/>
  <c r="M127" i="79"/>
  <c r="L127" i="79"/>
  <c r="F127" i="79"/>
  <c r="D127" i="79"/>
  <c r="AF126" i="79" a="1"/>
  <c r="AF126" i="79" s="1"/>
  <c r="AE126" i="79" a="1"/>
  <c r="AE126" i="79" s="1"/>
  <c r="AD126" i="79" a="1"/>
  <c r="AD126" i="79" s="1"/>
  <c r="T126" i="79"/>
  <c r="R126" i="79"/>
  <c r="N126" i="79"/>
  <c r="M126" i="79"/>
  <c r="L126" i="79"/>
  <c r="F126" i="79"/>
  <c r="D126" i="79"/>
  <c r="AF125" i="79" a="1"/>
  <c r="AF125" i="79" s="1"/>
  <c r="AE125" i="79" a="1"/>
  <c r="AE125" i="79" s="1"/>
  <c r="AD125" i="79" a="1"/>
  <c r="AD125" i="79" s="1"/>
  <c r="T125" i="79"/>
  <c r="R125" i="79"/>
  <c r="N125" i="79"/>
  <c r="M125" i="79"/>
  <c r="L125" i="79"/>
  <c r="F125" i="79"/>
  <c r="D125" i="79"/>
  <c r="AF124" i="79" a="1"/>
  <c r="AF124" i="79" s="1"/>
  <c r="AE124" i="79" a="1"/>
  <c r="AE124" i="79" s="1"/>
  <c r="AD124" i="79" a="1"/>
  <c r="AD124" i="79" s="1"/>
  <c r="T124" i="79"/>
  <c r="R124" i="79"/>
  <c r="N124" i="79"/>
  <c r="M124" i="79"/>
  <c r="L124" i="79"/>
  <c r="F124" i="79"/>
  <c r="D124" i="79"/>
  <c r="AF123" i="79" a="1"/>
  <c r="AF123" i="79" s="1"/>
  <c r="AE123" i="79" a="1"/>
  <c r="AE123" i="79" s="1"/>
  <c r="AD123" i="79" a="1"/>
  <c r="AD123" i="79" s="1"/>
  <c r="T123" i="79"/>
  <c r="R123" i="79"/>
  <c r="N123" i="79"/>
  <c r="M123" i="79"/>
  <c r="L123" i="79"/>
  <c r="F123" i="79"/>
  <c r="D123" i="79"/>
  <c r="AF122" i="79" a="1"/>
  <c r="AF122" i="79" s="1"/>
  <c r="AE122" i="79" a="1"/>
  <c r="AE122" i="79" s="1"/>
  <c r="AD122" i="79" a="1"/>
  <c r="AD122" i="79" s="1"/>
  <c r="T122" i="79"/>
  <c r="R122" i="79"/>
  <c r="N122" i="79"/>
  <c r="M122" i="79"/>
  <c r="L122" i="79"/>
  <c r="F122" i="79"/>
  <c r="D122" i="79"/>
  <c r="AF121" i="79" a="1"/>
  <c r="AF121" i="79" s="1"/>
  <c r="AE121" i="79" a="1"/>
  <c r="AE121" i="79" s="1"/>
  <c r="AD121" i="79" a="1"/>
  <c r="AD121" i="79" s="1"/>
  <c r="T121" i="79"/>
  <c r="R121" i="79"/>
  <c r="N121" i="79"/>
  <c r="M121" i="79"/>
  <c r="L121" i="79"/>
  <c r="F121" i="79"/>
  <c r="D121" i="79"/>
  <c r="AF120" i="79" a="1"/>
  <c r="AF120" i="79" s="1"/>
  <c r="AE120" i="79" a="1"/>
  <c r="AE120" i="79" s="1"/>
  <c r="AD120" i="79" a="1"/>
  <c r="AD120" i="79" s="1"/>
  <c r="T120" i="79"/>
  <c r="R120" i="79"/>
  <c r="N120" i="79"/>
  <c r="M120" i="79"/>
  <c r="L120" i="79"/>
  <c r="F120" i="79"/>
  <c r="D120" i="79"/>
  <c r="AF119" i="79" a="1"/>
  <c r="AF119" i="79" s="1"/>
  <c r="AE119" i="79" a="1"/>
  <c r="AE119" i="79" s="1"/>
  <c r="AD119" i="79" a="1"/>
  <c r="AD119" i="79" s="1"/>
  <c r="T119" i="79"/>
  <c r="R119" i="79"/>
  <c r="N119" i="79"/>
  <c r="M119" i="79"/>
  <c r="L119" i="79"/>
  <c r="F119" i="79"/>
  <c r="D119" i="79"/>
  <c r="AF118" i="79" a="1"/>
  <c r="AF118" i="79" s="1"/>
  <c r="AE118" i="79" a="1"/>
  <c r="AE118" i="79" s="1"/>
  <c r="AD118" i="79" a="1"/>
  <c r="AD118" i="79" s="1"/>
  <c r="T118" i="79"/>
  <c r="R118" i="79"/>
  <c r="N118" i="79"/>
  <c r="M118" i="79"/>
  <c r="L118" i="79"/>
  <c r="F118" i="79"/>
  <c r="D118" i="79"/>
  <c r="AF117" i="79" a="1"/>
  <c r="AF117" i="79" s="1"/>
  <c r="AE117" i="79" a="1"/>
  <c r="AE117" i="79" s="1"/>
  <c r="AD117" i="79" a="1"/>
  <c r="AD117" i="79" s="1"/>
  <c r="T117" i="79"/>
  <c r="R117" i="79"/>
  <c r="N117" i="79"/>
  <c r="M117" i="79"/>
  <c r="L117" i="79"/>
  <c r="F117" i="79"/>
  <c r="D117" i="79"/>
  <c r="AF116" i="79" a="1"/>
  <c r="AF116" i="79" s="1"/>
  <c r="AE116" i="79" a="1"/>
  <c r="AE116" i="79" s="1"/>
  <c r="AD116" i="79" a="1"/>
  <c r="AD116" i="79" s="1"/>
  <c r="T116" i="79"/>
  <c r="R116" i="79"/>
  <c r="N116" i="79"/>
  <c r="M116" i="79"/>
  <c r="L116" i="79"/>
  <c r="F116" i="79"/>
  <c r="D116" i="79"/>
  <c r="AF115" i="79" a="1"/>
  <c r="AF115" i="79" s="1"/>
  <c r="AE115" i="79" a="1"/>
  <c r="AE115" i="79" s="1"/>
  <c r="AD115" i="79" a="1"/>
  <c r="AD115" i="79" s="1"/>
  <c r="T115" i="79"/>
  <c r="R115" i="79"/>
  <c r="N115" i="79"/>
  <c r="M115" i="79"/>
  <c r="L115" i="79"/>
  <c r="F115" i="79"/>
  <c r="D115" i="79"/>
  <c r="AF114" i="79" a="1"/>
  <c r="AF114" i="79" s="1"/>
  <c r="AE114" i="79" a="1"/>
  <c r="AE114" i="79" s="1"/>
  <c r="AD114" i="79" a="1"/>
  <c r="AD114" i="79" s="1"/>
  <c r="T114" i="79"/>
  <c r="R114" i="79"/>
  <c r="N114" i="79"/>
  <c r="M114" i="79"/>
  <c r="L114" i="79"/>
  <c r="F114" i="79"/>
  <c r="D114" i="79"/>
  <c r="AF113" i="79" a="1"/>
  <c r="AF113" i="79" s="1"/>
  <c r="AE113" i="79" a="1"/>
  <c r="AE113" i="79" s="1"/>
  <c r="AD113" i="79" a="1"/>
  <c r="AD113" i="79" s="1"/>
  <c r="T113" i="79"/>
  <c r="R113" i="79"/>
  <c r="N113" i="79"/>
  <c r="M113" i="79"/>
  <c r="L113" i="79"/>
  <c r="F113" i="79"/>
  <c r="D113" i="79"/>
  <c r="AF112" i="79" a="1"/>
  <c r="AF112" i="79" s="1"/>
  <c r="AE112" i="79" a="1"/>
  <c r="AE112" i="79" s="1"/>
  <c r="AD112" i="79" a="1"/>
  <c r="AD112" i="79" s="1"/>
  <c r="T112" i="79"/>
  <c r="R112" i="79"/>
  <c r="N112" i="79"/>
  <c r="M112" i="79"/>
  <c r="L112" i="79"/>
  <c r="F112" i="79"/>
  <c r="D112" i="79"/>
  <c r="AF111" i="79" a="1"/>
  <c r="AF111" i="79" s="1"/>
  <c r="AE111" i="79" a="1"/>
  <c r="AE111" i="79" s="1"/>
  <c r="AD111" i="79" a="1"/>
  <c r="AD111" i="79" s="1"/>
  <c r="T111" i="79"/>
  <c r="R111" i="79"/>
  <c r="N111" i="79"/>
  <c r="M111" i="79"/>
  <c r="L111" i="79"/>
  <c r="F111" i="79"/>
  <c r="D111" i="79"/>
  <c r="AF110" i="79" a="1"/>
  <c r="AF110" i="79" s="1"/>
  <c r="AE110" i="79" a="1"/>
  <c r="AE110" i="79" s="1"/>
  <c r="AD110" i="79" a="1"/>
  <c r="AD110" i="79" s="1"/>
  <c r="T110" i="79"/>
  <c r="R110" i="79"/>
  <c r="N110" i="79"/>
  <c r="M110" i="79"/>
  <c r="L110" i="79"/>
  <c r="F110" i="79"/>
  <c r="D110" i="79"/>
  <c r="AF109" i="79" a="1"/>
  <c r="AF109" i="79" s="1"/>
  <c r="AE109" i="79" a="1"/>
  <c r="AE109" i="79" s="1"/>
  <c r="AD109" i="79" a="1"/>
  <c r="AD109" i="79" s="1"/>
  <c r="T109" i="79"/>
  <c r="R109" i="79"/>
  <c r="N109" i="79"/>
  <c r="M109" i="79"/>
  <c r="L109" i="79"/>
  <c r="F109" i="79"/>
  <c r="D109" i="79"/>
  <c r="AF108" i="79" a="1"/>
  <c r="AF108" i="79" s="1"/>
  <c r="AE108" i="79" a="1"/>
  <c r="AE108" i="79" s="1"/>
  <c r="AD108" i="79" a="1"/>
  <c r="AD108" i="79" s="1"/>
  <c r="T108" i="79"/>
  <c r="R108" i="79"/>
  <c r="N108" i="79"/>
  <c r="M108" i="79"/>
  <c r="L108" i="79"/>
  <c r="F108" i="79"/>
  <c r="D108" i="79"/>
  <c r="AF107" i="79" a="1"/>
  <c r="AF107" i="79" s="1"/>
  <c r="AE107" i="79" a="1"/>
  <c r="AE107" i="79" s="1"/>
  <c r="AD107" i="79" a="1"/>
  <c r="AD107" i="79" s="1"/>
  <c r="T107" i="79"/>
  <c r="R107" i="79"/>
  <c r="N107" i="79"/>
  <c r="M107" i="79"/>
  <c r="L107" i="79"/>
  <c r="F107" i="79"/>
  <c r="D107" i="79"/>
  <c r="AF106" i="79" a="1"/>
  <c r="AF106" i="79" s="1"/>
  <c r="AE106" i="79" a="1"/>
  <c r="AE106" i="79" s="1"/>
  <c r="AD106" i="79" a="1"/>
  <c r="AD106" i="79" s="1"/>
  <c r="T106" i="79"/>
  <c r="R106" i="79"/>
  <c r="N106" i="79"/>
  <c r="M106" i="79"/>
  <c r="L106" i="79"/>
  <c r="F106" i="79"/>
  <c r="D106" i="79"/>
  <c r="AF105" i="79" a="1"/>
  <c r="AF105" i="79" s="1"/>
  <c r="AE105" i="79" a="1"/>
  <c r="AE105" i="79" s="1"/>
  <c r="AD105" i="79" a="1"/>
  <c r="AD105" i="79" s="1"/>
  <c r="T105" i="79"/>
  <c r="R105" i="79"/>
  <c r="N105" i="79"/>
  <c r="M105" i="79"/>
  <c r="L105" i="79"/>
  <c r="F105" i="79"/>
  <c r="D105" i="79"/>
  <c r="AF104" i="79" a="1"/>
  <c r="AF104" i="79" s="1"/>
  <c r="AE104" i="79" a="1"/>
  <c r="AE104" i="79" s="1"/>
  <c r="AD104" i="79" a="1"/>
  <c r="AD104" i="79" s="1"/>
  <c r="T104" i="79"/>
  <c r="R104" i="79"/>
  <c r="N104" i="79"/>
  <c r="M104" i="79"/>
  <c r="L104" i="79"/>
  <c r="F104" i="79"/>
  <c r="D104" i="79"/>
  <c r="AF103" i="79" a="1"/>
  <c r="AF103" i="79" s="1"/>
  <c r="AE103" i="79" a="1"/>
  <c r="AE103" i="79" s="1"/>
  <c r="AD103" i="79" a="1"/>
  <c r="AD103" i="79" s="1"/>
  <c r="T103" i="79"/>
  <c r="R103" i="79"/>
  <c r="N103" i="79"/>
  <c r="M103" i="79"/>
  <c r="L103" i="79"/>
  <c r="F103" i="79"/>
  <c r="D103" i="79"/>
  <c r="AF102" i="79" a="1"/>
  <c r="AF102" i="79" s="1"/>
  <c r="AE102" i="79" a="1"/>
  <c r="AE102" i="79" s="1"/>
  <c r="AD102" i="79" a="1"/>
  <c r="AD102" i="79" s="1"/>
  <c r="T102" i="79"/>
  <c r="R102" i="79"/>
  <c r="N102" i="79"/>
  <c r="M102" i="79"/>
  <c r="L102" i="79"/>
  <c r="F102" i="79"/>
  <c r="D102" i="79"/>
  <c r="AF101" i="79" a="1"/>
  <c r="AF101" i="79" s="1"/>
  <c r="AE101" i="79" a="1"/>
  <c r="AE101" i="79" s="1"/>
  <c r="AD101" i="79" a="1"/>
  <c r="AD101" i="79" s="1"/>
  <c r="T101" i="79"/>
  <c r="R101" i="79"/>
  <c r="N101" i="79"/>
  <c r="M101" i="79"/>
  <c r="L101" i="79"/>
  <c r="F101" i="79"/>
  <c r="D101" i="79"/>
  <c r="AF100" i="79" a="1"/>
  <c r="AF100" i="79" s="1"/>
  <c r="AE100" i="79" a="1"/>
  <c r="AE100" i="79" s="1"/>
  <c r="AD100" i="79" a="1"/>
  <c r="AD100" i="79" s="1"/>
  <c r="T100" i="79"/>
  <c r="R100" i="79"/>
  <c r="N100" i="79"/>
  <c r="M100" i="79"/>
  <c r="L100" i="79"/>
  <c r="F100" i="79"/>
  <c r="D100" i="79"/>
  <c r="AF99" i="79" a="1"/>
  <c r="AF99" i="79" s="1"/>
  <c r="AE99" i="79" a="1"/>
  <c r="AE99" i="79" s="1"/>
  <c r="AD99" i="79" a="1"/>
  <c r="AD99" i="79" s="1"/>
  <c r="T99" i="79"/>
  <c r="R99" i="79"/>
  <c r="N99" i="79"/>
  <c r="M99" i="79"/>
  <c r="L99" i="79"/>
  <c r="F99" i="79"/>
  <c r="D99" i="79"/>
  <c r="AF98" i="79" a="1"/>
  <c r="AF98" i="79" s="1"/>
  <c r="AE98" i="79" a="1"/>
  <c r="AE98" i="79" s="1"/>
  <c r="AD98" i="79" a="1"/>
  <c r="AD98" i="79" s="1"/>
  <c r="T98" i="79"/>
  <c r="R98" i="79"/>
  <c r="N98" i="79"/>
  <c r="M98" i="79"/>
  <c r="L98" i="79"/>
  <c r="F98" i="79"/>
  <c r="D98" i="79"/>
  <c r="AF97" i="79" a="1"/>
  <c r="AF97" i="79" s="1"/>
  <c r="AE97" i="79" a="1"/>
  <c r="AE97" i="79" s="1"/>
  <c r="AD97" i="79" a="1"/>
  <c r="AD97" i="79" s="1"/>
  <c r="T97" i="79"/>
  <c r="R97" i="79"/>
  <c r="N97" i="79"/>
  <c r="M97" i="79"/>
  <c r="L97" i="79"/>
  <c r="F97" i="79"/>
  <c r="D97" i="79"/>
  <c r="AF96" i="79" a="1"/>
  <c r="AF96" i="79" s="1"/>
  <c r="AE96" i="79" a="1"/>
  <c r="AE96" i="79" s="1"/>
  <c r="AD96" i="79" a="1"/>
  <c r="AD96" i="79" s="1"/>
  <c r="T96" i="79"/>
  <c r="R96" i="79"/>
  <c r="N96" i="79"/>
  <c r="M96" i="79"/>
  <c r="L96" i="79"/>
  <c r="F96" i="79"/>
  <c r="D96" i="79"/>
  <c r="AF95" i="79" a="1"/>
  <c r="AF95" i="79" s="1"/>
  <c r="AE95" i="79" a="1"/>
  <c r="AE95" i="79" s="1"/>
  <c r="AD95" i="79" a="1"/>
  <c r="AD95" i="79" s="1"/>
  <c r="T95" i="79"/>
  <c r="R95" i="79"/>
  <c r="N95" i="79"/>
  <c r="M95" i="79"/>
  <c r="L95" i="79"/>
  <c r="F95" i="79"/>
  <c r="D95" i="79"/>
  <c r="AF94" i="79" a="1"/>
  <c r="AF94" i="79" s="1"/>
  <c r="AE94" i="79" a="1"/>
  <c r="AE94" i="79" s="1"/>
  <c r="AD94" i="79" a="1"/>
  <c r="AD94" i="79" s="1"/>
  <c r="T94" i="79"/>
  <c r="R94" i="79"/>
  <c r="N94" i="79"/>
  <c r="M94" i="79"/>
  <c r="L94" i="79"/>
  <c r="F94" i="79"/>
  <c r="D94" i="79"/>
  <c r="AF93" i="79" a="1"/>
  <c r="AF93" i="79" s="1"/>
  <c r="AE93" i="79" a="1"/>
  <c r="AE93" i="79" s="1"/>
  <c r="AD93" i="79" a="1"/>
  <c r="AD93" i="79" s="1"/>
  <c r="T93" i="79"/>
  <c r="R93" i="79"/>
  <c r="N93" i="79"/>
  <c r="M93" i="79"/>
  <c r="L93" i="79"/>
  <c r="F93" i="79"/>
  <c r="D93" i="79"/>
  <c r="AF92" i="79" a="1"/>
  <c r="AF92" i="79" s="1"/>
  <c r="AE92" i="79" a="1"/>
  <c r="AE92" i="79" s="1"/>
  <c r="AD92" i="79" a="1"/>
  <c r="AD92" i="79" s="1"/>
  <c r="T92" i="79"/>
  <c r="R92" i="79"/>
  <c r="N92" i="79"/>
  <c r="M92" i="79"/>
  <c r="L92" i="79"/>
  <c r="F92" i="79"/>
  <c r="D92" i="79"/>
  <c r="AF91" i="79" a="1"/>
  <c r="AF91" i="79" s="1"/>
  <c r="AE91" i="79" a="1"/>
  <c r="AE91" i="79" s="1"/>
  <c r="AD91" i="79" a="1"/>
  <c r="AD91" i="79" s="1"/>
  <c r="T91" i="79"/>
  <c r="R91" i="79"/>
  <c r="N91" i="79"/>
  <c r="M91" i="79"/>
  <c r="L91" i="79"/>
  <c r="F91" i="79"/>
  <c r="D91" i="79"/>
  <c r="AF90" i="79" a="1"/>
  <c r="AF90" i="79" s="1"/>
  <c r="AE90" i="79" a="1"/>
  <c r="AE90" i="79" s="1"/>
  <c r="AD90" i="79" a="1"/>
  <c r="AD90" i="79" s="1"/>
  <c r="T90" i="79"/>
  <c r="R90" i="79"/>
  <c r="N90" i="79"/>
  <c r="M90" i="79"/>
  <c r="L90" i="79"/>
  <c r="F90" i="79"/>
  <c r="D90" i="79"/>
  <c r="AF89" i="79" a="1"/>
  <c r="AF89" i="79" s="1"/>
  <c r="AE89" i="79" a="1"/>
  <c r="AE89" i="79" s="1"/>
  <c r="AD89" i="79" a="1"/>
  <c r="AD89" i="79" s="1"/>
  <c r="T89" i="79"/>
  <c r="R89" i="79"/>
  <c r="N89" i="79"/>
  <c r="M89" i="79"/>
  <c r="L89" i="79"/>
  <c r="F89" i="79"/>
  <c r="D89" i="79"/>
  <c r="AF88" i="79" a="1"/>
  <c r="AF88" i="79" s="1"/>
  <c r="AE88" i="79" a="1"/>
  <c r="AE88" i="79" s="1"/>
  <c r="AD88" i="79" a="1"/>
  <c r="AD88" i="79" s="1"/>
  <c r="T88" i="79"/>
  <c r="R88" i="79"/>
  <c r="N88" i="79"/>
  <c r="M88" i="79"/>
  <c r="L88" i="79"/>
  <c r="F88" i="79"/>
  <c r="D88" i="79"/>
  <c r="AF87" i="79" a="1"/>
  <c r="AF87" i="79" s="1"/>
  <c r="AE87" i="79" a="1"/>
  <c r="AE87" i="79" s="1"/>
  <c r="AD87" i="79" a="1"/>
  <c r="AD87" i="79" s="1"/>
  <c r="T87" i="79"/>
  <c r="R87" i="79"/>
  <c r="N87" i="79"/>
  <c r="M87" i="79"/>
  <c r="L87" i="79"/>
  <c r="F87" i="79"/>
  <c r="D87" i="79"/>
  <c r="AF86" i="79" a="1"/>
  <c r="AF86" i="79" s="1"/>
  <c r="AE86" i="79" a="1"/>
  <c r="AE86" i="79" s="1"/>
  <c r="AD86" i="79" a="1"/>
  <c r="AD86" i="79" s="1"/>
  <c r="T86" i="79"/>
  <c r="R86" i="79"/>
  <c r="N86" i="79"/>
  <c r="M86" i="79"/>
  <c r="L86" i="79"/>
  <c r="F86" i="79"/>
  <c r="D86" i="79"/>
  <c r="AF85" i="79" a="1"/>
  <c r="AF85" i="79" s="1"/>
  <c r="AE85" i="79" a="1"/>
  <c r="AE85" i="79" s="1"/>
  <c r="AD85" i="79" a="1"/>
  <c r="AD85" i="79" s="1"/>
  <c r="T85" i="79"/>
  <c r="R85" i="79"/>
  <c r="N85" i="79"/>
  <c r="M85" i="79"/>
  <c r="L85" i="79"/>
  <c r="F85" i="79"/>
  <c r="D85" i="79"/>
  <c r="AF84" i="79" a="1"/>
  <c r="AF84" i="79" s="1"/>
  <c r="AE84" i="79" a="1"/>
  <c r="AE84" i="79" s="1"/>
  <c r="AD84" i="79" a="1"/>
  <c r="AD84" i="79" s="1"/>
  <c r="T84" i="79"/>
  <c r="R84" i="79"/>
  <c r="N84" i="79"/>
  <c r="M84" i="79"/>
  <c r="L84" i="79"/>
  <c r="F84" i="79"/>
  <c r="D84" i="79"/>
  <c r="AF83" i="79" a="1"/>
  <c r="AF83" i="79" s="1"/>
  <c r="AE83" i="79" a="1"/>
  <c r="AE83" i="79" s="1"/>
  <c r="AD83" i="79" a="1"/>
  <c r="AD83" i="79" s="1"/>
  <c r="T83" i="79"/>
  <c r="R83" i="79"/>
  <c r="N83" i="79"/>
  <c r="M83" i="79"/>
  <c r="L83" i="79"/>
  <c r="F83" i="79"/>
  <c r="D83" i="79"/>
  <c r="AF82" i="79" a="1"/>
  <c r="AF82" i="79" s="1"/>
  <c r="AE82" i="79" a="1"/>
  <c r="AE82" i="79" s="1"/>
  <c r="AD82" i="79" a="1"/>
  <c r="AD82" i="79" s="1"/>
  <c r="T82" i="79"/>
  <c r="R82" i="79"/>
  <c r="N82" i="79"/>
  <c r="M82" i="79"/>
  <c r="L82" i="79"/>
  <c r="F82" i="79"/>
  <c r="D82" i="79"/>
  <c r="AF81" i="79" a="1"/>
  <c r="AF81" i="79" s="1"/>
  <c r="AE81" i="79" a="1"/>
  <c r="AE81" i="79" s="1"/>
  <c r="AD81" i="79" a="1"/>
  <c r="AD81" i="79" s="1"/>
  <c r="T81" i="79"/>
  <c r="R81" i="79"/>
  <c r="N81" i="79"/>
  <c r="M81" i="79"/>
  <c r="L81" i="79"/>
  <c r="F81" i="79"/>
  <c r="D81" i="79"/>
  <c r="AF80" i="79" a="1"/>
  <c r="AF80" i="79" s="1"/>
  <c r="AE80" i="79" a="1"/>
  <c r="AE80" i="79" s="1"/>
  <c r="AD80" i="79" a="1"/>
  <c r="AD80" i="79" s="1"/>
  <c r="T80" i="79"/>
  <c r="R80" i="79"/>
  <c r="N80" i="79"/>
  <c r="M80" i="79"/>
  <c r="L80" i="79"/>
  <c r="F80" i="79"/>
  <c r="D80" i="79"/>
  <c r="AF79" i="79" a="1"/>
  <c r="AF79" i="79" s="1"/>
  <c r="AE79" i="79" a="1"/>
  <c r="AE79" i="79" s="1"/>
  <c r="AD79" i="79" a="1"/>
  <c r="AD79" i="79" s="1"/>
  <c r="T79" i="79"/>
  <c r="R79" i="79"/>
  <c r="N79" i="79"/>
  <c r="M79" i="79"/>
  <c r="L79" i="79"/>
  <c r="F79" i="79"/>
  <c r="D79" i="79"/>
  <c r="AF78" i="79" a="1"/>
  <c r="AF78" i="79" s="1"/>
  <c r="AE78" i="79" a="1"/>
  <c r="AE78" i="79" s="1"/>
  <c r="AD78" i="79" a="1"/>
  <c r="AD78" i="79" s="1"/>
  <c r="T78" i="79"/>
  <c r="R78" i="79"/>
  <c r="N78" i="79"/>
  <c r="M78" i="79"/>
  <c r="L78" i="79"/>
  <c r="F78" i="79"/>
  <c r="D78" i="79"/>
  <c r="AF77" i="79" a="1"/>
  <c r="AF77" i="79" s="1"/>
  <c r="AE77" i="79" a="1"/>
  <c r="AE77" i="79" s="1"/>
  <c r="AD77" i="79" a="1"/>
  <c r="AD77" i="79" s="1"/>
  <c r="T77" i="79"/>
  <c r="R77" i="79"/>
  <c r="N77" i="79"/>
  <c r="M77" i="79"/>
  <c r="L77" i="79"/>
  <c r="F77" i="79"/>
  <c r="D77" i="79"/>
  <c r="AF76" i="79" a="1"/>
  <c r="AF76" i="79" s="1"/>
  <c r="AE76" i="79" a="1"/>
  <c r="AE76" i="79" s="1"/>
  <c r="AD76" i="79" a="1"/>
  <c r="AD76" i="79" s="1"/>
  <c r="T76" i="79"/>
  <c r="R76" i="79"/>
  <c r="N76" i="79"/>
  <c r="M76" i="79"/>
  <c r="L76" i="79"/>
  <c r="F76" i="79"/>
  <c r="D76" i="79"/>
  <c r="AF75" i="79" a="1"/>
  <c r="AF75" i="79" s="1"/>
  <c r="AE75" i="79" a="1"/>
  <c r="AE75" i="79" s="1"/>
  <c r="AD75" i="79" a="1"/>
  <c r="AD75" i="79" s="1"/>
  <c r="T75" i="79"/>
  <c r="R75" i="79"/>
  <c r="N75" i="79"/>
  <c r="M75" i="79"/>
  <c r="L75" i="79"/>
  <c r="F75" i="79"/>
  <c r="D75" i="79"/>
  <c r="AF74" i="79" a="1"/>
  <c r="AF74" i="79" s="1"/>
  <c r="AE74" i="79" a="1"/>
  <c r="AE74" i="79" s="1"/>
  <c r="AD74" i="79" a="1"/>
  <c r="AD74" i="79" s="1"/>
  <c r="T74" i="79"/>
  <c r="R74" i="79"/>
  <c r="N74" i="79"/>
  <c r="M74" i="79"/>
  <c r="L74" i="79"/>
  <c r="F74" i="79"/>
  <c r="D74" i="79"/>
  <c r="AF68" i="79" a="1"/>
  <c r="AF68" i="79" s="1"/>
  <c r="AE68" i="79" a="1"/>
  <c r="AE68" i="79" s="1"/>
  <c r="AD68" i="79" a="1"/>
  <c r="AD68" i="79" s="1"/>
  <c r="T68" i="79"/>
  <c r="AF67" i="79" a="1"/>
  <c r="AF67" i="79" s="1"/>
  <c r="AE67" i="79" a="1"/>
  <c r="AE67" i="79" s="1"/>
  <c r="AD67" i="79" a="1"/>
  <c r="AD67" i="79" s="1"/>
  <c r="T67" i="79"/>
  <c r="AF66" i="79" a="1"/>
  <c r="AF66" i="79" s="1"/>
  <c r="AE66" i="79" a="1"/>
  <c r="AE66" i="79" s="1"/>
  <c r="AD66" i="79" a="1"/>
  <c r="AD66" i="79" s="1"/>
  <c r="T66" i="79"/>
  <c r="R66" i="79"/>
  <c r="M66" i="79"/>
  <c r="N66" i="79" s="1"/>
  <c r="L66" i="79"/>
  <c r="AF65" i="79" a="1"/>
  <c r="AF65" i="79" s="1"/>
  <c r="AE65" i="79" a="1"/>
  <c r="AE65" i="79" s="1"/>
  <c r="AD65" i="79" a="1"/>
  <c r="AD65" i="79" s="1"/>
  <c r="T65" i="79"/>
  <c r="R65" i="79"/>
  <c r="M65" i="79"/>
  <c r="N65" i="79" s="1"/>
  <c r="L65" i="79"/>
  <c r="AF64" i="79" a="1"/>
  <c r="AF64" i="79" s="1"/>
  <c r="AE64" i="79" a="1"/>
  <c r="AE64" i="79" s="1"/>
  <c r="AD64" i="79" a="1"/>
  <c r="AD64" i="79" s="1"/>
  <c r="T64" i="79"/>
  <c r="R64" i="79"/>
  <c r="M64" i="79"/>
  <c r="N64" i="79" s="1"/>
  <c r="L64" i="79"/>
  <c r="AF63" i="79" a="1"/>
  <c r="AF63" i="79" s="1"/>
  <c r="AE63" i="79" a="1"/>
  <c r="AE63" i="79" s="1"/>
  <c r="AD63" i="79" a="1"/>
  <c r="AD63" i="79" s="1"/>
  <c r="T63" i="79"/>
  <c r="R63" i="79"/>
  <c r="M63" i="79"/>
  <c r="N63" i="79" s="1"/>
  <c r="L63" i="79"/>
  <c r="AF62" i="79" a="1"/>
  <c r="AF62" i="79" s="1"/>
  <c r="AE62" i="79" a="1"/>
  <c r="AE62" i="79" s="1"/>
  <c r="AD62" i="79" a="1"/>
  <c r="AD62" i="79" s="1"/>
  <c r="T62" i="79"/>
  <c r="R62" i="79"/>
  <c r="M62" i="79"/>
  <c r="N62" i="79" s="1"/>
  <c r="L62" i="79"/>
  <c r="AF61" i="79" a="1"/>
  <c r="AF61" i="79" s="1"/>
  <c r="AE61" i="79" a="1"/>
  <c r="AE61" i="79" s="1"/>
  <c r="AD61" i="79" a="1"/>
  <c r="AD61" i="79" s="1"/>
  <c r="T61" i="79"/>
  <c r="R61" i="79"/>
  <c r="M61" i="79"/>
  <c r="N61" i="79" s="1"/>
  <c r="L61" i="79"/>
  <c r="AF60" i="79" a="1"/>
  <c r="AF60" i="79" s="1"/>
  <c r="AE60" i="79" a="1"/>
  <c r="AE60" i="79" s="1"/>
  <c r="AD60" i="79" a="1"/>
  <c r="AD60" i="79" s="1"/>
  <c r="T60" i="79"/>
  <c r="R60" i="79"/>
  <c r="M60" i="79"/>
  <c r="N60" i="79" s="1"/>
  <c r="L60" i="79"/>
  <c r="AF59" i="79" a="1"/>
  <c r="AF59" i="79" s="1"/>
  <c r="AE59" i="79" a="1"/>
  <c r="AE59" i="79" s="1"/>
  <c r="AD59" i="79" a="1"/>
  <c r="AD59" i="79" s="1"/>
  <c r="T59" i="79"/>
  <c r="R59" i="79"/>
  <c r="M59" i="79"/>
  <c r="N59" i="79" s="1"/>
  <c r="L59" i="79"/>
  <c r="AF58" i="79" a="1"/>
  <c r="AF58" i="79" s="1"/>
  <c r="AE58" i="79" a="1"/>
  <c r="AE58" i="79" s="1"/>
  <c r="AD58" i="79" a="1"/>
  <c r="AD58" i="79" s="1"/>
  <c r="T58" i="79"/>
  <c r="R58" i="79"/>
  <c r="M58" i="79"/>
  <c r="N58" i="79" s="1"/>
  <c r="L58" i="79"/>
  <c r="AF57" i="79" a="1"/>
  <c r="AF57" i="79" s="1"/>
  <c r="AE57" i="79" a="1"/>
  <c r="AE57" i="79" s="1"/>
  <c r="AD57" i="79" a="1"/>
  <c r="AD57" i="79" s="1"/>
  <c r="U57" i="79"/>
  <c r="V57" i="79" s="1"/>
  <c r="T57" i="79"/>
  <c r="R57" i="79"/>
  <c r="O57" i="79"/>
  <c r="P57" i="79" s="1"/>
  <c r="M57" i="79"/>
  <c r="N57" i="79" s="1"/>
  <c r="L57" i="79"/>
  <c r="AF54" i="79" a="1"/>
  <c r="AF54" i="79" s="1"/>
  <c r="AE54" i="79" a="1"/>
  <c r="AE54" i="79" s="1"/>
  <c r="AD54" i="79" a="1"/>
  <c r="AD54" i="79" s="1"/>
  <c r="U54" i="79"/>
  <c r="V54" i="79" s="1"/>
  <c r="T54" i="79"/>
  <c r="R54" i="79"/>
  <c r="O54" i="79"/>
  <c r="P54" i="79" s="1"/>
  <c r="M54" i="79"/>
  <c r="N54" i="79" s="1"/>
  <c r="L54" i="79"/>
  <c r="AF53" i="79" a="1"/>
  <c r="AF53" i="79" s="1"/>
  <c r="AE53" i="79" a="1"/>
  <c r="AE53" i="79" s="1"/>
  <c r="AD53" i="79" a="1"/>
  <c r="AD53" i="79" s="1"/>
  <c r="U53" i="79"/>
  <c r="V53" i="79" s="1"/>
  <c r="T53" i="79"/>
  <c r="R53" i="79"/>
  <c r="O53" i="79"/>
  <c r="P53" i="79" s="1"/>
  <c r="M53" i="79"/>
  <c r="N53" i="79" s="1"/>
  <c r="L53" i="79"/>
  <c r="U52" i="79"/>
  <c r="V52" i="79" s="1"/>
  <c r="T52" i="79"/>
  <c r="R52" i="79"/>
  <c r="O52" i="79"/>
  <c r="P52" i="79" s="1"/>
  <c r="M52" i="79"/>
  <c r="N52" i="79" s="1"/>
  <c r="L52" i="79"/>
  <c r="U51" i="79"/>
  <c r="V51" i="79" s="1"/>
  <c r="T51" i="79"/>
  <c r="R51" i="79"/>
  <c r="O51" i="79"/>
  <c r="P51" i="79" s="1"/>
  <c r="M51" i="79"/>
  <c r="N51" i="79" s="1"/>
  <c r="L51" i="79"/>
  <c r="U50" i="79"/>
  <c r="V50" i="79" s="1"/>
  <c r="T50" i="79"/>
  <c r="R50" i="79"/>
  <c r="O50" i="79"/>
  <c r="P50" i="79" s="1"/>
  <c r="M50" i="79"/>
  <c r="N50" i="79" s="1"/>
  <c r="L50" i="79"/>
  <c r="U49" i="79"/>
  <c r="V49" i="79" s="1"/>
  <c r="T49" i="79"/>
  <c r="O49" i="79"/>
  <c r="P49" i="79" s="1"/>
  <c r="M49" i="79"/>
  <c r="N49" i="79" s="1"/>
  <c r="L49" i="79"/>
  <c r="U48" i="79"/>
  <c r="V48" i="79" s="1"/>
  <c r="T48" i="79"/>
  <c r="O48" i="79"/>
  <c r="P48" i="79" s="1"/>
  <c r="M48" i="79"/>
  <c r="N48" i="79" s="1"/>
  <c r="L48" i="79"/>
  <c r="U47" i="79"/>
  <c r="V47" i="79" s="1"/>
  <c r="T47" i="79"/>
  <c r="O47" i="79"/>
  <c r="P47" i="79" s="1"/>
  <c r="M47" i="79"/>
  <c r="N47" i="79" s="1"/>
  <c r="L47" i="79"/>
  <c r="U45" i="79"/>
  <c r="V45" i="79" s="1"/>
  <c r="T45" i="79"/>
  <c r="O45" i="79"/>
  <c r="P45" i="79" s="1"/>
  <c r="M45" i="79"/>
  <c r="N45" i="79" s="1"/>
  <c r="L45" i="79"/>
  <c r="U44" i="79"/>
  <c r="V44" i="79" s="1"/>
  <c r="T44" i="79"/>
  <c r="O44" i="79"/>
  <c r="P44" i="79" s="1"/>
  <c r="M44" i="79"/>
  <c r="N44" i="79" s="1"/>
  <c r="L44" i="79"/>
  <c r="U43" i="79"/>
  <c r="V43" i="79" s="1"/>
  <c r="T43" i="79"/>
  <c r="O43" i="79"/>
  <c r="P43" i="79" s="1"/>
  <c r="M43" i="79"/>
  <c r="N43" i="79" s="1"/>
  <c r="L43" i="79"/>
  <c r="AF41" i="79" a="1"/>
  <c r="AF41" i="79" s="1"/>
  <c r="AE41" i="79" a="1"/>
  <c r="AE41" i="79" s="1"/>
  <c r="AD41" i="79" a="1"/>
  <c r="AD41" i="79" s="1"/>
  <c r="U41" i="79"/>
  <c r="V41" i="79" s="1"/>
  <c r="T41" i="79"/>
  <c r="O41" i="79"/>
  <c r="P41" i="79" s="1"/>
  <c r="M41" i="79"/>
  <c r="N41" i="79" s="1"/>
  <c r="L41" i="79"/>
  <c r="AF40" i="79" a="1"/>
  <c r="AF40" i="79" s="1"/>
  <c r="AE40" i="79" a="1"/>
  <c r="AE40" i="79" s="1"/>
  <c r="AD40" i="79" a="1"/>
  <c r="AD40" i="79" s="1"/>
  <c r="U40" i="79"/>
  <c r="V40" i="79" s="1"/>
  <c r="T40" i="79"/>
  <c r="O40" i="79"/>
  <c r="P40" i="79" s="1"/>
  <c r="M40" i="79"/>
  <c r="N40" i="79" s="1"/>
  <c r="L40" i="79"/>
  <c r="AF39" i="79" a="1"/>
  <c r="AF39" i="79" s="1"/>
  <c r="AE39" i="79" a="1"/>
  <c r="AE39" i="79" s="1"/>
  <c r="AD39" i="79" a="1"/>
  <c r="AD39" i="79" s="1"/>
  <c r="U39" i="79"/>
  <c r="V39" i="79" s="1"/>
  <c r="T39" i="79"/>
  <c r="O39" i="79"/>
  <c r="P39" i="79" s="1"/>
  <c r="M39" i="79"/>
  <c r="N39" i="79" s="1"/>
  <c r="L39" i="79"/>
  <c r="AF38" i="79" a="1"/>
  <c r="AF38" i="79" s="1"/>
  <c r="AE38" i="79" a="1"/>
  <c r="AE38" i="79" s="1"/>
  <c r="AD38" i="79" a="1"/>
  <c r="AD38" i="79" s="1"/>
  <c r="U38" i="79"/>
  <c r="V38" i="79" s="1"/>
  <c r="T38" i="79"/>
  <c r="O38" i="79"/>
  <c r="P38" i="79" s="1"/>
  <c r="M38" i="79"/>
  <c r="N38" i="79" s="1"/>
  <c r="L38" i="79"/>
  <c r="AF37" i="79" a="1"/>
  <c r="AF37" i="79" s="1"/>
  <c r="AE37" i="79" a="1"/>
  <c r="AE37" i="79" s="1"/>
  <c r="AD37" i="79" a="1"/>
  <c r="AD37" i="79" s="1"/>
  <c r="U37" i="79"/>
  <c r="V37" i="79" s="1"/>
  <c r="T37" i="79"/>
  <c r="O37" i="79"/>
  <c r="P37" i="79" s="1"/>
  <c r="M37" i="79"/>
  <c r="N37" i="79" s="1"/>
  <c r="L37" i="79"/>
  <c r="AF36" i="79" a="1"/>
  <c r="AF36" i="79" s="1"/>
  <c r="AE36" i="79" a="1"/>
  <c r="AE36" i="79" s="1"/>
  <c r="AD36" i="79" a="1"/>
  <c r="AD36" i="79" s="1"/>
  <c r="U36" i="79"/>
  <c r="V36" i="79" s="1"/>
  <c r="T36" i="79"/>
  <c r="O36" i="79"/>
  <c r="P36" i="79" s="1"/>
  <c r="M36" i="79"/>
  <c r="N36" i="79" s="1"/>
  <c r="L36" i="79"/>
  <c r="AF34" i="79" a="1"/>
  <c r="AF34" i="79" s="1"/>
  <c r="AE34" i="79" a="1"/>
  <c r="AE34" i="79" s="1"/>
  <c r="AD34" i="79" a="1"/>
  <c r="AD34" i="79" s="1"/>
  <c r="U34" i="79"/>
  <c r="V34" i="79" s="1"/>
  <c r="T34" i="79"/>
  <c r="O34" i="79"/>
  <c r="P34" i="79" s="1"/>
  <c r="M34" i="79"/>
  <c r="N34" i="79" s="1"/>
  <c r="L34" i="79"/>
  <c r="AF33" i="79" a="1"/>
  <c r="AF33" i="79" s="1"/>
  <c r="AE33" i="79" a="1"/>
  <c r="AE33" i="79" s="1"/>
  <c r="AD33" i="79" a="1"/>
  <c r="AD33" i="79" s="1"/>
  <c r="U33" i="79"/>
  <c r="V33" i="79" s="1"/>
  <c r="T33" i="79"/>
  <c r="O33" i="79"/>
  <c r="P33" i="79" s="1"/>
  <c r="M33" i="79"/>
  <c r="N33" i="79" s="1"/>
  <c r="L33" i="79"/>
  <c r="AF32" i="79" a="1"/>
  <c r="AF32" i="79" s="1"/>
  <c r="AE32" i="79" a="1"/>
  <c r="AE32" i="79" s="1"/>
  <c r="AD32" i="79" a="1"/>
  <c r="AD32" i="79" s="1"/>
  <c r="U32" i="79"/>
  <c r="V32" i="79" s="1"/>
  <c r="T32" i="79"/>
  <c r="R32" i="79"/>
  <c r="O32" i="79"/>
  <c r="P32" i="79" s="1"/>
  <c r="M32" i="79"/>
  <c r="N32" i="79" s="1"/>
  <c r="L32" i="79"/>
  <c r="AF31" i="79" a="1"/>
  <c r="AF31" i="79" s="1"/>
  <c r="AE31" i="79" a="1"/>
  <c r="AE31" i="79" s="1"/>
  <c r="AD31" i="79" a="1"/>
  <c r="AD31" i="79" s="1"/>
  <c r="U31" i="79"/>
  <c r="V31" i="79" s="1"/>
  <c r="T31" i="79"/>
  <c r="R31" i="79"/>
  <c r="O31" i="79"/>
  <c r="P31" i="79" s="1"/>
  <c r="M31" i="79"/>
  <c r="N31" i="79" s="1"/>
  <c r="L31" i="79"/>
  <c r="AF30" i="79" a="1"/>
  <c r="AF30" i="79" s="1"/>
  <c r="AE30" i="79" a="1"/>
  <c r="AE30" i="79" s="1"/>
  <c r="AD30" i="79" a="1"/>
  <c r="AD30" i="79" s="1"/>
  <c r="U30" i="79"/>
  <c r="V30" i="79" s="1"/>
  <c r="T30" i="79"/>
  <c r="R30" i="79"/>
  <c r="O30" i="79"/>
  <c r="P30" i="79" s="1"/>
  <c r="M30" i="79"/>
  <c r="N30" i="79" s="1"/>
  <c r="L30" i="79"/>
  <c r="AF35" i="79" a="1"/>
  <c r="AF35" i="79" s="1"/>
  <c r="AE35" i="79" a="1"/>
  <c r="AE35" i="79" s="1"/>
  <c r="AD35" i="79" a="1"/>
  <c r="AD35" i="79" s="1"/>
  <c r="U35" i="79"/>
  <c r="V35" i="79" s="1"/>
  <c r="T35" i="79"/>
  <c r="O35" i="79"/>
  <c r="P35" i="79" s="1"/>
  <c r="M35" i="79"/>
  <c r="N35" i="79" s="1"/>
  <c r="L35" i="79"/>
  <c r="AF29" i="79" a="1"/>
  <c r="AF29" i="79" s="1"/>
  <c r="AE29" i="79" a="1"/>
  <c r="AE29" i="79" s="1"/>
  <c r="AD29" i="79" a="1"/>
  <c r="AD29" i="79" s="1"/>
  <c r="U29" i="79"/>
  <c r="V29" i="79" s="1"/>
  <c r="T29" i="79"/>
  <c r="R29" i="79"/>
  <c r="O29" i="79"/>
  <c r="P29" i="79" s="1"/>
  <c r="M29" i="79"/>
  <c r="N29" i="79" s="1"/>
  <c r="L29" i="79"/>
  <c r="AF28" i="79" a="1"/>
  <c r="AF28" i="79" s="1"/>
  <c r="AE28" i="79" a="1"/>
  <c r="AE28" i="79" s="1"/>
  <c r="AD28" i="79" a="1"/>
  <c r="AD28" i="79" s="1"/>
  <c r="U28" i="79"/>
  <c r="V28" i="79" s="1"/>
  <c r="T28" i="79"/>
  <c r="R28" i="79"/>
  <c r="O28" i="79"/>
  <c r="P28" i="79" s="1"/>
  <c r="M28" i="79"/>
  <c r="N28" i="79" s="1"/>
  <c r="L28" i="79"/>
  <c r="AF27" i="79" a="1"/>
  <c r="AF27" i="79" s="1"/>
  <c r="AE27" i="79" a="1"/>
  <c r="AE27" i="79" s="1"/>
  <c r="AD27" i="79" a="1"/>
  <c r="AD27" i="79" s="1"/>
  <c r="U27" i="79"/>
  <c r="V27" i="79" s="1"/>
  <c r="T27" i="79"/>
  <c r="R27" i="79"/>
  <c r="O27" i="79"/>
  <c r="P27" i="79" s="1"/>
  <c r="M27" i="79"/>
  <c r="N27" i="79" s="1"/>
  <c r="L27" i="79"/>
  <c r="AF26" i="79" a="1"/>
  <c r="AF26" i="79" s="1"/>
  <c r="AE26" i="79" a="1"/>
  <c r="AE26" i="79" s="1"/>
  <c r="AD26" i="79" a="1"/>
  <c r="AD26" i="79" s="1"/>
  <c r="U26" i="79"/>
  <c r="V26" i="79" s="1"/>
  <c r="T26" i="79"/>
  <c r="R26" i="79"/>
  <c r="O26" i="79"/>
  <c r="P26" i="79" s="1"/>
  <c r="M26" i="79"/>
  <c r="N26" i="79" s="1"/>
  <c r="L26" i="79"/>
  <c r="AF25" i="79" a="1"/>
  <c r="AF25" i="79" s="1"/>
  <c r="AE25" i="79" a="1"/>
  <c r="AE25" i="79" s="1"/>
  <c r="AD25" i="79" a="1"/>
  <c r="AD25" i="79" s="1"/>
  <c r="U25" i="79"/>
  <c r="V25" i="79" s="1"/>
  <c r="T25" i="79"/>
  <c r="R25" i="79"/>
  <c r="O25" i="79"/>
  <c r="P25" i="79" s="1"/>
  <c r="M25" i="79"/>
  <c r="N25" i="79" s="1"/>
  <c r="L25" i="79"/>
  <c r="AF24" i="79" a="1"/>
  <c r="AF24" i="79" s="1"/>
  <c r="AE24" i="79" a="1"/>
  <c r="AE24" i="79" s="1"/>
  <c r="AD24" i="79" a="1"/>
  <c r="AD24" i="79" s="1"/>
  <c r="U24" i="79"/>
  <c r="V24" i="79" s="1"/>
  <c r="T24" i="79"/>
  <c r="R24" i="79"/>
  <c r="O24" i="79"/>
  <c r="P24" i="79" s="1"/>
  <c r="M24" i="79"/>
  <c r="N24" i="79" s="1"/>
  <c r="L24" i="79"/>
  <c r="AF23" i="79" a="1"/>
  <c r="AF23" i="79" s="1"/>
  <c r="AE23" i="79" a="1"/>
  <c r="AE23" i="79" s="1"/>
  <c r="AD23" i="79" a="1"/>
  <c r="AD23" i="79" s="1"/>
  <c r="U23" i="79"/>
  <c r="V23" i="79" s="1"/>
  <c r="T23" i="79"/>
  <c r="R23" i="79"/>
  <c r="O23" i="79"/>
  <c r="P23" i="79" s="1"/>
  <c r="M23" i="79"/>
  <c r="N23" i="79" s="1"/>
  <c r="L23" i="79"/>
  <c r="G20" i="79"/>
  <c r="S19" i="79"/>
  <c r="R19" i="79"/>
  <c r="S18" i="79"/>
  <c r="R18" i="79"/>
  <c r="AG17" i="79" a="1"/>
  <c r="AG17" i="79" s="1"/>
  <c r="J17" i="79"/>
  <c r="I17" i="79"/>
  <c r="AG16" i="79" a="1"/>
  <c r="AG16" i="79" s="1"/>
  <c r="S16" i="79"/>
  <c r="R16" i="79"/>
  <c r="J16" i="79"/>
  <c r="I16" i="79"/>
  <c r="AG15" i="79" a="1"/>
  <c r="AG15" i="79" s="1"/>
  <c r="S15" i="79"/>
  <c r="R15" i="79"/>
  <c r="CN12" i="79" a="1"/>
  <c r="CN12" i="79" s="1"/>
  <c r="CM12" i="79" a="1"/>
  <c r="CM12" i="79" s="1"/>
  <c r="CL12" i="79" a="1"/>
  <c r="CL12" i="79" s="1"/>
  <c r="CK12" i="79" a="1"/>
  <c r="CK12" i="79" s="1"/>
  <c r="CJ12" i="79" a="1"/>
  <c r="CJ12" i="79" s="1"/>
  <c r="CI12" i="79" a="1"/>
  <c r="CI12" i="79" s="1"/>
  <c r="CH12" i="79" a="1"/>
  <c r="CH12" i="79" s="1"/>
  <c r="CG12" i="79" a="1"/>
  <c r="CG12" i="79" s="1"/>
  <c r="CF12" i="79" a="1"/>
  <c r="CF12" i="79" s="1"/>
  <c r="CE12" i="79" a="1"/>
  <c r="CE12" i="79" s="1"/>
  <c r="CD12" i="79" a="1"/>
  <c r="CD12" i="79" s="1"/>
  <c r="CC12" i="79" a="1"/>
  <c r="CC12" i="79" s="1"/>
  <c r="CB12" i="79" a="1"/>
  <c r="CB12" i="79" s="1"/>
  <c r="CA12" i="79" a="1"/>
  <c r="CA12" i="79" s="1"/>
  <c r="BV12" i="79" a="1"/>
  <c r="BV12" i="79" s="1"/>
  <c r="BU12" i="79" a="1"/>
  <c r="BU12" i="79" s="1"/>
  <c r="BT12" i="79" a="1"/>
  <c r="BT12" i="79" s="1"/>
  <c r="BR12" i="79" a="1"/>
  <c r="BR12" i="79" s="1"/>
  <c r="BF12" i="79" a="1"/>
  <c r="BF12" i="79" s="1"/>
  <c r="BE12" i="79" a="1"/>
  <c r="BE12" i="79" s="1"/>
  <c r="BJ12" i="79" a="1"/>
  <c r="BJ12" i="79" s="1"/>
  <c r="BD12" i="79" a="1"/>
  <c r="BD12" i="79" s="1"/>
  <c r="BA12" i="79" a="1"/>
  <c r="BA12" i="79" s="1"/>
  <c r="AZ12" i="79" a="1"/>
  <c r="AZ12" i="79" s="1"/>
  <c r="AX12" i="79" a="1"/>
  <c r="AX12" i="79" s="1"/>
  <c r="AU12" i="79" a="1"/>
  <c r="AU12" i="79" s="1"/>
  <c r="AT12" i="79" a="1"/>
  <c r="AT12" i="79" s="1"/>
  <c r="AR12" i="79" a="1"/>
  <c r="AR12" i="79" s="1"/>
  <c r="AQ12" i="79" a="1"/>
  <c r="AQ12" i="79" s="1"/>
  <c r="AO12" i="79" a="1"/>
  <c r="AO12" i="79" s="1"/>
  <c r="BN12" i="79" a="1"/>
  <c r="BN12" i="79" s="1"/>
  <c r="AM12" i="79" a="1"/>
  <c r="AM12" i="79" s="1"/>
  <c r="AL12" i="79" a="1"/>
  <c r="AL12" i="79" s="1"/>
  <c r="AJ12" i="79" a="1"/>
  <c r="AJ12" i="79" s="1"/>
  <c r="AI12" i="79" a="1"/>
  <c r="AI12" i="79" s="1"/>
  <c r="AG12" i="79" a="1"/>
  <c r="AG12" i="79" s="1"/>
  <c r="AF12" i="79" a="1"/>
  <c r="AF12" i="79" s="1"/>
  <c r="CN10" i="79" a="1"/>
  <c r="CN10" i="79" s="1"/>
  <c r="CM10" i="79" a="1"/>
  <c r="CM10" i="79" s="1"/>
  <c r="CL10" i="79" a="1"/>
  <c r="CL10" i="79" s="1"/>
  <c r="CK10" i="79" a="1"/>
  <c r="CK10" i="79" s="1"/>
  <c r="CJ10" i="79" a="1"/>
  <c r="CJ10" i="79" s="1"/>
  <c r="CI10" i="79" a="1"/>
  <c r="CI10" i="79" s="1"/>
  <c r="CH10" i="79" a="1"/>
  <c r="CH10" i="79" s="1"/>
  <c r="CG10" i="79" a="1"/>
  <c r="CG10" i="79" s="1"/>
  <c r="CF10" i="79" a="1"/>
  <c r="CF10" i="79" s="1"/>
  <c r="CE10" i="79" a="1"/>
  <c r="CE10" i="79" s="1"/>
  <c r="CD10" i="79" a="1"/>
  <c r="CD10" i="79" s="1"/>
  <c r="CC10" i="79" a="1"/>
  <c r="CC10" i="79" s="1"/>
  <c r="CB10" i="79" a="1"/>
  <c r="CB10" i="79" s="1"/>
  <c r="CA10" i="79" a="1"/>
  <c r="CA10" i="79" s="1"/>
  <c r="BV10" i="79" a="1"/>
  <c r="BV10" i="79" s="1"/>
  <c r="BU10" i="79" a="1"/>
  <c r="BU10" i="79" s="1"/>
  <c r="BT10" i="79" a="1"/>
  <c r="BT10" i="79" s="1"/>
  <c r="BR10" i="79" a="1"/>
  <c r="BR10" i="79" s="1"/>
  <c r="BF10" i="79" a="1"/>
  <c r="BF10" i="79" s="1"/>
  <c r="BE10" i="79" a="1"/>
  <c r="BE10" i="79" s="1"/>
  <c r="BJ10" i="79" a="1"/>
  <c r="BJ10" i="79" s="1"/>
  <c r="BD10" i="79" a="1"/>
  <c r="BD10" i="79" s="1"/>
  <c r="BA10" i="79" a="1"/>
  <c r="BA10" i="79" s="1"/>
  <c r="AZ10" i="79" a="1"/>
  <c r="AZ10" i="79" s="1"/>
  <c r="AX10" i="79" a="1"/>
  <c r="AX10" i="79" s="1"/>
  <c r="AU10" i="79" a="1"/>
  <c r="AU10" i="79" s="1"/>
  <c r="AT10" i="79" a="1"/>
  <c r="AT10" i="79" s="1"/>
  <c r="AR10" i="79" a="1"/>
  <c r="AR10" i="79" s="1"/>
  <c r="AQ10" i="79" a="1"/>
  <c r="AQ10" i="79" s="1"/>
  <c r="AO10" i="79" a="1"/>
  <c r="AO10" i="79" s="1"/>
  <c r="BN10" i="79" a="1"/>
  <c r="BN10" i="79" s="1"/>
  <c r="AM10" i="79" a="1"/>
  <c r="AM10" i="79" s="1"/>
  <c r="AL10" i="79" a="1"/>
  <c r="AL10" i="79" s="1"/>
  <c r="AJ10" i="79" a="1"/>
  <c r="AJ10" i="79" s="1"/>
  <c r="AI10" i="79" a="1"/>
  <c r="AI10" i="79" s="1"/>
  <c r="AG10" i="79" a="1"/>
  <c r="AG10" i="79" s="1"/>
  <c r="AF10" i="79" a="1"/>
  <c r="AF10" i="79" s="1"/>
  <c r="CN2" i="79" a="1"/>
  <c r="CN2" i="79" s="1"/>
  <c r="CM2" i="79" a="1"/>
  <c r="CM2" i="79" s="1"/>
  <c r="CL2" i="79" a="1"/>
  <c r="CL2" i="79" s="1"/>
  <c r="CK2" i="79" a="1"/>
  <c r="CK2" i="79" s="1"/>
  <c r="CJ2" i="79" a="1"/>
  <c r="CJ2" i="79" s="1"/>
  <c r="CI2" i="79" a="1"/>
  <c r="CI2" i="79" s="1"/>
  <c r="CH2" i="79" a="1"/>
  <c r="CH2" i="79" s="1"/>
  <c r="CG2" i="79" a="1"/>
  <c r="CG2" i="79" s="1"/>
  <c r="CF2" i="79" a="1"/>
  <c r="CF2" i="79" s="1"/>
  <c r="CE2" i="79" a="1"/>
  <c r="CE2" i="79" s="1"/>
  <c r="CD2" i="79" a="1"/>
  <c r="CD2" i="79" s="1"/>
  <c r="CC2" i="79" a="1"/>
  <c r="CC2" i="79" s="1"/>
  <c r="CB2" i="79" a="1"/>
  <c r="CB2" i="79" s="1"/>
  <c r="CA2" i="79" a="1"/>
  <c r="CA2" i="79" s="1"/>
  <c r="BV2" i="79" a="1"/>
  <c r="BV2" i="79" s="1"/>
  <c r="BU2" i="79" a="1"/>
  <c r="BU2" i="79" s="1"/>
  <c r="BT2" i="79" a="1"/>
  <c r="BT2" i="79" s="1"/>
  <c r="BR2" i="79" a="1"/>
  <c r="BR2" i="79" s="1"/>
  <c r="BF2" i="79" a="1"/>
  <c r="BF2" i="79" s="1"/>
  <c r="BE2" i="79" a="1"/>
  <c r="BE2" i="79" s="1"/>
  <c r="BJ2" i="79" a="1"/>
  <c r="BJ2" i="79" s="1"/>
  <c r="BD2" i="79" a="1"/>
  <c r="BD2" i="79" s="1"/>
  <c r="BA2" i="79" a="1"/>
  <c r="BA2" i="79" s="1"/>
  <c r="AZ2" i="79" a="1"/>
  <c r="AZ2" i="79" s="1"/>
  <c r="AX2" i="79" a="1"/>
  <c r="AX2" i="79" s="1"/>
  <c r="AU2" i="79" a="1"/>
  <c r="AU2" i="79" s="1"/>
  <c r="AT2" i="79" a="1"/>
  <c r="AT2" i="79" s="1"/>
  <c r="AR2" i="79" a="1"/>
  <c r="AR2" i="79" s="1"/>
  <c r="AQ2" i="79" a="1"/>
  <c r="AQ2" i="79" s="1"/>
  <c r="AO2" i="79" a="1"/>
  <c r="AO2" i="79" s="1"/>
  <c r="BN2" i="79" a="1"/>
  <c r="BN2" i="79" s="1"/>
  <c r="AM2" i="79" a="1"/>
  <c r="AM2" i="79" s="1"/>
  <c r="AL2" i="79" a="1"/>
  <c r="AL2" i="79" s="1"/>
  <c r="AJ2" i="79" a="1"/>
  <c r="AJ2" i="79" s="1"/>
  <c r="AI2" i="79" a="1"/>
  <c r="AI2" i="79" s="1"/>
  <c r="AG2" i="79" a="1"/>
  <c r="AG2" i="79" s="1"/>
  <c r="CN1" i="79"/>
  <c r="CM1" i="79"/>
  <c r="CL1" i="79"/>
  <c r="CK1" i="79"/>
  <c r="CJ1" i="79"/>
  <c r="CI1" i="79"/>
  <c r="CH1" i="79"/>
  <c r="CG1" i="79"/>
  <c r="CF1" i="79"/>
  <c r="CE1" i="79"/>
  <c r="CD1" i="79"/>
  <c r="CC1" i="79"/>
  <c r="CB1" i="79"/>
  <c r="CA1" i="79"/>
  <c r="BV1" i="79"/>
  <c r="BU1" i="79"/>
  <c r="BT1" i="79"/>
  <c r="BR1" i="79"/>
  <c r="BF1" i="79"/>
  <c r="BE1" i="79"/>
  <c r="BJ1" i="79"/>
  <c r="BD1" i="79"/>
  <c r="BA1" i="79"/>
  <c r="AZ1" i="79"/>
  <c r="AX1" i="79"/>
  <c r="AU1" i="79"/>
  <c r="AT1" i="79"/>
  <c r="AR1" i="79"/>
  <c r="AQ1" i="79"/>
  <c r="AO1" i="79"/>
  <c r="BN1" i="79"/>
  <c r="AM1" i="79"/>
  <c r="AL1" i="79"/>
  <c r="AJ1" i="79"/>
  <c r="AI1" i="79"/>
  <c r="AG1" i="79"/>
  <c r="AF130" i="78" a="1"/>
  <c r="AF130" i="78" s="1"/>
  <c r="AE130" i="78" a="1"/>
  <c r="AE130" i="78" s="1"/>
  <c r="AD130" i="78" a="1"/>
  <c r="AD130" i="78" s="1"/>
  <c r="T130" i="78"/>
  <c r="R130" i="78"/>
  <c r="N130" i="78"/>
  <c r="M130" i="78"/>
  <c r="L130" i="78"/>
  <c r="F130" i="78"/>
  <c r="D130" i="78"/>
  <c r="AF129" i="78" a="1"/>
  <c r="AF129" i="78" s="1"/>
  <c r="AE129" i="78" a="1"/>
  <c r="AE129" i="78" s="1"/>
  <c r="AD129" i="78" a="1"/>
  <c r="AD129" i="78" s="1"/>
  <c r="T129" i="78"/>
  <c r="R129" i="78"/>
  <c r="N129" i="78"/>
  <c r="M129" i="78"/>
  <c r="L129" i="78"/>
  <c r="F129" i="78"/>
  <c r="D129" i="78"/>
  <c r="AF128" i="78" a="1"/>
  <c r="AF128" i="78" s="1"/>
  <c r="AE128" i="78" a="1"/>
  <c r="AE128" i="78" s="1"/>
  <c r="AD128" i="78" a="1"/>
  <c r="AD128" i="78" s="1"/>
  <c r="T128" i="78"/>
  <c r="R128" i="78"/>
  <c r="N128" i="78"/>
  <c r="M128" i="78"/>
  <c r="L128" i="78"/>
  <c r="F128" i="78"/>
  <c r="D128" i="78"/>
  <c r="AF127" i="78" a="1"/>
  <c r="AF127" i="78" s="1"/>
  <c r="AE127" i="78" a="1"/>
  <c r="AE127" i="78" s="1"/>
  <c r="AD127" i="78" a="1"/>
  <c r="AD127" i="78" s="1"/>
  <c r="T127" i="78"/>
  <c r="R127" i="78"/>
  <c r="N127" i="78"/>
  <c r="M127" i="78"/>
  <c r="L127" i="78"/>
  <c r="F127" i="78"/>
  <c r="D127" i="78"/>
  <c r="AF126" i="78" a="1"/>
  <c r="AF126" i="78" s="1"/>
  <c r="AE126" i="78" a="1"/>
  <c r="AE126" i="78" s="1"/>
  <c r="AD126" i="78" a="1"/>
  <c r="AD126" i="78" s="1"/>
  <c r="T126" i="78"/>
  <c r="R126" i="78"/>
  <c r="N126" i="78"/>
  <c r="M126" i="78"/>
  <c r="L126" i="78"/>
  <c r="F126" i="78"/>
  <c r="D126" i="78"/>
  <c r="AF125" i="78" a="1"/>
  <c r="AF125" i="78" s="1"/>
  <c r="AE125" i="78" a="1"/>
  <c r="AE125" i="78" s="1"/>
  <c r="AD125" i="78" a="1"/>
  <c r="AD125" i="78" s="1"/>
  <c r="T125" i="78"/>
  <c r="R125" i="78"/>
  <c r="N125" i="78"/>
  <c r="M125" i="78"/>
  <c r="L125" i="78"/>
  <c r="F125" i="78"/>
  <c r="D125" i="78"/>
  <c r="AF124" i="78" a="1"/>
  <c r="AF124" i="78" s="1"/>
  <c r="AE124" i="78" a="1"/>
  <c r="AE124" i="78" s="1"/>
  <c r="AD124" i="78" a="1"/>
  <c r="AD124" i="78" s="1"/>
  <c r="T124" i="78"/>
  <c r="R124" i="78"/>
  <c r="N124" i="78"/>
  <c r="M124" i="78"/>
  <c r="L124" i="78"/>
  <c r="F124" i="78"/>
  <c r="D124" i="78"/>
  <c r="AF123" i="78" a="1"/>
  <c r="AF123" i="78" s="1"/>
  <c r="AE123" i="78" a="1"/>
  <c r="AE123" i="78" s="1"/>
  <c r="AD123" i="78" a="1"/>
  <c r="AD123" i="78" s="1"/>
  <c r="T123" i="78"/>
  <c r="R123" i="78"/>
  <c r="N123" i="78"/>
  <c r="M123" i="78"/>
  <c r="L123" i="78"/>
  <c r="F123" i="78"/>
  <c r="D123" i="78"/>
  <c r="AF122" i="78" a="1"/>
  <c r="AF122" i="78" s="1"/>
  <c r="AE122" i="78" a="1"/>
  <c r="AE122" i="78" s="1"/>
  <c r="AD122" i="78" a="1"/>
  <c r="AD122" i="78" s="1"/>
  <c r="T122" i="78"/>
  <c r="R122" i="78"/>
  <c r="N122" i="78"/>
  <c r="M122" i="78"/>
  <c r="L122" i="78"/>
  <c r="F122" i="78"/>
  <c r="D122" i="78"/>
  <c r="AF121" i="78" a="1"/>
  <c r="AF121" i="78" s="1"/>
  <c r="AE121" i="78" a="1"/>
  <c r="AE121" i="78" s="1"/>
  <c r="AD121" i="78" a="1"/>
  <c r="AD121" i="78" s="1"/>
  <c r="T121" i="78"/>
  <c r="R121" i="78"/>
  <c r="N121" i="78"/>
  <c r="M121" i="78"/>
  <c r="L121" i="78"/>
  <c r="F121" i="78"/>
  <c r="D121" i="78"/>
  <c r="AF120" i="78" a="1"/>
  <c r="AF120" i="78" s="1"/>
  <c r="AE120" i="78" a="1"/>
  <c r="AE120" i="78" s="1"/>
  <c r="AD120" i="78" a="1"/>
  <c r="AD120" i="78" s="1"/>
  <c r="T120" i="78"/>
  <c r="R120" i="78"/>
  <c r="N120" i="78"/>
  <c r="M120" i="78"/>
  <c r="L120" i="78"/>
  <c r="F120" i="78"/>
  <c r="D120" i="78"/>
  <c r="AF119" i="78" a="1"/>
  <c r="AF119" i="78" s="1"/>
  <c r="AE119" i="78" a="1"/>
  <c r="AE119" i="78" s="1"/>
  <c r="AD119" i="78" a="1"/>
  <c r="AD119" i="78" s="1"/>
  <c r="T119" i="78"/>
  <c r="R119" i="78"/>
  <c r="N119" i="78"/>
  <c r="M119" i="78"/>
  <c r="L119" i="78"/>
  <c r="F119" i="78"/>
  <c r="D119" i="78"/>
  <c r="AF118" i="78" a="1"/>
  <c r="AF118" i="78" s="1"/>
  <c r="AE118" i="78" a="1"/>
  <c r="AE118" i="78" s="1"/>
  <c r="AD118" i="78" a="1"/>
  <c r="AD118" i="78" s="1"/>
  <c r="T118" i="78"/>
  <c r="R118" i="78"/>
  <c r="N118" i="78"/>
  <c r="M118" i="78"/>
  <c r="L118" i="78"/>
  <c r="F118" i="78"/>
  <c r="D118" i="78"/>
  <c r="AF117" i="78" a="1"/>
  <c r="AF117" i="78" s="1"/>
  <c r="AE117" i="78" a="1"/>
  <c r="AE117" i="78" s="1"/>
  <c r="AD117" i="78" a="1"/>
  <c r="AD117" i="78" s="1"/>
  <c r="T117" i="78"/>
  <c r="R117" i="78"/>
  <c r="N117" i="78"/>
  <c r="M117" i="78"/>
  <c r="L117" i="78"/>
  <c r="F117" i="78"/>
  <c r="D117" i="78"/>
  <c r="AF116" i="78" a="1"/>
  <c r="AF116" i="78" s="1"/>
  <c r="AE116" i="78" a="1"/>
  <c r="AE116" i="78" s="1"/>
  <c r="AD116" i="78" a="1"/>
  <c r="AD116" i="78" s="1"/>
  <c r="T116" i="78"/>
  <c r="R116" i="78"/>
  <c r="N116" i="78"/>
  <c r="M116" i="78"/>
  <c r="L116" i="78"/>
  <c r="F116" i="78"/>
  <c r="D116" i="78"/>
  <c r="AF115" i="78" a="1"/>
  <c r="AF115" i="78" s="1"/>
  <c r="AE115" i="78" a="1"/>
  <c r="AE115" i="78" s="1"/>
  <c r="AD115" i="78" a="1"/>
  <c r="AD115" i="78" s="1"/>
  <c r="T115" i="78"/>
  <c r="R115" i="78"/>
  <c r="N115" i="78"/>
  <c r="M115" i="78"/>
  <c r="L115" i="78"/>
  <c r="F115" i="78"/>
  <c r="D115" i="78"/>
  <c r="AF114" i="78" a="1"/>
  <c r="AF114" i="78" s="1"/>
  <c r="AE114" i="78" a="1"/>
  <c r="AE114" i="78" s="1"/>
  <c r="AD114" i="78" a="1"/>
  <c r="AD114" i="78" s="1"/>
  <c r="T114" i="78"/>
  <c r="R114" i="78"/>
  <c r="N114" i="78"/>
  <c r="M114" i="78"/>
  <c r="L114" i="78"/>
  <c r="F114" i="78"/>
  <c r="D114" i="78"/>
  <c r="AF113" i="78" a="1"/>
  <c r="AF113" i="78" s="1"/>
  <c r="AE113" i="78" a="1"/>
  <c r="AE113" i="78" s="1"/>
  <c r="AD113" i="78" a="1"/>
  <c r="AD113" i="78" s="1"/>
  <c r="T113" i="78"/>
  <c r="R113" i="78"/>
  <c r="N113" i="78"/>
  <c r="M113" i="78"/>
  <c r="L113" i="78"/>
  <c r="F113" i="78"/>
  <c r="D113" i="78"/>
  <c r="AF112" i="78" a="1"/>
  <c r="AF112" i="78" s="1"/>
  <c r="AE112" i="78" a="1"/>
  <c r="AE112" i="78" s="1"/>
  <c r="AD112" i="78" a="1"/>
  <c r="AD112" i="78" s="1"/>
  <c r="T112" i="78"/>
  <c r="R112" i="78"/>
  <c r="N112" i="78"/>
  <c r="M112" i="78"/>
  <c r="L112" i="78"/>
  <c r="F112" i="78"/>
  <c r="D112" i="78"/>
  <c r="AF111" i="78" a="1"/>
  <c r="AF111" i="78" s="1"/>
  <c r="AE111" i="78" a="1"/>
  <c r="AE111" i="78" s="1"/>
  <c r="AD111" i="78" a="1"/>
  <c r="AD111" i="78" s="1"/>
  <c r="T111" i="78"/>
  <c r="R111" i="78"/>
  <c r="N111" i="78"/>
  <c r="M111" i="78"/>
  <c r="L111" i="78"/>
  <c r="F111" i="78"/>
  <c r="D111" i="78"/>
  <c r="AF110" i="78" a="1"/>
  <c r="AF110" i="78" s="1"/>
  <c r="AE110" i="78" a="1"/>
  <c r="AE110" i="78" s="1"/>
  <c r="AD110" i="78" a="1"/>
  <c r="AD110" i="78" s="1"/>
  <c r="T110" i="78"/>
  <c r="R110" i="78"/>
  <c r="N110" i="78"/>
  <c r="M110" i="78"/>
  <c r="L110" i="78"/>
  <c r="F110" i="78"/>
  <c r="D110" i="78"/>
  <c r="AF109" i="78" a="1"/>
  <c r="AF109" i="78" s="1"/>
  <c r="AE109" i="78" a="1"/>
  <c r="AE109" i="78" s="1"/>
  <c r="AD109" i="78" a="1"/>
  <c r="AD109" i="78" s="1"/>
  <c r="T109" i="78"/>
  <c r="R109" i="78"/>
  <c r="N109" i="78"/>
  <c r="M109" i="78"/>
  <c r="L109" i="78"/>
  <c r="F109" i="78"/>
  <c r="D109" i="78"/>
  <c r="AF108" i="78" a="1"/>
  <c r="AF108" i="78" s="1"/>
  <c r="AE108" i="78" a="1"/>
  <c r="AE108" i="78" s="1"/>
  <c r="AD108" i="78" a="1"/>
  <c r="AD108" i="78" s="1"/>
  <c r="T108" i="78"/>
  <c r="R108" i="78"/>
  <c r="N108" i="78"/>
  <c r="M108" i="78"/>
  <c r="L108" i="78"/>
  <c r="F108" i="78"/>
  <c r="D108" i="78"/>
  <c r="AF107" i="78" a="1"/>
  <c r="AF107" i="78" s="1"/>
  <c r="AE107" i="78" a="1"/>
  <c r="AE107" i="78" s="1"/>
  <c r="AD107" i="78" a="1"/>
  <c r="AD107" i="78" s="1"/>
  <c r="T107" i="78"/>
  <c r="R107" i="78"/>
  <c r="N107" i="78"/>
  <c r="M107" i="78"/>
  <c r="L107" i="78"/>
  <c r="F107" i="78"/>
  <c r="D107" i="78"/>
  <c r="AF106" i="78" a="1"/>
  <c r="AF106" i="78" s="1"/>
  <c r="AE106" i="78" a="1"/>
  <c r="AE106" i="78" s="1"/>
  <c r="AD106" i="78" a="1"/>
  <c r="AD106" i="78" s="1"/>
  <c r="T106" i="78"/>
  <c r="R106" i="78"/>
  <c r="N106" i="78"/>
  <c r="M106" i="78"/>
  <c r="L106" i="78"/>
  <c r="F106" i="78"/>
  <c r="D106" i="78"/>
  <c r="AF105" i="78" a="1"/>
  <c r="AF105" i="78" s="1"/>
  <c r="AE105" i="78" a="1"/>
  <c r="AE105" i="78" s="1"/>
  <c r="AD105" i="78" a="1"/>
  <c r="AD105" i="78" s="1"/>
  <c r="T105" i="78"/>
  <c r="R105" i="78"/>
  <c r="N105" i="78"/>
  <c r="M105" i="78"/>
  <c r="L105" i="78"/>
  <c r="F105" i="78"/>
  <c r="D105" i="78"/>
  <c r="AF104" i="78" a="1"/>
  <c r="AF104" i="78" s="1"/>
  <c r="AE104" i="78" a="1"/>
  <c r="AE104" i="78" s="1"/>
  <c r="AD104" i="78" a="1"/>
  <c r="AD104" i="78" s="1"/>
  <c r="T104" i="78"/>
  <c r="R104" i="78"/>
  <c r="N104" i="78"/>
  <c r="M104" i="78"/>
  <c r="L104" i="78"/>
  <c r="F104" i="78"/>
  <c r="D104" i="78"/>
  <c r="AF103" i="78" a="1"/>
  <c r="AF103" i="78" s="1"/>
  <c r="AE103" i="78" a="1"/>
  <c r="AE103" i="78" s="1"/>
  <c r="AD103" i="78" a="1"/>
  <c r="AD103" i="78" s="1"/>
  <c r="T103" i="78"/>
  <c r="R103" i="78"/>
  <c r="N103" i="78"/>
  <c r="M103" i="78"/>
  <c r="L103" i="78"/>
  <c r="F103" i="78"/>
  <c r="D103" i="78"/>
  <c r="AF102" i="78" a="1"/>
  <c r="AF102" i="78" s="1"/>
  <c r="AE102" i="78" a="1"/>
  <c r="AE102" i="78" s="1"/>
  <c r="AD102" i="78" a="1"/>
  <c r="AD102" i="78" s="1"/>
  <c r="T102" i="78"/>
  <c r="R102" i="78"/>
  <c r="N102" i="78"/>
  <c r="M102" i="78"/>
  <c r="L102" i="78"/>
  <c r="F102" i="78"/>
  <c r="D102" i="78"/>
  <c r="AF101" i="78" a="1"/>
  <c r="AF101" i="78" s="1"/>
  <c r="AE101" i="78" a="1"/>
  <c r="AE101" i="78" s="1"/>
  <c r="AD101" i="78" a="1"/>
  <c r="AD101" i="78" s="1"/>
  <c r="T101" i="78"/>
  <c r="R101" i="78"/>
  <c r="N101" i="78"/>
  <c r="M101" i="78"/>
  <c r="L101" i="78"/>
  <c r="F101" i="78"/>
  <c r="D101" i="78"/>
  <c r="AF100" i="78" a="1"/>
  <c r="AF100" i="78" s="1"/>
  <c r="AE100" i="78" a="1"/>
  <c r="AE100" i="78" s="1"/>
  <c r="AD100" i="78" a="1"/>
  <c r="AD100" i="78" s="1"/>
  <c r="T100" i="78"/>
  <c r="R100" i="78"/>
  <c r="N100" i="78"/>
  <c r="M100" i="78"/>
  <c r="L100" i="78"/>
  <c r="F100" i="78"/>
  <c r="D100" i="78"/>
  <c r="AF99" i="78" a="1"/>
  <c r="AF99" i="78" s="1"/>
  <c r="AE99" i="78" a="1"/>
  <c r="AE99" i="78" s="1"/>
  <c r="AD99" i="78" a="1"/>
  <c r="AD99" i="78" s="1"/>
  <c r="T99" i="78"/>
  <c r="R99" i="78"/>
  <c r="N99" i="78"/>
  <c r="M99" i="78"/>
  <c r="L99" i="78"/>
  <c r="F99" i="78"/>
  <c r="D99" i="78"/>
  <c r="AF98" i="78" a="1"/>
  <c r="AF98" i="78" s="1"/>
  <c r="AE98" i="78" a="1"/>
  <c r="AE98" i="78" s="1"/>
  <c r="AD98" i="78" a="1"/>
  <c r="AD98" i="78" s="1"/>
  <c r="T98" i="78"/>
  <c r="R98" i="78"/>
  <c r="N98" i="78"/>
  <c r="M98" i="78"/>
  <c r="L98" i="78"/>
  <c r="F98" i="78"/>
  <c r="D98" i="78"/>
  <c r="AF97" i="78" a="1"/>
  <c r="AF97" i="78" s="1"/>
  <c r="AE97" i="78" a="1"/>
  <c r="AE97" i="78" s="1"/>
  <c r="AD97" i="78" a="1"/>
  <c r="AD97" i="78" s="1"/>
  <c r="T97" i="78"/>
  <c r="R97" i="78"/>
  <c r="N97" i="78"/>
  <c r="M97" i="78"/>
  <c r="L97" i="78"/>
  <c r="F97" i="78"/>
  <c r="D97" i="78"/>
  <c r="AF96" i="78" a="1"/>
  <c r="AF96" i="78" s="1"/>
  <c r="AE96" i="78" a="1"/>
  <c r="AE96" i="78" s="1"/>
  <c r="AD96" i="78" a="1"/>
  <c r="AD96" i="78" s="1"/>
  <c r="T96" i="78"/>
  <c r="R96" i="78"/>
  <c r="N96" i="78"/>
  <c r="M96" i="78"/>
  <c r="L96" i="78"/>
  <c r="F96" i="78"/>
  <c r="D96" i="78"/>
  <c r="AF95" i="78" a="1"/>
  <c r="AF95" i="78" s="1"/>
  <c r="AE95" i="78" a="1"/>
  <c r="AE95" i="78" s="1"/>
  <c r="AD95" i="78" a="1"/>
  <c r="AD95" i="78" s="1"/>
  <c r="T95" i="78"/>
  <c r="R95" i="78"/>
  <c r="N95" i="78"/>
  <c r="M95" i="78"/>
  <c r="L95" i="78"/>
  <c r="F95" i="78"/>
  <c r="D95" i="78"/>
  <c r="AF94" i="78" a="1"/>
  <c r="AF94" i="78" s="1"/>
  <c r="AE94" i="78" a="1"/>
  <c r="AE94" i="78" s="1"/>
  <c r="AD94" i="78" a="1"/>
  <c r="AD94" i="78" s="1"/>
  <c r="T94" i="78"/>
  <c r="R94" i="78"/>
  <c r="N94" i="78"/>
  <c r="M94" i="78"/>
  <c r="L94" i="78"/>
  <c r="F94" i="78"/>
  <c r="D94" i="78"/>
  <c r="AF93" i="78" a="1"/>
  <c r="AF93" i="78" s="1"/>
  <c r="AE93" i="78" a="1"/>
  <c r="AE93" i="78" s="1"/>
  <c r="AD93" i="78" a="1"/>
  <c r="AD93" i="78" s="1"/>
  <c r="T93" i="78"/>
  <c r="R93" i="78"/>
  <c r="N93" i="78"/>
  <c r="M93" i="78"/>
  <c r="L93" i="78"/>
  <c r="F93" i="78"/>
  <c r="D93" i="78"/>
  <c r="AF92" i="78" a="1"/>
  <c r="AF92" i="78" s="1"/>
  <c r="AE92" i="78" a="1"/>
  <c r="AE92" i="78" s="1"/>
  <c r="AD92" i="78" a="1"/>
  <c r="AD92" i="78" s="1"/>
  <c r="T92" i="78"/>
  <c r="R92" i="78"/>
  <c r="N92" i="78"/>
  <c r="M92" i="78"/>
  <c r="L92" i="78"/>
  <c r="F92" i="78"/>
  <c r="D92" i="78"/>
  <c r="AF91" i="78" a="1"/>
  <c r="AF91" i="78" s="1"/>
  <c r="AE91" i="78" a="1"/>
  <c r="AE91" i="78" s="1"/>
  <c r="AD91" i="78" a="1"/>
  <c r="AD91" i="78" s="1"/>
  <c r="T91" i="78"/>
  <c r="R91" i="78"/>
  <c r="N91" i="78"/>
  <c r="M91" i="78"/>
  <c r="L91" i="78"/>
  <c r="F91" i="78"/>
  <c r="D91" i="78"/>
  <c r="AF90" i="78" a="1"/>
  <c r="AF90" i="78" s="1"/>
  <c r="AE90" i="78" a="1"/>
  <c r="AE90" i="78" s="1"/>
  <c r="AD90" i="78" a="1"/>
  <c r="AD90" i="78" s="1"/>
  <c r="T90" i="78"/>
  <c r="R90" i="78"/>
  <c r="N90" i="78"/>
  <c r="M90" i="78"/>
  <c r="L90" i="78"/>
  <c r="F90" i="78"/>
  <c r="D90" i="78"/>
  <c r="AF89" i="78" a="1"/>
  <c r="AF89" i="78" s="1"/>
  <c r="AE89" i="78" a="1"/>
  <c r="AE89" i="78" s="1"/>
  <c r="AD89" i="78" a="1"/>
  <c r="AD89" i="78" s="1"/>
  <c r="T89" i="78"/>
  <c r="R89" i="78"/>
  <c r="N89" i="78"/>
  <c r="M89" i="78"/>
  <c r="L89" i="78"/>
  <c r="F89" i="78"/>
  <c r="D89" i="78"/>
  <c r="AF88" i="78" a="1"/>
  <c r="AF88" i="78" s="1"/>
  <c r="AE88" i="78" a="1"/>
  <c r="AE88" i="78" s="1"/>
  <c r="AD88" i="78" a="1"/>
  <c r="AD88" i="78" s="1"/>
  <c r="T88" i="78"/>
  <c r="R88" i="78"/>
  <c r="N88" i="78"/>
  <c r="M88" i="78"/>
  <c r="L88" i="78"/>
  <c r="F88" i="78"/>
  <c r="D88" i="78"/>
  <c r="AF87" i="78" a="1"/>
  <c r="AF87" i="78" s="1"/>
  <c r="AE87" i="78" a="1"/>
  <c r="AE87" i="78" s="1"/>
  <c r="AD87" i="78" a="1"/>
  <c r="AD87" i="78" s="1"/>
  <c r="T87" i="78"/>
  <c r="R87" i="78"/>
  <c r="N87" i="78"/>
  <c r="M87" i="78"/>
  <c r="L87" i="78"/>
  <c r="F87" i="78"/>
  <c r="D87" i="78"/>
  <c r="AF86" i="78" a="1"/>
  <c r="AF86" i="78" s="1"/>
  <c r="AE86" i="78" a="1"/>
  <c r="AE86" i="78" s="1"/>
  <c r="AD86" i="78" a="1"/>
  <c r="AD86" i="78" s="1"/>
  <c r="T86" i="78"/>
  <c r="R86" i="78"/>
  <c r="N86" i="78"/>
  <c r="M86" i="78"/>
  <c r="L86" i="78"/>
  <c r="F86" i="78"/>
  <c r="D86" i="78"/>
  <c r="AF85" i="78" a="1"/>
  <c r="AF85" i="78" s="1"/>
  <c r="AE85" i="78" a="1"/>
  <c r="AE85" i="78" s="1"/>
  <c r="AD85" i="78" a="1"/>
  <c r="AD85" i="78" s="1"/>
  <c r="T85" i="78"/>
  <c r="R85" i="78"/>
  <c r="N85" i="78"/>
  <c r="M85" i="78"/>
  <c r="L85" i="78"/>
  <c r="F85" i="78"/>
  <c r="D85" i="78"/>
  <c r="AF84" i="78" a="1"/>
  <c r="AF84" i="78" s="1"/>
  <c r="AE84" i="78" a="1"/>
  <c r="AE84" i="78" s="1"/>
  <c r="AD84" i="78" a="1"/>
  <c r="AD84" i="78" s="1"/>
  <c r="T84" i="78"/>
  <c r="R84" i="78"/>
  <c r="N84" i="78"/>
  <c r="M84" i="78"/>
  <c r="L84" i="78"/>
  <c r="F84" i="78"/>
  <c r="D84" i="78"/>
  <c r="AF83" i="78" a="1"/>
  <c r="AF83" i="78" s="1"/>
  <c r="AE83" i="78" a="1"/>
  <c r="AE83" i="78" s="1"/>
  <c r="AD83" i="78" a="1"/>
  <c r="AD83" i="78" s="1"/>
  <c r="T83" i="78"/>
  <c r="R83" i="78"/>
  <c r="N83" i="78"/>
  <c r="M83" i="78"/>
  <c r="L83" i="78"/>
  <c r="F83" i="78"/>
  <c r="D83" i="78"/>
  <c r="AF82" i="78" a="1"/>
  <c r="AF82" i="78" s="1"/>
  <c r="AE82" i="78" a="1"/>
  <c r="AE82" i="78" s="1"/>
  <c r="AD82" i="78" a="1"/>
  <c r="AD82" i="78" s="1"/>
  <c r="T82" i="78"/>
  <c r="R82" i="78"/>
  <c r="N82" i="78"/>
  <c r="M82" i="78"/>
  <c r="L82" i="78"/>
  <c r="F82" i="78"/>
  <c r="D82" i="78"/>
  <c r="AF81" i="78" a="1"/>
  <c r="AF81" i="78" s="1"/>
  <c r="AE81" i="78" a="1"/>
  <c r="AE81" i="78" s="1"/>
  <c r="AD81" i="78" a="1"/>
  <c r="AD81" i="78" s="1"/>
  <c r="T81" i="78"/>
  <c r="R81" i="78"/>
  <c r="N81" i="78"/>
  <c r="M81" i="78"/>
  <c r="L81" i="78"/>
  <c r="F81" i="78"/>
  <c r="D81" i="78"/>
  <c r="AF80" i="78" a="1"/>
  <c r="AF80" i="78" s="1"/>
  <c r="AE80" i="78" a="1"/>
  <c r="AE80" i="78" s="1"/>
  <c r="AD80" i="78" a="1"/>
  <c r="AD80" i="78" s="1"/>
  <c r="T80" i="78"/>
  <c r="R80" i="78"/>
  <c r="N80" i="78"/>
  <c r="M80" i="78"/>
  <c r="L80" i="78"/>
  <c r="F80" i="78"/>
  <c r="D80" i="78"/>
  <c r="AF79" i="78" a="1"/>
  <c r="AF79" i="78" s="1"/>
  <c r="AE79" i="78" a="1"/>
  <c r="AE79" i="78" s="1"/>
  <c r="AD79" i="78" a="1"/>
  <c r="AD79" i="78" s="1"/>
  <c r="T79" i="78"/>
  <c r="R79" i="78"/>
  <c r="N79" i="78"/>
  <c r="M79" i="78"/>
  <c r="L79" i="78"/>
  <c r="F79" i="78"/>
  <c r="D79" i="78"/>
  <c r="AF78" i="78" a="1"/>
  <c r="AF78" i="78" s="1"/>
  <c r="AE78" i="78" a="1"/>
  <c r="AE78" i="78" s="1"/>
  <c r="AD78" i="78" a="1"/>
  <c r="AD78" i="78" s="1"/>
  <c r="T78" i="78"/>
  <c r="R78" i="78"/>
  <c r="N78" i="78"/>
  <c r="M78" i="78"/>
  <c r="L78" i="78"/>
  <c r="F78" i="78"/>
  <c r="D78" i="78"/>
  <c r="AF77" i="78" a="1"/>
  <c r="AF77" i="78" s="1"/>
  <c r="AE77" i="78" a="1"/>
  <c r="AE77" i="78" s="1"/>
  <c r="AD77" i="78" a="1"/>
  <c r="AD77" i="78" s="1"/>
  <c r="T77" i="78"/>
  <c r="R77" i="78"/>
  <c r="N77" i="78"/>
  <c r="M77" i="78"/>
  <c r="L77" i="78"/>
  <c r="F77" i="78"/>
  <c r="D77" i="78"/>
  <c r="AF76" i="78" a="1"/>
  <c r="AF76" i="78" s="1"/>
  <c r="AE76" i="78" a="1"/>
  <c r="AE76" i="78" s="1"/>
  <c r="AD76" i="78" a="1"/>
  <c r="AD76" i="78" s="1"/>
  <c r="T76" i="78"/>
  <c r="R76" i="78"/>
  <c r="N76" i="78"/>
  <c r="M76" i="78"/>
  <c r="L76" i="78"/>
  <c r="F76" i="78"/>
  <c r="D76" i="78"/>
  <c r="AF75" i="78" a="1"/>
  <c r="AF75" i="78" s="1"/>
  <c r="AE75" i="78" a="1"/>
  <c r="AE75" i="78" s="1"/>
  <c r="AD75" i="78" a="1"/>
  <c r="AD75" i="78" s="1"/>
  <c r="T75" i="78"/>
  <c r="R75" i="78"/>
  <c r="N75" i="78"/>
  <c r="M75" i="78"/>
  <c r="L75" i="78"/>
  <c r="F75" i="78"/>
  <c r="D75" i="78"/>
  <c r="AF74" i="78" a="1"/>
  <c r="AF74" i="78" s="1"/>
  <c r="AE74" i="78" a="1"/>
  <c r="AE74" i="78" s="1"/>
  <c r="AD74" i="78" a="1"/>
  <c r="AD74" i="78" s="1"/>
  <c r="T74" i="78"/>
  <c r="R74" i="78"/>
  <c r="N74" i="78"/>
  <c r="M74" i="78"/>
  <c r="L74" i="78"/>
  <c r="F74" i="78"/>
  <c r="D74" i="78"/>
  <c r="AF73" i="78" a="1"/>
  <c r="AF73" i="78" s="1"/>
  <c r="AE73" i="78" a="1"/>
  <c r="AE73" i="78" s="1"/>
  <c r="AD73" i="78" a="1"/>
  <c r="AD73" i="78" s="1"/>
  <c r="T73" i="78"/>
  <c r="R73" i="78"/>
  <c r="N73" i="78"/>
  <c r="M73" i="78"/>
  <c r="L73" i="78"/>
  <c r="F73" i="78"/>
  <c r="D73" i="78"/>
  <c r="AF69" i="78" a="1"/>
  <c r="AF69" i="78" s="1"/>
  <c r="AE69" i="78" a="1"/>
  <c r="AE69" i="78" s="1"/>
  <c r="AD69" i="78" a="1"/>
  <c r="AD69" i="78" s="1"/>
  <c r="T69" i="78"/>
  <c r="AF68" i="78" a="1"/>
  <c r="AF68" i="78" s="1"/>
  <c r="AE68" i="78" a="1"/>
  <c r="AE68" i="78" s="1"/>
  <c r="AD68" i="78" a="1"/>
  <c r="AD68" i="78" s="1"/>
  <c r="T68" i="78"/>
  <c r="AF66" i="78" a="1"/>
  <c r="AF66" i="78" s="1"/>
  <c r="AE66" i="78" a="1"/>
  <c r="AE66" i="78" s="1"/>
  <c r="AD66" i="78" a="1"/>
  <c r="AD66" i="78" s="1"/>
  <c r="T66" i="78"/>
  <c r="AF65" i="78" a="1"/>
  <c r="AF65" i="78" s="1"/>
  <c r="AE65" i="78" a="1"/>
  <c r="AE65" i="78" s="1"/>
  <c r="AD65" i="78" a="1"/>
  <c r="AD65" i="78" s="1"/>
  <c r="T65" i="78"/>
  <c r="R65" i="78"/>
  <c r="M65" i="78"/>
  <c r="N65" i="78" s="1"/>
  <c r="L65" i="78"/>
  <c r="AF64" i="78" a="1"/>
  <c r="AF64" i="78" s="1"/>
  <c r="AE64" i="78" a="1"/>
  <c r="AE64" i="78" s="1"/>
  <c r="AD64" i="78" a="1"/>
  <c r="AD64" i="78" s="1"/>
  <c r="T64" i="78"/>
  <c r="R64" i="78"/>
  <c r="M64" i="78"/>
  <c r="N64" i="78" s="1"/>
  <c r="L64" i="78"/>
  <c r="AF63" i="78" a="1"/>
  <c r="AF63" i="78" s="1"/>
  <c r="AE63" i="78" a="1"/>
  <c r="AE63" i="78" s="1"/>
  <c r="AD63" i="78" a="1"/>
  <c r="AD63" i="78" s="1"/>
  <c r="T63" i="78"/>
  <c r="R63" i="78"/>
  <c r="M63" i="78"/>
  <c r="N63" i="78" s="1"/>
  <c r="L63" i="78"/>
  <c r="AF62" i="78" a="1"/>
  <c r="AF62" i="78" s="1"/>
  <c r="AE62" i="78" a="1"/>
  <c r="AE62" i="78" s="1"/>
  <c r="AD62" i="78" a="1"/>
  <c r="AD62" i="78" s="1"/>
  <c r="T62" i="78"/>
  <c r="R62" i="78"/>
  <c r="M62" i="78"/>
  <c r="N62" i="78" s="1"/>
  <c r="L62" i="78"/>
  <c r="AF61" i="78" a="1"/>
  <c r="AF61" i="78" s="1"/>
  <c r="AE61" i="78" a="1"/>
  <c r="AE61" i="78" s="1"/>
  <c r="AD61" i="78" a="1"/>
  <c r="AD61" i="78" s="1"/>
  <c r="T61" i="78"/>
  <c r="R61" i="78"/>
  <c r="M61" i="78"/>
  <c r="N61" i="78" s="1"/>
  <c r="L61" i="78"/>
  <c r="AF60" i="78" a="1"/>
  <c r="AF60" i="78" s="1"/>
  <c r="AE60" i="78" a="1"/>
  <c r="AE60" i="78" s="1"/>
  <c r="AD60" i="78" a="1"/>
  <c r="AD60" i="78" s="1"/>
  <c r="T60" i="78"/>
  <c r="R60" i="78"/>
  <c r="M60" i="78"/>
  <c r="N60" i="78" s="1"/>
  <c r="L60" i="78"/>
  <c r="AF59" i="78" a="1"/>
  <c r="AF59" i="78" s="1"/>
  <c r="AE59" i="78" a="1"/>
  <c r="AE59" i="78" s="1"/>
  <c r="AD59" i="78" a="1"/>
  <c r="AD59" i="78" s="1"/>
  <c r="T59" i="78"/>
  <c r="R59" i="78"/>
  <c r="M59" i="78"/>
  <c r="N59" i="78" s="1"/>
  <c r="L59" i="78"/>
  <c r="AF57" i="78" a="1"/>
  <c r="AF57" i="78" s="1"/>
  <c r="AE57" i="78" a="1"/>
  <c r="AE57" i="78" s="1"/>
  <c r="AD57" i="78" a="1"/>
  <c r="AD57" i="78" s="1"/>
  <c r="V57" i="78"/>
  <c r="U57" i="78"/>
  <c r="T57" i="78"/>
  <c r="R57" i="78"/>
  <c r="O57" i="78"/>
  <c r="P57" i="78" s="1"/>
  <c r="M57" i="78"/>
  <c r="N57" i="78" s="1"/>
  <c r="L57" i="78"/>
  <c r="AF56" i="78" a="1"/>
  <c r="AF56" i="78" s="1"/>
  <c r="AE56" i="78" a="1"/>
  <c r="AE56" i="78" s="1"/>
  <c r="AD56" i="78" a="1"/>
  <c r="AD56" i="78" s="1"/>
  <c r="U56" i="78"/>
  <c r="V56" i="78" s="1"/>
  <c r="T56" i="78"/>
  <c r="R56" i="78"/>
  <c r="O56" i="78"/>
  <c r="P56" i="78" s="1"/>
  <c r="M56" i="78"/>
  <c r="N56" i="78" s="1"/>
  <c r="L56" i="78"/>
  <c r="AF52" i="78" a="1"/>
  <c r="AF52" i="78" s="1"/>
  <c r="AE52" i="78" a="1"/>
  <c r="AE52" i="78" s="1"/>
  <c r="AD52" i="78" a="1"/>
  <c r="AD52" i="78" s="1"/>
  <c r="U52" i="78"/>
  <c r="V52" i="78" s="1"/>
  <c r="T52" i="78"/>
  <c r="R52" i="78"/>
  <c r="O52" i="78"/>
  <c r="P52" i="78" s="1"/>
  <c r="M52" i="78"/>
  <c r="N52" i="78" s="1"/>
  <c r="L52" i="78"/>
  <c r="AF51" i="78" a="1"/>
  <c r="AF51" i="78" s="1"/>
  <c r="AE51" i="78" a="1"/>
  <c r="AE51" i="78" s="1"/>
  <c r="AD51" i="78" a="1"/>
  <c r="AD51" i="78" s="1"/>
  <c r="U51" i="78"/>
  <c r="V51" i="78" s="1"/>
  <c r="T51" i="78"/>
  <c r="R51" i="78"/>
  <c r="O51" i="78"/>
  <c r="P51" i="78" s="1"/>
  <c r="M51" i="78"/>
  <c r="N51" i="78" s="1"/>
  <c r="L51" i="78"/>
  <c r="AF50" i="78" a="1"/>
  <c r="AF50" i="78" s="1"/>
  <c r="AE50" i="78" a="1"/>
  <c r="AE50" i="78" s="1"/>
  <c r="AD50" i="78" a="1"/>
  <c r="AD50" i="78" s="1"/>
  <c r="U50" i="78"/>
  <c r="V50" i="78" s="1"/>
  <c r="T50" i="78"/>
  <c r="R50" i="78"/>
  <c r="O50" i="78"/>
  <c r="P50" i="78" s="1"/>
  <c r="M50" i="78"/>
  <c r="N50" i="78" s="1"/>
  <c r="L50" i="78"/>
  <c r="AF49" i="78" a="1"/>
  <c r="AF49" i="78" s="1"/>
  <c r="AE49" i="78" a="1"/>
  <c r="AE49" i="78" s="1"/>
  <c r="AD49" i="78" a="1"/>
  <c r="AD49" i="78" s="1"/>
  <c r="U49" i="78"/>
  <c r="V49" i="78" s="1"/>
  <c r="T49" i="78"/>
  <c r="R49" i="78"/>
  <c r="O49" i="78"/>
  <c r="P49" i="78" s="1"/>
  <c r="M49" i="78"/>
  <c r="N49" i="78" s="1"/>
  <c r="L49" i="78"/>
  <c r="AF48" i="78" a="1"/>
  <c r="AF48" i="78" s="1"/>
  <c r="AE48" i="78" a="1"/>
  <c r="AE48" i="78" s="1"/>
  <c r="AD48" i="78" a="1"/>
  <c r="AD48" i="78" s="1"/>
  <c r="U48" i="78"/>
  <c r="V48" i="78" s="1"/>
  <c r="T48" i="78"/>
  <c r="R48" i="78"/>
  <c r="O48" i="78"/>
  <c r="P48" i="78" s="1"/>
  <c r="M48" i="78"/>
  <c r="N48" i="78" s="1"/>
  <c r="L48" i="78"/>
  <c r="AF47" i="78" a="1"/>
  <c r="AF47" i="78" s="1"/>
  <c r="AE47" i="78" a="1"/>
  <c r="AE47" i="78" s="1"/>
  <c r="AD47" i="78" a="1"/>
  <c r="AD47" i="78" s="1"/>
  <c r="U47" i="78"/>
  <c r="V47" i="78" s="1"/>
  <c r="T47" i="78"/>
  <c r="R47" i="78"/>
  <c r="O47" i="78"/>
  <c r="P47" i="78" s="1"/>
  <c r="M47" i="78"/>
  <c r="N47" i="78" s="1"/>
  <c r="L47" i="78"/>
  <c r="U46" i="78"/>
  <c r="V46" i="78" s="1"/>
  <c r="T46" i="78"/>
  <c r="O46" i="78"/>
  <c r="P46" i="78" s="1"/>
  <c r="M46" i="78"/>
  <c r="N46" i="78" s="1"/>
  <c r="L46" i="78"/>
  <c r="U45" i="78"/>
  <c r="V45" i="78" s="1"/>
  <c r="T45" i="78"/>
  <c r="O45" i="78"/>
  <c r="P45" i="78" s="1"/>
  <c r="M45" i="78"/>
  <c r="N45" i="78" s="1"/>
  <c r="L45" i="78"/>
  <c r="U44" i="78"/>
  <c r="V44" i="78" s="1"/>
  <c r="T44" i="78"/>
  <c r="O44" i="78"/>
  <c r="P44" i="78" s="1"/>
  <c r="M44" i="78"/>
  <c r="N44" i="78" s="1"/>
  <c r="L44" i="78"/>
  <c r="U43" i="78"/>
  <c r="V43" i="78" s="1"/>
  <c r="T43" i="78"/>
  <c r="O43" i="78"/>
  <c r="P43" i="78" s="1"/>
  <c r="M43" i="78"/>
  <c r="N43" i="78" s="1"/>
  <c r="L43" i="78"/>
  <c r="AF41" i="78" a="1"/>
  <c r="AF41" i="78" s="1"/>
  <c r="AE41" i="78" a="1"/>
  <c r="AE41" i="78" s="1"/>
  <c r="AD41" i="78" a="1"/>
  <c r="AD41" i="78" s="1"/>
  <c r="U41" i="78"/>
  <c r="V41" i="78" s="1"/>
  <c r="T41" i="78"/>
  <c r="O41" i="78"/>
  <c r="P41" i="78" s="1"/>
  <c r="M41" i="78"/>
  <c r="N41" i="78" s="1"/>
  <c r="L41" i="78"/>
  <c r="AF40" i="78" a="1"/>
  <c r="AF40" i="78" s="1"/>
  <c r="AE40" i="78" a="1"/>
  <c r="AE40" i="78" s="1"/>
  <c r="AD40" i="78" a="1"/>
  <c r="AD40" i="78" s="1"/>
  <c r="U40" i="78"/>
  <c r="V40" i="78" s="1"/>
  <c r="T40" i="78"/>
  <c r="O40" i="78"/>
  <c r="P40" i="78" s="1"/>
  <c r="M40" i="78"/>
  <c r="N40" i="78" s="1"/>
  <c r="L40" i="78"/>
  <c r="AF39" i="78" a="1"/>
  <c r="AF39" i="78" s="1"/>
  <c r="AE39" i="78" a="1"/>
  <c r="AE39" i="78" s="1"/>
  <c r="AD39" i="78" a="1"/>
  <c r="AD39" i="78" s="1"/>
  <c r="U39" i="78"/>
  <c r="V39" i="78" s="1"/>
  <c r="T39" i="78"/>
  <c r="O39" i="78"/>
  <c r="P39" i="78" s="1"/>
  <c r="M39" i="78"/>
  <c r="N39" i="78" s="1"/>
  <c r="L39" i="78"/>
  <c r="AF38" i="78" a="1"/>
  <c r="AF38" i="78" s="1"/>
  <c r="AE38" i="78" a="1"/>
  <c r="AE38" i="78" s="1"/>
  <c r="AD38" i="78" a="1"/>
  <c r="AD38" i="78" s="1"/>
  <c r="U38" i="78"/>
  <c r="V38" i="78" s="1"/>
  <c r="T38" i="78"/>
  <c r="O38" i="78"/>
  <c r="P38" i="78" s="1"/>
  <c r="M38" i="78"/>
  <c r="N38" i="78" s="1"/>
  <c r="L38" i="78"/>
  <c r="AF37" i="78" a="1"/>
  <c r="AF37" i="78" s="1"/>
  <c r="AE37" i="78" a="1"/>
  <c r="AE37" i="78" s="1"/>
  <c r="AD37" i="78" a="1"/>
  <c r="AD37" i="78" s="1"/>
  <c r="U37" i="78"/>
  <c r="V37" i="78" s="1"/>
  <c r="T37" i="78"/>
  <c r="R37" i="78"/>
  <c r="O37" i="78"/>
  <c r="P37" i="78" s="1"/>
  <c r="M37" i="78"/>
  <c r="N37" i="78" s="1"/>
  <c r="L37" i="78"/>
  <c r="AF36" i="78" a="1"/>
  <c r="AF36" i="78" s="1"/>
  <c r="AE36" i="78" a="1"/>
  <c r="AE36" i="78" s="1"/>
  <c r="AD36" i="78" a="1"/>
  <c r="AD36" i="78" s="1"/>
  <c r="U36" i="78"/>
  <c r="V36" i="78" s="1"/>
  <c r="T36" i="78"/>
  <c r="R36" i="78"/>
  <c r="O36" i="78"/>
  <c r="P36" i="78" s="1"/>
  <c r="M36" i="78"/>
  <c r="N36" i="78" s="1"/>
  <c r="L36" i="78"/>
  <c r="AF35" i="78" a="1"/>
  <c r="AF35" i="78" s="1"/>
  <c r="AE35" i="78" a="1"/>
  <c r="AE35" i="78" s="1"/>
  <c r="AD35" i="78" a="1"/>
  <c r="AD35" i="78" s="1"/>
  <c r="U35" i="78"/>
  <c r="V35" i="78" s="1"/>
  <c r="T35" i="78"/>
  <c r="R35" i="78"/>
  <c r="O35" i="78"/>
  <c r="P35" i="78" s="1"/>
  <c r="M35" i="78"/>
  <c r="N35" i="78" s="1"/>
  <c r="L35" i="78"/>
  <c r="AF34" i="78" a="1"/>
  <c r="AF34" i="78" s="1"/>
  <c r="AE34" i="78" a="1"/>
  <c r="AE34" i="78" s="1"/>
  <c r="AD34" i="78" a="1"/>
  <c r="AD34" i="78" s="1"/>
  <c r="U34" i="78"/>
  <c r="V34" i="78" s="1"/>
  <c r="T34" i="78"/>
  <c r="R34" i="78"/>
  <c r="O34" i="78"/>
  <c r="P34" i="78" s="1"/>
  <c r="M34" i="78"/>
  <c r="N34" i="78" s="1"/>
  <c r="L34" i="78"/>
  <c r="AF33" i="78" a="1"/>
  <c r="AF33" i="78" s="1"/>
  <c r="AE33" i="78" a="1"/>
  <c r="AE33" i="78" s="1"/>
  <c r="AD33" i="78" a="1"/>
  <c r="AD33" i="78" s="1"/>
  <c r="U33" i="78"/>
  <c r="V33" i="78" s="1"/>
  <c r="T33" i="78"/>
  <c r="R33" i="78"/>
  <c r="O33" i="78"/>
  <c r="P33" i="78" s="1"/>
  <c r="M33" i="78"/>
  <c r="N33" i="78" s="1"/>
  <c r="L33" i="78"/>
  <c r="AF32" i="78" a="1"/>
  <c r="AF32" i="78" s="1"/>
  <c r="AE32" i="78" a="1"/>
  <c r="AE32" i="78" s="1"/>
  <c r="AD32" i="78" a="1"/>
  <c r="AD32" i="78" s="1"/>
  <c r="U32" i="78"/>
  <c r="V32" i="78" s="1"/>
  <c r="T32" i="78"/>
  <c r="R32" i="78"/>
  <c r="O32" i="78"/>
  <c r="P32" i="78" s="1"/>
  <c r="M32" i="78"/>
  <c r="N32" i="78" s="1"/>
  <c r="L32" i="78"/>
  <c r="AF31" i="78" a="1"/>
  <c r="AF31" i="78" s="1"/>
  <c r="AE31" i="78" a="1"/>
  <c r="AE31" i="78" s="1"/>
  <c r="AD31" i="78" a="1"/>
  <c r="AD31" i="78" s="1"/>
  <c r="U31" i="78"/>
  <c r="V31" i="78" s="1"/>
  <c r="T31" i="78"/>
  <c r="R31" i="78"/>
  <c r="O31" i="78"/>
  <c r="P31" i="78" s="1"/>
  <c r="M31" i="78"/>
  <c r="N31" i="78" s="1"/>
  <c r="L31" i="78"/>
  <c r="AF55" i="78" a="1"/>
  <c r="AF55" i="78" s="1"/>
  <c r="AE55" i="78" a="1"/>
  <c r="AE55" i="78" s="1"/>
  <c r="AD55" i="78" a="1"/>
  <c r="AD55" i="78" s="1"/>
  <c r="U55" i="78"/>
  <c r="V55" i="78" s="1"/>
  <c r="T55" i="78"/>
  <c r="R55" i="78"/>
  <c r="O55" i="78"/>
  <c r="P55" i="78" s="1"/>
  <c r="M55" i="78"/>
  <c r="N55" i="78" s="1"/>
  <c r="L55" i="78"/>
  <c r="AF30" i="78" a="1"/>
  <c r="AF30" i="78" s="1"/>
  <c r="AE30" i="78" a="1"/>
  <c r="AE30" i="78" s="1"/>
  <c r="AD30" i="78" a="1"/>
  <c r="AD30" i="78" s="1"/>
  <c r="U30" i="78"/>
  <c r="V30" i="78" s="1"/>
  <c r="T30" i="78"/>
  <c r="R30" i="78"/>
  <c r="O30" i="78"/>
  <c r="P30" i="78" s="1"/>
  <c r="M30" i="78"/>
  <c r="N30" i="78" s="1"/>
  <c r="L30" i="78"/>
  <c r="AF29" i="78" a="1"/>
  <c r="AF29" i="78" s="1"/>
  <c r="AE29" i="78" a="1"/>
  <c r="AE29" i="78" s="1"/>
  <c r="AD29" i="78" a="1"/>
  <c r="AD29" i="78" s="1"/>
  <c r="U29" i="78"/>
  <c r="V29" i="78" s="1"/>
  <c r="T29" i="78"/>
  <c r="R29" i="78"/>
  <c r="O29" i="78"/>
  <c r="P29" i="78" s="1"/>
  <c r="M29" i="78"/>
  <c r="N29" i="78" s="1"/>
  <c r="L29" i="78"/>
  <c r="AF28" i="78" a="1"/>
  <c r="AF28" i="78" s="1"/>
  <c r="AE28" i="78" a="1"/>
  <c r="AE28" i="78" s="1"/>
  <c r="AD28" i="78" a="1"/>
  <c r="AD28" i="78" s="1"/>
  <c r="U28" i="78"/>
  <c r="V28" i="78" s="1"/>
  <c r="T28" i="78"/>
  <c r="R28" i="78"/>
  <c r="O28" i="78"/>
  <c r="P28" i="78" s="1"/>
  <c r="M28" i="78"/>
  <c r="N28" i="78" s="1"/>
  <c r="L28" i="78"/>
  <c r="AF27" i="78" a="1"/>
  <c r="AF27" i="78" s="1"/>
  <c r="AE27" i="78" a="1"/>
  <c r="AE27" i="78" s="1"/>
  <c r="AD27" i="78" a="1"/>
  <c r="AD27" i="78" s="1"/>
  <c r="U27" i="78"/>
  <c r="V27" i="78" s="1"/>
  <c r="T27" i="78"/>
  <c r="R27" i="78"/>
  <c r="O27" i="78"/>
  <c r="P27" i="78" s="1"/>
  <c r="M27" i="78"/>
  <c r="N27" i="78" s="1"/>
  <c r="L27" i="78"/>
  <c r="AF26" i="78" a="1"/>
  <c r="AF26" i="78" s="1"/>
  <c r="AE26" i="78" a="1"/>
  <c r="AE26" i="78" s="1"/>
  <c r="AD26" i="78" a="1"/>
  <c r="AD26" i="78" s="1"/>
  <c r="U26" i="78"/>
  <c r="V26" i="78" s="1"/>
  <c r="T26" i="78"/>
  <c r="R26" i="78"/>
  <c r="O26" i="78"/>
  <c r="P26" i="78" s="1"/>
  <c r="M26" i="78"/>
  <c r="N26" i="78" s="1"/>
  <c r="L26" i="78"/>
  <c r="AF25" i="78" a="1"/>
  <c r="AF25" i="78" s="1"/>
  <c r="AE25" i="78" a="1"/>
  <c r="AE25" i="78" s="1"/>
  <c r="AD25" i="78" a="1"/>
  <c r="AD25" i="78" s="1"/>
  <c r="U25" i="78"/>
  <c r="V25" i="78" s="1"/>
  <c r="T25" i="78"/>
  <c r="R25" i="78"/>
  <c r="O25" i="78"/>
  <c r="P25" i="78" s="1"/>
  <c r="M25" i="78"/>
  <c r="N25" i="78" s="1"/>
  <c r="L25" i="78"/>
  <c r="AF24" i="78" a="1"/>
  <c r="AF24" i="78" s="1"/>
  <c r="AE24" i="78" a="1"/>
  <c r="AE24" i="78" s="1"/>
  <c r="AD24" i="78" a="1"/>
  <c r="AD24" i="78" s="1"/>
  <c r="U24" i="78"/>
  <c r="V24" i="78" s="1"/>
  <c r="T24" i="78"/>
  <c r="R24" i="78"/>
  <c r="O24" i="78"/>
  <c r="P24" i="78" s="1"/>
  <c r="M24" i="78"/>
  <c r="N24" i="78" s="1"/>
  <c r="L24" i="78"/>
  <c r="AF23" i="78" a="1"/>
  <c r="AF23" i="78" s="1"/>
  <c r="AE23" i="78" a="1"/>
  <c r="AE23" i="78" s="1"/>
  <c r="AD23" i="78" a="1"/>
  <c r="AD23" i="78" s="1"/>
  <c r="U23" i="78"/>
  <c r="V23" i="78" s="1"/>
  <c r="T23" i="78"/>
  <c r="R23" i="78"/>
  <c r="O23" i="78"/>
  <c r="P23" i="78" s="1"/>
  <c r="M23" i="78"/>
  <c r="N23" i="78" s="1"/>
  <c r="L23" i="78"/>
  <c r="G20" i="78"/>
  <c r="S19" i="78"/>
  <c r="R19" i="78"/>
  <c r="S18" i="78"/>
  <c r="R18" i="78"/>
  <c r="BG17" i="78" a="1"/>
  <c r="BG17" i="78" s="1"/>
  <c r="AS17" i="78" a="1"/>
  <c r="AS17" i="78" s="1"/>
  <c r="AR17" i="78" a="1"/>
  <c r="AR17" i="78" s="1"/>
  <c r="AQ17" i="78" a="1"/>
  <c r="AQ17" i="78" s="1"/>
  <c r="AP17" i="78" a="1"/>
  <c r="AP17" i="78" s="1"/>
  <c r="AO17" i="78" a="1"/>
  <c r="AO17" i="78" s="1"/>
  <c r="AN17" i="78" a="1"/>
  <c r="AN17" i="78" s="1"/>
  <c r="AM17" i="78" a="1"/>
  <c r="AM17" i="78" s="1"/>
  <c r="AL17" i="78" a="1"/>
  <c r="AL17" i="78" s="1"/>
  <c r="AI17" i="78" a="1"/>
  <c r="AI17" i="78" s="1"/>
  <c r="AH17" i="78" a="1"/>
  <c r="AH17" i="78" s="1"/>
  <c r="AG17" i="78" a="1"/>
  <c r="AG17" i="78" s="1"/>
  <c r="J17" i="78"/>
  <c r="I17" i="78"/>
  <c r="BG16" i="78" a="1"/>
  <c r="BG16" i="78" s="1"/>
  <c r="AS16" i="78" a="1"/>
  <c r="AS16" i="78" s="1"/>
  <c r="AR16" i="78" a="1"/>
  <c r="AR16" i="78" s="1"/>
  <c r="AQ16" i="78" a="1"/>
  <c r="AQ16" i="78" s="1"/>
  <c r="AP16" i="78" a="1"/>
  <c r="AP16" i="78" s="1"/>
  <c r="AO16" i="78" a="1"/>
  <c r="AO16" i="78" s="1"/>
  <c r="AN16" i="78" a="1"/>
  <c r="AN16" i="78" s="1"/>
  <c r="AM16" i="78" a="1"/>
  <c r="AM16" i="78" s="1"/>
  <c r="AL16" i="78" a="1"/>
  <c r="AL16" i="78" s="1"/>
  <c r="AI16" i="78" a="1"/>
  <c r="AI16" i="78" s="1"/>
  <c r="AH16" i="78" a="1"/>
  <c r="AH16" i="78" s="1"/>
  <c r="AG16" i="78" a="1"/>
  <c r="AG16" i="78" s="1"/>
  <c r="S16" i="78"/>
  <c r="R16" i="78"/>
  <c r="J16" i="78"/>
  <c r="I16" i="78"/>
  <c r="BG15" i="78" a="1"/>
  <c r="BG15" i="78" s="1"/>
  <c r="AS15" i="78" a="1"/>
  <c r="AS15" i="78" s="1"/>
  <c r="AR15" i="78" a="1"/>
  <c r="AR15" i="78" s="1"/>
  <c r="AQ15" i="78" a="1"/>
  <c r="AQ15" i="78" s="1"/>
  <c r="AP15" i="78" a="1"/>
  <c r="AP15" i="78" s="1"/>
  <c r="AO15" i="78" a="1"/>
  <c r="AO15" i="78" s="1"/>
  <c r="AN15" i="78" a="1"/>
  <c r="AN15" i="78" s="1"/>
  <c r="AM15" i="78" a="1"/>
  <c r="AM15" i="78" s="1"/>
  <c r="AL15" i="78" a="1"/>
  <c r="AL15" i="78" s="1"/>
  <c r="AI15" i="78" a="1"/>
  <c r="AI15" i="78" s="1"/>
  <c r="AH15" i="78" a="1"/>
  <c r="AH15" i="78" s="1"/>
  <c r="AG15" i="78" a="1"/>
  <c r="AG15" i="78" s="1"/>
  <c r="S15" i="78"/>
  <c r="R15" i="78"/>
  <c r="CK12" i="78" a="1"/>
  <c r="CK12" i="78" s="1"/>
  <c r="CJ12" i="78" a="1"/>
  <c r="CJ12" i="78" s="1"/>
  <c r="CI12" i="78" a="1"/>
  <c r="CI12" i="78" s="1"/>
  <c r="CH12" i="78" a="1"/>
  <c r="CH12" i="78" s="1"/>
  <c r="CG12" i="78" a="1"/>
  <c r="CG12" i="78" s="1"/>
  <c r="CF12" i="78" a="1"/>
  <c r="CF12" i="78" s="1"/>
  <c r="CE12" i="78" a="1"/>
  <c r="CE12" i="78" s="1"/>
  <c r="CD12" i="78" a="1"/>
  <c r="CD12" i="78" s="1"/>
  <c r="CC12" i="78" a="1"/>
  <c r="CC12" i="78" s="1"/>
  <c r="CB12" i="78" a="1"/>
  <c r="CB12" i="78" s="1"/>
  <c r="CA12" i="78" a="1"/>
  <c r="CA12" i="78" s="1"/>
  <c r="BZ12" i="78" a="1"/>
  <c r="BZ12" i="78" s="1"/>
  <c r="BY12" i="78" a="1"/>
  <c r="BY12" i="78" s="1"/>
  <c r="BX12" i="78" a="1"/>
  <c r="BX12" i="78" s="1"/>
  <c r="BS12" i="78" a="1"/>
  <c r="BS12" i="78" s="1"/>
  <c r="BR12" i="78" a="1"/>
  <c r="BR12" i="78" s="1"/>
  <c r="BO12" i="78" a="1"/>
  <c r="BO12" i="78" s="1"/>
  <c r="BJ12" i="78" a="1"/>
  <c r="BJ12" i="78" s="1"/>
  <c r="BQ12" i="78" a="1"/>
  <c r="BQ12" i="78" s="1"/>
  <c r="AZ12" i="78" a="1"/>
  <c r="AZ12" i="78" s="1"/>
  <c r="BC12" i="78" a="1"/>
  <c r="BC12" i="78" s="1"/>
  <c r="AY12" i="78" a="1"/>
  <c r="AY12" i="78" s="1"/>
  <c r="AW12" i="78" a="1"/>
  <c r="AW12" i="78" s="1"/>
  <c r="AV12" i="78" a="1"/>
  <c r="AV12" i="78" s="1"/>
  <c r="AU12" i="78" a="1"/>
  <c r="AU12" i="78" s="1"/>
  <c r="AT12" i="78" a="1"/>
  <c r="AT12" i="78" s="1"/>
  <c r="BG12" i="78" a="1"/>
  <c r="BG12" i="78" s="1"/>
  <c r="AS12" i="78" a="1"/>
  <c r="AS12" i="78" s="1"/>
  <c r="AR12" i="78" a="1"/>
  <c r="AR12" i="78" s="1"/>
  <c r="AP12" i="78" a="1"/>
  <c r="AP12" i="78" s="1"/>
  <c r="AO12" i="78" a="1"/>
  <c r="AO12" i="78" s="1"/>
  <c r="AM12" i="78" a="1"/>
  <c r="AM12" i="78" s="1"/>
  <c r="AL12" i="78" a="1"/>
  <c r="AL12" i="78" s="1"/>
  <c r="AI12" i="78" a="1"/>
  <c r="AI12" i="78" s="1"/>
  <c r="AH12" i="78" a="1"/>
  <c r="AH12" i="78" s="1"/>
  <c r="AG12" i="78" a="1"/>
  <c r="AG12" i="78" s="1"/>
  <c r="AF12" i="78" a="1"/>
  <c r="AF12" i="78" s="1"/>
  <c r="CK10" i="78" a="1"/>
  <c r="CK10" i="78" s="1"/>
  <c r="CJ10" i="78" a="1"/>
  <c r="CJ10" i="78" s="1"/>
  <c r="CI10" i="78" a="1"/>
  <c r="CI10" i="78" s="1"/>
  <c r="CH10" i="78" a="1"/>
  <c r="CH10" i="78" s="1"/>
  <c r="CG10" i="78" a="1"/>
  <c r="CG10" i="78" s="1"/>
  <c r="CF10" i="78" a="1"/>
  <c r="CF10" i="78" s="1"/>
  <c r="CE10" i="78" a="1"/>
  <c r="CE10" i="78" s="1"/>
  <c r="CD10" i="78" a="1"/>
  <c r="CD10" i="78" s="1"/>
  <c r="CC10" i="78" a="1"/>
  <c r="CC10" i="78" s="1"/>
  <c r="CB10" i="78" a="1"/>
  <c r="CB10" i="78" s="1"/>
  <c r="CA10" i="78" a="1"/>
  <c r="CA10" i="78" s="1"/>
  <c r="BZ10" i="78" a="1"/>
  <c r="BZ10" i="78" s="1"/>
  <c r="BY10" i="78" a="1"/>
  <c r="BY10" i="78" s="1"/>
  <c r="BX10" i="78" a="1"/>
  <c r="BX10" i="78" s="1"/>
  <c r="BS10" i="78" a="1"/>
  <c r="BS10" i="78" s="1"/>
  <c r="BR10" i="78" a="1"/>
  <c r="BR10" i="78" s="1"/>
  <c r="BO10" i="78" a="1"/>
  <c r="BO10" i="78" s="1"/>
  <c r="BJ10" i="78" a="1"/>
  <c r="BJ10" i="78" s="1"/>
  <c r="BQ10" i="78" a="1"/>
  <c r="BQ10" i="78" s="1"/>
  <c r="AZ10" i="78" a="1"/>
  <c r="AZ10" i="78" s="1"/>
  <c r="BC10" i="78" a="1"/>
  <c r="BC10" i="78" s="1"/>
  <c r="AY10" i="78" a="1"/>
  <c r="AY10" i="78" s="1"/>
  <c r="AW10" i="78" a="1"/>
  <c r="AW10" i="78" s="1"/>
  <c r="AV10" i="78" a="1"/>
  <c r="AV10" i="78" s="1"/>
  <c r="AU10" i="78" a="1"/>
  <c r="AU10" i="78" s="1"/>
  <c r="AT10" i="78" a="1"/>
  <c r="AT10" i="78" s="1"/>
  <c r="BG10" i="78" a="1"/>
  <c r="BG10" i="78" s="1"/>
  <c r="AS10" i="78" a="1"/>
  <c r="AS10" i="78" s="1"/>
  <c r="AR10" i="78" a="1"/>
  <c r="AR10" i="78" s="1"/>
  <c r="AP10" i="78" a="1"/>
  <c r="AP10" i="78" s="1"/>
  <c r="AO10" i="78" a="1"/>
  <c r="AO10" i="78" s="1"/>
  <c r="AM10" i="78" a="1"/>
  <c r="AM10" i="78" s="1"/>
  <c r="AL10" i="78" a="1"/>
  <c r="AL10" i="78" s="1"/>
  <c r="AI10" i="78" a="1"/>
  <c r="AI10" i="78" s="1"/>
  <c r="AH10" i="78" a="1"/>
  <c r="AH10" i="78" s="1"/>
  <c r="AG10" i="78" a="1"/>
  <c r="AG10" i="78" s="1"/>
  <c r="AF10" i="78" a="1"/>
  <c r="AF10" i="78" s="1"/>
  <c r="CK2" i="78" a="1"/>
  <c r="CK2" i="78" s="1"/>
  <c r="CJ2" i="78" a="1"/>
  <c r="CJ2" i="78" s="1"/>
  <c r="CI2" i="78" a="1"/>
  <c r="CI2" i="78" s="1"/>
  <c r="CH2" i="78" a="1"/>
  <c r="CH2" i="78" s="1"/>
  <c r="CG2" i="78" a="1"/>
  <c r="CG2" i="78" s="1"/>
  <c r="CF2" i="78" a="1"/>
  <c r="CF2" i="78" s="1"/>
  <c r="CE2" i="78" a="1"/>
  <c r="CE2" i="78" s="1"/>
  <c r="CD2" i="78" a="1"/>
  <c r="CD2" i="78" s="1"/>
  <c r="CC2" i="78" a="1"/>
  <c r="CC2" i="78" s="1"/>
  <c r="CB2" i="78" a="1"/>
  <c r="CB2" i="78" s="1"/>
  <c r="CA2" i="78" a="1"/>
  <c r="CA2" i="78" s="1"/>
  <c r="BZ2" i="78" a="1"/>
  <c r="BZ2" i="78" s="1"/>
  <c r="BY2" i="78" a="1"/>
  <c r="BY2" i="78" s="1"/>
  <c r="BX2" i="78" a="1"/>
  <c r="BX2" i="78" s="1"/>
  <c r="BS2" i="78" a="1"/>
  <c r="BS2" i="78" s="1"/>
  <c r="BR2" i="78" a="1"/>
  <c r="BR2" i="78" s="1"/>
  <c r="BO2" i="78" a="1"/>
  <c r="BO2" i="78" s="1"/>
  <c r="BJ2" i="78" a="1"/>
  <c r="BJ2" i="78" s="1"/>
  <c r="BQ2" i="78" a="1"/>
  <c r="BQ2" i="78" s="1"/>
  <c r="AZ2" i="78" a="1"/>
  <c r="AZ2" i="78" s="1"/>
  <c r="BC2" i="78" a="1"/>
  <c r="BC2" i="78" s="1"/>
  <c r="AY2" i="78" a="1"/>
  <c r="AY2" i="78" s="1"/>
  <c r="AW2" i="78" a="1"/>
  <c r="AW2" i="78" s="1"/>
  <c r="AV2" i="78" a="1"/>
  <c r="AV2" i="78" s="1"/>
  <c r="AU2" i="78" a="1"/>
  <c r="AU2" i="78" s="1"/>
  <c r="AT2" i="78" a="1"/>
  <c r="AT2" i="78" s="1"/>
  <c r="BG2" i="78" a="1"/>
  <c r="BG2" i="78" s="1"/>
  <c r="AS2" i="78" a="1"/>
  <c r="AS2" i="78" s="1"/>
  <c r="AR2" i="78" a="1"/>
  <c r="AR2" i="78" s="1"/>
  <c r="AP2" i="78" a="1"/>
  <c r="AP2" i="78" s="1"/>
  <c r="AO2" i="78" a="1"/>
  <c r="AO2" i="78" s="1"/>
  <c r="AM2" i="78" a="1"/>
  <c r="AM2" i="78" s="1"/>
  <c r="AL2" i="78" a="1"/>
  <c r="AL2" i="78" s="1"/>
  <c r="AI2" i="78" a="1"/>
  <c r="AI2" i="78" s="1"/>
  <c r="AH2" i="78" a="1"/>
  <c r="AH2" i="78" s="1"/>
  <c r="AG2" i="78" a="1"/>
  <c r="AG2" i="78" s="1"/>
  <c r="CK1" i="78"/>
  <c r="CJ1" i="78"/>
  <c r="CI1" i="78"/>
  <c r="CH1" i="78"/>
  <c r="CG1" i="78"/>
  <c r="CF1" i="78"/>
  <c r="CE1" i="78"/>
  <c r="CD1" i="78"/>
  <c r="CC1" i="78"/>
  <c r="CB1" i="78"/>
  <c r="CA1" i="78"/>
  <c r="BZ1" i="78"/>
  <c r="BY1" i="78"/>
  <c r="BX1" i="78"/>
  <c r="BS1" i="78"/>
  <c r="BR1" i="78"/>
  <c r="BO1" i="78"/>
  <c r="BJ1" i="78"/>
  <c r="BQ1" i="78"/>
  <c r="AZ1" i="78"/>
  <c r="BC1" i="78"/>
  <c r="AY1" i="78"/>
  <c r="AW1" i="78"/>
  <c r="AV1" i="78"/>
  <c r="AU1" i="78"/>
  <c r="AT1" i="78"/>
  <c r="BG1" i="78"/>
  <c r="AS1" i="78"/>
  <c r="AR1" i="78"/>
  <c r="AP1" i="78"/>
  <c r="AO1" i="78"/>
  <c r="AM1" i="78"/>
  <c r="AL1" i="78"/>
  <c r="AI1" i="78"/>
  <c r="AH1" i="78"/>
  <c r="AG1" i="78"/>
  <c r="AF128" i="77" a="1"/>
  <c r="AF128" i="77" s="1"/>
  <c r="AE128" i="77" a="1"/>
  <c r="AE128" i="77" s="1"/>
  <c r="AD128" i="77" a="1"/>
  <c r="AD128" i="77" s="1"/>
  <c r="T128" i="77"/>
  <c r="R128" i="77"/>
  <c r="N128" i="77"/>
  <c r="M128" i="77"/>
  <c r="L128" i="77"/>
  <c r="F128" i="77"/>
  <c r="D128" i="77"/>
  <c r="AF127" i="77" a="1"/>
  <c r="AF127" i="77" s="1"/>
  <c r="AE127" i="77" a="1"/>
  <c r="AE127" i="77" s="1"/>
  <c r="AD127" i="77" a="1"/>
  <c r="AD127" i="77" s="1"/>
  <c r="T127" i="77"/>
  <c r="R127" i="77"/>
  <c r="N127" i="77"/>
  <c r="M127" i="77"/>
  <c r="L127" i="77"/>
  <c r="F127" i="77"/>
  <c r="D127" i="77"/>
  <c r="AF126" i="77" a="1"/>
  <c r="AF126" i="77" s="1"/>
  <c r="AE126" i="77" a="1"/>
  <c r="AE126" i="77" s="1"/>
  <c r="AD126" i="77" a="1"/>
  <c r="AD126" i="77" s="1"/>
  <c r="T126" i="77"/>
  <c r="R126" i="77"/>
  <c r="N126" i="77"/>
  <c r="M126" i="77"/>
  <c r="L126" i="77"/>
  <c r="F126" i="77"/>
  <c r="D126" i="77"/>
  <c r="AF125" i="77" a="1"/>
  <c r="AF125" i="77" s="1"/>
  <c r="AE125" i="77" a="1"/>
  <c r="AE125" i="77" s="1"/>
  <c r="AD125" i="77" a="1"/>
  <c r="AD125" i="77" s="1"/>
  <c r="T125" i="77"/>
  <c r="R125" i="77"/>
  <c r="N125" i="77"/>
  <c r="M125" i="77"/>
  <c r="L125" i="77"/>
  <c r="F125" i="77"/>
  <c r="D125" i="77"/>
  <c r="AF124" i="77" a="1"/>
  <c r="AF124" i="77" s="1"/>
  <c r="AE124" i="77" a="1"/>
  <c r="AE124" i="77" s="1"/>
  <c r="AD124" i="77" a="1"/>
  <c r="AD124" i="77" s="1"/>
  <c r="T124" i="77"/>
  <c r="R124" i="77"/>
  <c r="N124" i="77"/>
  <c r="M124" i="77"/>
  <c r="L124" i="77"/>
  <c r="F124" i="77"/>
  <c r="D124" i="77"/>
  <c r="AF123" i="77" a="1"/>
  <c r="AF123" i="77" s="1"/>
  <c r="AE123" i="77" a="1"/>
  <c r="AE123" i="77" s="1"/>
  <c r="AD123" i="77" a="1"/>
  <c r="AD123" i="77" s="1"/>
  <c r="T123" i="77"/>
  <c r="R123" i="77"/>
  <c r="N123" i="77"/>
  <c r="M123" i="77"/>
  <c r="L123" i="77"/>
  <c r="F123" i="77"/>
  <c r="D123" i="77"/>
  <c r="AF122" i="77" a="1"/>
  <c r="AF122" i="77" s="1"/>
  <c r="AE122" i="77" a="1"/>
  <c r="AE122" i="77" s="1"/>
  <c r="AD122" i="77" a="1"/>
  <c r="AD122" i="77" s="1"/>
  <c r="T122" i="77"/>
  <c r="R122" i="77"/>
  <c r="N122" i="77"/>
  <c r="M122" i="77"/>
  <c r="L122" i="77"/>
  <c r="F122" i="77"/>
  <c r="D122" i="77"/>
  <c r="AF121" i="77" a="1"/>
  <c r="AF121" i="77" s="1"/>
  <c r="AE121" i="77" a="1"/>
  <c r="AE121" i="77" s="1"/>
  <c r="AD121" i="77" a="1"/>
  <c r="AD121" i="77" s="1"/>
  <c r="T121" i="77"/>
  <c r="R121" i="77"/>
  <c r="N121" i="77"/>
  <c r="M121" i="77"/>
  <c r="L121" i="77"/>
  <c r="F121" i="77"/>
  <c r="D121" i="77"/>
  <c r="AF120" i="77" a="1"/>
  <c r="AF120" i="77" s="1"/>
  <c r="AE120" i="77" a="1"/>
  <c r="AE120" i="77" s="1"/>
  <c r="AD120" i="77" a="1"/>
  <c r="AD120" i="77" s="1"/>
  <c r="T120" i="77"/>
  <c r="R120" i="77"/>
  <c r="N120" i="77"/>
  <c r="M120" i="77"/>
  <c r="L120" i="77"/>
  <c r="F120" i="77"/>
  <c r="D120" i="77"/>
  <c r="AF119" i="77" a="1"/>
  <c r="AF119" i="77" s="1"/>
  <c r="AE119" i="77" a="1"/>
  <c r="AE119" i="77" s="1"/>
  <c r="AD119" i="77" a="1"/>
  <c r="AD119" i="77" s="1"/>
  <c r="T119" i="77"/>
  <c r="R119" i="77"/>
  <c r="N119" i="77"/>
  <c r="M119" i="77"/>
  <c r="L119" i="77"/>
  <c r="F119" i="77"/>
  <c r="D119" i="77"/>
  <c r="AF118" i="77" a="1"/>
  <c r="AF118" i="77" s="1"/>
  <c r="AE118" i="77" a="1"/>
  <c r="AE118" i="77" s="1"/>
  <c r="AD118" i="77" a="1"/>
  <c r="AD118" i="77" s="1"/>
  <c r="T118" i="77"/>
  <c r="R118" i="77"/>
  <c r="N118" i="77"/>
  <c r="M118" i="77"/>
  <c r="L118" i="77"/>
  <c r="F118" i="77"/>
  <c r="D118" i="77"/>
  <c r="AF117" i="77" a="1"/>
  <c r="AF117" i="77" s="1"/>
  <c r="AE117" i="77" a="1"/>
  <c r="AE117" i="77" s="1"/>
  <c r="AD117" i="77" a="1"/>
  <c r="AD117" i="77" s="1"/>
  <c r="T117" i="77"/>
  <c r="R117" i="77"/>
  <c r="N117" i="77"/>
  <c r="M117" i="77"/>
  <c r="L117" i="77"/>
  <c r="F117" i="77"/>
  <c r="D117" i="77"/>
  <c r="AF116" i="77" a="1"/>
  <c r="AF116" i="77" s="1"/>
  <c r="AE116" i="77" a="1"/>
  <c r="AE116" i="77" s="1"/>
  <c r="AD116" i="77" a="1"/>
  <c r="AD116" i="77" s="1"/>
  <c r="T116" i="77"/>
  <c r="R116" i="77"/>
  <c r="N116" i="77"/>
  <c r="M116" i="77"/>
  <c r="L116" i="77"/>
  <c r="F116" i="77"/>
  <c r="D116" i="77"/>
  <c r="AF115" i="77" a="1"/>
  <c r="AF115" i="77" s="1"/>
  <c r="AE115" i="77" a="1"/>
  <c r="AE115" i="77" s="1"/>
  <c r="AD115" i="77" a="1"/>
  <c r="AD115" i="77" s="1"/>
  <c r="T115" i="77"/>
  <c r="R115" i="77"/>
  <c r="N115" i="77"/>
  <c r="M115" i="77"/>
  <c r="L115" i="77"/>
  <c r="F115" i="77"/>
  <c r="D115" i="77"/>
  <c r="AF114" i="77" a="1"/>
  <c r="AF114" i="77" s="1"/>
  <c r="AE114" i="77" a="1"/>
  <c r="AE114" i="77" s="1"/>
  <c r="AD114" i="77" a="1"/>
  <c r="AD114" i="77" s="1"/>
  <c r="T114" i="77"/>
  <c r="R114" i="77"/>
  <c r="N114" i="77"/>
  <c r="M114" i="77"/>
  <c r="L114" i="77"/>
  <c r="F114" i="77"/>
  <c r="D114" i="77"/>
  <c r="AF113" i="77" a="1"/>
  <c r="AF113" i="77" s="1"/>
  <c r="AE113" i="77" a="1"/>
  <c r="AE113" i="77" s="1"/>
  <c r="AD113" i="77" a="1"/>
  <c r="AD113" i="77" s="1"/>
  <c r="T113" i="77"/>
  <c r="R113" i="77"/>
  <c r="N113" i="77"/>
  <c r="M113" i="77"/>
  <c r="L113" i="77"/>
  <c r="F113" i="77"/>
  <c r="D113" i="77"/>
  <c r="AF112" i="77" a="1"/>
  <c r="AF112" i="77" s="1"/>
  <c r="AE112" i="77" a="1"/>
  <c r="AE112" i="77" s="1"/>
  <c r="AD112" i="77" a="1"/>
  <c r="AD112" i="77" s="1"/>
  <c r="T112" i="77"/>
  <c r="R112" i="77"/>
  <c r="N112" i="77"/>
  <c r="M112" i="77"/>
  <c r="L112" i="77"/>
  <c r="F112" i="77"/>
  <c r="D112" i="77"/>
  <c r="AF111" i="77" a="1"/>
  <c r="AF111" i="77" s="1"/>
  <c r="AE111" i="77" a="1"/>
  <c r="AE111" i="77" s="1"/>
  <c r="AD111" i="77" a="1"/>
  <c r="AD111" i="77" s="1"/>
  <c r="T111" i="77"/>
  <c r="R111" i="77"/>
  <c r="N111" i="77"/>
  <c r="M111" i="77"/>
  <c r="L111" i="77"/>
  <c r="F111" i="77"/>
  <c r="D111" i="77"/>
  <c r="AF110" i="77" a="1"/>
  <c r="AF110" i="77" s="1"/>
  <c r="AE110" i="77" a="1"/>
  <c r="AE110" i="77" s="1"/>
  <c r="AD110" i="77" a="1"/>
  <c r="AD110" i="77" s="1"/>
  <c r="T110" i="77"/>
  <c r="R110" i="77"/>
  <c r="N110" i="77"/>
  <c r="M110" i="77"/>
  <c r="L110" i="77"/>
  <c r="F110" i="77"/>
  <c r="D110" i="77"/>
  <c r="AF109" i="77" a="1"/>
  <c r="AF109" i="77" s="1"/>
  <c r="AE109" i="77" a="1"/>
  <c r="AE109" i="77" s="1"/>
  <c r="AD109" i="77" a="1"/>
  <c r="AD109" i="77" s="1"/>
  <c r="T109" i="77"/>
  <c r="R109" i="77"/>
  <c r="N109" i="77"/>
  <c r="M109" i="77"/>
  <c r="L109" i="77"/>
  <c r="F109" i="77"/>
  <c r="D109" i="77"/>
  <c r="AF108" i="77" a="1"/>
  <c r="AF108" i="77" s="1"/>
  <c r="AE108" i="77" a="1"/>
  <c r="AE108" i="77" s="1"/>
  <c r="AD108" i="77" a="1"/>
  <c r="AD108" i="77" s="1"/>
  <c r="T108" i="77"/>
  <c r="R108" i="77"/>
  <c r="N108" i="77"/>
  <c r="M108" i="77"/>
  <c r="L108" i="77"/>
  <c r="F108" i="77"/>
  <c r="D108" i="77"/>
  <c r="AF107" i="77" a="1"/>
  <c r="AF107" i="77" s="1"/>
  <c r="AE107" i="77" a="1"/>
  <c r="AE107" i="77" s="1"/>
  <c r="AD107" i="77" a="1"/>
  <c r="AD107" i="77" s="1"/>
  <c r="T107" i="77"/>
  <c r="R107" i="77"/>
  <c r="N107" i="77"/>
  <c r="M107" i="77"/>
  <c r="L107" i="77"/>
  <c r="F107" i="77"/>
  <c r="D107" i="77"/>
  <c r="AF106" i="77" a="1"/>
  <c r="AF106" i="77" s="1"/>
  <c r="AE106" i="77" a="1"/>
  <c r="AE106" i="77" s="1"/>
  <c r="AD106" i="77" a="1"/>
  <c r="AD106" i="77" s="1"/>
  <c r="T106" i="77"/>
  <c r="R106" i="77"/>
  <c r="N106" i="77"/>
  <c r="M106" i="77"/>
  <c r="L106" i="77"/>
  <c r="F106" i="77"/>
  <c r="D106" i="77"/>
  <c r="AF105" i="77" a="1"/>
  <c r="AF105" i="77" s="1"/>
  <c r="AE105" i="77" a="1"/>
  <c r="AE105" i="77" s="1"/>
  <c r="AD105" i="77" a="1"/>
  <c r="AD105" i="77" s="1"/>
  <c r="T105" i="77"/>
  <c r="R105" i="77"/>
  <c r="N105" i="77"/>
  <c r="M105" i="77"/>
  <c r="L105" i="77"/>
  <c r="F105" i="77"/>
  <c r="D105" i="77"/>
  <c r="AF104" i="77" a="1"/>
  <c r="AF104" i="77" s="1"/>
  <c r="AE104" i="77" a="1"/>
  <c r="AE104" i="77" s="1"/>
  <c r="AD104" i="77" a="1"/>
  <c r="AD104" i="77" s="1"/>
  <c r="T104" i="77"/>
  <c r="R104" i="77"/>
  <c r="N104" i="77"/>
  <c r="M104" i="77"/>
  <c r="L104" i="77"/>
  <c r="F104" i="77"/>
  <c r="D104" i="77"/>
  <c r="AF103" i="77" a="1"/>
  <c r="AF103" i="77" s="1"/>
  <c r="AE103" i="77" a="1"/>
  <c r="AE103" i="77" s="1"/>
  <c r="AD103" i="77" a="1"/>
  <c r="AD103" i="77" s="1"/>
  <c r="T103" i="77"/>
  <c r="R103" i="77"/>
  <c r="N103" i="77"/>
  <c r="M103" i="77"/>
  <c r="L103" i="77"/>
  <c r="F103" i="77"/>
  <c r="D103" i="77"/>
  <c r="AF102" i="77" a="1"/>
  <c r="AF102" i="77" s="1"/>
  <c r="AE102" i="77" a="1"/>
  <c r="AE102" i="77" s="1"/>
  <c r="AD102" i="77" a="1"/>
  <c r="AD102" i="77" s="1"/>
  <c r="T102" i="77"/>
  <c r="R102" i="77"/>
  <c r="N102" i="77"/>
  <c r="M102" i="77"/>
  <c r="L102" i="77"/>
  <c r="F102" i="77"/>
  <c r="D102" i="77"/>
  <c r="AF101" i="77" a="1"/>
  <c r="AF101" i="77" s="1"/>
  <c r="AE101" i="77" a="1"/>
  <c r="AE101" i="77" s="1"/>
  <c r="AD101" i="77" a="1"/>
  <c r="AD101" i="77" s="1"/>
  <c r="T101" i="77"/>
  <c r="R101" i="77"/>
  <c r="N101" i="77"/>
  <c r="M101" i="77"/>
  <c r="L101" i="77"/>
  <c r="F101" i="77"/>
  <c r="D101" i="77"/>
  <c r="AF100" i="77" a="1"/>
  <c r="AF100" i="77" s="1"/>
  <c r="AE100" i="77" a="1"/>
  <c r="AE100" i="77" s="1"/>
  <c r="AD100" i="77" a="1"/>
  <c r="AD100" i="77" s="1"/>
  <c r="T100" i="77"/>
  <c r="R100" i="77"/>
  <c r="N100" i="77"/>
  <c r="M100" i="77"/>
  <c r="L100" i="77"/>
  <c r="F100" i="77"/>
  <c r="D100" i="77"/>
  <c r="AF99" i="77" a="1"/>
  <c r="AF99" i="77" s="1"/>
  <c r="AE99" i="77" a="1"/>
  <c r="AE99" i="77" s="1"/>
  <c r="AD99" i="77" a="1"/>
  <c r="AD99" i="77" s="1"/>
  <c r="T99" i="77"/>
  <c r="R99" i="77"/>
  <c r="N99" i="77"/>
  <c r="M99" i="77"/>
  <c r="L99" i="77"/>
  <c r="F99" i="77"/>
  <c r="D99" i="77"/>
  <c r="AF98" i="77" a="1"/>
  <c r="AF98" i="77" s="1"/>
  <c r="AE98" i="77" a="1"/>
  <c r="AE98" i="77" s="1"/>
  <c r="AD98" i="77" a="1"/>
  <c r="AD98" i="77" s="1"/>
  <c r="T98" i="77"/>
  <c r="R98" i="77"/>
  <c r="N98" i="77"/>
  <c r="M98" i="77"/>
  <c r="L98" i="77"/>
  <c r="F98" i="77"/>
  <c r="D98" i="77"/>
  <c r="AF97" i="77" a="1"/>
  <c r="AF97" i="77" s="1"/>
  <c r="AE97" i="77" a="1"/>
  <c r="AE97" i="77" s="1"/>
  <c r="AD97" i="77" a="1"/>
  <c r="AD97" i="77" s="1"/>
  <c r="T97" i="77"/>
  <c r="R97" i="77"/>
  <c r="N97" i="77"/>
  <c r="M97" i="77"/>
  <c r="L97" i="77"/>
  <c r="F97" i="77"/>
  <c r="D97" i="77"/>
  <c r="AF96" i="77" a="1"/>
  <c r="AF96" i="77" s="1"/>
  <c r="AE96" i="77" a="1"/>
  <c r="AE96" i="77" s="1"/>
  <c r="AD96" i="77" a="1"/>
  <c r="AD96" i="77" s="1"/>
  <c r="T96" i="77"/>
  <c r="R96" i="77"/>
  <c r="N96" i="77"/>
  <c r="M96" i="77"/>
  <c r="L96" i="77"/>
  <c r="F96" i="77"/>
  <c r="D96" i="77"/>
  <c r="AF95" i="77" a="1"/>
  <c r="AF95" i="77" s="1"/>
  <c r="AE95" i="77" a="1"/>
  <c r="AE95" i="77" s="1"/>
  <c r="AD95" i="77" a="1"/>
  <c r="AD95" i="77" s="1"/>
  <c r="T95" i="77"/>
  <c r="R95" i="77"/>
  <c r="N95" i="77"/>
  <c r="M95" i="77"/>
  <c r="L95" i="77"/>
  <c r="F95" i="77"/>
  <c r="D95" i="77"/>
  <c r="AF94" i="77" a="1"/>
  <c r="AF94" i="77" s="1"/>
  <c r="AE94" i="77" a="1"/>
  <c r="AE94" i="77" s="1"/>
  <c r="AD94" i="77" a="1"/>
  <c r="AD94" i="77" s="1"/>
  <c r="T94" i="77"/>
  <c r="R94" i="77"/>
  <c r="N94" i="77"/>
  <c r="M94" i="77"/>
  <c r="L94" i="77"/>
  <c r="F94" i="77"/>
  <c r="D94" i="77"/>
  <c r="AF93" i="77" a="1"/>
  <c r="AF93" i="77" s="1"/>
  <c r="AE93" i="77" a="1"/>
  <c r="AE93" i="77" s="1"/>
  <c r="AD93" i="77" a="1"/>
  <c r="AD93" i="77" s="1"/>
  <c r="T93" i="77"/>
  <c r="R93" i="77"/>
  <c r="N93" i="77"/>
  <c r="M93" i="77"/>
  <c r="L93" i="77"/>
  <c r="F93" i="77"/>
  <c r="D93" i="77"/>
  <c r="AF92" i="77" a="1"/>
  <c r="AF92" i="77" s="1"/>
  <c r="AE92" i="77" a="1"/>
  <c r="AE92" i="77" s="1"/>
  <c r="AD92" i="77" a="1"/>
  <c r="AD92" i="77" s="1"/>
  <c r="T92" i="77"/>
  <c r="R92" i="77"/>
  <c r="N92" i="77"/>
  <c r="M92" i="77"/>
  <c r="L92" i="77"/>
  <c r="F92" i="77"/>
  <c r="D92" i="77"/>
  <c r="AF91" i="77" a="1"/>
  <c r="AF91" i="77" s="1"/>
  <c r="AE91" i="77" a="1"/>
  <c r="AE91" i="77" s="1"/>
  <c r="AD91" i="77" a="1"/>
  <c r="AD91" i="77" s="1"/>
  <c r="T91" i="77"/>
  <c r="R91" i="77"/>
  <c r="N91" i="77"/>
  <c r="M91" i="77"/>
  <c r="L91" i="77"/>
  <c r="F91" i="77"/>
  <c r="D91" i="77"/>
  <c r="AF90" i="77" a="1"/>
  <c r="AF90" i="77" s="1"/>
  <c r="AE90" i="77" a="1"/>
  <c r="AE90" i="77" s="1"/>
  <c r="AD90" i="77" a="1"/>
  <c r="AD90" i="77" s="1"/>
  <c r="T90" i="77"/>
  <c r="R90" i="77"/>
  <c r="N90" i="77"/>
  <c r="M90" i="77"/>
  <c r="L90" i="77"/>
  <c r="F90" i="77"/>
  <c r="D90" i="77"/>
  <c r="AF89" i="77" a="1"/>
  <c r="AF89" i="77" s="1"/>
  <c r="AE89" i="77" a="1"/>
  <c r="AE89" i="77" s="1"/>
  <c r="AD89" i="77" a="1"/>
  <c r="AD89" i="77" s="1"/>
  <c r="T89" i="77"/>
  <c r="R89" i="77"/>
  <c r="N89" i="77"/>
  <c r="M89" i="77"/>
  <c r="L89" i="77"/>
  <c r="F89" i="77"/>
  <c r="D89" i="77"/>
  <c r="AF88" i="77" a="1"/>
  <c r="AF88" i="77" s="1"/>
  <c r="AE88" i="77" a="1"/>
  <c r="AE88" i="77" s="1"/>
  <c r="AD88" i="77" a="1"/>
  <c r="AD88" i="77" s="1"/>
  <c r="T88" i="77"/>
  <c r="R88" i="77"/>
  <c r="N88" i="77"/>
  <c r="M88" i="77"/>
  <c r="L88" i="77"/>
  <c r="F88" i="77"/>
  <c r="D88" i="77"/>
  <c r="AF87" i="77" a="1"/>
  <c r="AF87" i="77" s="1"/>
  <c r="AE87" i="77" a="1"/>
  <c r="AE87" i="77" s="1"/>
  <c r="AD87" i="77" a="1"/>
  <c r="AD87" i="77" s="1"/>
  <c r="T87" i="77"/>
  <c r="R87" i="77"/>
  <c r="N87" i="77"/>
  <c r="M87" i="77"/>
  <c r="L87" i="77"/>
  <c r="F87" i="77"/>
  <c r="D87" i="77"/>
  <c r="AF86" i="77" a="1"/>
  <c r="AF86" i="77" s="1"/>
  <c r="AE86" i="77" a="1"/>
  <c r="AE86" i="77" s="1"/>
  <c r="AD86" i="77" a="1"/>
  <c r="AD86" i="77" s="1"/>
  <c r="T86" i="77"/>
  <c r="R86" i="77"/>
  <c r="N86" i="77"/>
  <c r="M86" i="77"/>
  <c r="L86" i="77"/>
  <c r="F86" i="77"/>
  <c r="D86" i="77"/>
  <c r="AF85" i="77" a="1"/>
  <c r="AF85" i="77" s="1"/>
  <c r="AE85" i="77" a="1"/>
  <c r="AE85" i="77" s="1"/>
  <c r="AD85" i="77" a="1"/>
  <c r="AD85" i="77" s="1"/>
  <c r="T85" i="77"/>
  <c r="R85" i="77"/>
  <c r="N85" i="77"/>
  <c r="M85" i="77"/>
  <c r="L85" i="77"/>
  <c r="F85" i="77"/>
  <c r="D85" i="77"/>
  <c r="AF84" i="77" a="1"/>
  <c r="AF84" i="77" s="1"/>
  <c r="AE84" i="77" a="1"/>
  <c r="AE84" i="77" s="1"/>
  <c r="AD84" i="77" a="1"/>
  <c r="AD84" i="77" s="1"/>
  <c r="T84" i="77"/>
  <c r="R84" i="77"/>
  <c r="N84" i="77"/>
  <c r="M84" i="77"/>
  <c r="L84" i="77"/>
  <c r="F84" i="77"/>
  <c r="D84" i="77"/>
  <c r="AF83" i="77" a="1"/>
  <c r="AF83" i="77" s="1"/>
  <c r="AE83" i="77" a="1"/>
  <c r="AE83" i="77" s="1"/>
  <c r="AD83" i="77" a="1"/>
  <c r="AD83" i="77" s="1"/>
  <c r="T83" i="77"/>
  <c r="R83" i="77"/>
  <c r="N83" i="77"/>
  <c r="M83" i="77"/>
  <c r="L83" i="77"/>
  <c r="F83" i="77"/>
  <c r="D83" i="77"/>
  <c r="AF82" i="77" a="1"/>
  <c r="AF82" i="77" s="1"/>
  <c r="AE82" i="77" a="1"/>
  <c r="AE82" i="77" s="1"/>
  <c r="AD82" i="77" a="1"/>
  <c r="AD82" i="77" s="1"/>
  <c r="T82" i="77"/>
  <c r="R82" i="77"/>
  <c r="N82" i="77"/>
  <c r="M82" i="77"/>
  <c r="L82" i="77"/>
  <c r="F82" i="77"/>
  <c r="D82" i="77"/>
  <c r="AF81" i="77" a="1"/>
  <c r="AF81" i="77" s="1"/>
  <c r="AE81" i="77" a="1"/>
  <c r="AE81" i="77" s="1"/>
  <c r="AD81" i="77" a="1"/>
  <c r="AD81" i="77" s="1"/>
  <c r="T81" i="77"/>
  <c r="R81" i="77"/>
  <c r="N81" i="77"/>
  <c r="M81" i="77"/>
  <c r="L81" i="77"/>
  <c r="F81" i="77"/>
  <c r="D81" i="77"/>
  <c r="AF80" i="77" a="1"/>
  <c r="AF80" i="77" s="1"/>
  <c r="AE80" i="77" a="1"/>
  <c r="AE80" i="77" s="1"/>
  <c r="AD80" i="77" a="1"/>
  <c r="AD80" i="77" s="1"/>
  <c r="T80" i="77"/>
  <c r="R80" i="77"/>
  <c r="N80" i="77"/>
  <c r="M80" i="77"/>
  <c r="L80" i="77"/>
  <c r="F80" i="77"/>
  <c r="D80" i="77"/>
  <c r="AF79" i="77" a="1"/>
  <c r="AF79" i="77" s="1"/>
  <c r="AE79" i="77" a="1"/>
  <c r="AE79" i="77" s="1"/>
  <c r="AD79" i="77" a="1"/>
  <c r="AD79" i="77" s="1"/>
  <c r="T79" i="77"/>
  <c r="R79" i="77"/>
  <c r="N79" i="77"/>
  <c r="M79" i="77"/>
  <c r="L79" i="77"/>
  <c r="F79" i="77"/>
  <c r="D79" i="77"/>
  <c r="AF78" i="77" a="1"/>
  <c r="AF78" i="77" s="1"/>
  <c r="AE78" i="77" a="1"/>
  <c r="AE78" i="77" s="1"/>
  <c r="AD78" i="77" a="1"/>
  <c r="AD78" i="77" s="1"/>
  <c r="T78" i="77"/>
  <c r="R78" i="77"/>
  <c r="N78" i="77"/>
  <c r="M78" i="77"/>
  <c r="L78" i="77"/>
  <c r="F78" i="77"/>
  <c r="D78" i="77"/>
  <c r="AF77" i="77" a="1"/>
  <c r="AF77" i="77" s="1"/>
  <c r="AE77" i="77" a="1"/>
  <c r="AE77" i="77" s="1"/>
  <c r="AD77" i="77" a="1"/>
  <c r="AD77" i="77" s="1"/>
  <c r="T77" i="77"/>
  <c r="R77" i="77"/>
  <c r="N77" i="77"/>
  <c r="M77" i="77"/>
  <c r="L77" i="77"/>
  <c r="F77" i="77"/>
  <c r="D77" i="77"/>
  <c r="AF76" i="77" a="1"/>
  <c r="AF76" i="77" s="1"/>
  <c r="AE76" i="77" a="1"/>
  <c r="AE76" i="77" s="1"/>
  <c r="AD76" i="77" a="1"/>
  <c r="AD76" i="77" s="1"/>
  <c r="T76" i="77"/>
  <c r="R76" i="77"/>
  <c r="N76" i="77"/>
  <c r="M76" i="77"/>
  <c r="L76" i="77"/>
  <c r="F76" i="77"/>
  <c r="D76" i="77"/>
  <c r="AF75" i="77" a="1"/>
  <c r="AF75" i="77" s="1"/>
  <c r="AE75" i="77" a="1"/>
  <c r="AE75" i="77" s="1"/>
  <c r="AD75" i="77" a="1"/>
  <c r="AD75" i="77" s="1"/>
  <c r="T75" i="77"/>
  <c r="R75" i="77"/>
  <c r="N75" i="77"/>
  <c r="M75" i="77"/>
  <c r="L75" i="77"/>
  <c r="F75" i="77"/>
  <c r="D75" i="77"/>
  <c r="AF74" i="77" a="1"/>
  <c r="AF74" i="77" s="1"/>
  <c r="AE74" i="77" a="1"/>
  <c r="AE74" i="77" s="1"/>
  <c r="AD74" i="77" a="1"/>
  <c r="AD74" i="77" s="1"/>
  <c r="T74" i="77"/>
  <c r="R74" i="77"/>
  <c r="N74" i="77"/>
  <c r="M74" i="77"/>
  <c r="L74" i="77"/>
  <c r="F74" i="77"/>
  <c r="D74" i="77"/>
  <c r="AF73" i="77" a="1"/>
  <c r="AF73" i="77" s="1"/>
  <c r="AE73" i="77" a="1"/>
  <c r="AE73" i="77" s="1"/>
  <c r="AD73" i="77" a="1"/>
  <c r="AD73" i="77" s="1"/>
  <c r="T73" i="77"/>
  <c r="R73" i="77"/>
  <c r="N73" i="77"/>
  <c r="M73" i="77"/>
  <c r="L73" i="77"/>
  <c r="F73" i="77"/>
  <c r="D73" i="77"/>
  <c r="AF72" i="77" a="1"/>
  <c r="AF72" i="77" s="1"/>
  <c r="AE72" i="77" a="1"/>
  <c r="AE72" i="77" s="1"/>
  <c r="AD72" i="77" a="1"/>
  <c r="AD72" i="77" s="1"/>
  <c r="T72" i="77"/>
  <c r="R72" i="77"/>
  <c r="N72" i="77"/>
  <c r="M72" i="77"/>
  <c r="L72" i="77"/>
  <c r="F72" i="77"/>
  <c r="D72" i="77"/>
  <c r="AF71" i="77" a="1"/>
  <c r="AF71" i="77" s="1"/>
  <c r="AE71" i="77" a="1"/>
  <c r="AE71" i="77" s="1"/>
  <c r="AD71" i="77" a="1"/>
  <c r="AD71" i="77" s="1"/>
  <c r="T71" i="77"/>
  <c r="R71" i="77"/>
  <c r="N71" i="77"/>
  <c r="M71" i="77"/>
  <c r="L71" i="77"/>
  <c r="F71" i="77"/>
  <c r="D71" i="77"/>
  <c r="AF67" i="77" a="1"/>
  <c r="AF67" i="77" s="1"/>
  <c r="AE67" i="77" a="1"/>
  <c r="AE67" i="77" s="1"/>
  <c r="AD67" i="77" a="1"/>
  <c r="AD67" i="77" s="1"/>
  <c r="T67" i="77"/>
  <c r="AF66" i="77" a="1"/>
  <c r="AF66" i="77" s="1"/>
  <c r="AE66" i="77" a="1"/>
  <c r="AE66" i="77" s="1"/>
  <c r="AD66" i="77" a="1"/>
  <c r="AD66" i="77" s="1"/>
  <c r="T66" i="77"/>
  <c r="AF65" i="77" a="1"/>
  <c r="AF65" i="77" s="1"/>
  <c r="AE65" i="77" a="1"/>
  <c r="AE65" i="77" s="1"/>
  <c r="AD65" i="77" a="1"/>
  <c r="AD65" i="77" s="1"/>
  <c r="T65" i="77"/>
  <c r="R65" i="77"/>
  <c r="M65" i="77"/>
  <c r="N65" i="77" s="1"/>
  <c r="L65" i="77"/>
  <c r="AF64" i="77" a="1"/>
  <c r="AF64" i="77" s="1"/>
  <c r="AE64" i="77" a="1"/>
  <c r="AE64" i="77" s="1"/>
  <c r="AD64" i="77" a="1"/>
  <c r="AD64" i="77" s="1"/>
  <c r="T64" i="77"/>
  <c r="R64" i="77"/>
  <c r="M64" i="77"/>
  <c r="N64" i="77" s="1"/>
  <c r="L64" i="77"/>
  <c r="T63" i="77"/>
  <c r="R63" i="77"/>
  <c r="M63" i="77"/>
  <c r="N63" i="77" s="1"/>
  <c r="L63" i="77"/>
  <c r="T62" i="77"/>
  <c r="R62" i="77"/>
  <c r="M62" i="77"/>
  <c r="N62" i="77" s="1"/>
  <c r="L62" i="77"/>
  <c r="AF61" i="77" a="1"/>
  <c r="AF61" i="77" s="1"/>
  <c r="AE61" i="77" a="1"/>
  <c r="AE61" i="77" s="1"/>
  <c r="AD61" i="77" a="1"/>
  <c r="AD61" i="77" s="1"/>
  <c r="T61" i="77"/>
  <c r="R61" i="77"/>
  <c r="M61" i="77"/>
  <c r="N61" i="77" s="1"/>
  <c r="L61" i="77"/>
  <c r="AF60" i="77" a="1"/>
  <c r="AF60" i="77" s="1"/>
  <c r="AE60" i="77" a="1"/>
  <c r="AE60" i="77" s="1"/>
  <c r="AD60" i="77" a="1"/>
  <c r="AD60" i="77" s="1"/>
  <c r="T60" i="77"/>
  <c r="R60" i="77"/>
  <c r="M60" i="77"/>
  <c r="N60" i="77" s="1"/>
  <c r="L60" i="77"/>
  <c r="AF59" i="77" a="1"/>
  <c r="AF59" i="77" s="1"/>
  <c r="AE59" i="77" a="1"/>
  <c r="AE59" i="77" s="1"/>
  <c r="AD59" i="77" a="1"/>
  <c r="AD59" i="77" s="1"/>
  <c r="T59" i="77"/>
  <c r="R59" i="77"/>
  <c r="M59" i="77"/>
  <c r="N59" i="77" s="1"/>
  <c r="L59" i="77"/>
  <c r="AF58" i="77" a="1"/>
  <c r="AF58" i="77" s="1"/>
  <c r="AE58" i="77" a="1"/>
  <c r="AE58" i="77" s="1"/>
  <c r="AD58" i="77" a="1"/>
  <c r="AD58" i="77" s="1"/>
  <c r="T58" i="77"/>
  <c r="R58" i="77"/>
  <c r="M58" i="77"/>
  <c r="N58" i="77" s="1"/>
  <c r="L58" i="77"/>
  <c r="AF57" i="77" a="1"/>
  <c r="AF57" i="77" s="1"/>
  <c r="AE57" i="77" a="1"/>
  <c r="AE57" i="77" s="1"/>
  <c r="AD57" i="77" a="1"/>
  <c r="AD57" i="77" s="1"/>
  <c r="U57" i="77"/>
  <c r="V57" i="77" s="1"/>
  <c r="T57" i="77"/>
  <c r="R57" i="77"/>
  <c r="O57" i="77"/>
  <c r="P57" i="77" s="1"/>
  <c r="M57" i="77"/>
  <c r="N57" i="77" s="1"/>
  <c r="L57" i="77"/>
  <c r="AF56" i="77" a="1"/>
  <c r="AF56" i="77" s="1"/>
  <c r="AE56" i="77" a="1"/>
  <c r="AE56" i="77" s="1"/>
  <c r="AD56" i="77" a="1"/>
  <c r="AD56" i="77" s="1"/>
  <c r="U56" i="77"/>
  <c r="V56" i="77" s="1"/>
  <c r="T56" i="77"/>
  <c r="R56" i="77"/>
  <c r="O56" i="77"/>
  <c r="P56" i="77" s="1"/>
  <c r="M56" i="77"/>
  <c r="N56" i="77" s="1"/>
  <c r="L56" i="77"/>
  <c r="AF52" i="77" a="1"/>
  <c r="AF52" i="77" s="1"/>
  <c r="AE52" i="77" a="1"/>
  <c r="AE52" i="77" s="1"/>
  <c r="AD52" i="77" a="1"/>
  <c r="AD52" i="77" s="1"/>
  <c r="U52" i="77"/>
  <c r="V52" i="77" s="1"/>
  <c r="T52" i="77"/>
  <c r="R52" i="77"/>
  <c r="O52" i="77"/>
  <c r="P52" i="77" s="1"/>
  <c r="M52" i="77"/>
  <c r="N52" i="77" s="1"/>
  <c r="L52" i="77"/>
  <c r="AF51" i="77" a="1"/>
  <c r="AF51" i="77" s="1"/>
  <c r="AE51" i="77" a="1"/>
  <c r="AE51" i="77" s="1"/>
  <c r="AD51" i="77" a="1"/>
  <c r="AD51" i="77" s="1"/>
  <c r="U51" i="77"/>
  <c r="V51" i="77" s="1"/>
  <c r="T51" i="77"/>
  <c r="R51" i="77"/>
  <c r="O51" i="77"/>
  <c r="P51" i="77" s="1"/>
  <c r="M51" i="77"/>
  <c r="N51" i="77" s="1"/>
  <c r="L51" i="77"/>
  <c r="AF50" i="77" a="1"/>
  <c r="AF50" i="77" s="1"/>
  <c r="AE50" i="77" a="1"/>
  <c r="AE50" i="77" s="1"/>
  <c r="AD50" i="77" a="1"/>
  <c r="AD50" i="77" s="1"/>
  <c r="U50" i="77"/>
  <c r="V50" i="77" s="1"/>
  <c r="T50" i="77"/>
  <c r="R50" i="77"/>
  <c r="O50" i="77"/>
  <c r="P50" i="77" s="1"/>
  <c r="M50" i="77"/>
  <c r="N50" i="77" s="1"/>
  <c r="L50" i="77"/>
  <c r="AF49" i="77" a="1"/>
  <c r="AF49" i="77" s="1"/>
  <c r="AE49" i="77" a="1"/>
  <c r="AE49" i="77" s="1"/>
  <c r="AD49" i="77" a="1"/>
  <c r="AD49" i="77" s="1"/>
  <c r="U49" i="77"/>
  <c r="V49" i="77" s="1"/>
  <c r="T49" i="77"/>
  <c r="R49" i="77"/>
  <c r="O49" i="77"/>
  <c r="P49" i="77" s="1"/>
  <c r="M49" i="77"/>
  <c r="N49" i="77" s="1"/>
  <c r="L49" i="77"/>
  <c r="AF48" i="77" a="1"/>
  <c r="AF48" i="77" s="1"/>
  <c r="AE48" i="77" a="1"/>
  <c r="AE48" i="77" s="1"/>
  <c r="AD48" i="77" a="1"/>
  <c r="AD48" i="77" s="1"/>
  <c r="U48" i="77"/>
  <c r="V48" i="77" s="1"/>
  <c r="T48" i="77"/>
  <c r="O48" i="77"/>
  <c r="P48" i="77" s="1"/>
  <c r="M48" i="77"/>
  <c r="N48" i="77" s="1"/>
  <c r="L48" i="77"/>
  <c r="AF47" i="77" a="1"/>
  <c r="AF47" i="77" s="1"/>
  <c r="AE47" i="77" a="1"/>
  <c r="AE47" i="77" s="1"/>
  <c r="AD47" i="77" a="1"/>
  <c r="AD47" i="77" s="1"/>
  <c r="U47" i="77"/>
  <c r="V47" i="77" s="1"/>
  <c r="T47" i="77"/>
  <c r="O47" i="77"/>
  <c r="P47" i="77" s="1"/>
  <c r="M47" i="77"/>
  <c r="N47" i="77" s="1"/>
  <c r="L47" i="77"/>
  <c r="AF46" i="77" a="1"/>
  <c r="AF46" i="77" s="1"/>
  <c r="AE46" i="77" a="1"/>
  <c r="AE46" i="77" s="1"/>
  <c r="AD46" i="77" a="1"/>
  <c r="AD46" i="77" s="1"/>
  <c r="U46" i="77"/>
  <c r="V46" i="77" s="1"/>
  <c r="T46" i="77"/>
  <c r="O46" i="77"/>
  <c r="P46" i="77" s="1"/>
  <c r="M46" i="77"/>
  <c r="N46" i="77" s="1"/>
  <c r="L46" i="77"/>
  <c r="AF45" i="77" a="1"/>
  <c r="AF45" i="77" s="1"/>
  <c r="AE45" i="77" a="1"/>
  <c r="AE45" i="77" s="1"/>
  <c r="AD45" i="77" a="1"/>
  <c r="AD45" i="77" s="1"/>
  <c r="U45" i="77"/>
  <c r="V45" i="77" s="1"/>
  <c r="T45" i="77"/>
  <c r="O45" i="77"/>
  <c r="P45" i="77" s="1"/>
  <c r="M45" i="77"/>
  <c r="N45" i="77" s="1"/>
  <c r="L45" i="77"/>
  <c r="AF44" i="77" a="1"/>
  <c r="AF44" i="77" s="1"/>
  <c r="AE44" i="77" a="1"/>
  <c r="AE44" i="77" s="1"/>
  <c r="AD44" i="77" a="1"/>
  <c r="AD44" i="77" s="1"/>
  <c r="U44" i="77"/>
  <c r="V44" i="77" s="1"/>
  <c r="T44" i="77"/>
  <c r="O44" i="77"/>
  <c r="P44" i="77" s="1"/>
  <c r="M44" i="77"/>
  <c r="N44" i="77" s="1"/>
  <c r="L44" i="77"/>
  <c r="AF43" i="77" a="1"/>
  <c r="AF43" i="77" s="1"/>
  <c r="AE43" i="77" a="1"/>
  <c r="AE43" i="77" s="1"/>
  <c r="AD43" i="77" a="1"/>
  <c r="AD43" i="77" s="1"/>
  <c r="U43" i="77"/>
  <c r="V43" i="77" s="1"/>
  <c r="T43" i="77"/>
  <c r="O43" i="77"/>
  <c r="P43" i="77" s="1"/>
  <c r="M43" i="77"/>
  <c r="N43" i="77" s="1"/>
  <c r="L43" i="77"/>
  <c r="AF41" i="77" a="1"/>
  <c r="AF41" i="77" s="1"/>
  <c r="AE41" i="77" a="1"/>
  <c r="AE41" i="77" s="1"/>
  <c r="AD41" i="77" a="1"/>
  <c r="AD41" i="77" s="1"/>
  <c r="U41" i="77"/>
  <c r="V41" i="77" s="1"/>
  <c r="T41" i="77"/>
  <c r="O41" i="77"/>
  <c r="P41" i="77" s="1"/>
  <c r="M41" i="77"/>
  <c r="N41" i="77" s="1"/>
  <c r="L41" i="77"/>
  <c r="AF40" i="77" a="1"/>
  <c r="AF40" i="77" s="1"/>
  <c r="AE40" i="77" a="1"/>
  <c r="AE40" i="77" s="1"/>
  <c r="AD40" i="77" a="1"/>
  <c r="AD40" i="77" s="1"/>
  <c r="U40" i="77"/>
  <c r="V40" i="77" s="1"/>
  <c r="T40" i="77"/>
  <c r="O40" i="77"/>
  <c r="P40" i="77" s="1"/>
  <c r="M40" i="77"/>
  <c r="N40" i="77" s="1"/>
  <c r="L40" i="77"/>
  <c r="AF39" i="77" a="1"/>
  <c r="AF39" i="77" s="1"/>
  <c r="AE39" i="77" a="1"/>
  <c r="AE39" i="77" s="1"/>
  <c r="AD39" i="77" a="1"/>
  <c r="AD39" i="77" s="1"/>
  <c r="U39" i="77"/>
  <c r="V39" i="77" s="1"/>
  <c r="T39" i="77"/>
  <c r="O39" i="77"/>
  <c r="P39" i="77" s="1"/>
  <c r="M39" i="77"/>
  <c r="N39" i="77" s="1"/>
  <c r="L39" i="77"/>
  <c r="AF38" i="77" a="1"/>
  <c r="AF38" i="77" s="1"/>
  <c r="AE38" i="77" a="1"/>
  <c r="AE38" i="77" s="1"/>
  <c r="AD38" i="77" a="1"/>
  <c r="AD38" i="77" s="1"/>
  <c r="U38" i="77"/>
  <c r="V38" i="77" s="1"/>
  <c r="T38" i="77"/>
  <c r="R38" i="77"/>
  <c r="O38" i="77"/>
  <c r="P38" i="77" s="1"/>
  <c r="M38" i="77"/>
  <c r="N38" i="77" s="1"/>
  <c r="L38" i="77"/>
  <c r="AF37" i="77" a="1"/>
  <c r="AF37" i="77" s="1"/>
  <c r="AE37" i="77" a="1"/>
  <c r="AE37" i="77" s="1"/>
  <c r="AD37" i="77" a="1"/>
  <c r="AD37" i="77" s="1"/>
  <c r="U37" i="77"/>
  <c r="V37" i="77" s="1"/>
  <c r="T37" i="77"/>
  <c r="R37" i="77"/>
  <c r="O37" i="77"/>
  <c r="P37" i="77" s="1"/>
  <c r="M37" i="77"/>
  <c r="N37" i="77" s="1"/>
  <c r="L37" i="77"/>
  <c r="AF36" i="77" a="1"/>
  <c r="AF36" i="77" s="1"/>
  <c r="AE36" i="77" a="1"/>
  <c r="AE36" i="77" s="1"/>
  <c r="AD36" i="77" a="1"/>
  <c r="AD36" i="77" s="1"/>
  <c r="U36" i="77"/>
  <c r="V36" i="77" s="1"/>
  <c r="T36" i="77"/>
  <c r="R36" i="77"/>
  <c r="O36" i="77"/>
  <c r="P36" i="77" s="1"/>
  <c r="M36" i="77"/>
  <c r="N36" i="77" s="1"/>
  <c r="L36" i="77"/>
  <c r="AF35" i="77" a="1"/>
  <c r="AF35" i="77" s="1"/>
  <c r="AE35" i="77" a="1"/>
  <c r="AE35" i="77" s="1"/>
  <c r="AD35" i="77" a="1"/>
  <c r="AD35" i="77" s="1"/>
  <c r="U35" i="77"/>
  <c r="V35" i="77" s="1"/>
  <c r="T35" i="77"/>
  <c r="R35" i="77"/>
  <c r="O35" i="77"/>
  <c r="P35" i="77" s="1"/>
  <c r="M35" i="77"/>
  <c r="N35" i="77" s="1"/>
  <c r="L35" i="77"/>
  <c r="AF34" i="77" a="1"/>
  <c r="AF34" i="77" s="1"/>
  <c r="AE34" i="77" a="1"/>
  <c r="AE34" i="77" s="1"/>
  <c r="AD34" i="77" a="1"/>
  <c r="AD34" i="77" s="1"/>
  <c r="U34" i="77"/>
  <c r="V34" i="77" s="1"/>
  <c r="T34" i="77"/>
  <c r="R34" i="77"/>
  <c r="O34" i="77"/>
  <c r="P34" i="77" s="1"/>
  <c r="M34" i="77"/>
  <c r="N34" i="77" s="1"/>
  <c r="L34" i="77"/>
  <c r="AF33" i="77" a="1"/>
  <c r="AF33" i="77" s="1"/>
  <c r="AE33" i="77" a="1"/>
  <c r="AE33" i="77" s="1"/>
  <c r="AD33" i="77" a="1"/>
  <c r="AD33" i="77" s="1"/>
  <c r="U33" i="77"/>
  <c r="V33" i="77" s="1"/>
  <c r="T33" i="77"/>
  <c r="R33" i="77"/>
  <c r="O33" i="77"/>
  <c r="P33" i="77" s="1"/>
  <c r="M33" i="77"/>
  <c r="N33" i="77" s="1"/>
  <c r="L33" i="77"/>
  <c r="AF32" i="77" a="1"/>
  <c r="AF32" i="77" s="1"/>
  <c r="AE32" i="77" a="1"/>
  <c r="AE32" i="77" s="1"/>
  <c r="AD32" i="77" a="1"/>
  <c r="AD32" i="77" s="1"/>
  <c r="U32" i="77"/>
  <c r="V32" i="77" s="1"/>
  <c r="T32" i="77"/>
  <c r="R32" i="77"/>
  <c r="O32" i="77"/>
  <c r="P32" i="77" s="1"/>
  <c r="M32" i="77"/>
  <c r="N32" i="77" s="1"/>
  <c r="L32" i="77"/>
  <c r="AF31" i="77" a="1"/>
  <c r="AF31" i="77" s="1"/>
  <c r="AE31" i="77" a="1"/>
  <c r="AE31" i="77" s="1"/>
  <c r="AD31" i="77" a="1"/>
  <c r="AD31" i="77" s="1"/>
  <c r="U31" i="77"/>
  <c r="V31" i="77" s="1"/>
  <c r="T31" i="77"/>
  <c r="R31" i="77"/>
  <c r="O31" i="77"/>
  <c r="P31" i="77" s="1"/>
  <c r="M31" i="77"/>
  <c r="N31" i="77" s="1"/>
  <c r="L31" i="77"/>
  <c r="AF30" i="77" a="1"/>
  <c r="AF30" i="77" s="1"/>
  <c r="AE30" i="77" a="1"/>
  <c r="AE30" i="77" s="1"/>
  <c r="AD30" i="77" a="1"/>
  <c r="AD30" i="77" s="1"/>
  <c r="U30" i="77"/>
  <c r="V30" i="77" s="1"/>
  <c r="T30" i="77"/>
  <c r="R30" i="77"/>
  <c r="O30" i="77"/>
  <c r="P30" i="77" s="1"/>
  <c r="M30" i="77"/>
  <c r="N30" i="77" s="1"/>
  <c r="L30" i="77"/>
  <c r="AF55" i="77" a="1"/>
  <c r="AF55" i="77" s="1"/>
  <c r="AE55" i="77" a="1"/>
  <c r="AE55" i="77" s="1"/>
  <c r="AD55" i="77" a="1"/>
  <c r="AD55" i="77" s="1"/>
  <c r="U55" i="77"/>
  <c r="V55" i="77" s="1"/>
  <c r="T55" i="77"/>
  <c r="R55" i="77"/>
  <c r="O55" i="77"/>
  <c r="P55" i="77" s="1"/>
  <c r="M55" i="77"/>
  <c r="N55" i="77" s="1"/>
  <c r="L55" i="77"/>
  <c r="AF29" i="77" a="1"/>
  <c r="AF29" i="77" s="1"/>
  <c r="AE29" i="77" a="1"/>
  <c r="AE29" i="77" s="1"/>
  <c r="AD29" i="77" a="1"/>
  <c r="AD29" i="77" s="1"/>
  <c r="U29" i="77"/>
  <c r="V29" i="77" s="1"/>
  <c r="T29" i="77"/>
  <c r="R29" i="77"/>
  <c r="O29" i="77"/>
  <c r="P29" i="77" s="1"/>
  <c r="M29" i="77"/>
  <c r="N29" i="77" s="1"/>
  <c r="L29" i="77"/>
  <c r="U28" i="77"/>
  <c r="V28" i="77" s="1"/>
  <c r="T28" i="77"/>
  <c r="R28" i="77"/>
  <c r="O28" i="77"/>
  <c r="P28" i="77" s="1"/>
  <c r="M28" i="77"/>
  <c r="N28" i="77" s="1"/>
  <c r="L28" i="77"/>
  <c r="U27" i="77"/>
  <c r="V27" i="77" s="1"/>
  <c r="T27" i="77"/>
  <c r="R27" i="77"/>
  <c r="O27" i="77"/>
  <c r="P27" i="77" s="1"/>
  <c r="M27" i="77"/>
  <c r="N27" i="77" s="1"/>
  <c r="L27" i="77"/>
  <c r="U26" i="77"/>
  <c r="V26" i="77" s="1"/>
  <c r="T26" i="77"/>
  <c r="R26" i="77"/>
  <c r="O26" i="77"/>
  <c r="P26" i="77" s="1"/>
  <c r="M26" i="77"/>
  <c r="N26" i="77" s="1"/>
  <c r="L26" i="77"/>
  <c r="U25" i="77"/>
  <c r="V25" i="77" s="1"/>
  <c r="T25" i="77"/>
  <c r="R25" i="77"/>
  <c r="O25" i="77"/>
  <c r="P25" i="77" s="1"/>
  <c r="M25" i="77"/>
  <c r="N25" i="77" s="1"/>
  <c r="L25" i="77"/>
  <c r="U24" i="77"/>
  <c r="V24" i="77" s="1"/>
  <c r="T24" i="77"/>
  <c r="R24" i="77"/>
  <c r="O24" i="77"/>
  <c r="P24" i="77" s="1"/>
  <c r="M24" i="77"/>
  <c r="N24" i="77" s="1"/>
  <c r="L24" i="77"/>
  <c r="AF23" i="77" a="1"/>
  <c r="AF23" i="77" s="1"/>
  <c r="AE23" i="77" a="1"/>
  <c r="AE23" i="77" s="1"/>
  <c r="AD23" i="77" a="1"/>
  <c r="AD23" i="77" s="1"/>
  <c r="U23" i="77"/>
  <c r="V23" i="77" s="1"/>
  <c r="T23" i="77"/>
  <c r="R23" i="77"/>
  <c r="O23" i="77"/>
  <c r="P23" i="77" s="1"/>
  <c r="M23" i="77"/>
  <c r="N23" i="77" s="1"/>
  <c r="L23" i="77"/>
  <c r="G20" i="77"/>
  <c r="S19" i="77"/>
  <c r="R19" i="77"/>
  <c r="S18" i="77"/>
  <c r="R18" i="77"/>
  <c r="J17" i="77"/>
  <c r="I17" i="77"/>
  <c r="S16" i="77"/>
  <c r="R16" i="77"/>
  <c r="J16" i="77"/>
  <c r="I16" i="77"/>
  <c r="S15" i="77"/>
  <c r="R15" i="77"/>
  <c r="CM12" i="77" a="1"/>
  <c r="CM12" i="77" s="1"/>
  <c r="CL12" i="77" a="1"/>
  <c r="CL12" i="77" s="1"/>
  <c r="CK12" i="77" a="1"/>
  <c r="CK12" i="77" s="1"/>
  <c r="CJ12" i="77" a="1"/>
  <c r="CJ12" i="77" s="1"/>
  <c r="CI12" i="77" a="1"/>
  <c r="CI12" i="77" s="1"/>
  <c r="CH12" i="77" a="1"/>
  <c r="CH12" i="77" s="1"/>
  <c r="CG12" i="77" a="1"/>
  <c r="CG12" i="77" s="1"/>
  <c r="CF12" i="77" a="1"/>
  <c r="CF12" i="77" s="1"/>
  <c r="CE12" i="77" a="1"/>
  <c r="CE12" i="77" s="1"/>
  <c r="CD12" i="77" a="1"/>
  <c r="CD12" i="77" s="1"/>
  <c r="CC12" i="77" a="1"/>
  <c r="CC12" i="77" s="1"/>
  <c r="CB12" i="77" a="1"/>
  <c r="CB12" i="77" s="1"/>
  <c r="CA12" i="77" a="1"/>
  <c r="CA12" i="77" s="1"/>
  <c r="BZ12" i="77" a="1"/>
  <c r="BZ12" i="77" s="1"/>
  <c r="BU12" i="77" a="1"/>
  <c r="BU12" i="77" s="1"/>
  <c r="BT12" i="77" a="1"/>
  <c r="BT12" i="77" s="1"/>
  <c r="BS12" i="77" a="1"/>
  <c r="BS12" i="77" s="1"/>
  <c r="BQ12" i="77" a="1"/>
  <c r="BQ12" i="77" s="1"/>
  <c r="BB12" i="77" a="1"/>
  <c r="BB12" i="77" s="1"/>
  <c r="BA12" i="77" a="1"/>
  <c r="BA12" i="77" s="1"/>
  <c r="AY12" i="77" a="1"/>
  <c r="AY12" i="77" s="1"/>
  <c r="AX12" i="77" a="1"/>
  <c r="AX12" i="77" s="1"/>
  <c r="AU12" i="77" a="1"/>
  <c r="AU12" i="77" s="1"/>
  <c r="AT12" i="77" a="1"/>
  <c r="AT12" i="77" s="1"/>
  <c r="AS12" i="77" a="1"/>
  <c r="AS12" i="77" s="1"/>
  <c r="BF12" i="77" a="1"/>
  <c r="BF12" i="77" s="1"/>
  <c r="AR12" i="77" a="1"/>
  <c r="AR12" i="77" s="1"/>
  <c r="AQ12" i="77" a="1"/>
  <c r="AQ12" i="77" s="1"/>
  <c r="AO12" i="77" a="1"/>
  <c r="AO12" i="77" s="1"/>
  <c r="BO12" i="77" a="1"/>
  <c r="BO12" i="77" s="1"/>
  <c r="AM12" i="77" a="1"/>
  <c r="AM12" i="77" s="1"/>
  <c r="AK12" i="77" a="1"/>
  <c r="AK12" i="77" s="1"/>
  <c r="AJ12" i="77" a="1"/>
  <c r="AJ12" i="77" s="1"/>
  <c r="AI12" i="77" a="1"/>
  <c r="AI12" i="77" s="1"/>
  <c r="AH12" i="77" a="1"/>
  <c r="AH12" i="77" s="1"/>
  <c r="AG12" i="77" a="1"/>
  <c r="AG12" i="77" s="1"/>
  <c r="AF12" i="77" a="1"/>
  <c r="AF12" i="77" s="1"/>
  <c r="CM10" i="77" a="1"/>
  <c r="CM10" i="77" s="1"/>
  <c r="CL10" i="77" a="1"/>
  <c r="CL10" i="77" s="1"/>
  <c r="CK10" i="77" a="1"/>
  <c r="CK10" i="77" s="1"/>
  <c r="CJ10" i="77" a="1"/>
  <c r="CJ10" i="77" s="1"/>
  <c r="CI10" i="77" a="1"/>
  <c r="CI10" i="77" s="1"/>
  <c r="CH10" i="77" a="1"/>
  <c r="CH10" i="77" s="1"/>
  <c r="CG10" i="77" a="1"/>
  <c r="CG10" i="77" s="1"/>
  <c r="CF10" i="77" a="1"/>
  <c r="CF10" i="77" s="1"/>
  <c r="CE10" i="77" a="1"/>
  <c r="CE10" i="77" s="1"/>
  <c r="CD10" i="77" a="1"/>
  <c r="CD10" i="77" s="1"/>
  <c r="CC10" i="77" a="1"/>
  <c r="CC10" i="77" s="1"/>
  <c r="CB10" i="77" a="1"/>
  <c r="CB10" i="77" s="1"/>
  <c r="CA10" i="77" a="1"/>
  <c r="CA10" i="77" s="1"/>
  <c r="BZ10" i="77" a="1"/>
  <c r="BZ10" i="77" s="1"/>
  <c r="BU10" i="77" a="1"/>
  <c r="BU10" i="77" s="1"/>
  <c r="BT10" i="77" a="1"/>
  <c r="BT10" i="77" s="1"/>
  <c r="BS10" i="77" a="1"/>
  <c r="BS10" i="77" s="1"/>
  <c r="BQ10" i="77" a="1"/>
  <c r="BQ10" i="77" s="1"/>
  <c r="BB10" i="77" a="1"/>
  <c r="BB10" i="77" s="1"/>
  <c r="BA10" i="77" a="1"/>
  <c r="BA10" i="77" s="1"/>
  <c r="AY10" i="77" a="1"/>
  <c r="AY10" i="77" s="1"/>
  <c r="AX10" i="77" a="1"/>
  <c r="AX10" i="77" s="1"/>
  <c r="AU10" i="77" a="1"/>
  <c r="AU10" i="77" s="1"/>
  <c r="AT10" i="77" a="1"/>
  <c r="AT10" i="77" s="1"/>
  <c r="AS10" i="77" a="1"/>
  <c r="AS10" i="77" s="1"/>
  <c r="BF10" i="77" a="1"/>
  <c r="BF10" i="77" s="1"/>
  <c r="AR10" i="77" a="1"/>
  <c r="AR10" i="77" s="1"/>
  <c r="AQ10" i="77" a="1"/>
  <c r="AQ10" i="77" s="1"/>
  <c r="AO10" i="77" a="1"/>
  <c r="AO10" i="77" s="1"/>
  <c r="BO10" i="77" a="1"/>
  <c r="BO10" i="77" s="1"/>
  <c r="AM10" i="77" a="1"/>
  <c r="AM10" i="77" s="1"/>
  <c r="AK10" i="77" a="1"/>
  <c r="AK10" i="77" s="1"/>
  <c r="AJ10" i="77" a="1"/>
  <c r="AJ10" i="77" s="1"/>
  <c r="AI10" i="77" a="1"/>
  <c r="AI10" i="77" s="1"/>
  <c r="AH10" i="77" a="1"/>
  <c r="AH10" i="77" s="1"/>
  <c r="AG10" i="77" a="1"/>
  <c r="AG10" i="77" s="1"/>
  <c r="AF10" i="77" a="1"/>
  <c r="AF10" i="77" s="1"/>
  <c r="CM2" i="77" a="1"/>
  <c r="CM2" i="77" s="1"/>
  <c r="CL2" i="77" a="1"/>
  <c r="CL2" i="77" s="1"/>
  <c r="CK2" i="77" a="1"/>
  <c r="CK2" i="77" s="1"/>
  <c r="CJ2" i="77" a="1"/>
  <c r="CJ2" i="77" s="1"/>
  <c r="CI2" i="77" a="1"/>
  <c r="CI2" i="77" s="1"/>
  <c r="CH2" i="77" a="1"/>
  <c r="CH2" i="77" s="1"/>
  <c r="CG2" i="77" a="1"/>
  <c r="CG2" i="77" s="1"/>
  <c r="CF2" i="77" a="1"/>
  <c r="CF2" i="77" s="1"/>
  <c r="CE2" i="77" a="1"/>
  <c r="CE2" i="77" s="1"/>
  <c r="CD2" i="77" a="1"/>
  <c r="CD2" i="77" s="1"/>
  <c r="CC2" i="77" a="1"/>
  <c r="CC2" i="77" s="1"/>
  <c r="CB2" i="77" a="1"/>
  <c r="CB2" i="77" s="1"/>
  <c r="CA2" i="77" a="1"/>
  <c r="CA2" i="77" s="1"/>
  <c r="BZ2" i="77" a="1"/>
  <c r="BZ2" i="77" s="1"/>
  <c r="BU2" i="77" a="1"/>
  <c r="BU2" i="77" s="1"/>
  <c r="BT2" i="77" a="1"/>
  <c r="BT2" i="77" s="1"/>
  <c r="BS2" i="77" a="1"/>
  <c r="BS2" i="77" s="1"/>
  <c r="BQ2" i="77" a="1"/>
  <c r="BQ2" i="77" s="1"/>
  <c r="BB2" i="77" a="1"/>
  <c r="BB2" i="77" s="1"/>
  <c r="BA2" i="77" a="1"/>
  <c r="BA2" i="77" s="1"/>
  <c r="AY2" i="77" a="1"/>
  <c r="AY2" i="77" s="1"/>
  <c r="AX2" i="77" a="1"/>
  <c r="AX2" i="77" s="1"/>
  <c r="AU2" i="77" a="1"/>
  <c r="AU2" i="77" s="1"/>
  <c r="AT2" i="77" a="1"/>
  <c r="AT2" i="77" s="1"/>
  <c r="AS2" i="77" a="1"/>
  <c r="AS2" i="77" s="1"/>
  <c r="BF2" i="77" a="1"/>
  <c r="BF2" i="77" s="1"/>
  <c r="AR2" i="77" a="1"/>
  <c r="AR2" i="77" s="1"/>
  <c r="AQ2" i="77" a="1"/>
  <c r="AQ2" i="77" s="1"/>
  <c r="AO2" i="77" a="1"/>
  <c r="AO2" i="77" s="1"/>
  <c r="BO2" i="77" a="1"/>
  <c r="BO2" i="77" s="1"/>
  <c r="AM2" i="77" a="1"/>
  <c r="AM2" i="77" s="1"/>
  <c r="AK2" i="77" a="1"/>
  <c r="AK2" i="77" s="1"/>
  <c r="AJ2" i="77" a="1"/>
  <c r="AJ2" i="77" s="1"/>
  <c r="AI2" i="77" a="1"/>
  <c r="AI2" i="77" s="1"/>
  <c r="AH2" i="77" a="1"/>
  <c r="AH2" i="77" s="1"/>
  <c r="AG2" i="77" a="1"/>
  <c r="AG2" i="77" s="1"/>
  <c r="CM1" i="77"/>
  <c r="CL1" i="77"/>
  <c r="CK1" i="77"/>
  <c r="CJ1" i="77"/>
  <c r="CI1" i="77"/>
  <c r="CH1" i="77"/>
  <c r="CG1" i="77"/>
  <c r="CF1" i="77"/>
  <c r="CE1" i="77"/>
  <c r="CD1" i="77"/>
  <c r="CC1" i="77"/>
  <c r="CB1" i="77"/>
  <c r="CA1" i="77"/>
  <c r="BZ1" i="77"/>
  <c r="BU1" i="77"/>
  <c r="BT1" i="77"/>
  <c r="BS1" i="77"/>
  <c r="BQ1" i="77"/>
  <c r="BB1" i="77"/>
  <c r="BA1" i="77"/>
  <c r="AY1" i="77"/>
  <c r="AX1" i="77"/>
  <c r="AU1" i="77"/>
  <c r="AT1" i="77"/>
  <c r="AS1" i="77"/>
  <c r="BF1" i="77"/>
  <c r="AR1" i="77"/>
  <c r="AQ1" i="77"/>
  <c r="AO1" i="77"/>
  <c r="BO1" i="77"/>
  <c r="AM1" i="77"/>
  <c r="AK1" i="77"/>
  <c r="AJ1" i="77"/>
  <c r="AI1" i="77"/>
  <c r="AH1" i="77"/>
  <c r="AG1" i="77"/>
  <c r="AF133" i="76" a="1"/>
  <c r="AF133" i="76" s="1"/>
  <c r="AE133" i="76" a="1"/>
  <c r="AE133" i="76" s="1"/>
  <c r="AD133" i="76" a="1"/>
  <c r="AD133" i="76" s="1"/>
  <c r="T133" i="76"/>
  <c r="R133" i="76"/>
  <c r="N133" i="76"/>
  <c r="M133" i="76"/>
  <c r="L133" i="76"/>
  <c r="F133" i="76"/>
  <c r="D133" i="76"/>
  <c r="AF132" i="76" a="1"/>
  <c r="AF132" i="76" s="1"/>
  <c r="AE132" i="76" a="1"/>
  <c r="AE132" i="76" s="1"/>
  <c r="AD132" i="76" a="1"/>
  <c r="AD132" i="76" s="1"/>
  <c r="T132" i="76"/>
  <c r="R132" i="76"/>
  <c r="N132" i="76"/>
  <c r="M132" i="76"/>
  <c r="L132" i="76"/>
  <c r="F132" i="76"/>
  <c r="D132" i="76"/>
  <c r="AF131" i="76" a="1"/>
  <c r="AF131" i="76" s="1"/>
  <c r="AE131" i="76" a="1"/>
  <c r="AE131" i="76" s="1"/>
  <c r="AD131" i="76" a="1"/>
  <c r="AD131" i="76" s="1"/>
  <c r="T131" i="76"/>
  <c r="R131" i="76"/>
  <c r="N131" i="76"/>
  <c r="M131" i="76"/>
  <c r="L131" i="76"/>
  <c r="F131" i="76"/>
  <c r="D131" i="76"/>
  <c r="AF130" i="76" a="1"/>
  <c r="AF130" i="76" s="1"/>
  <c r="AE130" i="76" a="1"/>
  <c r="AE130" i="76" s="1"/>
  <c r="AD130" i="76" a="1"/>
  <c r="AD130" i="76" s="1"/>
  <c r="T130" i="76"/>
  <c r="R130" i="76"/>
  <c r="N130" i="76"/>
  <c r="M130" i="76"/>
  <c r="L130" i="76"/>
  <c r="F130" i="76"/>
  <c r="D130" i="76"/>
  <c r="AF129" i="76" a="1"/>
  <c r="AF129" i="76" s="1"/>
  <c r="AE129" i="76" a="1"/>
  <c r="AE129" i="76" s="1"/>
  <c r="AD129" i="76" a="1"/>
  <c r="AD129" i="76" s="1"/>
  <c r="T129" i="76"/>
  <c r="R129" i="76"/>
  <c r="N129" i="76"/>
  <c r="M129" i="76"/>
  <c r="L129" i="76"/>
  <c r="F129" i="76"/>
  <c r="D129" i="76"/>
  <c r="AF128" i="76" a="1"/>
  <c r="AF128" i="76" s="1"/>
  <c r="AE128" i="76" a="1"/>
  <c r="AE128" i="76" s="1"/>
  <c r="AD128" i="76" a="1"/>
  <c r="AD128" i="76" s="1"/>
  <c r="T128" i="76"/>
  <c r="R128" i="76"/>
  <c r="N128" i="76"/>
  <c r="M128" i="76"/>
  <c r="L128" i="76"/>
  <c r="F128" i="76"/>
  <c r="D128" i="76"/>
  <c r="AF127" i="76" a="1"/>
  <c r="AF127" i="76" s="1"/>
  <c r="AE127" i="76" a="1"/>
  <c r="AE127" i="76" s="1"/>
  <c r="AD127" i="76" a="1"/>
  <c r="AD127" i="76" s="1"/>
  <c r="T127" i="76"/>
  <c r="R127" i="76"/>
  <c r="N127" i="76"/>
  <c r="M127" i="76"/>
  <c r="L127" i="76"/>
  <c r="F127" i="76"/>
  <c r="D127" i="76"/>
  <c r="AF126" i="76" a="1"/>
  <c r="AF126" i="76" s="1"/>
  <c r="AE126" i="76" a="1"/>
  <c r="AE126" i="76" s="1"/>
  <c r="AD126" i="76" a="1"/>
  <c r="AD126" i="76" s="1"/>
  <c r="T126" i="76"/>
  <c r="R126" i="76"/>
  <c r="N126" i="76"/>
  <c r="M126" i="76"/>
  <c r="L126" i="76"/>
  <c r="F126" i="76"/>
  <c r="D126" i="76"/>
  <c r="AF125" i="76" a="1"/>
  <c r="AF125" i="76" s="1"/>
  <c r="AE125" i="76" a="1"/>
  <c r="AE125" i="76" s="1"/>
  <c r="AD125" i="76" a="1"/>
  <c r="AD125" i="76" s="1"/>
  <c r="T125" i="76"/>
  <c r="R125" i="76"/>
  <c r="N125" i="76"/>
  <c r="M125" i="76"/>
  <c r="L125" i="76"/>
  <c r="F125" i="76"/>
  <c r="D125" i="76"/>
  <c r="AF124" i="76" a="1"/>
  <c r="AF124" i="76" s="1"/>
  <c r="AE124" i="76" a="1"/>
  <c r="AE124" i="76" s="1"/>
  <c r="AD124" i="76" a="1"/>
  <c r="AD124" i="76" s="1"/>
  <c r="T124" i="76"/>
  <c r="R124" i="76"/>
  <c r="N124" i="76"/>
  <c r="M124" i="76"/>
  <c r="L124" i="76"/>
  <c r="F124" i="76"/>
  <c r="D124" i="76"/>
  <c r="AF123" i="76" a="1"/>
  <c r="AF123" i="76" s="1"/>
  <c r="AE123" i="76" a="1"/>
  <c r="AE123" i="76" s="1"/>
  <c r="AD123" i="76" a="1"/>
  <c r="AD123" i="76" s="1"/>
  <c r="T123" i="76"/>
  <c r="R123" i="76"/>
  <c r="N123" i="76"/>
  <c r="M123" i="76"/>
  <c r="L123" i="76"/>
  <c r="F123" i="76"/>
  <c r="D123" i="76"/>
  <c r="AF122" i="76" a="1"/>
  <c r="AF122" i="76" s="1"/>
  <c r="AE122" i="76" a="1"/>
  <c r="AE122" i="76" s="1"/>
  <c r="AD122" i="76" a="1"/>
  <c r="AD122" i="76" s="1"/>
  <c r="T122" i="76"/>
  <c r="R122" i="76"/>
  <c r="N122" i="76"/>
  <c r="M122" i="76"/>
  <c r="L122" i="76"/>
  <c r="F122" i="76"/>
  <c r="D122" i="76"/>
  <c r="AF121" i="76" a="1"/>
  <c r="AF121" i="76" s="1"/>
  <c r="AE121" i="76" a="1"/>
  <c r="AE121" i="76" s="1"/>
  <c r="AD121" i="76" a="1"/>
  <c r="AD121" i="76" s="1"/>
  <c r="T121" i="76"/>
  <c r="R121" i="76"/>
  <c r="N121" i="76"/>
  <c r="M121" i="76"/>
  <c r="L121" i="76"/>
  <c r="F121" i="76"/>
  <c r="D121" i="76"/>
  <c r="AF120" i="76" a="1"/>
  <c r="AF120" i="76" s="1"/>
  <c r="AE120" i="76" a="1"/>
  <c r="AE120" i="76" s="1"/>
  <c r="AD120" i="76" a="1"/>
  <c r="AD120" i="76" s="1"/>
  <c r="T120" i="76"/>
  <c r="R120" i="76"/>
  <c r="N120" i="76"/>
  <c r="M120" i="76"/>
  <c r="L120" i="76"/>
  <c r="F120" i="76"/>
  <c r="D120" i="76"/>
  <c r="AF119" i="76" a="1"/>
  <c r="AF119" i="76" s="1"/>
  <c r="AE119" i="76" a="1"/>
  <c r="AE119" i="76" s="1"/>
  <c r="AD119" i="76" a="1"/>
  <c r="AD119" i="76" s="1"/>
  <c r="T119" i="76"/>
  <c r="R119" i="76"/>
  <c r="N119" i="76"/>
  <c r="M119" i="76"/>
  <c r="L119" i="76"/>
  <c r="F119" i="76"/>
  <c r="D119" i="76"/>
  <c r="AF118" i="76" a="1"/>
  <c r="AF118" i="76" s="1"/>
  <c r="AE118" i="76" a="1"/>
  <c r="AE118" i="76" s="1"/>
  <c r="AD118" i="76" a="1"/>
  <c r="AD118" i="76" s="1"/>
  <c r="T118" i="76"/>
  <c r="R118" i="76"/>
  <c r="N118" i="76"/>
  <c r="M118" i="76"/>
  <c r="L118" i="76"/>
  <c r="F118" i="76"/>
  <c r="D118" i="76"/>
  <c r="AF117" i="76" a="1"/>
  <c r="AF117" i="76" s="1"/>
  <c r="AE117" i="76" a="1"/>
  <c r="AE117" i="76" s="1"/>
  <c r="AD117" i="76" a="1"/>
  <c r="AD117" i="76" s="1"/>
  <c r="T117" i="76"/>
  <c r="R117" i="76"/>
  <c r="N117" i="76"/>
  <c r="M117" i="76"/>
  <c r="L117" i="76"/>
  <c r="F117" i="76"/>
  <c r="D117" i="76"/>
  <c r="AF116" i="76" a="1"/>
  <c r="AF116" i="76" s="1"/>
  <c r="AE116" i="76" a="1"/>
  <c r="AE116" i="76" s="1"/>
  <c r="AD116" i="76" a="1"/>
  <c r="AD116" i="76" s="1"/>
  <c r="T116" i="76"/>
  <c r="R116" i="76"/>
  <c r="N116" i="76"/>
  <c r="M116" i="76"/>
  <c r="L116" i="76"/>
  <c r="F116" i="76"/>
  <c r="D116" i="76"/>
  <c r="AF115" i="76" a="1"/>
  <c r="AF115" i="76" s="1"/>
  <c r="AE115" i="76" a="1"/>
  <c r="AE115" i="76" s="1"/>
  <c r="AD115" i="76" a="1"/>
  <c r="AD115" i="76" s="1"/>
  <c r="T115" i="76"/>
  <c r="R115" i="76"/>
  <c r="N115" i="76"/>
  <c r="M115" i="76"/>
  <c r="L115" i="76"/>
  <c r="F115" i="76"/>
  <c r="D115" i="76"/>
  <c r="AF114" i="76" a="1"/>
  <c r="AF114" i="76" s="1"/>
  <c r="AE114" i="76" a="1"/>
  <c r="AE114" i="76" s="1"/>
  <c r="AD114" i="76" a="1"/>
  <c r="AD114" i="76" s="1"/>
  <c r="T114" i="76"/>
  <c r="R114" i="76"/>
  <c r="N114" i="76"/>
  <c r="M114" i="76"/>
  <c r="L114" i="76"/>
  <c r="F114" i="76"/>
  <c r="D114" i="76"/>
  <c r="AF113" i="76" a="1"/>
  <c r="AF113" i="76" s="1"/>
  <c r="AE113" i="76" a="1"/>
  <c r="AE113" i="76" s="1"/>
  <c r="AD113" i="76" a="1"/>
  <c r="AD113" i="76" s="1"/>
  <c r="T113" i="76"/>
  <c r="R113" i="76"/>
  <c r="N113" i="76"/>
  <c r="M113" i="76"/>
  <c r="L113" i="76"/>
  <c r="F113" i="76"/>
  <c r="D113" i="76"/>
  <c r="AF112" i="76" a="1"/>
  <c r="AF112" i="76" s="1"/>
  <c r="AE112" i="76" a="1"/>
  <c r="AE112" i="76" s="1"/>
  <c r="AD112" i="76" a="1"/>
  <c r="AD112" i="76" s="1"/>
  <c r="T112" i="76"/>
  <c r="R112" i="76"/>
  <c r="N112" i="76"/>
  <c r="M112" i="76"/>
  <c r="L112" i="76"/>
  <c r="F112" i="76"/>
  <c r="D112" i="76"/>
  <c r="AF111" i="76" a="1"/>
  <c r="AF111" i="76" s="1"/>
  <c r="AE111" i="76" a="1"/>
  <c r="AE111" i="76" s="1"/>
  <c r="AD111" i="76" a="1"/>
  <c r="AD111" i="76" s="1"/>
  <c r="T111" i="76"/>
  <c r="R111" i="76"/>
  <c r="N111" i="76"/>
  <c r="M111" i="76"/>
  <c r="L111" i="76"/>
  <c r="F111" i="76"/>
  <c r="D111" i="76"/>
  <c r="AF110" i="76" a="1"/>
  <c r="AF110" i="76" s="1"/>
  <c r="AE110" i="76" a="1"/>
  <c r="AE110" i="76" s="1"/>
  <c r="AD110" i="76" a="1"/>
  <c r="AD110" i="76" s="1"/>
  <c r="T110" i="76"/>
  <c r="R110" i="76"/>
  <c r="N110" i="76"/>
  <c r="M110" i="76"/>
  <c r="L110" i="76"/>
  <c r="F110" i="76"/>
  <c r="D110" i="76"/>
  <c r="AF109" i="76" a="1"/>
  <c r="AF109" i="76" s="1"/>
  <c r="AE109" i="76" a="1"/>
  <c r="AE109" i="76" s="1"/>
  <c r="AD109" i="76" a="1"/>
  <c r="AD109" i="76" s="1"/>
  <c r="T109" i="76"/>
  <c r="R109" i="76"/>
  <c r="N109" i="76"/>
  <c r="M109" i="76"/>
  <c r="L109" i="76"/>
  <c r="F109" i="76"/>
  <c r="D109" i="76"/>
  <c r="AF108" i="76" a="1"/>
  <c r="AF108" i="76" s="1"/>
  <c r="AE108" i="76" a="1"/>
  <c r="AE108" i="76" s="1"/>
  <c r="AD108" i="76" a="1"/>
  <c r="AD108" i="76" s="1"/>
  <c r="T108" i="76"/>
  <c r="R108" i="76"/>
  <c r="N108" i="76"/>
  <c r="M108" i="76"/>
  <c r="L108" i="76"/>
  <c r="F108" i="76"/>
  <c r="D108" i="76"/>
  <c r="AF107" i="76" a="1"/>
  <c r="AF107" i="76" s="1"/>
  <c r="AE107" i="76" a="1"/>
  <c r="AE107" i="76" s="1"/>
  <c r="AD107" i="76" a="1"/>
  <c r="AD107" i="76" s="1"/>
  <c r="T107" i="76"/>
  <c r="R107" i="76"/>
  <c r="N107" i="76"/>
  <c r="M107" i="76"/>
  <c r="L107" i="76"/>
  <c r="F107" i="76"/>
  <c r="D107" i="76"/>
  <c r="AF106" i="76" a="1"/>
  <c r="AF106" i="76" s="1"/>
  <c r="AE106" i="76" a="1"/>
  <c r="AE106" i="76" s="1"/>
  <c r="AD106" i="76" a="1"/>
  <c r="AD106" i="76" s="1"/>
  <c r="T106" i="76"/>
  <c r="R106" i="76"/>
  <c r="N106" i="76"/>
  <c r="M106" i="76"/>
  <c r="L106" i="76"/>
  <c r="F106" i="76"/>
  <c r="D106" i="76"/>
  <c r="AF105" i="76" a="1"/>
  <c r="AF105" i="76" s="1"/>
  <c r="AE105" i="76" a="1"/>
  <c r="AE105" i="76" s="1"/>
  <c r="AD105" i="76" a="1"/>
  <c r="AD105" i="76" s="1"/>
  <c r="T105" i="76"/>
  <c r="R105" i="76"/>
  <c r="N105" i="76"/>
  <c r="M105" i="76"/>
  <c r="L105" i="76"/>
  <c r="F105" i="76"/>
  <c r="D105" i="76"/>
  <c r="AF104" i="76" a="1"/>
  <c r="AF104" i="76" s="1"/>
  <c r="AE104" i="76" a="1"/>
  <c r="AE104" i="76" s="1"/>
  <c r="AD104" i="76" a="1"/>
  <c r="AD104" i="76" s="1"/>
  <c r="T104" i="76"/>
  <c r="R104" i="76"/>
  <c r="N104" i="76"/>
  <c r="M104" i="76"/>
  <c r="L104" i="76"/>
  <c r="F104" i="76"/>
  <c r="D104" i="76"/>
  <c r="AF103" i="76" a="1"/>
  <c r="AF103" i="76" s="1"/>
  <c r="AE103" i="76" a="1"/>
  <c r="AE103" i="76" s="1"/>
  <c r="AD103" i="76" a="1"/>
  <c r="AD103" i="76" s="1"/>
  <c r="T103" i="76"/>
  <c r="R103" i="76"/>
  <c r="N103" i="76"/>
  <c r="M103" i="76"/>
  <c r="L103" i="76"/>
  <c r="F103" i="76"/>
  <c r="D103" i="76"/>
  <c r="AF102" i="76" a="1"/>
  <c r="AF102" i="76" s="1"/>
  <c r="AE102" i="76" a="1"/>
  <c r="AE102" i="76" s="1"/>
  <c r="AD102" i="76" a="1"/>
  <c r="AD102" i="76" s="1"/>
  <c r="T102" i="76"/>
  <c r="R102" i="76"/>
  <c r="N102" i="76"/>
  <c r="M102" i="76"/>
  <c r="L102" i="76"/>
  <c r="F102" i="76"/>
  <c r="D102" i="76"/>
  <c r="AF101" i="76" a="1"/>
  <c r="AF101" i="76" s="1"/>
  <c r="AE101" i="76" a="1"/>
  <c r="AE101" i="76" s="1"/>
  <c r="AD101" i="76" a="1"/>
  <c r="AD101" i="76" s="1"/>
  <c r="T101" i="76"/>
  <c r="R101" i="76"/>
  <c r="N101" i="76"/>
  <c r="M101" i="76"/>
  <c r="L101" i="76"/>
  <c r="F101" i="76"/>
  <c r="D101" i="76"/>
  <c r="AF100" i="76" a="1"/>
  <c r="AF100" i="76" s="1"/>
  <c r="AE100" i="76" a="1"/>
  <c r="AE100" i="76" s="1"/>
  <c r="AD100" i="76" a="1"/>
  <c r="AD100" i="76" s="1"/>
  <c r="T100" i="76"/>
  <c r="R100" i="76"/>
  <c r="N100" i="76"/>
  <c r="M100" i="76"/>
  <c r="L100" i="76"/>
  <c r="F100" i="76"/>
  <c r="D100" i="76"/>
  <c r="AF99" i="76" a="1"/>
  <c r="AF99" i="76" s="1"/>
  <c r="AE99" i="76" a="1"/>
  <c r="AE99" i="76" s="1"/>
  <c r="AD99" i="76" a="1"/>
  <c r="AD99" i="76" s="1"/>
  <c r="T99" i="76"/>
  <c r="R99" i="76"/>
  <c r="N99" i="76"/>
  <c r="M99" i="76"/>
  <c r="L99" i="76"/>
  <c r="F99" i="76"/>
  <c r="D99" i="76"/>
  <c r="AF98" i="76" a="1"/>
  <c r="AF98" i="76" s="1"/>
  <c r="AE98" i="76" a="1"/>
  <c r="AE98" i="76" s="1"/>
  <c r="AD98" i="76" a="1"/>
  <c r="AD98" i="76" s="1"/>
  <c r="T98" i="76"/>
  <c r="R98" i="76"/>
  <c r="N98" i="76"/>
  <c r="M98" i="76"/>
  <c r="L98" i="76"/>
  <c r="F98" i="76"/>
  <c r="D98" i="76"/>
  <c r="AF97" i="76" a="1"/>
  <c r="AF97" i="76" s="1"/>
  <c r="AE97" i="76" a="1"/>
  <c r="AE97" i="76" s="1"/>
  <c r="AD97" i="76" a="1"/>
  <c r="AD97" i="76" s="1"/>
  <c r="T97" i="76"/>
  <c r="R97" i="76"/>
  <c r="N97" i="76"/>
  <c r="M97" i="76"/>
  <c r="L97" i="76"/>
  <c r="F97" i="76"/>
  <c r="D97" i="76"/>
  <c r="AF96" i="76" a="1"/>
  <c r="AF96" i="76" s="1"/>
  <c r="AE96" i="76" a="1"/>
  <c r="AE96" i="76" s="1"/>
  <c r="AD96" i="76" a="1"/>
  <c r="AD96" i="76" s="1"/>
  <c r="T96" i="76"/>
  <c r="R96" i="76"/>
  <c r="N96" i="76"/>
  <c r="M96" i="76"/>
  <c r="L96" i="76"/>
  <c r="F96" i="76"/>
  <c r="D96" i="76"/>
  <c r="AF95" i="76" a="1"/>
  <c r="AF95" i="76" s="1"/>
  <c r="AE95" i="76" a="1"/>
  <c r="AE95" i="76" s="1"/>
  <c r="AD95" i="76" a="1"/>
  <c r="AD95" i="76" s="1"/>
  <c r="T95" i="76"/>
  <c r="R95" i="76"/>
  <c r="N95" i="76"/>
  <c r="M95" i="76"/>
  <c r="L95" i="76"/>
  <c r="F95" i="76"/>
  <c r="D95" i="76"/>
  <c r="AF94" i="76" a="1"/>
  <c r="AF94" i="76" s="1"/>
  <c r="AE94" i="76" a="1"/>
  <c r="AE94" i="76" s="1"/>
  <c r="AD94" i="76" a="1"/>
  <c r="AD94" i="76" s="1"/>
  <c r="T94" i="76"/>
  <c r="R94" i="76"/>
  <c r="N94" i="76"/>
  <c r="M94" i="76"/>
  <c r="L94" i="76"/>
  <c r="F94" i="76"/>
  <c r="D94" i="76"/>
  <c r="AF93" i="76" a="1"/>
  <c r="AF93" i="76" s="1"/>
  <c r="AE93" i="76" a="1"/>
  <c r="AE93" i="76" s="1"/>
  <c r="AD93" i="76" a="1"/>
  <c r="AD93" i="76" s="1"/>
  <c r="T93" i="76"/>
  <c r="R93" i="76"/>
  <c r="N93" i="76"/>
  <c r="M93" i="76"/>
  <c r="L93" i="76"/>
  <c r="F93" i="76"/>
  <c r="D93" i="76"/>
  <c r="AF92" i="76" a="1"/>
  <c r="AF92" i="76" s="1"/>
  <c r="AE92" i="76" a="1"/>
  <c r="AE92" i="76" s="1"/>
  <c r="AD92" i="76" a="1"/>
  <c r="AD92" i="76" s="1"/>
  <c r="T92" i="76"/>
  <c r="R92" i="76"/>
  <c r="N92" i="76"/>
  <c r="M92" i="76"/>
  <c r="L92" i="76"/>
  <c r="F92" i="76"/>
  <c r="D92" i="76"/>
  <c r="AF91" i="76" a="1"/>
  <c r="AF91" i="76" s="1"/>
  <c r="AE91" i="76" a="1"/>
  <c r="AE91" i="76" s="1"/>
  <c r="AD91" i="76" a="1"/>
  <c r="AD91" i="76" s="1"/>
  <c r="T91" i="76"/>
  <c r="R91" i="76"/>
  <c r="N91" i="76"/>
  <c r="M91" i="76"/>
  <c r="L91" i="76"/>
  <c r="F91" i="76"/>
  <c r="D91" i="76"/>
  <c r="AF90" i="76" a="1"/>
  <c r="AF90" i="76" s="1"/>
  <c r="AE90" i="76" a="1"/>
  <c r="AE90" i="76" s="1"/>
  <c r="AD90" i="76" a="1"/>
  <c r="AD90" i="76" s="1"/>
  <c r="T90" i="76"/>
  <c r="R90" i="76"/>
  <c r="N90" i="76"/>
  <c r="M90" i="76"/>
  <c r="L90" i="76"/>
  <c r="F90" i="76"/>
  <c r="D90" i="76"/>
  <c r="AF89" i="76" a="1"/>
  <c r="AF89" i="76" s="1"/>
  <c r="AE89" i="76" a="1"/>
  <c r="AE89" i="76" s="1"/>
  <c r="AD89" i="76" a="1"/>
  <c r="AD89" i="76" s="1"/>
  <c r="T89" i="76"/>
  <c r="R89" i="76"/>
  <c r="N89" i="76"/>
  <c r="M89" i="76"/>
  <c r="L89" i="76"/>
  <c r="F89" i="76"/>
  <c r="D89" i="76"/>
  <c r="AF88" i="76" a="1"/>
  <c r="AF88" i="76" s="1"/>
  <c r="AE88" i="76" a="1"/>
  <c r="AE88" i="76" s="1"/>
  <c r="AD88" i="76" a="1"/>
  <c r="AD88" i="76" s="1"/>
  <c r="T88" i="76"/>
  <c r="R88" i="76"/>
  <c r="N88" i="76"/>
  <c r="M88" i="76"/>
  <c r="L88" i="76"/>
  <c r="F88" i="76"/>
  <c r="D88" i="76"/>
  <c r="AF87" i="76" a="1"/>
  <c r="AF87" i="76" s="1"/>
  <c r="AE87" i="76" a="1"/>
  <c r="AE87" i="76" s="1"/>
  <c r="AD87" i="76" a="1"/>
  <c r="AD87" i="76" s="1"/>
  <c r="T87" i="76"/>
  <c r="R87" i="76"/>
  <c r="N87" i="76"/>
  <c r="M87" i="76"/>
  <c r="L87" i="76"/>
  <c r="F87" i="76"/>
  <c r="D87" i="76"/>
  <c r="AF86" i="76" a="1"/>
  <c r="AF86" i="76" s="1"/>
  <c r="AE86" i="76" a="1"/>
  <c r="AE86" i="76" s="1"/>
  <c r="AD86" i="76" a="1"/>
  <c r="AD86" i="76" s="1"/>
  <c r="T86" i="76"/>
  <c r="R86" i="76"/>
  <c r="N86" i="76"/>
  <c r="M86" i="76"/>
  <c r="L86" i="76"/>
  <c r="F86" i="76"/>
  <c r="D86" i="76"/>
  <c r="AF85" i="76" a="1"/>
  <c r="AF85" i="76" s="1"/>
  <c r="AE85" i="76" a="1"/>
  <c r="AE85" i="76" s="1"/>
  <c r="AD85" i="76" a="1"/>
  <c r="AD85" i="76" s="1"/>
  <c r="T85" i="76"/>
  <c r="R85" i="76"/>
  <c r="N85" i="76"/>
  <c r="M85" i="76"/>
  <c r="L85" i="76"/>
  <c r="F85" i="76"/>
  <c r="D85" i="76"/>
  <c r="AF84" i="76" a="1"/>
  <c r="AF84" i="76" s="1"/>
  <c r="AE84" i="76" a="1"/>
  <c r="AE84" i="76" s="1"/>
  <c r="AD84" i="76" a="1"/>
  <c r="AD84" i="76" s="1"/>
  <c r="T84" i="76"/>
  <c r="R84" i="76"/>
  <c r="N84" i="76"/>
  <c r="M84" i="76"/>
  <c r="L84" i="76"/>
  <c r="F84" i="76"/>
  <c r="D84" i="76"/>
  <c r="AF83" i="76" a="1"/>
  <c r="AF83" i="76" s="1"/>
  <c r="AE83" i="76" a="1"/>
  <c r="AE83" i="76" s="1"/>
  <c r="AD83" i="76" a="1"/>
  <c r="AD83" i="76" s="1"/>
  <c r="T83" i="76"/>
  <c r="R83" i="76"/>
  <c r="N83" i="76"/>
  <c r="M83" i="76"/>
  <c r="L83" i="76"/>
  <c r="F83" i="76"/>
  <c r="D83" i="76"/>
  <c r="AF82" i="76" a="1"/>
  <c r="AF82" i="76" s="1"/>
  <c r="AE82" i="76" a="1"/>
  <c r="AE82" i="76" s="1"/>
  <c r="AD82" i="76" a="1"/>
  <c r="AD82" i="76" s="1"/>
  <c r="T82" i="76"/>
  <c r="R82" i="76"/>
  <c r="N82" i="76"/>
  <c r="M82" i="76"/>
  <c r="L82" i="76"/>
  <c r="F82" i="76"/>
  <c r="D82" i="76"/>
  <c r="AF81" i="76" a="1"/>
  <c r="AF81" i="76" s="1"/>
  <c r="AE81" i="76" a="1"/>
  <c r="AE81" i="76" s="1"/>
  <c r="AD81" i="76" a="1"/>
  <c r="AD81" i="76" s="1"/>
  <c r="T81" i="76"/>
  <c r="R81" i="76"/>
  <c r="N81" i="76"/>
  <c r="M81" i="76"/>
  <c r="L81" i="76"/>
  <c r="F81" i="76"/>
  <c r="D81" i="76"/>
  <c r="AF80" i="76" a="1"/>
  <c r="AF80" i="76" s="1"/>
  <c r="AE80" i="76" a="1"/>
  <c r="AE80" i="76" s="1"/>
  <c r="AD80" i="76" a="1"/>
  <c r="AD80" i="76" s="1"/>
  <c r="T80" i="76"/>
  <c r="R80" i="76"/>
  <c r="N80" i="76"/>
  <c r="M80" i="76"/>
  <c r="L80" i="76"/>
  <c r="F80" i="76"/>
  <c r="D80" i="76"/>
  <c r="AF79" i="76" a="1"/>
  <c r="AF79" i="76" s="1"/>
  <c r="AE79" i="76" a="1"/>
  <c r="AE79" i="76" s="1"/>
  <c r="AD79" i="76" a="1"/>
  <c r="AD79" i="76" s="1"/>
  <c r="T79" i="76"/>
  <c r="R79" i="76"/>
  <c r="N79" i="76"/>
  <c r="M79" i="76"/>
  <c r="L79" i="76"/>
  <c r="F79" i="76"/>
  <c r="D79" i="76"/>
  <c r="AF78" i="76" a="1"/>
  <c r="AF78" i="76" s="1"/>
  <c r="AE78" i="76" a="1"/>
  <c r="AE78" i="76" s="1"/>
  <c r="AD78" i="76" a="1"/>
  <c r="AD78" i="76" s="1"/>
  <c r="T78" i="76"/>
  <c r="R78" i="76"/>
  <c r="N78" i="76"/>
  <c r="M78" i="76"/>
  <c r="L78" i="76"/>
  <c r="F78" i="76"/>
  <c r="D78" i="76"/>
  <c r="AF77" i="76" a="1"/>
  <c r="AF77" i="76" s="1"/>
  <c r="AE77" i="76" a="1"/>
  <c r="AE77" i="76" s="1"/>
  <c r="AD77" i="76" a="1"/>
  <c r="AD77" i="76" s="1"/>
  <c r="T77" i="76"/>
  <c r="R77" i="76"/>
  <c r="N77" i="76"/>
  <c r="M77" i="76"/>
  <c r="L77" i="76"/>
  <c r="F77" i="76"/>
  <c r="D77" i="76"/>
  <c r="AF76" i="76" a="1"/>
  <c r="AF76" i="76" s="1"/>
  <c r="AE76" i="76" a="1"/>
  <c r="AE76" i="76" s="1"/>
  <c r="AD76" i="76" a="1"/>
  <c r="AD76" i="76" s="1"/>
  <c r="T76" i="76"/>
  <c r="R76" i="76"/>
  <c r="N76" i="76"/>
  <c r="M76" i="76"/>
  <c r="L76" i="76"/>
  <c r="F76" i="76"/>
  <c r="D76" i="76"/>
  <c r="AF72" i="76" a="1"/>
  <c r="AF72" i="76" s="1"/>
  <c r="AE72" i="76" a="1"/>
  <c r="AE72" i="76" s="1"/>
  <c r="AD72" i="76" a="1"/>
  <c r="AD72" i="76" s="1"/>
  <c r="T72" i="76"/>
  <c r="AF71" i="76" a="1"/>
  <c r="AF71" i="76" s="1"/>
  <c r="AE71" i="76" a="1"/>
  <c r="AE71" i="76" s="1"/>
  <c r="AD71" i="76" a="1"/>
  <c r="AD71" i="76" s="1"/>
  <c r="T71" i="76"/>
  <c r="AF70" i="76" a="1"/>
  <c r="AF70" i="76" s="1"/>
  <c r="AE70" i="76" a="1"/>
  <c r="AE70" i="76" s="1"/>
  <c r="AD70" i="76" a="1"/>
  <c r="AD70" i="76" s="1"/>
  <c r="T70" i="76"/>
  <c r="AF69" i="76" a="1"/>
  <c r="AF69" i="76" s="1"/>
  <c r="AE69" i="76" a="1"/>
  <c r="AE69" i="76" s="1"/>
  <c r="AD69" i="76" a="1"/>
  <c r="AD69" i="76" s="1"/>
  <c r="T69" i="76"/>
  <c r="AF68" i="76" a="1"/>
  <c r="AF68" i="76" s="1"/>
  <c r="AE68" i="76" a="1"/>
  <c r="AE68" i="76" s="1"/>
  <c r="AD68" i="76" a="1"/>
  <c r="AD68" i="76" s="1"/>
  <c r="T68" i="76"/>
  <c r="AF67" i="76" a="1"/>
  <c r="AF67" i="76" s="1"/>
  <c r="AE67" i="76" a="1"/>
  <c r="AE67" i="76" s="1"/>
  <c r="AD67" i="76" a="1"/>
  <c r="AD67" i="76" s="1"/>
  <c r="T67" i="76"/>
  <c r="M65" i="76"/>
  <c r="N65" i="76" s="1"/>
  <c r="L65" i="76"/>
  <c r="M64" i="76"/>
  <c r="N64" i="76" s="1"/>
  <c r="L64" i="76"/>
  <c r="AF63" i="76" a="1"/>
  <c r="AF63" i="76" s="1"/>
  <c r="AE63" i="76" a="1"/>
  <c r="AE63" i="76" s="1"/>
  <c r="AD63" i="76" a="1"/>
  <c r="AD63" i="76" s="1"/>
  <c r="T63" i="76"/>
  <c r="R63" i="76"/>
  <c r="M63" i="76"/>
  <c r="N63" i="76" s="1"/>
  <c r="L63" i="76"/>
  <c r="AF62" i="76" a="1"/>
  <c r="AF62" i="76" s="1"/>
  <c r="AE62" i="76" a="1"/>
  <c r="AE62" i="76" s="1"/>
  <c r="AD62" i="76" a="1"/>
  <c r="AD62" i="76" s="1"/>
  <c r="T62" i="76"/>
  <c r="R62" i="76"/>
  <c r="M62" i="76"/>
  <c r="N62" i="76" s="1"/>
  <c r="L62" i="76"/>
  <c r="AF60" i="76" a="1"/>
  <c r="AF60" i="76" s="1"/>
  <c r="AE60" i="76" a="1"/>
  <c r="AE60" i="76" s="1"/>
  <c r="AD60" i="76" a="1"/>
  <c r="AD60" i="76" s="1"/>
  <c r="U60" i="76"/>
  <c r="V60" i="76" s="1"/>
  <c r="T60" i="76"/>
  <c r="R60" i="76"/>
  <c r="O60" i="76"/>
  <c r="P60" i="76" s="1"/>
  <c r="M60" i="76"/>
  <c r="N60" i="76" s="1"/>
  <c r="L60" i="76"/>
  <c r="AF59" i="76" a="1"/>
  <c r="AF59" i="76" s="1"/>
  <c r="AE59" i="76" a="1"/>
  <c r="AE59" i="76" s="1"/>
  <c r="AD59" i="76" a="1"/>
  <c r="AD59" i="76" s="1"/>
  <c r="U59" i="76"/>
  <c r="V59" i="76" s="1"/>
  <c r="T59" i="76"/>
  <c r="R59" i="76"/>
  <c r="O59" i="76"/>
  <c r="P59" i="76" s="1"/>
  <c r="M59" i="76"/>
  <c r="N59" i="76" s="1"/>
  <c r="L59" i="76"/>
  <c r="AF56" i="76" a="1"/>
  <c r="AF56" i="76" s="1"/>
  <c r="AE56" i="76" a="1"/>
  <c r="AE56" i="76" s="1"/>
  <c r="AD56" i="76" a="1"/>
  <c r="AD56" i="76" s="1"/>
  <c r="U56" i="76"/>
  <c r="V56" i="76" s="1"/>
  <c r="T56" i="76"/>
  <c r="R56" i="76"/>
  <c r="O56" i="76"/>
  <c r="P56" i="76" s="1"/>
  <c r="M56" i="76"/>
  <c r="N56" i="76" s="1"/>
  <c r="L56" i="76"/>
  <c r="AF55" i="76" a="1"/>
  <c r="AF55" i="76" s="1"/>
  <c r="AE55" i="76" a="1"/>
  <c r="AE55" i="76" s="1"/>
  <c r="AD55" i="76" a="1"/>
  <c r="AD55" i="76" s="1"/>
  <c r="U55" i="76"/>
  <c r="V55" i="76" s="1"/>
  <c r="T55" i="76"/>
  <c r="R55" i="76"/>
  <c r="O55" i="76"/>
  <c r="P55" i="76" s="1"/>
  <c r="M55" i="76"/>
  <c r="N55" i="76" s="1"/>
  <c r="L55" i="76"/>
  <c r="AF54" i="76" a="1"/>
  <c r="AF54" i="76" s="1"/>
  <c r="AE54" i="76" a="1"/>
  <c r="AE54" i="76" s="1"/>
  <c r="AD54" i="76" a="1"/>
  <c r="AD54" i="76" s="1"/>
  <c r="U54" i="76"/>
  <c r="V54" i="76" s="1"/>
  <c r="T54" i="76"/>
  <c r="R54" i="76"/>
  <c r="O54" i="76"/>
  <c r="P54" i="76" s="1"/>
  <c r="M54" i="76"/>
  <c r="N54" i="76" s="1"/>
  <c r="L54" i="76"/>
  <c r="AF53" i="76" a="1"/>
  <c r="AF53" i="76" s="1"/>
  <c r="AE53" i="76" a="1"/>
  <c r="AE53" i="76" s="1"/>
  <c r="AD53" i="76" a="1"/>
  <c r="AD53" i="76" s="1"/>
  <c r="U53" i="76"/>
  <c r="V53" i="76" s="1"/>
  <c r="T53" i="76"/>
  <c r="R53" i="76"/>
  <c r="O53" i="76"/>
  <c r="P53" i="76" s="1"/>
  <c r="M53" i="76"/>
  <c r="N53" i="76" s="1"/>
  <c r="L53" i="76"/>
  <c r="AF52" i="76" a="1"/>
  <c r="AF52" i="76" s="1"/>
  <c r="AE52" i="76" a="1"/>
  <c r="AE52" i="76" s="1"/>
  <c r="AD52" i="76" a="1"/>
  <c r="AD52" i="76" s="1"/>
  <c r="U52" i="76"/>
  <c r="V52" i="76" s="1"/>
  <c r="T52" i="76"/>
  <c r="R52" i="76"/>
  <c r="O52" i="76"/>
  <c r="P52" i="76" s="1"/>
  <c r="M52" i="76"/>
  <c r="N52" i="76" s="1"/>
  <c r="L52" i="76"/>
  <c r="AF51" i="76" a="1"/>
  <c r="AF51" i="76" s="1"/>
  <c r="AE51" i="76" a="1"/>
  <c r="AE51" i="76" s="1"/>
  <c r="AD51" i="76" a="1"/>
  <c r="AD51" i="76" s="1"/>
  <c r="U51" i="76"/>
  <c r="V51" i="76" s="1"/>
  <c r="T51" i="76"/>
  <c r="R51" i="76"/>
  <c r="O51" i="76"/>
  <c r="P51" i="76" s="1"/>
  <c r="M51" i="76"/>
  <c r="N51" i="76" s="1"/>
  <c r="L51" i="76"/>
  <c r="AF50" i="76" a="1"/>
  <c r="AF50" i="76" s="1"/>
  <c r="AE50" i="76" a="1"/>
  <c r="AE50" i="76" s="1"/>
  <c r="AD50" i="76" a="1"/>
  <c r="AD50" i="76" s="1"/>
  <c r="U50" i="76"/>
  <c r="V50" i="76" s="1"/>
  <c r="T50" i="76"/>
  <c r="O50" i="76"/>
  <c r="P50" i="76" s="1"/>
  <c r="M50" i="76"/>
  <c r="N50" i="76" s="1"/>
  <c r="L50" i="76"/>
  <c r="AF49" i="76" a="1"/>
  <c r="AF49" i="76" s="1"/>
  <c r="AE49" i="76" a="1"/>
  <c r="AE49" i="76" s="1"/>
  <c r="AD49" i="76" a="1"/>
  <c r="AD49" i="76" s="1"/>
  <c r="U49" i="76"/>
  <c r="V49" i="76" s="1"/>
  <c r="T49" i="76"/>
  <c r="O49" i="76"/>
  <c r="P49" i="76" s="1"/>
  <c r="M49" i="76"/>
  <c r="N49" i="76" s="1"/>
  <c r="L49" i="76"/>
  <c r="AF48" i="76" a="1"/>
  <c r="AF48" i="76" s="1"/>
  <c r="AE48" i="76" a="1"/>
  <c r="AE48" i="76" s="1"/>
  <c r="AD48" i="76" a="1"/>
  <c r="AD48" i="76" s="1"/>
  <c r="U48" i="76"/>
  <c r="V48" i="76" s="1"/>
  <c r="T48" i="76"/>
  <c r="O48" i="76"/>
  <c r="P48" i="76" s="1"/>
  <c r="M48" i="76"/>
  <c r="N48" i="76" s="1"/>
  <c r="L48" i="76"/>
  <c r="AF47" i="76" a="1"/>
  <c r="AF47" i="76" s="1"/>
  <c r="AE47" i="76" a="1"/>
  <c r="AE47" i="76" s="1"/>
  <c r="AD47" i="76" a="1"/>
  <c r="AD47" i="76" s="1"/>
  <c r="U47" i="76"/>
  <c r="V47" i="76" s="1"/>
  <c r="T47" i="76"/>
  <c r="O47" i="76"/>
  <c r="P47" i="76" s="1"/>
  <c r="M47" i="76"/>
  <c r="N47" i="76" s="1"/>
  <c r="L47" i="76"/>
  <c r="AF46" i="76" a="1"/>
  <c r="AF46" i="76" s="1"/>
  <c r="AE46" i="76" a="1"/>
  <c r="AE46" i="76" s="1"/>
  <c r="AD46" i="76" a="1"/>
  <c r="AD46" i="76" s="1"/>
  <c r="U46" i="76"/>
  <c r="V46" i="76" s="1"/>
  <c r="T46" i="76"/>
  <c r="O46" i="76"/>
  <c r="P46" i="76" s="1"/>
  <c r="M46" i="76"/>
  <c r="N46" i="76" s="1"/>
  <c r="L46" i="76"/>
  <c r="AF45" i="76" a="1"/>
  <c r="AF45" i="76" s="1"/>
  <c r="AE45" i="76" a="1"/>
  <c r="AE45" i="76" s="1"/>
  <c r="AD45" i="76" a="1"/>
  <c r="AD45" i="76" s="1"/>
  <c r="U45" i="76"/>
  <c r="V45" i="76" s="1"/>
  <c r="T45" i="76"/>
  <c r="O45" i="76"/>
  <c r="P45" i="76" s="1"/>
  <c r="M45" i="76"/>
  <c r="N45" i="76" s="1"/>
  <c r="L45" i="76"/>
  <c r="AF44" i="76" a="1"/>
  <c r="AF44" i="76" s="1"/>
  <c r="AE44" i="76" a="1"/>
  <c r="AE44" i="76" s="1"/>
  <c r="AD44" i="76" a="1"/>
  <c r="AD44" i="76" s="1"/>
  <c r="U44" i="76"/>
  <c r="V44" i="76" s="1"/>
  <c r="T44" i="76"/>
  <c r="O44" i="76"/>
  <c r="P44" i="76" s="1"/>
  <c r="M44" i="76"/>
  <c r="N44" i="76" s="1"/>
  <c r="L44" i="76"/>
  <c r="AF43" i="76" a="1"/>
  <c r="AF43" i="76" s="1"/>
  <c r="AE43" i="76" a="1"/>
  <c r="AE43" i="76" s="1"/>
  <c r="AD43" i="76" a="1"/>
  <c r="AD43" i="76" s="1"/>
  <c r="U43" i="76"/>
  <c r="V43" i="76" s="1"/>
  <c r="T43" i="76"/>
  <c r="R43" i="76"/>
  <c r="O43" i="76"/>
  <c r="P43" i="76" s="1"/>
  <c r="M43" i="76"/>
  <c r="N43" i="76" s="1"/>
  <c r="L43" i="76"/>
  <c r="AF41" i="76" a="1"/>
  <c r="AF41" i="76" s="1"/>
  <c r="AE41" i="76" a="1"/>
  <c r="AE41" i="76" s="1"/>
  <c r="AD41" i="76" a="1"/>
  <c r="AD41" i="76" s="1"/>
  <c r="U41" i="76"/>
  <c r="V41" i="76" s="1"/>
  <c r="T41" i="76"/>
  <c r="R41" i="76"/>
  <c r="O41" i="76"/>
  <c r="P41" i="76" s="1"/>
  <c r="M41" i="76"/>
  <c r="N41" i="76" s="1"/>
  <c r="L41" i="76"/>
  <c r="AF40" i="76" a="1"/>
  <c r="AF40" i="76" s="1"/>
  <c r="AE40" i="76" a="1"/>
  <c r="AE40" i="76" s="1"/>
  <c r="AD40" i="76" a="1"/>
  <c r="AD40" i="76" s="1"/>
  <c r="U40" i="76"/>
  <c r="V40" i="76" s="1"/>
  <c r="T40" i="76"/>
  <c r="R40" i="76"/>
  <c r="O40" i="76"/>
  <c r="P40" i="76" s="1"/>
  <c r="M40" i="76"/>
  <c r="N40" i="76" s="1"/>
  <c r="L40" i="76"/>
  <c r="AF39" i="76" a="1"/>
  <c r="AF39" i="76" s="1"/>
  <c r="AE39" i="76" a="1"/>
  <c r="AE39" i="76" s="1"/>
  <c r="AD39" i="76" a="1"/>
  <c r="AD39" i="76" s="1"/>
  <c r="U39" i="76"/>
  <c r="V39" i="76" s="1"/>
  <c r="T39" i="76"/>
  <c r="R39" i="76"/>
  <c r="O39" i="76"/>
  <c r="P39" i="76" s="1"/>
  <c r="M39" i="76"/>
  <c r="N39" i="76" s="1"/>
  <c r="L39" i="76"/>
  <c r="AF38" i="76" a="1"/>
  <c r="AF38" i="76" s="1"/>
  <c r="AE38" i="76" a="1"/>
  <c r="AE38" i="76" s="1"/>
  <c r="AD38" i="76" a="1"/>
  <c r="AD38" i="76" s="1"/>
  <c r="U38" i="76"/>
  <c r="V38" i="76" s="1"/>
  <c r="T38" i="76"/>
  <c r="R38" i="76"/>
  <c r="O38" i="76"/>
  <c r="P38" i="76" s="1"/>
  <c r="M38" i="76"/>
  <c r="N38" i="76" s="1"/>
  <c r="L38" i="76"/>
  <c r="AF37" i="76" a="1"/>
  <c r="AF37" i="76" s="1"/>
  <c r="AE37" i="76" a="1"/>
  <c r="AE37" i="76" s="1"/>
  <c r="AD37" i="76" a="1"/>
  <c r="AD37" i="76" s="1"/>
  <c r="U37" i="76"/>
  <c r="V37" i="76" s="1"/>
  <c r="T37" i="76"/>
  <c r="R37" i="76"/>
  <c r="O37" i="76"/>
  <c r="P37" i="76" s="1"/>
  <c r="M37" i="76"/>
  <c r="N37" i="76" s="1"/>
  <c r="L37" i="76"/>
  <c r="AF36" i="76" a="1"/>
  <c r="AF36" i="76" s="1"/>
  <c r="AE36" i="76" a="1"/>
  <c r="AE36" i="76" s="1"/>
  <c r="AD36" i="76" a="1"/>
  <c r="AD36" i="76" s="1"/>
  <c r="U36" i="76"/>
  <c r="V36" i="76" s="1"/>
  <c r="T36" i="76"/>
  <c r="R36" i="76"/>
  <c r="O36" i="76"/>
  <c r="P36" i="76" s="1"/>
  <c r="M36" i="76"/>
  <c r="N36" i="76" s="1"/>
  <c r="L36" i="76"/>
  <c r="AF35" i="76" a="1"/>
  <c r="AF35" i="76" s="1"/>
  <c r="AE35" i="76" a="1"/>
  <c r="AE35" i="76" s="1"/>
  <c r="AD35" i="76" a="1"/>
  <c r="AD35" i="76" s="1"/>
  <c r="U35" i="76"/>
  <c r="V35" i="76" s="1"/>
  <c r="T35" i="76"/>
  <c r="R35" i="76"/>
  <c r="O35" i="76"/>
  <c r="P35" i="76" s="1"/>
  <c r="M35" i="76"/>
  <c r="N35" i="76" s="1"/>
  <c r="L35" i="76"/>
  <c r="AF34" i="76" a="1"/>
  <c r="AF34" i="76" s="1"/>
  <c r="AE34" i="76" a="1"/>
  <c r="AE34" i="76" s="1"/>
  <c r="AD34" i="76" a="1"/>
  <c r="AD34" i="76" s="1"/>
  <c r="U34" i="76"/>
  <c r="V34" i="76" s="1"/>
  <c r="T34" i="76"/>
  <c r="R34" i="76"/>
  <c r="O34" i="76"/>
  <c r="P34" i="76" s="1"/>
  <c r="M34" i="76"/>
  <c r="N34" i="76" s="1"/>
  <c r="L34" i="76"/>
  <c r="AF33" i="76" a="1"/>
  <c r="AF33" i="76" s="1"/>
  <c r="AE33" i="76" a="1"/>
  <c r="AE33" i="76" s="1"/>
  <c r="AD33" i="76" a="1"/>
  <c r="AD33" i="76" s="1"/>
  <c r="U33" i="76"/>
  <c r="V33" i="76" s="1"/>
  <c r="T33" i="76"/>
  <c r="R33" i="76"/>
  <c r="O33" i="76"/>
  <c r="P33" i="76" s="1"/>
  <c r="M33" i="76"/>
  <c r="N33" i="76" s="1"/>
  <c r="L33" i="76"/>
  <c r="AF32" i="76" a="1"/>
  <c r="AF32" i="76" s="1"/>
  <c r="AE32" i="76" a="1"/>
  <c r="AE32" i="76" s="1"/>
  <c r="AD32" i="76" a="1"/>
  <c r="AD32" i="76" s="1"/>
  <c r="U32" i="76"/>
  <c r="V32" i="76" s="1"/>
  <c r="T32" i="76"/>
  <c r="R32" i="76"/>
  <c r="O32" i="76"/>
  <c r="P32" i="76" s="1"/>
  <c r="M32" i="76"/>
  <c r="N32" i="76" s="1"/>
  <c r="L32" i="76"/>
  <c r="AF31" i="76" a="1"/>
  <c r="AF31" i="76" s="1"/>
  <c r="AE31" i="76" a="1"/>
  <c r="AE31" i="76" s="1"/>
  <c r="AD31" i="76" a="1"/>
  <c r="AD31" i="76" s="1"/>
  <c r="U31" i="76"/>
  <c r="V31" i="76" s="1"/>
  <c r="T31" i="76"/>
  <c r="R31" i="76"/>
  <c r="O31" i="76"/>
  <c r="P31" i="76" s="1"/>
  <c r="M31" i="76"/>
  <c r="N31" i="76" s="1"/>
  <c r="L31" i="76"/>
  <c r="AF30" i="76" a="1"/>
  <c r="AF30" i="76" s="1"/>
  <c r="AE30" i="76" a="1"/>
  <c r="AE30" i="76" s="1"/>
  <c r="AD30" i="76" a="1"/>
  <c r="AD30" i="76" s="1"/>
  <c r="U30" i="76"/>
  <c r="V30" i="76" s="1"/>
  <c r="T30" i="76"/>
  <c r="R30" i="76"/>
  <c r="O30" i="76"/>
  <c r="P30" i="76" s="1"/>
  <c r="M30" i="76"/>
  <c r="N30" i="76" s="1"/>
  <c r="L30" i="76"/>
  <c r="AF29" i="76" a="1"/>
  <c r="AF29" i="76" s="1"/>
  <c r="AE29" i="76" a="1"/>
  <c r="AE29" i="76" s="1"/>
  <c r="AD29" i="76" a="1"/>
  <c r="AD29" i="76" s="1"/>
  <c r="U29" i="76"/>
  <c r="V29" i="76" s="1"/>
  <c r="T29" i="76"/>
  <c r="R29" i="76"/>
  <c r="O29" i="76"/>
  <c r="P29" i="76" s="1"/>
  <c r="M29" i="76"/>
  <c r="N29" i="76" s="1"/>
  <c r="L29" i="76"/>
  <c r="AF28" i="76" a="1"/>
  <c r="AF28" i="76" s="1"/>
  <c r="AE28" i="76" a="1"/>
  <c r="AE28" i="76" s="1"/>
  <c r="AD28" i="76" a="1"/>
  <c r="AD28" i="76" s="1"/>
  <c r="U28" i="76"/>
  <c r="V28" i="76" s="1"/>
  <c r="T28" i="76"/>
  <c r="R28" i="76"/>
  <c r="O28" i="76"/>
  <c r="P28" i="76" s="1"/>
  <c r="M28" i="76"/>
  <c r="N28" i="76" s="1"/>
  <c r="L28" i="76"/>
  <c r="AF27" i="76" a="1"/>
  <c r="AF27" i="76" s="1"/>
  <c r="AE27" i="76" a="1"/>
  <c r="AE27" i="76" s="1"/>
  <c r="AD27" i="76" a="1"/>
  <c r="AD27" i="76" s="1"/>
  <c r="U27" i="76"/>
  <c r="V27" i="76" s="1"/>
  <c r="T27" i="76"/>
  <c r="R27" i="76"/>
  <c r="O27" i="76"/>
  <c r="P27" i="76" s="1"/>
  <c r="M27" i="76"/>
  <c r="N27" i="76" s="1"/>
  <c r="L27" i="76"/>
  <c r="G20" i="76"/>
  <c r="S19" i="76"/>
  <c r="R19" i="76"/>
  <c r="S18" i="76"/>
  <c r="R18" i="76"/>
  <c r="AO17" i="76" a="1"/>
  <c r="AO17" i="76" s="1"/>
  <c r="AN17" i="76" a="1"/>
  <c r="AN17" i="76" s="1"/>
  <c r="AM17" i="76" a="1"/>
  <c r="AM17" i="76" s="1"/>
  <c r="AK17" i="76" a="1"/>
  <c r="AK17" i="76" s="1"/>
  <c r="AJ17" i="76" a="1"/>
  <c r="AJ17" i="76" s="1"/>
  <c r="AI17" i="76" a="1"/>
  <c r="AI17" i="76" s="1"/>
  <c r="AH17" i="76" a="1"/>
  <c r="AH17" i="76" s="1"/>
  <c r="AG17" i="76" a="1"/>
  <c r="AG17" i="76" s="1"/>
  <c r="J17" i="76"/>
  <c r="I17" i="76"/>
  <c r="AO16" i="76" a="1"/>
  <c r="AO16" i="76" s="1"/>
  <c r="AN16" i="76" a="1"/>
  <c r="AN16" i="76" s="1"/>
  <c r="AM16" i="76" a="1"/>
  <c r="AM16" i="76" s="1"/>
  <c r="AK16" i="76" a="1"/>
  <c r="AK16" i="76" s="1"/>
  <c r="AJ16" i="76" a="1"/>
  <c r="AJ16" i="76" s="1"/>
  <c r="AI16" i="76" a="1"/>
  <c r="AI16" i="76" s="1"/>
  <c r="AH16" i="76" a="1"/>
  <c r="AH16" i="76" s="1"/>
  <c r="AG16" i="76" a="1"/>
  <c r="AG16" i="76" s="1"/>
  <c r="S16" i="76"/>
  <c r="R16" i="76"/>
  <c r="J16" i="76"/>
  <c r="I16" i="76"/>
  <c r="AO15" i="76" a="1"/>
  <c r="AO15" i="76" s="1"/>
  <c r="AN15" i="76" a="1"/>
  <c r="AN15" i="76" s="1"/>
  <c r="AM15" i="76" a="1"/>
  <c r="AM15" i="76" s="1"/>
  <c r="AK15" i="76" a="1"/>
  <c r="AK15" i="76" s="1"/>
  <c r="AJ15" i="76" a="1"/>
  <c r="AJ15" i="76" s="1"/>
  <c r="AI15" i="76" a="1"/>
  <c r="AI15" i="76" s="1"/>
  <c r="AH15" i="76" a="1"/>
  <c r="AH15" i="76" s="1"/>
  <c r="AG15" i="76" a="1"/>
  <c r="AG15" i="76" s="1"/>
  <c r="S15" i="76"/>
  <c r="R15" i="76"/>
  <c r="CL12" i="76" a="1"/>
  <c r="CL12" i="76" s="1"/>
  <c r="CK12" i="76" a="1"/>
  <c r="CK12" i="76" s="1"/>
  <c r="CJ12" i="76" a="1"/>
  <c r="CJ12" i="76" s="1"/>
  <c r="CI12" i="76" a="1"/>
  <c r="CI12" i="76" s="1"/>
  <c r="CH12" i="76" a="1"/>
  <c r="CH12" i="76" s="1"/>
  <c r="CG12" i="76" a="1"/>
  <c r="CG12" i="76" s="1"/>
  <c r="CF12" i="76" a="1"/>
  <c r="CF12" i="76" s="1"/>
  <c r="CE12" i="76" a="1"/>
  <c r="CE12" i="76" s="1"/>
  <c r="CD12" i="76" a="1"/>
  <c r="CD12" i="76" s="1"/>
  <c r="CC12" i="76" a="1"/>
  <c r="CC12" i="76" s="1"/>
  <c r="CB12" i="76" a="1"/>
  <c r="CB12" i="76" s="1"/>
  <c r="CA12" i="76" a="1"/>
  <c r="CA12" i="76" s="1"/>
  <c r="BZ12" i="76" a="1"/>
  <c r="BZ12" i="76" s="1"/>
  <c r="BY12" i="76" a="1"/>
  <c r="BY12" i="76" s="1"/>
  <c r="BT12" i="76" a="1"/>
  <c r="BT12" i="76" s="1"/>
  <c r="BS12" i="76" a="1"/>
  <c r="BS12" i="76" s="1"/>
  <c r="BR12" i="76" a="1"/>
  <c r="BR12" i="76" s="1"/>
  <c r="BP12" i="76" a="1"/>
  <c r="BP12" i="76" s="1"/>
  <c r="BF12" i="76" a="1"/>
  <c r="BF12" i="76" s="1"/>
  <c r="BE12" i="76" a="1"/>
  <c r="BE12" i="76" s="1"/>
  <c r="BD12" i="76" a="1"/>
  <c r="BD12" i="76" s="1"/>
  <c r="AZ12" i="76" a="1"/>
  <c r="AZ12" i="76" s="1"/>
  <c r="AU12" i="76" a="1"/>
  <c r="AU12" i="76" s="1"/>
  <c r="BB12" i="76" a="1"/>
  <c r="BB12" i="76" s="1"/>
  <c r="AS12" i="76" a="1"/>
  <c r="AS12" i="76" s="1"/>
  <c r="BC12" i="76" a="1"/>
  <c r="BC12" i="76" s="1"/>
  <c r="BA12" i="76" a="1"/>
  <c r="BA12" i="76" s="1"/>
  <c r="AR12" i="76" a="1"/>
  <c r="AR12" i="76" s="1"/>
  <c r="AQ12" i="76" a="1"/>
  <c r="AQ12" i="76" s="1"/>
  <c r="AO12" i="76" a="1"/>
  <c r="AO12" i="76" s="1"/>
  <c r="AN12" i="76" a="1"/>
  <c r="AN12" i="76" s="1"/>
  <c r="AL12" i="76" a="1"/>
  <c r="AL12" i="76" s="1"/>
  <c r="AK12" i="76" a="1"/>
  <c r="AK12" i="76" s="1"/>
  <c r="AI12" i="76" a="1"/>
  <c r="AI12" i="76" s="1"/>
  <c r="AH12" i="76" a="1"/>
  <c r="AH12" i="76" s="1"/>
  <c r="AG12" i="76" a="1"/>
  <c r="AG12" i="76" s="1"/>
  <c r="AF12" i="76" a="1"/>
  <c r="AF12" i="76" s="1"/>
  <c r="CL10" i="76" a="1"/>
  <c r="CL10" i="76" s="1"/>
  <c r="CK10" i="76" a="1"/>
  <c r="CK10" i="76" s="1"/>
  <c r="CJ10" i="76" a="1"/>
  <c r="CJ10" i="76" s="1"/>
  <c r="CI10" i="76" a="1"/>
  <c r="CI10" i="76" s="1"/>
  <c r="CH10" i="76" a="1"/>
  <c r="CH10" i="76" s="1"/>
  <c r="CG10" i="76" a="1"/>
  <c r="CG10" i="76" s="1"/>
  <c r="CF10" i="76" a="1"/>
  <c r="CF10" i="76" s="1"/>
  <c r="CE10" i="76" a="1"/>
  <c r="CE10" i="76" s="1"/>
  <c r="CD10" i="76" a="1"/>
  <c r="CD10" i="76" s="1"/>
  <c r="CC10" i="76" a="1"/>
  <c r="CC10" i="76" s="1"/>
  <c r="CB10" i="76" a="1"/>
  <c r="CB10" i="76" s="1"/>
  <c r="CA10" i="76" a="1"/>
  <c r="CA10" i="76" s="1"/>
  <c r="BZ10" i="76" a="1"/>
  <c r="BZ10" i="76" s="1"/>
  <c r="BY10" i="76" a="1"/>
  <c r="BY10" i="76" s="1"/>
  <c r="BT10" i="76" a="1"/>
  <c r="BT10" i="76" s="1"/>
  <c r="BS10" i="76" a="1"/>
  <c r="BS10" i="76" s="1"/>
  <c r="BR10" i="76" a="1"/>
  <c r="BR10" i="76" s="1"/>
  <c r="BP10" i="76" a="1"/>
  <c r="BP10" i="76" s="1"/>
  <c r="BF10" i="76" a="1"/>
  <c r="BF10" i="76" s="1"/>
  <c r="BE10" i="76" a="1"/>
  <c r="BE10" i="76" s="1"/>
  <c r="BD10" i="76" a="1"/>
  <c r="BD10" i="76" s="1"/>
  <c r="AZ10" i="76" a="1"/>
  <c r="AZ10" i="76" s="1"/>
  <c r="AU10" i="76" a="1"/>
  <c r="AU10" i="76" s="1"/>
  <c r="BB10" i="76" a="1"/>
  <c r="BB10" i="76" s="1"/>
  <c r="AS10" i="76" a="1"/>
  <c r="AS10" i="76" s="1"/>
  <c r="BC10" i="76" a="1"/>
  <c r="BC10" i="76" s="1"/>
  <c r="BA10" i="76" a="1"/>
  <c r="BA10" i="76" s="1"/>
  <c r="AR10" i="76" a="1"/>
  <c r="AR10" i="76" s="1"/>
  <c r="AQ10" i="76" a="1"/>
  <c r="AQ10" i="76" s="1"/>
  <c r="AO10" i="76" a="1"/>
  <c r="AO10" i="76" s="1"/>
  <c r="AN10" i="76" a="1"/>
  <c r="AN10" i="76" s="1"/>
  <c r="AL10" i="76" a="1"/>
  <c r="AL10" i="76" s="1"/>
  <c r="AK10" i="76" a="1"/>
  <c r="AK10" i="76" s="1"/>
  <c r="AI10" i="76" a="1"/>
  <c r="AI10" i="76" s="1"/>
  <c r="AH10" i="76" a="1"/>
  <c r="AH10" i="76" s="1"/>
  <c r="AG10" i="76" a="1"/>
  <c r="AG10" i="76" s="1"/>
  <c r="AF10" i="76" a="1"/>
  <c r="AF10" i="76" s="1"/>
  <c r="CL2" i="76" a="1"/>
  <c r="CL2" i="76" s="1"/>
  <c r="CK2" i="76" a="1"/>
  <c r="CK2" i="76" s="1"/>
  <c r="CJ2" i="76" a="1"/>
  <c r="CJ2" i="76" s="1"/>
  <c r="CI2" i="76" a="1"/>
  <c r="CI2" i="76" s="1"/>
  <c r="CH2" i="76" a="1"/>
  <c r="CH2" i="76" s="1"/>
  <c r="CG2" i="76" a="1"/>
  <c r="CG2" i="76" s="1"/>
  <c r="CF2" i="76" a="1"/>
  <c r="CF2" i="76" s="1"/>
  <c r="CE2" i="76" a="1"/>
  <c r="CE2" i="76" s="1"/>
  <c r="CD2" i="76" a="1"/>
  <c r="CD2" i="76" s="1"/>
  <c r="CC2" i="76" a="1"/>
  <c r="CC2" i="76" s="1"/>
  <c r="CB2" i="76" a="1"/>
  <c r="CB2" i="76" s="1"/>
  <c r="CA2" i="76" a="1"/>
  <c r="CA2" i="76" s="1"/>
  <c r="BZ2" i="76" a="1"/>
  <c r="BZ2" i="76" s="1"/>
  <c r="BY2" i="76" a="1"/>
  <c r="BY2" i="76" s="1"/>
  <c r="BT2" i="76" a="1"/>
  <c r="BT2" i="76" s="1"/>
  <c r="BS2" i="76" a="1"/>
  <c r="BS2" i="76" s="1"/>
  <c r="BR2" i="76" a="1"/>
  <c r="BR2" i="76" s="1"/>
  <c r="BP2" i="76" a="1"/>
  <c r="BP2" i="76" s="1"/>
  <c r="BF2" i="76" a="1"/>
  <c r="BF2" i="76" s="1"/>
  <c r="BE2" i="76" a="1"/>
  <c r="BE2" i="76" s="1"/>
  <c r="BD2" i="76" a="1"/>
  <c r="BD2" i="76" s="1"/>
  <c r="AZ2" i="76" a="1"/>
  <c r="AZ2" i="76" s="1"/>
  <c r="AU2" i="76" a="1"/>
  <c r="AU2" i="76" s="1"/>
  <c r="BB2" i="76" a="1"/>
  <c r="BB2" i="76" s="1"/>
  <c r="AS2" i="76" a="1"/>
  <c r="AS2" i="76" s="1"/>
  <c r="BC2" i="76" a="1"/>
  <c r="BC2" i="76" s="1"/>
  <c r="BA2" i="76" a="1"/>
  <c r="BA2" i="76" s="1"/>
  <c r="AR2" i="76" a="1"/>
  <c r="AR2" i="76" s="1"/>
  <c r="AQ2" i="76" a="1"/>
  <c r="AQ2" i="76" s="1"/>
  <c r="AO2" i="76" a="1"/>
  <c r="AO2" i="76" s="1"/>
  <c r="AN2" i="76" a="1"/>
  <c r="AN2" i="76" s="1"/>
  <c r="AL2" i="76" a="1"/>
  <c r="AL2" i="76" s="1"/>
  <c r="AK2" i="76" a="1"/>
  <c r="AK2" i="76" s="1"/>
  <c r="AI2" i="76" a="1"/>
  <c r="AI2" i="76" s="1"/>
  <c r="AH2" i="76" a="1"/>
  <c r="AH2" i="76" s="1"/>
  <c r="AG2" i="76" a="1"/>
  <c r="AG2" i="76" s="1"/>
  <c r="CL1" i="76"/>
  <c r="CK1" i="76"/>
  <c r="CJ1" i="76"/>
  <c r="CI1" i="76"/>
  <c r="CH1" i="76"/>
  <c r="CG1" i="76"/>
  <c r="CF1" i="76"/>
  <c r="CE1" i="76"/>
  <c r="CD1" i="76"/>
  <c r="CC1" i="76"/>
  <c r="CB1" i="76"/>
  <c r="CA1" i="76"/>
  <c r="BZ1" i="76"/>
  <c r="BY1" i="76"/>
  <c r="BT1" i="76"/>
  <c r="BS1" i="76"/>
  <c r="BR1" i="76"/>
  <c r="BP1" i="76"/>
  <c r="BF1" i="76"/>
  <c r="BE1" i="76"/>
  <c r="BD1" i="76"/>
  <c r="AZ1" i="76"/>
  <c r="AU1" i="76"/>
  <c r="BB1" i="76"/>
  <c r="AS1" i="76"/>
  <c r="BC1" i="76"/>
  <c r="BA1" i="76"/>
  <c r="AR1" i="76"/>
  <c r="AQ1" i="76"/>
  <c r="AO1" i="76"/>
  <c r="AN1" i="76"/>
  <c r="AL1" i="76"/>
  <c r="AK1" i="76"/>
  <c r="AI1" i="76"/>
  <c r="AH1" i="76"/>
  <c r="AG1" i="76"/>
  <c r="AF129" i="75" a="1"/>
  <c r="AF129" i="75" s="1"/>
  <c r="AE129" i="75" a="1"/>
  <c r="AE129" i="75" s="1"/>
  <c r="AD129" i="75" a="1"/>
  <c r="AD129" i="75" s="1"/>
  <c r="T129" i="75"/>
  <c r="R129" i="75"/>
  <c r="N129" i="75"/>
  <c r="M129" i="75"/>
  <c r="L129" i="75"/>
  <c r="F129" i="75"/>
  <c r="D129" i="75"/>
  <c r="AF128" i="75" a="1"/>
  <c r="AF128" i="75" s="1"/>
  <c r="AE128" i="75" a="1"/>
  <c r="AE128" i="75" s="1"/>
  <c r="AD128" i="75" a="1"/>
  <c r="AD128" i="75" s="1"/>
  <c r="T128" i="75"/>
  <c r="R128" i="75"/>
  <c r="N128" i="75"/>
  <c r="M128" i="75"/>
  <c r="L128" i="75"/>
  <c r="F128" i="75"/>
  <c r="D128" i="75"/>
  <c r="AF127" i="75" a="1"/>
  <c r="AF127" i="75" s="1"/>
  <c r="AE127" i="75" a="1"/>
  <c r="AE127" i="75" s="1"/>
  <c r="AD127" i="75" a="1"/>
  <c r="AD127" i="75" s="1"/>
  <c r="T127" i="75"/>
  <c r="R127" i="75"/>
  <c r="N127" i="75"/>
  <c r="M127" i="75"/>
  <c r="L127" i="75"/>
  <c r="F127" i="75"/>
  <c r="D127" i="75"/>
  <c r="AF126" i="75" a="1"/>
  <c r="AF126" i="75" s="1"/>
  <c r="AE126" i="75" a="1"/>
  <c r="AE126" i="75" s="1"/>
  <c r="AD126" i="75" a="1"/>
  <c r="AD126" i="75" s="1"/>
  <c r="T126" i="75"/>
  <c r="R126" i="75"/>
  <c r="N126" i="75"/>
  <c r="M126" i="75"/>
  <c r="L126" i="75"/>
  <c r="F126" i="75"/>
  <c r="D126" i="75"/>
  <c r="AF125" i="75" a="1"/>
  <c r="AF125" i="75" s="1"/>
  <c r="AE125" i="75" a="1"/>
  <c r="AE125" i="75" s="1"/>
  <c r="AD125" i="75" a="1"/>
  <c r="AD125" i="75" s="1"/>
  <c r="T125" i="75"/>
  <c r="R125" i="75"/>
  <c r="N125" i="75"/>
  <c r="M125" i="75"/>
  <c r="L125" i="75"/>
  <c r="F125" i="75"/>
  <c r="D125" i="75"/>
  <c r="AF124" i="75" a="1"/>
  <c r="AF124" i="75" s="1"/>
  <c r="AE124" i="75" a="1"/>
  <c r="AE124" i="75" s="1"/>
  <c r="AD124" i="75" a="1"/>
  <c r="AD124" i="75" s="1"/>
  <c r="T124" i="75"/>
  <c r="R124" i="75"/>
  <c r="N124" i="75"/>
  <c r="M124" i="75"/>
  <c r="L124" i="75"/>
  <c r="F124" i="75"/>
  <c r="D124" i="75"/>
  <c r="AF123" i="75" a="1"/>
  <c r="AF123" i="75" s="1"/>
  <c r="AE123" i="75" a="1"/>
  <c r="AE123" i="75" s="1"/>
  <c r="AD123" i="75" a="1"/>
  <c r="AD123" i="75" s="1"/>
  <c r="T123" i="75"/>
  <c r="R123" i="75"/>
  <c r="N123" i="75"/>
  <c r="M123" i="75"/>
  <c r="L123" i="75"/>
  <c r="F123" i="75"/>
  <c r="D123" i="75"/>
  <c r="AF122" i="75" a="1"/>
  <c r="AF122" i="75" s="1"/>
  <c r="AE122" i="75" a="1"/>
  <c r="AE122" i="75" s="1"/>
  <c r="AD122" i="75" a="1"/>
  <c r="AD122" i="75" s="1"/>
  <c r="T122" i="75"/>
  <c r="R122" i="75"/>
  <c r="N122" i="75"/>
  <c r="M122" i="75"/>
  <c r="L122" i="75"/>
  <c r="F122" i="75"/>
  <c r="D122" i="75"/>
  <c r="AF121" i="75" a="1"/>
  <c r="AF121" i="75" s="1"/>
  <c r="AE121" i="75" a="1"/>
  <c r="AE121" i="75" s="1"/>
  <c r="AD121" i="75" a="1"/>
  <c r="AD121" i="75" s="1"/>
  <c r="T121" i="75"/>
  <c r="R121" i="75"/>
  <c r="N121" i="75"/>
  <c r="M121" i="75"/>
  <c r="L121" i="75"/>
  <c r="F121" i="75"/>
  <c r="D121" i="75"/>
  <c r="AF120" i="75" a="1"/>
  <c r="AF120" i="75" s="1"/>
  <c r="AE120" i="75" a="1"/>
  <c r="AE120" i="75" s="1"/>
  <c r="AD120" i="75" a="1"/>
  <c r="AD120" i="75" s="1"/>
  <c r="T120" i="75"/>
  <c r="R120" i="75"/>
  <c r="N120" i="75"/>
  <c r="M120" i="75"/>
  <c r="L120" i="75"/>
  <c r="F120" i="75"/>
  <c r="D120" i="75"/>
  <c r="AF119" i="75" a="1"/>
  <c r="AF119" i="75" s="1"/>
  <c r="AE119" i="75" a="1"/>
  <c r="AE119" i="75" s="1"/>
  <c r="AD119" i="75" a="1"/>
  <c r="AD119" i="75" s="1"/>
  <c r="T119" i="75"/>
  <c r="R119" i="75"/>
  <c r="N119" i="75"/>
  <c r="M119" i="75"/>
  <c r="L119" i="75"/>
  <c r="F119" i="75"/>
  <c r="D119" i="75"/>
  <c r="AF118" i="75" a="1"/>
  <c r="AF118" i="75" s="1"/>
  <c r="AE118" i="75" a="1"/>
  <c r="AE118" i="75" s="1"/>
  <c r="AD118" i="75" a="1"/>
  <c r="AD118" i="75" s="1"/>
  <c r="T118" i="75"/>
  <c r="R118" i="75"/>
  <c r="N118" i="75"/>
  <c r="M118" i="75"/>
  <c r="L118" i="75"/>
  <c r="F118" i="75"/>
  <c r="D118" i="75"/>
  <c r="AF117" i="75" a="1"/>
  <c r="AF117" i="75" s="1"/>
  <c r="AE117" i="75" a="1"/>
  <c r="AE117" i="75" s="1"/>
  <c r="AD117" i="75" a="1"/>
  <c r="AD117" i="75" s="1"/>
  <c r="T117" i="75"/>
  <c r="R117" i="75"/>
  <c r="N117" i="75"/>
  <c r="M117" i="75"/>
  <c r="L117" i="75"/>
  <c r="F117" i="75"/>
  <c r="D117" i="75"/>
  <c r="AF116" i="75" a="1"/>
  <c r="AF116" i="75" s="1"/>
  <c r="AE116" i="75" a="1"/>
  <c r="AE116" i="75" s="1"/>
  <c r="AD116" i="75" a="1"/>
  <c r="AD116" i="75" s="1"/>
  <c r="T116" i="75"/>
  <c r="R116" i="75"/>
  <c r="N116" i="75"/>
  <c r="M116" i="75"/>
  <c r="L116" i="75"/>
  <c r="F116" i="75"/>
  <c r="D116" i="75"/>
  <c r="AF115" i="75" a="1"/>
  <c r="AF115" i="75" s="1"/>
  <c r="AE115" i="75" a="1"/>
  <c r="AE115" i="75" s="1"/>
  <c r="AD115" i="75" a="1"/>
  <c r="AD115" i="75" s="1"/>
  <c r="T115" i="75"/>
  <c r="R115" i="75"/>
  <c r="N115" i="75"/>
  <c r="M115" i="75"/>
  <c r="L115" i="75"/>
  <c r="F115" i="75"/>
  <c r="D115" i="75"/>
  <c r="AF114" i="75" a="1"/>
  <c r="AF114" i="75" s="1"/>
  <c r="AE114" i="75" a="1"/>
  <c r="AE114" i="75" s="1"/>
  <c r="AD114" i="75" a="1"/>
  <c r="AD114" i="75" s="1"/>
  <c r="T114" i="75"/>
  <c r="R114" i="75"/>
  <c r="N114" i="75"/>
  <c r="M114" i="75"/>
  <c r="L114" i="75"/>
  <c r="F114" i="75"/>
  <c r="D114" i="75"/>
  <c r="AF113" i="75" a="1"/>
  <c r="AF113" i="75" s="1"/>
  <c r="AE113" i="75" a="1"/>
  <c r="AE113" i="75" s="1"/>
  <c r="AD113" i="75" a="1"/>
  <c r="AD113" i="75" s="1"/>
  <c r="T113" i="75"/>
  <c r="R113" i="75"/>
  <c r="N113" i="75"/>
  <c r="M113" i="75"/>
  <c r="L113" i="75"/>
  <c r="F113" i="75"/>
  <c r="D113" i="75"/>
  <c r="AF112" i="75" a="1"/>
  <c r="AF112" i="75" s="1"/>
  <c r="AE112" i="75" a="1"/>
  <c r="AE112" i="75" s="1"/>
  <c r="AD112" i="75" a="1"/>
  <c r="AD112" i="75" s="1"/>
  <c r="T112" i="75"/>
  <c r="R112" i="75"/>
  <c r="N112" i="75"/>
  <c r="M112" i="75"/>
  <c r="L112" i="75"/>
  <c r="F112" i="75"/>
  <c r="D112" i="75"/>
  <c r="AF111" i="75" a="1"/>
  <c r="AF111" i="75" s="1"/>
  <c r="AE111" i="75" a="1"/>
  <c r="AE111" i="75" s="1"/>
  <c r="AD111" i="75" a="1"/>
  <c r="AD111" i="75" s="1"/>
  <c r="T111" i="75"/>
  <c r="R111" i="75"/>
  <c r="N111" i="75"/>
  <c r="M111" i="75"/>
  <c r="L111" i="75"/>
  <c r="F111" i="75"/>
  <c r="D111" i="75"/>
  <c r="AF110" i="75" a="1"/>
  <c r="AF110" i="75" s="1"/>
  <c r="AE110" i="75" a="1"/>
  <c r="AE110" i="75" s="1"/>
  <c r="AD110" i="75" a="1"/>
  <c r="AD110" i="75" s="1"/>
  <c r="T110" i="75"/>
  <c r="R110" i="75"/>
  <c r="N110" i="75"/>
  <c r="M110" i="75"/>
  <c r="L110" i="75"/>
  <c r="F110" i="75"/>
  <c r="D110" i="75"/>
  <c r="AF109" i="75" a="1"/>
  <c r="AF109" i="75" s="1"/>
  <c r="AE109" i="75" a="1"/>
  <c r="AE109" i="75" s="1"/>
  <c r="AD109" i="75" a="1"/>
  <c r="AD109" i="75" s="1"/>
  <c r="T109" i="75"/>
  <c r="R109" i="75"/>
  <c r="N109" i="75"/>
  <c r="M109" i="75"/>
  <c r="L109" i="75"/>
  <c r="F109" i="75"/>
  <c r="D109" i="75"/>
  <c r="AF108" i="75" a="1"/>
  <c r="AF108" i="75" s="1"/>
  <c r="AE108" i="75" a="1"/>
  <c r="AE108" i="75" s="1"/>
  <c r="AD108" i="75" a="1"/>
  <c r="AD108" i="75" s="1"/>
  <c r="T108" i="75"/>
  <c r="R108" i="75"/>
  <c r="N108" i="75"/>
  <c r="M108" i="75"/>
  <c r="L108" i="75"/>
  <c r="F108" i="75"/>
  <c r="D108" i="75"/>
  <c r="AF107" i="75" a="1"/>
  <c r="AF107" i="75" s="1"/>
  <c r="AE107" i="75" a="1"/>
  <c r="AE107" i="75" s="1"/>
  <c r="AD107" i="75" a="1"/>
  <c r="AD107" i="75" s="1"/>
  <c r="T107" i="75"/>
  <c r="R107" i="75"/>
  <c r="N107" i="75"/>
  <c r="M107" i="75"/>
  <c r="L107" i="75"/>
  <c r="F107" i="75"/>
  <c r="D107" i="75"/>
  <c r="AF106" i="75" a="1"/>
  <c r="AF106" i="75" s="1"/>
  <c r="AE106" i="75" a="1"/>
  <c r="AE106" i="75" s="1"/>
  <c r="AD106" i="75" a="1"/>
  <c r="AD106" i="75" s="1"/>
  <c r="T106" i="75"/>
  <c r="R106" i="75"/>
  <c r="N106" i="75"/>
  <c r="M106" i="75"/>
  <c r="L106" i="75"/>
  <c r="F106" i="75"/>
  <c r="D106" i="75"/>
  <c r="AF105" i="75" a="1"/>
  <c r="AF105" i="75" s="1"/>
  <c r="AE105" i="75" a="1"/>
  <c r="AE105" i="75" s="1"/>
  <c r="AD105" i="75" a="1"/>
  <c r="AD105" i="75" s="1"/>
  <c r="T105" i="75"/>
  <c r="R105" i="75"/>
  <c r="N105" i="75"/>
  <c r="M105" i="75"/>
  <c r="L105" i="75"/>
  <c r="F105" i="75"/>
  <c r="D105" i="75"/>
  <c r="AF104" i="75" a="1"/>
  <c r="AF104" i="75" s="1"/>
  <c r="AE104" i="75" a="1"/>
  <c r="AE104" i="75" s="1"/>
  <c r="AD104" i="75" a="1"/>
  <c r="AD104" i="75" s="1"/>
  <c r="T104" i="75"/>
  <c r="R104" i="75"/>
  <c r="N104" i="75"/>
  <c r="M104" i="75"/>
  <c r="L104" i="75"/>
  <c r="F104" i="75"/>
  <c r="D104" i="75"/>
  <c r="AF103" i="75" a="1"/>
  <c r="AF103" i="75" s="1"/>
  <c r="AE103" i="75" a="1"/>
  <c r="AE103" i="75" s="1"/>
  <c r="AD103" i="75" a="1"/>
  <c r="AD103" i="75" s="1"/>
  <c r="T103" i="75"/>
  <c r="R103" i="75"/>
  <c r="N103" i="75"/>
  <c r="M103" i="75"/>
  <c r="L103" i="75"/>
  <c r="F103" i="75"/>
  <c r="D103" i="75"/>
  <c r="AF102" i="75" a="1"/>
  <c r="AF102" i="75" s="1"/>
  <c r="AE102" i="75" a="1"/>
  <c r="AE102" i="75" s="1"/>
  <c r="AD102" i="75" a="1"/>
  <c r="AD102" i="75" s="1"/>
  <c r="T102" i="75"/>
  <c r="R102" i="75"/>
  <c r="N102" i="75"/>
  <c r="M102" i="75"/>
  <c r="L102" i="75"/>
  <c r="F102" i="75"/>
  <c r="D102" i="75"/>
  <c r="AF101" i="75" a="1"/>
  <c r="AF101" i="75" s="1"/>
  <c r="AE101" i="75" a="1"/>
  <c r="AE101" i="75" s="1"/>
  <c r="AD101" i="75" a="1"/>
  <c r="AD101" i="75" s="1"/>
  <c r="T101" i="75"/>
  <c r="R101" i="75"/>
  <c r="N101" i="75"/>
  <c r="M101" i="75"/>
  <c r="L101" i="75"/>
  <c r="F101" i="75"/>
  <c r="D101" i="75"/>
  <c r="AF100" i="75" a="1"/>
  <c r="AF100" i="75" s="1"/>
  <c r="AE100" i="75" a="1"/>
  <c r="AE100" i="75" s="1"/>
  <c r="AD100" i="75" a="1"/>
  <c r="AD100" i="75" s="1"/>
  <c r="T100" i="75"/>
  <c r="R100" i="75"/>
  <c r="N100" i="75"/>
  <c r="M100" i="75"/>
  <c r="L100" i="75"/>
  <c r="F100" i="75"/>
  <c r="D100" i="75"/>
  <c r="AF99" i="75" a="1"/>
  <c r="AF99" i="75" s="1"/>
  <c r="AE99" i="75" a="1"/>
  <c r="AE99" i="75" s="1"/>
  <c r="AD99" i="75" a="1"/>
  <c r="AD99" i="75" s="1"/>
  <c r="T99" i="75"/>
  <c r="R99" i="75"/>
  <c r="N99" i="75"/>
  <c r="M99" i="75"/>
  <c r="L99" i="75"/>
  <c r="F99" i="75"/>
  <c r="D99" i="75"/>
  <c r="AF98" i="75" a="1"/>
  <c r="AF98" i="75" s="1"/>
  <c r="AE98" i="75" a="1"/>
  <c r="AE98" i="75" s="1"/>
  <c r="AD98" i="75" a="1"/>
  <c r="AD98" i="75" s="1"/>
  <c r="T98" i="75"/>
  <c r="R98" i="75"/>
  <c r="N98" i="75"/>
  <c r="M98" i="75"/>
  <c r="L98" i="75"/>
  <c r="F98" i="75"/>
  <c r="D98" i="75"/>
  <c r="AF97" i="75" a="1"/>
  <c r="AF97" i="75" s="1"/>
  <c r="AE97" i="75" a="1"/>
  <c r="AE97" i="75" s="1"/>
  <c r="AD97" i="75" a="1"/>
  <c r="AD97" i="75" s="1"/>
  <c r="T97" i="75"/>
  <c r="R97" i="75"/>
  <c r="N97" i="75"/>
  <c r="M97" i="75"/>
  <c r="L97" i="75"/>
  <c r="F97" i="75"/>
  <c r="D97" i="75"/>
  <c r="AF96" i="75" a="1"/>
  <c r="AF96" i="75" s="1"/>
  <c r="AE96" i="75" a="1"/>
  <c r="AE96" i="75" s="1"/>
  <c r="AD96" i="75" a="1"/>
  <c r="AD96" i="75" s="1"/>
  <c r="T96" i="75"/>
  <c r="R96" i="75"/>
  <c r="N96" i="75"/>
  <c r="M96" i="75"/>
  <c r="L96" i="75"/>
  <c r="F96" i="75"/>
  <c r="D96" i="75"/>
  <c r="AF95" i="75" a="1"/>
  <c r="AF95" i="75" s="1"/>
  <c r="AE95" i="75" a="1"/>
  <c r="AE95" i="75" s="1"/>
  <c r="AD95" i="75" a="1"/>
  <c r="AD95" i="75" s="1"/>
  <c r="T95" i="75"/>
  <c r="R95" i="75"/>
  <c r="N95" i="75"/>
  <c r="M95" i="75"/>
  <c r="L95" i="75"/>
  <c r="F95" i="75"/>
  <c r="D95" i="75"/>
  <c r="AF94" i="75" a="1"/>
  <c r="AF94" i="75" s="1"/>
  <c r="AE94" i="75" a="1"/>
  <c r="AE94" i="75" s="1"/>
  <c r="AD94" i="75" a="1"/>
  <c r="AD94" i="75" s="1"/>
  <c r="T94" i="75"/>
  <c r="R94" i="75"/>
  <c r="N94" i="75"/>
  <c r="M94" i="75"/>
  <c r="L94" i="75"/>
  <c r="F94" i="75"/>
  <c r="D94" i="75"/>
  <c r="AF93" i="75" a="1"/>
  <c r="AF93" i="75" s="1"/>
  <c r="AE93" i="75" a="1"/>
  <c r="AE93" i="75" s="1"/>
  <c r="AD93" i="75" a="1"/>
  <c r="AD93" i="75" s="1"/>
  <c r="T93" i="75"/>
  <c r="R93" i="75"/>
  <c r="N93" i="75"/>
  <c r="M93" i="75"/>
  <c r="L93" i="75"/>
  <c r="F93" i="75"/>
  <c r="D93" i="75"/>
  <c r="AF92" i="75" a="1"/>
  <c r="AF92" i="75" s="1"/>
  <c r="AE92" i="75" a="1"/>
  <c r="AE92" i="75" s="1"/>
  <c r="AD92" i="75" a="1"/>
  <c r="AD92" i="75" s="1"/>
  <c r="T92" i="75"/>
  <c r="R92" i="75"/>
  <c r="N92" i="75"/>
  <c r="M92" i="75"/>
  <c r="L92" i="75"/>
  <c r="F92" i="75"/>
  <c r="D92" i="75"/>
  <c r="AF91" i="75" a="1"/>
  <c r="AF91" i="75" s="1"/>
  <c r="AE91" i="75" a="1"/>
  <c r="AE91" i="75" s="1"/>
  <c r="AD91" i="75" a="1"/>
  <c r="AD91" i="75" s="1"/>
  <c r="T91" i="75"/>
  <c r="R91" i="75"/>
  <c r="N91" i="75"/>
  <c r="M91" i="75"/>
  <c r="L91" i="75"/>
  <c r="F91" i="75"/>
  <c r="D91" i="75"/>
  <c r="AF90" i="75" a="1"/>
  <c r="AF90" i="75" s="1"/>
  <c r="AE90" i="75" a="1"/>
  <c r="AE90" i="75" s="1"/>
  <c r="AD90" i="75" a="1"/>
  <c r="AD90" i="75" s="1"/>
  <c r="T90" i="75"/>
  <c r="R90" i="75"/>
  <c r="N90" i="75"/>
  <c r="M90" i="75"/>
  <c r="L90" i="75"/>
  <c r="F90" i="75"/>
  <c r="D90" i="75"/>
  <c r="AF89" i="75" a="1"/>
  <c r="AF89" i="75" s="1"/>
  <c r="AE89" i="75" a="1"/>
  <c r="AE89" i="75" s="1"/>
  <c r="AD89" i="75" a="1"/>
  <c r="AD89" i="75" s="1"/>
  <c r="T89" i="75"/>
  <c r="R89" i="75"/>
  <c r="N89" i="75"/>
  <c r="M89" i="75"/>
  <c r="L89" i="75"/>
  <c r="F89" i="75"/>
  <c r="D89" i="75"/>
  <c r="AF88" i="75" a="1"/>
  <c r="AF88" i="75" s="1"/>
  <c r="AE88" i="75" a="1"/>
  <c r="AE88" i="75" s="1"/>
  <c r="AD88" i="75" a="1"/>
  <c r="AD88" i="75" s="1"/>
  <c r="T88" i="75"/>
  <c r="R88" i="75"/>
  <c r="N88" i="75"/>
  <c r="M88" i="75"/>
  <c r="L88" i="75"/>
  <c r="F88" i="75"/>
  <c r="D88" i="75"/>
  <c r="AF87" i="75" a="1"/>
  <c r="AF87" i="75" s="1"/>
  <c r="AE87" i="75" a="1"/>
  <c r="AE87" i="75" s="1"/>
  <c r="AD87" i="75" a="1"/>
  <c r="AD87" i="75" s="1"/>
  <c r="T87" i="75"/>
  <c r="R87" i="75"/>
  <c r="N87" i="75"/>
  <c r="M87" i="75"/>
  <c r="L87" i="75"/>
  <c r="F87" i="75"/>
  <c r="D87" i="75"/>
  <c r="AF86" i="75" a="1"/>
  <c r="AF86" i="75" s="1"/>
  <c r="AE86" i="75" a="1"/>
  <c r="AE86" i="75" s="1"/>
  <c r="AD86" i="75" a="1"/>
  <c r="AD86" i="75" s="1"/>
  <c r="T86" i="75"/>
  <c r="R86" i="75"/>
  <c r="N86" i="75"/>
  <c r="M86" i="75"/>
  <c r="L86" i="75"/>
  <c r="F86" i="75"/>
  <c r="D86" i="75"/>
  <c r="AF85" i="75" a="1"/>
  <c r="AF85" i="75" s="1"/>
  <c r="AE85" i="75" a="1"/>
  <c r="AE85" i="75" s="1"/>
  <c r="AD85" i="75" a="1"/>
  <c r="AD85" i="75" s="1"/>
  <c r="T85" i="75"/>
  <c r="R85" i="75"/>
  <c r="N85" i="75"/>
  <c r="M85" i="75"/>
  <c r="L85" i="75"/>
  <c r="F85" i="75"/>
  <c r="D85" i="75"/>
  <c r="AF84" i="75" a="1"/>
  <c r="AF84" i="75" s="1"/>
  <c r="AE84" i="75" a="1"/>
  <c r="AE84" i="75" s="1"/>
  <c r="AD84" i="75" a="1"/>
  <c r="AD84" i="75" s="1"/>
  <c r="T84" i="75"/>
  <c r="R84" i="75"/>
  <c r="N84" i="75"/>
  <c r="M84" i="75"/>
  <c r="L84" i="75"/>
  <c r="F84" i="75"/>
  <c r="D84" i="75"/>
  <c r="AF83" i="75" a="1"/>
  <c r="AF83" i="75" s="1"/>
  <c r="AE83" i="75" a="1"/>
  <c r="AE83" i="75" s="1"/>
  <c r="AD83" i="75" a="1"/>
  <c r="AD83" i="75" s="1"/>
  <c r="T83" i="75"/>
  <c r="R83" i="75"/>
  <c r="N83" i="75"/>
  <c r="M83" i="75"/>
  <c r="L83" i="75"/>
  <c r="F83" i="75"/>
  <c r="D83" i="75"/>
  <c r="AF82" i="75" a="1"/>
  <c r="AF82" i="75" s="1"/>
  <c r="AE82" i="75" a="1"/>
  <c r="AE82" i="75" s="1"/>
  <c r="AD82" i="75" a="1"/>
  <c r="AD82" i="75" s="1"/>
  <c r="T82" i="75"/>
  <c r="R82" i="75"/>
  <c r="N82" i="75"/>
  <c r="M82" i="75"/>
  <c r="L82" i="75"/>
  <c r="F82" i="75"/>
  <c r="D82" i="75"/>
  <c r="AF81" i="75" a="1"/>
  <c r="AF81" i="75" s="1"/>
  <c r="AE81" i="75" a="1"/>
  <c r="AE81" i="75" s="1"/>
  <c r="AD81" i="75" a="1"/>
  <c r="AD81" i="75" s="1"/>
  <c r="T81" i="75"/>
  <c r="R81" i="75"/>
  <c r="N81" i="75"/>
  <c r="M81" i="75"/>
  <c r="L81" i="75"/>
  <c r="F81" i="75"/>
  <c r="D81" i="75"/>
  <c r="AF80" i="75" a="1"/>
  <c r="AF80" i="75" s="1"/>
  <c r="AE80" i="75" a="1"/>
  <c r="AE80" i="75" s="1"/>
  <c r="AD80" i="75" a="1"/>
  <c r="AD80" i="75" s="1"/>
  <c r="T80" i="75"/>
  <c r="R80" i="75"/>
  <c r="N80" i="75"/>
  <c r="M80" i="75"/>
  <c r="L80" i="75"/>
  <c r="F80" i="75"/>
  <c r="D80" i="75"/>
  <c r="AF79" i="75" a="1"/>
  <c r="AF79" i="75" s="1"/>
  <c r="AE79" i="75" a="1"/>
  <c r="AE79" i="75" s="1"/>
  <c r="AD79" i="75" a="1"/>
  <c r="AD79" i="75" s="1"/>
  <c r="T79" i="75"/>
  <c r="R79" i="75"/>
  <c r="N79" i="75"/>
  <c r="M79" i="75"/>
  <c r="L79" i="75"/>
  <c r="F79" i="75"/>
  <c r="D79" i="75"/>
  <c r="AF78" i="75" a="1"/>
  <c r="AF78" i="75" s="1"/>
  <c r="AE78" i="75" a="1"/>
  <c r="AE78" i="75" s="1"/>
  <c r="AD78" i="75" a="1"/>
  <c r="AD78" i="75" s="1"/>
  <c r="T78" i="75"/>
  <c r="R78" i="75"/>
  <c r="N78" i="75"/>
  <c r="M78" i="75"/>
  <c r="L78" i="75"/>
  <c r="F78" i="75"/>
  <c r="D78" i="75"/>
  <c r="AF77" i="75" a="1"/>
  <c r="AF77" i="75" s="1"/>
  <c r="AE77" i="75" a="1"/>
  <c r="AE77" i="75" s="1"/>
  <c r="AD77" i="75" a="1"/>
  <c r="AD77" i="75" s="1"/>
  <c r="T77" i="75"/>
  <c r="R77" i="75"/>
  <c r="N77" i="75"/>
  <c r="M77" i="75"/>
  <c r="L77" i="75"/>
  <c r="F77" i="75"/>
  <c r="D77" i="75"/>
  <c r="AF76" i="75" a="1"/>
  <c r="AF76" i="75" s="1"/>
  <c r="AE76" i="75" a="1"/>
  <c r="AE76" i="75" s="1"/>
  <c r="AD76" i="75" a="1"/>
  <c r="AD76" i="75" s="1"/>
  <c r="T76" i="75"/>
  <c r="R76" i="75"/>
  <c r="N76" i="75"/>
  <c r="M76" i="75"/>
  <c r="L76" i="75"/>
  <c r="F76" i="75"/>
  <c r="D76" i="75"/>
  <c r="AF75" i="75" a="1"/>
  <c r="AF75" i="75" s="1"/>
  <c r="AE75" i="75" a="1"/>
  <c r="AE75" i="75" s="1"/>
  <c r="AD75" i="75" a="1"/>
  <c r="AD75" i="75" s="1"/>
  <c r="T75" i="75"/>
  <c r="R75" i="75"/>
  <c r="N75" i="75"/>
  <c r="M75" i="75"/>
  <c r="L75" i="75"/>
  <c r="F75" i="75"/>
  <c r="D75" i="75"/>
  <c r="AF74" i="75" a="1"/>
  <c r="AF74" i="75" s="1"/>
  <c r="AE74" i="75" a="1"/>
  <c r="AE74" i="75" s="1"/>
  <c r="AD74" i="75" a="1"/>
  <c r="AD74" i="75" s="1"/>
  <c r="T74" i="75"/>
  <c r="R74" i="75"/>
  <c r="N74" i="75"/>
  <c r="M74" i="75"/>
  <c r="L74" i="75"/>
  <c r="F74" i="75"/>
  <c r="D74" i="75"/>
  <c r="AF73" i="75" a="1"/>
  <c r="AF73" i="75" s="1"/>
  <c r="AE73" i="75" a="1"/>
  <c r="AE73" i="75" s="1"/>
  <c r="AD73" i="75" a="1"/>
  <c r="AD73" i="75" s="1"/>
  <c r="T73" i="75"/>
  <c r="R73" i="75"/>
  <c r="N73" i="75"/>
  <c r="M73" i="75"/>
  <c r="L73" i="75"/>
  <c r="F73" i="75"/>
  <c r="D73" i="75"/>
  <c r="AF72" i="75" a="1"/>
  <c r="AF72" i="75" s="1"/>
  <c r="AE72" i="75" a="1"/>
  <c r="AE72" i="75" s="1"/>
  <c r="AD72" i="75" a="1"/>
  <c r="AD72" i="75" s="1"/>
  <c r="T72" i="75"/>
  <c r="R72" i="75"/>
  <c r="N72" i="75"/>
  <c r="M72" i="75"/>
  <c r="L72" i="75"/>
  <c r="F72" i="75"/>
  <c r="D72" i="75"/>
  <c r="AF68" i="75" a="1"/>
  <c r="AF68" i="75" s="1"/>
  <c r="AE68" i="75" a="1"/>
  <c r="AE68" i="75" s="1"/>
  <c r="AD68" i="75" a="1"/>
  <c r="AD68" i="75" s="1"/>
  <c r="T68" i="75"/>
  <c r="AF67" i="75" a="1"/>
  <c r="AF67" i="75" s="1"/>
  <c r="AE67" i="75" a="1"/>
  <c r="AE67" i="75" s="1"/>
  <c r="AD67" i="75" a="1"/>
  <c r="AD67" i="75" s="1"/>
  <c r="T67" i="75"/>
  <c r="AF66" i="75" a="1"/>
  <c r="AF66" i="75" s="1"/>
  <c r="AE66" i="75" a="1"/>
  <c r="AE66" i="75" s="1"/>
  <c r="AD66" i="75" a="1"/>
  <c r="AD66" i="75" s="1"/>
  <c r="T66" i="75"/>
  <c r="AF65" i="75" a="1"/>
  <c r="AF65" i="75" s="1"/>
  <c r="AE65" i="75" a="1"/>
  <c r="AE65" i="75" s="1"/>
  <c r="AD65" i="75" a="1"/>
  <c r="AD65" i="75" s="1"/>
  <c r="T65" i="75"/>
  <c r="R65" i="75"/>
  <c r="M65" i="75"/>
  <c r="N65" i="75" s="1"/>
  <c r="L65" i="75"/>
  <c r="AF64" i="75" a="1"/>
  <c r="AF64" i="75" s="1"/>
  <c r="AE64" i="75" a="1"/>
  <c r="AE64" i="75" s="1"/>
  <c r="AD64" i="75" a="1"/>
  <c r="AD64" i="75" s="1"/>
  <c r="T64" i="75"/>
  <c r="R64" i="75"/>
  <c r="M64" i="75"/>
  <c r="N64" i="75" s="1"/>
  <c r="L64" i="75"/>
  <c r="AF63" i="75" a="1"/>
  <c r="AF63" i="75" s="1"/>
  <c r="AE63" i="75" a="1"/>
  <c r="AE63" i="75" s="1"/>
  <c r="AD63" i="75" a="1"/>
  <c r="AD63" i="75" s="1"/>
  <c r="T63" i="75"/>
  <c r="R63" i="75"/>
  <c r="M63" i="75"/>
  <c r="N63" i="75" s="1"/>
  <c r="L63" i="75"/>
  <c r="AF62" i="75" a="1"/>
  <c r="AF62" i="75" s="1"/>
  <c r="AE62" i="75" a="1"/>
  <c r="AE62" i="75" s="1"/>
  <c r="AD62" i="75" a="1"/>
  <c r="AD62" i="75" s="1"/>
  <c r="T62" i="75"/>
  <c r="R62" i="75"/>
  <c r="M62" i="75"/>
  <c r="N62" i="75" s="1"/>
  <c r="L62" i="75"/>
  <c r="AF61" i="75" a="1"/>
  <c r="AF61" i="75" s="1"/>
  <c r="AE61" i="75" a="1"/>
  <c r="AE61" i="75" s="1"/>
  <c r="AD61" i="75" a="1"/>
  <c r="AD61" i="75" s="1"/>
  <c r="T61" i="75"/>
  <c r="R61" i="75"/>
  <c r="M61" i="75"/>
  <c r="N61" i="75" s="1"/>
  <c r="L61" i="75"/>
  <c r="AF60" i="75" a="1"/>
  <c r="AF60" i="75" s="1"/>
  <c r="AE60" i="75" a="1"/>
  <c r="AE60" i="75" s="1"/>
  <c r="AD60" i="75" a="1"/>
  <c r="AD60" i="75" s="1"/>
  <c r="T60" i="75"/>
  <c r="R60" i="75"/>
  <c r="M60" i="75"/>
  <c r="N60" i="75" s="1"/>
  <c r="L60" i="75"/>
  <c r="AF59" i="75" a="1"/>
  <c r="AF59" i="75" s="1"/>
  <c r="AE59" i="75" a="1"/>
  <c r="AE59" i="75" s="1"/>
  <c r="AD59" i="75" a="1"/>
  <c r="AD59" i="75" s="1"/>
  <c r="T59" i="75"/>
  <c r="R59" i="75"/>
  <c r="M59" i="75"/>
  <c r="N59" i="75" s="1"/>
  <c r="L59" i="75"/>
  <c r="AF57" i="75" a="1"/>
  <c r="AF57" i="75" s="1"/>
  <c r="AE57" i="75" a="1"/>
  <c r="AE57" i="75" s="1"/>
  <c r="AD57" i="75" a="1"/>
  <c r="AD57" i="75" s="1"/>
  <c r="U57" i="75"/>
  <c r="V57" i="75" s="1"/>
  <c r="T57" i="75"/>
  <c r="O57" i="75"/>
  <c r="P57" i="75" s="1"/>
  <c r="M57" i="75"/>
  <c r="N57" i="75" s="1"/>
  <c r="L57" i="75"/>
  <c r="AF56" i="75" a="1"/>
  <c r="AF56" i="75" s="1"/>
  <c r="AE56" i="75" a="1"/>
  <c r="AE56" i="75" s="1"/>
  <c r="AD56" i="75" a="1"/>
  <c r="AD56" i="75" s="1"/>
  <c r="U56" i="75"/>
  <c r="V56" i="75" s="1"/>
  <c r="T56" i="75"/>
  <c r="R56" i="75"/>
  <c r="O56" i="75"/>
  <c r="P56" i="75" s="1"/>
  <c r="M56" i="75"/>
  <c r="N56" i="75" s="1"/>
  <c r="L56" i="75"/>
  <c r="AF52" i="75" a="1"/>
  <c r="AF52" i="75" s="1"/>
  <c r="AE52" i="75" a="1"/>
  <c r="AE52" i="75" s="1"/>
  <c r="AD52" i="75" a="1"/>
  <c r="AD52" i="75" s="1"/>
  <c r="U52" i="75"/>
  <c r="V52" i="75" s="1"/>
  <c r="T52" i="75"/>
  <c r="R52" i="75"/>
  <c r="O52" i="75"/>
  <c r="P52" i="75" s="1"/>
  <c r="M52" i="75"/>
  <c r="N52" i="75" s="1"/>
  <c r="L52" i="75"/>
  <c r="U51" i="75"/>
  <c r="V51" i="75" s="1"/>
  <c r="T51" i="75"/>
  <c r="R51" i="75"/>
  <c r="O51" i="75"/>
  <c r="P51" i="75" s="1"/>
  <c r="M51" i="75"/>
  <c r="N51" i="75" s="1"/>
  <c r="L51" i="75"/>
  <c r="V50" i="75"/>
  <c r="U50" i="75"/>
  <c r="T50" i="75"/>
  <c r="R50" i="75"/>
  <c r="O50" i="75"/>
  <c r="P50" i="75" s="1"/>
  <c r="M50" i="75"/>
  <c r="N50" i="75" s="1"/>
  <c r="L50" i="75"/>
  <c r="U49" i="75"/>
  <c r="V49" i="75" s="1"/>
  <c r="T49" i="75"/>
  <c r="R49" i="75"/>
  <c r="O49" i="75"/>
  <c r="P49" i="75" s="1"/>
  <c r="M49" i="75"/>
  <c r="N49" i="75" s="1"/>
  <c r="L49" i="75"/>
  <c r="U48" i="75"/>
  <c r="V48" i="75" s="1"/>
  <c r="T48" i="75"/>
  <c r="R48" i="75"/>
  <c r="M48" i="75"/>
  <c r="N48" i="75" s="1"/>
  <c r="L48" i="75"/>
  <c r="U47" i="75"/>
  <c r="V47" i="75" s="1"/>
  <c r="T47" i="75"/>
  <c r="M47" i="75"/>
  <c r="N47" i="75" s="1"/>
  <c r="L47" i="75"/>
  <c r="U46" i="75"/>
  <c r="V46" i="75" s="1"/>
  <c r="T46" i="75"/>
  <c r="M46" i="75"/>
  <c r="N46" i="75" s="1"/>
  <c r="L46" i="75"/>
  <c r="U45" i="75"/>
  <c r="V45" i="75" s="1"/>
  <c r="T45" i="75"/>
  <c r="M45" i="75"/>
  <c r="N45" i="75" s="1"/>
  <c r="L45" i="75"/>
  <c r="U44" i="75"/>
  <c r="V44" i="75" s="1"/>
  <c r="T44" i="75"/>
  <c r="M44" i="75"/>
  <c r="N44" i="75" s="1"/>
  <c r="L44" i="75"/>
  <c r="U43" i="75"/>
  <c r="V43" i="75" s="1"/>
  <c r="T43" i="75"/>
  <c r="M43" i="75"/>
  <c r="N43" i="75" s="1"/>
  <c r="L43" i="75"/>
  <c r="AF41" i="75" a="1"/>
  <c r="AF41" i="75" s="1"/>
  <c r="AE41" i="75" a="1"/>
  <c r="AE41" i="75" s="1"/>
  <c r="AD41" i="75" a="1"/>
  <c r="AD41" i="75" s="1"/>
  <c r="U41" i="75"/>
  <c r="V41" i="75" s="1"/>
  <c r="T41" i="75"/>
  <c r="M41" i="75"/>
  <c r="N41" i="75" s="1"/>
  <c r="L41" i="75"/>
  <c r="AF40" i="75" a="1"/>
  <c r="AF40" i="75" s="1"/>
  <c r="AE40" i="75" a="1"/>
  <c r="AE40" i="75" s="1"/>
  <c r="AD40" i="75" a="1"/>
  <c r="AD40" i="75" s="1"/>
  <c r="U40" i="75"/>
  <c r="V40" i="75" s="1"/>
  <c r="T40" i="75"/>
  <c r="M40" i="75"/>
  <c r="N40" i="75" s="1"/>
  <c r="L40" i="75"/>
  <c r="AF39" i="75" a="1"/>
  <c r="AF39" i="75" s="1"/>
  <c r="AE39" i="75" a="1"/>
  <c r="AE39" i="75" s="1"/>
  <c r="AD39" i="75" a="1"/>
  <c r="AD39" i="75" s="1"/>
  <c r="U39" i="75"/>
  <c r="V39" i="75" s="1"/>
  <c r="T39" i="75"/>
  <c r="M39" i="75"/>
  <c r="N39" i="75" s="1"/>
  <c r="L39" i="75"/>
  <c r="AF38" i="75" a="1"/>
  <c r="AF38" i="75" s="1"/>
  <c r="AE38" i="75" a="1"/>
  <c r="AE38" i="75" s="1"/>
  <c r="AD38" i="75" a="1"/>
  <c r="AD38" i="75" s="1"/>
  <c r="U38" i="75"/>
  <c r="V38" i="75" s="1"/>
  <c r="T38" i="75"/>
  <c r="O38" i="75"/>
  <c r="P38" i="75" s="1"/>
  <c r="M38" i="75"/>
  <c r="N38" i="75" s="1"/>
  <c r="L38" i="75"/>
  <c r="AF37" i="75" a="1"/>
  <c r="AF37" i="75" s="1"/>
  <c r="AE37" i="75" a="1"/>
  <c r="AE37" i="75" s="1"/>
  <c r="AD37" i="75" a="1"/>
  <c r="AD37" i="75" s="1"/>
  <c r="U37" i="75"/>
  <c r="V37" i="75" s="1"/>
  <c r="T37" i="75"/>
  <c r="R37" i="75"/>
  <c r="O37" i="75"/>
  <c r="P37" i="75" s="1"/>
  <c r="M37" i="75"/>
  <c r="N37" i="75" s="1"/>
  <c r="L37" i="75"/>
  <c r="AF36" i="75" a="1"/>
  <c r="AF36" i="75" s="1"/>
  <c r="AE36" i="75" a="1"/>
  <c r="AE36" i="75" s="1"/>
  <c r="AD36" i="75" a="1"/>
  <c r="AD36" i="75" s="1"/>
  <c r="U36" i="75"/>
  <c r="V36" i="75" s="1"/>
  <c r="T36" i="75"/>
  <c r="R36" i="75"/>
  <c r="O36" i="75"/>
  <c r="P36" i="75" s="1"/>
  <c r="M36" i="75"/>
  <c r="N36" i="75" s="1"/>
  <c r="L36" i="75"/>
  <c r="AF35" i="75" a="1"/>
  <c r="AF35" i="75" s="1"/>
  <c r="AE35" i="75" a="1"/>
  <c r="AE35" i="75" s="1"/>
  <c r="AD35" i="75" a="1"/>
  <c r="AD35" i="75" s="1"/>
  <c r="U35" i="75"/>
  <c r="V35" i="75" s="1"/>
  <c r="T35" i="75"/>
  <c r="R35" i="75"/>
  <c r="O35" i="75"/>
  <c r="P35" i="75" s="1"/>
  <c r="M35" i="75"/>
  <c r="N35" i="75" s="1"/>
  <c r="L35" i="75"/>
  <c r="AF34" i="75" a="1"/>
  <c r="AF34" i="75" s="1"/>
  <c r="AE34" i="75" a="1"/>
  <c r="AE34" i="75" s="1"/>
  <c r="AD34" i="75" a="1"/>
  <c r="AD34" i="75" s="1"/>
  <c r="U34" i="75"/>
  <c r="V34" i="75" s="1"/>
  <c r="T34" i="75"/>
  <c r="R34" i="75"/>
  <c r="O34" i="75"/>
  <c r="P34" i="75" s="1"/>
  <c r="M34" i="75"/>
  <c r="N34" i="75" s="1"/>
  <c r="L34" i="75"/>
  <c r="AF33" i="75" a="1"/>
  <c r="AF33" i="75" s="1"/>
  <c r="AE33" i="75" a="1"/>
  <c r="AE33" i="75" s="1"/>
  <c r="AD33" i="75" a="1"/>
  <c r="AD33" i="75" s="1"/>
  <c r="U33" i="75"/>
  <c r="V33" i="75" s="1"/>
  <c r="T33" i="75"/>
  <c r="R33" i="75"/>
  <c r="O33" i="75"/>
  <c r="P33" i="75" s="1"/>
  <c r="M33" i="75"/>
  <c r="N33" i="75" s="1"/>
  <c r="L33" i="75"/>
  <c r="AF32" i="75" a="1"/>
  <c r="AF32" i="75" s="1"/>
  <c r="AE32" i="75" a="1"/>
  <c r="AE32" i="75" s="1"/>
  <c r="AD32" i="75" a="1"/>
  <c r="AD32" i="75" s="1"/>
  <c r="U32" i="75"/>
  <c r="V32" i="75" s="1"/>
  <c r="T32" i="75"/>
  <c r="R32" i="75"/>
  <c r="O32" i="75"/>
  <c r="P32" i="75" s="1"/>
  <c r="M32" i="75"/>
  <c r="N32" i="75" s="1"/>
  <c r="L32" i="75"/>
  <c r="AF31" i="75" a="1"/>
  <c r="AF31" i="75" s="1"/>
  <c r="AE31" i="75" a="1"/>
  <c r="AE31" i="75" s="1"/>
  <c r="AD31" i="75" a="1"/>
  <c r="AD31" i="75" s="1"/>
  <c r="U31" i="75"/>
  <c r="V31" i="75" s="1"/>
  <c r="T31" i="75"/>
  <c r="R31" i="75"/>
  <c r="O31" i="75"/>
  <c r="P31" i="75" s="1"/>
  <c r="M31" i="75"/>
  <c r="N31" i="75" s="1"/>
  <c r="L31" i="75"/>
  <c r="AF30" i="75" a="1"/>
  <c r="AF30" i="75" s="1"/>
  <c r="AE30" i="75" a="1"/>
  <c r="AE30" i="75" s="1"/>
  <c r="AD30" i="75" a="1"/>
  <c r="AD30" i="75" s="1"/>
  <c r="U30" i="75"/>
  <c r="V30" i="75" s="1"/>
  <c r="T30" i="75"/>
  <c r="R30" i="75"/>
  <c r="O30" i="75"/>
  <c r="P30" i="75" s="1"/>
  <c r="M30" i="75"/>
  <c r="N30" i="75" s="1"/>
  <c r="L30" i="75"/>
  <c r="AF29" i="75" a="1"/>
  <c r="AF29" i="75" s="1"/>
  <c r="AE29" i="75" a="1"/>
  <c r="AE29" i="75" s="1"/>
  <c r="AD29" i="75" a="1"/>
  <c r="AD29" i="75" s="1"/>
  <c r="U29" i="75"/>
  <c r="V29" i="75" s="1"/>
  <c r="T29" i="75"/>
  <c r="R29" i="75"/>
  <c r="O29" i="75"/>
  <c r="P29" i="75" s="1"/>
  <c r="M29" i="75"/>
  <c r="N29" i="75" s="1"/>
  <c r="L29" i="75"/>
  <c r="AF28" i="75" a="1"/>
  <c r="AF28" i="75" s="1"/>
  <c r="AE28" i="75" a="1"/>
  <c r="AE28" i="75" s="1"/>
  <c r="AD28" i="75" a="1"/>
  <c r="AD28" i="75" s="1"/>
  <c r="U28" i="75"/>
  <c r="V28" i="75" s="1"/>
  <c r="T28" i="75"/>
  <c r="R28" i="75"/>
  <c r="O28" i="75"/>
  <c r="P28" i="75" s="1"/>
  <c r="M28" i="75"/>
  <c r="N28" i="75" s="1"/>
  <c r="L28" i="75"/>
  <c r="AF27" i="75" a="1"/>
  <c r="AF27" i="75" s="1"/>
  <c r="AE27" i="75" a="1"/>
  <c r="AE27" i="75" s="1"/>
  <c r="AD27" i="75" a="1"/>
  <c r="AD27" i="75" s="1"/>
  <c r="U27" i="75"/>
  <c r="V27" i="75" s="1"/>
  <c r="T27" i="75"/>
  <c r="R27" i="75"/>
  <c r="O27" i="75"/>
  <c r="P27" i="75" s="1"/>
  <c r="M27" i="75"/>
  <c r="N27" i="75" s="1"/>
  <c r="L27" i="75"/>
  <c r="AF26" i="75" a="1"/>
  <c r="AF26" i="75" s="1"/>
  <c r="AE26" i="75" a="1"/>
  <c r="AE26" i="75" s="1"/>
  <c r="AD26" i="75" a="1"/>
  <c r="AD26" i="75" s="1"/>
  <c r="U26" i="75"/>
  <c r="V26" i="75" s="1"/>
  <c r="T26" i="75"/>
  <c r="R26" i="75"/>
  <c r="O26" i="75"/>
  <c r="P26" i="75" s="1"/>
  <c r="M26" i="75"/>
  <c r="N26" i="75" s="1"/>
  <c r="L26" i="75"/>
  <c r="AF25" i="75" a="1"/>
  <c r="AF25" i="75" s="1"/>
  <c r="AE25" i="75" a="1"/>
  <c r="AE25" i="75" s="1"/>
  <c r="AD25" i="75" a="1"/>
  <c r="AD25" i="75" s="1"/>
  <c r="U25" i="75"/>
  <c r="V25" i="75" s="1"/>
  <c r="T25" i="75"/>
  <c r="R25" i="75"/>
  <c r="O25" i="75"/>
  <c r="P25" i="75" s="1"/>
  <c r="M25" i="75"/>
  <c r="N25" i="75" s="1"/>
  <c r="L25" i="75"/>
  <c r="AF24" i="75" a="1"/>
  <c r="AF24" i="75" s="1"/>
  <c r="AE24" i="75" a="1"/>
  <c r="AE24" i="75" s="1"/>
  <c r="AD24" i="75" a="1"/>
  <c r="AD24" i="75" s="1"/>
  <c r="U24" i="75"/>
  <c r="V24" i="75" s="1"/>
  <c r="T24" i="75"/>
  <c r="R24" i="75"/>
  <c r="O24" i="75"/>
  <c r="P24" i="75" s="1"/>
  <c r="M24" i="75"/>
  <c r="N24" i="75" s="1"/>
  <c r="L24" i="75"/>
  <c r="AF23" i="75" a="1"/>
  <c r="AF23" i="75" s="1"/>
  <c r="AE23" i="75" a="1"/>
  <c r="AE23" i="75" s="1"/>
  <c r="AD23" i="75" a="1"/>
  <c r="AD23" i="75" s="1"/>
  <c r="U23" i="75"/>
  <c r="V23" i="75" s="1"/>
  <c r="T23" i="75"/>
  <c r="R23" i="75"/>
  <c r="O23" i="75"/>
  <c r="P23" i="75" s="1"/>
  <c r="M23" i="75"/>
  <c r="N23" i="75" s="1"/>
  <c r="L23" i="75"/>
  <c r="G20" i="75"/>
  <c r="S19" i="75"/>
  <c r="R19" i="75"/>
  <c r="S18" i="75"/>
  <c r="R18" i="75"/>
  <c r="J17" i="75"/>
  <c r="I17" i="75"/>
  <c r="S16" i="75"/>
  <c r="R16" i="75"/>
  <c r="J16" i="75"/>
  <c r="I16" i="75"/>
  <c r="S15" i="75"/>
  <c r="R15" i="75"/>
  <c r="CI12" i="75" a="1"/>
  <c r="CI12" i="75" s="1"/>
  <c r="CH12" i="75" a="1"/>
  <c r="CH12" i="75" s="1"/>
  <c r="CG12" i="75" a="1"/>
  <c r="CG12" i="75" s="1"/>
  <c r="CF12" i="75" a="1"/>
  <c r="CF12" i="75" s="1"/>
  <c r="CE12" i="75" a="1"/>
  <c r="CE12" i="75" s="1"/>
  <c r="CD12" i="75" a="1"/>
  <c r="CD12" i="75" s="1"/>
  <c r="CC12" i="75" a="1"/>
  <c r="CC12" i="75" s="1"/>
  <c r="CB12" i="75" a="1"/>
  <c r="CB12" i="75" s="1"/>
  <c r="CA12" i="75" a="1"/>
  <c r="CA12" i="75" s="1"/>
  <c r="BZ12" i="75" a="1"/>
  <c r="BZ12" i="75" s="1"/>
  <c r="BY12" i="75" a="1"/>
  <c r="BY12" i="75" s="1"/>
  <c r="BX12" i="75" a="1"/>
  <c r="BX12" i="75" s="1"/>
  <c r="BW12" i="75" a="1"/>
  <c r="BW12" i="75" s="1"/>
  <c r="BV12" i="75" a="1"/>
  <c r="BV12" i="75" s="1"/>
  <c r="BQ12" i="75" a="1"/>
  <c r="BQ12" i="75" s="1"/>
  <c r="BO12" i="75" a="1"/>
  <c r="BO12" i="75" s="1"/>
  <c r="BN12" i="75" a="1"/>
  <c r="BN12" i="75" s="1"/>
  <c r="BL12" i="75" a="1"/>
  <c r="BL12" i="75" s="1"/>
  <c r="BK12" i="75" a="1"/>
  <c r="BK12" i="75" s="1"/>
  <c r="AZ12" i="75" a="1"/>
  <c r="AZ12" i="75" s="1"/>
  <c r="AY12" i="75" a="1"/>
  <c r="AY12" i="75" s="1"/>
  <c r="BB12" i="75" a="1"/>
  <c r="BB12" i="75" s="1"/>
  <c r="AW12" i="75" a="1"/>
  <c r="AW12" i="75" s="1"/>
  <c r="AV12" i="75" a="1"/>
  <c r="AV12" i="75" s="1"/>
  <c r="AQ12" i="75" a="1"/>
  <c r="AQ12" i="75" s="1"/>
  <c r="BJ12" i="75" a="1"/>
  <c r="BJ12" i="75" s="1"/>
  <c r="AP12" i="75" a="1"/>
  <c r="AP12" i="75" s="1"/>
  <c r="AO12" i="75" a="1"/>
  <c r="AO12" i="75" s="1"/>
  <c r="AR12" i="75" a="1"/>
  <c r="AR12" i="75" s="1"/>
  <c r="AM12" i="75" a="1"/>
  <c r="AM12" i="75" s="1"/>
  <c r="AL12" i="75" a="1"/>
  <c r="AL12" i="75" s="1"/>
  <c r="AS12" i="75" a="1"/>
  <c r="AS12" i="75" s="1"/>
  <c r="AK12" i="75" a="1"/>
  <c r="AK12" i="75" s="1"/>
  <c r="AI12" i="75" a="1"/>
  <c r="AI12" i="75" s="1"/>
  <c r="AH12" i="75" a="1"/>
  <c r="AH12" i="75" s="1"/>
  <c r="AG12" i="75" a="1"/>
  <c r="AG12" i="75" s="1"/>
  <c r="AF12" i="75" a="1"/>
  <c r="AF12" i="75" s="1"/>
  <c r="CI10" i="75" a="1"/>
  <c r="CI10" i="75" s="1"/>
  <c r="CH10" i="75" a="1"/>
  <c r="CH10" i="75" s="1"/>
  <c r="CG10" i="75" a="1"/>
  <c r="CG10" i="75" s="1"/>
  <c r="CF10" i="75" a="1"/>
  <c r="CF10" i="75" s="1"/>
  <c r="CE10" i="75" a="1"/>
  <c r="CE10" i="75" s="1"/>
  <c r="CD10" i="75" a="1"/>
  <c r="CD10" i="75" s="1"/>
  <c r="CC10" i="75" a="1"/>
  <c r="CC10" i="75" s="1"/>
  <c r="CB10" i="75" a="1"/>
  <c r="CB10" i="75" s="1"/>
  <c r="CA10" i="75" a="1"/>
  <c r="CA10" i="75" s="1"/>
  <c r="BZ10" i="75" a="1"/>
  <c r="BZ10" i="75" s="1"/>
  <c r="BY10" i="75" a="1"/>
  <c r="BY10" i="75" s="1"/>
  <c r="BX10" i="75" a="1"/>
  <c r="BX10" i="75" s="1"/>
  <c r="BW10" i="75" a="1"/>
  <c r="BW10" i="75" s="1"/>
  <c r="BV10" i="75" a="1"/>
  <c r="BV10" i="75" s="1"/>
  <c r="BQ10" i="75" a="1"/>
  <c r="BQ10" i="75" s="1"/>
  <c r="BO10" i="75" a="1"/>
  <c r="BO10" i="75" s="1"/>
  <c r="BN10" i="75" a="1"/>
  <c r="BN10" i="75" s="1"/>
  <c r="BL10" i="75" a="1"/>
  <c r="BL10" i="75" s="1"/>
  <c r="BK10" i="75" a="1"/>
  <c r="BK10" i="75" s="1"/>
  <c r="AZ10" i="75" a="1"/>
  <c r="AZ10" i="75" s="1"/>
  <c r="AY10" i="75" a="1"/>
  <c r="AY10" i="75" s="1"/>
  <c r="BB10" i="75" a="1"/>
  <c r="BB10" i="75" s="1"/>
  <c r="AW10" i="75" a="1"/>
  <c r="AW10" i="75" s="1"/>
  <c r="AV10" i="75" a="1"/>
  <c r="AV10" i="75" s="1"/>
  <c r="AQ10" i="75" a="1"/>
  <c r="AQ10" i="75" s="1"/>
  <c r="BJ10" i="75" a="1"/>
  <c r="BJ10" i="75" s="1"/>
  <c r="AP10" i="75" a="1"/>
  <c r="AP10" i="75" s="1"/>
  <c r="AO10" i="75" a="1"/>
  <c r="AO10" i="75" s="1"/>
  <c r="AR10" i="75" a="1"/>
  <c r="AR10" i="75" s="1"/>
  <c r="AM10" i="75" a="1"/>
  <c r="AM10" i="75" s="1"/>
  <c r="AL10" i="75" a="1"/>
  <c r="AL10" i="75" s="1"/>
  <c r="AS10" i="75" a="1"/>
  <c r="AS10" i="75" s="1"/>
  <c r="AK10" i="75" a="1"/>
  <c r="AK10" i="75" s="1"/>
  <c r="AI10" i="75" a="1"/>
  <c r="AI10" i="75" s="1"/>
  <c r="AH10" i="75" a="1"/>
  <c r="AH10" i="75" s="1"/>
  <c r="AG10" i="75" a="1"/>
  <c r="AG10" i="75" s="1"/>
  <c r="AF10" i="75" a="1"/>
  <c r="AF10" i="75" s="1"/>
  <c r="CI2" i="75" a="1"/>
  <c r="CI2" i="75" s="1"/>
  <c r="CH2" i="75" a="1"/>
  <c r="CH2" i="75" s="1"/>
  <c r="CG2" i="75" a="1"/>
  <c r="CG2" i="75" s="1"/>
  <c r="CF2" i="75" a="1"/>
  <c r="CF2" i="75" s="1"/>
  <c r="CE2" i="75" a="1"/>
  <c r="CE2" i="75" s="1"/>
  <c r="CD2" i="75" a="1"/>
  <c r="CD2" i="75" s="1"/>
  <c r="CC2" i="75" a="1"/>
  <c r="CC2" i="75" s="1"/>
  <c r="CB2" i="75" a="1"/>
  <c r="CB2" i="75" s="1"/>
  <c r="CA2" i="75" a="1"/>
  <c r="CA2" i="75" s="1"/>
  <c r="BZ2" i="75" a="1"/>
  <c r="BZ2" i="75" s="1"/>
  <c r="BY2" i="75" a="1"/>
  <c r="BY2" i="75" s="1"/>
  <c r="BX2" i="75" a="1"/>
  <c r="BX2" i="75" s="1"/>
  <c r="BW2" i="75" a="1"/>
  <c r="BW2" i="75" s="1"/>
  <c r="BV2" i="75" a="1"/>
  <c r="BV2" i="75" s="1"/>
  <c r="BQ2" i="75" a="1"/>
  <c r="BQ2" i="75" s="1"/>
  <c r="BO2" i="75" a="1"/>
  <c r="BO2" i="75" s="1"/>
  <c r="BN2" i="75" a="1"/>
  <c r="BN2" i="75" s="1"/>
  <c r="BL2" i="75" a="1"/>
  <c r="BL2" i="75" s="1"/>
  <c r="BK2" i="75" a="1"/>
  <c r="BK2" i="75" s="1"/>
  <c r="AZ2" i="75" a="1"/>
  <c r="AZ2" i="75" s="1"/>
  <c r="AY2" i="75" a="1"/>
  <c r="AY2" i="75" s="1"/>
  <c r="BB2" i="75" a="1"/>
  <c r="BB2" i="75" s="1"/>
  <c r="AW2" i="75" a="1"/>
  <c r="AW2" i="75" s="1"/>
  <c r="AV2" i="75" a="1"/>
  <c r="AV2" i="75" s="1"/>
  <c r="AQ2" i="75" a="1"/>
  <c r="AQ2" i="75" s="1"/>
  <c r="BJ2" i="75" a="1"/>
  <c r="BJ2" i="75" s="1"/>
  <c r="AP2" i="75" a="1"/>
  <c r="AP2" i="75" s="1"/>
  <c r="AO2" i="75" a="1"/>
  <c r="AO2" i="75" s="1"/>
  <c r="AR2" i="75" a="1"/>
  <c r="AR2" i="75" s="1"/>
  <c r="AM2" i="75" a="1"/>
  <c r="AM2" i="75" s="1"/>
  <c r="AL2" i="75" a="1"/>
  <c r="AL2" i="75" s="1"/>
  <c r="AS2" i="75" a="1"/>
  <c r="AS2" i="75" s="1"/>
  <c r="AK2" i="75" a="1"/>
  <c r="AK2" i="75" s="1"/>
  <c r="AI2" i="75" a="1"/>
  <c r="AI2" i="75" s="1"/>
  <c r="AH2" i="75" a="1"/>
  <c r="AH2" i="75" s="1"/>
  <c r="AG2" i="75" a="1"/>
  <c r="AG2" i="75" s="1"/>
  <c r="CI1" i="75"/>
  <c r="CH1" i="75"/>
  <c r="CG1" i="75"/>
  <c r="CF1" i="75"/>
  <c r="CE1" i="75"/>
  <c r="CD1" i="75"/>
  <c r="CC1" i="75"/>
  <c r="CB1" i="75"/>
  <c r="CA1" i="75"/>
  <c r="BZ1" i="75"/>
  <c r="BY1" i="75"/>
  <c r="BX1" i="75"/>
  <c r="BW1" i="75"/>
  <c r="BV1" i="75"/>
  <c r="BQ1" i="75"/>
  <c r="BO1" i="75"/>
  <c r="BN1" i="75"/>
  <c r="BL1" i="75"/>
  <c r="BK1" i="75"/>
  <c r="AZ1" i="75"/>
  <c r="AY1" i="75"/>
  <c r="BB1" i="75"/>
  <c r="AW1" i="75"/>
  <c r="AV1" i="75"/>
  <c r="AQ1" i="75"/>
  <c r="BJ1" i="75"/>
  <c r="AP1" i="75"/>
  <c r="AO1" i="75"/>
  <c r="AR1" i="75"/>
  <c r="AM1" i="75"/>
  <c r="AL1" i="75"/>
  <c r="AS1" i="75"/>
  <c r="AK1" i="75"/>
  <c r="AI1" i="75"/>
  <c r="AH1" i="75"/>
  <c r="AG1" i="75"/>
  <c r="AF129" i="74" a="1"/>
  <c r="AF129" i="74" s="1"/>
  <c r="AE129" i="74" a="1"/>
  <c r="AE129" i="74" s="1"/>
  <c r="AD129" i="74" a="1"/>
  <c r="AD129" i="74" s="1"/>
  <c r="T129" i="74"/>
  <c r="R129" i="74"/>
  <c r="N129" i="74"/>
  <c r="M129" i="74"/>
  <c r="L129" i="74"/>
  <c r="F129" i="74"/>
  <c r="D129" i="74"/>
  <c r="AF128" i="74" a="1"/>
  <c r="AF128" i="74" s="1"/>
  <c r="AE128" i="74" a="1"/>
  <c r="AE128" i="74" s="1"/>
  <c r="AD128" i="74" a="1"/>
  <c r="AD128" i="74" s="1"/>
  <c r="T128" i="74"/>
  <c r="R128" i="74"/>
  <c r="N128" i="74"/>
  <c r="M128" i="74"/>
  <c r="L128" i="74"/>
  <c r="F128" i="74"/>
  <c r="D128" i="74"/>
  <c r="AF127" i="74" a="1"/>
  <c r="AF127" i="74" s="1"/>
  <c r="AE127" i="74" a="1"/>
  <c r="AE127" i="74" s="1"/>
  <c r="AD127" i="74" a="1"/>
  <c r="AD127" i="74" s="1"/>
  <c r="T127" i="74"/>
  <c r="R127" i="74"/>
  <c r="N127" i="74"/>
  <c r="M127" i="74"/>
  <c r="L127" i="74"/>
  <c r="F127" i="74"/>
  <c r="D127" i="74"/>
  <c r="AF126" i="74" a="1"/>
  <c r="AF126" i="74" s="1"/>
  <c r="AE126" i="74" a="1"/>
  <c r="AE126" i="74" s="1"/>
  <c r="AD126" i="74" a="1"/>
  <c r="AD126" i="74" s="1"/>
  <c r="T126" i="74"/>
  <c r="R126" i="74"/>
  <c r="N126" i="74"/>
  <c r="M126" i="74"/>
  <c r="L126" i="74"/>
  <c r="F126" i="74"/>
  <c r="D126" i="74"/>
  <c r="AF125" i="74" a="1"/>
  <c r="AF125" i="74" s="1"/>
  <c r="AE125" i="74" a="1"/>
  <c r="AE125" i="74" s="1"/>
  <c r="AD125" i="74" a="1"/>
  <c r="AD125" i="74" s="1"/>
  <c r="T125" i="74"/>
  <c r="R125" i="74"/>
  <c r="N125" i="74"/>
  <c r="M125" i="74"/>
  <c r="L125" i="74"/>
  <c r="F125" i="74"/>
  <c r="D125" i="74"/>
  <c r="AF124" i="74" a="1"/>
  <c r="AF124" i="74" s="1"/>
  <c r="AE124" i="74" a="1"/>
  <c r="AE124" i="74" s="1"/>
  <c r="AD124" i="74" a="1"/>
  <c r="AD124" i="74" s="1"/>
  <c r="T124" i="74"/>
  <c r="R124" i="74"/>
  <c r="N124" i="74"/>
  <c r="M124" i="74"/>
  <c r="L124" i="74"/>
  <c r="F124" i="74"/>
  <c r="D124" i="74"/>
  <c r="AF123" i="74" a="1"/>
  <c r="AF123" i="74" s="1"/>
  <c r="AE123" i="74" a="1"/>
  <c r="AE123" i="74" s="1"/>
  <c r="AD123" i="74" a="1"/>
  <c r="AD123" i="74" s="1"/>
  <c r="T123" i="74"/>
  <c r="R123" i="74"/>
  <c r="N123" i="74"/>
  <c r="M123" i="74"/>
  <c r="L123" i="74"/>
  <c r="F123" i="74"/>
  <c r="D123" i="74"/>
  <c r="AF122" i="74" a="1"/>
  <c r="AF122" i="74" s="1"/>
  <c r="AE122" i="74" a="1"/>
  <c r="AE122" i="74" s="1"/>
  <c r="AD122" i="74" a="1"/>
  <c r="AD122" i="74" s="1"/>
  <c r="T122" i="74"/>
  <c r="R122" i="74"/>
  <c r="N122" i="74"/>
  <c r="M122" i="74"/>
  <c r="L122" i="74"/>
  <c r="F122" i="74"/>
  <c r="D122" i="74"/>
  <c r="AF121" i="74" a="1"/>
  <c r="AF121" i="74" s="1"/>
  <c r="AE121" i="74" a="1"/>
  <c r="AE121" i="74" s="1"/>
  <c r="AD121" i="74" a="1"/>
  <c r="AD121" i="74" s="1"/>
  <c r="T121" i="74"/>
  <c r="R121" i="74"/>
  <c r="N121" i="74"/>
  <c r="M121" i="74"/>
  <c r="L121" i="74"/>
  <c r="F121" i="74"/>
  <c r="D121" i="74"/>
  <c r="AF120" i="74" a="1"/>
  <c r="AF120" i="74" s="1"/>
  <c r="AE120" i="74" a="1"/>
  <c r="AE120" i="74" s="1"/>
  <c r="AD120" i="74" a="1"/>
  <c r="AD120" i="74" s="1"/>
  <c r="T120" i="74"/>
  <c r="R120" i="74"/>
  <c r="N120" i="74"/>
  <c r="M120" i="74"/>
  <c r="L120" i="74"/>
  <c r="F120" i="74"/>
  <c r="D120" i="74"/>
  <c r="AF119" i="74" a="1"/>
  <c r="AF119" i="74" s="1"/>
  <c r="AE119" i="74" a="1"/>
  <c r="AE119" i="74" s="1"/>
  <c r="AD119" i="74" a="1"/>
  <c r="AD119" i="74" s="1"/>
  <c r="T119" i="74"/>
  <c r="R119" i="74"/>
  <c r="N119" i="74"/>
  <c r="M119" i="74"/>
  <c r="L119" i="74"/>
  <c r="F119" i="74"/>
  <c r="D119" i="74"/>
  <c r="AF118" i="74" a="1"/>
  <c r="AF118" i="74" s="1"/>
  <c r="AE118" i="74" a="1"/>
  <c r="AE118" i="74" s="1"/>
  <c r="AD118" i="74" a="1"/>
  <c r="AD118" i="74" s="1"/>
  <c r="T118" i="74"/>
  <c r="R118" i="74"/>
  <c r="N118" i="74"/>
  <c r="M118" i="74"/>
  <c r="L118" i="74"/>
  <c r="F118" i="74"/>
  <c r="D118" i="74"/>
  <c r="AF117" i="74" a="1"/>
  <c r="AF117" i="74" s="1"/>
  <c r="AE117" i="74" a="1"/>
  <c r="AE117" i="74" s="1"/>
  <c r="AD117" i="74" a="1"/>
  <c r="AD117" i="74" s="1"/>
  <c r="T117" i="74"/>
  <c r="R117" i="74"/>
  <c r="N117" i="74"/>
  <c r="M117" i="74"/>
  <c r="L117" i="74"/>
  <c r="F117" i="74"/>
  <c r="D117" i="74"/>
  <c r="AF116" i="74" a="1"/>
  <c r="AF116" i="74" s="1"/>
  <c r="AE116" i="74" a="1"/>
  <c r="AE116" i="74" s="1"/>
  <c r="AD116" i="74" a="1"/>
  <c r="AD116" i="74" s="1"/>
  <c r="T116" i="74"/>
  <c r="R116" i="74"/>
  <c r="N116" i="74"/>
  <c r="M116" i="74"/>
  <c r="L116" i="74"/>
  <c r="F116" i="74"/>
  <c r="D116" i="74"/>
  <c r="AF115" i="74" a="1"/>
  <c r="AF115" i="74" s="1"/>
  <c r="AE115" i="74" a="1"/>
  <c r="AE115" i="74" s="1"/>
  <c r="AD115" i="74" a="1"/>
  <c r="AD115" i="74" s="1"/>
  <c r="T115" i="74"/>
  <c r="R115" i="74"/>
  <c r="N115" i="74"/>
  <c r="M115" i="74"/>
  <c r="L115" i="74"/>
  <c r="F115" i="74"/>
  <c r="D115" i="74"/>
  <c r="AF114" i="74" a="1"/>
  <c r="AF114" i="74" s="1"/>
  <c r="AE114" i="74" a="1"/>
  <c r="AE114" i="74" s="1"/>
  <c r="AD114" i="74" a="1"/>
  <c r="AD114" i="74" s="1"/>
  <c r="T114" i="74"/>
  <c r="R114" i="74"/>
  <c r="N114" i="74"/>
  <c r="M114" i="74"/>
  <c r="L114" i="74"/>
  <c r="F114" i="74"/>
  <c r="D114" i="74"/>
  <c r="AF113" i="74" a="1"/>
  <c r="AF113" i="74" s="1"/>
  <c r="AE113" i="74" a="1"/>
  <c r="AE113" i="74" s="1"/>
  <c r="AD113" i="74" a="1"/>
  <c r="AD113" i="74" s="1"/>
  <c r="T113" i="74"/>
  <c r="R113" i="74"/>
  <c r="N113" i="74"/>
  <c r="M113" i="74"/>
  <c r="L113" i="74"/>
  <c r="F113" i="74"/>
  <c r="D113" i="74"/>
  <c r="AF112" i="74" a="1"/>
  <c r="AF112" i="74" s="1"/>
  <c r="AE112" i="74" a="1"/>
  <c r="AE112" i="74" s="1"/>
  <c r="AD112" i="74" a="1"/>
  <c r="AD112" i="74" s="1"/>
  <c r="T112" i="74"/>
  <c r="R112" i="74"/>
  <c r="N112" i="74"/>
  <c r="M112" i="74"/>
  <c r="L112" i="74"/>
  <c r="F112" i="74"/>
  <c r="D112" i="74"/>
  <c r="AF111" i="74" a="1"/>
  <c r="AF111" i="74" s="1"/>
  <c r="AE111" i="74" a="1"/>
  <c r="AE111" i="74" s="1"/>
  <c r="AD111" i="74" a="1"/>
  <c r="AD111" i="74" s="1"/>
  <c r="T111" i="74"/>
  <c r="R111" i="74"/>
  <c r="N111" i="74"/>
  <c r="M111" i="74"/>
  <c r="L111" i="74"/>
  <c r="F111" i="74"/>
  <c r="D111" i="74"/>
  <c r="AF110" i="74" a="1"/>
  <c r="AF110" i="74" s="1"/>
  <c r="AE110" i="74" a="1"/>
  <c r="AE110" i="74" s="1"/>
  <c r="AD110" i="74" a="1"/>
  <c r="AD110" i="74" s="1"/>
  <c r="T110" i="74"/>
  <c r="R110" i="74"/>
  <c r="N110" i="74"/>
  <c r="M110" i="74"/>
  <c r="L110" i="74"/>
  <c r="F110" i="74"/>
  <c r="D110" i="74"/>
  <c r="AF109" i="74" a="1"/>
  <c r="AF109" i="74" s="1"/>
  <c r="AE109" i="74" a="1"/>
  <c r="AE109" i="74" s="1"/>
  <c r="AD109" i="74" a="1"/>
  <c r="AD109" i="74" s="1"/>
  <c r="T109" i="74"/>
  <c r="R109" i="74"/>
  <c r="N109" i="74"/>
  <c r="M109" i="74"/>
  <c r="L109" i="74"/>
  <c r="F109" i="74"/>
  <c r="D109" i="74"/>
  <c r="AF108" i="74" a="1"/>
  <c r="AF108" i="74" s="1"/>
  <c r="AE108" i="74" a="1"/>
  <c r="AE108" i="74" s="1"/>
  <c r="AD108" i="74" a="1"/>
  <c r="AD108" i="74" s="1"/>
  <c r="T108" i="74"/>
  <c r="R108" i="74"/>
  <c r="N108" i="74"/>
  <c r="M108" i="74"/>
  <c r="L108" i="74"/>
  <c r="F108" i="74"/>
  <c r="D108" i="74"/>
  <c r="AF107" i="74" a="1"/>
  <c r="AF107" i="74" s="1"/>
  <c r="AE107" i="74" a="1"/>
  <c r="AE107" i="74" s="1"/>
  <c r="AD107" i="74" a="1"/>
  <c r="AD107" i="74" s="1"/>
  <c r="T107" i="74"/>
  <c r="R107" i="74"/>
  <c r="N107" i="74"/>
  <c r="M107" i="74"/>
  <c r="L107" i="74"/>
  <c r="F107" i="74"/>
  <c r="D107" i="74"/>
  <c r="AF106" i="74" a="1"/>
  <c r="AF106" i="74" s="1"/>
  <c r="AE106" i="74" a="1"/>
  <c r="AE106" i="74" s="1"/>
  <c r="AD106" i="74" a="1"/>
  <c r="AD106" i="74" s="1"/>
  <c r="T106" i="74"/>
  <c r="R106" i="74"/>
  <c r="N106" i="74"/>
  <c r="M106" i="74"/>
  <c r="L106" i="74"/>
  <c r="F106" i="74"/>
  <c r="D106" i="74"/>
  <c r="AF105" i="74" a="1"/>
  <c r="AF105" i="74" s="1"/>
  <c r="AE105" i="74" a="1"/>
  <c r="AE105" i="74" s="1"/>
  <c r="AD105" i="74" a="1"/>
  <c r="AD105" i="74" s="1"/>
  <c r="T105" i="74"/>
  <c r="R105" i="74"/>
  <c r="N105" i="74"/>
  <c r="M105" i="74"/>
  <c r="L105" i="74"/>
  <c r="F105" i="74"/>
  <c r="D105" i="74"/>
  <c r="AF104" i="74" a="1"/>
  <c r="AF104" i="74" s="1"/>
  <c r="AE104" i="74" a="1"/>
  <c r="AE104" i="74" s="1"/>
  <c r="AD104" i="74" a="1"/>
  <c r="AD104" i="74" s="1"/>
  <c r="T104" i="74"/>
  <c r="R104" i="74"/>
  <c r="N104" i="74"/>
  <c r="M104" i="74"/>
  <c r="L104" i="74"/>
  <c r="F104" i="74"/>
  <c r="D104" i="74"/>
  <c r="AF103" i="74" a="1"/>
  <c r="AF103" i="74" s="1"/>
  <c r="AE103" i="74" a="1"/>
  <c r="AE103" i="74" s="1"/>
  <c r="AD103" i="74" a="1"/>
  <c r="AD103" i="74" s="1"/>
  <c r="T103" i="74"/>
  <c r="R103" i="74"/>
  <c r="N103" i="74"/>
  <c r="M103" i="74"/>
  <c r="L103" i="74"/>
  <c r="F103" i="74"/>
  <c r="D103" i="74"/>
  <c r="AF102" i="74" a="1"/>
  <c r="AF102" i="74" s="1"/>
  <c r="AE102" i="74" a="1"/>
  <c r="AE102" i="74" s="1"/>
  <c r="AD102" i="74" a="1"/>
  <c r="AD102" i="74" s="1"/>
  <c r="T102" i="74"/>
  <c r="R102" i="74"/>
  <c r="N102" i="74"/>
  <c r="M102" i="74"/>
  <c r="L102" i="74"/>
  <c r="F102" i="74"/>
  <c r="D102" i="74"/>
  <c r="AF101" i="74" a="1"/>
  <c r="AF101" i="74" s="1"/>
  <c r="AE101" i="74" a="1"/>
  <c r="AE101" i="74" s="1"/>
  <c r="AD101" i="74" a="1"/>
  <c r="AD101" i="74" s="1"/>
  <c r="T101" i="74"/>
  <c r="R101" i="74"/>
  <c r="N101" i="74"/>
  <c r="M101" i="74"/>
  <c r="L101" i="74"/>
  <c r="F101" i="74"/>
  <c r="D101" i="74"/>
  <c r="AF100" i="74" a="1"/>
  <c r="AF100" i="74" s="1"/>
  <c r="AE100" i="74" a="1"/>
  <c r="AE100" i="74" s="1"/>
  <c r="AD100" i="74" a="1"/>
  <c r="AD100" i="74" s="1"/>
  <c r="T100" i="74"/>
  <c r="R100" i="74"/>
  <c r="N100" i="74"/>
  <c r="M100" i="74"/>
  <c r="L100" i="74"/>
  <c r="F100" i="74"/>
  <c r="D100" i="74"/>
  <c r="AF99" i="74" a="1"/>
  <c r="AF99" i="74" s="1"/>
  <c r="AE99" i="74" a="1"/>
  <c r="AE99" i="74" s="1"/>
  <c r="AD99" i="74" a="1"/>
  <c r="AD99" i="74" s="1"/>
  <c r="T99" i="74"/>
  <c r="R99" i="74"/>
  <c r="N99" i="74"/>
  <c r="M99" i="74"/>
  <c r="L99" i="74"/>
  <c r="F99" i="74"/>
  <c r="D99" i="74"/>
  <c r="AF98" i="74" a="1"/>
  <c r="AF98" i="74" s="1"/>
  <c r="AE98" i="74" a="1"/>
  <c r="AE98" i="74" s="1"/>
  <c r="AD98" i="74" a="1"/>
  <c r="AD98" i="74" s="1"/>
  <c r="T98" i="74"/>
  <c r="R98" i="74"/>
  <c r="N98" i="74"/>
  <c r="M98" i="74"/>
  <c r="L98" i="74"/>
  <c r="F98" i="74"/>
  <c r="D98" i="74"/>
  <c r="AF97" i="74" a="1"/>
  <c r="AF97" i="74" s="1"/>
  <c r="AE97" i="74" a="1"/>
  <c r="AE97" i="74" s="1"/>
  <c r="AD97" i="74" a="1"/>
  <c r="AD97" i="74" s="1"/>
  <c r="T97" i="74"/>
  <c r="R97" i="74"/>
  <c r="N97" i="74"/>
  <c r="M97" i="74"/>
  <c r="L97" i="74"/>
  <c r="F97" i="74"/>
  <c r="D97" i="74"/>
  <c r="AF96" i="74" a="1"/>
  <c r="AF96" i="74" s="1"/>
  <c r="AE96" i="74" a="1"/>
  <c r="AE96" i="74" s="1"/>
  <c r="AD96" i="74" a="1"/>
  <c r="AD96" i="74" s="1"/>
  <c r="T96" i="74"/>
  <c r="R96" i="74"/>
  <c r="N96" i="74"/>
  <c r="M96" i="74"/>
  <c r="L96" i="74"/>
  <c r="F96" i="74"/>
  <c r="D96" i="74"/>
  <c r="AF95" i="74" a="1"/>
  <c r="AF95" i="74" s="1"/>
  <c r="AE95" i="74" a="1"/>
  <c r="AE95" i="74" s="1"/>
  <c r="AD95" i="74" a="1"/>
  <c r="AD95" i="74" s="1"/>
  <c r="T95" i="74"/>
  <c r="R95" i="74"/>
  <c r="N95" i="74"/>
  <c r="M95" i="74"/>
  <c r="L95" i="74"/>
  <c r="F95" i="74"/>
  <c r="D95" i="74"/>
  <c r="AF94" i="74" a="1"/>
  <c r="AF94" i="74" s="1"/>
  <c r="AE94" i="74" a="1"/>
  <c r="AE94" i="74" s="1"/>
  <c r="AD94" i="74" a="1"/>
  <c r="AD94" i="74" s="1"/>
  <c r="T94" i="74"/>
  <c r="R94" i="74"/>
  <c r="N94" i="74"/>
  <c r="M94" i="74"/>
  <c r="L94" i="74"/>
  <c r="F94" i="74"/>
  <c r="D94" i="74"/>
  <c r="AF93" i="74" a="1"/>
  <c r="AF93" i="74" s="1"/>
  <c r="AE93" i="74" a="1"/>
  <c r="AE93" i="74" s="1"/>
  <c r="AD93" i="74" a="1"/>
  <c r="AD93" i="74" s="1"/>
  <c r="T93" i="74"/>
  <c r="R93" i="74"/>
  <c r="N93" i="74"/>
  <c r="M93" i="74"/>
  <c r="L93" i="74"/>
  <c r="F93" i="74"/>
  <c r="D93" i="74"/>
  <c r="AF92" i="74" a="1"/>
  <c r="AF92" i="74" s="1"/>
  <c r="AE92" i="74" a="1"/>
  <c r="AE92" i="74" s="1"/>
  <c r="AD92" i="74" a="1"/>
  <c r="AD92" i="74" s="1"/>
  <c r="T92" i="74"/>
  <c r="R92" i="74"/>
  <c r="N92" i="74"/>
  <c r="M92" i="74"/>
  <c r="L92" i="74"/>
  <c r="F92" i="74"/>
  <c r="D92" i="74"/>
  <c r="AF91" i="74" a="1"/>
  <c r="AF91" i="74" s="1"/>
  <c r="AE91" i="74" a="1"/>
  <c r="AE91" i="74" s="1"/>
  <c r="AD91" i="74" a="1"/>
  <c r="AD91" i="74" s="1"/>
  <c r="T91" i="74"/>
  <c r="R91" i="74"/>
  <c r="N91" i="74"/>
  <c r="M91" i="74"/>
  <c r="L91" i="74"/>
  <c r="F91" i="74"/>
  <c r="D91" i="74"/>
  <c r="AF90" i="74" a="1"/>
  <c r="AF90" i="74" s="1"/>
  <c r="AE90" i="74" a="1"/>
  <c r="AE90" i="74" s="1"/>
  <c r="AD90" i="74" a="1"/>
  <c r="AD90" i="74" s="1"/>
  <c r="T90" i="74"/>
  <c r="R90" i="74"/>
  <c r="N90" i="74"/>
  <c r="M90" i="74"/>
  <c r="L90" i="74"/>
  <c r="F90" i="74"/>
  <c r="D90" i="74"/>
  <c r="AF89" i="74" a="1"/>
  <c r="AF89" i="74" s="1"/>
  <c r="AE89" i="74" a="1"/>
  <c r="AE89" i="74" s="1"/>
  <c r="AD89" i="74" a="1"/>
  <c r="AD89" i="74" s="1"/>
  <c r="T89" i="74"/>
  <c r="R89" i="74"/>
  <c r="N89" i="74"/>
  <c r="M89" i="74"/>
  <c r="L89" i="74"/>
  <c r="F89" i="74"/>
  <c r="D89" i="74"/>
  <c r="AF88" i="74" a="1"/>
  <c r="AF88" i="74" s="1"/>
  <c r="AE88" i="74" a="1"/>
  <c r="AE88" i="74" s="1"/>
  <c r="AD88" i="74" a="1"/>
  <c r="AD88" i="74" s="1"/>
  <c r="T88" i="74"/>
  <c r="R88" i="74"/>
  <c r="N88" i="74"/>
  <c r="M88" i="74"/>
  <c r="L88" i="74"/>
  <c r="F88" i="74"/>
  <c r="D88" i="74"/>
  <c r="AF87" i="74" a="1"/>
  <c r="AF87" i="74" s="1"/>
  <c r="AE87" i="74" a="1"/>
  <c r="AE87" i="74" s="1"/>
  <c r="AD87" i="74" a="1"/>
  <c r="AD87" i="74" s="1"/>
  <c r="T87" i="74"/>
  <c r="R87" i="74"/>
  <c r="N87" i="74"/>
  <c r="M87" i="74"/>
  <c r="L87" i="74"/>
  <c r="F87" i="74"/>
  <c r="D87" i="74"/>
  <c r="AF86" i="74" a="1"/>
  <c r="AF86" i="74" s="1"/>
  <c r="AE86" i="74" a="1"/>
  <c r="AE86" i="74" s="1"/>
  <c r="AD86" i="74" a="1"/>
  <c r="AD86" i="74" s="1"/>
  <c r="T86" i="74"/>
  <c r="R86" i="74"/>
  <c r="N86" i="74"/>
  <c r="M86" i="74"/>
  <c r="L86" i="74"/>
  <c r="F86" i="74"/>
  <c r="D86" i="74"/>
  <c r="AF85" i="74" a="1"/>
  <c r="AF85" i="74" s="1"/>
  <c r="AE85" i="74" a="1"/>
  <c r="AE85" i="74" s="1"/>
  <c r="AD85" i="74" a="1"/>
  <c r="AD85" i="74" s="1"/>
  <c r="T85" i="74"/>
  <c r="R85" i="74"/>
  <c r="N85" i="74"/>
  <c r="M85" i="74"/>
  <c r="L85" i="74"/>
  <c r="F85" i="74"/>
  <c r="D85" i="74"/>
  <c r="AF84" i="74" a="1"/>
  <c r="AF84" i="74" s="1"/>
  <c r="AE84" i="74" a="1"/>
  <c r="AE84" i="74" s="1"/>
  <c r="AD84" i="74" a="1"/>
  <c r="AD84" i="74" s="1"/>
  <c r="T84" i="74"/>
  <c r="R84" i="74"/>
  <c r="N84" i="74"/>
  <c r="M84" i="74"/>
  <c r="L84" i="74"/>
  <c r="F84" i="74"/>
  <c r="D84" i="74"/>
  <c r="AF83" i="74" a="1"/>
  <c r="AF83" i="74" s="1"/>
  <c r="AE83" i="74" a="1"/>
  <c r="AE83" i="74" s="1"/>
  <c r="AD83" i="74" a="1"/>
  <c r="AD83" i="74" s="1"/>
  <c r="T83" i="74"/>
  <c r="R83" i="74"/>
  <c r="N83" i="74"/>
  <c r="M83" i="74"/>
  <c r="L83" i="74"/>
  <c r="F83" i="74"/>
  <c r="D83" i="74"/>
  <c r="AF82" i="74" a="1"/>
  <c r="AF82" i="74" s="1"/>
  <c r="AE82" i="74" a="1"/>
  <c r="AE82" i="74" s="1"/>
  <c r="AD82" i="74" a="1"/>
  <c r="AD82" i="74" s="1"/>
  <c r="T82" i="74"/>
  <c r="R82" i="74"/>
  <c r="N82" i="74"/>
  <c r="M82" i="74"/>
  <c r="L82" i="74"/>
  <c r="F82" i="74"/>
  <c r="D82" i="74"/>
  <c r="AF81" i="74" a="1"/>
  <c r="AF81" i="74" s="1"/>
  <c r="AE81" i="74" a="1"/>
  <c r="AE81" i="74" s="1"/>
  <c r="AD81" i="74" a="1"/>
  <c r="AD81" i="74" s="1"/>
  <c r="T81" i="74"/>
  <c r="R81" i="74"/>
  <c r="N81" i="74"/>
  <c r="M81" i="74"/>
  <c r="L81" i="74"/>
  <c r="F81" i="74"/>
  <c r="D81" i="74"/>
  <c r="AF80" i="74" a="1"/>
  <c r="AF80" i="74" s="1"/>
  <c r="AE80" i="74" a="1"/>
  <c r="AE80" i="74" s="1"/>
  <c r="AD80" i="74" a="1"/>
  <c r="AD80" i="74" s="1"/>
  <c r="T80" i="74"/>
  <c r="R80" i="74"/>
  <c r="N80" i="74"/>
  <c r="M80" i="74"/>
  <c r="L80" i="74"/>
  <c r="F80" i="74"/>
  <c r="D80" i="74"/>
  <c r="AF79" i="74" a="1"/>
  <c r="AF79" i="74" s="1"/>
  <c r="AE79" i="74" a="1"/>
  <c r="AE79" i="74" s="1"/>
  <c r="AD79" i="74" a="1"/>
  <c r="AD79" i="74" s="1"/>
  <c r="T79" i="74"/>
  <c r="R79" i="74"/>
  <c r="N79" i="74"/>
  <c r="M79" i="74"/>
  <c r="L79" i="74"/>
  <c r="F79" i="74"/>
  <c r="D79" i="74"/>
  <c r="AF78" i="74" a="1"/>
  <c r="AF78" i="74" s="1"/>
  <c r="AE78" i="74" a="1"/>
  <c r="AE78" i="74" s="1"/>
  <c r="AD78" i="74" a="1"/>
  <c r="AD78" i="74" s="1"/>
  <c r="T78" i="74"/>
  <c r="R78" i="74"/>
  <c r="N78" i="74"/>
  <c r="M78" i="74"/>
  <c r="L78" i="74"/>
  <c r="F78" i="74"/>
  <c r="D78" i="74"/>
  <c r="AF77" i="74" a="1"/>
  <c r="AF77" i="74" s="1"/>
  <c r="AE77" i="74" a="1"/>
  <c r="AE77" i="74" s="1"/>
  <c r="AD77" i="74" a="1"/>
  <c r="AD77" i="74" s="1"/>
  <c r="T77" i="74"/>
  <c r="R77" i="74"/>
  <c r="N77" i="74"/>
  <c r="M77" i="74"/>
  <c r="L77" i="74"/>
  <c r="F77" i="74"/>
  <c r="D77" i="74"/>
  <c r="AF76" i="74" a="1"/>
  <c r="AF76" i="74" s="1"/>
  <c r="AE76" i="74" a="1"/>
  <c r="AE76" i="74" s="1"/>
  <c r="AD76" i="74" a="1"/>
  <c r="AD76" i="74" s="1"/>
  <c r="T76" i="74"/>
  <c r="R76" i="74"/>
  <c r="N76" i="74"/>
  <c r="M76" i="74"/>
  <c r="L76" i="74"/>
  <c r="F76" i="74"/>
  <c r="D76" i="74"/>
  <c r="AF75" i="74" a="1"/>
  <c r="AF75" i="74" s="1"/>
  <c r="AE75" i="74" a="1"/>
  <c r="AE75" i="74" s="1"/>
  <c r="AD75" i="74" a="1"/>
  <c r="AD75" i="74" s="1"/>
  <c r="T75" i="74"/>
  <c r="R75" i="74"/>
  <c r="N75" i="74"/>
  <c r="M75" i="74"/>
  <c r="L75" i="74"/>
  <c r="F75" i="74"/>
  <c r="D75" i="74"/>
  <c r="AF74" i="74" a="1"/>
  <c r="AF74" i="74" s="1"/>
  <c r="AE74" i="74" a="1"/>
  <c r="AE74" i="74" s="1"/>
  <c r="AD74" i="74" a="1"/>
  <c r="AD74" i="74" s="1"/>
  <c r="T74" i="74"/>
  <c r="R74" i="74"/>
  <c r="N74" i="74"/>
  <c r="M74" i="74"/>
  <c r="L74" i="74"/>
  <c r="F74" i="74"/>
  <c r="D74" i="74"/>
  <c r="AF73" i="74" a="1"/>
  <c r="AF73" i="74" s="1"/>
  <c r="AE73" i="74" a="1"/>
  <c r="AE73" i="74" s="1"/>
  <c r="AD73" i="74" a="1"/>
  <c r="AD73" i="74" s="1"/>
  <c r="T73" i="74"/>
  <c r="R73" i="74"/>
  <c r="N73" i="74"/>
  <c r="M73" i="74"/>
  <c r="L73" i="74"/>
  <c r="F73" i="74"/>
  <c r="D73" i="74"/>
  <c r="AF72" i="74" a="1"/>
  <c r="AF72" i="74" s="1"/>
  <c r="AE72" i="74" a="1"/>
  <c r="AE72" i="74" s="1"/>
  <c r="AD72" i="74" a="1"/>
  <c r="AD72" i="74" s="1"/>
  <c r="T72" i="74"/>
  <c r="R72" i="74"/>
  <c r="N72" i="74"/>
  <c r="M72" i="74"/>
  <c r="L72" i="74"/>
  <c r="F72" i="74"/>
  <c r="D72" i="74"/>
  <c r="AF68" i="74" a="1"/>
  <c r="AF68" i="74" s="1"/>
  <c r="AE68" i="74" a="1"/>
  <c r="AE68" i="74" s="1"/>
  <c r="AD68" i="74" a="1"/>
  <c r="AD68" i="74" s="1"/>
  <c r="T68" i="74"/>
  <c r="AF67" i="74" a="1"/>
  <c r="AF67" i="74" s="1"/>
  <c r="AE67" i="74" a="1"/>
  <c r="AE67" i="74" s="1"/>
  <c r="AD67" i="74" a="1"/>
  <c r="AD67" i="74" s="1"/>
  <c r="T67" i="74"/>
  <c r="AF66" i="74" a="1"/>
  <c r="AF66" i="74" s="1"/>
  <c r="AE66" i="74" a="1"/>
  <c r="AE66" i="74" s="1"/>
  <c r="AD66" i="74" a="1"/>
  <c r="AD66" i="74" s="1"/>
  <c r="T66" i="74"/>
  <c r="R66" i="74"/>
  <c r="M66" i="74"/>
  <c r="N66" i="74" s="1"/>
  <c r="L66" i="74"/>
  <c r="AF65" i="74" a="1"/>
  <c r="AF65" i="74" s="1"/>
  <c r="AE65" i="74" a="1"/>
  <c r="AE65" i="74" s="1"/>
  <c r="AD65" i="74" a="1"/>
  <c r="AD65" i="74" s="1"/>
  <c r="T65" i="74"/>
  <c r="R65" i="74"/>
  <c r="M65" i="74"/>
  <c r="N65" i="74" s="1"/>
  <c r="L65" i="74"/>
  <c r="AF64" i="74" a="1"/>
  <c r="AF64" i="74" s="1"/>
  <c r="AE64" i="74" a="1"/>
  <c r="AE64" i="74" s="1"/>
  <c r="AD64" i="74" a="1"/>
  <c r="AD64" i="74" s="1"/>
  <c r="T64" i="74"/>
  <c r="R64" i="74"/>
  <c r="M64" i="74"/>
  <c r="N64" i="74" s="1"/>
  <c r="L64" i="74"/>
  <c r="AF63" i="74" a="1"/>
  <c r="AF63" i="74" s="1"/>
  <c r="AE63" i="74" a="1"/>
  <c r="AE63" i="74" s="1"/>
  <c r="AD63" i="74" a="1"/>
  <c r="AD63" i="74" s="1"/>
  <c r="T63" i="74"/>
  <c r="R63" i="74"/>
  <c r="M63" i="74"/>
  <c r="N63" i="74" s="1"/>
  <c r="L63" i="74"/>
  <c r="AF62" i="74" a="1"/>
  <c r="AF62" i="74" s="1"/>
  <c r="AE62" i="74" a="1"/>
  <c r="AE62" i="74" s="1"/>
  <c r="AD62" i="74" a="1"/>
  <c r="AD62" i="74" s="1"/>
  <c r="T62" i="74"/>
  <c r="R62" i="74"/>
  <c r="M62" i="74"/>
  <c r="N62" i="74" s="1"/>
  <c r="L62" i="74"/>
  <c r="AF61" i="74" a="1"/>
  <c r="AF61" i="74" s="1"/>
  <c r="AE61" i="74" a="1"/>
  <c r="AE61" i="74" s="1"/>
  <c r="AD61" i="74" a="1"/>
  <c r="AD61" i="74" s="1"/>
  <c r="T61" i="74"/>
  <c r="R61" i="74"/>
  <c r="M61" i="74"/>
  <c r="N61" i="74" s="1"/>
  <c r="L61" i="74"/>
  <c r="AF60" i="74" a="1"/>
  <c r="AF60" i="74" s="1"/>
  <c r="AE60" i="74" a="1"/>
  <c r="AE60" i="74" s="1"/>
  <c r="AD60" i="74" a="1"/>
  <c r="AD60" i="74" s="1"/>
  <c r="T60" i="74"/>
  <c r="R60" i="74"/>
  <c r="M60" i="74"/>
  <c r="N60" i="74" s="1"/>
  <c r="L60" i="74"/>
  <c r="AF59" i="74" a="1"/>
  <c r="AF59" i="74" s="1"/>
  <c r="AE59" i="74" a="1"/>
  <c r="AE59" i="74" s="1"/>
  <c r="AD59" i="74" a="1"/>
  <c r="AD59" i="74" s="1"/>
  <c r="T59" i="74"/>
  <c r="R59" i="74"/>
  <c r="M59" i="74"/>
  <c r="N59" i="74" s="1"/>
  <c r="L59" i="74"/>
  <c r="AF58" i="74" a="1"/>
  <c r="AF58" i="74" s="1"/>
  <c r="AE58" i="74" a="1"/>
  <c r="AE58" i="74" s="1"/>
  <c r="AD58" i="74" a="1"/>
  <c r="AD58" i="74" s="1"/>
  <c r="U58" i="74"/>
  <c r="V58" i="74" s="1"/>
  <c r="T58" i="74"/>
  <c r="R58" i="74"/>
  <c r="O58" i="74"/>
  <c r="P58" i="74" s="1"/>
  <c r="M58" i="74"/>
  <c r="N58" i="74" s="1"/>
  <c r="L58" i="74"/>
  <c r="AF57" i="74" a="1"/>
  <c r="AF57" i="74" s="1"/>
  <c r="AE57" i="74" a="1"/>
  <c r="AE57" i="74" s="1"/>
  <c r="AD57" i="74" a="1"/>
  <c r="AD57" i="74" s="1"/>
  <c r="U57" i="74"/>
  <c r="V57" i="74" s="1"/>
  <c r="T57" i="74"/>
  <c r="R57" i="74"/>
  <c r="O57" i="74"/>
  <c r="P57" i="74" s="1"/>
  <c r="M57" i="74"/>
  <c r="N57" i="74" s="1"/>
  <c r="L57" i="74"/>
  <c r="AF54" i="74" a="1"/>
  <c r="AF54" i="74" s="1"/>
  <c r="AE54" i="74" a="1"/>
  <c r="AE54" i="74" s="1"/>
  <c r="AD54" i="74" a="1"/>
  <c r="AD54" i="74" s="1"/>
  <c r="U54" i="74"/>
  <c r="V54" i="74" s="1"/>
  <c r="T54" i="74"/>
  <c r="R54" i="74"/>
  <c r="O54" i="74"/>
  <c r="P54" i="74" s="1"/>
  <c r="M54" i="74"/>
  <c r="N54" i="74" s="1"/>
  <c r="L54" i="74"/>
  <c r="AF53" i="74" a="1"/>
  <c r="AF53" i="74" s="1"/>
  <c r="AE53" i="74" a="1"/>
  <c r="AE53" i="74" s="1"/>
  <c r="AD53" i="74" a="1"/>
  <c r="AD53" i="74" s="1"/>
  <c r="U53" i="74"/>
  <c r="V53" i="74" s="1"/>
  <c r="T53" i="74"/>
  <c r="R53" i="74"/>
  <c r="O53" i="74"/>
  <c r="P53" i="74" s="1"/>
  <c r="M53" i="74"/>
  <c r="N53" i="74" s="1"/>
  <c r="L53" i="74"/>
  <c r="AF52" i="74" a="1"/>
  <c r="AF52" i="74" s="1"/>
  <c r="AE52" i="74" a="1"/>
  <c r="AE52" i="74" s="1"/>
  <c r="AD52" i="74" a="1"/>
  <c r="AD52" i="74" s="1"/>
  <c r="U52" i="74"/>
  <c r="V52" i="74" s="1"/>
  <c r="T52" i="74"/>
  <c r="R52" i="74"/>
  <c r="O52" i="74"/>
  <c r="P52" i="74" s="1"/>
  <c r="M52" i="74"/>
  <c r="N52" i="74" s="1"/>
  <c r="L52" i="74"/>
  <c r="AF51" i="74" a="1"/>
  <c r="AF51" i="74" s="1"/>
  <c r="AE51" i="74" a="1"/>
  <c r="AE51" i="74" s="1"/>
  <c r="AD51" i="74" a="1"/>
  <c r="AD51" i="74" s="1"/>
  <c r="U51" i="74"/>
  <c r="V51" i="74" s="1"/>
  <c r="T51" i="74"/>
  <c r="R51" i="74"/>
  <c r="O51" i="74"/>
  <c r="P51" i="74" s="1"/>
  <c r="M51" i="74"/>
  <c r="N51" i="74" s="1"/>
  <c r="L51" i="74"/>
  <c r="AF50" i="74" a="1"/>
  <c r="AF50" i="74" s="1"/>
  <c r="AE50" i="74" a="1"/>
  <c r="AE50" i="74" s="1"/>
  <c r="AD50" i="74" a="1"/>
  <c r="AD50" i="74" s="1"/>
  <c r="U50" i="74"/>
  <c r="V50" i="74" s="1"/>
  <c r="T50" i="74"/>
  <c r="R50" i="74"/>
  <c r="O50" i="74"/>
  <c r="P50" i="74" s="1"/>
  <c r="M50" i="74"/>
  <c r="N50" i="74" s="1"/>
  <c r="L50" i="74"/>
  <c r="AF49" i="74" a="1"/>
  <c r="AF49" i="74" s="1"/>
  <c r="AE49" i="74" a="1"/>
  <c r="AE49" i="74" s="1"/>
  <c r="AD49" i="74" a="1"/>
  <c r="AD49" i="74" s="1"/>
  <c r="U49" i="74"/>
  <c r="V49" i="74" s="1"/>
  <c r="T49" i="74"/>
  <c r="R49" i="74"/>
  <c r="O49" i="74"/>
  <c r="P49" i="74" s="1"/>
  <c r="M49" i="74"/>
  <c r="N49" i="74" s="1"/>
  <c r="L49" i="74"/>
  <c r="U48" i="74"/>
  <c r="V48" i="74" s="1"/>
  <c r="T48" i="74"/>
  <c r="R48" i="74"/>
  <c r="O48" i="74"/>
  <c r="P48" i="74" s="1"/>
  <c r="M48" i="74"/>
  <c r="N48" i="74" s="1"/>
  <c r="L48" i="74"/>
  <c r="U47" i="74"/>
  <c r="V47" i="74" s="1"/>
  <c r="T47" i="74"/>
  <c r="R47" i="74"/>
  <c r="O47" i="74"/>
  <c r="P47" i="74" s="1"/>
  <c r="M47" i="74"/>
  <c r="N47" i="74" s="1"/>
  <c r="L47" i="74"/>
  <c r="U45" i="74"/>
  <c r="V45" i="74" s="1"/>
  <c r="T45" i="74"/>
  <c r="R45" i="74"/>
  <c r="O45" i="74"/>
  <c r="P45" i="74" s="1"/>
  <c r="M45" i="74"/>
  <c r="N45" i="74" s="1"/>
  <c r="L45" i="74"/>
  <c r="U44" i="74"/>
  <c r="V44" i="74" s="1"/>
  <c r="T44" i="74"/>
  <c r="O44" i="74"/>
  <c r="P44" i="74" s="1"/>
  <c r="M44" i="74"/>
  <c r="N44" i="74" s="1"/>
  <c r="L44" i="74"/>
  <c r="U43" i="74"/>
  <c r="V43" i="74" s="1"/>
  <c r="T43" i="74"/>
  <c r="O43" i="74"/>
  <c r="P43" i="74" s="1"/>
  <c r="M43" i="74"/>
  <c r="N43" i="74" s="1"/>
  <c r="L43" i="74"/>
  <c r="AF41" i="74" a="1"/>
  <c r="AF41" i="74" s="1"/>
  <c r="AE41" i="74" a="1"/>
  <c r="AE41" i="74" s="1"/>
  <c r="AD41" i="74" a="1"/>
  <c r="AD41" i="74" s="1"/>
  <c r="U41" i="74"/>
  <c r="V41" i="74" s="1"/>
  <c r="T41" i="74"/>
  <c r="O41" i="74"/>
  <c r="P41" i="74" s="1"/>
  <c r="M41" i="74"/>
  <c r="N41" i="74" s="1"/>
  <c r="L41" i="74"/>
  <c r="AF40" i="74" a="1"/>
  <c r="AF40" i="74" s="1"/>
  <c r="AE40" i="74" a="1"/>
  <c r="AE40" i="74" s="1"/>
  <c r="AD40" i="74" a="1"/>
  <c r="AD40" i="74" s="1"/>
  <c r="U40" i="74"/>
  <c r="V40" i="74" s="1"/>
  <c r="T40" i="74"/>
  <c r="O40" i="74"/>
  <c r="P40" i="74" s="1"/>
  <c r="M40" i="74"/>
  <c r="N40" i="74" s="1"/>
  <c r="L40" i="74"/>
  <c r="AF39" i="74" a="1"/>
  <c r="AF39" i="74" s="1"/>
  <c r="AE39" i="74" a="1"/>
  <c r="AE39" i="74" s="1"/>
  <c r="AD39" i="74" a="1"/>
  <c r="AD39" i="74" s="1"/>
  <c r="U39" i="74"/>
  <c r="V39" i="74" s="1"/>
  <c r="T39" i="74"/>
  <c r="R39" i="74"/>
  <c r="O39" i="74"/>
  <c r="P39" i="74" s="1"/>
  <c r="M39" i="74"/>
  <c r="N39" i="74" s="1"/>
  <c r="L39" i="74"/>
  <c r="AF38" i="74" a="1"/>
  <c r="AF38" i="74" s="1"/>
  <c r="AE38" i="74" a="1"/>
  <c r="AE38" i="74" s="1"/>
  <c r="AD38" i="74" a="1"/>
  <c r="AD38" i="74" s="1"/>
  <c r="U38" i="74"/>
  <c r="V38" i="74" s="1"/>
  <c r="T38" i="74"/>
  <c r="R38" i="74"/>
  <c r="O38" i="74"/>
  <c r="P38" i="74" s="1"/>
  <c r="M38" i="74"/>
  <c r="N38" i="74" s="1"/>
  <c r="L38" i="74"/>
  <c r="AF37" i="74" a="1"/>
  <c r="AF37" i="74" s="1"/>
  <c r="AE37" i="74" a="1"/>
  <c r="AE37" i="74" s="1"/>
  <c r="AD37" i="74" a="1"/>
  <c r="AD37" i="74" s="1"/>
  <c r="U37" i="74"/>
  <c r="V37" i="74" s="1"/>
  <c r="T37" i="74"/>
  <c r="R37" i="74"/>
  <c r="O37" i="74"/>
  <c r="P37" i="74" s="1"/>
  <c r="M37" i="74"/>
  <c r="N37" i="74" s="1"/>
  <c r="L37" i="74"/>
  <c r="AF36" i="74" a="1"/>
  <c r="AF36" i="74" s="1"/>
  <c r="AE36" i="74" a="1"/>
  <c r="AE36" i="74" s="1"/>
  <c r="AD36" i="74" a="1"/>
  <c r="AD36" i="74" s="1"/>
  <c r="U36" i="74"/>
  <c r="V36" i="74" s="1"/>
  <c r="T36" i="74"/>
  <c r="R36" i="74"/>
  <c r="O36" i="74"/>
  <c r="P36" i="74" s="1"/>
  <c r="M36" i="74"/>
  <c r="N36" i="74" s="1"/>
  <c r="L36" i="74"/>
  <c r="AF35" i="74" a="1"/>
  <c r="AF35" i="74" s="1"/>
  <c r="AE35" i="74" a="1"/>
  <c r="AE35" i="74" s="1"/>
  <c r="AD35" i="74" a="1"/>
  <c r="AD35" i="74" s="1"/>
  <c r="U35" i="74"/>
  <c r="V35" i="74" s="1"/>
  <c r="T35" i="74"/>
  <c r="R35" i="74"/>
  <c r="O35" i="74"/>
  <c r="P35" i="74" s="1"/>
  <c r="M35" i="74"/>
  <c r="N35" i="74" s="1"/>
  <c r="L35" i="74"/>
  <c r="AF34" i="74" a="1"/>
  <c r="AF34" i="74" s="1"/>
  <c r="AE34" i="74" a="1"/>
  <c r="AE34" i="74" s="1"/>
  <c r="AD34" i="74" a="1"/>
  <c r="AD34" i="74" s="1"/>
  <c r="U34" i="74"/>
  <c r="V34" i="74" s="1"/>
  <c r="T34" i="74"/>
  <c r="R34" i="74"/>
  <c r="O34" i="74"/>
  <c r="P34" i="74" s="1"/>
  <c r="M34" i="74"/>
  <c r="N34" i="74" s="1"/>
  <c r="L34" i="74"/>
  <c r="AF33" i="74" a="1"/>
  <c r="AF33" i="74" s="1"/>
  <c r="AE33" i="74" a="1"/>
  <c r="AE33" i="74" s="1"/>
  <c r="AD33" i="74" a="1"/>
  <c r="AD33" i="74" s="1"/>
  <c r="U33" i="74"/>
  <c r="V33" i="74" s="1"/>
  <c r="T33" i="74"/>
  <c r="R33" i="74"/>
  <c r="O33" i="74"/>
  <c r="P33" i="74" s="1"/>
  <c r="M33" i="74"/>
  <c r="N33" i="74" s="1"/>
  <c r="L33" i="74"/>
  <c r="AF32" i="74" a="1"/>
  <c r="AF32" i="74" s="1"/>
  <c r="AE32" i="74" a="1"/>
  <c r="AE32" i="74" s="1"/>
  <c r="AD32" i="74" a="1"/>
  <c r="AD32" i="74" s="1"/>
  <c r="U32" i="74"/>
  <c r="V32" i="74" s="1"/>
  <c r="T32" i="74"/>
  <c r="R32" i="74"/>
  <c r="O32" i="74"/>
  <c r="P32" i="74" s="1"/>
  <c r="M32" i="74"/>
  <c r="N32" i="74" s="1"/>
  <c r="L32" i="74"/>
  <c r="AF31" i="74" a="1"/>
  <c r="AF31" i="74" s="1"/>
  <c r="AE31" i="74" a="1"/>
  <c r="AE31" i="74" s="1"/>
  <c r="AD31" i="74" a="1"/>
  <c r="AD31" i="74" s="1"/>
  <c r="U31" i="74"/>
  <c r="V31" i="74" s="1"/>
  <c r="T31" i="74"/>
  <c r="R31" i="74"/>
  <c r="O31" i="74"/>
  <c r="P31" i="74" s="1"/>
  <c r="M31" i="74"/>
  <c r="N31" i="74" s="1"/>
  <c r="L31" i="74"/>
  <c r="AF30" i="74" a="1"/>
  <c r="AF30" i="74" s="1"/>
  <c r="AE30" i="74" a="1"/>
  <c r="AE30" i="74" s="1"/>
  <c r="AD30" i="74" a="1"/>
  <c r="AD30" i="74" s="1"/>
  <c r="U30" i="74"/>
  <c r="V30" i="74" s="1"/>
  <c r="T30" i="74"/>
  <c r="R30" i="74"/>
  <c r="O30" i="74"/>
  <c r="P30" i="74" s="1"/>
  <c r="M30" i="74"/>
  <c r="N30" i="74" s="1"/>
  <c r="L30" i="74"/>
  <c r="AF29" i="74" a="1"/>
  <c r="AF29" i="74" s="1"/>
  <c r="AE29" i="74" a="1"/>
  <c r="AE29" i="74" s="1"/>
  <c r="AD29" i="74" a="1"/>
  <c r="AD29" i="74" s="1"/>
  <c r="U29" i="74"/>
  <c r="V29" i="74" s="1"/>
  <c r="T29" i="74"/>
  <c r="R29" i="74"/>
  <c r="O29" i="74"/>
  <c r="P29" i="74" s="1"/>
  <c r="M29" i="74"/>
  <c r="N29" i="74" s="1"/>
  <c r="L29" i="74"/>
  <c r="AF28" i="74" a="1"/>
  <c r="AF28" i="74" s="1"/>
  <c r="AE28" i="74" a="1"/>
  <c r="AE28" i="74" s="1"/>
  <c r="AD28" i="74" a="1"/>
  <c r="AD28" i="74" s="1"/>
  <c r="U28" i="74"/>
  <c r="V28" i="74" s="1"/>
  <c r="T28" i="74"/>
  <c r="R28" i="74"/>
  <c r="O28" i="74"/>
  <c r="P28" i="74" s="1"/>
  <c r="M28" i="74"/>
  <c r="N28" i="74" s="1"/>
  <c r="L28" i="74"/>
  <c r="AF27" i="74" a="1"/>
  <c r="AF27" i="74" s="1"/>
  <c r="AE27" i="74" a="1"/>
  <c r="AE27" i="74" s="1"/>
  <c r="AD27" i="74" a="1"/>
  <c r="AD27" i="74" s="1"/>
  <c r="U27" i="74"/>
  <c r="V27" i="74" s="1"/>
  <c r="T27" i="74"/>
  <c r="R27" i="74"/>
  <c r="O27" i="74"/>
  <c r="P27" i="74" s="1"/>
  <c r="M27" i="74"/>
  <c r="N27" i="74" s="1"/>
  <c r="L27" i="74"/>
  <c r="AF26" i="74" a="1"/>
  <c r="AF26" i="74" s="1"/>
  <c r="AE26" i="74" a="1"/>
  <c r="AE26" i="74" s="1"/>
  <c r="AD26" i="74" a="1"/>
  <c r="AD26" i="74" s="1"/>
  <c r="U26" i="74"/>
  <c r="V26" i="74" s="1"/>
  <c r="T26" i="74"/>
  <c r="R26" i="74"/>
  <c r="O26" i="74"/>
  <c r="P26" i="74" s="1"/>
  <c r="M26" i="74"/>
  <c r="N26" i="74" s="1"/>
  <c r="L26" i="74"/>
  <c r="AF25" i="74" a="1"/>
  <c r="AF25" i="74" s="1"/>
  <c r="AE25" i="74" a="1"/>
  <c r="AE25" i="74" s="1"/>
  <c r="AD25" i="74" a="1"/>
  <c r="AD25" i="74" s="1"/>
  <c r="U25" i="74"/>
  <c r="V25" i="74" s="1"/>
  <c r="T25" i="74"/>
  <c r="R25" i="74"/>
  <c r="O25" i="74"/>
  <c r="P25" i="74" s="1"/>
  <c r="M25" i="74"/>
  <c r="N25" i="74" s="1"/>
  <c r="L25" i="74"/>
  <c r="AF24" i="74" a="1"/>
  <c r="AF24" i="74" s="1"/>
  <c r="AE24" i="74" a="1"/>
  <c r="AE24" i="74" s="1"/>
  <c r="AD24" i="74" a="1"/>
  <c r="AD24" i="74" s="1"/>
  <c r="U24" i="74"/>
  <c r="V24" i="74" s="1"/>
  <c r="T24" i="74"/>
  <c r="R24" i="74"/>
  <c r="O24" i="74"/>
  <c r="P24" i="74" s="1"/>
  <c r="M24" i="74"/>
  <c r="N24" i="74" s="1"/>
  <c r="L24" i="74"/>
  <c r="AF23" i="74" a="1"/>
  <c r="AF23" i="74" s="1"/>
  <c r="AE23" i="74" a="1"/>
  <c r="AE23" i="74" s="1"/>
  <c r="AD23" i="74" a="1"/>
  <c r="AD23" i="74" s="1"/>
  <c r="U23" i="74"/>
  <c r="V23" i="74" s="1"/>
  <c r="T23" i="74"/>
  <c r="R23" i="74"/>
  <c r="O23" i="74"/>
  <c r="P23" i="74" s="1"/>
  <c r="M23" i="74"/>
  <c r="N23" i="74" s="1"/>
  <c r="L23" i="74"/>
  <c r="G20" i="74"/>
  <c r="S19" i="74"/>
  <c r="R19" i="74"/>
  <c r="S18" i="74"/>
  <c r="R18" i="74"/>
  <c r="AG17" i="74" a="1"/>
  <c r="AG17" i="74" s="1"/>
  <c r="J17" i="74"/>
  <c r="I17" i="74"/>
  <c r="AG16" i="74" a="1"/>
  <c r="AG16" i="74" s="1"/>
  <c r="S16" i="74"/>
  <c r="R16" i="74"/>
  <c r="J16" i="74"/>
  <c r="I16" i="74"/>
  <c r="AG15" i="74" a="1"/>
  <c r="AG15" i="74" s="1"/>
  <c r="S15" i="74"/>
  <c r="R15" i="74"/>
  <c r="CM12" i="74" a="1"/>
  <c r="CM12" i="74" s="1"/>
  <c r="CL12" i="74" a="1"/>
  <c r="CL12" i="74" s="1"/>
  <c r="CK12" i="74" a="1"/>
  <c r="CK12" i="74" s="1"/>
  <c r="CJ12" i="74" a="1"/>
  <c r="CJ12" i="74" s="1"/>
  <c r="CI12" i="74" a="1"/>
  <c r="CI12" i="74" s="1"/>
  <c r="CH12" i="74" a="1"/>
  <c r="CH12" i="74" s="1"/>
  <c r="CG12" i="74" a="1"/>
  <c r="CG12" i="74" s="1"/>
  <c r="CF12" i="74" a="1"/>
  <c r="CF12" i="74" s="1"/>
  <c r="CE12" i="74" a="1"/>
  <c r="CE12" i="74" s="1"/>
  <c r="CD12" i="74" a="1"/>
  <c r="CD12" i="74" s="1"/>
  <c r="CC12" i="74" a="1"/>
  <c r="CC12" i="74" s="1"/>
  <c r="CB12" i="74" a="1"/>
  <c r="CB12" i="74" s="1"/>
  <c r="CA12" i="74" a="1"/>
  <c r="CA12" i="74" s="1"/>
  <c r="BZ12" i="74" a="1"/>
  <c r="BZ12" i="74" s="1"/>
  <c r="BS12" i="74" a="1"/>
  <c r="BS12" i="74" s="1"/>
  <c r="BR12" i="74" a="1"/>
  <c r="BR12" i="74" s="1"/>
  <c r="BQ12" i="74" a="1"/>
  <c r="BQ12" i="74" s="1"/>
  <c r="BK12" i="74" a="1"/>
  <c r="BK12" i="74" s="1"/>
  <c r="BA12" i="74" a="1"/>
  <c r="BA12" i="74" s="1"/>
  <c r="AZ12" i="74" a="1"/>
  <c r="AZ12" i="74" s="1"/>
  <c r="AY12" i="74" a="1"/>
  <c r="AY12" i="74" s="1"/>
  <c r="AX12" i="74" a="1"/>
  <c r="AX12" i="74" s="1"/>
  <c r="AU12" i="74" a="1"/>
  <c r="AU12" i="74" s="1"/>
  <c r="BB12" i="74" a="1"/>
  <c r="BB12" i="74" s="1"/>
  <c r="AS12" i="74" a="1"/>
  <c r="AS12" i="74" s="1"/>
  <c r="AQ12" i="74" a="1"/>
  <c r="AQ12" i="74" s="1"/>
  <c r="BM12" i="74" a="1"/>
  <c r="BM12" i="74" s="1"/>
  <c r="AP12" i="74" a="1"/>
  <c r="AP12" i="74" s="1"/>
  <c r="AN12" i="74" a="1"/>
  <c r="AN12" i="74" s="1"/>
  <c r="AM12" i="74" a="1"/>
  <c r="AM12" i="74" s="1"/>
  <c r="AL12" i="74" a="1"/>
  <c r="AL12" i="74" s="1"/>
  <c r="BU12" i="74" a="1"/>
  <c r="BU12" i="74" s="1"/>
  <c r="AJ12" i="74" a="1"/>
  <c r="AJ12" i="74" s="1"/>
  <c r="AI12" i="74" a="1"/>
  <c r="AI12" i="74" s="1"/>
  <c r="AH12" i="74" a="1"/>
  <c r="AH12" i="74" s="1"/>
  <c r="AG12" i="74" a="1"/>
  <c r="AG12" i="74" s="1"/>
  <c r="AF12" i="74" a="1"/>
  <c r="AF12" i="74" s="1"/>
  <c r="CM10" i="74" a="1"/>
  <c r="CM10" i="74" s="1"/>
  <c r="CL10" i="74" a="1"/>
  <c r="CL10" i="74" s="1"/>
  <c r="CK10" i="74" a="1"/>
  <c r="CK10" i="74" s="1"/>
  <c r="CJ10" i="74" a="1"/>
  <c r="CJ10" i="74" s="1"/>
  <c r="CI10" i="74" a="1"/>
  <c r="CI10" i="74" s="1"/>
  <c r="CH10" i="74" a="1"/>
  <c r="CH10" i="74" s="1"/>
  <c r="CG10" i="74" a="1"/>
  <c r="CG10" i="74" s="1"/>
  <c r="CF10" i="74" a="1"/>
  <c r="CF10" i="74" s="1"/>
  <c r="CE10" i="74" a="1"/>
  <c r="CE10" i="74" s="1"/>
  <c r="CD10" i="74" a="1"/>
  <c r="CD10" i="74" s="1"/>
  <c r="CC10" i="74" a="1"/>
  <c r="CC10" i="74" s="1"/>
  <c r="CB10" i="74" a="1"/>
  <c r="CB10" i="74" s="1"/>
  <c r="CA10" i="74" a="1"/>
  <c r="CA10" i="74" s="1"/>
  <c r="BZ10" i="74" a="1"/>
  <c r="BZ10" i="74" s="1"/>
  <c r="BS10" i="74" a="1"/>
  <c r="BS10" i="74" s="1"/>
  <c r="BR10" i="74" a="1"/>
  <c r="BR10" i="74" s="1"/>
  <c r="BQ10" i="74" a="1"/>
  <c r="BQ10" i="74" s="1"/>
  <c r="BK10" i="74" a="1"/>
  <c r="BK10" i="74" s="1"/>
  <c r="BA10" i="74" a="1"/>
  <c r="BA10" i="74" s="1"/>
  <c r="AZ10" i="74" a="1"/>
  <c r="AZ10" i="74" s="1"/>
  <c r="AY10" i="74" a="1"/>
  <c r="AY10" i="74" s="1"/>
  <c r="AX10" i="74" a="1"/>
  <c r="AX10" i="74" s="1"/>
  <c r="AU10" i="74" a="1"/>
  <c r="AU10" i="74" s="1"/>
  <c r="BB10" i="74" a="1"/>
  <c r="BB10" i="74" s="1"/>
  <c r="AS10" i="74" a="1"/>
  <c r="AS10" i="74" s="1"/>
  <c r="AQ10" i="74" a="1"/>
  <c r="AQ10" i="74" s="1"/>
  <c r="BM10" i="74" a="1"/>
  <c r="BM10" i="74" s="1"/>
  <c r="AP10" i="74" a="1"/>
  <c r="AP10" i="74" s="1"/>
  <c r="AN10" i="74" a="1"/>
  <c r="AN10" i="74" s="1"/>
  <c r="AM10" i="74" a="1"/>
  <c r="AM10" i="74" s="1"/>
  <c r="AL10" i="74" a="1"/>
  <c r="AL10" i="74" s="1"/>
  <c r="BU10" i="74" a="1"/>
  <c r="BU10" i="74" s="1"/>
  <c r="AJ10" i="74" a="1"/>
  <c r="AJ10" i="74" s="1"/>
  <c r="AI10" i="74" a="1"/>
  <c r="AI10" i="74" s="1"/>
  <c r="AH10" i="74" a="1"/>
  <c r="AH10" i="74" s="1"/>
  <c r="AG10" i="74" a="1"/>
  <c r="AG10" i="74" s="1"/>
  <c r="AF10" i="74" a="1"/>
  <c r="AF10" i="74" s="1"/>
  <c r="CM2" i="74" a="1"/>
  <c r="CM2" i="74" s="1"/>
  <c r="CL2" i="74" a="1"/>
  <c r="CL2" i="74" s="1"/>
  <c r="CK2" i="74" a="1"/>
  <c r="CK2" i="74" s="1"/>
  <c r="CJ2" i="74" a="1"/>
  <c r="CJ2" i="74" s="1"/>
  <c r="CI2" i="74" a="1"/>
  <c r="CI2" i="74" s="1"/>
  <c r="CH2" i="74" a="1"/>
  <c r="CH2" i="74" s="1"/>
  <c r="CG2" i="74" a="1"/>
  <c r="CG2" i="74" s="1"/>
  <c r="CF2" i="74" a="1"/>
  <c r="CF2" i="74" s="1"/>
  <c r="CE2" i="74" a="1"/>
  <c r="CE2" i="74" s="1"/>
  <c r="CD2" i="74" a="1"/>
  <c r="CD2" i="74" s="1"/>
  <c r="CC2" i="74" a="1"/>
  <c r="CC2" i="74" s="1"/>
  <c r="CB2" i="74" a="1"/>
  <c r="CB2" i="74" s="1"/>
  <c r="CA2" i="74" a="1"/>
  <c r="CA2" i="74" s="1"/>
  <c r="BZ2" i="74" a="1"/>
  <c r="BZ2" i="74" s="1"/>
  <c r="BS2" i="74" a="1"/>
  <c r="BS2" i="74" s="1"/>
  <c r="BR2" i="74" a="1"/>
  <c r="BR2" i="74" s="1"/>
  <c r="BQ2" i="74" a="1"/>
  <c r="BQ2" i="74" s="1"/>
  <c r="BK2" i="74" a="1"/>
  <c r="BK2" i="74" s="1"/>
  <c r="BA2" i="74" a="1"/>
  <c r="BA2" i="74" s="1"/>
  <c r="AZ2" i="74" a="1"/>
  <c r="AZ2" i="74" s="1"/>
  <c r="AY2" i="74" a="1"/>
  <c r="AY2" i="74" s="1"/>
  <c r="AX2" i="74" a="1"/>
  <c r="AX2" i="74" s="1"/>
  <c r="AU2" i="74" a="1"/>
  <c r="AU2" i="74" s="1"/>
  <c r="BB2" i="74" a="1"/>
  <c r="BB2" i="74" s="1"/>
  <c r="AS2" i="74" a="1"/>
  <c r="AS2" i="74" s="1"/>
  <c r="AQ2" i="74" a="1"/>
  <c r="AQ2" i="74" s="1"/>
  <c r="BM2" i="74" a="1"/>
  <c r="BM2" i="74" s="1"/>
  <c r="AP2" i="74" a="1"/>
  <c r="AP2" i="74" s="1"/>
  <c r="AN2" i="74" a="1"/>
  <c r="AN2" i="74" s="1"/>
  <c r="AM2" i="74" a="1"/>
  <c r="AM2" i="74" s="1"/>
  <c r="AL2" i="74" a="1"/>
  <c r="AL2" i="74" s="1"/>
  <c r="BU2" i="74" a="1"/>
  <c r="BU2" i="74" s="1"/>
  <c r="AJ2" i="74" a="1"/>
  <c r="AJ2" i="74" s="1"/>
  <c r="AI2" i="74" a="1"/>
  <c r="AI2" i="74" s="1"/>
  <c r="AH2" i="74" a="1"/>
  <c r="AH2" i="74" s="1"/>
  <c r="AG2" i="74" a="1"/>
  <c r="AG2" i="74" s="1"/>
  <c r="CM1" i="74"/>
  <c r="CL1" i="74"/>
  <c r="CK1" i="74"/>
  <c r="CJ1" i="74"/>
  <c r="CI1" i="74"/>
  <c r="CH1" i="74"/>
  <c r="CG1" i="74"/>
  <c r="CF1" i="74"/>
  <c r="CE1" i="74"/>
  <c r="CD1" i="74"/>
  <c r="CC1" i="74"/>
  <c r="CB1" i="74"/>
  <c r="CA1" i="74"/>
  <c r="BZ1" i="74"/>
  <c r="BS1" i="74"/>
  <c r="BR1" i="74"/>
  <c r="BQ1" i="74"/>
  <c r="BK1" i="74"/>
  <c r="BA1" i="74"/>
  <c r="AZ1" i="74"/>
  <c r="AY1" i="74"/>
  <c r="AX1" i="74"/>
  <c r="AU1" i="74"/>
  <c r="BB1" i="74"/>
  <c r="AS1" i="74"/>
  <c r="AQ1" i="74"/>
  <c r="BM1" i="74"/>
  <c r="AP1" i="74"/>
  <c r="AN1" i="74"/>
  <c r="AM1" i="74"/>
  <c r="AL1" i="74"/>
  <c r="BU1" i="74"/>
  <c r="AJ1" i="74"/>
  <c r="AI1" i="74"/>
  <c r="AH1" i="74"/>
  <c r="AG1" i="74"/>
  <c r="AF137" i="73" a="1"/>
  <c r="AF137" i="73" s="1"/>
  <c r="AE137" i="73" a="1"/>
  <c r="AE137" i="73" s="1"/>
  <c r="AD137" i="73" a="1"/>
  <c r="AD137" i="73" s="1"/>
  <c r="T137" i="73"/>
  <c r="R137" i="73"/>
  <c r="N137" i="73"/>
  <c r="M137" i="73"/>
  <c r="L137" i="73"/>
  <c r="F137" i="73"/>
  <c r="D137" i="73"/>
  <c r="AF136" i="73" a="1"/>
  <c r="AF136" i="73" s="1"/>
  <c r="AE136" i="73" a="1"/>
  <c r="AE136" i="73" s="1"/>
  <c r="AD136" i="73" a="1"/>
  <c r="AD136" i="73" s="1"/>
  <c r="T136" i="73"/>
  <c r="R136" i="73"/>
  <c r="N136" i="73"/>
  <c r="M136" i="73"/>
  <c r="L136" i="73"/>
  <c r="F136" i="73"/>
  <c r="D136" i="73"/>
  <c r="AF135" i="73" a="1"/>
  <c r="AF135" i="73" s="1"/>
  <c r="AE135" i="73" a="1"/>
  <c r="AE135" i="73" s="1"/>
  <c r="AD135" i="73" a="1"/>
  <c r="AD135" i="73" s="1"/>
  <c r="T135" i="73"/>
  <c r="R135" i="73"/>
  <c r="N135" i="73"/>
  <c r="M135" i="73"/>
  <c r="L135" i="73"/>
  <c r="F135" i="73"/>
  <c r="D135" i="73"/>
  <c r="AF134" i="73" a="1"/>
  <c r="AF134" i="73" s="1"/>
  <c r="AE134" i="73" a="1"/>
  <c r="AE134" i="73" s="1"/>
  <c r="AD134" i="73" a="1"/>
  <c r="AD134" i="73" s="1"/>
  <c r="T134" i="73"/>
  <c r="R134" i="73"/>
  <c r="N134" i="73"/>
  <c r="M134" i="73"/>
  <c r="L134" i="73"/>
  <c r="F134" i="73"/>
  <c r="D134" i="73"/>
  <c r="AF133" i="73" a="1"/>
  <c r="AF133" i="73" s="1"/>
  <c r="AE133" i="73" a="1"/>
  <c r="AE133" i="73" s="1"/>
  <c r="AD133" i="73" a="1"/>
  <c r="AD133" i="73" s="1"/>
  <c r="T133" i="73"/>
  <c r="R133" i="73"/>
  <c r="N133" i="73"/>
  <c r="M133" i="73"/>
  <c r="L133" i="73"/>
  <c r="F133" i="73"/>
  <c r="D133" i="73"/>
  <c r="AF132" i="73" a="1"/>
  <c r="AF132" i="73" s="1"/>
  <c r="AE132" i="73" a="1"/>
  <c r="AE132" i="73" s="1"/>
  <c r="AD132" i="73" a="1"/>
  <c r="AD132" i="73" s="1"/>
  <c r="T132" i="73"/>
  <c r="R132" i="73"/>
  <c r="N132" i="73"/>
  <c r="M132" i="73"/>
  <c r="L132" i="73"/>
  <c r="F132" i="73"/>
  <c r="D132" i="73"/>
  <c r="AF131" i="73" a="1"/>
  <c r="AF131" i="73" s="1"/>
  <c r="AE131" i="73" a="1"/>
  <c r="AE131" i="73" s="1"/>
  <c r="AD131" i="73" a="1"/>
  <c r="AD131" i="73" s="1"/>
  <c r="T131" i="73"/>
  <c r="R131" i="73"/>
  <c r="N131" i="73"/>
  <c r="M131" i="73"/>
  <c r="L131" i="73"/>
  <c r="F131" i="73"/>
  <c r="D131" i="73"/>
  <c r="AF130" i="73" a="1"/>
  <c r="AF130" i="73" s="1"/>
  <c r="AE130" i="73" a="1"/>
  <c r="AE130" i="73" s="1"/>
  <c r="AD130" i="73" a="1"/>
  <c r="AD130" i="73" s="1"/>
  <c r="T130" i="73"/>
  <c r="R130" i="73"/>
  <c r="N130" i="73"/>
  <c r="M130" i="73"/>
  <c r="L130" i="73"/>
  <c r="F130" i="73"/>
  <c r="D130" i="73"/>
  <c r="AF129" i="73" a="1"/>
  <c r="AF129" i="73" s="1"/>
  <c r="AE129" i="73" a="1"/>
  <c r="AE129" i="73" s="1"/>
  <c r="AD129" i="73" a="1"/>
  <c r="AD129" i="73" s="1"/>
  <c r="T129" i="73"/>
  <c r="R129" i="73"/>
  <c r="N129" i="73"/>
  <c r="M129" i="73"/>
  <c r="L129" i="73"/>
  <c r="F129" i="73"/>
  <c r="D129" i="73"/>
  <c r="AF128" i="73" a="1"/>
  <c r="AF128" i="73" s="1"/>
  <c r="AE128" i="73" a="1"/>
  <c r="AE128" i="73" s="1"/>
  <c r="AD128" i="73" a="1"/>
  <c r="AD128" i="73" s="1"/>
  <c r="T128" i="73"/>
  <c r="R128" i="73"/>
  <c r="N128" i="73"/>
  <c r="M128" i="73"/>
  <c r="L128" i="73"/>
  <c r="F128" i="73"/>
  <c r="D128" i="73"/>
  <c r="AF127" i="73" a="1"/>
  <c r="AF127" i="73" s="1"/>
  <c r="AE127" i="73" a="1"/>
  <c r="AE127" i="73" s="1"/>
  <c r="AD127" i="73" a="1"/>
  <c r="AD127" i="73" s="1"/>
  <c r="T127" i="73"/>
  <c r="R127" i="73"/>
  <c r="N127" i="73"/>
  <c r="M127" i="73"/>
  <c r="L127" i="73"/>
  <c r="F127" i="73"/>
  <c r="D127" i="73"/>
  <c r="AF126" i="73" a="1"/>
  <c r="AF126" i="73" s="1"/>
  <c r="AE126" i="73" a="1"/>
  <c r="AE126" i="73" s="1"/>
  <c r="AD126" i="73" a="1"/>
  <c r="AD126" i="73" s="1"/>
  <c r="T126" i="73"/>
  <c r="R126" i="73"/>
  <c r="N126" i="73"/>
  <c r="M126" i="73"/>
  <c r="L126" i="73"/>
  <c r="F126" i="73"/>
  <c r="D126" i="73"/>
  <c r="AF125" i="73" a="1"/>
  <c r="AF125" i="73" s="1"/>
  <c r="AE125" i="73" a="1"/>
  <c r="AE125" i="73" s="1"/>
  <c r="AD125" i="73" a="1"/>
  <c r="AD125" i="73" s="1"/>
  <c r="T125" i="73"/>
  <c r="R125" i="73"/>
  <c r="N125" i="73"/>
  <c r="M125" i="73"/>
  <c r="L125" i="73"/>
  <c r="F125" i="73"/>
  <c r="D125" i="73"/>
  <c r="AF124" i="73" a="1"/>
  <c r="AF124" i="73" s="1"/>
  <c r="AE124" i="73" a="1"/>
  <c r="AE124" i="73" s="1"/>
  <c r="AD124" i="73" a="1"/>
  <c r="AD124" i="73" s="1"/>
  <c r="T124" i="73"/>
  <c r="R124" i="73"/>
  <c r="N124" i="73"/>
  <c r="M124" i="73"/>
  <c r="L124" i="73"/>
  <c r="F124" i="73"/>
  <c r="D124" i="73"/>
  <c r="AF123" i="73" a="1"/>
  <c r="AF123" i="73" s="1"/>
  <c r="AE123" i="73" a="1"/>
  <c r="AE123" i="73" s="1"/>
  <c r="AD123" i="73" a="1"/>
  <c r="AD123" i="73" s="1"/>
  <c r="T123" i="73"/>
  <c r="R123" i="73"/>
  <c r="N123" i="73"/>
  <c r="M123" i="73"/>
  <c r="L123" i="73"/>
  <c r="F123" i="73"/>
  <c r="D123" i="73"/>
  <c r="AF122" i="73" a="1"/>
  <c r="AF122" i="73" s="1"/>
  <c r="AE122" i="73" a="1"/>
  <c r="AE122" i="73" s="1"/>
  <c r="AD122" i="73" a="1"/>
  <c r="AD122" i="73" s="1"/>
  <c r="T122" i="73"/>
  <c r="R122" i="73"/>
  <c r="N122" i="73"/>
  <c r="M122" i="73"/>
  <c r="L122" i="73"/>
  <c r="F122" i="73"/>
  <c r="D122" i="73"/>
  <c r="AF121" i="73" a="1"/>
  <c r="AF121" i="73" s="1"/>
  <c r="AE121" i="73" a="1"/>
  <c r="AE121" i="73" s="1"/>
  <c r="AD121" i="73" a="1"/>
  <c r="AD121" i="73" s="1"/>
  <c r="T121" i="73"/>
  <c r="R121" i="73"/>
  <c r="N121" i="73"/>
  <c r="M121" i="73"/>
  <c r="L121" i="73"/>
  <c r="F121" i="73"/>
  <c r="D121" i="73"/>
  <c r="AF120" i="73" a="1"/>
  <c r="AF120" i="73" s="1"/>
  <c r="AE120" i="73" a="1"/>
  <c r="AE120" i="73" s="1"/>
  <c r="AD120" i="73" a="1"/>
  <c r="AD120" i="73" s="1"/>
  <c r="T120" i="73"/>
  <c r="R120" i="73"/>
  <c r="N120" i="73"/>
  <c r="M120" i="73"/>
  <c r="L120" i="73"/>
  <c r="F120" i="73"/>
  <c r="D120" i="73"/>
  <c r="AF119" i="73" a="1"/>
  <c r="AF119" i="73" s="1"/>
  <c r="AE119" i="73" a="1"/>
  <c r="AE119" i="73" s="1"/>
  <c r="AD119" i="73" a="1"/>
  <c r="AD119" i="73" s="1"/>
  <c r="T119" i="73"/>
  <c r="R119" i="73"/>
  <c r="N119" i="73"/>
  <c r="M119" i="73"/>
  <c r="L119" i="73"/>
  <c r="F119" i="73"/>
  <c r="D119" i="73"/>
  <c r="AF118" i="73" a="1"/>
  <c r="AF118" i="73" s="1"/>
  <c r="AE118" i="73" a="1"/>
  <c r="AE118" i="73" s="1"/>
  <c r="AD118" i="73" a="1"/>
  <c r="AD118" i="73" s="1"/>
  <c r="T118" i="73"/>
  <c r="R118" i="73"/>
  <c r="N118" i="73"/>
  <c r="M118" i="73"/>
  <c r="L118" i="73"/>
  <c r="F118" i="73"/>
  <c r="D118" i="73"/>
  <c r="AF117" i="73" a="1"/>
  <c r="AF117" i="73" s="1"/>
  <c r="AE117" i="73" a="1"/>
  <c r="AE117" i="73" s="1"/>
  <c r="AD117" i="73" a="1"/>
  <c r="AD117" i="73" s="1"/>
  <c r="T117" i="73"/>
  <c r="R117" i="73"/>
  <c r="N117" i="73"/>
  <c r="M117" i="73"/>
  <c r="L117" i="73"/>
  <c r="F117" i="73"/>
  <c r="D117" i="73"/>
  <c r="AF116" i="73" a="1"/>
  <c r="AF116" i="73" s="1"/>
  <c r="AE116" i="73" a="1"/>
  <c r="AE116" i="73" s="1"/>
  <c r="AD116" i="73" a="1"/>
  <c r="AD116" i="73" s="1"/>
  <c r="T116" i="73"/>
  <c r="R116" i="73"/>
  <c r="N116" i="73"/>
  <c r="M116" i="73"/>
  <c r="L116" i="73"/>
  <c r="F116" i="73"/>
  <c r="D116" i="73"/>
  <c r="AF115" i="73" a="1"/>
  <c r="AF115" i="73" s="1"/>
  <c r="AE115" i="73" a="1"/>
  <c r="AE115" i="73" s="1"/>
  <c r="AD115" i="73" a="1"/>
  <c r="AD115" i="73" s="1"/>
  <c r="T115" i="73"/>
  <c r="R115" i="73"/>
  <c r="N115" i="73"/>
  <c r="M115" i="73"/>
  <c r="L115" i="73"/>
  <c r="F115" i="73"/>
  <c r="D115" i="73"/>
  <c r="AF114" i="73" a="1"/>
  <c r="AF114" i="73" s="1"/>
  <c r="AE114" i="73" a="1"/>
  <c r="AE114" i="73" s="1"/>
  <c r="AD114" i="73" a="1"/>
  <c r="AD114" i="73" s="1"/>
  <c r="T114" i="73"/>
  <c r="R114" i="73"/>
  <c r="N114" i="73"/>
  <c r="M114" i="73"/>
  <c r="L114" i="73"/>
  <c r="F114" i="73"/>
  <c r="D114" i="73"/>
  <c r="AF113" i="73" a="1"/>
  <c r="AF113" i="73" s="1"/>
  <c r="AE113" i="73" a="1"/>
  <c r="AE113" i="73" s="1"/>
  <c r="AD113" i="73" a="1"/>
  <c r="AD113" i="73" s="1"/>
  <c r="T113" i="73"/>
  <c r="R113" i="73"/>
  <c r="N113" i="73"/>
  <c r="M113" i="73"/>
  <c r="L113" i="73"/>
  <c r="F113" i="73"/>
  <c r="D113" i="73"/>
  <c r="AF112" i="73" a="1"/>
  <c r="AF112" i="73" s="1"/>
  <c r="AE112" i="73" a="1"/>
  <c r="AE112" i="73" s="1"/>
  <c r="AD112" i="73" a="1"/>
  <c r="AD112" i="73" s="1"/>
  <c r="T112" i="73"/>
  <c r="R112" i="73"/>
  <c r="N112" i="73"/>
  <c r="M112" i="73"/>
  <c r="L112" i="73"/>
  <c r="F112" i="73"/>
  <c r="D112" i="73"/>
  <c r="AF111" i="73" a="1"/>
  <c r="AF111" i="73" s="1"/>
  <c r="AE111" i="73" a="1"/>
  <c r="AE111" i="73" s="1"/>
  <c r="AD111" i="73" a="1"/>
  <c r="AD111" i="73" s="1"/>
  <c r="T111" i="73"/>
  <c r="R111" i="73"/>
  <c r="N111" i="73"/>
  <c r="M111" i="73"/>
  <c r="L111" i="73"/>
  <c r="F111" i="73"/>
  <c r="D111" i="73"/>
  <c r="AF110" i="73" a="1"/>
  <c r="AF110" i="73" s="1"/>
  <c r="AE110" i="73" a="1"/>
  <c r="AE110" i="73" s="1"/>
  <c r="AD110" i="73" a="1"/>
  <c r="AD110" i="73" s="1"/>
  <c r="T110" i="73"/>
  <c r="R110" i="73"/>
  <c r="N110" i="73"/>
  <c r="M110" i="73"/>
  <c r="L110" i="73"/>
  <c r="F110" i="73"/>
  <c r="D110" i="73"/>
  <c r="AF109" i="73" a="1"/>
  <c r="AF109" i="73" s="1"/>
  <c r="AE109" i="73" a="1"/>
  <c r="AE109" i="73" s="1"/>
  <c r="AD109" i="73" a="1"/>
  <c r="AD109" i="73" s="1"/>
  <c r="T109" i="73"/>
  <c r="R109" i="73"/>
  <c r="N109" i="73"/>
  <c r="M109" i="73"/>
  <c r="L109" i="73"/>
  <c r="F109" i="73"/>
  <c r="D109" i="73"/>
  <c r="AF108" i="73" a="1"/>
  <c r="AF108" i="73" s="1"/>
  <c r="AE108" i="73" a="1"/>
  <c r="AE108" i="73" s="1"/>
  <c r="AD108" i="73" a="1"/>
  <c r="AD108" i="73" s="1"/>
  <c r="T108" i="73"/>
  <c r="R108" i="73"/>
  <c r="N108" i="73"/>
  <c r="M108" i="73"/>
  <c r="L108" i="73"/>
  <c r="F108" i="73"/>
  <c r="D108" i="73"/>
  <c r="AF107" i="73" a="1"/>
  <c r="AF107" i="73" s="1"/>
  <c r="AE107" i="73" a="1"/>
  <c r="AE107" i="73" s="1"/>
  <c r="AD107" i="73" a="1"/>
  <c r="AD107" i="73" s="1"/>
  <c r="T107" i="73"/>
  <c r="R107" i="73"/>
  <c r="N107" i="73"/>
  <c r="M107" i="73"/>
  <c r="L107" i="73"/>
  <c r="F107" i="73"/>
  <c r="D107" i="73"/>
  <c r="AF106" i="73" a="1"/>
  <c r="AF106" i="73" s="1"/>
  <c r="AE106" i="73" a="1"/>
  <c r="AE106" i="73" s="1"/>
  <c r="AD106" i="73" a="1"/>
  <c r="AD106" i="73" s="1"/>
  <c r="T106" i="73"/>
  <c r="R106" i="73"/>
  <c r="N106" i="73"/>
  <c r="M106" i="73"/>
  <c r="L106" i="73"/>
  <c r="F106" i="73"/>
  <c r="D106" i="73"/>
  <c r="AF105" i="73" a="1"/>
  <c r="AF105" i="73" s="1"/>
  <c r="AE105" i="73" a="1"/>
  <c r="AE105" i="73" s="1"/>
  <c r="AD105" i="73" a="1"/>
  <c r="AD105" i="73" s="1"/>
  <c r="T105" i="73"/>
  <c r="R105" i="73"/>
  <c r="N105" i="73"/>
  <c r="M105" i="73"/>
  <c r="L105" i="73"/>
  <c r="F105" i="73"/>
  <c r="D105" i="73"/>
  <c r="AF104" i="73" a="1"/>
  <c r="AF104" i="73" s="1"/>
  <c r="AE104" i="73" a="1"/>
  <c r="AE104" i="73" s="1"/>
  <c r="AD104" i="73" a="1"/>
  <c r="AD104" i="73" s="1"/>
  <c r="T104" i="73"/>
  <c r="R104" i="73"/>
  <c r="N104" i="73"/>
  <c r="M104" i="73"/>
  <c r="L104" i="73"/>
  <c r="F104" i="73"/>
  <c r="D104" i="73"/>
  <c r="AF103" i="73" a="1"/>
  <c r="AF103" i="73" s="1"/>
  <c r="AE103" i="73" a="1"/>
  <c r="AE103" i="73" s="1"/>
  <c r="AD103" i="73" a="1"/>
  <c r="AD103" i="73" s="1"/>
  <c r="T103" i="73"/>
  <c r="R103" i="73"/>
  <c r="N103" i="73"/>
  <c r="M103" i="73"/>
  <c r="L103" i="73"/>
  <c r="F103" i="73"/>
  <c r="D103" i="73"/>
  <c r="AF102" i="73" a="1"/>
  <c r="AF102" i="73" s="1"/>
  <c r="AE102" i="73" a="1"/>
  <c r="AE102" i="73" s="1"/>
  <c r="AD102" i="73" a="1"/>
  <c r="AD102" i="73" s="1"/>
  <c r="T102" i="73"/>
  <c r="R102" i="73"/>
  <c r="N102" i="73"/>
  <c r="M102" i="73"/>
  <c r="L102" i="73"/>
  <c r="F102" i="73"/>
  <c r="D102" i="73"/>
  <c r="AF101" i="73" a="1"/>
  <c r="AF101" i="73" s="1"/>
  <c r="AE101" i="73" a="1"/>
  <c r="AE101" i="73" s="1"/>
  <c r="AD101" i="73" a="1"/>
  <c r="AD101" i="73" s="1"/>
  <c r="T101" i="73"/>
  <c r="R101" i="73"/>
  <c r="N101" i="73"/>
  <c r="M101" i="73"/>
  <c r="L101" i="73"/>
  <c r="F101" i="73"/>
  <c r="D101" i="73"/>
  <c r="AF100" i="73" a="1"/>
  <c r="AF100" i="73" s="1"/>
  <c r="AE100" i="73" a="1"/>
  <c r="AE100" i="73" s="1"/>
  <c r="AD100" i="73" a="1"/>
  <c r="AD100" i="73" s="1"/>
  <c r="T100" i="73"/>
  <c r="R100" i="73"/>
  <c r="N100" i="73"/>
  <c r="M100" i="73"/>
  <c r="L100" i="73"/>
  <c r="F100" i="73"/>
  <c r="D100" i="73"/>
  <c r="AF99" i="73" a="1"/>
  <c r="AF99" i="73" s="1"/>
  <c r="AE99" i="73" a="1"/>
  <c r="AE99" i="73" s="1"/>
  <c r="AD99" i="73" a="1"/>
  <c r="AD99" i="73" s="1"/>
  <c r="T99" i="73"/>
  <c r="R99" i="73"/>
  <c r="N99" i="73"/>
  <c r="M99" i="73"/>
  <c r="L99" i="73"/>
  <c r="F99" i="73"/>
  <c r="D99" i="73"/>
  <c r="AF98" i="73" a="1"/>
  <c r="AF98" i="73" s="1"/>
  <c r="AE98" i="73" a="1"/>
  <c r="AE98" i="73" s="1"/>
  <c r="AD98" i="73" a="1"/>
  <c r="AD98" i="73" s="1"/>
  <c r="T98" i="73"/>
  <c r="R98" i="73"/>
  <c r="N98" i="73"/>
  <c r="M98" i="73"/>
  <c r="L98" i="73"/>
  <c r="F98" i="73"/>
  <c r="D98" i="73"/>
  <c r="AF97" i="73" a="1"/>
  <c r="AF97" i="73" s="1"/>
  <c r="AE97" i="73" a="1"/>
  <c r="AE97" i="73" s="1"/>
  <c r="AD97" i="73" a="1"/>
  <c r="AD97" i="73" s="1"/>
  <c r="T97" i="73"/>
  <c r="R97" i="73"/>
  <c r="N97" i="73"/>
  <c r="M97" i="73"/>
  <c r="L97" i="73"/>
  <c r="F97" i="73"/>
  <c r="D97" i="73"/>
  <c r="AF96" i="73" a="1"/>
  <c r="AF96" i="73" s="1"/>
  <c r="AE96" i="73" a="1"/>
  <c r="AE96" i="73" s="1"/>
  <c r="AD96" i="73" a="1"/>
  <c r="AD96" i="73" s="1"/>
  <c r="T96" i="73"/>
  <c r="R96" i="73"/>
  <c r="N96" i="73"/>
  <c r="M96" i="73"/>
  <c r="L96" i="73"/>
  <c r="F96" i="73"/>
  <c r="D96" i="73"/>
  <c r="AF95" i="73" a="1"/>
  <c r="AF95" i="73" s="1"/>
  <c r="AE95" i="73" a="1"/>
  <c r="AE95" i="73" s="1"/>
  <c r="AD95" i="73" a="1"/>
  <c r="AD95" i="73" s="1"/>
  <c r="T95" i="73"/>
  <c r="R95" i="73"/>
  <c r="N95" i="73"/>
  <c r="M95" i="73"/>
  <c r="L95" i="73"/>
  <c r="F95" i="73"/>
  <c r="D95" i="73"/>
  <c r="AF94" i="73" a="1"/>
  <c r="AF94" i="73" s="1"/>
  <c r="AE94" i="73" a="1"/>
  <c r="AE94" i="73" s="1"/>
  <c r="AD94" i="73" a="1"/>
  <c r="AD94" i="73" s="1"/>
  <c r="T94" i="73"/>
  <c r="R94" i="73"/>
  <c r="N94" i="73"/>
  <c r="M94" i="73"/>
  <c r="L94" i="73"/>
  <c r="F94" i="73"/>
  <c r="D94" i="73"/>
  <c r="AF93" i="73" a="1"/>
  <c r="AF93" i="73" s="1"/>
  <c r="AE93" i="73" a="1"/>
  <c r="AE93" i="73" s="1"/>
  <c r="AD93" i="73" a="1"/>
  <c r="AD93" i="73" s="1"/>
  <c r="T93" i="73"/>
  <c r="R93" i="73"/>
  <c r="N93" i="73"/>
  <c r="M93" i="73"/>
  <c r="L93" i="73"/>
  <c r="F93" i="73"/>
  <c r="D93" i="73"/>
  <c r="AF92" i="73" a="1"/>
  <c r="AF92" i="73" s="1"/>
  <c r="AE92" i="73" a="1"/>
  <c r="AE92" i="73" s="1"/>
  <c r="AD92" i="73" a="1"/>
  <c r="AD92" i="73" s="1"/>
  <c r="T92" i="73"/>
  <c r="R92" i="73"/>
  <c r="N92" i="73"/>
  <c r="M92" i="73"/>
  <c r="L92" i="73"/>
  <c r="F92" i="73"/>
  <c r="D92" i="73"/>
  <c r="AF91" i="73" a="1"/>
  <c r="AF91" i="73" s="1"/>
  <c r="AE91" i="73" a="1"/>
  <c r="AE91" i="73" s="1"/>
  <c r="AD91" i="73" a="1"/>
  <c r="AD91" i="73" s="1"/>
  <c r="T91" i="73"/>
  <c r="R91" i="73"/>
  <c r="N91" i="73"/>
  <c r="M91" i="73"/>
  <c r="L91" i="73"/>
  <c r="F91" i="73"/>
  <c r="D91" i="73"/>
  <c r="AF90" i="73" a="1"/>
  <c r="AF90" i="73" s="1"/>
  <c r="AE90" i="73" a="1"/>
  <c r="AE90" i="73" s="1"/>
  <c r="AD90" i="73" a="1"/>
  <c r="AD90" i="73" s="1"/>
  <c r="T90" i="73"/>
  <c r="R90" i="73"/>
  <c r="N90" i="73"/>
  <c r="M90" i="73"/>
  <c r="L90" i="73"/>
  <c r="F90" i="73"/>
  <c r="D90" i="73"/>
  <c r="AF89" i="73" a="1"/>
  <c r="AF89" i="73" s="1"/>
  <c r="AE89" i="73" a="1"/>
  <c r="AE89" i="73" s="1"/>
  <c r="AD89" i="73" a="1"/>
  <c r="AD89" i="73" s="1"/>
  <c r="T89" i="73"/>
  <c r="R89" i="73"/>
  <c r="N89" i="73"/>
  <c r="M89" i="73"/>
  <c r="L89" i="73"/>
  <c r="F89" i="73"/>
  <c r="D89" i="73"/>
  <c r="AF88" i="73" a="1"/>
  <c r="AF88" i="73" s="1"/>
  <c r="AE88" i="73" a="1"/>
  <c r="AE88" i="73" s="1"/>
  <c r="AD88" i="73" a="1"/>
  <c r="AD88" i="73" s="1"/>
  <c r="T88" i="73"/>
  <c r="R88" i="73"/>
  <c r="N88" i="73"/>
  <c r="M88" i="73"/>
  <c r="L88" i="73"/>
  <c r="F88" i="73"/>
  <c r="D88" i="73"/>
  <c r="AF87" i="73" a="1"/>
  <c r="AF87" i="73" s="1"/>
  <c r="AE87" i="73" a="1"/>
  <c r="AE87" i="73" s="1"/>
  <c r="AD87" i="73" a="1"/>
  <c r="AD87" i="73" s="1"/>
  <c r="T87" i="73"/>
  <c r="R87" i="73"/>
  <c r="N87" i="73"/>
  <c r="M87" i="73"/>
  <c r="L87" i="73"/>
  <c r="F87" i="73"/>
  <c r="D87" i="73"/>
  <c r="AF86" i="73" a="1"/>
  <c r="AF86" i="73" s="1"/>
  <c r="AE86" i="73" a="1"/>
  <c r="AE86" i="73" s="1"/>
  <c r="AD86" i="73" a="1"/>
  <c r="AD86" i="73" s="1"/>
  <c r="T86" i="73"/>
  <c r="R86" i="73"/>
  <c r="N86" i="73"/>
  <c r="M86" i="73"/>
  <c r="L86" i="73"/>
  <c r="F86" i="73"/>
  <c r="D86" i="73"/>
  <c r="AF85" i="73" a="1"/>
  <c r="AF85" i="73" s="1"/>
  <c r="AE85" i="73" a="1"/>
  <c r="AE85" i="73" s="1"/>
  <c r="AD85" i="73" a="1"/>
  <c r="AD85" i="73" s="1"/>
  <c r="T85" i="73"/>
  <c r="R85" i="73"/>
  <c r="N85" i="73"/>
  <c r="M85" i="73"/>
  <c r="L85" i="73"/>
  <c r="F85" i="73"/>
  <c r="D85" i="73"/>
  <c r="AF84" i="73" a="1"/>
  <c r="AF84" i="73" s="1"/>
  <c r="AE84" i="73" a="1"/>
  <c r="AE84" i="73" s="1"/>
  <c r="AD84" i="73" a="1"/>
  <c r="AD84" i="73" s="1"/>
  <c r="T84" i="73"/>
  <c r="R84" i="73"/>
  <c r="N84" i="73"/>
  <c r="M84" i="73"/>
  <c r="L84" i="73"/>
  <c r="F84" i="73"/>
  <c r="D84" i="73"/>
  <c r="AF83" i="73" a="1"/>
  <c r="AF83" i="73" s="1"/>
  <c r="AE83" i="73" a="1"/>
  <c r="AE83" i="73" s="1"/>
  <c r="AD83" i="73" a="1"/>
  <c r="AD83" i="73" s="1"/>
  <c r="T83" i="73"/>
  <c r="R83" i="73"/>
  <c r="N83" i="73"/>
  <c r="M83" i="73"/>
  <c r="L83" i="73"/>
  <c r="F83" i="73"/>
  <c r="D83" i="73"/>
  <c r="AF82" i="73" a="1"/>
  <c r="AF82" i="73" s="1"/>
  <c r="AE82" i="73" a="1"/>
  <c r="AE82" i="73" s="1"/>
  <c r="AD82" i="73" a="1"/>
  <c r="AD82" i="73" s="1"/>
  <c r="T82" i="73"/>
  <c r="R82" i="73"/>
  <c r="N82" i="73"/>
  <c r="M82" i="73"/>
  <c r="L82" i="73"/>
  <c r="F82" i="73"/>
  <c r="D82" i="73"/>
  <c r="AF81" i="73" a="1"/>
  <c r="AF81" i="73" s="1"/>
  <c r="AE81" i="73" a="1"/>
  <c r="AE81" i="73" s="1"/>
  <c r="AD81" i="73" a="1"/>
  <c r="AD81" i="73" s="1"/>
  <c r="T81" i="73"/>
  <c r="R81" i="73"/>
  <c r="N81" i="73"/>
  <c r="M81" i="73"/>
  <c r="L81" i="73"/>
  <c r="F81" i="73"/>
  <c r="D81" i="73"/>
  <c r="AF80" i="73" a="1"/>
  <c r="AF80" i="73" s="1"/>
  <c r="AE80" i="73" a="1"/>
  <c r="AE80" i="73" s="1"/>
  <c r="AD80" i="73" a="1"/>
  <c r="AD80" i="73" s="1"/>
  <c r="T80" i="73"/>
  <c r="R80" i="73"/>
  <c r="N80" i="73"/>
  <c r="M80" i="73"/>
  <c r="L80" i="73"/>
  <c r="F80" i="73"/>
  <c r="D80" i="73"/>
  <c r="AF76" i="73" a="1"/>
  <c r="AF76" i="73" s="1"/>
  <c r="AE76" i="73" a="1"/>
  <c r="AE76" i="73" s="1"/>
  <c r="AF75" i="73" a="1"/>
  <c r="AF75" i="73" s="1"/>
  <c r="AE75" i="73" a="1"/>
  <c r="AE75" i="73" s="1"/>
  <c r="AF73" i="73" a="1"/>
  <c r="AF73" i="73" s="1"/>
  <c r="AE73" i="73" a="1"/>
  <c r="AE73" i="73" s="1"/>
  <c r="AF72" i="73" a="1"/>
  <c r="AF72" i="73" s="1"/>
  <c r="AE72" i="73" a="1"/>
  <c r="AE72" i="73" s="1"/>
  <c r="AF71" i="73" a="1"/>
  <c r="AF71" i="73" s="1"/>
  <c r="AE71" i="73" a="1"/>
  <c r="AE71" i="73" s="1"/>
  <c r="AF70" i="73" a="1"/>
  <c r="AF70" i="73" s="1"/>
  <c r="AE70" i="73" a="1"/>
  <c r="AE70" i="73" s="1"/>
  <c r="AF67" i="73" a="1"/>
  <c r="AF67" i="73" s="1"/>
  <c r="AE67" i="73" a="1"/>
  <c r="AE67" i="73" s="1"/>
  <c r="AD67" i="73" a="1"/>
  <c r="AD67" i="73" s="1"/>
  <c r="T67" i="73"/>
  <c r="R67" i="73"/>
  <c r="M67" i="73"/>
  <c r="N67" i="73" s="1"/>
  <c r="L67" i="73"/>
  <c r="AF66" i="73" a="1"/>
  <c r="AF66" i="73" s="1"/>
  <c r="AE66" i="73" a="1"/>
  <c r="AE66" i="73" s="1"/>
  <c r="AD66" i="73" a="1"/>
  <c r="AD66" i="73" s="1"/>
  <c r="T66" i="73"/>
  <c r="R66" i="73"/>
  <c r="M66" i="73"/>
  <c r="N66" i="73" s="1"/>
  <c r="L66" i="73"/>
  <c r="AF65" i="73" a="1"/>
  <c r="AF65" i="73" s="1"/>
  <c r="AE65" i="73" a="1"/>
  <c r="AE65" i="73" s="1"/>
  <c r="AD65" i="73" a="1"/>
  <c r="AD65" i="73" s="1"/>
  <c r="T65" i="73"/>
  <c r="R65" i="73"/>
  <c r="M65" i="73"/>
  <c r="N65" i="73" s="1"/>
  <c r="L65" i="73"/>
  <c r="AF64" i="73" a="1"/>
  <c r="AF64" i="73" s="1"/>
  <c r="AE64" i="73" a="1"/>
  <c r="AE64" i="73" s="1"/>
  <c r="AD64" i="73" a="1"/>
  <c r="AD64" i="73" s="1"/>
  <c r="T64" i="73"/>
  <c r="R64" i="73"/>
  <c r="M64" i="73"/>
  <c r="N64" i="73" s="1"/>
  <c r="L64" i="73"/>
  <c r="AF62" i="73" a="1"/>
  <c r="AF62" i="73" s="1"/>
  <c r="AE62" i="73" a="1"/>
  <c r="AE62" i="73" s="1"/>
  <c r="AD62" i="73" a="1"/>
  <c r="AD62" i="73" s="1"/>
  <c r="U62" i="73"/>
  <c r="V62" i="73" s="1"/>
  <c r="T62" i="73"/>
  <c r="R62" i="73"/>
  <c r="O62" i="73"/>
  <c r="P62" i="73" s="1"/>
  <c r="M62" i="73"/>
  <c r="N62" i="73" s="1"/>
  <c r="L62" i="73"/>
  <c r="AF61" i="73" a="1"/>
  <c r="AF61" i="73" s="1"/>
  <c r="AE61" i="73" a="1"/>
  <c r="AE61" i="73" s="1"/>
  <c r="AD61" i="73" a="1"/>
  <c r="AD61" i="73" s="1"/>
  <c r="V61" i="73"/>
  <c r="U61" i="73"/>
  <c r="T61" i="73"/>
  <c r="R61" i="73"/>
  <c r="O61" i="73"/>
  <c r="P61" i="73" s="1"/>
  <c r="M61" i="73"/>
  <c r="N61" i="73" s="1"/>
  <c r="L61" i="73"/>
  <c r="U57" i="73"/>
  <c r="V57" i="73" s="1"/>
  <c r="T57" i="73"/>
  <c r="R57" i="73"/>
  <c r="O57" i="73"/>
  <c r="P57" i="73" s="1"/>
  <c r="M57" i="73"/>
  <c r="N57" i="73" s="1"/>
  <c r="L57" i="73"/>
  <c r="U56" i="73"/>
  <c r="V56" i="73" s="1"/>
  <c r="T56" i="73"/>
  <c r="R56" i="73"/>
  <c r="O56" i="73"/>
  <c r="P56" i="73" s="1"/>
  <c r="M56" i="73"/>
  <c r="N56" i="73" s="1"/>
  <c r="L56" i="73"/>
  <c r="U55" i="73"/>
  <c r="V55" i="73" s="1"/>
  <c r="T55" i="73"/>
  <c r="R55" i="73"/>
  <c r="O55" i="73"/>
  <c r="P55" i="73" s="1"/>
  <c r="M55" i="73"/>
  <c r="N55" i="73" s="1"/>
  <c r="L55" i="73"/>
  <c r="U54" i="73"/>
  <c r="V54" i="73" s="1"/>
  <c r="T54" i="73"/>
  <c r="R54" i="73"/>
  <c r="O54" i="73"/>
  <c r="P54" i="73" s="1"/>
  <c r="M54" i="73"/>
  <c r="N54" i="73" s="1"/>
  <c r="L54" i="73"/>
  <c r="U53" i="73"/>
  <c r="V53" i="73" s="1"/>
  <c r="T53" i="73"/>
  <c r="R53" i="73"/>
  <c r="O53" i="73"/>
  <c r="P53" i="73" s="1"/>
  <c r="M53" i="73"/>
  <c r="N53" i="73" s="1"/>
  <c r="L53" i="73"/>
  <c r="U52" i="73"/>
  <c r="V52" i="73" s="1"/>
  <c r="T52" i="73"/>
  <c r="O52" i="73"/>
  <c r="P52" i="73" s="1"/>
  <c r="M52" i="73"/>
  <c r="N52" i="73" s="1"/>
  <c r="L52" i="73"/>
  <c r="U51" i="73"/>
  <c r="V51" i="73" s="1"/>
  <c r="T51" i="73"/>
  <c r="O51" i="73"/>
  <c r="P51" i="73" s="1"/>
  <c r="M51" i="73"/>
  <c r="N51" i="73" s="1"/>
  <c r="L51" i="73"/>
  <c r="U50" i="73"/>
  <c r="V50" i="73" s="1"/>
  <c r="T50" i="73"/>
  <c r="O50" i="73"/>
  <c r="P50" i="73" s="1"/>
  <c r="M50" i="73"/>
  <c r="N50" i="73" s="1"/>
  <c r="L50" i="73"/>
  <c r="U49" i="73"/>
  <c r="V49" i="73" s="1"/>
  <c r="T49" i="73"/>
  <c r="O49" i="73"/>
  <c r="P49" i="73" s="1"/>
  <c r="M49" i="73"/>
  <c r="N49" i="73" s="1"/>
  <c r="L49" i="73"/>
  <c r="U48" i="73"/>
  <c r="V48" i="73" s="1"/>
  <c r="T48" i="73"/>
  <c r="O48" i="73"/>
  <c r="P48" i="73" s="1"/>
  <c r="M48" i="73"/>
  <c r="N48" i="73" s="1"/>
  <c r="L48" i="73"/>
  <c r="U47" i="73"/>
  <c r="V47" i="73" s="1"/>
  <c r="T47" i="73"/>
  <c r="O47" i="73"/>
  <c r="P47" i="73" s="1"/>
  <c r="M47" i="73"/>
  <c r="N47" i="73" s="1"/>
  <c r="L47" i="73"/>
  <c r="U45" i="73"/>
  <c r="V45" i="73" s="1"/>
  <c r="T45" i="73"/>
  <c r="O45" i="73"/>
  <c r="P45" i="73" s="1"/>
  <c r="M45" i="73"/>
  <c r="N45" i="73" s="1"/>
  <c r="L45" i="73"/>
  <c r="AF44" i="73" a="1"/>
  <c r="AF44" i="73" s="1"/>
  <c r="AE44" i="73" a="1"/>
  <c r="AE44" i="73" s="1"/>
  <c r="AD44" i="73" a="1"/>
  <c r="AD44" i="73" s="1"/>
  <c r="U44" i="73"/>
  <c r="V44" i="73" s="1"/>
  <c r="T44" i="73"/>
  <c r="O44" i="73"/>
  <c r="P44" i="73" s="1"/>
  <c r="M44" i="73"/>
  <c r="N44" i="73" s="1"/>
  <c r="L44" i="73"/>
  <c r="AF43" i="73" a="1"/>
  <c r="AF43" i="73" s="1"/>
  <c r="AE43" i="73" a="1"/>
  <c r="AE43" i="73" s="1"/>
  <c r="AD43" i="73" a="1"/>
  <c r="AD43" i="73" s="1"/>
  <c r="U43" i="73"/>
  <c r="V43" i="73" s="1"/>
  <c r="T43" i="73"/>
  <c r="O43" i="73"/>
  <c r="P43" i="73" s="1"/>
  <c r="M43" i="73"/>
  <c r="N43" i="73" s="1"/>
  <c r="L43" i="73"/>
  <c r="AF41" i="73" a="1"/>
  <c r="AF41" i="73" s="1"/>
  <c r="AE41" i="73" a="1"/>
  <c r="AE41" i="73" s="1"/>
  <c r="AD41" i="73" a="1"/>
  <c r="AD41" i="73" s="1"/>
  <c r="U41" i="73"/>
  <c r="V41" i="73" s="1"/>
  <c r="T41" i="73"/>
  <c r="O41" i="73"/>
  <c r="P41" i="73" s="1"/>
  <c r="M41" i="73"/>
  <c r="N41" i="73" s="1"/>
  <c r="L41" i="73"/>
  <c r="AF40" i="73" a="1"/>
  <c r="AF40" i="73" s="1"/>
  <c r="AE40" i="73" a="1"/>
  <c r="AE40" i="73" s="1"/>
  <c r="AD40" i="73" a="1"/>
  <c r="AD40" i="73" s="1"/>
  <c r="U40" i="73"/>
  <c r="V40" i="73" s="1"/>
  <c r="T40" i="73"/>
  <c r="R40" i="73"/>
  <c r="O40" i="73"/>
  <c r="P40" i="73" s="1"/>
  <c r="M40" i="73"/>
  <c r="N40" i="73" s="1"/>
  <c r="L40" i="73"/>
  <c r="AF39" i="73" a="1"/>
  <c r="AF39" i="73" s="1"/>
  <c r="AE39" i="73" a="1"/>
  <c r="AE39" i="73" s="1"/>
  <c r="AD39" i="73" a="1"/>
  <c r="AD39" i="73" s="1"/>
  <c r="U39" i="73"/>
  <c r="V39" i="73" s="1"/>
  <c r="T39" i="73"/>
  <c r="R39" i="73"/>
  <c r="O39" i="73"/>
  <c r="P39" i="73" s="1"/>
  <c r="M39" i="73"/>
  <c r="N39" i="73" s="1"/>
  <c r="L39" i="73"/>
  <c r="AF38" i="73" a="1"/>
  <c r="AF38" i="73" s="1"/>
  <c r="AE38" i="73" a="1"/>
  <c r="AE38" i="73" s="1"/>
  <c r="AD38" i="73" a="1"/>
  <c r="AD38" i="73" s="1"/>
  <c r="U38" i="73"/>
  <c r="V38" i="73" s="1"/>
  <c r="T38" i="73"/>
  <c r="R38" i="73"/>
  <c r="O38" i="73"/>
  <c r="P38" i="73" s="1"/>
  <c r="M38" i="73"/>
  <c r="N38" i="73" s="1"/>
  <c r="L38" i="73"/>
  <c r="AF37" i="73" a="1"/>
  <c r="AF37" i="73" s="1"/>
  <c r="AE37" i="73" a="1"/>
  <c r="AE37" i="73" s="1"/>
  <c r="AD37" i="73" a="1"/>
  <c r="AD37" i="73" s="1"/>
  <c r="U37" i="73"/>
  <c r="V37" i="73" s="1"/>
  <c r="T37" i="73"/>
  <c r="R37" i="73"/>
  <c r="O37" i="73"/>
  <c r="P37" i="73" s="1"/>
  <c r="M37" i="73"/>
  <c r="N37" i="73" s="1"/>
  <c r="L37" i="73"/>
  <c r="AF36" i="73" a="1"/>
  <c r="AF36" i="73" s="1"/>
  <c r="AE36" i="73" a="1"/>
  <c r="AE36" i="73" s="1"/>
  <c r="AD36" i="73" a="1"/>
  <c r="AD36" i="73" s="1"/>
  <c r="U36" i="73"/>
  <c r="V36" i="73" s="1"/>
  <c r="T36" i="73"/>
  <c r="R36" i="73"/>
  <c r="O36" i="73"/>
  <c r="P36" i="73" s="1"/>
  <c r="M36" i="73"/>
  <c r="N36" i="73" s="1"/>
  <c r="L36" i="73"/>
  <c r="AF35" i="73" a="1"/>
  <c r="AF35" i="73" s="1"/>
  <c r="AE35" i="73" a="1"/>
  <c r="AE35" i="73" s="1"/>
  <c r="AD35" i="73" a="1"/>
  <c r="AD35" i="73" s="1"/>
  <c r="U35" i="73"/>
  <c r="V35" i="73" s="1"/>
  <c r="T35" i="73"/>
  <c r="R35" i="73"/>
  <c r="O35" i="73"/>
  <c r="P35" i="73" s="1"/>
  <c r="M35" i="73"/>
  <c r="N35" i="73" s="1"/>
  <c r="L35" i="73"/>
  <c r="AF34" i="73" a="1"/>
  <c r="AF34" i="73" s="1"/>
  <c r="AE34" i="73" a="1"/>
  <c r="AE34" i="73" s="1"/>
  <c r="AD34" i="73" a="1"/>
  <c r="AD34" i="73" s="1"/>
  <c r="U34" i="73"/>
  <c r="V34" i="73" s="1"/>
  <c r="T34" i="73"/>
  <c r="R34" i="73"/>
  <c r="O34" i="73"/>
  <c r="P34" i="73" s="1"/>
  <c r="M34" i="73"/>
  <c r="N34" i="73" s="1"/>
  <c r="L34" i="73"/>
  <c r="AF33" i="73" a="1"/>
  <c r="AF33" i="73" s="1"/>
  <c r="AE33" i="73" a="1"/>
  <c r="AE33" i="73" s="1"/>
  <c r="AD33" i="73" a="1"/>
  <c r="AD33" i="73" s="1"/>
  <c r="U33" i="73"/>
  <c r="V33" i="73" s="1"/>
  <c r="T33" i="73"/>
  <c r="R33" i="73"/>
  <c r="O33" i="73"/>
  <c r="P33" i="73" s="1"/>
  <c r="M33" i="73"/>
  <c r="N33" i="73" s="1"/>
  <c r="L33" i="73"/>
  <c r="AF32" i="73" a="1"/>
  <c r="AF32" i="73" s="1"/>
  <c r="AE32" i="73" a="1"/>
  <c r="AE32" i="73" s="1"/>
  <c r="AD32" i="73" a="1"/>
  <c r="AD32" i="73" s="1"/>
  <c r="U32" i="73"/>
  <c r="V32" i="73" s="1"/>
  <c r="T32" i="73"/>
  <c r="R32" i="73"/>
  <c r="O32" i="73"/>
  <c r="P32" i="73" s="1"/>
  <c r="M32" i="73"/>
  <c r="N32" i="73" s="1"/>
  <c r="L32" i="73"/>
  <c r="AF31" i="73" a="1"/>
  <c r="AF31" i="73" s="1"/>
  <c r="AE31" i="73" a="1"/>
  <c r="AE31" i="73" s="1"/>
  <c r="AD31" i="73" a="1"/>
  <c r="AD31" i="73" s="1"/>
  <c r="U31" i="73"/>
  <c r="V31" i="73" s="1"/>
  <c r="T31" i="73"/>
  <c r="R31" i="73"/>
  <c r="O31" i="73"/>
  <c r="P31" i="73" s="1"/>
  <c r="M31" i="73"/>
  <c r="N31" i="73" s="1"/>
  <c r="L31" i="73"/>
  <c r="AF30" i="73" a="1"/>
  <c r="AF30" i="73" s="1"/>
  <c r="AE30" i="73" a="1"/>
  <c r="AE30" i="73" s="1"/>
  <c r="AD30" i="73" a="1"/>
  <c r="AD30" i="73" s="1"/>
  <c r="U30" i="73"/>
  <c r="V30" i="73" s="1"/>
  <c r="T30" i="73"/>
  <c r="R30" i="73"/>
  <c r="O30" i="73"/>
  <c r="P30" i="73" s="1"/>
  <c r="M30" i="73"/>
  <c r="N30" i="73" s="1"/>
  <c r="L30" i="73"/>
  <c r="AF29" i="73" a="1"/>
  <c r="AF29" i="73" s="1"/>
  <c r="AE29" i="73" a="1"/>
  <c r="AE29" i="73" s="1"/>
  <c r="AD29" i="73" a="1"/>
  <c r="AD29" i="73" s="1"/>
  <c r="U29" i="73"/>
  <c r="V29" i="73" s="1"/>
  <c r="T29" i="73"/>
  <c r="R29" i="73"/>
  <c r="O29" i="73"/>
  <c r="P29" i="73" s="1"/>
  <c r="M29" i="73"/>
  <c r="N29" i="73" s="1"/>
  <c r="L29" i="73"/>
  <c r="AF28" i="73" a="1"/>
  <c r="AF28" i="73" s="1"/>
  <c r="AE28" i="73" a="1"/>
  <c r="AE28" i="73" s="1"/>
  <c r="AD28" i="73" a="1"/>
  <c r="AD28" i="73" s="1"/>
  <c r="U28" i="73"/>
  <c r="V28" i="73" s="1"/>
  <c r="T28" i="73"/>
  <c r="R28" i="73"/>
  <c r="O28" i="73"/>
  <c r="P28" i="73" s="1"/>
  <c r="M28" i="73"/>
  <c r="N28" i="73" s="1"/>
  <c r="L28" i="73"/>
  <c r="S19" i="73"/>
  <c r="R19" i="73"/>
  <c r="S18" i="73"/>
  <c r="R18" i="73"/>
  <c r="AG17" i="73" a="1"/>
  <c r="AG17" i="73" s="1"/>
  <c r="J17" i="73"/>
  <c r="I17" i="73"/>
  <c r="AG16" i="73" a="1"/>
  <c r="AG16" i="73" s="1"/>
  <c r="S16" i="73"/>
  <c r="R16" i="73"/>
  <c r="J16" i="73"/>
  <c r="I16" i="73"/>
  <c r="AG15" i="73" a="1"/>
  <c r="AG15" i="73" s="1"/>
  <c r="S15" i="73"/>
  <c r="R15" i="73"/>
  <c r="CM12" i="73" a="1"/>
  <c r="CM12" i="73" s="1"/>
  <c r="CL12" i="73" a="1"/>
  <c r="CL12" i="73" s="1"/>
  <c r="CK12" i="73" a="1"/>
  <c r="CK12" i="73" s="1"/>
  <c r="CJ12" i="73" a="1"/>
  <c r="CJ12" i="73" s="1"/>
  <c r="CI12" i="73" a="1"/>
  <c r="CI12" i="73" s="1"/>
  <c r="CH12" i="73" a="1"/>
  <c r="CH12" i="73" s="1"/>
  <c r="CG12" i="73" a="1"/>
  <c r="CG12" i="73" s="1"/>
  <c r="CF12" i="73" a="1"/>
  <c r="CF12" i="73" s="1"/>
  <c r="CE12" i="73" a="1"/>
  <c r="CE12" i="73" s="1"/>
  <c r="CD12" i="73" a="1"/>
  <c r="CD12" i="73" s="1"/>
  <c r="CC12" i="73" a="1"/>
  <c r="CC12" i="73" s="1"/>
  <c r="CB12" i="73" a="1"/>
  <c r="CB12" i="73" s="1"/>
  <c r="CA12" i="73" a="1"/>
  <c r="CA12" i="73" s="1"/>
  <c r="BZ12" i="73" a="1"/>
  <c r="BZ12" i="73" s="1"/>
  <c r="BU12" i="73" a="1"/>
  <c r="BU12" i="73" s="1"/>
  <c r="BJ12" i="73" a="1"/>
  <c r="BJ12" i="73" s="1"/>
  <c r="BI12" i="73" a="1"/>
  <c r="BI12" i="73" s="1"/>
  <c r="BM12" i="73" a="1"/>
  <c r="BM12" i="73" s="1"/>
  <c r="BB12" i="73" a="1"/>
  <c r="BB12" i="73" s="1"/>
  <c r="BR12" i="73" a="1"/>
  <c r="BR12" i="73" s="1"/>
  <c r="AZ12" i="73" a="1"/>
  <c r="AZ12" i="73" s="1"/>
  <c r="BT12" i="73" a="1"/>
  <c r="BT12" i="73" s="1"/>
  <c r="AV12" i="73" a="1"/>
  <c r="AV12" i="73" s="1"/>
  <c r="AU12" i="73" a="1"/>
  <c r="AU12" i="73" s="1"/>
  <c r="BL12" i="73" a="1"/>
  <c r="BL12" i="73" s="1"/>
  <c r="AL12" i="73" a="1"/>
  <c r="AL12" i="73" s="1"/>
  <c r="AS12" i="73" a="1"/>
  <c r="AS12" i="73" s="1"/>
  <c r="AP12" i="73" a="1"/>
  <c r="AP12" i="73" s="1"/>
  <c r="AO12" i="73" a="1"/>
  <c r="AO12" i="73" s="1"/>
  <c r="AM12" i="73" a="1"/>
  <c r="AM12" i="73" s="1"/>
  <c r="BN12" i="73" a="1"/>
  <c r="BN12" i="73" s="1"/>
  <c r="BQ12" i="73" a="1"/>
  <c r="BQ12" i="73" s="1"/>
  <c r="BP12" i="73" a="1"/>
  <c r="BP12" i="73" s="1"/>
  <c r="AI12" i="73" a="1"/>
  <c r="AI12" i="73" s="1"/>
  <c r="AH12" i="73" a="1"/>
  <c r="AH12" i="73" s="1"/>
  <c r="AG12" i="73" a="1"/>
  <c r="AG12" i="73" s="1"/>
  <c r="AF12" i="73" a="1"/>
  <c r="AF12" i="73" s="1"/>
  <c r="CM10" i="73" a="1"/>
  <c r="CM10" i="73" s="1"/>
  <c r="CL10" i="73" a="1"/>
  <c r="CL10" i="73" s="1"/>
  <c r="CK10" i="73" a="1"/>
  <c r="CK10" i="73" s="1"/>
  <c r="CJ10" i="73" a="1"/>
  <c r="CJ10" i="73" s="1"/>
  <c r="CI10" i="73" a="1"/>
  <c r="CI10" i="73" s="1"/>
  <c r="CH10" i="73" a="1"/>
  <c r="CH10" i="73" s="1"/>
  <c r="CG10" i="73" a="1"/>
  <c r="CG10" i="73" s="1"/>
  <c r="CF10" i="73" a="1"/>
  <c r="CF10" i="73" s="1"/>
  <c r="CE10" i="73" a="1"/>
  <c r="CE10" i="73" s="1"/>
  <c r="CD10" i="73" a="1"/>
  <c r="CD10" i="73" s="1"/>
  <c r="CC10" i="73" a="1"/>
  <c r="CC10" i="73" s="1"/>
  <c r="CB10" i="73" a="1"/>
  <c r="CB10" i="73" s="1"/>
  <c r="CA10" i="73" a="1"/>
  <c r="CA10" i="73" s="1"/>
  <c r="BZ10" i="73" a="1"/>
  <c r="BZ10" i="73" s="1"/>
  <c r="BU10" i="73" a="1"/>
  <c r="BU10" i="73" s="1"/>
  <c r="BJ10" i="73" a="1"/>
  <c r="BJ10" i="73" s="1"/>
  <c r="BI10" i="73" a="1"/>
  <c r="BI10" i="73" s="1"/>
  <c r="BM10" i="73" a="1"/>
  <c r="BM10" i="73" s="1"/>
  <c r="BB10" i="73" a="1"/>
  <c r="BB10" i="73" s="1"/>
  <c r="BR10" i="73" a="1"/>
  <c r="BR10" i="73" s="1"/>
  <c r="AZ10" i="73" a="1"/>
  <c r="AZ10" i="73" s="1"/>
  <c r="BT10" i="73" a="1"/>
  <c r="BT10" i="73" s="1"/>
  <c r="AV10" i="73" a="1"/>
  <c r="AV10" i="73" s="1"/>
  <c r="AU10" i="73" a="1"/>
  <c r="AU10" i="73" s="1"/>
  <c r="BL10" i="73" a="1"/>
  <c r="BL10" i="73" s="1"/>
  <c r="AL10" i="73" a="1"/>
  <c r="AL10" i="73" s="1"/>
  <c r="AS10" i="73" a="1"/>
  <c r="AS10" i="73" s="1"/>
  <c r="AP10" i="73" a="1"/>
  <c r="AP10" i="73" s="1"/>
  <c r="AO10" i="73" a="1"/>
  <c r="AO10" i="73" s="1"/>
  <c r="AM10" i="73" a="1"/>
  <c r="AM10" i="73" s="1"/>
  <c r="BN10" i="73" a="1"/>
  <c r="BN10" i="73" s="1"/>
  <c r="BQ10" i="73" a="1"/>
  <c r="BQ10" i="73" s="1"/>
  <c r="BP10" i="73" a="1"/>
  <c r="BP10" i="73" s="1"/>
  <c r="AI10" i="73" a="1"/>
  <c r="AI10" i="73" s="1"/>
  <c r="AH10" i="73" a="1"/>
  <c r="AH10" i="73" s="1"/>
  <c r="AG10" i="73" a="1"/>
  <c r="AG10" i="73" s="1"/>
  <c r="AF10" i="73" a="1"/>
  <c r="AF10" i="73" s="1"/>
  <c r="CM2" i="73" a="1"/>
  <c r="CM2" i="73" s="1"/>
  <c r="CL2" i="73" a="1"/>
  <c r="CL2" i="73" s="1"/>
  <c r="CK2" i="73" a="1"/>
  <c r="CK2" i="73" s="1"/>
  <c r="CJ2" i="73" a="1"/>
  <c r="CJ2" i="73" s="1"/>
  <c r="CI2" i="73" a="1"/>
  <c r="CI2" i="73" s="1"/>
  <c r="CH2" i="73" a="1"/>
  <c r="CH2" i="73" s="1"/>
  <c r="CG2" i="73" a="1"/>
  <c r="CG2" i="73" s="1"/>
  <c r="CF2" i="73" a="1"/>
  <c r="CF2" i="73" s="1"/>
  <c r="CE2" i="73" a="1"/>
  <c r="CE2" i="73" s="1"/>
  <c r="CD2" i="73" a="1"/>
  <c r="CD2" i="73" s="1"/>
  <c r="CC2" i="73" a="1"/>
  <c r="CC2" i="73" s="1"/>
  <c r="CB2" i="73" a="1"/>
  <c r="CB2" i="73" s="1"/>
  <c r="CA2" i="73" a="1"/>
  <c r="CA2" i="73" s="1"/>
  <c r="BZ2" i="73" a="1"/>
  <c r="BZ2" i="73" s="1"/>
  <c r="BU2" i="73" a="1"/>
  <c r="BU2" i="73" s="1"/>
  <c r="BJ2" i="73" a="1"/>
  <c r="BJ2" i="73" s="1"/>
  <c r="BI2" i="73" a="1"/>
  <c r="BI2" i="73" s="1"/>
  <c r="BM2" i="73" a="1"/>
  <c r="BM2" i="73" s="1"/>
  <c r="BB2" i="73" a="1"/>
  <c r="BB2" i="73" s="1"/>
  <c r="BR2" i="73" a="1"/>
  <c r="BR2" i="73" s="1"/>
  <c r="AZ2" i="73" a="1"/>
  <c r="AZ2" i="73" s="1"/>
  <c r="BT2" i="73" a="1"/>
  <c r="BT2" i="73" s="1"/>
  <c r="AV2" i="73" a="1"/>
  <c r="AV2" i="73" s="1"/>
  <c r="AU2" i="73" a="1"/>
  <c r="AU2" i="73" s="1"/>
  <c r="BL2" i="73" a="1"/>
  <c r="BL2" i="73" s="1"/>
  <c r="AL2" i="73" a="1"/>
  <c r="AL2" i="73" s="1"/>
  <c r="AS2" i="73" a="1"/>
  <c r="AS2" i="73" s="1"/>
  <c r="AP2" i="73" a="1"/>
  <c r="AP2" i="73" s="1"/>
  <c r="AO2" i="73" a="1"/>
  <c r="AO2" i="73" s="1"/>
  <c r="AM2" i="73" a="1"/>
  <c r="AM2" i="73" s="1"/>
  <c r="BN2" i="73" a="1"/>
  <c r="BN2" i="73" s="1"/>
  <c r="BQ2" i="73" a="1"/>
  <c r="BQ2" i="73" s="1"/>
  <c r="BP2" i="73" a="1"/>
  <c r="BP2" i="73" s="1"/>
  <c r="AI2" i="73" a="1"/>
  <c r="AI2" i="73" s="1"/>
  <c r="AH2" i="73" a="1"/>
  <c r="AH2" i="73" s="1"/>
  <c r="AG2" i="73" a="1"/>
  <c r="AG2" i="73" s="1"/>
  <c r="CM1" i="73"/>
  <c r="CL1" i="73"/>
  <c r="CK1" i="73"/>
  <c r="CJ1" i="73"/>
  <c r="CI1" i="73"/>
  <c r="CH1" i="73"/>
  <c r="CG1" i="73"/>
  <c r="CF1" i="73"/>
  <c r="CE1" i="73"/>
  <c r="CD1" i="73"/>
  <c r="CC1" i="73"/>
  <c r="CB1" i="73"/>
  <c r="CA1" i="73"/>
  <c r="BZ1" i="73"/>
  <c r="BU1" i="73"/>
  <c r="BJ1" i="73"/>
  <c r="BI1" i="73"/>
  <c r="BM1" i="73"/>
  <c r="BB1" i="73"/>
  <c r="BR1" i="73"/>
  <c r="AZ1" i="73"/>
  <c r="BT1" i="73"/>
  <c r="AV1" i="73"/>
  <c r="AU1" i="73"/>
  <c r="BL1" i="73"/>
  <c r="AL1" i="73"/>
  <c r="AS1" i="73"/>
  <c r="AP1" i="73"/>
  <c r="AO1" i="73"/>
  <c r="AM1" i="73"/>
  <c r="BN1" i="73"/>
  <c r="BQ1" i="73"/>
  <c r="BP1" i="73"/>
  <c r="AI1" i="73"/>
  <c r="AH1" i="73"/>
  <c r="AG1" i="73"/>
  <c r="AF132" i="72" a="1"/>
  <c r="AF132" i="72" s="1"/>
  <c r="AE132" i="72" a="1"/>
  <c r="AE132" i="72" s="1"/>
  <c r="AD132" i="72" a="1"/>
  <c r="AD132" i="72" s="1"/>
  <c r="T132" i="72"/>
  <c r="R132" i="72"/>
  <c r="N132" i="72"/>
  <c r="M132" i="72"/>
  <c r="L132" i="72"/>
  <c r="F132" i="72"/>
  <c r="D132" i="72"/>
  <c r="AF131" i="72" a="1"/>
  <c r="AF131" i="72" s="1"/>
  <c r="AE131" i="72" a="1"/>
  <c r="AE131" i="72" s="1"/>
  <c r="AD131" i="72" a="1"/>
  <c r="AD131" i="72" s="1"/>
  <c r="T131" i="72"/>
  <c r="R131" i="72"/>
  <c r="N131" i="72"/>
  <c r="M131" i="72"/>
  <c r="L131" i="72"/>
  <c r="F131" i="72"/>
  <c r="D131" i="72"/>
  <c r="AF130" i="72" a="1"/>
  <c r="AF130" i="72" s="1"/>
  <c r="AE130" i="72" a="1"/>
  <c r="AE130" i="72" s="1"/>
  <c r="AD130" i="72" a="1"/>
  <c r="AD130" i="72" s="1"/>
  <c r="T130" i="72"/>
  <c r="R130" i="72"/>
  <c r="N130" i="72"/>
  <c r="M130" i="72"/>
  <c r="L130" i="72"/>
  <c r="F130" i="72"/>
  <c r="D130" i="72"/>
  <c r="AF129" i="72" a="1"/>
  <c r="AF129" i="72" s="1"/>
  <c r="AE129" i="72" a="1"/>
  <c r="AE129" i="72" s="1"/>
  <c r="AD129" i="72" a="1"/>
  <c r="AD129" i="72" s="1"/>
  <c r="T129" i="72"/>
  <c r="R129" i="72"/>
  <c r="N129" i="72"/>
  <c r="M129" i="72"/>
  <c r="L129" i="72"/>
  <c r="F129" i="72"/>
  <c r="D129" i="72"/>
  <c r="AF128" i="72" a="1"/>
  <c r="AF128" i="72" s="1"/>
  <c r="AE128" i="72" a="1"/>
  <c r="AE128" i="72" s="1"/>
  <c r="AD128" i="72" a="1"/>
  <c r="AD128" i="72" s="1"/>
  <c r="T128" i="72"/>
  <c r="R128" i="72"/>
  <c r="N128" i="72"/>
  <c r="M128" i="72"/>
  <c r="L128" i="72"/>
  <c r="F128" i="72"/>
  <c r="D128" i="72"/>
  <c r="AF127" i="72" a="1"/>
  <c r="AF127" i="72" s="1"/>
  <c r="AE127" i="72" a="1"/>
  <c r="AE127" i="72" s="1"/>
  <c r="AD127" i="72" a="1"/>
  <c r="AD127" i="72" s="1"/>
  <c r="T127" i="72"/>
  <c r="R127" i="72"/>
  <c r="N127" i="72"/>
  <c r="M127" i="72"/>
  <c r="L127" i="72"/>
  <c r="F127" i="72"/>
  <c r="D127" i="72"/>
  <c r="AF126" i="72" a="1"/>
  <c r="AF126" i="72" s="1"/>
  <c r="AE126" i="72" a="1"/>
  <c r="AE126" i="72" s="1"/>
  <c r="AD126" i="72" a="1"/>
  <c r="AD126" i="72" s="1"/>
  <c r="T126" i="72"/>
  <c r="R126" i="72"/>
  <c r="N126" i="72"/>
  <c r="M126" i="72"/>
  <c r="L126" i="72"/>
  <c r="F126" i="72"/>
  <c r="D126" i="72"/>
  <c r="AF125" i="72" a="1"/>
  <c r="AF125" i="72" s="1"/>
  <c r="AE125" i="72" a="1"/>
  <c r="AE125" i="72" s="1"/>
  <c r="AD125" i="72" a="1"/>
  <c r="AD125" i="72" s="1"/>
  <c r="T125" i="72"/>
  <c r="R125" i="72"/>
  <c r="N125" i="72"/>
  <c r="M125" i="72"/>
  <c r="L125" i="72"/>
  <c r="F125" i="72"/>
  <c r="D125" i="72"/>
  <c r="AF124" i="72" a="1"/>
  <c r="AF124" i="72" s="1"/>
  <c r="AE124" i="72" a="1"/>
  <c r="AE124" i="72" s="1"/>
  <c r="AD124" i="72" a="1"/>
  <c r="AD124" i="72" s="1"/>
  <c r="T124" i="72"/>
  <c r="R124" i="72"/>
  <c r="N124" i="72"/>
  <c r="M124" i="72"/>
  <c r="L124" i="72"/>
  <c r="F124" i="72"/>
  <c r="D124" i="72"/>
  <c r="AF123" i="72" a="1"/>
  <c r="AF123" i="72" s="1"/>
  <c r="AE123" i="72" a="1"/>
  <c r="AE123" i="72" s="1"/>
  <c r="AD123" i="72" a="1"/>
  <c r="AD123" i="72" s="1"/>
  <c r="T123" i="72"/>
  <c r="R123" i="72"/>
  <c r="N123" i="72"/>
  <c r="M123" i="72"/>
  <c r="L123" i="72"/>
  <c r="F123" i="72"/>
  <c r="D123" i="72"/>
  <c r="AF122" i="72" a="1"/>
  <c r="AF122" i="72" s="1"/>
  <c r="AE122" i="72" a="1"/>
  <c r="AE122" i="72" s="1"/>
  <c r="AD122" i="72" a="1"/>
  <c r="AD122" i="72" s="1"/>
  <c r="T122" i="72"/>
  <c r="R122" i="72"/>
  <c r="N122" i="72"/>
  <c r="M122" i="72"/>
  <c r="L122" i="72"/>
  <c r="F122" i="72"/>
  <c r="D122" i="72"/>
  <c r="AF121" i="72" a="1"/>
  <c r="AF121" i="72" s="1"/>
  <c r="AE121" i="72" a="1"/>
  <c r="AE121" i="72" s="1"/>
  <c r="AD121" i="72" a="1"/>
  <c r="AD121" i="72" s="1"/>
  <c r="T121" i="72"/>
  <c r="R121" i="72"/>
  <c r="N121" i="72"/>
  <c r="M121" i="72"/>
  <c r="L121" i="72"/>
  <c r="F121" i="72"/>
  <c r="D121" i="72"/>
  <c r="AF120" i="72" a="1"/>
  <c r="AF120" i="72" s="1"/>
  <c r="AE120" i="72" a="1"/>
  <c r="AE120" i="72" s="1"/>
  <c r="AD120" i="72" a="1"/>
  <c r="AD120" i="72" s="1"/>
  <c r="T120" i="72"/>
  <c r="R120" i="72"/>
  <c r="N120" i="72"/>
  <c r="M120" i="72"/>
  <c r="L120" i="72"/>
  <c r="F120" i="72"/>
  <c r="D120" i="72"/>
  <c r="AF119" i="72" a="1"/>
  <c r="AF119" i="72" s="1"/>
  <c r="AE119" i="72" a="1"/>
  <c r="AE119" i="72" s="1"/>
  <c r="AD119" i="72" a="1"/>
  <c r="AD119" i="72" s="1"/>
  <c r="T119" i="72"/>
  <c r="R119" i="72"/>
  <c r="N119" i="72"/>
  <c r="M119" i="72"/>
  <c r="L119" i="72"/>
  <c r="F119" i="72"/>
  <c r="D119" i="72"/>
  <c r="AF118" i="72" a="1"/>
  <c r="AF118" i="72" s="1"/>
  <c r="AE118" i="72" a="1"/>
  <c r="AE118" i="72" s="1"/>
  <c r="AD118" i="72" a="1"/>
  <c r="AD118" i="72" s="1"/>
  <c r="T118" i="72"/>
  <c r="R118" i="72"/>
  <c r="N118" i="72"/>
  <c r="M118" i="72"/>
  <c r="L118" i="72"/>
  <c r="F118" i="72"/>
  <c r="D118" i="72"/>
  <c r="AF117" i="72" a="1"/>
  <c r="AF117" i="72" s="1"/>
  <c r="AE117" i="72" a="1"/>
  <c r="AE117" i="72" s="1"/>
  <c r="AD117" i="72" a="1"/>
  <c r="AD117" i="72" s="1"/>
  <c r="T117" i="72"/>
  <c r="R117" i="72"/>
  <c r="N117" i="72"/>
  <c r="M117" i="72"/>
  <c r="L117" i="72"/>
  <c r="F117" i="72"/>
  <c r="D117" i="72"/>
  <c r="AF116" i="72" a="1"/>
  <c r="AF116" i="72" s="1"/>
  <c r="AE116" i="72" a="1"/>
  <c r="AE116" i="72" s="1"/>
  <c r="AD116" i="72" a="1"/>
  <c r="AD116" i="72" s="1"/>
  <c r="T116" i="72"/>
  <c r="R116" i="72"/>
  <c r="N116" i="72"/>
  <c r="M116" i="72"/>
  <c r="L116" i="72"/>
  <c r="F116" i="72"/>
  <c r="D116" i="72"/>
  <c r="AF115" i="72" a="1"/>
  <c r="AF115" i="72" s="1"/>
  <c r="AE115" i="72" a="1"/>
  <c r="AE115" i="72" s="1"/>
  <c r="AD115" i="72" a="1"/>
  <c r="AD115" i="72" s="1"/>
  <c r="T115" i="72"/>
  <c r="R115" i="72"/>
  <c r="N115" i="72"/>
  <c r="M115" i="72"/>
  <c r="L115" i="72"/>
  <c r="F115" i="72"/>
  <c r="D115" i="72"/>
  <c r="AF114" i="72" a="1"/>
  <c r="AF114" i="72" s="1"/>
  <c r="AE114" i="72" a="1"/>
  <c r="AE114" i="72" s="1"/>
  <c r="AD114" i="72" a="1"/>
  <c r="AD114" i="72" s="1"/>
  <c r="T114" i="72"/>
  <c r="R114" i="72"/>
  <c r="N114" i="72"/>
  <c r="M114" i="72"/>
  <c r="L114" i="72"/>
  <c r="F114" i="72"/>
  <c r="D114" i="72"/>
  <c r="AF113" i="72" a="1"/>
  <c r="AF113" i="72" s="1"/>
  <c r="AE113" i="72" a="1"/>
  <c r="AE113" i="72" s="1"/>
  <c r="AD113" i="72" a="1"/>
  <c r="AD113" i="72" s="1"/>
  <c r="T113" i="72"/>
  <c r="R113" i="72"/>
  <c r="N113" i="72"/>
  <c r="M113" i="72"/>
  <c r="L113" i="72"/>
  <c r="F113" i="72"/>
  <c r="D113" i="72"/>
  <c r="AF112" i="72" a="1"/>
  <c r="AF112" i="72" s="1"/>
  <c r="AE112" i="72" a="1"/>
  <c r="AE112" i="72" s="1"/>
  <c r="AD112" i="72" a="1"/>
  <c r="AD112" i="72" s="1"/>
  <c r="T112" i="72"/>
  <c r="R112" i="72"/>
  <c r="N112" i="72"/>
  <c r="M112" i="72"/>
  <c r="L112" i="72"/>
  <c r="F112" i="72"/>
  <c r="D112" i="72"/>
  <c r="AF111" i="72" a="1"/>
  <c r="AF111" i="72" s="1"/>
  <c r="AE111" i="72" a="1"/>
  <c r="AE111" i="72" s="1"/>
  <c r="AD111" i="72" a="1"/>
  <c r="AD111" i="72" s="1"/>
  <c r="T111" i="72"/>
  <c r="R111" i="72"/>
  <c r="N111" i="72"/>
  <c r="M111" i="72"/>
  <c r="L111" i="72"/>
  <c r="F111" i="72"/>
  <c r="D111" i="72"/>
  <c r="AF110" i="72" a="1"/>
  <c r="AF110" i="72" s="1"/>
  <c r="AE110" i="72" a="1"/>
  <c r="AE110" i="72" s="1"/>
  <c r="AD110" i="72" a="1"/>
  <c r="AD110" i="72" s="1"/>
  <c r="T110" i="72"/>
  <c r="R110" i="72"/>
  <c r="N110" i="72"/>
  <c r="M110" i="72"/>
  <c r="L110" i="72"/>
  <c r="F110" i="72"/>
  <c r="D110" i="72"/>
  <c r="AF109" i="72" a="1"/>
  <c r="AF109" i="72" s="1"/>
  <c r="AE109" i="72" a="1"/>
  <c r="AE109" i="72" s="1"/>
  <c r="AD109" i="72" a="1"/>
  <c r="AD109" i="72" s="1"/>
  <c r="T109" i="72"/>
  <c r="R109" i="72"/>
  <c r="N109" i="72"/>
  <c r="M109" i="72"/>
  <c r="L109" i="72"/>
  <c r="F109" i="72"/>
  <c r="D109" i="72"/>
  <c r="AF108" i="72" a="1"/>
  <c r="AF108" i="72" s="1"/>
  <c r="AE108" i="72" a="1"/>
  <c r="AE108" i="72" s="1"/>
  <c r="AD108" i="72" a="1"/>
  <c r="AD108" i="72" s="1"/>
  <c r="T108" i="72"/>
  <c r="R108" i="72"/>
  <c r="N108" i="72"/>
  <c r="M108" i="72"/>
  <c r="L108" i="72"/>
  <c r="F108" i="72"/>
  <c r="D108" i="72"/>
  <c r="AF107" i="72" a="1"/>
  <c r="AF107" i="72" s="1"/>
  <c r="AE107" i="72" a="1"/>
  <c r="AE107" i="72" s="1"/>
  <c r="AD107" i="72" a="1"/>
  <c r="AD107" i="72" s="1"/>
  <c r="T107" i="72"/>
  <c r="R107" i="72"/>
  <c r="N107" i="72"/>
  <c r="M107" i="72"/>
  <c r="L107" i="72"/>
  <c r="F107" i="72"/>
  <c r="D107" i="72"/>
  <c r="AF106" i="72" a="1"/>
  <c r="AF106" i="72" s="1"/>
  <c r="AE106" i="72" a="1"/>
  <c r="AE106" i="72" s="1"/>
  <c r="AD106" i="72" a="1"/>
  <c r="AD106" i="72" s="1"/>
  <c r="T106" i="72"/>
  <c r="R106" i="72"/>
  <c r="N106" i="72"/>
  <c r="M106" i="72"/>
  <c r="L106" i="72"/>
  <c r="F106" i="72"/>
  <c r="D106" i="72"/>
  <c r="AF105" i="72" a="1"/>
  <c r="AF105" i="72" s="1"/>
  <c r="AE105" i="72" a="1"/>
  <c r="AE105" i="72" s="1"/>
  <c r="AD105" i="72" a="1"/>
  <c r="AD105" i="72" s="1"/>
  <c r="T105" i="72"/>
  <c r="R105" i="72"/>
  <c r="N105" i="72"/>
  <c r="M105" i="72"/>
  <c r="L105" i="72"/>
  <c r="F105" i="72"/>
  <c r="D105" i="72"/>
  <c r="AF104" i="72" a="1"/>
  <c r="AF104" i="72" s="1"/>
  <c r="AE104" i="72" a="1"/>
  <c r="AE104" i="72" s="1"/>
  <c r="AD104" i="72" a="1"/>
  <c r="AD104" i="72" s="1"/>
  <c r="T104" i="72"/>
  <c r="R104" i="72"/>
  <c r="N104" i="72"/>
  <c r="M104" i="72"/>
  <c r="L104" i="72"/>
  <c r="F104" i="72"/>
  <c r="D104" i="72"/>
  <c r="AF103" i="72" a="1"/>
  <c r="AF103" i="72" s="1"/>
  <c r="AE103" i="72" a="1"/>
  <c r="AE103" i="72" s="1"/>
  <c r="AD103" i="72" a="1"/>
  <c r="AD103" i="72" s="1"/>
  <c r="T103" i="72"/>
  <c r="R103" i="72"/>
  <c r="N103" i="72"/>
  <c r="M103" i="72"/>
  <c r="L103" i="72"/>
  <c r="F103" i="72"/>
  <c r="D103" i="72"/>
  <c r="AF102" i="72" a="1"/>
  <c r="AF102" i="72" s="1"/>
  <c r="AE102" i="72" a="1"/>
  <c r="AE102" i="72" s="1"/>
  <c r="AD102" i="72" a="1"/>
  <c r="AD102" i="72" s="1"/>
  <c r="T102" i="72"/>
  <c r="R102" i="72"/>
  <c r="N102" i="72"/>
  <c r="M102" i="72"/>
  <c r="L102" i="72"/>
  <c r="F102" i="72"/>
  <c r="D102" i="72"/>
  <c r="AF101" i="72" a="1"/>
  <c r="AF101" i="72" s="1"/>
  <c r="AE101" i="72" a="1"/>
  <c r="AE101" i="72" s="1"/>
  <c r="AD101" i="72" a="1"/>
  <c r="AD101" i="72" s="1"/>
  <c r="T101" i="72"/>
  <c r="R101" i="72"/>
  <c r="N101" i="72"/>
  <c r="M101" i="72"/>
  <c r="L101" i="72"/>
  <c r="F101" i="72"/>
  <c r="D101" i="72"/>
  <c r="AF100" i="72" a="1"/>
  <c r="AF100" i="72" s="1"/>
  <c r="AE100" i="72" a="1"/>
  <c r="AE100" i="72" s="1"/>
  <c r="AD100" i="72" a="1"/>
  <c r="AD100" i="72" s="1"/>
  <c r="T100" i="72"/>
  <c r="R100" i="72"/>
  <c r="N100" i="72"/>
  <c r="M100" i="72"/>
  <c r="L100" i="72"/>
  <c r="F100" i="72"/>
  <c r="D100" i="72"/>
  <c r="AF99" i="72" a="1"/>
  <c r="AF99" i="72" s="1"/>
  <c r="AE99" i="72" a="1"/>
  <c r="AE99" i="72" s="1"/>
  <c r="AD99" i="72" a="1"/>
  <c r="AD99" i="72" s="1"/>
  <c r="T99" i="72"/>
  <c r="R99" i="72"/>
  <c r="N99" i="72"/>
  <c r="M99" i="72"/>
  <c r="L99" i="72"/>
  <c r="F99" i="72"/>
  <c r="D99" i="72"/>
  <c r="AF98" i="72" a="1"/>
  <c r="AF98" i="72" s="1"/>
  <c r="AE98" i="72" a="1"/>
  <c r="AE98" i="72" s="1"/>
  <c r="AD98" i="72" a="1"/>
  <c r="AD98" i="72" s="1"/>
  <c r="T98" i="72"/>
  <c r="R98" i="72"/>
  <c r="N98" i="72"/>
  <c r="M98" i="72"/>
  <c r="L98" i="72"/>
  <c r="F98" i="72"/>
  <c r="D98" i="72"/>
  <c r="AF97" i="72" a="1"/>
  <c r="AF97" i="72" s="1"/>
  <c r="AE97" i="72" a="1"/>
  <c r="AE97" i="72" s="1"/>
  <c r="AD97" i="72" a="1"/>
  <c r="AD97" i="72" s="1"/>
  <c r="T97" i="72"/>
  <c r="R97" i="72"/>
  <c r="N97" i="72"/>
  <c r="M97" i="72"/>
  <c r="L97" i="72"/>
  <c r="F97" i="72"/>
  <c r="D97" i="72"/>
  <c r="AF96" i="72" a="1"/>
  <c r="AF96" i="72" s="1"/>
  <c r="AE96" i="72" a="1"/>
  <c r="AE96" i="72" s="1"/>
  <c r="AD96" i="72" a="1"/>
  <c r="AD96" i="72" s="1"/>
  <c r="T96" i="72"/>
  <c r="R96" i="72"/>
  <c r="N96" i="72"/>
  <c r="M96" i="72"/>
  <c r="L96" i="72"/>
  <c r="F96" i="72"/>
  <c r="D96" i="72"/>
  <c r="AF95" i="72" a="1"/>
  <c r="AF95" i="72" s="1"/>
  <c r="AE95" i="72" a="1"/>
  <c r="AE95" i="72" s="1"/>
  <c r="AD95" i="72" a="1"/>
  <c r="AD95" i="72" s="1"/>
  <c r="T95" i="72"/>
  <c r="R95" i="72"/>
  <c r="N95" i="72"/>
  <c r="M95" i="72"/>
  <c r="L95" i="72"/>
  <c r="F95" i="72"/>
  <c r="D95" i="72"/>
  <c r="AF94" i="72" a="1"/>
  <c r="AF94" i="72" s="1"/>
  <c r="AE94" i="72" a="1"/>
  <c r="AE94" i="72" s="1"/>
  <c r="AD94" i="72" a="1"/>
  <c r="AD94" i="72" s="1"/>
  <c r="T94" i="72"/>
  <c r="R94" i="72"/>
  <c r="N94" i="72"/>
  <c r="M94" i="72"/>
  <c r="L94" i="72"/>
  <c r="F94" i="72"/>
  <c r="D94" i="72"/>
  <c r="AF93" i="72" a="1"/>
  <c r="AF93" i="72" s="1"/>
  <c r="AE93" i="72" a="1"/>
  <c r="AE93" i="72" s="1"/>
  <c r="AD93" i="72" a="1"/>
  <c r="AD93" i="72" s="1"/>
  <c r="T93" i="72"/>
  <c r="R93" i="72"/>
  <c r="N93" i="72"/>
  <c r="M93" i="72"/>
  <c r="L93" i="72"/>
  <c r="F93" i="72"/>
  <c r="D93" i="72"/>
  <c r="AF92" i="72" a="1"/>
  <c r="AF92" i="72" s="1"/>
  <c r="AE92" i="72" a="1"/>
  <c r="AE92" i="72" s="1"/>
  <c r="AD92" i="72" a="1"/>
  <c r="AD92" i="72" s="1"/>
  <c r="T92" i="72"/>
  <c r="R92" i="72"/>
  <c r="N92" i="72"/>
  <c r="M92" i="72"/>
  <c r="L92" i="72"/>
  <c r="F92" i="72"/>
  <c r="D92" i="72"/>
  <c r="AF91" i="72" a="1"/>
  <c r="AF91" i="72" s="1"/>
  <c r="AE91" i="72" a="1"/>
  <c r="AE91" i="72" s="1"/>
  <c r="AD91" i="72" a="1"/>
  <c r="AD91" i="72" s="1"/>
  <c r="T91" i="72"/>
  <c r="R91" i="72"/>
  <c r="N91" i="72"/>
  <c r="M91" i="72"/>
  <c r="L91" i="72"/>
  <c r="F91" i="72"/>
  <c r="D91" i="72"/>
  <c r="AF90" i="72" a="1"/>
  <c r="AF90" i="72" s="1"/>
  <c r="AE90" i="72" a="1"/>
  <c r="AE90" i="72" s="1"/>
  <c r="AD90" i="72" a="1"/>
  <c r="AD90" i="72" s="1"/>
  <c r="T90" i="72"/>
  <c r="R90" i="72"/>
  <c r="N90" i="72"/>
  <c r="M90" i="72"/>
  <c r="L90" i="72"/>
  <c r="F90" i="72"/>
  <c r="D90" i="72"/>
  <c r="AF89" i="72" a="1"/>
  <c r="AF89" i="72" s="1"/>
  <c r="AE89" i="72" a="1"/>
  <c r="AE89" i="72" s="1"/>
  <c r="AD89" i="72" a="1"/>
  <c r="AD89" i="72" s="1"/>
  <c r="T89" i="72"/>
  <c r="R89" i="72"/>
  <c r="N89" i="72"/>
  <c r="M89" i="72"/>
  <c r="L89" i="72"/>
  <c r="F89" i="72"/>
  <c r="D89" i="72"/>
  <c r="AF88" i="72" a="1"/>
  <c r="AF88" i="72" s="1"/>
  <c r="AE88" i="72" a="1"/>
  <c r="AE88" i="72" s="1"/>
  <c r="AD88" i="72" a="1"/>
  <c r="AD88" i="72" s="1"/>
  <c r="T88" i="72"/>
  <c r="R88" i="72"/>
  <c r="N88" i="72"/>
  <c r="M88" i="72"/>
  <c r="L88" i="72"/>
  <c r="F88" i="72"/>
  <c r="D88" i="72"/>
  <c r="AF87" i="72" a="1"/>
  <c r="AF87" i="72" s="1"/>
  <c r="AE87" i="72" a="1"/>
  <c r="AE87" i="72" s="1"/>
  <c r="AD87" i="72" a="1"/>
  <c r="AD87" i="72" s="1"/>
  <c r="T87" i="72"/>
  <c r="R87" i="72"/>
  <c r="N87" i="72"/>
  <c r="M87" i="72"/>
  <c r="L87" i="72"/>
  <c r="F87" i="72"/>
  <c r="D87" i="72"/>
  <c r="AF86" i="72" a="1"/>
  <c r="AF86" i="72" s="1"/>
  <c r="AE86" i="72" a="1"/>
  <c r="AE86" i="72" s="1"/>
  <c r="AD86" i="72" a="1"/>
  <c r="AD86" i="72" s="1"/>
  <c r="T86" i="72"/>
  <c r="R86" i="72"/>
  <c r="N86" i="72"/>
  <c r="M86" i="72"/>
  <c r="L86" i="72"/>
  <c r="F86" i="72"/>
  <c r="D86" i="72"/>
  <c r="AF85" i="72" a="1"/>
  <c r="AF85" i="72" s="1"/>
  <c r="AE85" i="72" a="1"/>
  <c r="AE85" i="72" s="1"/>
  <c r="AD85" i="72" a="1"/>
  <c r="AD85" i="72" s="1"/>
  <c r="T85" i="72"/>
  <c r="R85" i="72"/>
  <c r="N85" i="72"/>
  <c r="M85" i="72"/>
  <c r="L85" i="72"/>
  <c r="F85" i="72"/>
  <c r="D85" i="72"/>
  <c r="AF84" i="72" a="1"/>
  <c r="AF84" i="72" s="1"/>
  <c r="AE84" i="72" a="1"/>
  <c r="AE84" i="72" s="1"/>
  <c r="AD84" i="72" a="1"/>
  <c r="AD84" i="72" s="1"/>
  <c r="T84" i="72"/>
  <c r="R84" i="72"/>
  <c r="N84" i="72"/>
  <c r="M84" i="72"/>
  <c r="L84" i="72"/>
  <c r="F84" i="72"/>
  <c r="D84" i="72"/>
  <c r="AF83" i="72" a="1"/>
  <c r="AF83" i="72" s="1"/>
  <c r="AE83" i="72" a="1"/>
  <c r="AE83" i="72" s="1"/>
  <c r="AD83" i="72" a="1"/>
  <c r="AD83" i="72" s="1"/>
  <c r="T83" i="72"/>
  <c r="R83" i="72"/>
  <c r="N83" i="72"/>
  <c r="M83" i="72"/>
  <c r="L83" i="72"/>
  <c r="F83" i="72"/>
  <c r="D83" i="72"/>
  <c r="AF82" i="72" a="1"/>
  <c r="AF82" i="72" s="1"/>
  <c r="AE82" i="72" a="1"/>
  <c r="AE82" i="72" s="1"/>
  <c r="AD82" i="72" a="1"/>
  <c r="AD82" i="72" s="1"/>
  <c r="T82" i="72"/>
  <c r="R82" i="72"/>
  <c r="N82" i="72"/>
  <c r="M82" i="72"/>
  <c r="L82" i="72"/>
  <c r="F82" i="72"/>
  <c r="D82" i="72"/>
  <c r="AF81" i="72" a="1"/>
  <c r="AF81" i="72" s="1"/>
  <c r="AE81" i="72" a="1"/>
  <c r="AE81" i="72" s="1"/>
  <c r="AD81" i="72" a="1"/>
  <c r="AD81" i="72" s="1"/>
  <c r="T81" i="72"/>
  <c r="R81" i="72"/>
  <c r="N81" i="72"/>
  <c r="M81" i="72"/>
  <c r="L81" i="72"/>
  <c r="F81" i="72"/>
  <c r="D81" i="72"/>
  <c r="AF80" i="72" a="1"/>
  <c r="AF80" i="72" s="1"/>
  <c r="AE80" i="72" a="1"/>
  <c r="AE80" i="72" s="1"/>
  <c r="AD80" i="72" a="1"/>
  <c r="AD80" i="72" s="1"/>
  <c r="T80" i="72"/>
  <c r="R80" i="72"/>
  <c r="N80" i="72"/>
  <c r="M80" i="72"/>
  <c r="L80" i="72"/>
  <c r="F80" i="72"/>
  <c r="D80" i="72"/>
  <c r="AF79" i="72" a="1"/>
  <c r="AF79" i="72" s="1"/>
  <c r="AE79" i="72" a="1"/>
  <c r="AE79" i="72" s="1"/>
  <c r="AD79" i="72" a="1"/>
  <c r="AD79" i="72" s="1"/>
  <c r="T79" i="72"/>
  <c r="R79" i="72"/>
  <c r="N79" i="72"/>
  <c r="M79" i="72"/>
  <c r="L79" i="72"/>
  <c r="F79" i="72"/>
  <c r="D79" i="72"/>
  <c r="AF78" i="72" a="1"/>
  <c r="AF78" i="72" s="1"/>
  <c r="AE78" i="72" a="1"/>
  <c r="AE78" i="72" s="1"/>
  <c r="AD78" i="72" a="1"/>
  <c r="AD78" i="72" s="1"/>
  <c r="T78" i="72"/>
  <c r="R78" i="72"/>
  <c r="N78" i="72"/>
  <c r="M78" i="72"/>
  <c r="L78" i="72"/>
  <c r="F78" i="72"/>
  <c r="D78" i="72"/>
  <c r="AF77" i="72" a="1"/>
  <c r="AF77" i="72" s="1"/>
  <c r="AE77" i="72" a="1"/>
  <c r="AE77" i="72" s="1"/>
  <c r="AD77" i="72" a="1"/>
  <c r="AD77" i="72" s="1"/>
  <c r="T77" i="72"/>
  <c r="R77" i="72"/>
  <c r="N77" i="72"/>
  <c r="M77" i="72"/>
  <c r="L77" i="72"/>
  <c r="F77" i="72"/>
  <c r="D77" i="72"/>
  <c r="AF76" i="72" a="1"/>
  <c r="AF76" i="72" s="1"/>
  <c r="AE76" i="72" a="1"/>
  <c r="AE76" i="72" s="1"/>
  <c r="AD76" i="72" a="1"/>
  <c r="AD76" i="72" s="1"/>
  <c r="T76" i="72"/>
  <c r="R76" i="72"/>
  <c r="N76" i="72"/>
  <c r="M76" i="72"/>
  <c r="L76" i="72"/>
  <c r="F76" i="72"/>
  <c r="D76" i="72"/>
  <c r="AF75" i="72" a="1"/>
  <c r="AF75" i="72" s="1"/>
  <c r="AE75" i="72" a="1"/>
  <c r="AE75" i="72" s="1"/>
  <c r="AD75" i="72" a="1"/>
  <c r="AD75" i="72" s="1"/>
  <c r="T75" i="72"/>
  <c r="R75" i="72"/>
  <c r="N75" i="72"/>
  <c r="M75" i="72"/>
  <c r="L75" i="72"/>
  <c r="F75" i="72"/>
  <c r="D75" i="72"/>
  <c r="AF71" i="72" a="1"/>
  <c r="AF71" i="72" s="1"/>
  <c r="AE71" i="72" a="1"/>
  <c r="AE71" i="72" s="1"/>
  <c r="AD71" i="72" a="1"/>
  <c r="AD71" i="72" s="1"/>
  <c r="T71" i="72"/>
  <c r="AF70" i="72" a="1"/>
  <c r="AF70" i="72" s="1"/>
  <c r="AE70" i="72" a="1"/>
  <c r="AE70" i="72" s="1"/>
  <c r="AD70" i="72" a="1"/>
  <c r="AD70" i="72" s="1"/>
  <c r="T70" i="72"/>
  <c r="AF69" i="72" a="1"/>
  <c r="AF69" i="72" s="1"/>
  <c r="AE69" i="72" a="1"/>
  <c r="AE69" i="72" s="1"/>
  <c r="AD69" i="72" a="1"/>
  <c r="AD69" i="72" s="1"/>
  <c r="T69" i="72"/>
  <c r="AF68" i="72" a="1"/>
  <c r="AF68" i="72" s="1"/>
  <c r="AE68" i="72" a="1"/>
  <c r="AE68" i="72" s="1"/>
  <c r="AD68" i="72" a="1"/>
  <c r="AD68" i="72" s="1"/>
  <c r="T68" i="72"/>
  <c r="AF67" i="72" a="1"/>
  <c r="AF67" i="72" s="1"/>
  <c r="AE67" i="72" a="1"/>
  <c r="AE67" i="72" s="1"/>
  <c r="AD67" i="72" a="1"/>
  <c r="AD67" i="72" s="1"/>
  <c r="T67" i="72"/>
  <c r="AF66" i="72" a="1"/>
  <c r="AF66" i="72" s="1"/>
  <c r="AE66" i="72" a="1"/>
  <c r="AE66" i="72" s="1"/>
  <c r="AD66" i="72" a="1"/>
  <c r="AD66" i="72" s="1"/>
  <c r="T66" i="72"/>
  <c r="R66" i="72"/>
  <c r="M66" i="72"/>
  <c r="N66" i="72" s="1"/>
  <c r="L66" i="72"/>
  <c r="AF65" i="72" a="1"/>
  <c r="AF65" i="72" s="1"/>
  <c r="AE65" i="72" a="1"/>
  <c r="AE65" i="72" s="1"/>
  <c r="AD65" i="72" a="1"/>
  <c r="AD65" i="72" s="1"/>
  <c r="T65" i="72"/>
  <c r="R65" i="72"/>
  <c r="M65" i="72"/>
  <c r="N65" i="72" s="1"/>
  <c r="L65" i="72"/>
  <c r="AF64" i="72" a="1"/>
  <c r="AF64" i="72" s="1"/>
  <c r="AE64" i="72" a="1"/>
  <c r="AE64" i="72" s="1"/>
  <c r="AD64" i="72" a="1"/>
  <c r="AD64" i="72" s="1"/>
  <c r="T64" i="72"/>
  <c r="R64" i="72"/>
  <c r="M64" i="72"/>
  <c r="N64" i="72" s="1"/>
  <c r="L64" i="72"/>
  <c r="AF63" i="72" a="1"/>
  <c r="AF63" i="72" s="1"/>
  <c r="AE63" i="72" a="1"/>
  <c r="AE63" i="72" s="1"/>
  <c r="AD63" i="72" a="1"/>
  <c r="AD63" i="72" s="1"/>
  <c r="T63" i="72"/>
  <c r="R63" i="72"/>
  <c r="M63" i="72"/>
  <c r="N63" i="72" s="1"/>
  <c r="L63" i="72"/>
  <c r="AF62" i="72" a="1"/>
  <c r="AF62" i="72" s="1"/>
  <c r="AE62" i="72" a="1"/>
  <c r="AE62" i="72" s="1"/>
  <c r="AD62" i="72" a="1"/>
  <c r="AD62" i="72" s="1"/>
  <c r="T62" i="72"/>
  <c r="R62" i="72"/>
  <c r="M62" i="72"/>
  <c r="N62" i="72" s="1"/>
  <c r="L62" i="72"/>
  <c r="AF61" i="72" a="1"/>
  <c r="AF61" i="72" s="1"/>
  <c r="AE61" i="72" a="1"/>
  <c r="AE61" i="72" s="1"/>
  <c r="AD61" i="72" a="1"/>
  <c r="AD61" i="72" s="1"/>
  <c r="U61" i="72"/>
  <c r="V61" i="72" s="1"/>
  <c r="T61" i="72"/>
  <c r="R61" i="72"/>
  <c r="O61" i="72"/>
  <c r="P61" i="72" s="1"/>
  <c r="M61" i="72"/>
  <c r="N61" i="72" s="1"/>
  <c r="L61" i="72"/>
  <c r="AF60" i="72" a="1"/>
  <c r="AF60" i="72" s="1"/>
  <c r="AE60" i="72" a="1"/>
  <c r="AE60" i="72" s="1"/>
  <c r="AD60" i="72" a="1"/>
  <c r="AD60" i="72" s="1"/>
  <c r="U60" i="72"/>
  <c r="V60" i="72" s="1"/>
  <c r="T60" i="72"/>
  <c r="R60" i="72"/>
  <c r="O60" i="72"/>
  <c r="P60" i="72" s="1"/>
  <c r="M60" i="72"/>
  <c r="N60" i="72" s="1"/>
  <c r="L60" i="72"/>
  <c r="AF54" i="72" a="1"/>
  <c r="AF54" i="72" s="1"/>
  <c r="AE54" i="72" a="1"/>
  <c r="AE54" i="72" s="1"/>
  <c r="AD54" i="72" a="1"/>
  <c r="AD54" i="72" s="1"/>
  <c r="U54" i="72"/>
  <c r="V54" i="72" s="1"/>
  <c r="T54" i="72"/>
  <c r="R54" i="72"/>
  <c r="O54" i="72"/>
  <c r="P54" i="72" s="1"/>
  <c r="M54" i="72"/>
  <c r="N54" i="72" s="1"/>
  <c r="L54" i="72"/>
  <c r="AF53" i="72" a="1"/>
  <c r="AF53" i="72" s="1"/>
  <c r="AE53" i="72" a="1"/>
  <c r="AE53" i="72" s="1"/>
  <c r="AD53" i="72" a="1"/>
  <c r="AD53" i="72" s="1"/>
  <c r="U53" i="72"/>
  <c r="V53" i="72" s="1"/>
  <c r="T53" i="72"/>
  <c r="R53" i="72"/>
  <c r="O53" i="72"/>
  <c r="P53" i="72" s="1"/>
  <c r="M53" i="72"/>
  <c r="N53" i="72" s="1"/>
  <c r="L53" i="72"/>
  <c r="AF52" i="72" a="1"/>
  <c r="AF52" i="72" s="1"/>
  <c r="AE52" i="72" a="1"/>
  <c r="AE52" i="72" s="1"/>
  <c r="AD52" i="72" a="1"/>
  <c r="AD52" i="72" s="1"/>
  <c r="U52" i="72"/>
  <c r="V52" i="72" s="1"/>
  <c r="T52" i="72"/>
  <c r="R52" i="72"/>
  <c r="O52" i="72"/>
  <c r="P52" i="72" s="1"/>
  <c r="M52" i="72"/>
  <c r="N52" i="72" s="1"/>
  <c r="L52" i="72"/>
  <c r="AF51" i="72" a="1"/>
  <c r="AF51" i="72" s="1"/>
  <c r="AE51" i="72" a="1"/>
  <c r="AE51" i="72" s="1"/>
  <c r="AD51" i="72" a="1"/>
  <c r="AD51" i="72" s="1"/>
  <c r="U51" i="72"/>
  <c r="V51" i="72" s="1"/>
  <c r="T51" i="72"/>
  <c r="R51" i="72"/>
  <c r="O51" i="72"/>
  <c r="P51" i="72" s="1"/>
  <c r="U50" i="72"/>
  <c r="V50" i="72" s="1"/>
  <c r="T50" i="72"/>
  <c r="R50" i="72"/>
  <c r="O50" i="72"/>
  <c r="P50" i="72" s="1"/>
  <c r="U49" i="72"/>
  <c r="V49" i="72" s="1"/>
  <c r="T49" i="72"/>
  <c r="O49" i="72"/>
  <c r="P49" i="72" s="1"/>
  <c r="U48" i="72"/>
  <c r="V48" i="72" s="1"/>
  <c r="T48" i="72"/>
  <c r="O48" i="72"/>
  <c r="P48" i="72" s="1"/>
  <c r="U47" i="72"/>
  <c r="V47" i="72" s="1"/>
  <c r="T47" i="72"/>
  <c r="O47" i="72"/>
  <c r="P47" i="72" s="1"/>
  <c r="U45" i="72"/>
  <c r="V45" i="72" s="1"/>
  <c r="T45" i="72"/>
  <c r="O45" i="72"/>
  <c r="P45" i="72" s="1"/>
  <c r="U43" i="72"/>
  <c r="V43" i="72" s="1"/>
  <c r="T43" i="72"/>
  <c r="O43" i="72"/>
  <c r="P43" i="72" s="1"/>
  <c r="M43" i="72"/>
  <c r="N43" i="72" s="1"/>
  <c r="L43" i="72"/>
  <c r="AF40" i="72" a="1"/>
  <c r="AF40" i="72" s="1"/>
  <c r="AE40" i="72" a="1"/>
  <c r="AE40" i="72" s="1"/>
  <c r="AD40" i="72" a="1"/>
  <c r="AD40" i="72" s="1"/>
  <c r="U40" i="72"/>
  <c r="V40" i="72" s="1"/>
  <c r="T40" i="72"/>
  <c r="O40" i="72"/>
  <c r="P40" i="72" s="1"/>
  <c r="M40" i="72"/>
  <c r="N40" i="72" s="1"/>
  <c r="L40" i="72"/>
  <c r="AF39" i="72" a="1"/>
  <c r="AF39" i="72" s="1"/>
  <c r="AE39" i="72" a="1"/>
  <c r="AE39" i="72" s="1"/>
  <c r="AD39" i="72" a="1"/>
  <c r="AD39" i="72" s="1"/>
  <c r="U39" i="72"/>
  <c r="V39" i="72" s="1"/>
  <c r="T39" i="72"/>
  <c r="O39" i="72"/>
  <c r="P39" i="72" s="1"/>
  <c r="M39" i="72"/>
  <c r="N39" i="72" s="1"/>
  <c r="L39" i="72"/>
  <c r="AF38" i="72" a="1"/>
  <c r="AF38" i="72" s="1"/>
  <c r="AE38" i="72" a="1"/>
  <c r="AE38" i="72" s="1"/>
  <c r="AD38" i="72" a="1"/>
  <c r="AD38" i="72" s="1"/>
  <c r="U38" i="72"/>
  <c r="V38" i="72" s="1"/>
  <c r="T38" i="72"/>
  <c r="O38" i="72"/>
  <c r="P38" i="72" s="1"/>
  <c r="M38" i="72"/>
  <c r="N38" i="72" s="1"/>
  <c r="L38" i="72"/>
  <c r="AF37" i="72" a="1"/>
  <c r="AF37" i="72" s="1"/>
  <c r="AE37" i="72" a="1"/>
  <c r="AE37" i="72" s="1"/>
  <c r="AD37" i="72" a="1"/>
  <c r="AD37" i="72" s="1"/>
  <c r="U37" i="72"/>
  <c r="V37" i="72" s="1"/>
  <c r="T37" i="72"/>
  <c r="R37" i="72"/>
  <c r="O37" i="72"/>
  <c r="P37" i="72" s="1"/>
  <c r="M37" i="72"/>
  <c r="N37" i="72" s="1"/>
  <c r="L37" i="72"/>
  <c r="AF36" i="72" a="1"/>
  <c r="AF36" i="72" s="1"/>
  <c r="AE36" i="72" a="1"/>
  <c r="AE36" i="72" s="1"/>
  <c r="AD36" i="72" a="1"/>
  <c r="AD36" i="72" s="1"/>
  <c r="U36" i="72"/>
  <c r="V36" i="72" s="1"/>
  <c r="T36" i="72"/>
  <c r="R36" i="72"/>
  <c r="O36" i="72"/>
  <c r="P36" i="72" s="1"/>
  <c r="M36" i="72"/>
  <c r="N36" i="72" s="1"/>
  <c r="L36" i="72"/>
  <c r="AF35" i="72" a="1"/>
  <c r="AF35" i="72" s="1"/>
  <c r="AE35" i="72" a="1"/>
  <c r="AE35" i="72" s="1"/>
  <c r="AD35" i="72" a="1"/>
  <c r="AD35" i="72" s="1"/>
  <c r="U35" i="72"/>
  <c r="V35" i="72" s="1"/>
  <c r="T35" i="72"/>
  <c r="R35" i="72"/>
  <c r="O35" i="72"/>
  <c r="P35" i="72" s="1"/>
  <c r="M35" i="72"/>
  <c r="N35" i="72" s="1"/>
  <c r="L35" i="72"/>
  <c r="AF34" i="72" a="1"/>
  <c r="AF34" i="72" s="1"/>
  <c r="AE34" i="72" a="1"/>
  <c r="AE34" i="72" s="1"/>
  <c r="AD34" i="72" a="1"/>
  <c r="AD34" i="72" s="1"/>
  <c r="U34" i="72"/>
  <c r="V34" i="72" s="1"/>
  <c r="T34" i="72"/>
  <c r="R34" i="72"/>
  <c r="O34" i="72"/>
  <c r="P34" i="72" s="1"/>
  <c r="M34" i="72"/>
  <c r="N34" i="72" s="1"/>
  <c r="L34" i="72"/>
  <c r="AF33" i="72" a="1"/>
  <c r="AF33" i="72" s="1"/>
  <c r="AE33" i="72" a="1"/>
  <c r="AE33" i="72" s="1"/>
  <c r="AD33" i="72" a="1"/>
  <c r="AD33" i="72" s="1"/>
  <c r="U33" i="72"/>
  <c r="V33" i="72" s="1"/>
  <c r="T33" i="72"/>
  <c r="R33" i="72"/>
  <c r="O33" i="72"/>
  <c r="P33" i="72" s="1"/>
  <c r="M33" i="72"/>
  <c r="N33" i="72" s="1"/>
  <c r="L33" i="72"/>
  <c r="AF55" i="72" a="1"/>
  <c r="AF55" i="72" s="1"/>
  <c r="AE55" i="72" a="1"/>
  <c r="AE55" i="72" s="1"/>
  <c r="AD55" i="72" a="1"/>
  <c r="AD55" i="72" s="1"/>
  <c r="U55" i="72"/>
  <c r="V55" i="72" s="1"/>
  <c r="T55" i="72"/>
  <c r="R55" i="72"/>
  <c r="O55" i="72"/>
  <c r="P55" i="72" s="1"/>
  <c r="M55" i="72"/>
  <c r="N55" i="72" s="1"/>
  <c r="L55" i="72"/>
  <c r="AF57" i="72" a="1"/>
  <c r="AF57" i="72" s="1"/>
  <c r="U44" i="72"/>
  <c r="V44" i="72" s="1"/>
  <c r="T44" i="72"/>
  <c r="O44" i="72"/>
  <c r="P44" i="72" s="1"/>
  <c r="M44" i="72"/>
  <c r="N44" i="72" s="1"/>
  <c r="L44" i="72"/>
  <c r="AF59" i="72" a="1"/>
  <c r="AF59" i="72" s="1"/>
  <c r="AE59" i="72" a="1"/>
  <c r="AE59" i="72" s="1"/>
  <c r="AD59" i="72" a="1"/>
  <c r="AD59" i="72" s="1"/>
  <c r="U59" i="72"/>
  <c r="V59" i="72" s="1"/>
  <c r="T59" i="72"/>
  <c r="R59" i="72"/>
  <c r="O59" i="72"/>
  <c r="P59" i="72" s="1"/>
  <c r="M59" i="72"/>
  <c r="N59" i="72" s="1"/>
  <c r="L59" i="72"/>
  <c r="U41" i="72"/>
  <c r="V41" i="72" s="1"/>
  <c r="T41" i="72"/>
  <c r="O41" i="72"/>
  <c r="P41" i="72" s="1"/>
  <c r="M41" i="72"/>
  <c r="N41" i="72" s="1"/>
  <c r="L41" i="72"/>
  <c r="AF32" i="72" a="1"/>
  <c r="AF32" i="72" s="1"/>
  <c r="AE32" i="72" a="1"/>
  <c r="AE32" i="72" s="1"/>
  <c r="AD32" i="72" a="1"/>
  <c r="AD32" i="72" s="1"/>
  <c r="U32" i="72"/>
  <c r="V32" i="72" s="1"/>
  <c r="T32" i="72"/>
  <c r="R32" i="72"/>
  <c r="O32" i="72"/>
  <c r="P32" i="72" s="1"/>
  <c r="M32" i="72"/>
  <c r="N32" i="72" s="1"/>
  <c r="L32" i="72"/>
  <c r="AF31" i="72" a="1"/>
  <c r="AF31" i="72" s="1"/>
  <c r="AE31" i="72" a="1"/>
  <c r="AE31" i="72" s="1"/>
  <c r="AD31" i="72" a="1"/>
  <c r="AD31" i="72" s="1"/>
  <c r="U31" i="72"/>
  <c r="V31" i="72" s="1"/>
  <c r="T31" i="72"/>
  <c r="R31" i="72"/>
  <c r="O31" i="72"/>
  <c r="P31" i="72" s="1"/>
  <c r="M31" i="72"/>
  <c r="N31" i="72" s="1"/>
  <c r="L31" i="72"/>
  <c r="AF30" i="72" a="1"/>
  <c r="AF30" i="72" s="1"/>
  <c r="AE30" i="72" a="1"/>
  <c r="AE30" i="72" s="1"/>
  <c r="AD30" i="72" a="1"/>
  <c r="AD30" i="72" s="1"/>
  <c r="U30" i="72"/>
  <c r="V30" i="72" s="1"/>
  <c r="T30" i="72"/>
  <c r="R30" i="72"/>
  <c r="O30" i="72"/>
  <c r="P30" i="72" s="1"/>
  <c r="M30" i="72"/>
  <c r="N30" i="72" s="1"/>
  <c r="L30" i="72"/>
  <c r="AF29" i="72" a="1"/>
  <c r="AF29" i="72" s="1"/>
  <c r="AE29" i="72" a="1"/>
  <c r="AE29" i="72" s="1"/>
  <c r="AD29" i="72" a="1"/>
  <c r="AD29" i="72" s="1"/>
  <c r="U29" i="72"/>
  <c r="V29" i="72" s="1"/>
  <c r="T29" i="72"/>
  <c r="R29" i="72"/>
  <c r="O29" i="72"/>
  <c r="P29" i="72" s="1"/>
  <c r="M29" i="72"/>
  <c r="N29" i="72" s="1"/>
  <c r="L29" i="72"/>
  <c r="AF28" i="72" a="1"/>
  <c r="AF28" i="72" s="1"/>
  <c r="AE28" i="72" a="1"/>
  <c r="AE28" i="72" s="1"/>
  <c r="AD28" i="72" a="1"/>
  <c r="AD28" i="72" s="1"/>
  <c r="U28" i="72"/>
  <c r="V28" i="72" s="1"/>
  <c r="T28" i="72"/>
  <c r="R28" i="72"/>
  <c r="O28" i="72"/>
  <c r="P28" i="72" s="1"/>
  <c r="M28" i="72"/>
  <c r="N28" i="72" s="1"/>
  <c r="L28" i="72"/>
  <c r="AF27" i="72" a="1"/>
  <c r="AF27" i="72" s="1"/>
  <c r="AE27" i="72" a="1"/>
  <c r="AE27" i="72" s="1"/>
  <c r="AD27" i="72" a="1"/>
  <c r="AD27" i="72" s="1"/>
  <c r="U27" i="72"/>
  <c r="V27" i="72" s="1"/>
  <c r="T27" i="72"/>
  <c r="R27" i="72"/>
  <c r="O27" i="72"/>
  <c r="P27" i="72" s="1"/>
  <c r="M27" i="72"/>
  <c r="N27" i="72" s="1"/>
  <c r="L27" i="72"/>
  <c r="AF23" i="72" a="1"/>
  <c r="AF23" i="72" s="1"/>
  <c r="AE23" i="72" a="1"/>
  <c r="AE23" i="72" s="1"/>
  <c r="AD23" i="72" a="1"/>
  <c r="AD23" i="72" s="1"/>
  <c r="U23" i="72"/>
  <c r="V23" i="72" s="1"/>
  <c r="T23" i="72"/>
  <c r="R23" i="72"/>
  <c r="O23" i="72"/>
  <c r="P23" i="72" s="1"/>
  <c r="M23" i="72"/>
  <c r="N23" i="72" s="1"/>
  <c r="L23" i="72"/>
  <c r="G20" i="72"/>
  <c r="S19" i="72"/>
  <c r="R19" i="72"/>
  <c r="S18" i="72"/>
  <c r="R18" i="72"/>
  <c r="J17" i="72"/>
  <c r="I17" i="72"/>
  <c r="S16" i="72"/>
  <c r="R16" i="72"/>
  <c r="J16" i="72"/>
  <c r="I16" i="72"/>
  <c r="S15" i="72"/>
  <c r="R15" i="72"/>
  <c r="CP12" i="72" a="1"/>
  <c r="CP12" i="72" s="1"/>
  <c r="CO12" i="72" a="1"/>
  <c r="CO12" i="72" s="1"/>
  <c r="CN12" i="72" a="1"/>
  <c r="CN12" i="72" s="1"/>
  <c r="CM12" i="72" a="1"/>
  <c r="CM12" i="72" s="1"/>
  <c r="CL12" i="72" a="1"/>
  <c r="CL12" i="72" s="1"/>
  <c r="CK12" i="72" a="1"/>
  <c r="CK12" i="72" s="1"/>
  <c r="CJ12" i="72" a="1"/>
  <c r="CJ12" i="72" s="1"/>
  <c r="CI12" i="72" a="1"/>
  <c r="CI12" i="72" s="1"/>
  <c r="CH12" i="72" a="1"/>
  <c r="CH12" i="72" s="1"/>
  <c r="CG12" i="72" a="1"/>
  <c r="CG12" i="72" s="1"/>
  <c r="CF12" i="72" a="1"/>
  <c r="CF12" i="72" s="1"/>
  <c r="CE12" i="72" a="1"/>
  <c r="CE12" i="72" s="1"/>
  <c r="CD12" i="72" a="1"/>
  <c r="CD12" i="72" s="1"/>
  <c r="CC12" i="72" a="1"/>
  <c r="CC12" i="72" s="1"/>
  <c r="BX12" i="72" a="1"/>
  <c r="BX12" i="72" s="1"/>
  <c r="BW12" i="72" a="1"/>
  <c r="BW12" i="72" s="1"/>
  <c r="BV12" i="72" a="1"/>
  <c r="BV12" i="72" s="1"/>
  <c r="BT12" i="72" a="1"/>
  <c r="BT12" i="72" s="1"/>
  <c r="BF12" i="72" a="1"/>
  <c r="BF12" i="72" s="1"/>
  <c r="BE12" i="72" a="1"/>
  <c r="BE12" i="72" s="1"/>
  <c r="BD12" i="72" a="1"/>
  <c r="BD12" i="72" s="1"/>
  <c r="BI12" i="72" a="1"/>
  <c r="BI12" i="72" s="1"/>
  <c r="BA12" i="72" a="1"/>
  <c r="BA12" i="72" s="1"/>
  <c r="AY12" i="72" a="1"/>
  <c r="AY12" i="72" s="1"/>
  <c r="AW12" i="72" a="1"/>
  <c r="AW12" i="72" s="1"/>
  <c r="AV12" i="72" a="1"/>
  <c r="AV12" i="72" s="1"/>
  <c r="AU12" i="72" a="1"/>
  <c r="AU12" i="72" s="1"/>
  <c r="AT12" i="72" a="1"/>
  <c r="AT12" i="72" s="1"/>
  <c r="BO12" i="72" a="1"/>
  <c r="BO12" i="72" s="1"/>
  <c r="AQ12" i="72" a="1"/>
  <c r="AQ12" i="72" s="1"/>
  <c r="AO12" i="72" a="1"/>
  <c r="AO12" i="72" s="1"/>
  <c r="AM12" i="72" a="1"/>
  <c r="AM12" i="72" s="1"/>
  <c r="AL12" i="72" a="1"/>
  <c r="AL12" i="72" s="1"/>
  <c r="AI12" i="72" a="1"/>
  <c r="AI12" i="72" s="1"/>
  <c r="AH12" i="72" a="1"/>
  <c r="AH12" i="72" s="1"/>
  <c r="AG12" i="72" a="1"/>
  <c r="AG12" i="72" s="1"/>
  <c r="AF12" i="72" a="1"/>
  <c r="AF12" i="72" s="1"/>
  <c r="CP10" i="72" a="1"/>
  <c r="CP10" i="72" s="1"/>
  <c r="CO10" i="72" a="1"/>
  <c r="CO10" i="72" s="1"/>
  <c r="CN10" i="72" a="1"/>
  <c r="CN10" i="72" s="1"/>
  <c r="CM10" i="72" a="1"/>
  <c r="CM10" i="72" s="1"/>
  <c r="CL10" i="72" a="1"/>
  <c r="CL10" i="72" s="1"/>
  <c r="CK10" i="72" a="1"/>
  <c r="CK10" i="72" s="1"/>
  <c r="CJ10" i="72" a="1"/>
  <c r="CJ10" i="72" s="1"/>
  <c r="CI10" i="72" a="1"/>
  <c r="CI10" i="72" s="1"/>
  <c r="CH10" i="72" a="1"/>
  <c r="CH10" i="72" s="1"/>
  <c r="CG10" i="72" a="1"/>
  <c r="CG10" i="72" s="1"/>
  <c r="CF10" i="72" a="1"/>
  <c r="CF10" i="72" s="1"/>
  <c r="CE10" i="72" a="1"/>
  <c r="CE10" i="72" s="1"/>
  <c r="CD10" i="72" a="1"/>
  <c r="CD10" i="72" s="1"/>
  <c r="CC10" i="72" a="1"/>
  <c r="CC10" i="72" s="1"/>
  <c r="BX10" i="72" a="1"/>
  <c r="BX10" i="72" s="1"/>
  <c r="BW10" i="72" a="1"/>
  <c r="BW10" i="72" s="1"/>
  <c r="BV10" i="72" a="1"/>
  <c r="BV10" i="72" s="1"/>
  <c r="BT10" i="72" a="1"/>
  <c r="BT10" i="72" s="1"/>
  <c r="BF10" i="72" a="1"/>
  <c r="BF10" i="72" s="1"/>
  <c r="BE10" i="72" a="1"/>
  <c r="BE10" i="72" s="1"/>
  <c r="BD10" i="72" a="1"/>
  <c r="BD10" i="72" s="1"/>
  <c r="BI10" i="72" a="1"/>
  <c r="BI10" i="72" s="1"/>
  <c r="BA10" i="72" a="1"/>
  <c r="BA10" i="72" s="1"/>
  <c r="AY10" i="72" a="1"/>
  <c r="AY10" i="72" s="1"/>
  <c r="AW10" i="72" a="1"/>
  <c r="AW10" i="72" s="1"/>
  <c r="AV10" i="72" a="1"/>
  <c r="AV10" i="72" s="1"/>
  <c r="AU10" i="72" a="1"/>
  <c r="AU10" i="72" s="1"/>
  <c r="AT10" i="72" a="1"/>
  <c r="AT10" i="72" s="1"/>
  <c r="BO10" i="72" a="1"/>
  <c r="BO10" i="72" s="1"/>
  <c r="AQ10" i="72" a="1"/>
  <c r="AQ10" i="72" s="1"/>
  <c r="AO10" i="72" a="1"/>
  <c r="AO10" i="72" s="1"/>
  <c r="AM10" i="72" a="1"/>
  <c r="AM10" i="72" s="1"/>
  <c r="AL10" i="72" a="1"/>
  <c r="AL10" i="72" s="1"/>
  <c r="AI10" i="72" a="1"/>
  <c r="AI10" i="72" s="1"/>
  <c r="AH10" i="72" a="1"/>
  <c r="AH10" i="72" s="1"/>
  <c r="AG10" i="72" a="1"/>
  <c r="AG10" i="72" s="1"/>
  <c r="AF10" i="72" a="1"/>
  <c r="AF10" i="72" s="1"/>
  <c r="CP2" i="72" a="1"/>
  <c r="CP2" i="72" s="1"/>
  <c r="CP11" i="72" s="1"/>
  <c r="CO2" i="72" a="1"/>
  <c r="CO2" i="72" s="1"/>
  <c r="CN2" i="72" a="1"/>
  <c r="CN2" i="72" s="1"/>
  <c r="CM2" i="72" a="1"/>
  <c r="CM2" i="72" s="1"/>
  <c r="CL2" i="72" a="1"/>
  <c r="CL2" i="72" s="1"/>
  <c r="CK2" i="72" a="1"/>
  <c r="CK2" i="72" s="1"/>
  <c r="CJ2" i="72" a="1"/>
  <c r="CJ2" i="72" s="1"/>
  <c r="CI2" i="72" a="1"/>
  <c r="CI2" i="72" s="1"/>
  <c r="CH2" i="72" a="1"/>
  <c r="CH2" i="72" s="1"/>
  <c r="CG2" i="72" a="1"/>
  <c r="CG2" i="72" s="1"/>
  <c r="CF2" i="72" a="1"/>
  <c r="CF2" i="72" s="1"/>
  <c r="CE2" i="72" a="1"/>
  <c r="CE2" i="72" s="1"/>
  <c r="CD2" i="72" a="1"/>
  <c r="CD2" i="72" s="1"/>
  <c r="CC2" i="72" a="1"/>
  <c r="CC2" i="72" s="1"/>
  <c r="BX2" i="72" a="1"/>
  <c r="BX2" i="72" s="1"/>
  <c r="BW2" i="72" a="1"/>
  <c r="BW2" i="72" s="1"/>
  <c r="BV2" i="72" a="1"/>
  <c r="BV2" i="72" s="1"/>
  <c r="BT2" i="72" a="1"/>
  <c r="BT2" i="72" s="1"/>
  <c r="BF2" i="72" a="1"/>
  <c r="BF2" i="72" s="1"/>
  <c r="BE2" i="72" a="1"/>
  <c r="BE2" i="72" s="1"/>
  <c r="BD2" i="72" a="1"/>
  <c r="BD2" i="72" s="1"/>
  <c r="BI2" i="72" a="1"/>
  <c r="BI2" i="72" s="1"/>
  <c r="BA2" i="72" a="1"/>
  <c r="BA2" i="72" s="1"/>
  <c r="AY2" i="72" a="1"/>
  <c r="AY2" i="72" s="1"/>
  <c r="AW2" i="72" a="1"/>
  <c r="AW2" i="72" s="1"/>
  <c r="AV2" i="72" a="1"/>
  <c r="AV2" i="72" s="1"/>
  <c r="AU2" i="72" a="1"/>
  <c r="AU2" i="72" s="1"/>
  <c r="AT2" i="72" a="1"/>
  <c r="AT2" i="72" s="1"/>
  <c r="BO2" i="72" a="1"/>
  <c r="BO2" i="72" s="1"/>
  <c r="AQ2" i="72" a="1"/>
  <c r="AQ2" i="72" s="1"/>
  <c r="AO2" i="72" a="1"/>
  <c r="AO2" i="72" s="1"/>
  <c r="AM2" i="72" a="1"/>
  <c r="AM2" i="72" s="1"/>
  <c r="AL2" i="72" a="1"/>
  <c r="AL2" i="72" s="1"/>
  <c r="AI2" i="72" a="1"/>
  <c r="AI2" i="72" s="1"/>
  <c r="AH2" i="72" a="1"/>
  <c r="AH2" i="72" s="1"/>
  <c r="AG2" i="72" a="1"/>
  <c r="AG2" i="72" s="1"/>
  <c r="CP1" i="72"/>
  <c r="CO1" i="72"/>
  <c r="CN1" i="72"/>
  <c r="CM1" i="72"/>
  <c r="CL1" i="72"/>
  <c r="CK1" i="72"/>
  <c r="CJ1" i="72"/>
  <c r="CI1" i="72"/>
  <c r="CH1" i="72"/>
  <c r="CG1" i="72"/>
  <c r="CF1" i="72"/>
  <c r="CE1" i="72"/>
  <c r="CD1" i="72"/>
  <c r="CC1" i="72"/>
  <c r="BX1" i="72"/>
  <c r="BW1" i="72"/>
  <c r="BV1" i="72"/>
  <c r="BT1" i="72"/>
  <c r="BF1" i="72"/>
  <c r="BE1" i="72"/>
  <c r="BD1" i="72"/>
  <c r="BI1" i="72"/>
  <c r="BA1" i="72"/>
  <c r="AY1" i="72"/>
  <c r="AW1" i="72"/>
  <c r="AV1" i="72"/>
  <c r="AU1" i="72"/>
  <c r="AT1" i="72"/>
  <c r="BO1" i="72"/>
  <c r="AQ1" i="72"/>
  <c r="AO1" i="72"/>
  <c r="AM1" i="72"/>
  <c r="AL1" i="72"/>
  <c r="AI1" i="72"/>
  <c r="AH1" i="72"/>
  <c r="AG1" i="72"/>
  <c r="AF129" i="71" a="1"/>
  <c r="AF129" i="71" s="1"/>
  <c r="AE129" i="71" a="1"/>
  <c r="AE129" i="71" s="1"/>
  <c r="AD129" i="71" a="1"/>
  <c r="AD129" i="71" s="1"/>
  <c r="T129" i="71"/>
  <c r="R129" i="71"/>
  <c r="N129" i="71"/>
  <c r="M129" i="71"/>
  <c r="L129" i="71"/>
  <c r="F129" i="71"/>
  <c r="D129" i="71"/>
  <c r="AF128" i="71" a="1"/>
  <c r="AF128" i="71" s="1"/>
  <c r="AE128" i="71" a="1"/>
  <c r="AE128" i="71" s="1"/>
  <c r="AD128" i="71" a="1"/>
  <c r="AD128" i="71" s="1"/>
  <c r="T128" i="71"/>
  <c r="R128" i="71"/>
  <c r="N128" i="71"/>
  <c r="M128" i="71"/>
  <c r="L128" i="71"/>
  <c r="F128" i="71"/>
  <c r="D128" i="71"/>
  <c r="AF127" i="71" a="1"/>
  <c r="AF127" i="71" s="1"/>
  <c r="AE127" i="71" a="1"/>
  <c r="AE127" i="71" s="1"/>
  <c r="AD127" i="71" a="1"/>
  <c r="AD127" i="71" s="1"/>
  <c r="T127" i="71"/>
  <c r="R127" i="71"/>
  <c r="N127" i="71"/>
  <c r="M127" i="71"/>
  <c r="L127" i="71"/>
  <c r="F127" i="71"/>
  <c r="D127" i="71"/>
  <c r="AF126" i="71" a="1"/>
  <c r="AF126" i="71" s="1"/>
  <c r="AE126" i="71" a="1"/>
  <c r="AE126" i="71" s="1"/>
  <c r="AD126" i="71" a="1"/>
  <c r="AD126" i="71" s="1"/>
  <c r="T126" i="71"/>
  <c r="R126" i="71"/>
  <c r="N126" i="71"/>
  <c r="M126" i="71"/>
  <c r="L126" i="71"/>
  <c r="F126" i="71"/>
  <c r="D126" i="71"/>
  <c r="AF125" i="71" a="1"/>
  <c r="AF125" i="71" s="1"/>
  <c r="AE125" i="71" a="1"/>
  <c r="AE125" i="71" s="1"/>
  <c r="AD125" i="71" a="1"/>
  <c r="AD125" i="71" s="1"/>
  <c r="T125" i="71"/>
  <c r="R125" i="71"/>
  <c r="N125" i="71"/>
  <c r="M125" i="71"/>
  <c r="L125" i="71"/>
  <c r="F125" i="71"/>
  <c r="D125" i="71"/>
  <c r="AF124" i="71" a="1"/>
  <c r="AF124" i="71" s="1"/>
  <c r="AE124" i="71" a="1"/>
  <c r="AE124" i="71" s="1"/>
  <c r="AD124" i="71" a="1"/>
  <c r="AD124" i="71" s="1"/>
  <c r="T124" i="71"/>
  <c r="R124" i="71"/>
  <c r="N124" i="71"/>
  <c r="M124" i="71"/>
  <c r="L124" i="71"/>
  <c r="F124" i="71"/>
  <c r="D124" i="71"/>
  <c r="AF123" i="71" a="1"/>
  <c r="AF123" i="71" s="1"/>
  <c r="AE123" i="71" a="1"/>
  <c r="AE123" i="71" s="1"/>
  <c r="AD123" i="71" a="1"/>
  <c r="AD123" i="71" s="1"/>
  <c r="T123" i="71"/>
  <c r="R123" i="71"/>
  <c r="N123" i="71"/>
  <c r="M123" i="71"/>
  <c r="L123" i="71"/>
  <c r="F123" i="71"/>
  <c r="D123" i="71"/>
  <c r="AF122" i="71" a="1"/>
  <c r="AF122" i="71" s="1"/>
  <c r="AE122" i="71" a="1"/>
  <c r="AE122" i="71" s="1"/>
  <c r="AD122" i="71" a="1"/>
  <c r="AD122" i="71" s="1"/>
  <c r="T122" i="71"/>
  <c r="R122" i="71"/>
  <c r="N122" i="71"/>
  <c r="M122" i="71"/>
  <c r="L122" i="71"/>
  <c r="F122" i="71"/>
  <c r="D122" i="71"/>
  <c r="AF121" i="71" a="1"/>
  <c r="AF121" i="71" s="1"/>
  <c r="AE121" i="71" a="1"/>
  <c r="AE121" i="71" s="1"/>
  <c r="AD121" i="71" a="1"/>
  <c r="AD121" i="71" s="1"/>
  <c r="T121" i="71"/>
  <c r="R121" i="71"/>
  <c r="N121" i="71"/>
  <c r="M121" i="71"/>
  <c r="L121" i="71"/>
  <c r="F121" i="71"/>
  <c r="D121" i="71"/>
  <c r="AF120" i="71" a="1"/>
  <c r="AF120" i="71" s="1"/>
  <c r="AE120" i="71" a="1"/>
  <c r="AE120" i="71" s="1"/>
  <c r="AD120" i="71" a="1"/>
  <c r="AD120" i="71" s="1"/>
  <c r="T120" i="71"/>
  <c r="R120" i="71"/>
  <c r="N120" i="71"/>
  <c r="M120" i="71"/>
  <c r="L120" i="71"/>
  <c r="F120" i="71"/>
  <c r="D120" i="71"/>
  <c r="AF119" i="71" a="1"/>
  <c r="AF119" i="71" s="1"/>
  <c r="AE119" i="71" a="1"/>
  <c r="AE119" i="71" s="1"/>
  <c r="AD119" i="71" a="1"/>
  <c r="AD119" i="71" s="1"/>
  <c r="T119" i="71"/>
  <c r="R119" i="71"/>
  <c r="N119" i="71"/>
  <c r="M119" i="71"/>
  <c r="L119" i="71"/>
  <c r="F119" i="71"/>
  <c r="D119" i="71"/>
  <c r="AF118" i="71" a="1"/>
  <c r="AF118" i="71" s="1"/>
  <c r="AE118" i="71" a="1"/>
  <c r="AE118" i="71" s="1"/>
  <c r="AD118" i="71" a="1"/>
  <c r="AD118" i="71" s="1"/>
  <c r="T118" i="71"/>
  <c r="R118" i="71"/>
  <c r="N118" i="71"/>
  <c r="M118" i="71"/>
  <c r="L118" i="71"/>
  <c r="F118" i="71"/>
  <c r="D118" i="71"/>
  <c r="AF117" i="71" a="1"/>
  <c r="AF117" i="71" s="1"/>
  <c r="AE117" i="71" a="1"/>
  <c r="AE117" i="71" s="1"/>
  <c r="AD117" i="71" a="1"/>
  <c r="AD117" i="71" s="1"/>
  <c r="T117" i="71"/>
  <c r="R117" i="71"/>
  <c r="N117" i="71"/>
  <c r="M117" i="71"/>
  <c r="L117" i="71"/>
  <c r="F117" i="71"/>
  <c r="D117" i="71"/>
  <c r="AF116" i="71" a="1"/>
  <c r="AF116" i="71" s="1"/>
  <c r="AE116" i="71" a="1"/>
  <c r="AE116" i="71" s="1"/>
  <c r="AD116" i="71" a="1"/>
  <c r="AD116" i="71" s="1"/>
  <c r="T116" i="71"/>
  <c r="R116" i="71"/>
  <c r="N116" i="71"/>
  <c r="M116" i="71"/>
  <c r="L116" i="71"/>
  <c r="F116" i="71"/>
  <c r="D116" i="71"/>
  <c r="AF115" i="71" a="1"/>
  <c r="AF115" i="71" s="1"/>
  <c r="AE115" i="71" a="1"/>
  <c r="AE115" i="71" s="1"/>
  <c r="AD115" i="71" a="1"/>
  <c r="AD115" i="71" s="1"/>
  <c r="T115" i="71"/>
  <c r="R115" i="71"/>
  <c r="N115" i="71"/>
  <c r="M115" i="71"/>
  <c r="L115" i="71"/>
  <c r="F115" i="71"/>
  <c r="D115" i="71"/>
  <c r="AF114" i="71" a="1"/>
  <c r="AF114" i="71" s="1"/>
  <c r="AE114" i="71" a="1"/>
  <c r="AE114" i="71" s="1"/>
  <c r="AD114" i="71" a="1"/>
  <c r="AD114" i="71" s="1"/>
  <c r="T114" i="71"/>
  <c r="R114" i="71"/>
  <c r="N114" i="71"/>
  <c r="M114" i="71"/>
  <c r="L114" i="71"/>
  <c r="F114" i="71"/>
  <c r="D114" i="71"/>
  <c r="AF113" i="71" a="1"/>
  <c r="AF113" i="71" s="1"/>
  <c r="AE113" i="71" a="1"/>
  <c r="AE113" i="71" s="1"/>
  <c r="AD113" i="71" a="1"/>
  <c r="AD113" i="71" s="1"/>
  <c r="T113" i="71"/>
  <c r="R113" i="71"/>
  <c r="N113" i="71"/>
  <c r="M113" i="71"/>
  <c r="L113" i="71"/>
  <c r="F113" i="71"/>
  <c r="D113" i="71"/>
  <c r="AF112" i="71" a="1"/>
  <c r="AF112" i="71" s="1"/>
  <c r="AE112" i="71" a="1"/>
  <c r="AE112" i="71" s="1"/>
  <c r="AD112" i="71" a="1"/>
  <c r="AD112" i="71" s="1"/>
  <c r="T112" i="71"/>
  <c r="R112" i="71"/>
  <c r="N112" i="71"/>
  <c r="M112" i="71"/>
  <c r="L112" i="71"/>
  <c r="F112" i="71"/>
  <c r="D112" i="71"/>
  <c r="AF111" i="71" a="1"/>
  <c r="AF111" i="71" s="1"/>
  <c r="AE111" i="71" a="1"/>
  <c r="AE111" i="71" s="1"/>
  <c r="AD111" i="71" a="1"/>
  <c r="AD111" i="71" s="1"/>
  <c r="T111" i="71"/>
  <c r="R111" i="71"/>
  <c r="N111" i="71"/>
  <c r="M111" i="71"/>
  <c r="L111" i="71"/>
  <c r="F111" i="71"/>
  <c r="D111" i="71"/>
  <c r="AF110" i="71" a="1"/>
  <c r="AF110" i="71" s="1"/>
  <c r="AE110" i="71" a="1"/>
  <c r="AE110" i="71" s="1"/>
  <c r="AD110" i="71" a="1"/>
  <c r="AD110" i="71" s="1"/>
  <c r="T110" i="71"/>
  <c r="R110" i="71"/>
  <c r="N110" i="71"/>
  <c r="M110" i="71"/>
  <c r="L110" i="71"/>
  <c r="F110" i="71"/>
  <c r="D110" i="71"/>
  <c r="AF109" i="71" a="1"/>
  <c r="AF109" i="71" s="1"/>
  <c r="AE109" i="71" a="1"/>
  <c r="AE109" i="71" s="1"/>
  <c r="AD109" i="71" a="1"/>
  <c r="AD109" i="71" s="1"/>
  <c r="T109" i="71"/>
  <c r="R109" i="71"/>
  <c r="N109" i="71"/>
  <c r="M109" i="71"/>
  <c r="L109" i="71"/>
  <c r="F109" i="71"/>
  <c r="D109" i="71"/>
  <c r="AF108" i="71" a="1"/>
  <c r="AF108" i="71" s="1"/>
  <c r="AE108" i="71" a="1"/>
  <c r="AE108" i="71" s="1"/>
  <c r="AD108" i="71" a="1"/>
  <c r="AD108" i="71" s="1"/>
  <c r="T108" i="71"/>
  <c r="R108" i="71"/>
  <c r="N108" i="71"/>
  <c r="M108" i="71"/>
  <c r="L108" i="71"/>
  <c r="F108" i="71"/>
  <c r="D108" i="71"/>
  <c r="AF107" i="71" a="1"/>
  <c r="AF107" i="71" s="1"/>
  <c r="AE107" i="71" a="1"/>
  <c r="AE107" i="71" s="1"/>
  <c r="AD107" i="71" a="1"/>
  <c r="AD107" i="71" s="1"/>
  <c r="T107" i="71"/>
  <c r="R107" i="71"/>
  <c r="N107" i="71"/>
  <c r="M107" i="71"/>
  <c r="L107" i="71"/>
  <c r="F107" i="71"/>
  <c r="D107" i="71"/>
  <c r="AF106" i="71" a="1"/>
  <c r="AF106" i="71" s="1"/>
  <c r="AE106" i="71" a="1"/>
  <c r="AE106" i="71" s="1"/>
  <c r="AD106" i="71" a="1"/>
  <c r="AD106" i="71" s="1"/>
  <c r="T106" i="71"/>
  <c r="R106" i="71"/>
  <c r="N106" i="71"/>
  <c r="M106" i="71"/>
  <c r="L106" i="71"/>
  <c r="F106" i="71"/>
  <c r="D106" i="71"/>
  <c r="AF105" i="71" a="1"/>
  <c r="AF105" i="71" s="1"/>
  <c r="AE105" i="71" a="1"/>
  <c r="AE105" i="71" s="1"/>
  <c r="AD105" i="71" a="1"/>
  <c r="AD105" i="71" s="1"/>
  <c r="T105" i="71"/>
  <c r="R105" i="71"/>
  <c r="N105" i="71"/>
  <c r="M105" i="71"/>
  <c r="L105" i="71"/>
  <c r="F105" i="71"/>
  <c r="D105" i="71"/>
  <c r="AF104" i="71" a="1"/>
  <c r="AF104" i="71" s="1"/>
  <c r="AE104" i="71" a="1"/>
  <c r="AE104" i="71" s="1"/>
  <c r="AD104" i="71" a="1"/>
  <c r="AD104" i="71" s="1"/>
  <c r="T104" i="71"/>
  <c r="R104" i="71"/>
  <c r="N104" i="71"/>
  <c r="M104" i="71"/>
  <c r="L104" i="71"/>
  <c r="F104" i="71"/>
  <c r="D104" i="71"/>
  <c r="AF103" i="71" a="1"/>
  <c r="AF103" i="71" s="1"/>
  <c r="AE103" i="71" a="1"/>
  <c r="AE103" i="71" s="1"/>
  <c r="AD103" i="71" a="1"/>
  <c r="AD103" i="71" s="1"/>
  <c r="T103" i="71"/>
  <c r="R103" i="71"/>
  <c r="N103" i="71"/>
  <c r="M103" i="71"/>
  <c r="L103" i="71"/>
  <c r="F103" i="71"/>
  <c r="D103" i="71"/>
  <c r="AF102" i="71" a="1"/>
  <c r="AF102" i="71" s="1"/>
  <c r="AE102" i="71" a="1"/>
  <c r="AE102" i="71" s="1"/>
  <c r="AD102" i="71" a="1"/>
  <c r="AD102" i="71" s="1"/>
  <c r="T102" i="71"/>
  <c r="R102" i="71"/>
  <c r="N102" i="71"/>
  <c r="M102" i="71"/>
  <c r="L102" i="71"/>
  <c r="F102" i="71"/>
  <c r="D102" i="71"/>
  <c r="AF101" i="71" a="1"/>
  <c r="AF101" i="71" s="1"/>
  <c r="AE101" i="71" a="1"/>
  <c r="AE101" i="71" s="1"/>
  <c r="AD101" i="71" a="1"/>
  <c r="AD101" i="71" s="1"/>
  <c r="T101" i="71"/>
  <c r="R101" i="71"/>
  <c r="N101" i="71"/>
  <c r="M101" i="71"/>
  <c r="L101" i="71"/>
  <c r="F101" i="71"/>
  <c r="D101" i="71"/>
  <c r="AF100" i="71" a="1"/>
  <c r="AF100" i="71" s="1"/>
  <c r="AE100" i="71" a="1"/>
  <c r="AE100" i="71" s="1"/>
  <c r="AD100" i="71" a="1"/>
  <c r="AD100" i="71" s="1"/>
  <c r="T100" i="71"/>
  <c r="R100" i="71"/>
  <c r="N100" i="71"/>
  <c r="M100" i="71"/>
  <c r="L100" i="71"/>
  <c r="F100" i="71"/>
  <c r="D100" i="71"/>
  <c r="AF99" i="71" a="1"/>
  <c r="AF99" i="71" s="1"/>
  <c r="AE99" i="71" a="1"/>
  <c r="AE99" i="71" s="1"/>
  <c r="AD99" i="71" a="1"/>
  <c r="AD99" i="71" s="1"/>
  <c r="T99" i="71"/>
  <c r="R99" i="71"/>
  <c r="N99" i="71"/>
  <c r="M99" i="71"/>
  <c r="L99" i="71"/>
  <c r="F99" i="71"/>
  <c r="D99" i="71"/>
  <c r="AF98" i="71" a="1"/>
  <c r="AF98" i="71" s="1"/>
  <c r="AE98" i="71" a="1"/>
  <c r="AE98" i="71" s="1"/>
  <c r="AD98" i="71" a="1"/>
  <c r="AD98" i="71" s="1"/>
  <c r="T98" i="71"/>
  <c r="R98" i="71"/>
  <c r="N98" i="71"/>
  <c r="M98" i="71"/>
  <c r="L98" i="71"/>
  <c r="F98" i="71"/>
  <c r="D98" i="71"/>
  <c r="AF97" i="71" a="1"/>
  <c r="AF97" i="71" s="1"/>
  <c r="AE97" i="71" a="1"/>
  <c r="AE97" i="71" s="1"/>
  <c r="AD97" i="71" a="1"/>
  <c r="AD97" i="71" s="1"/>
  <c r="T97" i="71"/>
  <c r="R97" i="71"/>
  <c r="N97" i="71"/>
  <c r="M97" i="71"/>
  <c r="L97" i="71"/>
  <c r="F97" i="71"/>
  <c r="D97" i="71"/>
  <c r="AF96" i="71" a="1"/>
  <c r="AF96" i="71" s="1"/>
  <c r="AE96" i="71" a="1"/>
  <c r="AE96" i="71" s="1"/>
  <c r="AD96" i="71" a="1"/>
  <c r="AD96" i="71" s="1"/>
  <c r="T96" i="71"/>
  <c r="R96" i="71"/>
  <c r="N96" i="71"/>
  <c r="M96" i="71"/>
  <c r="L96" i="71"/>
  <c r="F96" i="71"/>
  <c r="D96" i="71"/>
  <c r="AF95" i="71" a="1"/>
  <c r="AF95" i="71" s="1"/>
  <c r="AE95" i="71" a="1"/>
  <c r="AE95" i="71" s="1"/>
  <c r="AD95" i="71" a="1"/>
  <c r="AD95" i="71" s="1"/>
  <c r="T95" i="71"/>
  <c r="R95" i="71"/>
  <c r="N95" i="71"/>
  <c r="M95" i="71"/>
  <c r="L95" i="71"/>
  <c r="F95" i="71"/>
  <c r="D95" i="71"/>
  <c r="AF94" i="71" a="1"/>
  <c r="AF94" i="71" s="1"/>
  <c r="AE94" i="71" a="1"/>
  <c r="AE94" i="71" s="1"/>
  <c r="AD94" i="71" a="1"/>
  <c r="AD94" i="71" s="1"/>
  <c r="T94" i="71"/>
  <c r="R94" i="71"/>
  <c r="N94" i="71"/>
  <c r="M94" i="71"/>
  <c r="L94" i="71"/>
  <c r="F94" i="71"/>
  <c r="D94" i="71"/>
  <c r="AF93" i="71" a="1"/>
  <c r="AF93" i="71" s="1"/>
  <c r="AE93" i="71" a="1"/>
  <c r="AE93" i="71" s="1"/>
  <c r="AD93" i="71" a="1"/>
  <c r="AD93" i="71" s="1"/>
  <c r="T93" i="71"/>
  <c r="R93" i="71"/>
  <c r="N93" i="71"/>
  <c r="M93" i="71"/>
  <c r="L93" i="71"/>
  <c r="F93" i="71"/>
  <c r="D93" i="71"/>
  <c r="AF92" i="71" a="1"/>
  <c r="AF92" i="71" s="1"/>
  <c r="AE92" i="71" a="1"/>
  <c r="AE92" i="71" s="1"/>
  <c r="AD92" i="71" a="1"/>
  <c r="AD92" i="71" s="1"/>
  <c r="T92" i="71"/>
  <c r="R92" i="71"/>
  <c r="N92" i="71"/>
  <c r="M92" i="71"/>
  <c r="L92" i="71"/>
  <c r="F92" i="71"/>
  <c r="D92" i="71"/>
  <c r="AF91" i="71" a="1"/>
  <c r="AF91" i="71" s="1"/>
  <c r="AE91" i="71" a="1"/>
  <c r="AE91" i="71" s="1"/>
  <c r="AD91" i="71" a="1"/>
  <c r="AD91" i="71" s="1"/>
  <c r="T91" i="71"/>
  <c r="R91" i="71"/>
  <c r="N91" i="71"/>
  <c r="M91" i="71"/>
  <c r="L91" i="71"/>
  <c r="F91" i="71"/>
  <c r="D91" i="71"/>
  <c r="AF90" i="71" a="1"/>
  <c r="AF90" i="71" s="1"/>
  <c r="AE90" i="71" a="1"/>
  <c r="AE90" i="71" s="1"/>
  <c r="AD90" i="71" a="1"/>
  <c r="AD90" i="71" s="1"/>
  <c r="T90" i="71"/>
  <c r="R90" i="71"/>
  <c r="N90" i="71"/>
  <c r="M90" i="71"/>
  <c r="L90" i="71"/>
  <c r="F90" i="71"/>
  <c r="D90" i="71"/>
  <c r="AF89" i="71" a="1"/>
  <c r="AF89" i="71" s="1"/>
  <c r="AE89" i="71" a="1"/>
  <c r="AE89" i="71" s="1"/>
  <c r="AD89" i="71" a="1"/>
  <c r="AD89" i="71" s="1"/>
  <c r="T89" i="71"/>
  <c r="R89" i="71"/>
  <c r="N89" i="71"/>
  <c r="M89" i="71"/>
  <c r="L89" i="71"/>
  <c r="F89" i="71"/>
  <c r="D89" i="71"/>
  <c r="AF88" i="71" a="1"/>
  <c r="AF88" i="71" s="1"/>
  <c r="AE88" i="71" a="1"/>
  <c r="AE88" i="71" s="1"/>
  <c r="AD88" i="71" a="1"/>
  <c r="AD88" i="71" s="1"/>
  <c r="T88" i="71"/>
  <c r="R88" i="71"/>
  <c r="N88" i="71"/>
  <c r="M88" i="71"/>
  <c r="L88" i="71"/>
  <c r="F88" i="71"/>
  <c r="D88" i="71"/>
  <c r="AF87" i="71" a="1"/>
  <c r="AF87" i="71" s="1"/>
  <c r="AE87" i="71" a="1"/>
  <c r="AE87" i="71" s="1"/>
  <c r="AD87" i="71" a="1"/>
  <c r="AD87" i="71" s="1"/>
  <c r="T87" i="71"/>
  <c r="R87" i="71"/>
  <c r="N87" i="71"/>
  <c r="M87" i="71"/>
  <c r="L87" i="71"/>
  <c r="F87" i="71"/>
  <c r="D87" i="71"/>
  <c r="AF86" i="71" a="1"/>
  <c r="AF86" i="71" s="1"/>
  <c r="AE86" i="71" a="1"/>
  <c r="AE86" i="71" s="1"/>
  <c r="AD86" i="71" a="1"/>
  <c r="AD86" i="71" s="1"/>
  <c r="T86" i="71"/>
  <c r="R86" i="71"/>
  <c r="N86" i="71"/>
  <c r="M86" i="71"/>
  <c r="L86" i="71"/>
  <c r="F86" i="71"/>
  <c r="D86" i="71"/>
  <c r="AF85" i="71" a="1"/>
  <c r="AF85" i="71" s="1"/>
  <c r="AE85" i="71" a="1"/>
  <c r="AE85" i="71" s="1"/>
  <c r="AD85" i="71" a="1"/>
  <c r="AD85" i="71" s="1"/>
  <c r="T85" i="71"/>
  <c r="R85" i="71"/>
  <c r="N85" i="71"/>
  <c r="M85" i="71"/>
  <c r="L85" i="71"/>
  <c r="F85" i="71"/>
  <c r="D85" i="71"/>
  <c r="AF84" i="71" a="1"/>
  <c r="AF84" i="71" s="1"/>
  <c r="AE84" i="71" a="1"/>
  <c r="AE84" i="71" s="1"/>
  <c r="AD84" i="71" a="1"/>
  <c r="AD84" i="71" s="1"/>
  <c r="T84" i="71"/>
  <c r="R84" i="71"/>
  <c r="N84" i="71"/>
  <c r="M84" i="71"/>
  <c r="L84" i="71"/>
  <c r="F84" i="71"/>
  <c r="D84" i="71"/>
  <c r="AF83" i="71" a="1"/>
  <c r="AF83" i="71" s="1"/>
  <c r="AE83" i="71" a="1"/>
  <c r="AE83" i="71" s="1"/>
  <c r="AD83" i="71" a="1"/>
  <c r="AD83" i="71" s="1"/>
  <c r="T83" i="71"/>
  <c r="R83" i="71"/>
  <c r="N83" i="71"/>
  <c r="M83" i="71"/>
  <c r="L83" i="71"/>
  <c r="F83" i="71"/>
  <c r="D83" i="71"/>
  <c r="AF82" i="71" a="1"/>
  <c r="AF82" i="71" s="1"/>
  <c r="AE82" i="71" a="1"/>
  <c r="AE82" i="71" s="1"/>
  <c r="AD82" i="71" a="1"/>
  <c r="AD82" i="71" s="1"/>
  <c r="T82" i="71"/>
  <c r="R82" i="71"/>
  <c r="N82" i="71"/>
  <c r="M82" i="71"/>
  <c r="L82" i="71"/>
  <c r="F82" i="71"/>
  <c r="D82" i="71"/>
  <c r="AF81" i="71" a="1"/>
  <c r="AF81" i="71" s="1"/>
  <c r="AE81" i="71" a="1"/>
  <c r="AE81" i="71" s="1"/>
  <c r="AD81" i="71" a="1"/>
  <c r="AD81" i="71" s="1"/>
  <c r="T81" i="71"/>
  <c r="R81" i="71"/>
  <c r="N81" i="71"/>
  <c r="M81" i="71"/>
  <c r="L81" i="71"/>
  <c r="F81" i="71"/>
  <c r="D81" i="71"/>
  <c r="AF80" i="71" a="1"/>
  <c r="AF80" i="71" s="1"/>
  <c r="AE80" i="71" a="1"/>
  <c r="AE80" i="71" s="1"/>
  <c r="AD80" i="71" a="1"/>
  <c r="AD80" i="71" s="1"/>
  <c r="T80" i="71"/>
  <c r="R80" i="71"/>
  <c r="N80" i="71"/>
  <c r="M80" i="71"/>
  <c r="L80" i="71"/>
  <c r="F80" i="71"/>
  <c r="D80" i="71"/>
  <c r="AF79" i="71" a="1"/>
  <c r="AF79" i="71" s="1"/>
  <c r="AE79" i="71" a="1"/>
  <c r="AE79" i="71" s="1"/>
  <c r="AD79" i="71" a="1"/>
  <c r="AD79" i="71" s="1"/>
  <c r="T79" i="71"/>
  <c r="R79" i="71"/>
  <c r="N79" i="71"/>
  <c r="M79" i="71"/>
  <c r="L79" i="71"/>
  <c r="F79" i="71"/>
  <c r="D79" i="71"/>
  <c r="AF78" i="71" a="1"/>
  <c r="AF78" i="71" s="1"/>
  <c r="AE78" i="71" a="1"/>
  <c r="AE78" i="71" s="1"/>
  <c r="AD78" i="71" a="1"/>
  <c r="AD78" i="71" s="1"/>
  <c r="T78" i="71"/>
  <c r="R78" i="71"/>
  <c r="N78" i="71"/>
  <c r="M78" i="71"/>
  <c r="L78" i="71"/>
  <c r="F78" i="71"/>
  <c r="D78" i="71"/>
  <c r="AF77" i="71" a="1"/>
  <c r="AF77" i="71" s="1"/>
  <c r="AE77" i="71" a="1"/>
  <c r="AE77" i="71" s="1"/>
  <c r="AD77" i="71" a="1"/>
  <c r="AD77" i="71" s="1"/>
  <c r="T77" i="71"/>
  <c r="R77" i="71"/>
  <c r="N77" i="71"/>
  <c r="M77" i="71"/>
  <c r="L77" i="71"/>
  <c r="F77" i="71"/>
  <c r="D77" i="71"/>
  <c r="AF76" i="71" a="1"/>
  <c r="AF76" i="71" s="1"/>
  <c r="AE76" i="71" a="1"/>
  <c r="AE76" i="71" s="1"/>
  <c r="AD76" i="71" a="1"/>
  <c r="AD76" i="71" s="1"/>
  <c r="T76" i="71"/>
  <c r="R76" i="71"/>
  <c r="N76" i="71"/>
  <c r="M76" i="71"/>
  <c r="L76" i="71"/>
  <c r="F76" i="71"/>
  <c r="D76" i="71"/>
  <c r="AF75" i="71" a="1"/>
  <c r="AF75" i="71" s="1"/>
  <c r="AE75" i="71" a="1"/>
  <c r="AE75" i="71" s="1"/>
  <c r="AD75" i="71" a="1"/>
  <c r="AD75" i="71" s="1"/>
  <c r="T75" i="71"/>
  <c r="R75" i="71"/>
  <c r="N75" i="71"/>
  <c r="M75" i="71"/>
  <c r="L75" i="71"/>
  <c r="F75" i="71"/>
  <c r="D75" i="71"/>
  <c r="AF74" i="71" a="1"/>
  <c r="AF74" i="71" s="1"/>
  <c r="AE74" i="71" a="1"/>
  <c r="AE74" i="71" s="1"/>
  <c r="AD74" i="71" a="1"/>
  <c r="AD74" i="71" s="1"/>
  <c r="T74" i="71"/>
  <c r="R74" i="71"/>
  <c r="N74" i="71"/>
  <c r="M74" i="71"/>
  <c r="L74" i="71"/>
  <c r="F74" i="71"/>
  <c r="D74" i="71"/>
  <c r="AF73" i="71" a="1"/>
  <c r="AF73" i="71" s="1"/>
  <c r="AE73" i="71" a="1"/>
  <c r="AE73" i="71" s="1"/>
  <c r="AD73" i="71" a="1"/>
  <c r="AD73" i="71" s="1"/>
  <c r="T73" i="71"/>
  <c r="R73" i="71"/>
  <c r="N73" i="71"/>
  <c r="M73" i="71"/>
  <c r="L73" i="71"/>
  <c r="F73" i="71"/>
  <c r="D73" i="71"/>
  <c r="AF72" i="71" a="1"/>
  <c r="AF72" i="71" s="1"/>
  <c r="AE72" i="71" a="1"/>
  <c r="AE72" i="71" s="1"/>
  <c r="AD72" i="71" a="1"/>
  <c r="AD72" i="71" s="1"/>
  <c r="T72" i="71"/>
  <c r="R72" i="71"/>
  <c r="N72" i="71"/>
  <c r="M72" i="71"/>
  <c r="L72" i="71"/>
  <c r="F72" i="71"/>
  <c r="D72" i="71"/>
  <c r="AF68" i="71" a="1"/>
  <c r="AF68" i="71" s="1"/>
  <c r="AE68" i="71" a="1"/>
  <c r="AE68" i="71" s="1"/>
  <c r="AD68" i="71" a="1"/>
  <c r="AD68" i="71" s="1"/>
  <c r="T68" i="71"/>
  <c r="AF67" i="71" a="1"/>
  <c r="AF67" i="71" s="1"/>
  <c r="AE67" i="71" a="1"/>
  <c r="AE67" i="71" s="1"/>
  <c r="AD67" i="71" a="1"/>
  <c r="AD67" i="71" s="1"/>
  <c r="T67" i="71"/>
  <c r="AF66" i="71" a="1"/>
  <c r="AF66" i="71" s="1"/>
  <c r="AE66" i="71" a="1"/>
  <c r="AE66" i="71" s="1"/>
  <c r="AD66" i="71" a="1"/>
  <c r="AD66" i="71" s="1"/>
  <c r="T66" i="71"/>
  <c r="AF65" i="71" a="1"/>
  <c r="AF65" i="71" s="1"/>
  <c r="AE65" i="71" a="1"/>
  <c r="AE65" i="71" s="1"/>
  <c r="AD65" i="71" a="1"/>
  <c r="AD65" i="71" s="1"/>
  <c r="T65" i="71"/>
  <c r="M65" i="71"/>
  <c r="N65" i="71" s="1"/>
  <c r="L65" i="71"/>
  <c r="AF64" i="71" a="1"/>
  <c r="AF64" i="71" s="1"/>
  <c r="AE64" i="71" a="1"/>
  <c r="AE64" i="71" s="1"/>
  <c r="AD64" i="71" a="1"/>
  <c r="AD64" i="71" s="1"/>
  <c r="T64" i="71"/>
  <c r="M64" i="71"/>
  <c r="N64" i="71" s="1"/>
  <c r="L64" i="71"/>
  <c r="AF63" i="71" a="1"/>
  <c r="AF63" i="71" s="1"/>
  <c r="AE63" i="71" a="1"/>
  <c r="AE63" i="71" s="1"/>
  <c r="AD63" i="71" a="1"/>
  <c r="AD63" i="71" s="1"/>
  <c r="T63" i="71"/>
  <c r="M63" i="71"/>
  <c r="N63" i="71" s="1"/>
  <c r="L63" i="71"/>
  <c r="AF62" i="71" a="1"/>
  <c r="AF62" i="71" s="1"/>
  <c r="AE62" i="71" a="1"/>
  <c r="AE62" i="71" s="1"/>
  <c r="AD62" i="71" a="1"/>
  <c r="AD62" i="71" s="1"/>
  <c r="T62" i="71"/>
  <c r="M62" i="71"/>
  <c r="N62" i="71" s="1"/>
  <c r="L62" i="71"/>
  <c r="AF61" i="71" a="1"/>
  <c r="AF61" i="71" s="1"/>
  <c r="AE61" i="71" a="1"/>
  <c r="AE61" i="71" s="1"/>
  <c r="AD61" i="71" a="1"/>
  <c r="AD61" i="71" s="1"/>
  <c r="T61" i="71"/>
  <c r="M61" i="71"/>
  <c r="N61" i="71" s="1"/>
  <c r="L61" i="71"/>
  <c r="AF60" i="71" a="1"/>
  <c r="AF60" i="71" s="1"/>
  <c r="AE60" i="71" a="1"/>
  <c r="AE60" i="71" s="1"/>
  <c r="AD60" i="71" a="1"/>
  <c r="AD60" i="71" s="1"/>
  <c r="T60" i="71"/>
  <c r="M60" i="71"/>
  <c r="N60" i="71" s="1"/>
  <c r="L60" i="71"/>
  <c r="AF59" i="71" a="1"/>
  <c r="AF59" i="71" s="1"/>
  <c r="AE59" i="71" a="1"/>
  <c r="AE59" i="71" s="1"/>
  <c r="AD59" i="71" a="1"/>
  <c r="AD59" i="71" s="1"/>
  <c r="T59" i="71"/>
  <c r="M59" i="71"/>
  <c r="N59" i="71" s="1"/>
  <c r="L59" i="71"/>
  <c r="AF57" i="71" a="1"/>
  <c r="AF57" i="71" s="1"/>
  <c r="AE57" i="71" a="1"/>
  <c r="AE57" i="71" s="1"/>
  <c r="AD57" i="71" a="1"/>
  <c r="AD57" i="71" s="1"/>
  <c r="U57" i="71"/>
  <c r="V57" i="71" s="1"/>
  <c r="T57" i="71"/>
  <c r="O57" i="71"/>
  <c r="P57" i="71" s="1"/>
  <c r="M57" i="71"/>
  <c r="N57" i="71" s="1"/>
  <c r="L57" i="71"/>
  <c r="AF56" i="71" a="1"/>
  <c r="AF56" i="71" s="1"/>
  <c r="AE56" i="71" a="1"/>
  <c r="AE56" i="71" s="1"/>
  <c r="AD56" i="71" a="1"/>
  <c r="AD56" i="71" s="1"/>
  <c r="U56" i="71"/>
  <c r="V56" i="71" s="1"/>
  <c r="T56" i="71"/>
  <c r="O56" i="71"/>
  <c r="P56" i="71" s="1"/>
  <c r="M56" i="71"/>
  <c r="N56" i="71" s="1"/>
  <c r="L56" i="71"/>
  <c r="AF53" i="71" a="1"/>
  <c r="AF53" i="71" s="1"/>
  <c r="AE53" i="71" a="1"/>
  <c r="AE53" i="71" s="1"/>
  <c r="AD53" i="71" a="1"/>
  <c r="AD53" i="71" s="1"/>
  <c r="U53" i="71"/>
  <c r="V53" i="71" s="1"/>
  <c r="T53" i="71"/>
  <c r="O53" i="71"/>
  <c r="P53" i="71" s="1"/>
  <c r="M53" i="71"/>
  <c r="N53" i="71" s="1"/>
  <c r="L53" i="71"/>
  <c r="AF52" i="71" a="1"/>
  <c r="AF52" i="71" s="1"/>
  <c r="AE52" i="71" a="1"/>
  <c r="AE52" i="71" s="1"/>
  <c r="AD52" i="71" a="1"/>
  <c r="AD52" i="71" s="1"/>
  <c r="V52" i="71"/>
  <c r="U52" i="71"/>
  <c r="T52" i="71"/>
  <c r="O52" i="71"/>
  <c r="P52" i="71" s="1"/>
  <c r="M52" i="71"/>
  <c r="N52" i="71" s="1"/>
  <c r="L52" i="71"/>
  <c r="AF51" i="71" a="1"/>
  <c r="AF51" i="71" s="1"/>
  <c r="AE51" i="71" a="1"/>
  <c r="AE51" i="71" s="1"/>
  <c r="AD51" i="71" a="1"/>
  <c r="AD51" i="71" s="1"/>
  <c r="U51" i="71"/>
  <c r="V51" i="71" s="1"/>
  <c r="T51" i="71"/>
  <c r="O51" i="71"/>
  <c r="P51" i="71" s="1"/>
  <c r="M51" i="71"/>
  <c r="N51" i="71" s="1"/>
  <c r="L51" i="71"/>
  <c r="AF50" i="71" a="1"/>
  <c r="AF50" i="71" s="1"/>
  <c r="AE50" i="71" a="1"/>
  <c r="AE50" i="71" s="1"/>
  <c r="AD50" i="71" a="1"/>
  <c r="AD50" i="71" s="1"/>
  <c r="U50" i="71"/>
  <c r="V50" i="71" s="1"/>
  <c r="T50" i="71"/>
  <c r="O50" i="71"/>
  <c r="P50" i="71" s="1"/>
  <c r="M50" i="71"/>
  <c r="N50" i="71" s="1"/>
  <c r="L50" i="71"/>
  <c r="AF49" i="71" a="1"/>
  <c r="AF49" i="71" s="1"/>
  <c r="AE49" i="71" a="1"/>
  <c r="AE49" i="71" s="1"/>
  <c r="AD49" i="71" a="1"/>
  <c r="AD49" i="71" s="1"/>
  <c r="U49" i="71"/>
  <c r="V49" i="71" s="1"/>
  <c r="T49" i="71"/>
  <c r="O49" i="71"/>
  <c r="P49" i="71" s="1"/>
  <c r="M49" i="71"/>
  <c r="N49" i="71" s="1"/>
  <c r="L49" i="71"/>
  <c r="AF48" i="71" a="1"/>
  <c r="AF48" i="71" s="1"/>
  <c r="AE48" i="71" a="1"/>
  <c r="AE48" i="71" s="1"/>
  <c r="AD48" i="71" a="1"/>
  <c r="AD48" i="71" s="1"/>
  <c r="U48" i="71"/>
  <c r="V48" i="71" s="1"/>
  <c r="T48" i="71"/>
  <c r="O48" i="71"/>
  <c r="P48" i="71" s="1"/>
  <c r="M48" i="71"/>
  <c r="N48" i="71" s="1"/>
  <c r="L48" i="71"/>
  <c r="AF47" i="71" a="1"/>
  <c r="AF47" i="71" s="1"/>
  <c r="AE47" i="71" a="1"/>
  <c r="AE47" i="71" s="1"/>
  <c r="AD47" i="71" a="1"/>
  <c r="AD47" i="71" s="1"/>
  <c r="U47" i="71"/>
  <c r="V47" i="71" s="1"/>
  <c r="T47" i="71"/>
  <c r="O47" i="71"/>
  <c r="P47" i="71" s="1"/>
  <c r="M47" i="71"/>
  <c r="N47" i="71" s="1"/>
  <c r="L47" i="71"/>
  <c r="AF46" i="71" a="1"/>
  <c r="AF46" i="71" s="1"/>
  <c r="AE46" i="71" a="1"/>
  <c r="AE46" i="71" s="1"/>
  <c r="AD46" i="71" a="1"/>
  <c r="AD46" i="71" s="1"/>
  <c r="U46" i="71"/>
  <c r="V46" i="71" s="1"/>
  <c r="T46" i="71"/>
  <c r="O46" i="71"/>
  <c r="P46" i="71" s="1"/>
  <c r="N46" i="71"/>
  <c r="M46" i="71"/>
  <c r="L46" i="71"/>
  <c r="AF45" i="71" a="1"/>
  <c r="AF45" i="71" s="1"/>
  <c r="AE45" i="71" a="1"/>
  <c r="AE45" i="71" s="1"/>
  <c r="AD45" i="71" a="1"/>
  <c r="AD45" i="71" s="1"/>
  <c r="U45" i="71"/>
  <c r="V45" i="71" s="1"/>
  <c r="T45" i="71"/>
  <c r="O45" i="71"/>
  <c r="P45" i="71" s="1"/>
  <c r="M45" i="71"/>
  <c r="N45" i="71" s="1"/>
  <c r="L45" i="71"/>
  <c r="AF44" i="71" a="1"/>
  <c r="AF44" i="71" s="1"/>
  <c r="AE44" i="71" a="1"/>
  <c r="AE44" i="71" s="1"/>
  <c r="AD44" i="71" a="1"/>
  <c r="AD44" i="71" s="1"/>
  <c r="U44" i="71"/>
  <c r="V44" i="71" s="1"/>
  <c r="T44" i="71"/>
  <c r="O44" i="71"/>
  <c r="P44" i="71" s="1"/>
  <c r="M44" i="71"/>
  <c r="N44" i="71" s="1"/>
  <c r="L44" i="71"/>
  <c r="AF43" i="71" a="1"/>
  <c r="AF43" i="71" s="1"/>
  <c r="AE43" i="71" a="1"/>
  <c r="AE43" i="71" s="1"/>
  <c r="AD43" i="71" a="1"/>
  <c r="AD43" i="71" s="1"/>
  <c r="U43" i="71"/>
  <c r="V43" i="71" s="1"/>
  <c r="T43" i="71"/>
  <c r="O43" i="71"/>
  <c r="P43" i="71" s="1"/>
  <c r="M43" i="71"/>
  <c r="N43" i="71" s="1"/>
  <c r="L43" i="71"/>
  <c r="AF41" i="71" a="1"/>
  <c r="AF41" i="71" s="1"/>
  <c r="AE41" i="71" a="1"/>
  <c r="AE41" i="71" s="1"/>
  <c r="AD41" i="71" a="1"/>
  <c r="AD41" i="71" s="1"/>
  <c r="U41" i="71"/>
  <c r="V41" i="71" s="1"/>
  <c r="T41" i="71"/>
  <c r="O41" i="71"/>
  <c r="P41" i="71" s="1"/>
  <c r="M41" i="71"/>
  <c r="N41" i="71" s="1"/>
  <c r="L41" i="71"/>
  <c r="AF40" i="71" a="1"/>
  <c r="AF40" i="71" s="1"/>
  <c r="AE40" i="71" a="1"/>
  <c r="AE40" i="71" s="1"/>
  <c r="AD40" i="71" a="1"/>
  <c r="AD40" i="71" s="1"/>
  <c r="U40" i="71"/>
  <c r="V40" i="71" s="1"/>
  <c r="T40" i="71"/>
  <c r="O40" i="71"/>
  <c r="P40" i="71" s="1"/>
  <c r="M40" i="71"/>
  <c r="N40" i="71" s="1"/>
  <c r="L40" i="71"/>
  <c r="AF39" i="71" a="1"/>
  <c r="AF39" i="71" s="1"/>
  <c r="AE39" i="71" a="1"/>
  <c r="AE39" i="71" s="1"/>
  <c r="AD39" i="71" a="1"/>
  <c r="AD39" i="71" s="1"/>
  <c r="U39" i="71"/>
  <c r="V39" i="71" s="1"/>
  <c r="T39" i="71"/>
  <c r="O39" i="71"/>
  <c r="P39" i="71" s="1"/>
  <c r="M39" i="71"/>
  <c r="N39" i="71" s="1"/>
  <c r="L39" i="71"/>
  <c r="AF38" i="71" a="1"/>
  <c r="AF38" i="71" s="1"/>
  <c r="AE38" i="71" a="1"/>
  <c r="AE38" i="71" s="1"/>
  <c r="AD38" i="71" a="1"/>
  <c r="AD38" i="71" s="1"/>
  <c r="U38" i="71"/>
  <c r="V38" i="71" s="1"/>
  <c r="T38" i="71"/>
  <c r="R38" i="71"/>
  <c r="O38" i="71"/>
  <c r="P38" i="71" s="1"/>
  <c r="M38" i="71"/>
  <c r="N38" i="71" s="1"/>
  <c r="L38" i="71"/>
  <c r="AF37" i="71" a="1"/>
  <c r="AF37" i="71" s="1"/>
  <c r="AE37" i="71" a="1"/>
  <c r="AE37" i="71" s="1"/>
  <c r="AD37" i="71" a="1"/>
  <c r="AD37" i="71" s="1"/>
  <c r="U37" i="71"/>
  <c r="V37" i="71" s="1"/>
  <c r="T37" i="71"/>
  <c r="R37" i="71"/>
  <c r="O37" i="71"/>
  <c r="P37" i="71" s="1"/>
  <c r="M37" i="71"/>
  <c r="N37" i="71" s="1"/>
  <c r="L37" i="71"/>
  <c r="AF36" i="71" a="1"/>
  <c r="AF36" i="71" s="1"/>
  <c r="AE36" i="71" a="1"/>
  <c r="AE36" i="71" s="1"/>
  <c r="AD36" i="71" a="1"/>
  <c r="AD36" i="71" s="1"/>
  <c r="U36" i="71"/>
  <c r="V36" i="71" s="1"/>
  <c r="T36" i="71"/>
  <c r="R36" i="71"/>
  <c r="O36" i="71"/>
  <c r="P36" i="71" s="1"/>
  <c r="M36" i="71"/>
  <c r="N36" i="71" s="1"/>
  <c r="L36" i="71"/>
  <c r="AF35" i="71" a="1"/>
  <c r="AF35" i="71" s="1"/>
  <c r="AE35" i="71" a="1"/>
  <c r="AE35" i="71" s="1"/>
  <c r="AD35" i="71" a="1"/>
  <c r="AD35" i="71" s="1"/>
  <c r="U35" i="71"/>
  <c r="V35" i="71" s="1"/>
  <c r="T35" i="71"/>
  <c r="R35" i="71"/>
  <c r="O35" i="71"/>
  <c r="P35" i="71" s="1"/>
  <c r="M35" i="71"/>
  <c r="N35" i="71" s="1"/>
  <c r="L35" i="71"/>
  <c r="AF34" i="71" a="1"/>
  <c r="AF34" i="71" s="1"/>
  <c r="AE34" i="71" a="1"/>
  <c r="AE34" i="71" s="1"/>
  <c r="AD34" i="71" a="1"/>
  <c r="AD34" i="71" s="1"/>
  <c r="U34" i="71"/>
  <c r="V34" i="71" s="1"/>
  <c r="T34" i="71"/>
  <c r="R34" i="71"/>
  <c r="O34" i="71"/>
  <c r="P34" i="71" s="1"/>
  <c r="M34" i="71"/>
  <c r="N34" i="71" s="1"/>
  <c r="L34" i="71"/>
  <c r="AF33" i="71" a="1"/>
  <c r="AF33" i="71" s="1"/>
  <c r="AE33" i="71" a="1"/>
  <c r="AE33" i="71" s="1"/>
  <c r="AD33" i="71" a="1"/>
  <c r="AD33" i="71" s="1"/>
  <c r="U33" i="71"/>
  <c r="V33" i="71" s="1"/>
  <c r="T33" i="71"/>
  <c r="R33" i="71"/>
  <c r="O33" i="71"/>
  <c r="P33" i="71" s="1"/>
  <c r="M33" i="71"/>
  <c r="N33" i="71" s="1"/>
  <c r="L33" i="71"/>
  <c r="AF32" i="71" a="1"/>
  <c r="AF32" i="71" s="1"/>
  <c r="AE32" i="71" a="1"/>
  <c r="AE32" i="71" s="1"/>
  <c r="AD32" i="71" a="1"/>
  <c r="AD32" i="71" s="1"/>
  <c r="U32" i="71"/>
  <c r="V32" i="71" s="1"/>
  <c r="T32" i="71"/>
  <c r="R32" i="71"/>
  <c r="O32" i="71"/>
  <c r="P32" i="71" s="1"/>
  <c r="M32" i="71"/>
  <c r="N32" i="71" s="1"/>
  <c r="L32" i="71"/>
  <c r="AF31" i="71" a="1"/>
  <c r="AF31" i="71" s="1"/>
  <c r="AE31" i="71" a="1"/>
  <c r="AE31" i="71" s="1"/>
  <c r="AD31" i="71" a="1"/>
  <c r="AD31" i="71" s="1"/>
  <c r="U31" i="71"/>
  <c r="V31" i="71" s="1"/>
  <c r="T31" i="71"/>
  <c r="R31" i="71"/>
  <c r="O31" i="71"/>
  <c r="P31" i="71" s="1"/>
  <c r="M31" i="71"/>
  <c r="N31" i="71" s="1"/>
  <c r="L31" i="71"/>
  <c r="AF30" i="71" a="1"/>
  <c r="AF30" i="71" s="1"/>
  <c r="AE30" i="71" a="1"/>
  <c r="AE30" i="71" s="1"/>
  <c r="AD30" i="71" a="1"/>
  <c r="AD30" i="71" s="1"/>
  <c r="U30" i="71"/>
  <c r="V30" i="71" s="1"/>
  <c r="T30" i="71"/>
  <c r="R30" i="71"/>
  <c r="O30" i="71"/>
  <c r="P30" i="71" s="1"/>
  <c r="M30" i="71"/>
  <c r="N30" i="71" s="1"/>
  <c r="L30" i="71"/>
  <c r="AF29" i="71" a="1"/>
  <c r="AF29" i="71" s="1"/>
  <c r="AE29" i="71" a="1"/>
  <c r="AE29" i="71" s="1"/>
  <c r="AD29" i="71" a="1"/>
  <c r="AD29" i="71" s="1"/>
  <c r="U29" i="71"/>
  <c r="V29" i="71" s="1"/>
  <c r="T29" i="71"/>
  <c r="R29" i="71"/>
  <c r="O29" i="71"/>
  <c r="P29" i="71" s="1"/>
  <c r="M29" i="71"/>
  <c r="N29" i="71" s="1"/>
  <c r="L29" i="71"/>
  <c r="AF28" i="71" a="1"/>
  <c r="AF28" i="71" s="1"/>
  <c r="AE28" i="71" a="1"/>
  <c r="AE28" i="71" s="1"/>
  <c r="AD28" i="71" a="1"/>
  <c r="AD28" i="71" s="1"/>
  <c r="U28" i="71"/>
  <c r="V28" i="71" s="1"/>
  <c r="T28" i="71"/>
  <c r="R28" i="71"/>
  <c r="O28" i="71"/>
  <c r="P28" i="71" s="1"/>
  <c r="M28" i="71"/>
  <c r="N28" i="71" s="1"/>
  <c r="L28" i="71"/>
  <c r="AF27" i="71" a="1"/>
  <c r="AF27" i="71" s="1"/>
  <c r="AE27" i="71" a="1"/>
  <c r="AE27" i="71" s="1"/>
  <c r="AD27" i="71" a="1"/>
  <c r="AD27" i="71" s="1"/>
  <c r="U27" i="71"/>
  <c r="V27" i="71" s="1"/>
  <c r="T27" i="71"/>
  <c r="R27" i="71"/>
  <c r="O27" i="71"/>
  <c r="P27" i="71" s="1"/>
  <c r="M27" i="71"/>
  <c r="N27" i="71" s="1"/>
  <c r="L27" i="71"/>
  <c r="AF26" i="71" a="1"/>
  <c r="AF26" i="71" s="1"/>
  <c r="AE26" i="71" a="1"/>
  <c r="AE26" i="71" s="1"/>
  <c r="AD26" i="71" a="1"/>
  <c r="AD26" i="71" s="1"/>
  <c r="U26" i="71"/>
  <c r="V26" i="71" s="1"/>
  <c r="T26" i="71"/>
  <c r="R26" i="71"/>
  <c r="O26" i="71"/>
  <c r="P26" i="71" s="1"/>
  <c r="M26" i="71"/>
  <c r="N26" i="71" s="1"/>
  <c r="L26" i="71"/>
  <c r="AF25" i="71" a="1"/>
  <c r="AF25" i="71" s="1"/>
  <c r="AE25" i="71" a="1"/>
  <c r="AE25" i="71" s="1"/>
  <c r="AD25" i="71" a="1"/>
  <c r="AD25" i="71" s="1"/>
  <c r="U25" i="71"/>
  <c r="V25" i="71" s="1"/>
  <c r="T25" i="71"/>
  <c r="R25" i="71"/>
  <c r="O25" i="71"/>
  <c r="P25" i="71" s="1"/>
  <c r="M25" i="71"/>
  <c r="N25" i="71" s="1"/>
  <c r="L25" i="71"/>
  <c r="AF24" i="71" a="1"/>
  <c r="AF24" i="71" s="1"/>
  <c r="AE24" i="71" a="1"/>
  <c r="AE24" i="71" s="1"/>
  <c r="AD24" i="71" a="1"/>
  <c r="AD24" i="71" s="1"/>
  <c r="U24" i="71"/>
  <c r="V24" i="71" s="1"/>
  <c r="T24" i="71"/>
  <c r="R24" i="71"/>
  <c r="O24" i="71"/>
  <c r="P24" i="71" s="1"/>
  <c r="M24" i="71"/>
  <c r="N24" i="71" s="1"/>
  <c r="L24" i="71"/>
  <c r="AF23" i="71" a="1"/>
  <c r="AF23" i="71" s="1"/>
  <c r="AE23" i="71" a="1"/>
  <c r="AE23" i="71" s="1"/>
  <c r="AD23" i="71" a="1"/>
  <c r="AD23" i="71" s="1"/>
  <c r="U23" i="71"/>
  <c r="V23" i="71" s="1"/>
  <c r="T23" i="71"/>
  <c r="R23" i="71"/>
  <c r="O23" i="71"/>
  <c r="P23" i="71" s="1"/>
  <c r="M23" i="71"/>
  <c r="N23" i="71" s="1"/>
  <c r="L23" i="71"/>
  <c r="G20" i="71"/>
  <c r="S19" i="71"/>
  <c r="R19" i="71"/>
  <c r="S18" i="71"/>
  <c r="R18" i="71"/>
  <c r="J17" i="71"/>
  <c r="I17" i="71"/>
  <c r="S16" i="71"/>
  <c r="R16" i="71"/>
  <c r="J16" i="71"/>
  <c r="I16" i="71"/>
  <c r="S15" i="71"/>
  <c r="R15" i="71"/>
  <c r="CO12" i="71" a="1"/>
  <c r="CO12" i="71" s="1"/>
  <c r="CN12" i="71" a="1"/>
  <c r="CN12" i="71" s="1"/>
  <c r="CM12" i="71" a="1"/>
  <c r="CM12" i="71" s="1"/>
  <c r="CL12" i="71" a="1"/>
  <c r="CL12" i="71" s="1"/>
  <c r="CK12" i="71" a="1"/>
  <c r="CK12" i="71" s="1"/>
  <c r="CJ12" i="71" a="1"/>
  <c r="CJ12" i="71" s="1"/>
  <c r="CI12" i="71" a="1"/>
  <c r="CI12" i="71" s="1"/>
  <c r="CH12" i="71" a="1"/>
  <c r="CH12" i="71" s="1"/>
  <c r="CG12" i="71" a="1"/>
  <c r="CG12" i="71" s="1"/>
  <c r="CF12" i="71" a="1"/>
  <c r="CF12" i="71" s="1"/>
  <c r="CE12" i="71" a="1"/>
  <c r="CE12" i="71" s="1"/>
  <c r="CD12" i="71" a="1"/>
  <c r="CD12" i="71" s="1"/>
  <c r="CC12" i="71" a="1"/>
  <c r="CC12" i="71" s="1"/>
  <c r="CB12" i="71" a="1"/>
  <c r="CB12" i="71" s="1"/>
  <c r="BW12" i="71" a="1"/>
  <c r="BW12" i="71" s="1"/>
  <c r="BV12" i="71" a="1"/>
  <c r="BV12" i="71" s="1"/>
  <c r="BU12" i="71" a="1"/>
  <c r="BU12" i="71" s="1"/>
  <c r="BS12" i="71" a="1"/>
  <c r="BS12" i="71" s="1"/>
  <c r="BI12" i="71" a="1"/>
  <c r="BI12" i="71" s="1"/>
  <c r="BG12" i="71" a="1"/>
  <c r="BG12" i="71" s="1"/>
  <c r="BC12" i="71" a="1"/>
  <c r="BC12" i="71" s="1"/>
  <c r="AU12" i="71" a="1"/>
  <c r="AU12" i="71" s="1"/>
  <c r="BF12" i="71" a="1"/>
  <c r="BF12" i="71" s="1"/>
  <c r="BE12" i="71" a="1"/>
  <c r="BE12" i="71" s="1"/>
  <c r="BD12" i="71" a="1"/>
  <c r="BD12" i="71" s="1"/>
  <c r="BB12" i="71" a="1"/>
  <c r="BB12" i="71" s="1"/>
  <c r="AR12" i="71" a="1"/>
  <c r="AR12" i="71" s="1"/>
  <c r="AP12" i="71" a="1"/>
  <c r="AP12" i="71" s="1"/>
  <c r="AM12" i="71" a="1"/>
  <c r="AM12" i="71" s="1"/>
  <c r="BM12" i="71" a="1"/>
  <c r="BM12" i="71" s="1"/>
  <c r="AL12" i="71" a="1"/>
  <c r="AL12" i="71" s="1"/>
  <c r="AK12" i="71" a="1"/>
  <c r="AK12" i="71" s="1"/>
  <c r="AI12" i="71" a="1"/>
  <c r="AI12" i="71" s="1"/>
  <c r="AH12" i="71" a="1"/>
  <c r="AH12" i="71" s="1"/>
  <c r="AG12" i="71" a="1"/>
  <c r="AG12" i="71" s="1"/>
  <c r="AF12" i="71" a="1"/>
  <c r="AF12" i="71" s="1"/>
  <c r="CO10" i="71" a="1"/>
  <c r="CO10" i="71" s="1"/>
  <c r="CN10" i="71" a="1"/>
  <c r="CN10" i="71" s="1"/>
  <c r="CM10" i="71" a="1"/>
  <c r="CM10" i="71" s="1"/>
  <c r="CL10" i="71" a="1"/>
  <c r="CL10" i="71" s="1"/>
  <c r="CK10" i="71" a="1"/>
  <c r="CK10" i="71" s="1"/>
  <c r="CJ10" i="71" a="1"/>
  <c r="CJ10" i="71" s="1"/>
  <c r="CI10" i="71" a="1"/>
  <c r="CI10" i="71" s="1"/>
  <c r="CH10" i="71" a="1"/>
  <c r="CH10" i="71" s="1"/>
  <c r="CG10" i="71" a="1"/>
  <c r="CG10" i="71" s="1"/>
  <c r="CF10" i="71" a="1"/>
  <c r="CF10" i="71" s="1"/>
  <c r="CE10" i="71" a="1"/>
  <c r="CE10" i="71" s="1"/>
  <c r="CD10" i="71" a="1"/>
  <c r="CD10" i="71" s="1"/>
  <c r="CC10" i="71" a="1"/>
  <c r="CC10" i="71" s="1"/>
  <c r="CB10" i="71" a="1"/>
  <c r="CB10" i="71" s="1"/>
  <c r="BW10" i="71" a="1"/>
  <c r="BW10" i="71" s="1"/>
  <c r="BV10" i="71" a="1"/>
  <c r="BV10" i="71" s="1"/>
  <c r="BU10" i="71" a="1"/>
  <c r="BU10" i="71" s="1"/>
  <c r="BS10" i="71" a="1"/>
  <c r="BS10" i="71" s="1"/>
  <c r="BI10" i="71" a="1"/>
  <c r="BI10" i="71" s="1"/>
  <c r="BG10" i="71" a="1"/>
  <c r="BG10" i="71" s="1"/>
  <c r="BC10" i="71" a="1"/>
  <c r="BC10" i="71" s="1"/>
  <c r="AU10" i="71" a="1"/>
  <c r="AU10" i="71" s="1"/>
  <c r="BF10" i="71" a="1"/>
  <c r="BF10" i="71" s="1"/>
  <c r="BE10" i="71" a="1"/>
  <c r="BE10" i="71" s="1"/>
  <c r="BD10" i="71" a="1"/>
  <c r="BD10" i="71" s="1"/>
  <c r="BB10" i="71" a="1"/>
  <c r="BB10" i="71" s="1"/>
  <c r="AR10" i="71" a="1"/>
  <c r="AR10" i="71" s="1"/>
  <c r="AP10" i="71" a="1"/>
  <c r="AP10" i="71" s="1"/>
  <c r="AM10" i="71" a="1"/>
  <c r="AM10" i="71" s="1"/>
  <c r="BM10" i="71" a="1"/>
  <c r="BM10" i="71" s="1"/>
  <c r="AL10" i="71" a="1"/>
  <c r="AL10" i="71" s="1"/>
  <c r="AK10" i="71" a="1"/>
  <c r="AK10" i="71" s="1"/>
  <c r="AI10" i="71" a="1"/>
  <c r="AI10" i="71" s="1"/>
  <c r="AH10" i="71" a="1"/>
  <c r="AH10" i="71" s="1"/>
  <c r="AG10" i="71" a="1"/>
  <c r="AG10" i="71" s="1"/>
  <c r="AF10" i="71" a="1"/>
  <c r="AF10" i="71" s="1"/>
  <c r="CO2" i="71" a="1"/>
  <c r="CO2" i="71" s="1"/>
  <c r="CN2" i="71" a="1"/>
  <c r="CN2" i="71" s="1"/>
  <c r="CN11" i="71" s="1"/>
  <c r="CM2" i="71" a="1"/>
  <c r="CM2" i="71" s="1"/>
  <c r="CL2" i="71" a="1"/>
  <c r="CL2" i="71" s="1"/>
  <c r="CK2" i="71" a="1"/>
  <c r="CK2" i="71" s="1"/>
  <c r="CJ2" i="71" a="1"/>
  <c r="CJ2" i="71" s="1"/>
  <c r="CI2" i="71" a="1"/>
  <c r="CI2" i="71" s="1"/>
  <c r="CH2" i="71" a="1"/>
  <c r="CH2" i="71" s="1"/>
  <c r="CG2" i="71" a="1"/>
  <c r="CG2" i="71" s="1"/>
  <c r="CF2" i="71" a="1"/>
  <c r="CF2" i="71" s="1"/>
  <c r="CE2" i="71" a="1"/>
  <c r="CE2" i="71" s="1"/>
  <c r="CD2" i="71" a="1"/>
  <c r="CD2" i="71" s="1"/>
  <c r="CC2" i="71" a="1"/>
  <c r="CC2" i="71" s="1"/>
  <c r="CB2" i="71" a="1"/>
  <c r="CB2" i="71" s="1"/>
  <c r="BW2" i="71" a="1"/>
  <c r="BW2" i="71" s="1"/>
  <c r="BV2" i="71" a="1"/>
  <c r="BV2" i="71" s="1"/>
  <c r="BU2" i="71" a="1"/>
  <c r="BU2" i="71" s="1"/>
  <c r="BS2" i="71" a="1"/>
  <c r="BS2" i="71" s="1"/>
  <c r="BI2" i="71" a="1"/>
  <c r="BI2" i="71" s="1"/>
  <c r="BG2" i="71" a="1"/>
  <c r="BG2" i="71" s="1"/>
  <c r="BC2" i="71" a="1"/>
  <c r="BC2" i="71" s="1"/>
  <c r="AU2" i="71" a="1"/>
  <c r="AU2" i="71" s="1"/>
  <c r="BF2" i="71" a="1"/>
  <c r="BF2" i="71" s="1"/>
  <c r="BE2" i="71" a="1"/>
  <c r="BE2" i="71" s="1"/>
  <c r="BD2" i="71" a="1"/>
  <c r="BD2" i="71" s="1"/>
  <c r="BB2" i="71" a="1"/>
  <c r="BB2" i="71" s="1"/>
  <c r="AR2" i="71" a="1"/>
  <c r="AR2" i="71" s="1"/>
  <c r="AP2" i="71" a="1"/>
  <c r="AP2" i="71" s="1"/>
  <c r="AM2" i="71" a="1"/>
  <c r="AM2" i="71" s="1"/>
  <c r="BM2" i="71" a="1"/>
  <c r="BM2" i="71" s="1"/>
  <c r="AL2" i="71" a="1"/>
  <c r="AL2" i="71" s="1"/>
  <c r="AK2" i="71" a="1"/>
  <c r="AK2" i="71" s="1"/>
  <c r="AI2" i="71" a="1"/>
  <c r="AI2" i="71" s="1"/>
  <c r="AH2" i="71" a="1"/>
  <c r="AH2" i="71" s="1"/>
  <c r="AG2" i="71" a="1"/>
  <c r="AG2" i="71" s="1"/>
  <c r="CO1" i="71"/>
  <c r="CN1" i="71"/>
  <c r="CM1" i="71"/>
  <c r="CL1" i="71"/>
  <c r="CK1" i="71"/>
  <c r="CJ1" i="71"/>
  <c r="CI1" i="71"/>
  <c r="CH1" i="71"/>
  <c r="CG1" i="71"/>
  <c r="CF1" i="71"/>
  <c r="CE1" i="71"/>
  <c r="CD1" i="71"/>
  <c r="CC1" i="71"/>
  <c r="CB1" i="71"/>
  <c r="BW1" i="71"/>
  <c r="BV1" i="71"/>
  <c r="BU1" i="71"/>
  <c r="BS1" i="71"/>
  <c r="BI1" i="71"/>
  <c r="BG1" i="71"/>
  <c r="BC1" i="71"/>
  <c r="AU1" i="71"/>
  <c r="BF1" i="71"/>
  <c r="BE1" i="71"/>
  <c r="BD1" i="71"/>
  <c r="BB1" i="71"/>
  <c r="AR1" i="71"/>
  <c r="AP1" i="71"/>
  <c r="AM1" i="71"/>
  <c r="BM1" i="71"/>
  <c r="AL1" i="71"/>
  <c r="AK1" i="71"/>
  <c r="AI1" i="71"/>
  <c r="AH1" i="71"/>
  <c r="AG1" i="71"/>
  <c r="AF130" i="70" a="1"/>
  <c r="AF130" i="70" s="1"/>
  <c r="AE130" i="70" a="1"/>
  <c r="AE130" i="70" s="1"/>
  <c r="AD130" i="70" a="1"/>
  <c r="AD130" i="70" s="1"/>
  <c r="T130" i="70"/>
  <c r="R130" i="70"/>
  <c r="N130" i="70"/>
  <c r="M130" i="70"/>
  <c r="L130" i="70"/>
  <c r="F130" i="70"/>
  <c r="D130" i="70"/>
  <c r="AF129" i="70" a="1"/>
  <c r="AF129" i="70" s="1"/>
  <c r="AE129" i="70" a="1"/>
  <c r="AE129" i="70" s="1"/>
  <c r="AD129" i="70" a="1"/>
  <c r="AD129" i="70" s="1"/>
  <c r="T129" i="70"/>
  <c r="R129" i="70"/>
  <c r="N129" i="70"/>
  <c r="M129" i="70"/>
  <c r="L129" i="70"/>
  <c r="F129" i="70"/>
  <c r="D129" i="70"/>
  <c r="AF128" i="70" a="1"/>
  <c r="AF128" i="70" s="1"/>
  <c r="AE128" i="70" a="1"/>
  <c r="AE128" i="70" s="1"/>
  <c r="AD128" i="70" a="1"/>
  <c r="AD128" i="70" s="1"/>
  <c r="T128" i="70"/>
  <c r="R128" i="70"/>
  <c r="N128" i="70"/>
  <c r="M128" i="70"/>
  <c r="L128" i="70"/>
  <c r="F128" i="70"/>
  <c r="D128" i="70"/>
  <c r="AF127" i="70" a="1"/>
  <c r="AF127" i="70" s="1"/>
  <c r="AE127" i="70" a="1"/>
  <c r="AE127" i="70" s="1"/>
  <c r="AD127" i="70" a="1"/>
  <c r="AD127" i="70" s="1"/>
  <c r="T127" i="70"/>
  <c r="R127" i="70"/>
  <c r="N127" i="70"/>
  <c r="M127" i="70"/>
  <c r="L127" i="70"/>
  <c r="F127" i="70"/>
  <c r="D127" i="70"/>
  <c r="AF126" i="70" a="1"/>
  <c r="AF126" i="70" s="1"/>
  <c r="AE126" i="70" a="1"/>
  <c r="AE126" i="70" s="1"/>
  <c r="AD126" i="70" a="1"/>
  <c r="AD126" i="70" s="1"/>
  <c r="T126" i="70"/>
  <c r="R126" i="70"/>
  <c r="N126" i="70"/>
  <c r="M126" i="70"/>
  <c r="L126" i="70"/>
  <c r="F126" i="70"/>
  <c r="D126" i="70"/>
  <c r="AF125" i="70" a="1"/>
  <c r="AF125" i="70" s="1"/>
  <c r="AE125" i="70" a="1"/>
  <c r="AE125" i="70" s="1"/>
  <c r="AD125" i="70" a="1"/>
  <c r="AD125" i="70" s="1"/>
  <c r="T125" i="70"/>
  <c r="R125" i="70"/>
  <c r="N125" i="70"/>
  <c r="M125" i="70"/>
  <c r="L125" i="70"/>
  <c r="F125" i="70"/>
  <c r="D125" i="70"/>
  <c r="AF124" i="70" a="1"/>
  <c r="AF124" i="70" s="1"/>
  <c r="AE124" i="70" a="1"/>
  <c r="AE124" i="70" s="1"/>
  <c r="AD124" i="70" a="1"/>
  <c r="AD124" i="70" s="1"/>
  <c r="T124" i="70"/>
  <c r="R124" i="70"/>
  <c r="N124" i="70"/>
  <c r="M124" i="70"/>
  <c r="L124" i="70"/>
  <c r="F124" i="70"/>
  <c r="D124" i="70"/>
  <c r="AF123" i="70" a="1"/>
  <c r="AF123" i="70" s="1"/>
  <c r="AE123" i="70" a="1"/>
  <c r="AE123" i="70" s="1"/>
  <c r="AD123" i="70" a="1"/>
  <c r="AD123" i="70" s="1"/>
  <c r="T123" i="70"/>
  <c r="R123" i="70"/>
  <c r="N123" i="70"/>
  <c r="M123" i="70"/>
  <c r="L123" i="70"/>
  <c r="F123" i="70"/>
  <c r="D123" i="70"/>
  <c r="AF122" i="70" a="1"/>
  <c r="AF122" i="70" s="1"/>
  <c r="AE122" i="70" a="1"/>
  <c r="AE122" i="70" s="1"/>
  <c r="AD122" i="70" a="1"/>
  <c r="AD122" i="70" s="1"/>
  <c r="T122" i="70"/>
  <c r="R122" i="70"/>
  <c r="N122" i="70"/>
  <c r="M122" i="70"/>
  <c r="L122" i="70"/>
  <c r="F122" i="70"/>
  <c r="D122" i="70"/>
  <c r="AF121" i="70" a="1"/>
  <c r="AF121" i="70" s="1"/>
  <c r="AE121" i="70" a="1"/>
  <c r="AE121" i="70" s="1"/>
  <c r="AD121" i="70" a="1"/>
  <c r="AD121" i="70" s="1"/>
  <c r="T121" i="70"/>
  <c r="R121" i="70"/>
  <c r="N121" i="70"/>
  <c r="M121" i="70"/>
  <c r="L121" i="70"/>
  <c r="F121" i="70"/>
  <c r="D121" i="70"/>
  <c r="AF120" i="70" a="1"/>
  <c r="AF120" i="70" s="1"/>
  <c r="AE120" i="70" a="1"/>
  <c r="AE120" i="70" s="1"/>
  <c r="AD120" i="70" a="1"/>
  <c r="AD120" i="70" s="1"/>
  <c r="T120" i="70"/>
  <c r="R120" i="70"/>
  <c r="N120" i="70"/>
  <c r="M120" i="70"/>
  <c r="L120" i="70"/>
  <c r="F120" i="70"/>
  <c r="D120" i="70"/>
  <c r="AF119" i="70" a="1"/>
  <c r="AF119" i="70" s="1"/>
  <c r="AE119" i="70" a="1"/>
  <c r="AE119" i="70" s="1"/>
  <c r="AD119" i="70" a="1"/>
  <c r="AD119" i="70" s="1"/>
  <c r="T119" i="70"/>
  <c r="R119" i="70"/>
  <c r="N119" i="70"/>
  <c r="M119" i="70"/>
  <c r="L119" i="70"/>
  <c r="F119" i="70"/>
  <c r="D119" i="70"/>
  <c r="AF118" i="70" a="1"/>
  <c r="AF118" i="70" s="1"/>
  <c r="AE118" i="70" a="1"/>
  <c r="AE118" i="70" s="1"/>
  <c r="AD118" i="70" a="1"/>
  <c r="AD118" i="70" s="1"/>
  <c r="T118" i="70"/>
  <c r="R118" i="70"/>
  <c r="N118" i="70"/>
  <c r="M118" i="70"/>
  <c r="L118" i="70"/>
  <c r="F118" i="70"/>
  <c r="D118" i="70"/>
  <c r="AF117" i="70" a="1"/>
  <c r="AF117" i="70" s="1"/>
  <c r="AE117" i="70" a="1"/>
  <c r="AE117" i="70" s="1"/>
  <c r="AD117" i="70" a="1"/>
  <c r="AD117" i="70" s="1"/>
  <c r="T117" i="70"/>
  <c r="R117" i="70"/>
  <c r="N117" i="70"/>
  <c r="M117" i="70"/>
  <c r="L117" i="70"/>
  <c r="F117" i="70"/>
  <c r="D117" i="70"/>
  <c r="AF116" i="70" a="1"/>
  <c r="AF116" i="70" s="1"/>
  <c r="AE116" i="70" a="1"/>
  <c r="AE116" i="70" s="1"/>
  <c r="AD116" i="70" a="1"/>
  <c r="AD116" i="70" s="1"/>
  <c r="T116" i="70"/>
  <c r="R116" i="70"/>
  <c r="N116" i="70"/>
  <c r="M116" i="70"/>
  <c r="L116" i="70"/>
  <c r="F116" i="70"/>
  <c r="D116" i="70"/>
  <c r="AF115" i="70" a="1"/>
  <c r="AF115" i="70" s="1"/>
  <c r="AE115" i="70" a="1"/>
  <c r="AE115" i="70" s="1"/>
  <c r="AD115" i="70" a="1"/>
  <c r="AD115" i="70" s="1"/>
  <c r="T115" i="70"/>
  <c r="R115" i="70"/>
  <c r="N115" i="70"/>
  <c r="M115" i="70"/>
  <c r="L115" i="70"/>
  <c r="F115" i="70"/>
  <c r="D115" i="70"/>
  <c r="AF114" i="70" a="1"/>
  <c r="AF114" i="70" s="1"/>
  <c r="AE114" i="70" a="1"/>
  <c r="AE114" i="70" s="1"/>
  <c r="AD114" i="70" a="1"/>
  <c r="AD114" i="70" s="1"/>
  <c r="T114" i="70"/>
  <c r="R114" i="70"/>
  <c r="N114" i="70"/>
  <c r="M114" i="70"/>
  <c r="L114" i="70"/>
  <c r="F114" i="70"/>
  <c r="D114" i="70"/>
  <c r="AF113" i="70" a="1"/>
  <c r="AF113" i="70" s="1"/>
  <c r="AE113" i="70" a="1"/>
  <c r="AE113" i="70" s="1"/>
  <c r="AD113" i="70" a="1"/>
  <c r="AD113" i="70" s="1"/>
  <c r="T113" i="70"/>
  <c r="R113" i="70"/>
  <c r="N113" i="70"/>
  <c r="M113" i="70"/>
  <c r="L113" i="70"/>
  <c r="F113" i="70"/>
  <c r="D113" i="70"/>
  <c r="AF112" i="70" a="1"/>
  <c r="AF112" i="70" s="1"/>
  <c r="AE112" i="70" a="1"/>
  <c r="AE112" i="70" s="1"/>
  <c r="AD112" i="70" a="1"/>
  <c r="AD112" i="70" s="1"/>
  <c r="T112" i="70"/>
  <c r="R112" i="70"/>
  <c r="N112" i="70"/>
  <c r="M112" i="70"/>
  <c r="L112" i="70"/>
  <c r="F112" i="70"/>
  <c r="D112" i="70"/>
  <c r="AF111" i="70" a="1"/>
  <c r="AF111" i="70" s="1"/>
  <c r="AE111" i="70" a="1"/>
  <c r="AE111" i="70" s="1"/>
  <c r="AD111" i="70" a="1"/>
  <c r="AD111" i="70" s="1"/>
  <c r="T111" i="70"/>
  <c r="R111" i="70"/>
  <c r="N111" i="70"/>
  <c r="M111" i="70"/>
  <c r="L111" i="70"/>
  <c r="F111" i="70"/>
  <c r="D111" i="70"/>
  <c r="AF110" i="70" a="1"/>
  <c r="AF110" i="70" s="1"/>
  <c r="AE110" i="70" a="1"/>
  <c r="AE110" i="70" s="1"/>
  <c r="AD110" i="70" a="1"/>
  <c r="AD110" i="70" s="1"/>
  <c r="T110" i="70"/>
  <c r="R110" i="70"/>
  <c r="N110" i="70"/>
  <c r="M110" i="70"/>
  <c r="L110" i="70"/>
  <c r="F110" i="70"/>
  <c r="D110" i="70"/>
  <c r="AF109" i="70" a="1"/>
  <c r="AF109" i="70" s="1"/>
  <c r="AE109" i="70" a="1"/>
  <c r="AE109" i="70" s="1"/>
  <c r="AD109" i="70" a="1"/>
  <c r="AD109" i="70" s="1"/>
  <c r="T109" i="70"/>
  <c r="R109" i="70"/>
  <c r="N109" i="70"/>
  <c r="M109" i="70"/>
  <c r="L109" i="70"/>
  <c r="F109" i="70"/>
  <c r="D109" i="70"/>
  <c r="AF108" i="70" a="1"/>
  <c r="AF108" i="70" s="1"/>
  <c r="AE108" i="70" a="1"/>
  <c r="AE108" i="70" s="1"/>
  <c r="AD108" i="70" a="1"/>
  <c r="AD108" i="70" s="1"/>
  <c r="T108" i="70"/>
  <c r="R108" i="70"/>
  <c r="N108" i="70"/>
  <c r="M108" i="70"/>
  <c r="L108" i="70"/>
  <c r="F108" i="70"/>
  <c r="D108" i="70"/>
  <c r="AF107" i="70" a="1"/>
  <c r="AF107" i="70" s="1"/>
  <c r="AE107" i="70" a="1"/>
  <c r="AE107" i="70" s="1"/>
  <c r="AD107" i="70" a="1"/>
  <c r="AD107" i="70" s="1"/>
  <c r="T107" i="70"/>
  <c r="R107" i="70"/>
  <c r="N107" i="70"/>
  <c r="M107" i="70"/>
  <c r="L107" i="70"/>
  <c r="F107" i="70"/>
  <c r="D107" i="70"/>
  <c r="AF106" i="70" a="1"/>
  <c r="AF106" i="70" s="1"/>
  <c r="AE106" i="70" a="1"/>
  <c r="AE106" i="70" s="1"/>
  <c r="AD106" i="70" a="1"/>
  <c r="AD106" i="70" s="1"/>
  <c r="T106" i="70"/>
  <c r="R106" i="70"/>
  <c r="N106" i="70"/>
  <c r="M106" i="70"/>
  <c r="L106" i="70"/>
  <c r="F106" i="70"/>
  <c r="D106" i="70"/>
  <c r="AF105" i="70" a="1"/>
  <c r="AF105" i="70" s="1"/>
  <c r="AE105" i="70" a="1"/>
  <c r="AE105" i="70" s="1"/>
  <c r="AD105" i="70" a="1"/>
  <c r="AD105" i="70" s="1"/>
  <c r="T105" i="70"/>
  <c r="R105" i="70"/>
  <c r="N105" i="70"/>
  <c r="M105" i="70"/>
  <c r="L105" i="70"/>
  <c r="F105" i="70"/>
  <c r="D105" i="70"/>
  <c r="AF104" i="70" a="1"/>
  <c r="AF104" i="70" s="1"/>
  <c r="AE104" i="70" a="1"/>
  <c r="AE104" i="70" s="1"/>
  <c r="AD104" i="70" a="1"/>
  <c r="AD104" i="70" s="1"/>
  <c r="T104" i="70"/>
  <c r="R104" i="70"/>
  <c r="N104" i="70"/>
  <c r="M104" i="70"/>
  <c r="L104" i="70"/>
  <c r="F104" i="70"/>
  <c r="D104" i="70"/>
  <c r="AF103" i="70" a="1"/>
  <c r="AF103" i="70" s="1"/>
  <c r="AE103" i="70" a="1"/>
  <c r="AE103" i="70" s="1"/>
  <c r="AD103" i="70" a="1"/>
  <c r="AD103" i="70" s="1"/>
  <c r="T103" i="70"/>
  <c r="R103" i="70"/>
  <c r="N103" i="70"/>
  <c r="M103" i="70"/>
  <c r="L103" i="70"/>
  <c r="F103" i="70"/>
  <c r="D103" i="70"/>
  <c r="AF102" i="70" a="1"/>
  <c r="AF102" i="70" s="1"/>
  <c r="AE102" i="70" a="1"/>
  <c r="AE102" i="70" s="1"/>
  <c r="AD102" i="70" a="1"/>
  <c r="AD102" i="70" s="1"/>
  <c r="T102" i="70"/>
  <c r="R102" i="70"/>
  <c r="N102" i="70"/>
  <c r="M102" i="70"/>
  <c r="L102" i="70"/>
  <c r="F102" i="70"/>
  <c r="D102" i="70"/>
  <c r="AF101" i="70" a="1"/>
  <c r="AF101" i="70" s="1"/>
  <c r="AE101" i="70" a="1"/>
  <c r="AE101" i="70" s="1"/>
  <c r="AD101" i="70" a="1"/>
  <c r="AD101" i="70" s="1"/>
  <c r="T101" i="70"/>
  <c r="R101" i="70"/>
  <c r="N101" i="70"/>
  <c r="M101" i="70"/>
  <c r="L101" i="70"/>
  <c r="F101" i="70"/>
  <c r="D101" i="70"/>
  <c r="AF100" i="70" a="1"/>
  <c r="AF100" i="70" s="1"/>
  <c r="AE100" i="70" a="1"/>
  <c r="AE100" i="70" s="1"/>
  <c r="AD100" i="70" a="1"/>
  <c r="AD100" i="70" s="1"/>
  <c r="T100" i="70"/>
  <c r="R100" i="70"/>
  <c r="N100" i="70"/>
  <c r="M100" i="70"/>
  <c r="L100" i="70"/>
  <c r="F100" i="70"/>
  <c r="D100" i="70"/>
  <c r="AF99" i="70" a="1"/>
  <c r="AF99" i="70" s="1"/>
  <c r="AE99" i="70" a="1"/>
  <c r="AE99" i="70" s="1"/>
  <c r="AD99" i="70" a="1"/>
  <c r="AD99" i="70" s="1"/>
  <c r="T99" i="70"/>
  <c r="R99" i="70"/>
  <c r="N99" i="70"/>
  <c r="M99" i="70"/>
  <c r="L99" i="70"/>
  <c r="F99" i="70"/>
  <c r="D99" i="70"/>
  <c r="AF98" i="70" a="1"/>
  <c r="AF98" i="70" s="1"/>
  <c r="AE98" i="70" a="1"/>
  <c r="AE98" i="70" s="1"/>
  <c r="AD98" i="70" a="1"/>
  <c r="AD98" i="70" s="1"/>
  <c r="T98" i="70"/>
  <c r="R98" i="70"/>
  <c r="N98" i="70"/>
  <c r="M98" i="70"/>
  <c r="L98" i="70"/>
  <c r="F98" i="70"/>
  <c r="D98" i="70"/>
  <c r="AF97" i="70" a="1"/>
  <c r="AF97" i="70" s="1"/>
  <c r="AE97" i="70" a="1"/>
  <c r="AE97" i="70" s="1"/>
  <c r="AD97" i="70" a="1"/>
  <c r="AD97" i="70" s="1"/>
  <c r="T97" i="70"/>
  <c r="R97" i="70"/>
  <c r="N97" i="70"/>
  <c r="M97" i="70"/>
  <c r="L97" i="70"/>
  <c r="F97" i="70"/>
  <c r="D97" i="70"/>
  <c r="AF96" i="70" a="1"/>
  <c r="AF96" i="70" s="1"/>
  <c r="AE96" i="70" a="1"/>
  <c r="AE96" i="70" s="1"/>
  <c r="AD96" i="70" a="1"/>
  <c r="AD96" i="70" s="1"/>
  <c r="T96" i="70"/>
  <c r="R96" i="70"/>
  <c r="N96" i="70"/>
  <c r="M96" i="70"/>
  <c r="L96" i="70"/>
  <c r="F96" i="70"/>
  <c r="D96" i="70"/>
  <c r="AF95" i="70" a="1"/>
  <c r="AF95" i="70" s="1"/>
  <c r="AE95" i="70" a="1"/>
  <c r="AE95" i="70" s="1"/>
  <c r="AD95" i="70" a="1"/>
  <c r="AD95" i="70" s="1"/>
  <c r="T95" i="70"/>
  <c r="R95" i="70"/>
  <c r="N95" i="70"/>
  <c r="M95" i="70"/>
  <c r="L95" i="70"/>
  <c r="F95" i="70"/>
  <c r="D95" i="70"/>
  <c r="AF94" i="70" a="1"/>
  <c r="AF94" i="70" s="1"/>
  <c r="AE94" i="70" a="1"/>
  <c r="AE94" i="70" s="1"/>
  <c r="AD94" i="70" a="1"/>
  <c r="AD94" i="70" s="1"/>
  <c r="T94" i="70"/>
  <c r="R94" i="70"/>
  <c r="N94" i="70"/>
  <c r="M94" i="70"/>
  <c r="L94" i="70"/>
  <c r="F94" i="70"/>
  <c r="D94" i="70"/>
  <c r="AF93" i="70" a="1"/>
  <c r="AF93" i="70" s="1"/>
  <c r="AE93" i="70" a="1"/>
  <c r="AE93" i="70" s="1"/>
  <c r="AD93" i="70" a="1"/>
  <c r="AD93" i="70" s="1"/>
  <c r="T93" i="70"/>
  <c r="R93" i="70"/>
  <c r="N93" i="70"/>
  <c r="M93" i="70"/>
  <c r="L93" i="70"/>
  <c r="F93" i="70"/>
  <c r="D93" i="70"/>
  <c r="AF92" i="70" a="1"/>
  <c r="AF92" i="70" s="1"/>
  <c r="AE92" i="70" a="1"/>
  <c r="AE92" i="70" s="1"/>
  <c r="AD92" i="70" a="1"/>
  <c r="AD92" i="70" s="1"/>
  <c r="T92" i="70"/>
  <c r="R92" i="70"/>
  <c r="N92" i="70"/>
  <c r="M92" i="70"/>
  <c r="L92" i="70"/>
  <c r="F92" i="70"/>
  <c r="D92" i="70"/>
  <c r="AF91" i="70" a="1"/>
  <c r="AF91" i="70" s="1"/>
  <c r="AE91" i="70" a="1"/>
  <c r="AE91" i="70" s="1"/>
  <c r="AD91" i="70" a="1"/>
  <c r="AD91" i="70" s="1"/>
  <c r="T91" i="70"/>
  <c r="R91" i="70"/>
  <c r="N91" i="70"/>
  <c r="M91" i="70"/>
  <c r="L91" i="70"/>
  <c r="F91" i="70"/>
  <c r="D91" i="70"/>
  <c r="AF90" i="70" a="1"/>
  <c r="AF90" i="70" s="1"/>
  <c r="AE90" i="70" a="1"/>
  <c r="AE90" i="70" s="1"/>
  <c r="AD90" i="70" a="1"/>
  <c r="AD90" i="70" s="1"/>
  <c r="T90" i="70"/>
  <c r="R90" i="70"/>
  <c r="N90" i="70"/>
  <c r="M90" i="70"/>
  <c r="L90" i="70"/>
  <c r="F90" i="70"/>
  <c r="D90" i="70"/>
  <c r="AF89" i="70" a="1"/>
  <c r="AF89" i="70" s="1"/>
  <c r="AE89" i="70" a="1"/>
  <c r="AE89" i="70" s="1"/>
  <c r="AD89" i="70" a="1"/>
  <c r="AD89" i="70" s="1"/>
  <c r="T89" i="70"/>
  <c r="R89" i="70"/>
  <c r="N89" i="70"/>
  <c r="M89" i="70"/>
  <c r="L89" i="70"/>
  <c r="F89" i="70"/>
  <c r="D89" i="70"/>
  <c r="AF88" i="70" a="1"/>
  <c r="AF88" i="70" s="1"/>
  <c r="AE88" i="70" a="1"/>
  <c r="AE88" i="70" s="1"/>
  <c r="AD88" i="70" a="1"/>
  <c r="AD88" i="70" s="1"/>
  <c r="T88" i="70"/>
  <c r="R88" i="70"/>
  <c r="N88" i="70"/>
  <c r="M88" i="70"/>
  <c r="L88" i="70"/>
  <c r="F88" i="70"/>
  <c r="D88" i="70"/>
  <c r="AF87" i="70" a="1"/>
  <c r="AF87" i="70" s="1"/>
  <c r="AE87" i="70" a="1"/>
  <c r="AE87" i="70" s="1"/>
  <c r="AD87" i="70" a="1"/>
  <c r="AD87" i="70" s="1"/>
  <c r="T87" i="70"/>
  <c r="R87" i="70"/>
  <c r="N87" i="70"/>
  <c r="M87" i="70"/>
  <c r="L87" i="70"/>
  <c r="F87" i="70"/>
  <c r="D87" i="70"/>
  <c r="AF86" i="70" a="1"/>
  <c r="AF86" i="70" s="1"/>
  <c r="AE86" i="70" a="1"/>
  <c r="AE86" i="70" s="1"/>
  <c r="AD86" i="70" a="1"/>
  <c r="AD86" i="70" s="1"/>
  <c r="T86" i="70"/>
  <c r="R86" i="70"/>
  <c r="N86" i="70"/>
  <c r="M86" i="70"/>
  <c r="L86" i="70"/>
  <c r="F86" i="70"/>
  <c r="D86" i="70"/>
  <c r="AF85" i="70" a="1"/>
  <c r="AF85" i="70" s="1"/>
  <c r="AE85" i="70" a="1"/>
  <c r="AE85" i="70" s="1"/>
  <c r="AD85" i="70" a="1"/>
  <c r="AD85" i="70" s="1"/>
  <c r="T85" i="70"/>
  <c r="R85" i="70"/>
  <c r="N85" i="70"/>
  <c r="M85" i="70"/>
  <c r="L85" i="70"/>
  <c r="F85" i="70"/>
  <c r="D85" i="70"/>
  <c r="AF84" i="70" a="1"/>
  <c r="AF84" i="70" s="1"/>
  <c r="AE84" i="70" a="1"/>
  <c r="AE84" i="70" s="1"/>
  <c r="AD84" i="70" a="1"/>
  <c r="AD84" i="70" s="1"/>
  <c r="T84" i="70"/>
  <c r="R84" i="70"/>
  <c r="N84" i="70"/>
  <c r="M84" i="70"/>
  <c r="L84" i="70"/>
  <c r="F84" i="70"/>
  <c r="D84" i="70"/>
  <c r="AF83" i="70" a="1"/>
  <c r="AF83" i="70" s="1"/>
  <c r="AE83" i="70" a="1"/>
  <c r="AE83" i="70" s="1"/>
  <c r="AD83" i="70" a="1"/>
  <c r="AD83" i="70" s="1"/>
  <c r="T83" i="70"/>
  <c r="R83" i="70"/>
  <c r="N83" i="70"/>
  <c r="M83" i="70"/>
  <c r="L83" i="70"/>
  <c r="F83" i="70"/>
  <c r="D83" i="70"/>
  <c r="AF82" i="70" a="1"/>
  <c r="AF82" i="70" s="1"/>
  <c r="AE82" i="70" a="1"/>
  <c r="AE82" i="70" s="1"/>
  <c r="AD82" i="70" a="1"/>
  <c r="AD82" i="70" s="1"/>
  <c r="T82" i="70"/>
  <c r="R82" i="70"/>
  <c r="N82" i="70"/>
  <c r="M82" i="70"/>
  <c r="L82" i="70"/>
  <c r="F82" i="70"/>
  <c r="D82" i="70"/>
  <c r="AF81" i="70" a="1"/>
  <c r="AF81" i="70" s="1"/>
  <c r="AE81" i="70" a="1"/>
  <c r="AE81" i="70" s="1"/>
  <c r="AD81" i="70" a="1"/>
  <c r="AD81" i="70" s="1"/>
  <c r="T81" i="70"/>
  <c r="R81" i="70"/>
  <c r="N81" i="70"/>
  <c r="M81" i="70"/>
  <c r="L81" i="70"/>
  <c r="F81" i="70"/>
  <c r="D81" i="70"/>
  <c r="AF80" i="70" a="1"/>
  <c r="AF80" i="70" s="1"/>
  <c r="AE80" i="70" a="1"/>
  <c r="AE80" i="70" s="1"/>
  <c r="AD80" i="70" a="1"/>
  <c r="AD80" i="70" s="1"/>
  <c r="T80" i="70"/>
  <c r="R80" i="70"/>
  <c r="N80" i="70"/>
  <c r="M80" i="70"/>
  <c r="L80" i="70"/>
  <c r="F80" i="70"/>
  <c r="D80" i="70"/>
  <c r="AF79" i="70" a="1"/>
  <c r="AF79" i="70" s="1"/>
  <c r="AE79" i="70" a="1"/>
  <c r="AE79" i="70" s="1"/>
  <c r="AD79" i="70" a="1"/>
  <c r="AD79" i="70" s="1"/>
  <c r="T79" i="70"/>
  <c r="R79" i="70"/>
  <c r="N79" i="70"/>
  <c r="M79" i="70"/>
  <c r="L79" i="70"/>
  <c r="F79" i="70"/>
  <c r="D79" i="70"/>
  <c r="AF78" i="70" a="1"/>
  <c r="AF78" i="70" s="1"/>
  <c r="AE78" i="70" a="1"/>
  <c r="AE78" i="70" s="1"/>
  <c r="AD78" i="70" a="1"/>
  <c r="AD78" i="70" s="1"/>
  <c r="T78" i="70"/>
  <c r="R78" i="70"/>
  <c r="N78" i="70"/>
  <c r="M78" i="70"/>
  <c r="L78" i="70"/>
  <c r="F78" i="70"/>
  <c r="D78" i="70"/>
  <c r="AF77" i="70" a="1"/>
  <c r="AF77" i="70" s="1"/>
  <c r="AE77" i="70" a="1"/>
  <c r="AE77" i="70" s="1"/>
  <c r="AD77" i="70" a="1"/>
  <c r="AD77" i="70" s="1"/>
  <c r="T77" i="70"/>
  <c r="R77" i="70"/>
  <c r="N77" i="70"/>
  <c r="M77" i="70"/>
  <c r="L77" i="70"/>
  <c r="F77" i="70"/>
  <c r="D77" i="70"/>
  <c r="AF76" i="70" a="1"/>
  <c r="AF76" i="70" s="1"/>
  <c r="AE76" i="70" a="1"/>
  <c r="AE76" i="70" s="1"/>
  <c r="AD76" i="70" a="1"/>
  <c r="AD76" i="70" s="1"/>
  <c r="T76" i="70"/>
  <c r="R76" i="70"/>
  <c r="N76" i="70"/>
  <c r="M76" i="70"/>
  <c r="L76" i="70"/>
  <c r="F76" i="70"/>
  <c r="D76" i="70"/>
  <c r="AF75" i="70" a="1"/>
  <c r="AF75" i="70" s="1"/>
  <c r="AE75" i="70" a="1"/>
  <c r="AE75" i="70" s="1"/>
  <c r="AD75" i="70" a="1"/>
  <c r="AD75" i="70" s="1"/>
  <c r="T75" i="70"/>
  <c r="R75" i="70"/>
  <c r="N75" i="70"/>
  <c r="M75" i="70"/>
  <c r="L75" i="70"/>
  <c r="F75" i="70"/>
  <c r="D75" i="70"/>
  <c r="AF74" i="70" a="1"/>
  <c r="AF74" i="70" s="1"/>
  <c r="AE74" i="70" a="1"/>
  <c r="AE74" i="70" s="1"/>
  <c r="AD74" i="70" a="1"/>
  <c r="AD74" i="70" s="1"/>
  <c r="T74" i="70"/>
  <c r="R74" i="70"/>
  <c r="N74" i="70"/>
  <c r="M74" i="70"/>
  <c r="L74" i="70"/>
  <c r="F74" i="70"/>
  <c r="D74" i="70"/>
  <c r="AF73" i="70" a="1"/>
  <c r="AF73" i="70" s="1"/>
  <c r="AE73" i="70" a="1"/>
  <c r="AE73" i="70" s="1"/>
  <c r="AD73" i="70" a="1"/>
  <c r="AD73" i="70" s="1"/>
  <c r="T73" i="70"/>
  <c r="R73" i="70"/>
  <c r="N73" i="70"/>
  <c r="M73" i="70"/>
  <c r="L73" i="70"/>
  <c r="F73" i="70"/>
  <c r="D73" i="70"/>
  <c r="AF69" i="70" a="1"/>
  <c r="AF69" i="70" s="1"/>
  <c r="AE69" i="70" a="1"/>
  <c r="AE69" i="70" s="1"/>
  <c r="AD69" i="70" a="1"/>
  <c r="AD69" i="70" s="1"/>
  <c r="T69" i="70"/>
  <c r="AF68" i="70" a="1"/>
  <c r="AF68" i="70" s="1"/>
  <c r="AE68" i="70" a="1"/>
  <c r="AE68" i="70" s="1"/>
  <c r="AD68" i="70" a="1"/>
  <c r="AD68" i="70" s="1"/>
  <c r="T68" i="70"/>
  <c r="AF67" i="70" a="1"/>
  <c r="AF67" i="70" s="1"/>
  <c r="AE67" i="70" a="1"/>
  <c r="AE67" i="70" s="1"/>
  <c r="AD67" i="70" a="1"/>
  <c r="AD67" i="70" s="1"/>
  <c r="T67" i="70"/>
  <c r="AF66" i="70" a="1"/>
  <c r="AF66" i="70" s="1"/>
  <c r="T66" i="70"/>
  <c r="M66" i="70"/>
  <c r="N66" i="70" s="1"/>
  <c r="L66" i="70"/>
  <c r="AF65" i="70" a="1"/>
  <c r="AF65" i="70" s="1"/>
  <c r="T65" i="70"/>
  <c r="M65" i="70"/>
  <c r="N65" i="70" s="1"/>
  <c r="L65" i="70"/>
  <c r="AF64" i="70" a="1"/>
  <c r="AF64" i="70" s="1"/>
  <c r="AE64" i="70" a="1"/>
  <c r="AE64" i="70" s="1"/>
  <c r="AD64" i="70" a="1"/>
  <c r="AD64" i="70" s="1"/>
  <c r="T64" i="70"/>
  <c r="M64" i="70"/>
  <c r="N64" i="70" s="1"/>
  <c r="L64" i="70"/>
  <c r="AF63" i="70" a="1"/>
  <c r="AF63" i="70" s="1"/>
  <c r="AE63" i="70" a="1"/>
  <c r="AE63" i="70" s="1"/>
  <c r="AD63" i="70" a="1"/>
  <c r="AD63" i="70" s="1"/>
  <c r="T63" i="70"/>
  <c r="M63" i="70"/>
  <c r="N63" i="70" s="1"/>
  <c r="L63" i="70"/>
  <c r="AF62" i="70" a="1"/>
  <c r="AF62" i="70" s="1"/>
  <c r="AE62" i="70" a="1"/>
  <c r="AE62" i="70" s="1"/>
  <c r="AD62" i="70" a="1"/>
  <c r="AD62" i="70" s="1"/>
  <c r="T62" i="70"/>
  <c r="M62" i="70"/>
  <c r="N62" i="70" s="1"/>
  <c r="L62" i="70"/>
  <c r="AF61" i="70" a="1"/>
  <c r="AF61" i="70" s="1"/>
  <c r="AE61" i="70" a="1"/>
  <c r="AE61" i="70" s="1"/>
  <c r="AD61" i="70" a="1"/>
  <c r="AD61" i="70" s="1"/>
  <c r="T61" i="70"/>
  <c r="M61" i="70"/>
  <c r="N61" i="70" s="1"/>
  <c r="L61" i="70"/>
  <c r="AF60" i="70" a="1"/>
  <c r="AF60" i="70" s="1"/>
  <c r="AE60" i="70" a="1"/>
  <c r="AE60" i="70" s="1"/>
  <c r="AD60" i="70" a="1"/>
  <c r="AD60" i="70" s="1"/>
  <c r="T60" i="70"/>
  <c r="M60" i="70"/>
  <c r="N60" i="70" s="1"/>
  <c r="L60" i="70"/>
  <c r="AF58" i="70" a="1"/>
  <c r="AF58" i="70" s="1"/>
  <c r="AE58" i="70" a="1"/>
  <c r="AE58" i="70" s="1"/>
  <c r="AD58" i="70" a="1"/>
  <c r="AD58" i="70" s="1"/>
  <c r="U58" i="70"/>
  <c r="V58" i="70" s="1"/>
  <c r="T58" i="70"/>
  <c r="O58" i="70"/>
  <c r="P58" i="70" s="1"/>
  <c r="M58" i="70"/>
  <c r="N58" i="70" s="1"/>
  <c r="L58" i="70"/>
  <c r="AF57" i="70" a="1"/>
  <c r="AF57" i="70" s="1"/>
  <c r="AE57" i="70" a="1"/>
  <c r="AE57" i="70" s="1"/>
  <c r="AD57" i="70" a="1"/>
  <c r="AD57" i="70" s="1"/>
  <c r="U57" i="70"/>
  <c r="V57" i="70" s="1"/>
  <c r="T57" i="70"/>
  <c r="O57" i="70"/>
  <c r="P57" i="70" s="1"/>
  <c r="M57" i="70"/>
  <c r="N57" i="70" s="1"/>
  <c r="L57" i="70"/>
  <c r="AF54" i="70" a="1"/>
  <c r="AF54" i="70" s="1"/>
  <c r="AE54" i="70" a="1"/>
  <c r="AE54" i="70" s="1"/>
  <c r="AD54" i="70" a="1"/>
  <c r="AD54" i="70" s="1"/>
  <c r="U54" i="70"/>
  <c r="V54" i="70" s="1"/>
  <c r="T54" i="70"/>
  <c r="O54" i="70"/>
  <c r="P54" i="70" s="1"/>
  <c r="M54" i="70"/>
  <c r="N54" i="70" s="1"/>
  <c r="L54" i="70"/>
  <c r="AF53" i="70" a="1"/>
  <c r="AF53" i="70" s="1"/>
  <c r="AE53" i="70" a="1"/>
  <c r="AE53" i="70" s="1"/>
  <c r="AD53" i="70" a="1"/>
  <c r="AD53" i="70" s="1"/>
  <c r="U53" i="70"/>
  <c r="V53" i="70" s="1"/>
  <c r="T53" i="70"/>
  <c r="O53" i="70"/>
  <c r="P53" i="70" s="1"/>
  <c r="M53" i="70"/>
  <c r="N53" i="70" s="1"/>
  <c r="L53" i="70"/>
  <c r="AF52" i="70" a="1"/>
  <c r="AF52" i="70" s="1"/>
  <c r="AE52" i="70" a="1"/>
  <c r="AE52" i="70" s="1"/>
  <c r="AD52" i="70" a="1"/>
  <c r="AD52" i="70" s="1"/>
  <c r="U52" i="70"/>
  <c r="V52" i="70" s="1"/>
  <c r="T52" i="70"/>
  <c r="O52" i="70"/>
  <c r="P52" i="70" s="1"/>
  <c r="M52" i="70"/>
  <c r="N52" i="70" s="1"/>
  <c r="L52" i="70"/>
  <c r="AF51" i="70" a="1"/>
  <c r="AF51" i="70" s="1"/>
  <c r="AE51" i="70" a="1"/>
  <c r="AE51" i="70" s="1"/>
  <c r="AD51" i="70" a="1"/>
  <c r="AD51" i="70" s="1"/>
  <c r="U51" i="70"/>
  <c r="V51" i="70" s="1"/>
  <c r="T51" i="70"/>
  <c r="O51" i="70"/>
  <c r="P51" i="70" s="1"/>
  <c r="M51" i="70"/>
  <c r="N51" i="70" s="1"/>
  <c r="L51" i="70"/>
  <c r="AF50" i="70" a="1"/>
  <c r="AF50" i="70" s="1"/>
  <c r="AE50" i="70" a="1"/>
  <c r="AE50" i="70" s="1"/>
  <c r="AD50" i="70" a="1"/>
  <c r="AD50" i="70" s="1"/>
  <c r="U50" i="70"/>
  <c r="V50" i="70" s="1"/>
  <c r="T50" i="70"/>
  <c r="O50" i="70"/>
  <c r="P50" i="70" s="1"/>
  <c r="M50" i="70"/>
  <c r="N50" i="70" s="1"/>
  <c r="L50" i="70"/>
  <c r="AF49" i="70" a="1"/>
  <c r="AF49" i="70" s="1"/>
  <c r="AE49" i="70" a="1"/>
  <c r="AE49" i="70" s="1"/>
  <c r="AD49" i="70" a="1"/>
  <c r="AD49" i="70" s="1"/>
  <c r="U49" i="70"/>
  <c r="V49" i="70" s="1"/>
  <c r="T49" i="70"/>
  <c r="O49" i="70"/>
  <c r="P49" i="70" s="1"/>
  <c r="M49" i="70"/>
  <c r="N49" i="70" s="1"/>
  <c r="L49" i="70"/>
  <c r="AF48" i="70" a="1"/>
  <c r="AF48" i="70" s="1"/>
  <c r="AE48" i="70" a="1"/>
  <c r="AE48" i="70" s="1"/>
  <c r="AD48" i="70" a="1"/>
  <c r="AD48" i="70" s="1"/>
  <c r="U48" i="70"/>
  <c r="V48" i="70" s="1"/>
  <c r="T48" i="70"/>
  <c r="O48" i="70"/>
  <c r="P48" i="70" s="1"/>
  <c r="M48" i="70"/>
  <c r="N48" i="70" s="1"/>
  <c r="L48" i="70"/>
  <c r="AF47" i="70" a="1"/>
  <c r="AF47" i="70" s="1"/>
  <c r="AE47" i="70" a="1"/>
  <c r="AE47" i="70" s="1"/>
  <c r="AD47" i="70" a="1"/>
  <c r="AD47" i="70" s="1"/>
  <c r="U47" i="70"/>
  <c r="V47" i="70" s="1"/>
  <c r="T47" i="70"/>
  <c r="O47" i="70"/>
  <c r="P47" i="70" s="1"/>
  <c r="M47" i="70"/>
  <c r="N47" i="70" s="1"/>
  <c r="L47" i="70"/>
  <c r="AF45" i="70" a="1"/>
  <c r="AF45" i="70" s="1"/>
  <c r="AE45" i="70" a="1"/>
  <c r="AE45" i="70" s="1"/>
  <c r="AD45" i="70" a="1"/>
  <c r="AD45" i="70" s="1"/>
  <c r="U45" i="70"/>
  <c r="V45" i="70" s="1"/>
  <c r="T45" i="70"/>
  <c r="O45" i="70"/>
  <c r="P45" i="70" s="1"/>
  <c r="M45" i="70"/>
  <c r="N45" i="70" s="1"/>
  <c r="L45" i="70"/>
  <c r="AF43" i="70" a="1"/>
  <c r="AF43" i="70" s="1"/>
  <c r="AE43" i="70" a="1"/>
  <c r="AE43" i="70" s="1"/>
  <c r="AD43" i="70" a="1"/>
  <c r="AD43" i="70" s="1"/>
  <c r="U43" i="70"/>
  <c r="V43" i="70" s="1"/>
  <c r="T43" i="70"/>
  <c r="O43" i="70"/>
  <c r="P43" i="70" s="1"/>
  <c r="M43" i="70"/>
  <c r="N43" i="70" s="1"/>
  <c r="L43" i="70"/>
  <c r="AF41" i="70" a="1"/>
  <c r="AF41" i="70" s="1"/>
  <c r="AE41" i="70" a="1"/>
  <c r="AE41" i="70" s="1"/>
  <c r="AD41" i="70" a="1"/>
  <c r="AD41" i="70" s="1"/>
  <c r="U41" i="70"/>
  <c r="V41" i="70" s="1"/>
  <c r="T41" i="70"/>
  <c r="O41" i="70"/>
  <c r="P41" i="70" s="1"/>
  <c r="M41" i="70"/>
  <c r="N41" i="70" s="1"/>
  <c r="L41" i="70"/>
  <c r="AF40" i="70" a="1"/>
  <c r="AF40" i="70" s="1"/>
  <c r="AE40" i="70" a="1"/>
  <c r="AE40" i="70" s="1"/>
  <c r="AD40" i="70" a="1"/>
  <c r="AD40" i="70" s="1"/>
  <c r="U40" i="70"/>
  <c r="V40" i="70" s="1"/>
  <c r="T40" i="70"/>
  <c r="O40" i="70"/>
  <c r="P40" i="70" s="1"/>
  <c r="M40" i="70"/>
  <c r="N40" i="70" s="1"/>
  <c r="L40" i="70"/>
  <c r="AF39" i="70" a="1"/>
  <c r="AF39" i="70" s="1"/>
  <c r="AE39" i="70" a="1"/>
  <c r="AE39" i="70" s="1"/>
  <c r="AD39" i="70" a="1"/>
  <c r="AD39" i="70" s="1"/>
  <c r="U39" i="70"/>
  <c r="V39" i="70" s="1"/>
  <c r="T39" i="70"/>
  <c r="O39" i="70"/>
  <c r="P39" i="70" s="1"/>
  <c r="M39" i="70"/>
  <c r="N39" i="70" s="1"/>
  <c r="L39" i="70"/>
  <c r="AF38" i="70" a="1"/>
  <c r="AF38" i="70" s="1"/>
  <c r="AE38" i="70" a="1"/>
  <c r="AE38" i="70" s="1"/>
  <c r="AD38" i="70" a="1"/>
  <c r="AD38" i="70" s="1"/>
  <c r="U38" i="70"/>
  <c r="V38" i="70" s="1"/>
  <c r="T38" i="70"/>
  <c r="R38" i="70"/>
  <c r="O38" i="70"/>
  <c r="P38" i="70" s="1"/>
  <c r="M38" i="70"/>
  <c r="N38" i="70" s="1"/>
  <c r="L38" i="70"/>
  <c r="AF37" i="70" a="1"/>
  <c r="AF37" i="70" s="1"/>
  <c r="AE37" i="70" a="1"/>
  <c r="AE37" i="70" s="1"/>
  <c r="AD37" i="70" a="1"/>
  <c r="AD37" i="70" s="1"/>
  <c r="U37" i="70"/>
  <c r="V37" i="70" s="1"/>
  <c r="T37" i="70"/>
  <c r="R37" i="70"/>
  <c r="O37" i="70"/>
  <c r="P37" i="70" s="1"/>
  <c r="M37" i="70"/>
  <c r="N37" i="70" s="1"/>
  <c r="L37" i="70"/>
  <c r="AF36" i="70" a="1"/>
  <c r="AF36" i="70" s="1"/>
  <c r="AE36" i="70" a="1"/>
  <c r="AE36" i="70" s="1"/>
  <c r="AD36" i="70" a="1"/>
  <c r="AD36" i="70" s="1"/>
  <c r="U36" i="70"/>
  <c r="V36" i="70" s="1"/>
  <c r="T36" i="70"/>
  <c r="R36" i="70"/>
  <c r="O36" i="70"/>
  <c r="P36" i="70" s="1"/>
  <c r="M36" i="70"/>
  <c r="N36" i="70" s="1"/>
  <c r="L36" i="70"/>
  <c r="AF35" i="70" a="1"/>
  <c r="AF35" i="70" s="1"/>
  <c r="AE35" i="70" a="1"/>
  <c r="AE35" i="70" s="1"/>
  <c r="AD35" i="70" a="1"/>
  <c r="AD35" i="70" s="1"/>
  <c r="U35" i="70"/>
  <c r="V35" i="70" s="1"/>
  <c r="T35" i="70"/>
  <c r="R35" i="70"/>
  <c r="O35" i="70"/>
  <c r="P35" i="70" s="1"/>
  <c r="M35" i="70"/>
  <c r="N35" i="70" s="1"/>
  <c r="L35" i="70"/>
  <c r="AF34" i="70" a="1"/>
  <c r="AF34" i="70" s="1"/>
  <c r="AE34" i="70" a="1"/>
  <c r="AE34" i="70" s="1"/>
  <c r="AD34" i="70" a="1"/>
  <c r="AD34" i="70" s="1"/>
  <c r="U34" i="70"/>
  <c r="V34" i="70" s="1"/>
  <c r="T34" i="70"/>
  <c r="R34" i="70"/>
  <c r="O34" i="70"/>
  <c r="P34" i="70" s="1"/>
  <c r="M34" i="70"/>
  <c r="N34" i="70" s="1"/>
  <c r="L34" i="70"/>
  <c r="AF33" i="70" a="1"/>
  <c r="AF33" i="70" s="1"/>
  <c r="AE33" i="70" a="1"/>
  <c r="AE33" i="70" s="1"/>
  <c r="AD33" i="70" a="1"/>
  <c r="AD33" i="70" s="1"/>
  <c r="U33" i="70"/>
  <c r="V33" i="70" s="1"/>
  <c r="T33" i="70"/>
  <c r="R33" i="70"/>
  <c r="O33" i="70"/>
  <c r="P33" i="70" s="1"/>
  <c r="M33" i="70"/>
  <c r="N33" i="70" s="1"/>
  <c r="L33" i="70"/>
  <c r="AF32" i="70" a="1"/>
  <c r="AF32" i="70" s="1"/>
  <c r="AE32" i="70" a="1"/>
  <c r="AE32" i="70" s="1"/>
  <c r="AD32" i="70" a="1"/>
  <c r="AD32" i="70" s="1"/>
  <c r="U32" i="70"/>
  <c r="V32" i="70" s="1"/>
  <c r="T32" i="70"/>
  <c r="R32" i="70"/>
  <c r="O32" i="70"/>
  <c r="P32" i="70" s="1"/>
  <c r="M32" i="70"/>
  <c r="N32" i="70" s="1"/>
  <c r="L32" i="70"/>
  <c r="AF44" i="70" a="1"/>
  <c r="AF44" i="70" s="1"/>
  <c r="AE44" i="70" a="1"/>
  <c r="AE44" i="70" s="1"/>
  <c r="AD44" i="70" a="1"/>
  <c r="AD44" i="70" s="1"/>
  <c r="U44" i="70"/>
  <c r="V44" i="70" s="1"/>
  <c r="T44" i="70"/>
  <c r="O44" i="70"/>
  <c r="P44" i="70" s="1"/>
  <c r="M44" i="70"/>
  <c r="N44" i="70" s="1"/>
  <c r="L44" i="70"/>
  <c r="AF31" i="70" a="1"/>
  <c r="AF31" i="70" s="1"/>
  <c r="AE31" i="70" a="1"/>
  <c r="AE31" i="70" s="1"/>
  <c r="AD31" i="70" a="1"/>
  <c r="AD31" i="70" s="1"/>
  <c r="U31" i="70"/>
  <c r="V31" i="70" s="1"/>
  <c r="T31" i="70"/>
  <c r="R31" i="70"/>
  <c r="O31" i="70"/>
  <c r="P31" i="70" s="1"/>
  <c r="M31" i="70"/>
  <c r="N31" i="70" s="1"/>
  <c r="L31" i="70"/>
  <c r="AF30" i="70" a="1"/>
  <c r="AF30" i="70" s="1"/>
  <c r="AE30" i="70" a="1"/>
  <c r="AE30" i="70" s="1"/>
  <c r="AD30" i="70" a="1"/>
  <c r="AD30" i="70" s="1"/>
  <c r="U30" i="70"/>
  <c r="V30" i="70" s="1"/>
  <c r="T30" i="70"/>
  <c r="R30" i="70"/>
  <c r="O30" i="70"/>
  <c r="P30" i="70" s="1"/>
  <c r="M30" i="70"/>
  <c r="N30" i="70" s="1"/>
  <c r="L30" i="70"/>
  <c r="AF29" i="70" a="1"/>
  <c r="AF29" i="70" s="1"/>
  <c r="AE29" i="70" a="1"/>
  <c r="AE29" i="70" s="1"/>
  <c r="AD29" i="70" a="1"/>
  <c r="AD29" i="70" s="1"/>
  <c r="U29" i="70"/>
  <c r="V29" i="70" s="1"/>
  <c r="T29" i="70"/>
  <c r="R29" i="70"/>
  <c r="O29" i="70"/>
  <c r="P29" i="70" s="1"/>
  <c r="M29" i="70"/>
  <c r="N29" i="70" s="1"/>
  <c r="L29" i="70"/>
  <c r="AF28" i="70" a="1"/>
  <c r="AF28" i="70" s="1"/>
  <c r="AE28" i="70" a="1"/>
  <c r="AE28" i="70" s="1"/>
  <c r="AD28" i="70" a="1"/>
  <c r="AD28" i="70" s="1"/>
  <c r="U28" i="70"/>
  <c r="V28" i="70" s="1"/>
  <c r="T28" i="70"/>
  <c r="R28" i="70"/>
  <c r="O28" i="70"/>
  <c r="P28" i="70" s="1"/>
  <c r="M28" i="70"/>
  <c r="N28" i="70" s="1"/>
  <c r="L28" i="70"/>
  <c r="AF27" i="70" a="1"/>
  <c r="AF27" i="70" s="1"/>
  <c r="AE27" i="70" a="1"/>
  <c r="AE27" i="70" s="1"/>
  <c r="AD27" i="70" a="1"/>
  <c r="AD27" i="70" s="1"/>
  <c r="U27" i="70"/>
  <c r="V27" i="70" s="1"/>
  <c r="T27" i="70"/>
  <c r="R27" i="70"/>
  <c r="O27" i="70"/>
  <c r="P27" i="70" s="1"/>
  <c r="M27" i="70"/>
  <c r="N27" i="70" s="1"/>
  <c r="L27" i="70"/>
  <c r="AF26" i="70" a="1"/>
  <c r="AF26" i="70" s="1"/>
  <c r="AE26" i="70" a="1"/>
  <c r="AE26" i="70" s="1"/>
  <c r="AD26" i="70" a="1"/>
  <c r="AD26" i="70" s="1"/>
  <c r="U26" i="70"/>
  <c r="V26" i="70" s="1"/>
  <c r="T26" i="70"/>
  <c r="R26" i="70"/>
  <c r="O26" i="70"/>
  <c r="P26" i="70" s="1"/>
  <c r="M26" i="70"/>
  <c r="N26" i="70" s="1"/>
  <c r="L26" i="70"/>
  <c r="AF25" i="70" a="1"/>
  <c r="AF25" i="70" s="1"/>
  <c r="AE25" i="70" a="1"/>
  <c r="AE25" i="70" s="1"/>
  <c r="AD25" i="70" a="1"/>
  <c r="AD25" i="70" s="1"/>
  <c r="U25" i="70"/>
  <c r="V25" i="70" s="1"/>
  <c r="T25" i="70"/>
  <c r="R25" i="70"/>
  <c r="O25" i="70"/>
  <c r="P25" i="70" s="1"/>
  <c r="M25" i="70"/>
  <c r="N25" i="70" s="1"/>
  <c r="L25" i="70"/>
  <c r="AF24" i="70" a="1"/>
  <c r="AF24" i="70" s="1"/>
  <c r="AE24" i="70" a="1"/>
  <c r="AE24" i="70" s="1"/>
  <c r="AD24" i="70" a="1"/>
  <c r="AD24" i="70" s="1"/>
  <c r="U24" i="70"/>
  <c r="V24" i="70" s="1"/>
  <c r="T24" i="70"/>
  <c r="R24" i="70"/>
  <c r="O24" i="70"/>
  <c r="P24" i="70" s="1"/>
  <c r="M24" i="70"/>
  <c r="N24" i="70" s="1"/>
  <c r="L24" i="70"/>
  <c r="AF23" i="70" a="1"/>
  <c r="AF23" i="70" s="1"/>
  <c r="AE23" i="70" a="1"/>
  <c r="AE23" i="70" s="1"/>
  <c r="AD23" i="70" a="1"/>
  <c r="AD23" i="70" s="1"/>
  <c r="U23" i="70"/>
  <c r="V23" i="70" s="1"/>
  <c r="T23" i="70"/>
  <c r="R23" i="70"/>
  <c r="O23" i="70"/>
  <c r="P23" i="70" s="1"/>
  <c r="M23" i="70"/>
  <c r="N23" i="70" s="1"/>
  <c r="L23" i="70"/>
  <c r="G20" i="70"/>
  <c r="S19" i="70"/>
  <c r="R19" i="70"/>
  <c r="S18" i="70"/>
  <c r="R18" i="70"/>
  <c r="AG17" i="70" a="1"/>
  <c r="AG17" i="70" s="1"/>
  <c r="J17" i="70"/>
  <c r="I17" i="70"/>
  <c r="AG16" i="70" a="1"/>
  <c r="AG16" i="70" s="1"/>
  <c r="S16" i="70"/>
  <c r="R16" i="70"/>
  <c r="J16" i="70"/>
  <c r="I16" i="70"/>
  <c r="AG15" i="70" a="1"/>
  <c r="AG15" i="70" s="1"/>
  <c r="S15" i="70"/>
  <c r="R15" i="70"/>
  <c r="CL12" i="70" a="1"/>
  <c r="CL12" i="70" s="1"/>
  <c r="CK12" i="70" a="1"/>
  <c r="CK12" i="70" s="1"/>
  <c r="CJ12" i="70" a="1"/>
  <c r="CJ12" i="70" s="1"/>
  <c r="CI12" i="70" a="1"/>
  <c r="CI12" i="70" s="1"/>
  <c r="CH12" i="70" a="1"/>
  <c r="CH12" i="70" s="1"/>
  <c r="CG12" i="70" a="1"/>
  <c r="CG12" i="70" s="1"/>
  <c r="CF12" i="70" a="1"/>
  <c r="CF12" i="70" s="1"/>
  <c r="CE12" i="70" a="1"/>
  <c r="CE12" i="70" s="1"/>
  <c r="CD12" i="70" a="1"/>
  <c r="CD12" i="70" s="1"/>
  <c r="CC12" i="70" a="1"/>
  <c r="CC12" i="70" s="1"/>
  <c r="CB12" i="70" a="1"/>
  <c r="CB12" i="70" s="1"/>
  <c r="CA12" i="70" a="1"/>
  <c r="CA12" i="70" s="1"/>
  <c r="BZ12" i="70" a="1"/>
  <c r="BZ12" i="70" s="1"/>
  <c r="BY12" i="70" a="1"/>
  <c r="BY12" i="70" s="1"/>
  <c r="BT12" i="70" a="1"/>
  <c r="BT12" i="70" s="1"/>
  <c r="BS12" i="70" a="1"/>
  <c r="BS12" i="70" s="1"/>
  <c r="BR12" i="70" a="1"/>
  <c r="BR12" i="70" s="1"/>
  <c r="BP12" i="70" a="1"/>
  <c r="BP12" i="70" s="1"/>
  <c r="BH12" i="70" a="1"/>
  <c r="BH12" i="70" s="1"/>
  <c r="BG12" i="70" a="1"/>
  <c r="BG12" i="70" s="1"/>
  <c r="BC12" i="70" a="1"/>
  <c r="BC12" i="70" s="1"/>
  <c r="BB12" i="70" a="1"/>
  <c r="BB12" i="70" s="1"/>
  <c r="BF12" i="70" a="1"/>
  <c r="BF12" i="70" s="1"/>
  <c r="AW12" i="70" a="1"/>
  <c r="AW12" i="70" s="1"/>
  <c r="AR12" i="70" a="1"/>
  <c r="AR12" i="70" s="1"/>
  <c r="AU12" i="70" a="1"/>
  <c r="AU12" i="70" s="1"/>
  <c r="AT12" i="70" a="1"/>
  <c r="AT12" i="70" s="1"/>
  <c r="AS12" i="70" a="1"/>
  <c r="AS12" i="70" s="1"/>
  <c r="BO12" i="70" a="1"/>
  <c r="BO12" i="70" s="1"/>
  <c r="AP12" i="70" a="1"/>
  <c r="AP12" i="70" s="1"/>
  <c r="AO12" i="70" a="1"/>
  <c r="AO12" i="70" s="1"/>
  <c r="AM12" i="70" a="1"/>
  <c r="AM12" i="70" s="1"/>
  <c r="AL12" i="70" a="1"/>
  <c r="AL12" i="70" s="1"/>
  <c r="AI12" i="70" a="1"/>
  <c r="AI12" i="70" s="1"/>
  <c r="AH12" i="70" a="1"/>
  <c r="AH12" i="70" s="1"/>
  <c r="AG12" i="70" a="1"/>
  <c r="AG12" i="70" s="1"/>
  <c r="AF12" i="70" a="1"/>
  <c r="AF12" i="70" s="1"/>
  <c r="CL10" i="70" a="1"/>
  <c r="CL10" i="70" s="1"/>
  <c r="CK10" i="70" a="1"/>
  <c r="CK10" i="70" s="1"/>
  <c r="CJ10" i="70" a="1"/>
  <c r="CJ10" i="70" s="1"/>
  <c r="CI10" i="70" a="1"/>
  <c r="CI10" i="70" s="1"/>
  <c r="CH10" i="70" a="1"/>
  <c r="CH10" i="70" s="1"/>
  <c r="CG10" i="70" a="1"/>
  <c r="CG10" i="70" s="1"/>
  <c r="CF10" i="70" a="1"/>
  <c r="CF10" i="70" s="1"/>
  <c r="CE10" i="70" a="1"/>
  <c r="CE10" i="70" s="1"/>
  <c r="CD10" i="70" a="1"/>
  <c r="CD10" i="70" s="1"/>
  <c r="CC10" i="70" a="1"/>
  <c r="CC10" i="70" s="1"/>
  <c r="CB10" i="70" a="1"/>
  <c r="CB10" i="70" s="1"/>
  <c r="CA10" i="70" a="1"/>
  <c r="CA10" i="70" s="1"/>
  <c r="BZ10" i="70" a="1"/>
  <c r="BZ10" i="70" s="1"/>
  <c r="BY10" i="70" a="1"/>
  <c r="BY10" i="70" s="1"/>
  <c r="BT10" i="70" a="1"/>
  <c r="BT10" i="70" s="1"/>
  <c r="BS10" i="70" a="1"/>
  <c r="BS10" i="70" s="1"/>
  <c r="BR10" i="70" a="1"/>
  <c r="BR10" i="70" s="1"/>
  <c r="BP10" i="70" a="1"/>
  <c r="BP10" i="70" s="1"/>
  <c r="BH10" i="70" a="1"/>
  <c r="BH10" i="70" s="1"/>
  <c r="BG10" i="70" a="1"/>
  <c r="BG10" i="70" s="1"/>
  <c r="BC10" i="70" a="1"/>
  <c r="BC10" i="70" s="1"/>
  <c r="BB10" i="70" a="1"/>
  <c r="BB10" i="70" s="1"/>
  <c r="BF10" i="70" a="1"/>
  <c r="BF10" i="70" s="1"/>
  <c r="AW10" i="70" a="1"/>
  <c r="AW10" i="70" s="1"/>
  <c r="AR10" i="70" a="1"/>
  <c r="AR10" i="70" s="1"/>
  <c r="AU10" i="70" a="1"/>
  <c r="AU10" i="70" s="1"/>
  <c r="AT10" i="70" a="1"/>
  <c r="AT10" i="70" s="1"/>
  <c r="AS10" i="70" a="1"/>
  <c r="AS10" i="70" s="1"/>
  <c r="BO10" i="70" a="1"/>
  <c r="BO10" i="70" s="1"/>
  <c r="AP10" i="70" a="1"/>
  <c r="AP10" i="70" s="1"/>
  <c r="AO10" i="70" a="1"/>
  <c r="AO10" i="70" s="1"/>
  <c r="AM10" i="70" a="1"/>
  <c r="AM10" i="70" s="1"/>
  <c r="AL10" i="70" a="1"/>
  <c r="AL10" i="70" s="1"/>
  <c r="AI10" i="70" a="1"/>
  <c r="AI10" i="70" s="1"/>
  <c r="AH10" i="70" a="1"/>
  <c r="AH10" i="70" s="1"/>
  <c r="AG10" i="70" a="1"/>
  <c r="AG10" i="70" s="1"/>
  <c r="AF10" i="70" a="1"/>
  <c r="AF10" i="70" s="1"/>
  <c r="CL2" i="70" a="1"/>
  <c r="CL2" i="70" s="1"/>
  <c r="CK2" i="70" a="1"/>
  <c r="CK2" i="70" s="1"/>
  <c r="CJ2" i="70" a="1"/>
  <c r="CJ2" i="70" s="1"/>
  <c r="CI2" i="70" a="1"/>
  <c r="CI2" i="70" s="1"/>
  <c r="CH2" i="70" a="1"/>
  <c r="CH2" i="70" s="1"/>
  <c r="CG2" i="70" a="1"/>
  <c r="CG2" i="70" s="1"/>
  <c r="CF2" i="70" a="1"/>
  <c r="CF2" i="70" s="1"/>
  <c r="CE2" i="70" a="1"/>
  <c r="CE2" i="70" s="1"/>
  <c r="CD2" i="70" a="1"/>
  <c r="CD2" i="70" s="1"/>
  <c r="CC2" i="70" a="1"/>
  <c r="CC2" i="70" s="1"/>
  <c r="CB2" i="70" a="1"/>
  <c r="CB2" i="70" s="1"/>
  <c r="CA2" i="70" a="1"/>
  <c r="CA2" i="70" s="1"/>
  <c r="BZ2" i="70" a="1"/>
  <c r="BZ2" i="70" s="1"/>
  <c r="BY2" i="70" a="1"/>
  <c r="BY2" i="70" s="1"/>
  <c r="BT2" i="70" a="1"/>
  <c r="BT2" i="70" s="1"/>
  <c r="BS2" i="70" a="1"/>
  <c r="BS2" i="70" s="1"/>
  <c r="BR2" i="70" a="1"/>
  <c r="BR2" i="70" s="1"/>
  <c r="BP2" i="70" a="1"/>
  <c r="BP2" i="70" s="1"/>
  <c r="BH2" i="70" a="1"/>
  <c r="BH2" i="70" s="1"/>
  <c r="BG2" i="70" a="1"/>
  <c r="BG2" i="70" s="1"/>
  <c r="BC2" i="70" a="1"/>
  <c r="BC2" i="70" s="1"/>
  <c r="BB2" i="70" a="1"/>
  <c r="BB2" i="70" s="1"/>
  <c r="BF2" i="70" a="1"/>
  <c r="BF2" i="70" s="1"/>
  <c r="AW2" i="70" a="1"/>
  <c r="AW2" i="70" s="1"/>
  <c r="AR2" i="70" a="1"/>
  <c r="AR2" i="70" s="1"/>
  <c r="AU2" i="70" a="1"/>
  <c r="AU2" i="70" s="1"/>
  <c r="AT2" i="70" a="1"/>
  <c r="AT2" i="70" s="1"/>
  <c r="AS2" i="70" a="1"/>
  <c r="AS2" i="70" s="1"/>
  <c r="BO2" i="70" a="1"/>
  <c r="BO2" i="70" s="1"/>
  <c r="AP2" i="70" a="1"/>
  <c r="AP2" i="70" s="1"/>
  <c r="AO2" i="70" a="1"/>
  <c r="AO2" i="70" s="1"/>
  <c r="AM2" i="70" a="1"/>
  <c r="AM2" i="70" s="1"/>
  <c r="AL2" i="70" a="1"/>
  <c r="AL2" i="70" s="1"/>
  <c r="AI2" i="70" a="1"/>
  <c r="AI2" i="70" s="1"/>
  <c r="AH2" i="70" a="1"/>
  <c r="AH2" i="70" s="1"/>
  <c r="AG2" i="70" a="1"/>
  <c r="AG2" i="70" s="1"/>
  <c r="CL1" i="70"/>
  <c r="CK1" i="70"/>
  <c r="CJ1" i="70"/>
  <c r="CI1" i="70"/>
  <c r="CH1" i="70"/>
  <c r="CG1" i="70"/>
  <c r="CF1" i="70"/>
  <c r="CE1" i="70"/>
  <c r="CD1" i="70"/>
  <c r="CC1" i="70"/>
  <c r="CB1" i="70"/>
  <c r="CA1" i="70"/>
  <c r="BZ1" i="70"/>
  <c r="BY1" i="70"/>
  <c r="BT1" i="70"/>
  <c r="BS1" i="70"/>
  <c r="BR1" i="70"/>
  <c r="BP1" i="70"/>
  <c r="BH1" i="70"/>
  <c r="BG1" i="70"/>
  <c r="BC1" i="70"/>
  <c r="BB1" i="70"/>
  <c r="BF1" i="70"/>
  <c r="AW1" i="70"/>
  <c r="AR1" i="70"/>
  <c r="AU1" i="70"/>
  <c r="AT1" i="70"/>
  <c r="AS1" i="70"/>
  <c r="BO1" i="70"/>
  <c r="AP1" i="70"/>
  <c r="AO1" i="70"/>
  <c r="AM1" i="70"/>
  <c r="AL1" i="70"/>
  <c r="AI1" i="70"/>
  <c r="AH1" i="70"/>
  <c r="AG1" i="70"/>
  <c r="AF128" i="69" a="1"/>
  <c r="AF128" i="69" s="1"/>
  <c r="AE128" i="69" a="1"/>
  <c r="AE128" i="69" s="1"/>
  <c r="AD128" i="69" a="1"/>
  <c r="AD128" i="69" s="1"/>
  <c r="T128" i="69"/>
  <c r="R128" i="69"/>
  <c r="N128" i="69"/>
  <c r="M128" i="69"/>
  <c r="L128" i="69"/>
  <c r="F128" i="69"/>
  <c r="D128" i="69"/>
  <c r="AF127" i="69" a="1"/>
  <c r="AF127" i="69" s="1"/>
  <c r="AE127" i="69" a="1"/>
  <c r="AE127" i="69" s="1"/>
  <c r="AD127" i="69" a="1"/>
  <c r="AD127" i="69" s="1"/>
  <c r="T127" i="69"/>
  <c r="R127" i="69"/>
  <c r="N127" i="69"/>
  <c r="M127" i="69"/>
  <c r="L127" i="69"/>
  <c r="F127" i="69"/>
  <c r="D127" i="69"/>
  <c r="AF126" i="69" a="1"/>
  <c r="AF126" i="69" s="1"/>
  <c r="AE126" i="69" a="1"/>
  <c r="AE126" i="69" s="1"/>
  <c r="AD126" i="69" a="1"/>
  <c r="AD126" i="69" s="1"/>
  <c r="T126" i="69"/>
  <c r="R126" i="69"/>
  <c r="N126" i="69"/>
  <c r="M126" i="69"/>
  <c r="L126" i="69"/>
  <c r="F126" i="69"/>
  <c r="D126" i="69"/>
  <c r="AF125" i="69" a="1"/>
  <c r="AF125" i="69" s="1"/>
  <c r="AE125" i="69" a="1"/>
  <c r="AE125" i="69" s="1"/>
  <c r="AD125" i="69" a="1"/>
  <c r="AD125" i="69" s="1"/>
  <c r="T125" i="69"/>
  <c r="R125" i="69"/>
  <c r="N125" i="69"/>
  <c r="M125" i="69"/>
  <c r="L125" i="69"/>
  <c r="F125" i="69"/>
  <c r="D125" i="69"/>
  <c r="AF124" i="69" a="1"/>
  <c r="AF124" i="69" s="1"/>
  <c r="AE124" i="69" a="1"/>
  <c r="AE124" i="69" s="1"/>
  <c r="AD124" i="69" a="1"/>
  <c r="AD124" i="69" s="1"/>
  <c r="T124" i="69"/>
  <c r="R124" i="69"/>
  <c r="N124" i="69"/>
  <c r="M124" i="69"/>
  <c r="L124" i="69"/>
  <c r="F124" i="69"/>
  <c r="D124" i="69"/>
  <c r="AF123" i="69" a="1"/>
  <c r="AF123" i="69" s="1"/>
  <c r="AE123" i="69" a="1"/>
  <c r="AE123" i="69" s="1"/>
  <c r="AD123" i="69" a="1"/>
  <c r="AD123" i="69" s="1"/>
  <c r="T123" i="69"/>
  <c r="R123" i="69"/>
  <c r="N123" i="69"/>
  <c r="M123" i="69"/>
  <c r="L123" i="69"/>
  <c r="F123" i="69"/>
  <c r="D123" i="69"/>
  <c r="AF122" i="69" a="1"/>
  <c r="AF122" i="69" s="1"/>
  <c r="AE122" i="69" a="1"/>
  <c r="AE122" i="69" s="1"/>
  <c r="AD122" i="69" a="1"/>
  <c r="AD122" i="69" s="1"/>
  <c r="T122" i="69"/>
  <c r="R122" i="69"/>
  <c r="N122" i="69"/>
  <c r="M122" i="69"/>
  <c r="L122" i="69"/>
  <c r="F122" i="69"/>
  <c r="D122" i="69"/>
  <c r="AF121" i="69" a="1"/>
  <c r="AF121" i="69" s="1"/>
  <c r="AE121" i="69" a="1"/>
  <c r="AE121" i="69" s="1"/>
  <c r="AD121" i="69" a="1"/>
  <c r="AD121" i="69" s="1"/>
  <c r="T121" i="69"/>
  <c r="R121" i="69"/>
  <c r="N121" i="69"/>
  <c r="M121" i="69"/>
  <c r="L121" i="69"/>
  <c r="F121" i="69"/>
  <c r="D121" i="69"/>
  <c r="AF120" i="69" a="1"/>
  <c r="AF120" i="69" s="1"/>
  <c r="AE120" i="69" a="1"/>
  <c r="AE120" i="69" s="1"/>
  <c r="AD120" i="69" a="1"/>
  <c r="AD120" i="69" s="1"/>
  <c r="T120" i="69"/>
  <c r="R120" i="69"/>
  <c r="N120" i="69"/>
  <c r="M120" i="69"/>
  <c r="L120" i="69"/>
  <c r="F120" i="69"/>
  <c r="D120" i="69"/>
  <c r="AF119" i="69" a="1"/>
  <c r="AF119" i="69" s="1"/>
  <c r="AE119" i="69" a="1"/>
  <c r="AE119" i="69" s="1"/>
  <c r="AD119" i="69" a="1"/>
  <c r="AD119" i="69" s="1"/>
  <c r="T119" i="69"/>
  <c r="R119" i="69"/>
  <c r="N119" i="69"/>
  <c r="M119" i="69"/>
  <c r="L119" i="69"/>
  <c r="F119" i="69"/>
  <c r="D119" i="69"/>
  <c r="AF118" i="69" a="1"/>
  <c r="AF118" i="69" s="1"/>
  <c r="AE118" i="69" a="1"/>
  <c r="AE118" i="69" s="1"/>
  <c r="AD118" i="69" a="1"/>
  <c r="AD118" i="69" s="1"/>
  <c r="T118" i="69"/>
  <c r="R118" i="69"/>
  <c r="N118" i="69"/>
  <c r="M118" i="69"/>
  <c r="L118" i="69"/>
  <c r="F118" i="69"/>
  <c r="D118" i="69"/>
  <c r="AF117" i="69" a="1"/>
  <c r="AF117" i="69" s="1"/>
  <c r="AE117" i="69" a="1"/>
  <c r="AE117" i="69" s="1"/>
  <c r="AD117" i="69" a="1"/>
  <c r="AD117" i="69" s="1"/>
  <c r="T117" i="69"/>
  <c r="R117" i="69"/>
  <c r="N117" i="69"/>
  <c r="M117" i="69"/>
  <c r="L117" i="69"/>
  <c r="F117" i="69"/>
  <c r="D117" i="69"/>
  <c r="AF116" i="69" a="1"/>
  <c r="AF116" i="69" s="1"/>
  <c r="AE116" i="69" a="1"/>
  <c r="AE116" i="69" s="1"/>
  <c r="AD116" i="69" a="1"/>
  <c r="AD116" i="69" s="1"/>
  <c r="T116" i="69"/>
  <c r="R116" i="69"/>
  <c r="N116" i="69"/>
  <c r="M116" i="69"/>
  <c r="L116" i="69"/>
  <c r="F116" i="69"/>
  <c r="D116" i="69"/>
  <c r="AF115" i="69" a="1"/>
  <c r="AF115" i="69" s="1"/>
  <c r="AE115" i="69" a="1"/>
  <c r="AE115" i="69" s="1"/>
  <c r="AD115" i="69" a="1"/>
  <c r="AD115" i="69" s="1"/>
  <c r="T115" i="69"/>
  <c r="R115" i="69"/>
  <c r="N115" i="69"/>
  <c r="M115" i="69"/>
  <c r="L115" i="69"/>
  <c r="F115" i="69"/>
  <c r="D115" i="69"/>
  <c r="AF114" i="69" a="1"/>
  <c r="AF114" i="69" s="1"/>
  <c r="AE114" i="69" a="1"/>
  <c r="AE114" i="69" s="1"/>
  <c r="AD114" i="69" a="1"/>
  <c r="AD114" i="69" s="1"/>
  <c r="T114" i="69"/>
  <c r="R114" i="69"/>
  <c r="N114" i="69"/>
  <c r="M114" i="69"/>
  <c r="L114" i="69"/>
  <c r="F114" i="69"/>
  <c r="D114" i="69"/>
  <c r="AF113" i="69" a="1"/>
  <c r="AF113" i="69" s="1"/>
  <c r="AE113" i="69" a="1"/>
  <c r="AE113" i="69" s="1"/>
  <c r="AD113" i="69" a="1"/>
  <c r="AD113" i="69" s="1"/>
  <c r="T113" i="69"/>
  <c r="R113" i="69"/>
  <c r="N113" i="69"/>
  <c r="M113" i="69"/>
  <c r="L113" i="69"/>
  <c r="F113" i="69"/>
  <c r="D113" i="69"/>
  <c r="AF112" i="69" a="1"/>
  <c r="AF112" i="69" s="1"/>
  <c r="AE112" i="69" a="1"/>
  <c r="AE112" i="69" s="1"/>
  <c r="AD112" i="69" a="1"/>
  <c r="AD112" i="69" s="1"/>
  <c r="T112" i="69"/>
  <c r="R112" i="69"/>
  <c r="N112" i="69"/>
  <c r="M112" i="69"/>
  <c r="L112" i="69"/>
  <c r="F112" i="69"/>
  <c r="D112" i="69"/>
  <c r="AF111" i="69" a="1"/>
  <c r="AF111" i="69" s="1"/>
  <c r="AE111" i="69" a="1"/>
  <c r="AE111" i="69" s="1"/>
  <c r="AD111" i="69" a="1"/>
  <c r="AD111" i="69" s="1"/>
  <c r="T111" i="69"/>
  <c r="R111" i="69"/>
  <c r="N111" i="69"/>
  <c r="M111" i="69"/>
  <c r="L111" i="69"/>
  <c r="F111" i="69"/>
  <c r="D111" i="69"/>
  <c r="AF110" i="69" a="1"/>
  <c r="AF110" i="69" s="1"/>
  <c r="AE110" i="69" a="1"/>
  <c r="AE110" i="69" s="1"/>
  <c r="AD110" i="69" a="1"/>
  <c r="AD110" i="69" s="1"/>
  <c r="T110" i="69"/>
  <c r="R110" i="69"/>
  <c r="N110" i="69"/>
  <c r="M110" i="69"/>
  <c r="L110" i="69"/>
  <c r="F110" i="69"/>
  <c r="D110" i="69"/>
  <c r="AF109" i="69" a="1"/>
  <c r="AF109" i="69" s="1"/>
  <c r="AE109" i="69" a="1"/>
  <c r="AE109" i="69" s="1"/>
  <c r="AD109" i="69" a="1"/>
  <c r="AD109" i="69" s="1"/>
  <c r="T109" i="69"/>
  <c r="R109" i="69"/>
  <c r="N109" i="69"/>
  <c r="M109" i="69"/>
  <c r="L109" i="69"/>
  <c r="F109" i="69"/>
  <c r="D109" i="69"/>
  <c r="AF108" i="69" a="1"/>
  <c r="AF108" i="69" s="1"/>
  <c r="AE108" i="69" a="1"/>
  <c r="AE108" i="69" s="1"/>
  <c r="AD108" i="69" a="1"/>
  <c r="AD108" i="69" s="1"/>
  <c r="T108" i="69"/>
  <c r="R108" i="69"/>
  <c r="N108" i="69"/>
  <c r="M108" i="69"/>
  <c r="L108" i="69"/>
  <c r="F108" i="69"/>
  <c r="D108" i="69"/>
  <c r="AF107" i="69" a="1"/>
  <c r="AF107" i="69" s="1"/>
  <c r="AE107" i="69" a="1"/>
  <c r="AE107" i="69" s="1"/>
  <c r="AD107" i="69" a="1"/>
  <c r="AD107" i="69" s="1"/>
  <c r="T107" i="69"/>
  <c r="R107" i="69"/>
  <c r="N107" i="69"/>
  <c r="M107" i="69"/>
  <c r="L107" i="69"/>
  <c r="F107" i="69"/>
  <c r="D107" i="69"/>
  <c r="AF106" i="69" a="1"/>
  <c r="AF106" i="69" s="1"/>
  <c r="AE106" i="69" a="1"/>
  <c r="AE106" i="69" s="1"/>
  <c r="AD106" i="69" a="1"/>
  <c r="AD106" i="69" s="1"/>
  <c r="T106" i="69"/>
  <c r="R106" i="69"/>
  <c r="N106" i="69"/>
  <c r="M106" i="69"/>
  <c r="L106" i="69"/>
  <c r="F106" i="69"/>
  <c r="D106" i="69"/>
  <c r="AF105" i="69" a="1"/>
  <c r="AF105" i="69" s="1"/>
  <c r="AE105" i="69" a="1"/>
  <c r="AE105" i="69" s="1"/>
  <c r="AD105" i="69" a="1"/>
  <c r="AD105" i="69" s="1"/>
  <c r="T105" i="69"/>
  <c r="R105" i="69"/>
  <c r="N105" i="69"/>
  <c r="M105" i="69"/>
  <c r="L105" i="69"/>
  <c r="F105" i="69"/>
  <c r="D105" i="69"/>
  <c r="AF104" i="69" a="1"/>
  <c r="AF104" i="69" s="1"/>
  <c r="AE104" i="69" a="1"/>
  <c r="AE104" i="69" s="1"/>
  <c r="AD104" i="69" a="1"/>
  <c r="AD104" i="69" s="1"/>
  <c r="T104" i="69"/>
  <c r="R104" i="69"/>
  <c r="N104" i="69"/>
  <c r="M104" i="69"/>
  <c r="L104" i="69"/>
  <c r="F104" i="69"/>
  <c r="D104" i="69"/>
  <c r="AF103" i="69" a="1"/>
  <c r="AF103" i="69" s="1"/>
  <c r="AE103" i="69" a="1"/>
  <c r="AE103" i="69" s="1"/>
  <c r="AD103" i="69" a="1"/>
  <c r="AD103" i="69" s="1"/>
  <c r="T103" i="69"/>
  <c r="R103" i="69"/>
  <c r="N103" i="69"/>
  <c r="M103" i="69"/>
  <c r="L103" i="69"/>
  <c r="F103" i="69"/>
  <c r="D103" i="69"/>
  <c r="AF102" i="69" a="1"/>
  <c r="AF102" i="69" s="1"/>
  <c r="AE102" i="69" a="1"/>
  <c r="AE102" i="69" s="1"/>
  <c r="AD102" i="69" a="1"/>
  <c r="AD102" i="69" s="1"/>
  <c r="T102" i="69"/>
  <c r="R102" i="69"/>
  <c r="N102" i="69"/>
  <c r="M102" i="69"/>
  <c r="L102" i="69"/>
  <c r="F102" i="69"/>
  <c r="D102" i="69"/>
  <c r="AF101" i="69" a="1"/>
  <c r="AF101" i="69" s="1"/>
  <c r="AE101" i="69" a="1"/>
  <c r="AE101" i="69" s="1"/>
  <c r="AD101" i="69" a="1"/>
  <c r="AD101" i="69" s="1"/>
  <c r="T101" i="69"/>
  <c r="R101" i="69"/>
  <c r="N101" i="69"/>
  <c r="M101" i="69"/>
  <c r="L101" i="69"/>
  <c r="F101" i="69"/>
  <c r="D101" i="69"/>
  <c r="AF100" i="69" a="1"/>
  <c r="AF100" i="69" s="1"/>
  <c r="AE100" i="69" a="1"/>
  <c r="AE100" i="69" s="1"/>
  <c r="AD100" i="69" a="1"/>
  <c r="AD100" i="69" s="1"/>
  <c r="T100" i="69"/>
  <c r="R100" i="69"/>
  <c r="N100" i="69"/>
  <c r="M100" i="69"/>
  <c r="L100" i="69"/>
  <c r="F100" i="69"/>
  <c r="D100" i="69"/>
  <c r="AF99" i="69" a="1"/>
  <c r="AF99" i="69" s="1"/>
  <c r="AE99" i="69" a="1"/>
  <c r="AE99" i="69" s="1"/>
  <c r="AD99" i="69" a="1"/>
  <c r="AD99" i="69" s="1"/>
  <c r="T99" i="69"/>
  <c r="R99" i="69"/>
  <c r="N99" i="69"/>
  <c r="M99" i="69"/>
  <c r="L99" i="69"/>
  <c r="F99" i="69"/>
  <c r="D99" i="69"/>
  <c r="AF98" i="69" a="1"/>
  <c r="AF98" i="69" s="1"/>
  <c r="AE98" i="69" a="1"/>
  <c r="AE98" i="69" s="1"/>
  <c r="AD98" i="69" a="1"/>
  <c r="AD98" i="69" s="1"/>
  <c r="T98" i="69"/>
  <c r="R98" i="69"/>
  <c r="N98" i="69"/>
  <c r="M98" i="69"/>
  <c r="L98" i="69"/>
  <c r="F98" i="69"/>
  <c r="D98" i="69"/>
  <c r="AF97" i="69" a="1"/>
  <c r="AF97" i="69" s="1"/>
  <c r="AE97" i="69" a="1"/>
  <c r="AE97" i="69" s="1"/>
  <c r="AD97" i="69" a="1"/>
  <c r="AD97" i="69" s="1"/>
  <c r="T97" i="69"/>
  <c r="R97" i="69"/>
  <c r="N97" i="69"/>
  <c r="M97" i="69"/>
  <c r="L97" i="69"/>
  <c r="F97" i="69"/>
  <c r="D97" i="69"/>
  <c r="AF96" i="69" a="1"/>
  <c r="AF96" i="69" s="1"/>
  <c r="AE96" i="69" a="1"/>
  <c r="AE96" i="69" s="1"/>
  <c r="AD96" i="69" a="1"/>
  <c r="AD96" i="69" s="1"/>
  <c r="T96" i="69"/>
  <c r="R96" i="69"/>
  <c r="N96" i="69"/>
  <c r="M96" i="69"/>
  <c r="L96" i="69"/>
  <c r="F96" i="69"/>
  <c r="D96" i="69"/>
  <c r="AF95" i="69" a="1"/>
  <c r="AF95" i="69" s="1"/>
  <c r="AE95" i="69" a="1"/>
  <c r="AE95" i="69" s="1"/>
  <c r="AD95" i="69" a="1"/>
  <c r="AD95" i="69" s="1"/>
  <c r="T95" i="69"/>
  <c r="R95" i="69"/>
  <c r="N95" i="69"/>
  <c r="M95" i="69"/>
  <c r="L95" i="69"/>
  <c r="F95" i="69"/>
  <c r="D95" i="69"/>
  <c r="AF94" i="69" a="1"/>
  <c r="AF94" i="69" s="1"/>
  <c r="AE94" i="69" a="1"/>
  <c r="AE94" i="69" s="1"/>
  <c r="AD94" i="69" a="1"/>
  <c r="AD94" i="69" s="1"/>
  <c r="T94" i="69"/>
  <c r="R94" i="69"/>
  <c r="N94" i="69"/>
  <c r="M94" i="69"/>
  <c r="L94" i="69"/>
  <c r="F94" i="69"/>
  <c r="D94" i="69"/>
  <c r="AF93" i="69" a="1"/>
  <c r="AF93" i="69" s="1"/>
  <c r="AE93" i="69" a="1"/>
  <c r="AE93" i="69" s="1"/>
  <c r="AD93" i="69" a="1"/>
  <c r="AD93" i="69" s="1"/>
  <c r="T93" i="69"/>
  <c r="R93" i="69"/>
  <c r="N93" i="69"/>
  <c r="M93" i="69"/>
  <c r="L93" i="69"/>
  <c r="F93" i="69"/>
  <c r="D93" i="69"/>
  <c r="AF92" i="69" a="1"/>
  <c r="AF92" i="69" s="1"/>
  <c r="AE92" i="69" a="1"/>
  <c r="AE92" i="69" s="1"/>
  <c r="AD92" i="69" a="1"/>
  <c r="AD92" i="69" s="1"/>
  <c r="T92" i="69"/>
  <c r="R92" i="69"/>
  <c r="N92" i="69"/>
  <c r="M92" i="69"/>
  <c r="L92" i="69"/>
  <c r="F92" i="69"/>
  <c r="D92" i="69"/>
  <c r="AF91" i="69" a="1"/>
  <c r="AF91" i="69" s="1"/>
  <c r="AE91" i="69" a="1"/>
  <c r="AE91" i="69" s="1"/>
  <c r="AD91" i="69" a="1"/>
  <c r="AD91" i="69" s="1"/>
  <c r="T91" i="69"/>
  <c r="R91" i="69"/>
  <c r="N91" i="69"/>
  <c r="M91" i="69"/>
  <c r="L91" i="69"/>
  <c r="F91" i="69"/>
  <c r="D91" i="69"/>
  <c r="AF90" i="69" a="1"/>
  <c r="AF90" i="69" s="1"/>
  <c r="AE90" i="69" a="1"/>
  <c r="AE90" i="69" s="1"/>
  <c r="AD90" i="69" a="1"/>
  <c r="AD90" i="69" s="1"/>
  <c r="T90" i="69"/>
  <c r="R90" i="69"/>
  <c r="N90" i="69"/>
  <c r="M90" i="69"/>
  <c r="L90" i="69"/>
  <c r="F90" i="69"/>
  <c r="D90" i="69"/>
  <c r="AF89" i="69" a="1"/>
  <c r="AF89" i="69" s="1"/>
  <c r="AE89" i="69" a="1"/>
  <c r="AE89" i="69" s="1"/>
  <c r="AD89" i="69" a="1"/>
  <c r="AD89" i="69" s="1"/>
  <c r="T89" i="69"/>
  <c r="R89" i="69"/>
  <c r="N89" i="69"/>
  <c r="M89" i="69"/>
  <c r="L89" i="69"/>
  <c r="F89" i="69"/>
  <c r="D89" i="69"/>
  <c r="AF88" i="69" a="1"/>
  <c r="AF88" i="69" s="1"/>
  <c r="AE88" i="69" a="1"/>
  <c r="AE88" i="69" s="1"/>
  <c r="AD88" i="69" a="1"/>
  <c r="AD88" i="69" s="1"/>
  <c r="T88" i="69"/>
  <c r="R88" i="69"/>
  <c r="N88" i="69"/>
  <c r="M88" i="69"/>
  <c r="L88" i="69"/>
  <c r="F88" i="69"/>
  <c r="D88" i="69"/>
  <c r="AF87" i="69" a="1"/>
  <c r="AF87" i="69" s="1"/>
  <c r="AE87" i="69" a="1"/>
  <c r="AE87" i="69" s="1"/>
  <c r="AD87" i="69" a="1"/>
  <c r="AD87" i="69" s="1"/>
  <c r="T87" i="69"/>
  <c r="R87" i="69"/>
  <c r="N87" i="69"/>
  <c r="M87" i="69"/>
  <c r="L87" i="69"/>
  <c r="F87" i="69"/>
  <c r="D87" i="69"/>
  <c r="AF86" i="69" a="1"/>
  <c r="AF86" i="69" s="1"/>
  <c r="AE86" i="69" a="1"/>
  <c r="AE86" i="69" s="1"/>
  <c r="AD86" i="69" a="1"/>
  <c r="AD86" i="69" s="1"/>
  <c r="T86" i="69"/>
  <c r="R86" i="69"/>
  <c r="N86" i="69"/>
  <c r="M86" i="69"/>
  <c r="L86" i="69"/>
  <c r="F86" i="69"/>
  <c r="D86" i="69"/>
  <c r="AF85" i="69" a="1"/>
  <c r="AF85" i="69" s="1"/>
  <c r="AE85" i="69" a="1"/>
  <c r="AE85" i="69" s="1"/>
  <c r="AD85" i="69" a="1"/>
  <c r="AD85" i="69" s="1"/>
  <c r="T85" i="69"/>
  <c r="R85" i="69"/>
  <c r="N85" i="69"/>
  <c r="M85" i="69"/>
  <c r="L85" i="69"/>
  <c r="F85" i="69"/>
  <c r="D85" i="69"/>
  <c r="AF84" i="69" a="1"/>
  <c r="AF84" i="69" s="1"/>
  <c r="AE84" i="69" a="1"/>
  <c r="AE84" i="69" s="1"/>
  <c r="AD84" i="69" a="1"/>
  <c r="AD84" i="69" s="1"/>
  <c r="T84" i="69"/>
  <c r="R84" i="69"/>
  <c r="N84" i="69"/>
  <c r="M84" i="69"/>
  <c r="L84" i="69"/>
  <c r="F84" i="69"/>
  <c r="D84" i="69"/>
  <c r="AF83" i="69" a="1"/>
  <c r="AF83" i="69" s="1"/>
  <c r="AE83" i="69" a="1"/>
  <c r="AE83" i="69" s="1"/>
  <c r="AD83" i="69" a="1"/>
  <c r="AD83" i="69" s="1"/>
  <c r="T83" i="69"/>
  <c r="R83" i="69"/>
  <c r="N83" i="69"/>
  <c r="M83" i="69"/>
  <c r="L83" i="69"/>
  <c r="F83" i="69"/>
  <c r="D83" i="69"/>
  <c r="AF82" i="69" a="1"/>
  <c r="AF82" i="69" s="1"/>
  <c r="AE82" i="69" a="1"/>
  <c r="AE82" i="69" s="1"/>
  <c r="AD82" i="69" a="1"/>
  <c r="AD82" i="69" s="1"/>
  <c r="T82" i="69"/>
  <c r="R82" i="69"/>
  <c r="N82" i="69"/>
  <c r="M82" i="69"/>
  <c r="L82" i="69"/>
  <c r="F82" i="69"/>
  <c r="D82" i="69"/>
  <c r="AF81" i="69" a="1"/>
  <c r="AF81" i="69" s="1"/>
  <c r="AE81" i="69" a="1"/>
  <c r="AE81" i="69" s="1"/>
  <c r="AD81" i="69" a="1"/>
  <c r="AD81" i="69" s="1"/>
  <c r="T81" i="69"/>
  <c r="R81" i="69"/>
  <c r="N81" i="69"/>
  <c r="M81" i="69"/>
  <c r="L81" i="69"/>
  <c r="F81" i="69"/>
  <c r="D81" i="69"/>
  <c r="AF80" i="69" a="1"/>
  <c r="AF80" i="69" s="1"/>
  <c r="AE80" i="69" a="1"/>
  <c r="AE80" i="69" s="1"/>
  <c r="AD80" i="69" a="1"/>
  <c r="AD80" i="69" s="1"/>
  <c r="T80" i="69"/>
  <c r="R80" i="69"/>
  <c r="N80" i="69"/>
  <c r="M80" i="69"/>
  <c r="L80" i="69"/>
  <c r="F80" i="69"/>
  <c r="D80" i="69"/>
  <c r="AF79" i="69" a="1"/>
  <c r="AF79" i="69" s="1"/>
  <c r="AE79" i="69" a="1"/>
  <c r="AE79" i="69" s="1"/>
  <c r="AD79" i="69" a="1"/>
  <c r="AD79" i="69" s="1"/>
  <c r="T79" i="69"/>
  <c r="R79" i="69"/>
  <c r="N79" i="69"/>
  <c r="M79" i="69"/>
  <c r="L79" i="69"/>
  <c r="F79" i="69"/>
  <c r="D79" i="69"/>
  <c r="AF78" i="69" a="1"/>
  <c r="AF78" i="69" s="1"/>
  <c r="AE78" i="69" a="1"/>
  <c r="AE78" i="69" s="1"/>
  <c r="AD78" i="69" a="1"/>
  <c r="AD78" i="69" s="1"/>
  <c r="T78" i="69"/>
  <c r="R78" i="69"/>
  <c r="N78" i="69"/>
  <c r="M78" i="69"/>
  <c r="L78" i="69"/>
  <c r="F78" i="69"/>
  <c r="D78" i="69"/>
  <c r="AF77" i="69" a="1"/>
  <c r="AF77" i="69" s="1"/>
  <c r="AE77" i="69" a="1"/>
  <c r="AE77" i="69" s="1"/>
  <c r="AD77" i="69" a="1"/>
  <c r="AD77" i="69" s="1"/>
  <c r="T77" i="69"/>
  <c r="R77" i="69"/>
  <c r="N77" i="69"/>
  <c r="M77" i="69"/>
  <c r="L77" i="69"/>
  <c r="F77" i="69"/>
  <c r="D77" i="69"/>
  <c r="AF76" i="69" a="1"/>
  <c r="AF76" i="69" s="1"/>
  <c r="AE76" i="69" a="1"/>
  <c r="AE76" i="69" s="1"/>
  <c r="AD76" i="69" a="1"/>
  <c r="AD76" i="69" s="1"/>
  <c r="T76" i="69"/>
  <c r="R76" i="69"/>
  <c r="N76" i="69"/>
  <c r="M76" i="69"/>
  <c r="L76" i="69"/>
  <c r="F76" i="69"/>
  <c r="D76" i="69"/>
  <c r="AF75" i="69" a="1"/>
  <c r="AF75" i="69" s="1"/>
  <c r="AE75" i="69" a="1"/>
  <c r="AE75" i="69" s="1"/>
  <c r="AD75" i="69" a="1"/>
  <c r="AD75" i="69" s="1"/>
  <c r="T75" i="69"/>
  <c r="R75" i="69"/>
  <c r="N75" i="69"/>
  <c r="M75" i="69"/>
  <c r="L75" i="69"/>
  <c r="F75" i="69"/>
  <c r="D75" i="69"/>
  <c r="AF74" i="69" a="1"/>
  <c r="AF74" i="69" s="1"/>
  <c r="AE74" i="69" a="1"/>
  <c r="AE74" i="69" s="1"/>
  <c r="AD74" i="69" a="1"/>
  <c r="AD74" i="69" s="1"/>
  <c r="T74" i="69"/>
  <c r="R74" i="69"/>
  <c r="N74" i="69"/>
  <c r="M74" i="69"/>
  <c r="L74" i="69"/>
  <c r="F74" i="69"/>
  <c r="D74" i="69"/>
  <c r="AF73" i="69" a="1"/>
  <c r="AF73" i="69" s="1"/>
  <c r="AE73" i="69" a="1"/>
  <c r="AE73" i="69" s="1"/>
  <c r="AD73" i="69" a="1"/>
  <c r="AD73" i="69" s="1"/>
  <c r="T73" i="69"/>
  <c r="R73" i="69"/>
  <c r="N73" i="69"/>
  <c r="M73" i="69"/>
  <c r="L73" i="69"/>
  <c r="F73" i="69"/>
  <c r="D73" i="69"/>
  <c r="AF72" i="69" a="1"/>
  <c r="AF72" i="69" s="1"/>
  <c r="AE72" i="69" a="1"/>
  <c r="AE72" i="69" s="1"/>
  <c r="AD72" i="69" a="1"/>
  <c r="AD72" i="69" s="1"/>
  <c r="T72" i="69"/>
  <c r="R72" i="69"/>
  <c r="N72" i="69"/>
  <c r="M72" i="69"/>
  <c r="L72" i="69"/>
  <c r="F72" i="69"/>
  <c r="D72" i="69"/>
  <c r="AF71" i="69" a="1"/>
  <c r="AF71" i="69" s="1"/>
  <c r="AE71" i="69" a="1"/>
  <c r="AE71" i="69" s="1"/>
  <c r="AD71" i="69" a="1"/>
  <c r="AD71" i="69" s="1"/>
  <c r="T71" i="69"/>
  <c r="R71" i="69"/>
  <c r="N71" i="69"/>
  <c r="M71" i="69"/>
  <c r="L71" i="69"/>
  <c r="F71" i="69"/>
  <c r="D71" i="69"/>
  <c r="AF67" i="69" a="1"/>
  <c r="AF67" i="69" s="1"/>
  <c r="AE67" i="69" a="1"/>
  <c r="AE67" i="69" s="1"/>
  <c r="AD67" i="69" a="1"/>
  <c r="AD67" i="69" s="1"/>
  <c r="T67" i="69"/>
  <c r="AF66" i="69" a="1"/>
  <c r="AF66" i="69" s="1"/>
  <c r="AE66" i="69" a="1"/>
  <c r="AE66" i="69" s="1"/>
  <c r="AD66" i="69" a="1"/>
  <c r="AD66" i="69" s="1"/>
  <c r="T66" i="69"/>
  <c r="AF65" i="69" a="1"/>
  <c r="AF65" i="69" s="1"/>
  <c r="AE65" i="69" a="1"/>
  <c r="AE65" i="69" s="1"/>
  <c r="AD65" i="69" a="1"/>
  <c r="AD65" i="69" s="1"/>
  <c r="T65" i="69"/>
  <c r="R65" i="69"/>
  <c r="M65" i="69"/>
  <c r="N65" i="69" s="1"/>
  <c r="L65" i="69"/>
  <c r="AF64" i="69" a="1"/>
  <c r="AF64" i="69" s="1"/>
  <c r="AE64" i="69" a="1"/>
  <c r="AE64" i="69" s="1"/>
  <c r="AD64" i="69" a="1"/>
  <c r="AD64" i="69" s="1"/>
  <c r="T64" i="69"/>
  <c r="R64" i="69"/>
  <c r="M64" i="69"/>
  <c r="N64" i="69" s="1"/>
  <c r="L64" i="69"/>
  <c r="AF62" i="69" a="1"/>
  <c r="AF62" i="69" s="1"/>
  <c r="AE62" i="69" a="1"/>
  <c r="AE62" i="69" s="1"/>
  <c r="AD62" i="69" a="1"/>
  <c r="AD62" i="69" s="1"/>
  <c r="T62" i="69"/>
  <c r="R62" i="69"/>
  <c r="M62" i="69"/>
  <c r="N62" i="69" s="1"/>
  <c r="L62" i="69"/>
  <c r="AF61" i="69" a="1"/>
  <c r="AF61" i="69" s="1"/>
  <c r="AE61" i="69" a="1"/>
  <c r="AE61" i="69" s="1"/>
  <c r="AD61" i="69" a="1"/>
  <c r="AD61" i="69" s="1"/>
  <c r="T61" i="69"/>
  <c r="R61" i="69"/>
  <c r="M61" i="69"/>
  <c r="N61" i="69" s="1"/>
  <c r="L61" i="69"/>
  <c r="AF60" i="69" a="1"/>
  <c r="AF60" i="69" s="1"/>
  <c r="AE60" i="69" a="1"/>
  <c r="AE60" i="69" s="1"/>
  <c r="AD60" i="69" a="1"/>
  <c r="AD60" i="69" s="1"/>
  <c r="T60" i="69"/>
  <c r="R60" i="69"/>
  <c r="M60" i="69"/>
  <c r="N60" i="69" s="1"/>
  <c r="L60" i="69"/>
  <c r="AF59" i="69" a="1"/>
  <c r="AF59" i="69" s="1"/>
  <c r="AE59" i="69" a="1"/>
  <c r="AE59" i="69" s="1"/>
  <c r="AD59" i="69" a="1"/>
  <c r="AD59" i="69" s="1"/>
  <c r="T59" i="69"/>
  <c r="R59" i="69"/>
  <c r="M59" i="69"/>
  <c r="N59" i="69" s="1"/>
  <c r="L59" i="69"/>
  <c r="AF58" i="69" a="1"/>
  <c r="AF58" i="69" s="1"/>
  <c r="AE58" i="69" a="1"/>
  <c r="AE58" i="69" s="1"/>
  <c r="AD58" i="69" a="1"/>
  <c r="AD58" i="69" s="1"/>
  <c r="T58" i="69"/>
  <c r="R58" i="69"/>
  <c r="M58" i="69"/>
  <c r="N58" i="69" s="1"/>
  <c r="L58" i="69"/>
  <c r="AF57" i="69" a="1"/>
  <c r="AF57" i="69" s="1"/>
  <c r="AE57" i="69" a="1"/>
  <c r="AE57" i="69" s="1"/>
  <c r="AD57" i="69" a="1"/>
  <c r="AD57" i="69" s="1"/>
  <c r="U57" i="69"/>
  <c r="V57" i="69" s="1"/>
  <c r="T57" i="69"/>
  <c r="R57" i="69"/>
  <c r="O57" i="69"/>
  <c r="P57" i="69" s="1"/>
  <c r="M57" i="69"/>
  <c r="N57" i="69" s="1"/>
  <c r="L57" i="69"/>
  <c r="AF56" i="69" a="1"/>
  <c r="AF56" i="69" s="1"/>
  <c r="AE56" i="69" a="1"/>
  <c r="AE56" i="69" s="1"/>
  <c r="AD56" i="69" a="1"/>
  <c r="AD56" i="69" s="1"/>
  <c r="U56" i="69"/>
  <c r="V56" i="69" s="1"/>
  <c r="T56" i="69"/>
  <c r="R56" i="69"/>
  <c r="O56" i="69"/>
  <c r="P56" i="69" s="1"/>
  <c r="M56" i="69"/>
  <c r="N56" i="69" s="1"/>
  <c r="L56" i="69"/>
  <c r="AF52" i="69" a="1"/>
  <c r="AF52" i="69" s="1"/>
  <c r="AE52" i="69" a="1"/>
  <c r="AE52" i="69" s="1"/>
  <c r="AD52" i="69" a="1"/>
  <c r="AD52" i="69" s="1"/>
  <c r="U52" i="69"/>
  <c r="V52" i="69" s="1"/>
  <c r="T52" i="69"/>
  <c r="R52" i="69"/>
  <c r="O52" i="69"/>
  <c r="P52" i="69" s="1"/>
  <c r="M52" i="69"/>
  <c r="N52" i="69" s="1"/>
  <c r="L52" i="69"/>
  <c r="AF51" i="69" a="1"/>
  <c r="AF51" i="69" s="1"/>
  <c r="AE51" i="69" a="1"/>
  <c r="AE51" i="69" s="1"/>
  <c r="AD51" i="69" a="1"/>
  <c r="AD51" i="69" s="1"/>
  <c r="U51" i="69"/>
  <c r="V51" i="69" s="1"/>
  <c r="T51" i="69"/>
  <c r="R51" i="69"/>
  <c r="O51" i="69"/>
  <c r="P51" i="69" s="1"/>
  <c r="M51" i="69"/>
  <c r="N51" i="69" s="1"/>
  <c r="L51" i="69"/>
  <c r="AF50" i="69" a="1"/>
  <c r="AF50" i="69" s="1"/>
  <c r="AE50" i="69" a="1"/>
  <c r="AE50" i="69" s="1"/>
  <c r="AD50" i="69" a="1"/>
  <c r="AD50" i="69" s="1"/>
  <c r="U50" i="69"/>
  <c r="V50" i="69" s="1"/>
  <c r="T50" i="69"/>
  <c r="R50" i="69"/>
  <c r="O50" i="69"/>
  <c r="P50" i="69" s="1"/>
  <c r="M50" i="69"/>
  <c r="N50" i="69" s="1"/>
  <c r="L50" i="69"/>
  <c r="AF49" i="69" a="1"/>
  <c r="AF49" i="69" s="1"/>
  <c r="AE49" i="69" a="1"/>
  <c r="AE49" i="69" s="1"/>
  <c r="AD49" i="69" a="1"/>
  <c r="AD49" i="69" s="1"/>
  <c r="U49" i="69"/>
  <c r="V49" i="69" s="1"/>
  <c r="T49" i="69"/>
  <c r="O49" i="69"/>
  <c r="P49" i="69" s="1"/>
  <c r="M49" i="69"/>
  <c r="N49" i="69" s="1"/>
  <c r="L49" i="69"/>
  <c r="AF48" i="69" a="1"/>
  <c r="AF48" i="69" s="1"/>
  <c r="AE48" i="69" a="1"/>
  <c r="AE48" i="69" s="1"/>
  <c r="AD48" i="69" a="1"/>
  <c r="AD48" i="69" s="1"/>
  <c r="U48" i="69"/>
  <c r="V48" i="69" s="1"/>
  <c r="T48" i="69"/>
  <c r="O48" i="69"/>
  <c r="P48" i="69" s="1"/>
  <c r="M48" i="69"/>
  <c r="N48" i="69" s="1"/>
  <c r="L48" i="69"/>
  <c r="AF47" i="69" a="1"/>
  <c r="AF47" i="69" s="1"/>
  <c r="AE47" i="69" a="1"/>
  <c r="AE47" i="69" s="1"/>
  <c r="AD47" i="69" a="1"/>
  <c r="AD47" i="69" s="1"/>
  <c r="U47" i="69"/>
  <c r="V47" i="69" s="1"/>
  <c r="T47" i="69"/>
  <c r="O47" i="69"/>
  <c r="P47" i="69" s="1"/>
  <c r="M47" i="69"/>
  <c r="N47" i="69" s="1"/>
  <c r="L47" i="69"/>
  <c r="AF46" i="69" a="1"/>
  <c r="AF46" i="69" s="1"/>
  <c r="AE46" i="69" a="1"/>
  <c r="AE46" i="69" s="1"/>
  <c r="AD46" i="69" a="1"/>
  <c r="AD46" i="69" s="1"/>
  <c r="U46" i="69"/>
  <c r="V46" i="69" s="1"/>
  <c r="T46" i="69"/>
  <c r="O46" i="69"/>
  <c r="P46" i="69" s="1"/>
  <c r="M46" i="69"/>
  <c r="N46" i="69" s="1"/>
  <c r="L46" i="69"/>
  <c r="AF45" i="69" a="1"/>
  <c r="AF45" i="69" s="1"/>
  <c r="AE45" i="69" a="1"/>
  <c r="AE45" i="69" s="1"/>
  <c r="AD45" i="69" a="1"/>
  <c r="AD45" i="69" s="1"/>
  <c r="U45" i="69"/>
  <c r="V45" i="69" s="1"/>
  <c r="T45" i="69"/>
  <c r="O45" i="69"/>
  <c r="P45" i="69" s="1"/>
  <c r="M45" i="69"/>
  <c r="N45" i="69" s="1"/>
  <c r="L45" i="69"/>
  <c r="AF44" i="69" a="1"/>
  <c r="AF44" i="69" s="1"/>
  <c r="AE44" i="69" a="1"/>
  <c r="AE44" i="69" s="1"/>
  <c r="AD44" i="69" a="1"/>
  <c r="AD44" i="69" s="1"/>
  <c r="U44" i="69"/>
  <c r="V44" i="69" s="1"/>
  <c r="T44" i="69"/>
  <c r="O44" i="69"/>
  <c r="P44" i="69" s="1"/>
  <c r="M44" i="69"/>
  <c r="N44" i="69" s="1"/>
  <c r="L44" i="69"/>
  <c r="AF43" i="69" a="1"/>
  <c r="AF43" i="69" s="1"/>
  <c r="AE43" i="69" a="1"/>
  <c r="AE43" i="69" s="1"/>
  <c r="AD43" i="69" a="1"/>
  <c r="AD43" i="69" s="1"/>
  <c r="U43" i="69"/>
  <c r="V43" i="69" s="1"/>
  <c r="T43" i="69"/>
  <c r="O43" i="69"/>
  <c r="P43" i="69" s="1"/>
  <c r="M43" i="69"/>
  <c r="N43" i="69" s="1"/>
  <c r="L43" i="69"/>
  <c r="AF41" i="69" a="1"/>
  <c r="AF41" i="69" s="1"/>
  <c r="AE41" i="69" a="1"/>
  <c r="AE41" i="69" s="1"/>
  <c r="AD41" i="69" a="1"/>
  <c r="AD41" i="69" s="1"/>
  <c r="U41" i="69"/>
  <c r="V41" i="69" s="1"/>
  <c r="T41" i="69"/>
  <c r="O41" i="69"/>
  <c r="P41" i="69" s="1"/>
  <c r="M41" i="69"/>
  <c r="N41" i="69" s="1"/>
  <c r="L41" i="69"/>
  <c r="AF40" i="69" a="1"/>
  <c r="AF40" i="69" s="1"/>
  <c r="AE40" i="69" a="1"/>
  <c r="AE40" i="69" s="1"/>
  <c r="AD40" i="69" a="1"/>
  <c r="AD40" i="69" s="1"/>
  <c r="U40" i="69"/>
  <c r="V40" i="69" s="1"/>
  <c r="T40" i="69"/>
  <c r="O40" i="69"/>
  <c r="P40" i="69" s="1"/>
  <c r="M40" i="69"/>
  <c r="N40" i="69" s="1"/>
  <c r="L40" i="69"/>
  <c r="AF39" i="69" a="1"/>
  <c r="AF39" i="69" s="1"/>
  <c r="AE39" i="69" a="1"/>
  <c r="AE39" i="69" s="1"/>
  <c r="AD39" i="69" a="1"/>
  <c r="AD39" i="69" s="1"/>
  <c r="U39" i="69"/>
  <c r="V39" i="69" s="1"/>
  <c r="T39" i="69"/>
  <c r="O39" i="69"/>
  <c r="P39" i="69" s="1"/>
  <c r="M39" i="69"/>
  <c r="N39" i="69" s="1"/>
  <c r="L39" i="69"/>
  <c r="AF38" i="69" a="1"/>
  <c r="AF38" i="69" s="1"/>
  <c r="AE38" i="69" a="1"/>
  <c r="AE38" i="69" s="1"/>
  <c r="AD38" i="69" a="1"/>
  <c r="AD38" i="69" s="1"/>
  <c r="U38" i="69"/>
  <c r="V38" i="69" s="1"/>
  <c r="T38" i="69"/>
  <c r="O38" i="69"/>
  <c r="P38" i="69" s="1"/>
  <c r="M38" i="69"/>
  <c r="N38" i="69" s="1"/>
  <c r="L38" i="69"/>
  <c r="AF37" i="69" a="1"/>
  <c r="AF37" i="69" s="1"/>
  <c r="AE37" i="69" a="1"/>
  <c r="AE37" i="69" s="1"/>
  <c r="AD37" i="69" a="1"/>
  <c r="AD37" i="69" s="1"/>
  <c r="U37" i="69"/>
  <c r="V37" i="69" s="1"/>
  <c r="T37" i="69"/>
  <c r="O37" i="69"/>
  <c r="P37" i="69" s="1"/>
  <c r="M37" i="69"/>
  <c r="N37" i="69" s="1"/>
  <c r="L37" i="69"/>
  <c r="AF36" i="69" a="1"/>
  <c r="AF36" i="69" s="1"/>
  <c r="AE36" i="69" a="1"/>
  <c r="AE36" i="69" s="1"/>
  <c r="AD36" i="69" a="1"/>
  <c r="AD36" i="69" s="1"/>
  <c r="U36" i="69"/>
  <c r="V36" i="69" s="1"/>
  <c r="T36" i="69"/>
  <c r="R36" i="69"/>
  <c r="O36" i="69"/>
  <c r="P36" i="69" s="1"/>
  <c r="M36" i="69"/>
  <c r="N36" i="69" s="1"/>
  <c r="L36" i="69"/>
  <c r="AF35" i="69" a="1"/>
  <c r="AF35" i="69" s="1"/>
  <c r="AE35" i="69" a="1"/>
  <c r="AE35" i="69" s="1"/>
  <c r="AD35" i="69" a="1"/>
  <c r="AD35" i="69" s="1"/>
  <c r="U35" i="69"/>
  <c r="V35" i="69" s="1"/>
  <c r="T35" i="69"/>
  <c r="R35" i="69"/>
  <c r="O35" i="69"/>
  <c r="P35" i="69" s="1"/>
  <c r="M35" i="69"/>
  <c r="N35" i="69" s="1"/>
  <c r="L35" i="69"/>
  <c r="AF34" i="69" a="1"/>
  <c r="AF34" i="69" s="1"/>
  <c r="AE34" i="69" a="1"/>
  <c r="AE34" i="69" s="1"/>
  <c r="AD34" i="69" a="1"/>
  <c r="AD34" i="69" s="1"/>
  <c r="U34" i="69"/>
  <c r="V34" i="69" s="1"/>
  <c r="T34" i="69"/>
  <c r="R34" i="69"/>
  <c r="O34" i="69"/>
  <c r="P34" i="69" s="1"/>
  <c r="M34" i="69"/>
  <c r="N34" i="69" s="1"/>
  <c r="L34" i="69"/>
  <c r="AF33" i="69" a="1"/>
  <c r="AF33" i="69" s="1"/>
  <c r="AE33" i="69" a="1"/>
  <c r="AE33" i="69" s="1"/>
  <c r="AD33" i="69" a="1"/>
  <c r="AD33" i="69" s="1"/>
  <c r="U33" i="69"/>
  <c r="V33" i="69" s="1"/>
  <c r="T33" i="69"/>
  <c r="R33" i="69"/>
  <c r="O33" i="69"/>
  <c r="P33" i="69" s="1"/>
  <c r="M33" i="69"/>
  <c r="N33" i="69" s="1"/>
  <c r="L33" i="69"/>
  <c r="AF32" i="69" a="1"/>
  <c r="AF32" i="69" s="1"/>
  <c r="AE32" i="69" a="1"/>
  <c r="AE32" i="69" s="1"/>
  <c r="AD32" i="69" a="1"/>
  <c r="AD32" i="69" s="1"/>
  <c r="U32" i="69"/>
  <c r="V32" i="69" s="1"/>
  <c r="T32" i="69"/>
  <c r="R32" i="69"/>
  <c r="O32" i="69"/>
  <c r="P32" i="69" s="1"/>
  <c r="M32" i="69"/>
  <c r="N32" i="69" s="1"/>
  <c r="L32" i="69"/>
  <c r="AF31" i="69" a="1"/>
  <c r="AF31" i="69" s="1"/>
  <c r="AE31" i="69" a="1"/>
  <c r="AE31" i="69" s="1"/>
  <c r="AD31" i="69" a="1"/>
  <c r="AD31" i="69" s="1"/>
  <c r="U31" i="69"/>
  <c r="V31" i="69" s="1"/>
  <c r="T31" i="69"/>
  <c r="R31" i="69"/>
  <c r="O31" i="69"/>
  <c r="P31" i="69" s="1"/>
  <c r="M31" i="69"/>
  <c r="N31" i="69" s="1"/>
  <c r="L31" i="69"/>
  <c r="AF30" i="69" a="1"/>
  <c r="AF30" i="69" s="1"/>
  <c r="AE30" i="69" a="1"/>
  <c r="AE30" i="69" s="1"/>
  <c r="AD30" i="69" a="1"/>
  <c r="AD30" i="69" s="1"/>
  <c r="U30" i="69"/>
  <c r="V30" i="69" s="1"/>
  <c r="T30" i="69"/>
  <c r="R30" i="69"/>
  <c r="O30" i="69"/>
  <c r="P30" i="69" s="1"/>
  <c r="M30" i="69"/>
  <c r="N30" i="69" s="1"/>
  <c r="L30" i="69"/>
  <c r="AF55" i="69" a="1"/>
  <c r="AF55" i="69" s="1"/>
  <c r="AE55" i="69" a="1"/>
  <c r="AE55" i="69" s="1"/>
  <c r="AD55" i="69" a="1"/>
  <c r="AD55" i="69" s="1"/>
  <c r="U55" i="69"/>
  <c r="V55" i="69" s="1"/>
  <c r="T55" i="69"/>
  <c r="R55" i="69"/>
  <c r="O55" i="69"/>
  <c r="P55" i="69" s="1"/>
  <c r="M55" i="69"/>
  <c r="N55" i="69" s="1"/>
  <c r="L55" i="69"/>
  <c r="AF29" i="69" a="1"/>
  <c r="AF29" i="69" s="1"/>
  <c r="AE29" i="69" a="1"/>
  <c r="AE29" i="69" s="1"/>
  <c r="AD29" i="69" a="1"/>
  <c r="AD29" i="69" s="1"/>
  <c r="U29" i="69"/>
  <c r="V29" i="69" s="1"/>
  <c r="T29" i="69"/>
  <c r="R29" i="69"/>
  <c r="O29" i="69"/>
  <c r="P29" i="69" s="1"/>
  <c r="M29" i="69"/>
  <c r="N29" i="69" s="1"/>
  <c r="L29" i="69"/>
  <c r="AF28" i="69" a="1"/>
  <c r="AF28" i="69" s="1"/>
  <c r="AE28" i="69" a="1"/>
  <c r="AE28" i="69" s="1"/>
  <c r="AD28" i="69" a="1"/>
  <c r="AD28" i="69" s="1"/>
  <c r="U28" i="69"/>
  <c r="V28" i="69" s="1"/>
  <c r="T28" i="69"/>
  <c r="R28" i="69"/>
  <c r="O28" i="69"/>
  <c r="P28" i="69" s="1"/>
  <c r="M28" i="69"/>
  <c r="N28" i="69" s="1"/>
  <c r="L28" i="69"/>
  <c r="AF27" i="69" a="1"/>
  <c r="AF27" i="69" s="1"/>
  <c r="AE27" i="69" a="1"/>
  <c r="AE27" i="69" s="1"/>
  <c r="AD27" i="69" a="1"/>
  <c r="AD27" i="69" s="1"/>
  <c r="U27" i="69"/>
  <c r="V27" i="69" s="1"/>
  <c r="T27" i="69"/>
  <c r="R27" i="69"/>
  <c r="O27" i="69"/>
  <c r="P27" i="69" s="1"/>
  <c r="M27" i="69"/>
  <c r="N27" i="69" s="1"/>
  <c r="L27" i="69"/>
  <c r="AF26" i="69" a="1"/>
  <c r="AF26" i="69" s="1"/>
  <c r="AE26" i="69" a="1"/>
  <c r="AE26" i="69" s="1"/>
  <c r="AD26" i="69" a="1"/>
  <c r="AD26" i="69" s="1"/>
  <c r="U26" i="69"/>
  <c r="V26" i="69" s="1"/>
  <c r="T26" i="69"/>
  <c r="R26" i="69"/>
  <c r="O26" i="69"/>
  <c r="P26" i="69" s="1"/>
  <c r="M26" i="69"/>
  <c r="N26" i="69" s="1"/>
  <c r="L26" i="69"/>
  <c r="AF25" i="69" a="1"/>
  <c r="AF25" i="69" s="1"/>
  <c r="AE25" i="69" a="1"/>
  <c r="AE25" i="69" s="1"/>
  <c r="AD25" i="69" a="1"/>
  <c r="AD25" i="69" s="1"/>
  <c r="U25" i="69"/>
  <c r="V25" i="69" s="1"/>
  <c r="T25" i="69"/>
  <c r="R25" i="69"/>
  <c r="O25" i="69"/>
  <c r="P25" i="69" s="1"/>
  <c r="M25" i="69"/>
  <c r="N25" i="69" s="1"/>
  <c r="L25" i="69"/>
  <c r="AF24" i="69" a="1"/>
  <c r="AF24" i="69" s="1"/>
  <c r="AE24" i="69" a="1"/>
  <c r="AE24" i="69" s="1"/>
  <c r="AD24" i="69" a="1"/>
  <c r="AD24" i="69" s="1"/>
  <c r="U24" i="69"/>
  <c r="V24" i="69" s="1"/>
  <c r="T24" i="69"/>
  <c r="R24" i="69"/>
  <c r="O24" i="69"/>
  <c r="P24" i="69" s="1"/>
  <c r="M24" i="69"/>
  <c r="N24" i="69" s="1"/>
  <c r="L24" i="69"/>
  <c r="AF23" i="69" a="1"/>
  <c r="AF23" i="69" s="1"/>
  <c r="AE23" i="69" a="1"/>
  <c r="AE23" i="69" s="1"/>
  <c r="AD23" i="69" a="1"/>
  <c r="AD23" i="69" s="1"/>
  <c r="U23" i="69"/>
  <c r="V23" i="69" s="1"/>
  <c r="T23" i="69"/>
  <c r="R23" i="69"/>
  <c r="O23" i="69"/>
  <c r="P23" i="69" s="1"/>
  <c r="M23" i="69"/>
  <c r="N23" i="69" s="1"/>
  <c r="L23" i="69"/>
  <c r="G20" i="69"/>
  <c r="S19" i="69"/>
  <c r="R19" i="69"/>
  <c r="S18" i="69"/>
  <c r="R18" i="69"/>
  <c r="AG17" i="69" a="1"/>
  <c r="AG17" i="69" s="1"/>
  <c r="J17" i="69"/>
  <c r="I17" i="69"/>
  <c r="AG16" i="69" a="1"/>
  <c r="AG16" i="69" s="1"/>
  <c r="S16" i="69"/>
  <c r="R16" i="69"/>
  <c r="J16" i="69"/>
  <c r="I16" i="69"/>
  <c r="AG15" i="69" a="1"/>
  <c r="AG15" i="69" s="1"/>
  <c r="S15" i="69"/>
  <c r="R15" i="69"/>
  <c r="CP12" i="69" a="1"/>
  <c r="CP12" i="69" s="1"/>
  <c r="CO12" i="69" a="1"/>
  <c r="CO12" i="69" s="1"/>
  <c r="CN12" i="69" a="1"/>
  <c r="CN12" i="69" s="1"/>
  <c r="CM12" i="69" a="1"/>
  <c r="CM12" i="69" s="1"/>
  <c r="CL12" i="69" a="1"/>
  <c r="CL12" i="69" s="1"/>
  <c r="CK12" i="69" a="1"/>
  <c r="CK12" i="69" s="1"/>
  <c r="CJ12" i="69" a="1"/>
  <c r="CJ12" i="69" s="1"/>
  <c r="CI12" i="69" a="1"/>
  <c r="CI12" i="69" s="1"/>
  <c r="CH12" i="69" a="1"/>
  <c r="CH12" i="69" s="1"/>
  <c r="CG12" i="69" a="1"/>
  <c r="CG12" i="69" s="1"/>
  <c r="CF12" i="69" a="1"/>
  <c r="CF12" i="69" s="1"/>
  <c r="CE12" i="69" a="1"/>
  <c r="CE12" i="69" s="1"/>
  <c r="CD12" i="69" a="1"/>
  <c r="CD12" i="69" s="1"/>
  <c r="CC12" i="69" a="1"/>
  <c r="CC12" i="69" s="1"/>
  <c r="BX12" i="69" a="1"/>
  <c r="BX12" i="69" s="1"/>
  <c r="BW12" i="69" a="1"/>
  <c r="BW12" i="69" s="1"/>
  <c r="BV12" i="69" a="1"/>
  <c r="BV12" i="69" s="1"/>
  <c r="BT12" i="69" a="1"/>
  <c r="BT12" i="69" s="1"/>
  <c r="BO12" i="69" a="1"/>
  <c r="BO12" i="69" s="1"/>
  <c r="BD12" i="69" a="1"/>
  <c r="BD12" i="69" s="1"/>
  <c r="AY12" i="69" a="1"/>
  <c r="AY12" i="69" s="1"/>
  <c r="AX12" i="69" a="1"/>
  <c r="AX12" i="69" s="1"/>
  <c r="BB12" i="69" a="1"/>
  <c r="BB12" i="69" s="1"/>
  <c r="AU12" i="69" a="1"/>
  <c r="AU12" i="69" s="1"/>
  <c r="BA12" i="69" a="1"/>
  <c r="BA12" i="69" s="1"/>
  <c r="BP12" i="69" a="1"/>
  <c r="BP12" i="69" s="1"/>
  <c r="AS12" i="69" a="1"/>
  <c r="AS12" i="69" s="1"/>
  <c r="AQ12" i="69" a="1"/>
  <c r="AQ12" i="69" s="1"/>
  <c r="AP12" i="69" a="1"/>
  <c r="AP12" i="69" s="1"/>
  <c r="AN12" i="69" a="1"/>
  <c r="AN12" i="69" s="1"/>
  <c r="AM12" i="69" a="1"/>
  <c r="AM12" i="69" s="1"/>
  <c r="BQ12" i="69" a="1"/>
  <c r="BQ12" i="69" s="1"/>
  <c r="AK12" i="69" a="1"/>
  <c r="AK12" i="69" s="1"/>
  <c r="AI12" i="69" a="1"/>
  <c r="AI12" i="69" s="1"/>
  <c r="AH12" i="69" a="1"/>
  <c r="AH12" i="69" s="1"/>
  <c r="AG12" i="69" a="1"/>
  <c r="AG12" i="69" s="1"/>
  <c r="AF12" i="69" a="1"/>
  <c r="AF12" i="69" s="1"/>
  <c r="CP10" i="69" a="1"/>
  <c r="CP10" i="69" s="1"/>
  <c r="CO10" i="69" a="1"/>
  <c r="CO10" i="69" s="1"/>
  <c r="CN10" i="69" a="1"/>
  <c r="CN10" i="69" s="1"/>
  <c r="CM10" i="69" a="1"/>
  <c r="CM10" i="69" s="1"/>
  <c r="CL10" i="69" a="1"/>
  <c r="CL10" i="69" s="1"/>
  <c r="CK10" i="69" a="1"/>
  <c r="CK10" i="69" s="1"/>
  <c r="CJ10" i="69" a="1"/>
  <c r="CJ10" i="69" s="1"/>
  <c r="CI10" i="69" a="1"/>
  <c r="CI10" i="69" s="1"/>
  <c r="CH10" i="69" a="1"/>
  <c r="CH10" i="69" s="1"/>
  <c r="CG10" i="69" a="1"/>
  <c r="CG10" i="69" s="1"/>
  <c r="CF10" i="69" a="1"/>
  <c r="CF10" i="69" s="1"/>
  <c r="CE10" i="69" a="1"/>
  <c r="CE10" i="69" s="1"/>
  <c r="CD10" i="69" a="1"/>
  <c r="CD10" i="69" s="1"/>
  <c r="CC10" i="69" a="1"/>
  <c r="CC10" i="69" s="1"/>
  <c r="BX10" i="69" a="1"/>
  <c r="BX10" i="69" s="1"/>
  <c r="BW10" i="69" a="1"/>
  <c r="BW10" i="69" s="1"/>
  <c r="BV10" i="69" a="1"/>
  <c r="BV10" i="69" s="1"/>
  <c r="BT10" i="69" a="1"/>
  <c r="BT10" i="69" s="1"/>
  <c r="BO10" i="69" a="1"/>
  <c r="BO10" i="69" s="1"/>
  <c r="BD10" i="69" a="1"/>
  <c r="BD10" i="69" s="1"/>
  <c r="AY10" i="69" a="1"/>
  <c r="AY10" i="69" s="1"/>
  <c r="AX10" i="69" a="1"/>
  <c r="AX10" i="69" s="1"/>
  <c r="BB10" i="69" a="1"/>
  <c r="BB10" i="69" s="1"/>
  <c r="AU10" i="69" a="1"/>
  <c r="AU10" i="69" s="1"/>
  <c r="BA10" i="69" a="1"/>
  <c r="BA10" i="69" s="1"/>
  <c r="BP10" i="69" a="1"/>
  <c r="BP10" i="69" s="1"/>
  <c r="AS10" i="69" a="1"/>
  <c r="AS10" i="69" s="1"/>
  <c r="AQ10" i="69" a="1"/>
  <c r="AQ10" i="69" s="1"/>
  <c r="AP10" i="69" a="1"/>
  <c r="AP10" i="69" s="1"/>
  <c r="AN10" i="69" a="1"/>
  <c r="AN10" i="69" s="1"/>
  <c r="AM10" i="69" a="1"/>
  <c r="AM10" i="69" s="1"/>
  <c r="BQ10" i="69" a="1"/>
  <c r="BQ10" i="69" s="1"/>
  <c r="AK10" i="69" a="1"/>
  <c r="AK10" i="69" s="1"/>
  <c r="AI10" i="69" a="1"/>
  <c r="AI10" i="69" s="1"/>
  <c r="AH10" i="69" a="1"/>
  <c r="AH10" i="69" s="1"/>
  <c r="AG10" i="69" a="1"/>
  <c r="AG10" i="69" s="1"/>
  <c r="AF10" i="69" a="1"/>
  <c r="AF10" i="69" s="1"/>
  <c r="CP2" i="69" a="1"/>
  <c r="CP2" i="69" s="1"/>
  <c r="CO2" i="69" a="1"/>
  <c r="CO2" i="69" s="1"/>
  <c r="CN2" i="69" a="1"/>
  <c r="CN2" i="69" s="1"/>
  <c r="CM2" i="69" a="1"/>
  <c r="CM2" i="69" s="1"/>
  <c r="CL2" i="69" a="1"/>
  <c r="CL2" i="69" s="1"/>
  <c r="CK2" i="69" a="1"/>
  <c r="CK2" i="69" s="1"/>
  <c r="CJ2" i="69" a="1"/>
  <c r="CJ2" i="69" s="1"/>
  <c r="CI2" i="69" a="1"/>
  <c r="CI2" i="69" s="1"/>
  <c r="CH2" i="69" a="1"/>
  <c r="CH2" i="69" s="1"/>
  <c r="CG2" i="69" a="1"/>
  <c r="CG2" i="69" s="1"/>
  <c r="CF2" i="69" a="1"/>
  <c r="CF2" i="69" s="1"/>
  <c r="CE2" i="69" a="1"/>
  <c r="CE2" i="69" s="1"/>
  <c r="CD2" i="69" a="1"/>
  <c r="CD2" i="69" s="1"/>
  <c r="CC2" i="69" a="1"/>
  <c r="CC2" i="69" s="1"/>
  <c r="BX2" i="69" a="1"/>
  <c r="BX2" i="69" s="1"/>
  <c r="BW2" i="69" a="1"/>
  <c r="BW2" i="69" s="1"/>
  <c r="BV2" i="69" a="1"/>
  <c r="BV2" i="69" s="1"/>
  <c r="BT2" i="69" a="1"/>
  <c r="BT2" i="69" s="1"/>
  <c r="BO2" i="69" a="1"/>
  <c r="BO2" i="69" s="1"/>
  <c r="BD2" i="69" a="1"/>
  <c r="BD2" i="69" s="1"/>
  <c r="AY2" i="69" a="1"/>
  <c r="AY2" i="69" s="1"/>
  <c r="AX2" i="69" a="1"/>
  <c r="AX2" i="69" s="1"/>
  <c r="BB2" i="69" a="1"/>
  <c r="BB2" i="69" s="1"/>
  <c r="AU2" i="69" a="1"/>
  <c r="AU2" i="69" s="1"/>
  <c r="BA2" i="69" a="1"/>
  <c r="BA2" i="69" s="1"/>
  <c r="BP2" i="69" a="1"/>
  <c r="BP2" i="69" s="1"/>
  <c r="AS2" i="69" a="1"/>
  <c r="AS2" i="69" s="1"/>
  <c r="AQ2" i="69" a="1"/>
  <c r="AQ2" i="69" s="1"/>
  <c r="AP2" i="69" a="1"/>
  <c r="AP2" i="69" s="1"/>
  <c r="AN2" i="69" a="1"/>
  <c r="AN2" i="69" s="1"/>
  <c r="AM2" i="69" a="1"/>
  <c r="AM2" i="69" s="1"/>
  <c r="BQ2" i="69" a="1"/>
  <c r="BQ2" i="69" s="1"/>
  <c r="AK2" i="69" a="1"/>
  <c r="AK2" i="69" s="1"/>
  <c r="AI2" i="69" a="1"/>
  <c r="AI2" i="69" s="1"/>
  <c r="AH2" i="69" a="1"/>
  <c r="AH2" i="69" s="1"/>
  <c r="AG2" i="69" a="1"/>
  <c r="AG2" i="69" s="1"/>
  <c r="CP1" i="69"/>
  <c r="CO1" i="69"/>
  <c r="CN1" i="69"/>
  <c r="CM1" i="69"/>
  <c r="CL1" i="69"/>
  <c r="CK1" i="69"/>
  <c r="CJ1" i="69"/>
  <c r="CI1" i="69"/>
  <c r="CH1" i="69"/>
  <c r="CG1" i="69"/>
  <c r="CF1" i="69"/>
  <c r="CE1" i="69"/>
  <c r="CD1" i="69"/>
  <c r="CC1" i="69"/>
  <c r="BX1" i="69"/>
  <c r="BW1" i="69"/>
  <c r="BV1" i="69"/>
  <c r="BT1" i="69"/>
  <c r="BO1" i="69"/>
  <c r="BD1" i="69"/>
  <c r="AY1" i="69"/>
  <c r="AX1" i="69"/>
  <c r="BB1" i="69"/>
  <c r="AU1" i="69"/>
  <c r="BA1" i="69"/>
  <c r="BP1" i="69"/>
  <c r="AS1" i="69"/>
  <c r="AQ1" i="69"/>
  <c r="AP1" i="69"/>
  <c r="AN1" i="69"/>
  <c r="AM1" i="69"/>
  <c r="BQ1" i="69"/>
  <c r="AK1" i="69"/>
  <c r="AI1" i="69"/>
  <c r="AH1" i="69"/>
  <c r="AG1" i="69"/>
  <c r="AF131" i="68" a="1"/>
  <c r="AF131" i="68" s="1"/>
  <c r="AE131" i="68" a="1"/>
  <c r="AE131" i="68" s="1"/>
  <c r="AD131" i="68" a="1"/>
  <c r="AD131" i="68" s="1"/>
  <c r="T131" i="68"/>
  <c r="R131" i="68"/>
  <c r="N131" i="68"/>
  <c r="M131" i="68"/>
  <c r="L131" i="68"/>
  <c r="F131" i="68"/>
  <c r="D131" i="68"/>
  <c r="AF130" i="68" a="1"/>
  <c r="AF130" i="68" s="1"/>
  <c r="AE130" i="68" a="1"/>
  <c r="AE130" i="68" s="1"/>
  <c r="AD130" i="68" a="1"/>
  <c r="AD130" i="68" s="1"/>
  <c r="T130" i="68"/>
  <c r="R130" i="68"/>
  <c r="N130" i="68"/>
  <c r="M130" i="68"/>
  <c r="L130" i="68"/>
  <c r="F130" i="68"/>
  <c r="D130" i="68"/>
  <c r="AF129" i="68" a="1"/>
  <c r="AF129" i="68" s="1"/>
  <c r="AE129" i="68" a="1"/>
  <c r="AE129" i="68" s="1"/>
  <c r="AD129" i="68" a="1"/>
  <c r="AD129" i="68" s="1"/>
  <c r="T129" i="68"/>
  <c r="R129" i="68"/>
  <c r="N129" i="68"/>
  <c r="M129" i="68"/>
  <c r="L129" i="68"/>
  <c r="F129" i="68"/>
  <c r="D129" i="68"/>
  <c r="AF128" i="68" a="1"/>
  <c r="AF128" i="68" s="1"/>
  <c r="AE128" i="68" a="1"/>
  <c r="AE128" i="68" s="1"/>
  <c r="AD128" i="68" a="1"/>
  <c r="AD128" i="68" s="1"/>
  <c r="T128" i="68"/>
  <c r="R128" i="68"/>
  <c r="N128" i="68"/>
  <c r="M128" i="68"/>
  <c r="L128" i="68"/>
  <c r="F128" i="68"/>
  <c r="D128" i="68"/>
  <c r="AF127" i="68" a="1"/>
  <c r="AF127" i="68" s="1"/>
  <c r="AE127" i="68" a="1"/>
  <c r="AE127" i="68" s="1"/>
  <c r="AD127" i="68" a="1"/>
  <c r="AD127" i="68" s="1"/>
  <c r="T127" i="68"/>
  <c r="R127" i="68"/>
  <c r="N127" i="68"/>
  <c r="M127" i="68"/>
  <c r="L127" i="68"/>
  <c r="F127" i="68"/>
  <c r="D127" i="68"/>
  <c r="AF126" i="68" a="1"/>
  <c r="AF126" i="68" s="1"/>
  <c r="AE126" i="68" a="1"/>
  <c r="AE126" i="68" s="1"/>
  <c r="AD126" i="68" a="1"/>
  <c r="AD126" i="68" s="1"/>
  <c r="T126" i="68"/>
  <c r="R126" i="68"/>
  <c r="N126" i="68"/>
  <c r="M126" i="68"/>
  <c r="L126" i="68"/>
  <c r="F126" i="68"/>
  <c r="D126" i="68"/>
  <c r="AF125" i="68" a="1"/>
  <c r="AF125" i="68" s="1"/>
  <c r="AE125" i="68" a="1"/>
  <c r="AE125" i="68" s="1"/>
  <c r="AD125" i="68" a="1"/>
  <c r="AD125" i="68" s="1"/>
  <c r="T125" i="68"/>
  <c r="R125" i="68"/>
  <c r="N125" i="68"/>
  <c r="M125" i="68"/>
  <c r="L125" i="68"/>
  <c r="F125" i="68"/>
  <c r="D125" i="68"/>
  <c r="AF124" i="68" a="1"/>
  <c r="AF124" i="68" s="1"/>
  <c r="AE124" i="68" a="1"/>
  <c r="AE124" i="68" s="1"/>
  <c r="AD124" i="68" a="1"/>
  <c r="AD124" i="68" s="1"/>
  <c r="T124" i="68"/>
  <c r="R124" i="68"/>
  <c r="N124" i="68"/>
  <c r="M124" i="68"/>
  <c r="L124" i="68"/>
  <c r="F124" i="68"/>
  <c r="D124" i="68"/>
  <c r="AF123" i="68" a="1"/>
  <c r="AF123" i="68" s="1"/>
  <c r="AE123" i="68" a="1"/>
  <c r="AE123" i="68" s="1"/>
  <c r="AD123" i="68" a="1"/>
  <c r="AD123" i="68" s="1"/>
  <c r="T123" i="68"/>
  <c r="R123" i="68"/>
  <c r="N123" i="68"/>
  <c r="M123" i="68"/>
  <c r="L123" i="68"/>
  <c r="F123" i="68"/>
  <c r="D123" i="68"/>
  <c r="AF122" i="68" a="1"/>
  <c r="AF122" i="68" s="1"/>
  <c r="AE122" i="68" a="1"/>
  <c r="AE122" i="68" s="1"/>
  <c r="AD122" i="68" a="1"/>
  <c r="AD122" i="68" s="1"/>
  <c r="T122" i="68"/>
  <c r="R122" i="68"/>
  <c r="N122" i="68"/>
  <c r="M122" i="68"/>
  <c r="L122" i="68"/>
  <c r="F122" i="68"/>
  <c r="D122" i="68"/>
  <c r="AF121" i="68" a="1"/>
  <c r="AF121" i="68" s="1"/>
  <c r="AE121" i="68" a="1"/>
  <c r="AE121" i="68" s="1"/>
  <c r="AD121" i="68" a="1"/>
  <c r="AD121" i="68" s="1"/>
  <c r="T121" i="68"/>
  <c r="R121" i="68"/>
  <c r="N121" i="68"/>
  <c r="M121" i="68"/>
  <c r="L121" i="68"/>
  <c r="F121" i="68"/>
  <c r="D121" i="68"/>
  <c r="AF120" i="68" a="1"/>
  <c r="AF120" i="68" s="1"/>
  <c r="AE120" i="68" a="1"/>
  <c r="AE120" i="68" s="1"/>
  <c r="AD120" i="68" a="1"/>
  <c r="AD120" i="68" s="1"/>
  <c r="T120" i="68"/>
  <c r="R120" i="68"/>
  <c r="N120" i="68"/>
  <c r="M120" i="68"/>
  <c r="L120" i="68"/>
  <c r="F120" i="68"/>
  <c r="D120" i="68"/>
  <c r="AF119" i="68" a="1"/>
  <c r="AF119" i="68" s="1"/>
  <c r="AE119" i="68" a="1"/>
  <c r="AE119" i="68" s="1"/>
  <c r="AD119" i="68" a="1"/>
  <c r="AD119" i="68" s="1"/>
  <c r="T119" i="68"/>
  <c r="R119" i="68"/>
  <c r="N119" i="68"/>
  <c r="M119" i="68"/>
  <c r="L119" i="68"/>
  <c r="F119" i="68"/>
  <c r="D119" i="68"/>
  <c r="AF118" i="68" a="1"/>
  <c r="AF118" i="68" s="1"/>
  <c r="AE118" i="68" a="1"/>
  <c r="AE118" i="68" s="1"/>
  <c r="AD118" i="68" a="1"/>
  <c r="AD118" i="68" s="1"/>
  <c r="T118" i="68"/>
  <c r="R118" i="68"/>
  <c r="N118" i="68"/>
  <c r="M118" i="68"/>
  <c r="L118" i="68"/>
  <c r="F118" i="68"/>
  <c r="D118" i="68"/>
  <c r="AF117" i="68" a="1"/>
  <c r="AF117" i="68" s="1"/>
  <c r="AE117" i="68" a="1"/>
  <c r="AE117" i="68" s="1"/>
  <c r="AD117" i="68" a="1"/>
  <c r="AD117" i="68" s="1"/>
  <c r="T117" i="68"/>
  <c r="R117" i="68"/>
  <c r="N117" i="68"/>
  <c r="M117" i="68"/>
  <c r="L117" i="68"/>
  <c r="F117" i="68"/>
  <c r="D117" i="68"/>
  <c r="AF116" i="68" a="1"/>
  <c r="AF116" i="68" s="1"/>
  <c r="AE116" i="68" a="1"/>
  <c r="AE116" i="68" s="1"/>
  <c r="AD116" i="68" a="1"/>
  <c r="AD116" i="68" s="1"/>
  <c r="T116" i="68"/>
  <c r="R116" i="68"/>
  <c r="N116" i="68"/>
  <c r="M116" i="68"/>
  <c r="L116" i="68"/>
  <c r="F116" i="68"/>
  <c r="D116" i="68"/>
  <c r="AF115" i="68" a="1"/>
  <c r="AF115" i="68" s="1"/>
  <c r="AE115" i="68" a="1"/>
  <c r="AE115" i="68" s="1"/>
  <c r="AD115" i="68" a="1"/>
  <c r="AD115" i="68" s="1"/>
  <c r="T115" i="68"/>
  <c r="R115" i="68"/>
  <c r="N115" i="68"/>
  <c r="M115" i="68"/>
  <c r="L115" i="68"/>
  <c r="F115" i="68"/>
  <c r="D115" i="68"/>
  <c r="AF114" i="68" a="1"/>
  <c r="AF114" i="68" s="1"/>
  <c r="AE114" i="68" a="1"/>
  <c r="AE114" i="68" s="1"/>
  <c r="AD114" i="68" a="1"/>
  <c r="AD114" i="68" s="1"/>
  <c r="T114" i="68"/>
  <c r="R114" i="68"/>
  <c r="N114" i="68"/>
  <c r="M114" i="68"/>
  <c r="L114" i="68"/>
  <c r="F114" i="68"/>
  <c r="D114" i="68"/>
  <c r="AF113" i="68" a="1"/>
  <c r="AF113" i="68" s="1"/>
  <c r="AE113" i="68" a="1"/>
  <c r="AE113" i="68" s="1"/>
  <c r="AD113" i="68" a="1"/>
  <c r="AD113" i="68" s="1"/>
  <c r="T113" i="68"/>
  <c r="R113" i="68"/>
  <c r="N113" i="68"/>
  <c r="M113" i="68"/>
  <c r="L113" i="68"/>
  <c r="F113" i="68"/>
  <c r="D113" i="68"/>
  <c r="AF112" i="68" a="1"/>
  <c r="AF112" i="68" s="1"/>
  <c r="AE112" i="68" a="1"/>
  <c r="AE112" i="68" s="1"/>
  <c r="AD112" i="68" a="1"/>
  <c r="AD112" i="68" s="1"/>
  <c r="T112" i="68"/>
  <c r="R112" i="68"/>
  <c r="N112" i="68"/>
  <c r="M112" i="68"/>
  <c r="L112" i="68"/>
  <c r="F112" i="68"/>
  <c r="D112" i="68"/>
  <c r="AF111" i="68" a="1"/>
  <c r="AF111" i="68" s="1"/>
  <c r="AE111" i="68" a="1"/>
  <c r="AE111" i="68" s="1"/>
  <c r="AD111" i="68" a="1"/>
  <c r="AD111" i="68" s="1"/>
  <c r="T111" i="68"/>
  <c r="R111" i="68"/>
  <c r="N111" i="68"/>
  <c r="M111" i="68"/>
  <c r="L111" i="68"/>
  <c r="F111" i="68"/>
  <c r="D111" i="68"/>
  <c r="AF110" i="68" a="1"/>
  <c r="AF110" i="68" s="1"/>
  <c r="AE110" i="68" a="1"/>
  <c r="AE110" i="68" s="1"/>
  <c r="AD110" i="68" a="1"/>
  <c r="AD110" i="68" s="1"/>
  <c r="T110" i="68"/>
  <c r="R110" i="68"/>
  <c r="N110" i="68"/>
  <c r="M110" i="68"/>
  <c r="L110" i="68"/>
  <c r="F110" i="68"/>
  <c r="D110" i="68"/>
  <c r="AF109" i="68" a="1"/>
  <c r="AF109" i="68" s="1"/>
  <c r="AE109" i="68" a="1"/>
  <c r="AE109" i="68" s="1"/>
  <c r="AD109" i="68" a="1"/>
  <c r="AD109" i="68" s="1"/>
  <c r="T109" i="68"/>
  <c r="R109" i="68"/>
  <c r="N109" i="68"/>
  <c r="M109" i="68"/>
  <c r="L109" i="68"/>
  <c r="F109" i="68"/>
  <c r="D109" i="68"/>
  <c r="AF108" i="68" a="1"/>
  <c r="AF108" i="68" s="1"/>
  <c r="AE108" i="68" a="1"/>
  <c r="AE108" i="68" s="1"/>
  <c r="AD108" i="68" a="1"/>
  <c r="AD108" i="68" s="1"/>
  <c r="T108" i="68"/>
  <c r="R108" i="68"/>
  <c r="N108" i="68"/>
  <c r="M108" i="68"/>
  <c r="L108" i="68"/>
  <c r="F108" i="68"/>
  <c r="D108" i="68"/>
  <c r="AF107" i="68" a="1"/>
  <c r="AF107" i="68" s="1"/>
  <c r="AE107" i="68" a="1"/>
  <c r="AE107" i="68" s="1"/>
  <c r="AD107" i="68" a="1"/>
  <c r="AD107" i="68" s="1"/>
  <c r="T107" i="68"/>
  <c r="R107" i="68"/>
  <c r="N107" i="68"/>
  <c r="M107" i="68"/>
  <c r="L107" i="68"/>
  <c r="F107" i="68"/>
  <c r="D107" i="68"/>
  <c r="AF106" i="68" a="1"/>
  <c r="AF106" i="68" s="1"/>
  <c r="AE106" i="68" a="1"/>
  <c r="AE106" i="68" s="1"/>
  <c r="AD106" i="68" a="1"/>
  <c r="AD106" i="68" s="1"/>
  <c r="T106" i="68"/>
  <c r="R106" i="68"/>
  <c r="N106" i="68"/>
  <c r="M106" i="68"/>
  <c r="L106" i="68"/>
  <c r="F106" i="68"/>
  <c r="D106" i="68"/>
  <c r="AF105" i="68" a="1"/>
  <c r="AF105" i="68" s="1"/>
  <c r="AE105" i="68" a="1"/>
  <c r="AE105" i="68" s="1"/>
  <c r="AD105" i="68" a="1"/>
  <c r="AD105" i="68" s="1"/>
  <c r="T105" i="68"/>
  <c r="R105" i="68"/>
  <c r="N105" i="68"/>
  <c r="M105" i="68"/>
  <c r="L105" i="68"/>
  <c r="F105" i="68"/>
  <c r="D105" i="68"/>
  <c r="AF104" i="68" a="1"/>
  <c r="AF104" i="68" s="1"/>
  <c r="AE104" i="68" a="1"/>
  <c r="AE104" i="68" s="1"/>
  <c r="AD104" i="68" a="1"/>
  <c r="AD104" i="68" s="1"/>
  <c r="T104" i="68"/>
  <c r="R104" i="68"/>
  <c r="N104" i="68"/>
  <c r="M104" i="68"/>
  <c r="L104" i="68"/>
  <c r="F104" i="68"/>
  <c r="D104" i="68"/>
  <c r="AF103" i="68" a="1"/>
  <c r="AF103" i="68" s="1"/>
  <c r="AE103" i="68" a="1"/>
  <c r="AE103" i="68" s="1"/>
  <c r="AD103" i="68" a="1"/>
  <c r="AD103" i="68" s="1"/>
  <c r="T103" i="68"/>
  <c r="R103" i="68"/>
  <c r="N103" i="68"/>
  <c r="M103" i="68"/>
  <c r="L103" i="68"/>
  <c r="F103" i="68"/>
  <c r="D103" i="68"/>
  <c r="AF102" i="68" a="1"/>
  <c r="AF102" i="68" s="1"/>
  <c r="AE102" i="68" a="1"/>
  <c r="AE102" i="68" s="1"/>
  <c r="AD102" i="68" a="1"/>
  <c r="AD102" i="68" s="1"/>
  <c r="T102" i="68"/>
  <c r="R102" i="68"/>
  <c r="N102" i="68"/>
  <c r="M102" i="68"/>
  <c r="L102" i="68"/>
  <c r="F102" i="68"/>
  <c r="D102" i="68"/>
  <c r="AF101" i="68" a="1"/>
  <c r="AF101" i="68" s="1"/>
  <c r="AE101" i="68" a="1"/>
  <c r="AE101" i="68" s="1"/>
  <c r="AD101" i="68" a="1"/>
  <c r="AD101" i="68" s="1"/>
  <c r="T101" i="68"/>
  <c r="R101" i="68"/>
  <c r="N101" i="68"/>
  <c r="M101" i="68"/>
  <c r="L101" i="68"/>
  <c r="F101" i="68"/>
  <c r="D101" i="68"/>
  <c r="AF100" i="68" a="1"/>
  <c r="AF100" i="68" s="1"/>
  <c r="AE100" i="68" a="1"/>
  <c r="AE100" i="68" s="1"/>
  <c r="AD100" i="68" a="1"/>
  <c r="AD100" i="68" s="1"/>
  <c r="T100" i="68"/>
  <c r="R100" i="68"/>
  <c r="N100" i="68"/>
  <c r="M100" i="68"/>
  <c r="L100" i="68"/>
  <c r="F100" i="68"/>
  <c r="D100" i="68"/>
  <c r="AF99" i="68" a="1"/>
  <c r="AF99" i="68" s="1"/>
  <c r="AE99" i="68" a="1"/>
  <c r="AE99" i="68" s="1"/>
  <c r="AD99" i="68" a="1"/>
  <c r="AD99" i="68" s="1"/>
  <c r="T99" i="68"/>
  <c r="R99" i="68"/>
  <c r="N99" i="68"/>
  <c r="M99" i="68"/>
  <c r="L99" i="68"/>
  <c r="F99" i="68"/>
  <c r="D99" i="68"/>
  <c r="AF98" i="68" a="1"/>
  <c r="AF98" i="68" s="1"/>
  <c r="AE98" i="68" a="1"/>
  <c r="AE98" i="68" s="1"/>
  <c r="AD98" i="68" a="1"/>
  <c r="AD98" i="68" s="1"/>
  <c r="T98" i="68"/>
  <c r="R98" i="68"/>
  <c r="N98" i="68"/>
  <c r="M98" i="68"/>
  <c r="L98" i="68"/>
  <c r="F98" i="68"/>
  <c r="D98" i="68"/>
  <c r="AF97" i="68" a="1"/>
  <c r="AF97" i="68" s="1"/>
  <c r="AE97" i="68" a="1"/>
  <c r="AE97" i="68" s="1"/>
  <c r="AD97" i="68" a="1"/>
  <c r="AD97" i="68" s="1"/>
  <c r="T97" i="68"/>
  <c r="R97" i="68"/>
  <c r="N97" i="68"/>
  <c r="M97" i="68"/>
  <c r="L97" i="68"/>
  <c r="F97" i="68"/>
  <c r="D97" i="68"/>
  <c r="AF96" i="68" a="1"/>
  <c r="AF96" i="68" s="1"/>
  <c r="AE96" i="68" a="1"/>
  <c r="AE96" i="68" s="1"/>
  <c r="AD96" i="68" a="1"/>
  <c r="AD96" i="68" s="1"/>
  <c r="T96" i="68"/>
  <c r="R96" i="68"/>
  <c r="N96" i="68"/>
  <c r="M96" i="68"/>
  <c r="L96" i="68"/>
  <c r="F96" i="68"/>
  <c r="D96" i="68"/>
  <c r="AF95" i="68" a="1"/>
  <c r="AF95" i="68" s="1"/>
  <c r="AE95" i="68" a="1"/>
  <c r="AE95" i="68" s="1"/>
  <c r="AD95" i="68" a="1"/>
  <c r="AD95" i="68" s="1"/>
  <c r="T95" i="68"/>
  <c r="R95" i="68"/>
  <c r="N95" i="68"/>
  <c r="M95" i="68"/>
  <c r="L95" i="68"/>
  <c r="F95" i="68"/>
  <c r="D95" i="68"/>
  <c r="AF94" i="68" a="1"/>
  <c r="AF94" i="68" s="1"/>
  <c r="AE94" i="68" a="1"/>
  <c r="AE94" i="68" s="1"/>
  <c r="AD94" i="68" a="1"/>
  <c r="AD94" i="68" s="1"/>
  <c r="T94" i="68"/>
  <c r="R94" i="68"/>
  <c r="N94" i="68"/>
  <c r="M94" i="68"/>
  <c r="L94" i="68"/>
  <c r="F94" i="68"/>
  <c r="D94" i="68"/>
  <c r="AF93" i="68" a="1"/>
  <c r="AF93" i="68" s="1"/>
  <c r="AE93" i="68" a="1"/>
  <c r="AE93" i="68" s="1"/>
  <c r="AD93" i="68" a="1"/>
  <c r="AD93" i="68" s="1"/>
  <c r="T93" i="68"/>
  <c r="R93" i="68"/>
  <c r="N93" i="68"/>
  <c r="M93" i="68"/>
  <c r="L93" i="68"/>
  <c r="F93" i="68"/>
  <c r="D93" i="68"/>
  <c r="AF92" i="68" a="1"/>
  <c r="AF92" i="68" s="1"/>
  <c r="AE92" i="68" a="1"/>
  <c r="AE92" i="68" s="1"/>
  <c r="AD92" i="68" a="1"/>
  <c r="AD92" i="68" s="1"/>
  <c r="T92" i="68"/>
  <c r="R92" i="68"/>
  <c r="N92" i="68"/>
  <c r="M92" i="68"/>
  <c r="L92" i="68"/>
  <c r="F92" i="68"/>
  <c r="D92" i="68"/>
  <c r="AF91" i="68" a="1"/>
  <c r="AF91" i="68" s="1"/>
  <c r="AE91" i="68" a="1"/>
  <c r="AE91" i="68" s="1"/>
  <c r="AD91" i="68" a="1"/>
  <c r="AD91" i="68" s="1"/>
  <c r="T91" i="68"/>
  <c r="R91" i="68"/>
  <c r="N91" i="68"/>
  <c r="M91" i="68"/>
  <c r="L91" i="68"/>
  <c r="F91" i="68"/>
  <c r="D91" i="68"/>
  <c r="AF90" i="68" a="1"/>
  <c r="AF90" i="68" s="1"/>
  <c r="AE90" i="68" a="1"/>
  <c r="AE90" i="68" s="1"/>
  <c r="AD90" i="68" a="1"/>
  <c r="AD90" i="68" s="1"/>
  <c r="T90" i="68"/>
  <c r="R90" i="68"/>
  <c r="N90" i="68"/>
  <c r="M90" i="68"/>
  <c r="L90" i="68"/>
  <c r="F90" i="68"/>
  <c r="D90" i="68"/>
  <c r="AF89" i="68" a="1"/>
  <c r="AF89" i="68" s="1"/>
  <c r="AE89" i="68" a="1"/>
  <c r="AE89" i="68" s="1"/>
  <c r="AD89" i="68" a="1"/>
  <c r="AD89" i="68" s="1"/>
  <c r="T89" i="68"/>
  <c r="R89" i="68"/>
  <c r="N89" i="68"/>
  <c r="M89" i="68"/>
  <c r="L89" i="68"/>
  <c r="F89" i="68"/>
  <c r="D89" i="68"/>
  <c r="AF88" i="68" a="1"/>
  <c r="AF88" i="68" s="1"/>
  <c r="AE88" i="68" a="1"/>
  <c r="AE88" i="68" s="1"/>
  <c r="AD88" i="68" a="1"/>
  <c r="AD88" i="68" s="1"/>
  <c r="T88" i="68"/>
  <c r="R88" i="68"/>
  <c r="N88" i="68"/>
  <c r="M88" i="68"/>
  <c r="L88" i="68"/>
  <c r="F88" i="68"/>
  <c r="D88" i="68"/>
  <c r="AF87" i="68" a="1"/>
  <c r="AF87" i="68" s="1"/>
  <c r="AE87" i="68" a="1"/>
  <c r="AE87" i="68" s="1"/>
  <c r="AD87" i="68" a="1"/>
  <c r="AD87" i="68" s="1"/>
  <c r="T87" i="68"/>
  <c r="R87" i="68"/>
  <c r="N87" i="68"/>
  <c r="M87" i="68"/>
  <c r="L87" i="68"/>
  <c r="F87" i="68"/>
  <c r="D87" i="68"/>
  <c r="AF86" i="68" a="1"/>
  <c r="AF86" i="68" s="1"/>
  <c r="AE86" i="68" a="1"/>
  <c r="AE86" i="68" s="1"/>
  <c r="AD86" i="68" a="1"/>
  <c r="AD86" i="68" s="1"/>
  <c r="T86" i="68"/>
  <c r="R86" i="68"/>
  <c r="N86" i="68"/>
  <c r="M86" i="68"/>
  <c r="L86" i="68"/>
  <c r="F86" i="68"/>
  <c r="D86" i="68"/>
  <c r="AF85" i="68" a="1"/>
  <c r="AF85" i="68" s="1"/>
  <c r="AE85" i="68" a="1"/>
  <c r="AE85" i="68" s="1"/>
  <c r="AD85" i="68" a="1"/>
  <c r="AD85" i="68" s="1"/>
  <c r="T85" i="68"/>
  <c r="R85" i="68"/>
  <c r="N85" i="68"/>
  <c r="M85" i="68"/>
  <c r="L85" i="68"/>
  <c r="F85" i="68"/>
  <c r="D85" i="68"/>
  <c r="AF84" i="68" a="1"/>
  <c r="AF84" i="68" s="1"/>
  <c r="AE84" i="68" a="1"/>
  <c r="AE84" i="68" s="1"/>
  <c r="AD84" i="68" a="1"/>
  <c r="AD84" i="68" s="1"/>
  <c r="T84" i="68"/>
  <c r="R84" i="68"/>
  <c r="N84" i="68"/>
  <c r="M84" i="68"/>
  <c r="L84" i="68"/>
  <c r="F84" i="68"/>
  <c r="D84" i="68"/>
  <c r="AF83" i="68" a="1"/>
  <c r="AF83" i="68" s="1"/>
  <c r="AE83" i="68" a="1"/>
  <c r="AE83" i="68" s="1"/>
  <c r="AD83" i="68" a="1"/>
  <c r="AD83" i="68" s="1"/>
  <c r="T83" i="68"/>
  <c r="R83" i="68"/>
  <c r="N83" i="68"/>
  <c r="M83" i="68"/>
  <c r="L83" i="68"/>
  <c r="F83" i="68"/>
  <c r="D83" i="68"/>
  <c r="AF82" i="68" a="1"/>
  <c r="AF82" i="68" s="1"/>
  <c r="AE82" i="68" a="1"/>
  <c r="AE82" i="68" s="1"/>
  <c r="AD82" i="68" a="1"/>
  <c r="AD82" i="68" s="1"/>
  <c r="T82" i="68"/>
  <c r="R82" i="68"/>
  <c r="N82" i="68"/>
  <c r="M82" i="68"/>
  <c r="L82" i="68"/>
  <c r="F82" i="68"/>
  <c r="D82" i="68"/>
  <c r="AF81" i="68" a="1"/>
  <c r="AF81" i="68" s="1"/>
  <c r="AE81" i="68" a="1"/>
  <c r="AE81" i="68" s="1"/>
  <c r="AD81" i="68" a="1"/>
  <c r="AD81" i="68" s="1"/>
  <c r="T81" i="68"/>
  <c r="R81" i="68"/>
  <c r="N81" i="68"/>
  <c r="M81" i="68"/>
  <c r="L81" i="68"/>
  <c r="F81" i="68"/>
  <c r="D81" i="68"/>
  <c r="AF80" i="68" a="1"/>
  <c r="AF80" i="68" s="1"/>
  <c r="AE80" i="68" a="1"/>
  <c r="AE80" i="68" s="1"/>
  <c r="AD80" i="68" a="1"/>
  <c r="AD80" i="68" s="1"/>
  <c r="T80" i="68"/>
  <c r="R80" i="68"/>
  <c r="N80" i="68"/>
  <c r="M80" i="68"/>
  <c r="L80" i="68"/>
  <c r="F80" i="68"/>
  <c r="D80" i="68"/>
  <c r="AF79" i="68" a="1"/>
  <c r="AF79" i="68" s="1"/>
  <c r="AE79" i="68" a="1"/>
  <c r="AE79" i="68" s="1"/>
  <c r="AD79" i="68" a="1"/>
  <c r="AD79" i="68" s="1"/>
  <c r="T79" i="68"/>
  <c r="R79" i="68"/>
  <c r="N79" i="68"/>
  <c r="M79" i="68"/>
  <c r="L79" i="68"/>
  <c r="F79" i="68"/>
  <c r="D79" i="68"/>
  <c r="AF78" i="68" a="1"/>
  <c r="AF78" i="68" s="1"/>
  <c r="AE78" i="68" a="1"/>
  <c r="AE78" i="68" s="1"/>
  <c r="AD78" i="68" a="1"/>
  <c r="AD78" i="68" s="1"/>
  <c r="T78" i="68"/>
  <c r="R78" i="68"/>
  <c r="N78" i="68"/>
  <c r="M78" i="68"/>
  <c r="L78" i="68"/>
  <c r="F78" i="68"/>
  <c r="D78" i="68"/>
  <c r="AF77" i="68" a="1"/>
  <c r="AF77" i="68" s="1"/>
  <c r="AE77" i="68" a="1"/>
  <c r="AE77" i="68" s="1"/>
  <c r="AD77" i="68" a="1"/>
  <c r="AD77" i="68" s="1"/>
  <c r="T77" i="68"/>
  <c r="R77" i="68"/>
  <c r="N77" i="68"/>
  <c r="M77" i="68"/>
  <c r="L77" i="68"/>
  <c r="F77" i="68"/>
  <c r="D77" i="68"/>
  <c r="AF76" i="68" a="1"/>
  <c r="AF76" i="68" s="1"/>
  <c r="AE76" i="68" a="1"/>
  <c r="AE76" i="68" s="1"/>
  <c r="AD76" i="68" a="1"/>
  <c r="AD76" i="68" s="1"/>
  <c r="T76" i="68"/>
  <c r="R76" i="68"/>
  <c r="N76" i="68"/>
  <c r="M76" i="68"/>
  <c r="L76" i="68"/>
  <c r="F76" i="68"/>
  <c r="D76" i="68"/>
  <c r="AF75" i="68" a="1"/>
  <c r="AF75" i="68" s="1"/>
  <c r="AE75" i="68" a="1"/>
  <c r="AE75" i="68" s="1"/>
  <c r="AD75" i="68" a="1"/>
  <c r="AD75" i="68" s="1"/>
  <c r="T75" i="68"/>
  <c r="R75" i="68"/>
  <c r="N75" i="68"/>
  <c r="M75" i="68"/>
  <c r="L75" i="68"/>
  <c r="F75" i="68"/>
  <c r="D75" i="68"/>
  <c r="AF74" i="68" a="1"/>
  <c r="AF74" i="68" s="1"/>
  <c r="AE74" i="68" a="1"/>
  <c r="AE74" i="68" s="1"/>
  <c r="AD74" i="68" a="1"/>
  <c r="AD74" i="68" s="1"/>
  <c r="T74" i="68"/>
  <c r="R74" i="68"/>
  <c r="N74" i="68"/>
  <c r="M74" i="68"/>
  <c r="L74" i="68"/>
  <c r="F74" i="68"/>
  <c r="D74" i="68"/>
  <c r="AF69" i="68" a="1"/>
  <c r="AF69" i="68" s="1"/>
  <c r="AE69" i="68" a="1"/>
  <c r="AE69" i="68" s="1"/>
  <c r="AD69" i="68" a="1"/>
  <c r="AD69" i="68" s="1"/>
  <c r="T69" i="68"/>
  <c r="AF68" i="68" a="1"/>
  <c r="AF68" i="68" s="1"/>
  <c r="AE68" i="68" a="1"/>
  <c r="AE68" i="68" s="1"/>
  <c r="AD68" i="68" a="1"/>
  <c r="AD68" i="68" s="1"/>
  <c r="T68" i="68"/>
  <c r="AF67" i="68" a="1"/>
  <c r="AF67" i="68" s="1"/>
  <c r="AE67" i="68" a="1"/>
  <c r="AE67" i="68" s="1"/>
  <c r="AD67" i="68" a="1"/>
  <c r="AD67" i="68" s="1"/>
  <c r="T67" i="68"/>
  <c r="M67" i="68"/>
  <c r="N67" i="68" s="1"/>
  <c r="L67" i="68"/>
  <c r="T66" i="68"/>
  <c r="M66" i="68"/>
  <c r="N66" i="68" s="1"/>
  <c r="L66" i="68"/>
  <c r="T65" i="68"/>
  <c r="M65" i="68"/>
  <c r="N65" i="68" s="1"/>
  <c r="L65" i="68"/>
  <c r="AF64" i="68" a="1"/>
  <c r="AF64" i="68" s="1"/>
  <c r="AE64" i="68" a="1"/>
  <c r="AE64" i="68" s="1"/>
  <c r="AD64" i="68" a="1"/>
  <c r="AD64" i="68" s="1"/>
  <c r="T64" i="68"/>
  <c r="M64" i="68"/>
  <c r="N64" i="68" s="1"/>
  <c r="L64" i="68"/>
  <c r="AF63" i="68" a="1"/>
  <c r="AF63" i="68" s="1"/>
  <c r="AE63" i="68" a="1"/>
  <c r="AE63" i="68" s="1"/>
  <c r="AD63" i="68" a="1"/>
  <c r="AD63" i="68" s="1"/>
  <c r="T63" i="68"/>
  <c r="M63" i="68"/>
  <c r="N63" i="68" s="1"/>
  <c r="L63" i="68"/>
  <c r="AF62" i="68" a="1"/>
  <c r="AF62" i="68" s="1"/>
  <c r="AE62" i="68" a="1"/>
  <c r="AE62" i="68" s="1"/>
  <c r="AD62" i="68" a="1"/>
  <c r="AD62" i="68" s="1"/>
  <c r="T62" i="68"/>
  <c r="M62" i="68"/>
  <c r="N62" i="68" s="1"/>
  <c r="L62" i="68"/>
  <c r="AF61" i="68" a="1"/>
  <c r="AF61" i="68" s="1"/>
  <c r="AE61" i="68" a="1"/>
  <c r="AE61" i="68" s="1"/>
  <c r="AD61" i="68" a="1"/>
  <c r="AD61" i="68" s="1"/>
  <c r="T61" i="68"/>
  <c r="M61" i="68"/>
  <c r="N61" i="68" s="1"/>
  <c r="L61" i="68"/>
  <c r="AF60" i="68" a="1"/>
  <c r="AF60" i="68" s="1"/>
  <c r="AE60" i="68" a="1"/>
  <c r="AE60" i="68" s="1"/>
  <c r="AD60" i="68" a="1"/>
  <c r="AD60" i="68" s="1"/>
  <c r="T60" i="68"/>
  <c r="M60" i="68"/>
  <c r="N60" i="68" s="1"/>
  <c r="L60" i="68"/>
  <c r="AF59" i="68" a="1"/>
  <c r="AF59" i="68" s="1"/>
  <c r="AE59" i="68" a="1"/>
  <c r="AE59" i="68" s="1"/>
  <c r="AD59" i="68" a="1"/>
  <c r="AD59" i="68" s="1"/>
  <c r="U59" i="68"/>
  <c r="V59" i="68" s="1"/>
  <c r="T59" i="68"/>
  <c r="O59" i="68"/>
  <c r="P59" i="68" s="1"/>
  <c r="M59" i="68"/>
  <c r="N59" i="68" s="1"/>
  <c r="L59" i="68"/>
  <c r="AF57" i="68" a="1"/>
  <c r="AF57" i="68" s="1"/>
  <c r="AE57" i="68" a="1"/>
  <c r="AE57" i="68" s="1"/>
  <c r="AD57" i="68" a="1"/>
  <c r="AD57" i="68" s="1"/>
  <c r="U57" i="68"/>
  <c r="V57" i="68" s="1"/>
  <c r="T57" i="68"/>
  <c r="O57" i="68"/>
  <c r="P57" i="68" s="1"/>
  <c r="M57" i="68"/>
  <c r="N57" i="68" s="1"/>
  <c r="L57" i="68"/>
  <c r="AF54" i="68" a="1"/>
  <c r="AF54" i="68" s="1"/>
  <c r="AE54" i="68" a="1"/>
  <c r="AE54" i="68" s="1"/>
  <c r="AD54" i="68" a="1"/>
  <c r="AD54" i="68" s="1"/>
  <c r="U54" i="68"/>
  <c r="V54" i="68" s="1"/>
  <c r="T54" i="68"/>
  <c r="O54" i="68"/>
  <c r="P54" i="68" s="1"/>
  <c r="M54" i="68"/>
  <c r="N54" i="68" s="1"/>
  <c r="L54" i="68"/>
  <c r="AF53" i="68" a="1"/>
  <c r="AF53" i="68" s="1"/>
  <c r="AE53" i="68" a="1"/>
  <c r="AE53" i="68" s="1"/>
  <c r="AD53" i="68" a="1"/>
  <c r="AD53" i="68" s="1"/>
  <c r="U53" i="68"/>
  <c r="V53" i="68" s="1"/>
  <c r="T53" i="68"/>
  <c r="O53" i="68"/>
  <c r="P53" i="68" s="1"/>
  <c r="M53" i="68"/>
  <c r="N53" i="68" s="1"/>
  <c r="L53" i="68"/>
  <c r="AF52" i="68" a="1"/>
  <c r="AF52" i="68" s="1"/>
  <c r="AE52" i="68" a="1"/>
  <c r="AE52" i="68" s="1"/>
  <c r="AD52" i="68" a="1"/>
  <c r="AD52" i="68" s="1"/>
  <c r="U52" i="68"/>
  <c r="V52" i="68" s="1"/>
  <c r="T52" i="68"/>
  <c r="O52" i="68"/>
  <c r="P52" i="68" s="1"/>
  <c r="M52" i="68"/>
  <c r="N52" i="68" s="1"/>
  <c r="L52" i="68"/>
  <c r="AF51" i="68" a="1"/>
  <c r="AF51" i="68" s="1"/>
  <c r="AE51" i="68" a="1"/>
  <c r="AE51" i="68" s="1"/>
  <c r="AD51" i="68" a="1"/>
  <c r="AD51" i="68" s="1"/>
  <c r="U51" i="68"/>
  <c r="V51" i="68" s="1"/>
  <c r="T51" i="68"/>
  <c r="O51" i="68"/>
  <c r="P51" i="68" s="1"/>
  <c r="M51" i="68"/>
  <c r="N51" i="68" s="1"/>
  <c r="L51" i="68"/>
  <c r="AF50" i="68" a="1"/>
  <c r="AF50" i="68" s="1"/>
  <c r="AE50" i="68" a="1"/>
  <c r="AE50" i="68" s="1"/>
  <c r="AD50" i="68" a="1"/>
  <c r="AD50" i="68" s="1"/>
  <c r="U50" i="68"/>
  <c r="V50" i="68" s="1"/>
  <c r="T50" i="68"/>
  <c r="O50" i="68"/>
  <c r="P50" i="68" s="1"/>
  <c r="M50" i="68"/>
  <c r="N50" i="68" s="1"/>
  <c r="L50" i="68"/>
  <c r="AF49" i="68" a="1"/>
  <c r="AF49" i="68" s="1"/>
  <c r="AE49" i="68" a="1"/>
  <c r="AE49" i="68" s="1"/>
  <c r="AD49" i="68" a="1"/>
  <c r="AD49" i="68" s="1"/>
  <c r="U49" i="68"/>
  <c r="V49" i="68" s="1"/>
  <c r="T49" i="68"/>
  <c r="O49" i="68"/>
  <c r="P49" i="68" s="1"/>
  <c r="M49" i="68"/>
  <c r="N49" i="68" s="1"/>
  <c r="L49" i="68"/>
  <c r="AF48" i="68" a="1"/>
  <c r="AF48" i="68" s="1"/>
  <c r="AE48" i="68" a="1"/>
  <c r="AE48" i="68" s="1"/>
  <c r="AD48" i="68" a="1"/>
  <c r="AD48" i="68" s="1"/>
  <c r="U48" i="68"/>
  <c r="V48" i="68" s="1"/>
  <c r="T48" i="68"/>
  <c r="O48" i="68"/>
  <c r="P48" i="68" s="1"/>
  <c r="M48" i="68"/>
  <c r="N48" i="68" s="1"/>
  <c r="L48" i="68"/>
  <c r="AF47" i="68" a="1"/>
  <c r="AF47" i="68" s="1"/>
  <c r="AE47" i="68" a="1"/>
  <c r="AE47" i="68" s="1"/>
  <c r="AD47" i="68" a="1"/>
  <c r="AD47" i="68" s="1"/>
  <c r="U47" i="68"/>
  <c r="V47" i="68" s="1"/>
  <c r="T47" i="68"/>
  <c r="O47" i="68"/>
  <c r="P47" i="68" s="1"/>
  <c r="M47" i="68"/>
  <c r="N47" i="68" s="1"/>
  <c r="L47" i="68"/>
  <c r="AF45" i="68" a="1"/>
  <c r="AF45" i="68" s="1"/>
  <c r="AE45" i="68" a="1"/>
  <c r="AE45" i="68" s="1"/>
  <c r="AD45" i="68" a="1"/>
  <c r="AD45" i="68" s="1"/>
  <c r="U45" i="68"/>
  <c r="V45" i="68" s="1"/>
  <c r="T45" i="68"/>
  <c r="O45" i="68"/>
  <c r="P45" i="68" s="1"/>
  <c r="M45" i="68"/>
  <c r="N45" i="68" s="1"/>
  <c r="L45" i="68"/>
  <c r="AF44" i="68" a="1"/>
  <c r="AF44" i="68" s="1"/>
  <c r="AE44" i="68" a="1"/>
  <c r="AE44" i="68" s="1"/>
  <c r="AD44" i="68" a="1"/>
  <c r="AD44" i="68" s="1"/>
  <c r="U44" i="68"/>
  <c r="V44" i="68" s="1"/>
  <c r="T44" i="68"/>
  <c r="O44" i="68"/>
  <c r="P44" i="68" s="1"/>
  <c r="M44" i="68"/>
  <c r="N44" i="68" s="1"/>
  <c r="L44" i="68"/>
  <c r="AF43" i="68" a="1"/>
  <c r="AF43" i="68" s="1"/>
  <c r="AE43" i="68" a="1"/>
  <c r="AE43" i="68" s="1"/>
  <c r="AD43" i="68" a="1"/>
  <c r="AD43" i="68" s="1"/>
  <c r="U43" i="68"/>
  <c r="V43" i="68" s="1"/>
  <c r="T43" i="68"/>
  <c r="O43" i="68"/>
  <c r="P43" i="68" s="1"/>
  <c r="M43" i="68"/>
  <c r="N43" i="68" s="1"/>
  <c r="L43" i="68"/>
  <c r="AF41" i="68" a="1"/>
  <c r="AF41" i="68" s="1"/>
  <c r="AE41" i="68" a="1"/>
  <c r="AE41" i="68" s="1"/>
  <c r="AD41" i="68" a="1"/>
  <c r="AD41" i="68" s="1"/>
  <c r="U41" i="68"/>
  <c r="V41" i="68" s="1"/>
  <c r="T41" i="68"/>
  <c r="O41" i="68"/>
  <c r="P41" i="68" s="1"/>
  <c r="M41" i="68"/>
  <c r="N41" i="68" s="1"/>
  <c r="L41" i="68"/>
  <c r="AF40" i="68" a="1"/>
  <c r="AF40" i="68" s="1"/>
  <c r="AE40" i="68" a="1"/>
  <c r="AE40" i="68" s="1"/>
  <c r="AD40" i="68" a="1"/>
  <c r="AD40" i="68" s="1"/>
  <c r="U40" i="68"/>
  <c r="V40" i="68" s="1"/>
  <c r="T40" i="68"/>
  <c r="O40" i="68"/>
  <c r="P40" i="68" s="1"/>
  <c r="M40" i="68"/>
  <c r="N40" i="68" s="1"/>
  <c r="L40" i="68"/>
  <c r="AF39" i="68" a="1"/>
  <c r="AF39" i="68" s="1"/>
  <c r="AE39" i="68" a="1"/>
  <c r="AE39" i="68" s="1"/>
  <c r="AD39" i="68" a="1"/>
  <c r="AD39" i="68" s="1"/>
  <c r="U39" i="68"/>
  <c r="V39" i="68" s="1"/>
  <c r="T39" i="68"/>
  <c r="O39" i="68"/>
  <c r="P39" i="68" s="1"/>
  <c r="M39" i="68"/>
  <c r="N39" i="68" s="1"/>
  <c r="L39" i="68"/>
  <c r="AF38" i="68" a="1"/>
  <c r="AF38" i="68" s="1"/>
  <c r="AE38" i="68" a="1"/>
  <c r="AE38" i="68" s="1"/>
  <c r="AD38" i="68" a="1"/>
  <c r="AD38" i="68" s="1"/>
  <c r="U38" i="68"/>
  <c r="V38" i="68" s="1"/>
  <c r="T38" i="68"/>
  <c r="O38" i="68"/>
  <c r="P38" i="68" s="1"/>
  <c r="M38" i="68"/>
  <c r="N38" i="68" s="1"/>
  <c r="L38" i="68"/>
  <c r="AF37" i="68" a="1"/>
  <c r="AF37" i="68" s="1"/>
  <c r="AE37" i="68" a="1"/>
  <c r="AE37" i="68" s="1"/>
  <c r="AD37" i="68" a="1"/>
  <c r="AD37" i="68" s="1"/>
  <c r="U37" i="68"/>
  <c r="V37" i="68" s="1"/>
  <c r="T37" i="68"/>
  <c r="O37" i="68"/>
  <c r="P37" i="68" s="1"/>
  <c r="M37" i="68"/>
  <c r="N37" i="68" s="1"/>
  <c r="L37" i="68"/>
  <c r="AF36" i="68" a="1"/>
  <c r="AF36" i="68" s="1"/>
  <c r="AE36" i="68" a="1"/>
  <c r="AE36" i="68" s="1"/>
  <c r="AD36" i="68" a="1"/>
  <c r="AD36" i="68" s="1"/>
  <c r="U36" i="68"/>
  <c r="V36" i="68" s="1"/>
  <c r="T36" i="68"/>
  <c r="O36" i="68"/>
  <c r="P36" i="68" s="1"/>
  <c r="M36" i="68"/>
  <c r="N36" i="68" s="1"/>
  <c r="L36" i="68"/>
  <c r="AF35" i="68" a="1"/>
  <c r="AF35" i="68" s="1"/>
  <c r="AE35" i="68" a="1"/>
  <c r="AE35" i="68" s="1"/>
  <c r="AD35" i="68" a="1"/>
  <c r="AD35" i="68" s="1"/>
  <c r="U35" i="68"/>
  <c r="V35" i="68" s="1"/>
  <c r="T35" i="68"/>
  <c r="O35" i="68"/>
  <c r="P35" i="68" s="1"/>
  <c r="M35" i="68"/>
  <c r="N35" i="68" s="1"/>
  <c r="L35" i="68"/>
  <c r="AF34" i="68" a="1"/>
  <c r="AF34" i="68" s="1"/>
  <c r="AE34" i="68" a="1"/>
  <c r="AE34" i="68" s="1"/>
  <c r="AD34" i="68" a="1"/>
  <c r="AD34" i="68" s="1"/>
  <c r="U34" i="68"/>
  <c r="V34" i="68" s="1"/>
  <c r="T34" i="68"/>
  <c r="O34" i="68"/>
  <c r="P34" i="68" s="1"/>
  <c r="M34" i="68"/>
  <c r="N34" i="68" s="1"/>
  <c r="L34" i="68"/>
  <c r="AF33" i="68" a="1"/>
  <c r="AF33" i="68" s="1"/>
  <c r="AE33" i="68" a="1"/>
  <c r="AE33" i="68" s="1"/>
  <c r="AD33" i="68" a="1"/>
  <c r="AD33" i="68" s="1"/>
  <c r="U33" i="68"/>
  <c r="V33" i="68" s="1"/>
  <c r="T33" i="68"/>
  <c r="O33" i="68"/>
  <c r="P33" i="68" s="1"/>
  <c r="M33" i="68"/>
  <c r="N33" i="68" s="1"/>
  <c r="L33" i="68"/>
  <c r="AF32" i="68" a="1"/>
  <c r="AF32" i="68" s="1"/>
  <c r="AE32" i="68" a="1"/>
  <c r="AE32" i="68" s="1"/>
  <c r="AD32" i="68" a="1"/>
  <c r="AD32" i="68" s="1"/>
  <c r="U32" i="68"/>
  <c r="V32" i="68" s="1"/>
  <c r="T32" i="68"/>
  <c r="O32" i="68"/>
  <c r="P32" i="68" s="1"/>
  <c r="M32" i="68"/>
  <c r="N32" i="68" s="1"/>
  <c r="L32" i="68"/>
  <c r="AF31" i="68" a="1"/>
  <c r="AF31" i="68" s="1"/>
  <c r="AE31" i="68" a="1"/>
  <c r="AE31" i="68" s="1"/>
  <c r="AD31" i="68" a="1"/>
  <c r="AD31" i="68" s="1"/>
  <c r="U31" i="68"/>
  <c r="V31" i="68" s="1"/>
  <c r="T31" i="68"/>
  <c r="O31" i="68"/>
  <c r="P31" i="68" s="1"/>
  <c r="M31" i="68"/>
  <c r="N31" i="68" s="1"/>
  <c r="L31" i="68"/>
  <c r="AF30" i="68" a="1"/>
  <c r="AF30" i="68" s="1"/>
  <c r="AE30" i="68" a="1"/>
  <c r="AE30" i="68" s="1"/>
  <c r="AD30" i="68" a="1"/>
  <c r="AD30" i="68" s="1"/>
  <c r="U30" i="68"/>
  <c r="V30" i="68" s="1"/>
  <c r="T30" i="68"/>
  <c r="O30" i="68"/>
  <c r="P30" i="68" s="1"/>
  <c r="M30" i="68"/>
  <c r="N30" i="68" s="1"/>
  <c r="L30" i="68"/>
  <c r="AF29" i="68" a="1"/>
  <c r="AF29" i="68" s="1"/>
  <c r="AE29" i="68" a="1"/>
  <c r="AE29" i="68" s="1"/>
  <c r="AD29" i="68" a="1"/>
  <c r="AD29" i="68" s="1"/>
  <c r="U29" i="68"/>
  <c r="V29" i="68" s="1"/>
  <c r="T29" i="68"/>
  <c r="O29" i="68"/>
  <c r="P29" i="68" s="1"/>
  <c r="M29" i="68"/>
  <c r="N29" i="68" s="1"/>
  <c r="L29" i="68"/>
  <c r="AF28" i="68" a="1"/>
  <c r="AF28" i="68" s="1"/>
  <c r="AE28" i="68" a="1"/>
  <c r="AE28" i="68" s="1"/>
  <c r="AD28" i="68" a="1"/>
  <c r="AD28" i="68" s="1"/>
  <c r="U28" i="68"/>
  <c r="V28" i="68" s="1"/>
  <c r="T28" i="68"/>
  <c r="O28" i="68"/>
  <c r="P28" i="68" s="1"/>
  <c r="M28" i="68"/>
  <c r="N28" i="68" s="1"/>
  <c r="L28" i="68"/>
  <c r="AF27" i="68" a="1"/>
  <c r="AF27" i="68" s="1"/>
  <c r="AE27" i="68" a="1"/>
  <c r="AE27" i="68" s="1"/>
  <c r="AD27" i="68" a="1"/>
  <c r="AD27" i="68" s="1"/>
  <c r="U27" i="68"/>
  <c r="V27" i="68" s="1"/>
  <c r="T27" i="68"/>
  <c r="O27" i="68"/>
  <c r="P27" i="68" s="1"/>
  <c r="M27" i="68"/>
  <c r="N27" i="68" s="1"/>
  <c r="L27" i="68"/>
  <c r="AF26" i="68" a="1"/>
  <c r="AF26" i="68" s="1"/>
  <c r="AE26" i="68" a="1"/>
  <c r="AE26" i="68" s="1"/>
  <c r="AD26" i="68" a="1"/>
  <c r="AD26" i="68" s="1"/>
  <c r="U26" i="68"/>
  <c r="V26" i="68" s="1"/>
  <c r="T26" i="68"/>
  <c r="O26" i="68"/>
  <c r="P26" i="68" s="1"/>
  <c r="M26" i="68"/>
  <c r="N26" i="68" s="1"/>
  <c r="L26" i="68"/>
  <c r="AF25" i="68" a="1"/>
  <c r="AF25" i="68" s="1"/>
  <c r="AE25" i="68" a="1"/>
  <c r="AE25" i="68" s="1"/>
  <c r="AD25" i="68" a="1"/>
  <c r="AD25" i="68" s="1"/>
  <c r="U25" i="68"/>
  <c r="V25" i="68" s="1"/>
  <c r="T25" i="68"/>
  <c r="O25" i="68"/>
  <c r="P25" i="68" s="1"/>
  <c r="M25" i="68"/>
  <c r="N25" i="68" s="1"/>
  <c r="L25" i="68"/>
  <c r="AF24" i="68" a="1"/>
  <c r="AF24" i="68" s="1"/>
  <c r="AE24" i="68" a="1"/>
  <c r="AE24" i="68" s="1"/>
  <c r="AD24" i="68" a="1"/>
  <c r="AD24" i="68" s="1"/>
  <c r="U24" i="68"/>
  <c r="V24" i="68" s="1"/>
  <c r="T24" i="68"/>
  <c r="O24" i="68"/>
  <c r="P24" i="68" s="1"/>
  <c r="M24" i="68"/>
  <c r="N24" i="68" s="1"/>
  <c r="L24" i="68"/>
  <c r="AF23" i="68" a="1"/>
  <c r="AF23" i="68" s="1"/>
  <c r="AE23" i="68" a="1"/>
  <c r="AE23" i="68" s="1"/>
  <c r="AD23" i="68" a="1"/>
  <c r="AD23" i="68" s="1"/>
  <c r="U23" i="68"/>
  <c r="V23" i="68" s="1"/>
  <c r="T23" i="68"/>
  <c r="R23" i="68"/>
  <c r="O23" i="68"/>
  <c r="P23" i="68" s="1"/>
  <c r="M23" i="68"/>
  <c r="N23" i="68" s="1"/>
  <c r="L23" i="68"/>
  <c r="G20" i="68"/>
  <c r="S19" i="68"/>
  <c r="R19" i="68"/>
  <c r="S18" i="68"/>
  <c r="R18" i="68"/>
  <c r="J17" i="68"/>
  <c r="I17" i="68"/>
  <c r="S16" i="68"/>
  <c r="R16" i="68"/>
  <c r="J16" i="68"/>
  <c r="I16" i="68"/>
  <c r="S15" i="68"/>
  <c r="R15" i="68"/>
  <c r="CM12" i="68" a="1"/>
  <c r="CM12" i="68" s="1"/>
  <c r="CL12" i="68" a="1"/>
  <c r="CL12" i="68" s="1"/>
  <c r="CK12" i="68" a="1"/>
  <c r="CK12" i="68" s="1"/>
  <c r="CJ12" i="68" a="1"/>
  <c r="CJ12" i="68" s="1"/>
  <c r="CI12" i="68" a="1"/>
  <c r="CI12" i="68" s="1"/>
  <c r="CH12" i="68" a="1"/>
  <c r="CH12" i="68" s="1"/>
  <c r="CG12" i="68" a="1"/>
  <c r="CG12" i="68" s="1"/>
  <c r="CF12" i="68" a="1"/>
  <c r="CF12" i="68" s="1"/>
  <c r="CE12" i="68" a="1"/>
  <c r="CE12" i="68" s="1"/>
  <c r="CD12" i="68" a="1"/>
  <c r="CD12" i="68" s="1"/>
  <c r="CC12" i="68" a="1"/>
  <c r="CC12" i="68" s="1"/>
  <c r="CB12" i="68" a="1"/>
  <c r="CB12" i="68" s="1"/>
  <c r="CA12" i="68" a="1"/>
  <c r="CA12" i="68" s="1"/>
  <c r="BZ12" i="68" a="1"/>
  <c r="BZ12" i="68" s="1"/>
  <c r="BU12" i="68" a="1"/>
  <c r="BU12" i="68" s="1"/>
  <c r="BT12" i="68" a="1"/>
  <c r="BT12" i="68" s="1"/>
  <c r="BS12" i="68" a="1"/>
  <c r="BS12" i="68" s="1"/>
  <c r="BQ12" i="68" a="1"/>
  <c r="BQ12" i="68" s="1"/>
  <c r="BD12" i="68" a="1"/>
  <c r="BD12" i="68" s="1"/>
  <c r="BC12" i="68" a="1"/>
  <c r="BC12" i="68" s="1"/>
  <c r="BB12" i="68" a="1"/>
  <c r="BB12" i="68" s="1"/>
  <c r="BA12" i="68" a="1"/>
  <c r="BA12" i="68" s="1"/>
  <c r="AX12" i="68" a="1"/>
  <c r="AX12" i="68" s="1"/>
  <c r="AW12" i="68" a="1"/>
  <c r="AW12" i="68" s="1"/>
  <c r="AU12" i="68" a="1"/>
  <c r="AU12" i="68" s="1"/>
  <c r="AS12" i="68" a="1"/>
  <c r="AS12" i="68" s="1"/>
  <c r="AQ12" i="68" a="1"/>
  <c r="AQ12" i="68" s="1"/>
  <c r="BO12" i="68" a="1"/>
  <c r="BO12" i="68" s="1"/>
  <c r="AP12" i="68" a="1"/>
  <c r="AP12" i="68" s="1"/>
  <c r="AT12" i="68" a="1"/>
  <c r="AT12" i="68" s="1"/>
  <c r="AN12" i="68" a="1"/>
  <c r="AN12" i="68" s="1"/>
  <c r="AL12" i="68" a="1"/>
  <c r="AL12" i="68" s="1"/>
  <c r="AK12" i="68" a="1"/>
  <c r="AK12" i="68" s="1"/>
  <c r="AI12" i="68" a="1"/>
  <c r="AI12" i="68" s="1"/>
  <c r="AH12" i="68" a="1"/>
  <c r="AH12" i="68" s="1"/>
  <c r="AG12" i="68" a="1"/>
  <c r="AG12" i="68" s="1"/>
  <c r="AF12" i="68" a="1"/>
  <c r="AF12" i="68" s="1"/>
  <c r="CM10" i="68" a="1"/>
  <c r="CM10" i="68" s="1"/>
  <c r="CL10" i="68" a="1"/>
  <c r="CL10" i="68" s="1"/>
  <c r="CK10" i="68" a="1"/>
  <c r="CK10" i="68" s="1"/>
  <c r="CJ10" i="68" a="1"/>
  <c r="CJ10" i="68" s="1"/>
  <c r="CI10" i="68" a="1"/>
  <c r="CI10" i="68" s="1"/>
  <c r="CH10" i="68" a="1"/>
  <c r="CH10" i="68" s="1"/>
  <c r="CG10" i="68" a="1"/>
  <c r="CG10" i="68" s="1"/>
  <c r="CF10" i="68" a="1"/>
  <c r="CF10" i="68" s="1"/>
  <c r="CE10" i="68" a="1"/>
  <c r="CE10" i="68" s="1"/>
  <c r="CD10" i="68" a="1"/>
  <c r="CD10" i="68" s="1"/>
  <c r="CC10" i="68" a="1"/>
  <c r="CC10" i="68" s="1"/>
  <c r="CB10" i="68" a="1"/>
  <c r="CB10" i="68" s="1"/>
  <c r="CA10" i="68" a="1"/>
  <c r="CA10" i="68" s="1"/>
  <c r="BZ10" i="68" a="1"/>
  <c r="BZ10" i="68" s="1"/>
  <c r="BU10" i="68" a="1"/>
  <c r="BU10" i="68" s="1"/>
  <c r="BT10" i="68" a="1"/>
  <c r="BT10" i="68" s="1"/>
  <c r="BS10" i="68" a="1"/>
  <c r="BS10" i="68" s="1"/>
  <c r="BQ10" i="68" a="1"/>
  <c r="BQ10" i="68" s="1"/>
  <c r="BD10" i="68" a="1"/>
  <c r="BD10" i="68" s="1"/>
  <c r="BC10" i="68" a="1"/>
  <c r="BC10" i="68" s="1"/>
  <c r="BB10" i="68" a="1"/>
  <c r="BB10" i="68" s="1"/>
  <c r="BA10" i="68" a="1"/>
  <c r="BA10" i="68" s="1"/>
  <c r="AX10" i="68" a="1"/>
  <c r="AX10" i="68" s="1"/>
  <c r="AW10" i="68" a="1"/>
  <c r="AW10" i="68" s="1"/>
  <c r="AU10" i="68" a="1"/>
  <c r="AU10" i="68" s="1"/>
  <c r="AS10" i="68" a="1"/>
  <c r="AS10" i="68" s="1"/>
  <c r="AQ10" i="68" a="1"/>
  <c r="AQ10" i="68" s="1"/>
  <c r="BO10" i="68" a="1"/>
  <c r="BO10" i="68" s="1"/>
  <c r="AP10" i="68" a="1"/>
  <c r="AP10" i="68" s="1"/>
  <c r="AT10" i="68" a="1"/>
  <c r="AT10" i="68" s="1"/>
  <c r="AN10" i="68" a="1"/>
  <c r="AN10" i="68" s="1"/>
  <c r="AL10" i="68" a="1"/>
  <c r="AL10" i="68" s="1"/>
  <c r="AK10" i="68" a="1"/>
  <c r="AK10" i="68" s="1"/>
  <c r="AI10" i="68" a="1"/>
  <c r="AI10" i="68" s="1"/>
  <c r="AH10" i="68" a="1"/>
  <c r="AH10" i="68" s="1"/>
  <c r="AG10" i="68" a="1"/>
  <c r="AG10" i="68" s="1"/>
  <c r="AF10" i="68" a="1"/>
  <c r="AF10" i="68" s="1"/>
  <c r="CM2" i="68" a="1"/>
  <c r="CM2" i="68" s="1"/>
  <c r="CL2" i="68" a="1"/>
  <c r="CL2" i="68" s="1"/>
  <c r="CK2" i="68" a="1"/>
  <c r="CK2" i="68" s="1"/>
  <c r="CJ2" i="68" a="1"/>
  <c r="CJ2" i="68" s="1"/>
  <c r="CI2" i="68" a="1"/>
  <c r="CI2" i="68" s="1"/>
  <c r="CH2" i="68" a="1"/>
  <c r="CH2" i="68" s="1"/>
  <c r="CG2" i="68" a="1"/>
  <c r="CG2" i="68" s="1"/>
  <c r="CF2" i="68" a="1"/>
  <c r="CF2" i="68" s="1"/>
  <c r="CE2" i="68" a="1"/>
  <c r="CE2" i="68" s="1"/>
  <c r="CD2" i="68" a="1"/>
  <c r="CD2" i="68" s="1"/>
  <c r="CC2" i="68" a="1"/>
  <c r="CC2" i="68" s="1"/>
  <c r="CB2" i="68" a="1"/>
  <c r="CB2" i="68" s="1"/>
  <c r="CA2" i="68" a="1"/>
  <c r="CA2" i="68" s="1"/>
  <c r="BZ2" i="68" a="1"/>
  <c r="BZ2" i="68" s="1"/>
  <c r="BU2" i="68" a="1"/>
  <c r="BU2" i="68" s="1"/>
  <c r="BT2" i="68" a="1"/>
  <c r="BT2" i="68" s="1"/>
  <c r="BS2" i="68" a="1"/>
  <c r="BS2" i="68" s="1"/>
  <c r="BQ2" i="68" a="1"/>
  <c r="BQ2" i="68" s="1"/>
  <c r="BD2" i="68" a="1"/>
  <c r="BD2" i="68" s="1"/>
  <c r="BC2" i="68" a="1"/>
  <c r="BC2" i="68" s="1"/>
  <c r="BB2" i="68" a="1"/>
  <c r="BB2" i="68" s="1"/>
  <c r="BA2" i="68" a="1"/>
  <c r="BA2" i="68" s="1"/>
  <c r="AX2" i="68" a="1"/>
  <c r="AX2" i="68" s="1"/>
  <c r="AW2" i="68" a="1"/>
  <c r="AW2" i="68" s="1"/>
  <c r="AU2" i="68" a="1"/>
  <c r="AU2" i="68" s="1"/>
  <c r="AS2" i="68" a="1"/>
  <c r="AS2" i="68" s="1"/>
  <c r="AQ2" i="68" a="1"/>
  <c r="AQ2" i="68" s="1"/>
  <c r="BO2" i="68" a="1"/>
  <c r="BO2" i="68" s="1"/>
  <c r="AP2" i="68" a="1"/>
  <c r="AP2" i="68" s="1"/>
  <c r="AT2" i="68" a="1"/>
  <c r="AT2" i="68" s="1"/>
  <c r="AN2" i="68" a="1"/>
  <c r="AN2" i="68" s="1"/>
  <c r="AL2" i="68" a="1"/>
  <c r="AL2" i="68" s="1"/>
  <c r="AK2" i="68" a="1"/>
  <c r="AK2" i="68" s="1"/>
  <c r="AI2" i="68" a="1"/>
  <c r="AI2" i="68" s="1"/>
  <c r="AH2" i="68" a="1"/>
  <c r="AH2" i="68" s="1"/>
  <c r="AG2" i="68" a="1"/>
  <c r="AG2" i="68" s="1"/>
  <c r="CM1" i="68"/>
  <c r="CL1" i="68"/>
  <c r="CK1" i="68"/>
  <c r="CJ1" i="68"/>
  <c r="CI1" i="68"/>
  <c r="CH1" i="68"/>
  <c r="CG1" i="68"/>
  <c r="CF1" i="68"/>
  <c r="CE1" i="68"/>
  <c r="CD1" i="68"/>
  <c r="CC1" i="68"/>
  <c r="CB1" i="68"/>
  <c r="CA1" i="68"/>
  <c r="BZ1" i="68"/>
  <c r="BU1" i="68"/>
  <c r="BT1" i="68"/>
  <c r="BS1" i="68"/>
  <c r="BQ1" i="68"/>
  <c r="BD1" i="68"/>
  <c r="BC1" i="68"/>
  <c r="BB1" i="68"/>
  <c r="BA1" i="68"/>
  <c r="AX1" i="68"/>
  <c r="AW1" i="68"/>
  <c r="AU1" i="68"/>
  <c r="AS1" i="68"/>
  <c r="AQ1" i="68"/>
  <c r="BO1" i="68"/>
  <c r="AP1" i="68"/>
  <c r="AT1" i="68"/>
  <c r="AN1" i="68"/>
  <c r="AL1" i="68"/>
  <c r="AK1" i="68"/>
  <c r="AI1" i="68"/>
  <c r="AH1" i="68"/>
  <c r="AG1" i="68"/>
  <c r="AF127" i="67" a="1"/>
  <c r="AF127" i="67" s="1"/>
  <c r="AE127" i="67" a="1"/>
  <c r="AE127" i="67" s="1"/>
  <c r="AD127" i="67" a="1"/>
  <c r="AD127" i="67" s="1"/>
  <c r="T127" i="67"/>
  <c r="R127" i="67"/>
  <c r="N127" i="67"/>
  <c r="M127" i="67"/>
  <c r="L127" i="67"/>
  <c r="F127" i="67"/>
  <c r="D127" i="67"/>
  <c r="AF126" i="67" a="1"/>
  <c r="AF126" i="67" s="1"/>
  <c r="AE126" i="67" a="1"/>
  <c r="AE126" i="67" s="1"/>
  <c r="AD126" i="67" a="1"/>
  <c r="AD126" i="67" s="1"/>
  <c r="T126" i="67"/>
  <c r="R126" i="67"/>
  <c r="N126" i="67"/>
  <c r="M126" i="67"/>
  <c r="L126" i="67"/>
  <c r="F126" i="67"/>
  <c r="D126" i="67"/>
  <c r="AF125" i="67" a="1"/>
  <c r="AF125" i="67" s="1"/>
  <c r="AE125" i="67" a="1"/>
  <c r="AE125" i="67" s="1"/>
  <c r="AD125" i="67" a="1"/>
  <c r="AD125" i="67" s="1"/>
  <c r="T125" i="67"/>
  <c r="R125" i="67"/>
  <c r="N125" i="67"/>
  <c r="M125" i="67"/>
  <c r="L125" i="67"/>
  <c r="F125" i="67"/>
  <c r="D125" i="67"/>
  <c r="AF124" i="67" a="1"/>
  <c r="AF124" i="67" s="1"/>
  <c r="AE124" i="67" a="1"/>
  <c r="AE124" i="67" s="1"/>
  <c r="AD124" i="67" a="1"/>
  <c r="AD124" i="67" s="1"/>
  <c r="T124" i="67"/>
  <c r="R124" i="67"/>
  <c r="N124" i="67"/>
  <c r="M124" i="67"/>
  <c r="L124" i="67"/>
  <c r="F124" i="67"/>
  <c r="D124" i="67"/>
  <c r="AF123" i="67" a="1"/>
  <c r="AF123" i="67" s="1"/>
  <c r="AE123" i="67" a="1"/>
  <c r="AE123" i="67" s="1"/>
  <c r="AD123" i="67" a="1"/>
  <c r="AD123" i="67" s="1"/>
  <c r="T123" i="67"/>
  <c r="R123" i="67"/>
  <c r="N123" i="67"/>
  <c r="M123" i="67"/>
  <c r="L123" i="67"/>
  <c r="F123" i="67"/>
  <c r="D123" i="67"/>
  <c r="AF122" i="67" a="1"/>
  <c r="AF122" i="67" s="1"/>
  <c r="AE122" i="67" a="1"/>
  <c r="AE122" i="67" s="1"/>
  <c r="AD122" i="67" a="1"/>
  <c r="AD122" i="67" s="1"/>
  <c r="T122" i="67"/>
  <c r="R122" i="67"/>
  <c r="N122" i="67"/>
  <c r="M122" i="67"/>
  <c r="L122" i="67"/>
  <c r="F122" i="67"/>
  <c r="D122" i="67"/>
  <c r="AF121" i="67" a="1"/>
  <c r="AF121" i="67" s="1"/>
  <c r="AE121" i="67" a="1"/>
  <c r="AE121" i="67" s="1"/>
  <c r="AD121" i="67" a="1"/>
  <c r="AD121" i="67" s="1"/>
  <c r="T121" i="67"/>
  <c r="R121" i="67"/>
  <c r="N121" i="67"/>
  <c r="M121" i="67"/>
  <c r="L121" i="67"/>
  <c r="F121" i="67"/>
  <c r="D121" i="67"/>
  <c r="AF120" i="67" a="1"/>
  <c r="AF120" i="67" s="1"/>
  <c r="AE120" i="67" a="1"/>
  <c r="AE120" i="67" s="1"/>
  <c r="AD120" i="67" a="1"/>
  <c r="AD120" i="67" s="1"/>
  <c r="T120" i="67"/>
  <c r="R120" i="67"/>
  <c r="N120" i="67"/>
  <c r="M120" i="67"/>
  <c r="L120" i="67"/>
  <c r="F120" i="67"/>
  <c r="D120" i="67"/>
  <c r="AF119" i="67" a="1"/>
  <c r="AF119" i="67" s="1"/>
  <c r="AE119" i="67" a="1"/>
  <c r="AE119" i="67" s="1"/>
  <c r="AD119" i="67" a="1"/>
  <c r="AD119" i="67" s="1"/>
  <c r="T119" i="67"/>
  <c r="R119" i="67"/>
  <c r="N119" i="67"/>
  <c r="M119" i="67"/>
  <c r="L119" i="67"/>
  <c r="F119" i="67"/>
  <c r="D119" i="67"/>
  <c r="AF118" i="67" a="1"/>
  <c r="AF118" i="67" s="1"/>
  <c r="AE118" i="67" a="1"/>
  <c r="AE118" i="67" s="1"/>
  <c r="AD118" i="67" a="1"/>
  <c r="AD118" i="67" s="1"/>
  <c r="T118" i="67"/>
  <c r="R118" i="67"/>
  <c r="N118" i="67"/>
  <c r="M118" i="67"/>
  <c r="L118" i="67"/>
  <c r="F118" i="67"/>
  <c r="D118" i="67"/>
  <c r="AF117" i="67" a="1"/>
  <c r="AF117" i="67" s="1"/>
  <c r="AE117" i="67" a="1"/>
  <c r="AE117" i="67" s="1"/>
  <c r="AD117" i="67" a="1"/>
  <c r="AD117" i="67" s="1"/>
  <c r="T117" i="67"/>
  <c r="R117" i="67"/>
  <c r="N117" i="67"/>
  <c r="M117" i="67"/>
  <c r="L117" i="67"/>
  <c r="F117" i="67"/>
  <c r="D117" i="67"/>
  <c r="AF116" i="67" a="1"/>
  <c r="AF116" i="67" s="1"/>
  <c r="AE116" i="67" a="1"/>
  <c r="AE116" i="67" s="1"/>
  <c r="AD116" i="67" a="1"/>
  <c r="AD116" i="67" s="1"/>
  <c r="T116" i="67"/>
  <c r="R116" i="67"/>
  <c r="N116" i="67"/>
  <c r="M116" i="67"/>
  <c r="L116" i="67"/>
  <c r="F116" i="67"/>
  <c r="D116" i="67"/>
  <c r="AF115" i="67" a="1"/>
  <c r="AF115" i="67" s="1"/>
  <c r="AE115" i="67" a="1"/>
  <c r="AE115" i="67" s="1"/>
  <c r="AD115" i="67" a="1"/>
  <c r="AD115" i="67" s="1"/>
  <c r="T115" i="67"/>
  <c r="R115" i="67"/>
  <c r="N115" i="67"/>
  <c r="M115" i="67"/>
  <c r="L115" i="67"/>
  <c r="F115" i="67"/>
  <c r="D115" i="67"/>
  <c r="AF114" i="67" a="1"/>
  <c r="AF114" i="67" s="1"/>
  <c r="AE114" i="67" a="1"/>
  <c r="AE114" i="67" s="1"/>
  <c r="AD114" i="67" a="1"/>
  <c r="AD114" i="67" s="1"/>
  <c r="T114" i="67"/>
  <c r="R114" i="67"/>
  <c r="N114" i="67"/>
  <c r="M114" i="67"/>
  <c r="L114" i="67"/>
  <c r="F114" i="67"/>
  <c r="D114" i="67"/>
  <c r="AF113" i="67" a="1"/>
  <c r="AF113" i="67" s="1"/>
  <c r="AE113" i="67" a="1"/>
  <c r="AE113" i="67" s="1"/>
  <c r="AD113" i="67" a="1"/>
  <c r="AD113" i="67" s="1"/>
  <c r="T113" i="67"/>
  <c r="R113" i="67"/>
  <c r="N113" i="67"/>
  <c r="M113" i="67"/>
  <c r="L113" i="67"/>
  <c r="F113" i="67"/>
  <c r="D113" i="67"/>
  <c r="AF112" i="67" a="1"/>
  <c r="AF112" i="67" s="1"/>
  <c r="AE112" i="67" a="1"/>
  <c r="AE112" i="67" s="1"/>
  <c r="AD112" i="67" a="1"/>
  <c r="AD112" i="67" s="1"/>
  <c r="T112" i="67"/>
  <c r="R112" i="67"/>
  <c r="N112" i="67"/>
  <c r="M112" i="67"/>
  <c r="L112" i="67"/>
  <c r="F112" i="67"/>
  <c r="D112" i="67"/>
  <c r="AF111" i="67" a="1"/>
  <c r="AF111" i="67" s="1"/>
  <c r="AE111" i="67" a="1"/>
  <c r="AE111" i="67" s="1"/>
  <c r="AD111" i="67" a="1"/>
  <c r="AD111" i="67" s="1"/>
  <c r="T111" i="67"/>
  <c r="R111" i="67"/>
  <c r="N111" i="67"/>
  <c r="M111" i="67"/>
  <c r="L111" i="67"/>
  <c r="F111" i="67"/>
  <c r="D111" i="67"/>
  <c r="AF110" i="67" a="1"/>
  <c r="AF110" i="67" s="1"/>
  <c r="AE110" i="67" a="1"/>
  <c r="AE110" i="67" s="1"/>
  <c r="AD110" i="67" a="1"/>
  <c r="AD110" i="67" s="1"/>
  <c r="T110" i="67"/>
  <c r="R110" i="67"/>
  <c r="N110" i="67"/>
  <c r="M110" i="67"/>
  <c r="L110" i="67"/>
  <c r="F110" i="67"/>
  <c r="D110" i="67"/>
  <c r="AF109" i="67" a="1"/>
  <c r="AF109" i="67" s="1"/>
  <c r="AE109" i="67" a="1"/>
  <c r="AE109" i="67" s="1"/>
  <c r="AD109" i="67" a="1"/>
  <c r="AD109" i="67" s="1"/>
  <c r="T109" i="67"/>
  <c r="R109" i="67"/>
  <c r="N109" i="67"/>
  <c r="M109" i="67"/>
  <c r="L109" i="67"/>
  <c r="F109" i="67"/>
  <c r="D109" i="67"/>
  <c r="AF108" i="67" a="1"/>
  <c r="AF108" i="67" s="1"/>
  <c r="AE108" i="67" a="1"/>
  <c r="AE108" i="67" s="1"/>
  <c r="AD108" i="67" a="1"/>
  <c r="AD108" i="67" s="1"/>
  <c r="T108" i="67"/>
  <c r="R108" i="67"/>
  <c r="N108" i="67"/>
  <c r="M108" i="67"/>
  <c r="L108" i="67"/>
  <c r="F108" i="67"/>
  <c r="D108" i="67"/>
  <c r="AF107" i="67" a="1"/>
  <c r="AF107" i="67" s="1"/>
  <c r="AE107" i="67" a="1"/>
  <c r="AE107" i="67" s="1"/>
  <c r="AD107" i="67" a="1"/>
  <c r="AD107" i="67" s="1"/>
  <c r="T107" i="67"/>
  <c r="R107" i="67"/>
  <c r="N107" i="67"/>
  <c r="M107" i="67"/>
  <c r="L107" i="67"/>
  <c r="F107" i="67"/>
  <c r="D107" i="67"/>
  <c r="AF106" i="67" a="1"/>
  <c r="AF106" i="67" s="1"/>
  <c r="AE106" i="67" a="1"/>
  <c r="AE106" i="67" s="1"/>
  <c r="AD106" i="67" a="1"/>
  <c r="AD106" i="67" s="1"/>
  <c r="T106" i="67"/>
  <c r="R106" i="67"/>
  <c r="N106" i="67"/>
  <c r="M106" i="67"/>
  <c r="L106" i="67"/>
  <c r="F106" i="67"/>
  <c r="D106" i="67"/>
  <c r="AF105" i="67" a="1"/>
  <c r="AF105" i="67" s="1"/>
  <c r="AE105" i="67" a="1"/>
  <c r="AE105" i="67" s="1"/>
  <c r="AD105" i="67" a="1"/>
  <c r="AD105" i="67" s="1"/>
  <c r="T105" i="67"/>
  <c r="R105" i="67"/>
  <c r="N105" i="67"/>
  <c r="M105" i="67"/>
  <c r="L105" i="67"/>
  <c r="F105" i="67"/>
  <c r="D105" i="67"/>
  <c r="AF104" i="67" a="1"/>
  <c r="AF104" i="67" s="1"/>
  <c r="AE104" i="67" a="1"/>
  <c r="AE104" i="67" s="1"/>
  <c r="AD104" i="67" a="1"/>
  <c r="AD104" i="67" s="1"/>
  <c r="T104" i="67"/>
  <c r="R104" i="67"/>
  <c r="N104" i="67"/>
  <c r="M104" i="67"/>
  <c r="L104" i="67"/>
  <c r="F104" i="67"/>
  <c r="D104" i="67"/>
  <c r="AF103" i="67" a="1"/>
  <c r="AF103" i="67" s="1"/>
  <c r="AE103" i="67" a="1"/>
  <c r="AE103" i="67" s="1"/>
  <c r="AD103" i="67" a="1"/>
  <c r="AD103" i="67" s="1"/>
  <c r="T103" i="67"/>
  <c r="R103" i="67"/>
  <c r="N103" i="67"/>
  <c r="M103" i="67"/>
  <c r="L103" i="67"/>
  <c r="F103" i="67"/>
  <c r="D103" i="67"/>
  <c r="AF102" i="67" a="1"/>
  <c r="AF102" i="67" s="1"/>
  <c r="AE102" i="67" a="1"/>
  <c r="AE102" i="67" s="1"/>
  <c r="AD102" i="67" a="1"/>
  <c r="AD102" i="67" s="1"/>
  <c r="T102" i="67"/>
  <c r="R102" i="67"/>
  <c r="N102" i="67"/>
  <c r="M102" i="67"/>
  <c r="L102" i="67"/>
  <c r="F102" i="67"/>
  <c r="D102" i="67"/>
  <c r="AF101" i="67" a="1"/>
  <c r="AF101" i="67" s="1"/>
  <c r="AE101" i="67" a="1"/>
  <c r="AE101" i="67" s="1"/>
  <c r="AD101" i="67" a="1"/>
  <c r="AD101" i="67" s="1"/>
  <c r="T101" i="67"/>
  <c r="R101" i="67"/>
  <c r="N101" i="67"/>
  <c r="M101" i="67"/>
  <c r="L101" i="67"/>
  <c r="F101" i="67"/>
  <c r="D101" i="67"/>
  <c r="AF100" i="67" a="1"/>
  <c r="AF100" i="67" s="1"/>
  <c r="AE100" i="67" a="1"/>
  <c r="AE100" i="67" s="1"/>
  <c r="AD100" i="67" a="1"/>
  <c r="AD100" i="67" s="1"/>
  <c r="T100" i="67"/>
  <c r="R100" i="67"/>
  <c r="N100" i="67"/>
  <c r="M100" i="67"/>
  <c r="L100" i="67"/>
  <c r="F100" i="67"/>
  <c r="D100" i="67"/>
  <c r="AF99" i="67" a="1"/>
  <c r="AF99" i="67" s="1"/>
  <c r="AE99" i="67" a="1"/>
  <c r="AE99" i="67" s="1"/>
  <c r="AD99" i="67" a="1"/>
  <c r="AD99" i="67" s="1"/>
  <c r="T99" i="67"/>
  <c r="R99" i="67"/>
  <c r="N99" i="67"/>
  <c r="M99" i="67"/>
  <c r="L99" i="67"/>
  <c r="F99" i="67"/>
  <c r="D99" i="67"/>
  <c r="AF98" i="67" a="1"/>
  <c r="AF98" i="67" s="1"/>
  <c r="AE98" i="67" a="1"/>
  <c r="AE98" i="67" s="1"/>
  <c r="AD98" i="67" a="1"/>
  <c r="AD98" i="67" s="1"/>
  <c r="T98" i="67"/>
  <c r="R98" i="67"/>
  <c r="N98" i="67"/>
  <c r="M98" i="67"/>
  <c r="L98" i="67"/>
  <c r="F98" i="67"/>
  <c r="D98" i="67"/>
  <c r="AF97" i="67" a="1"/>
  <c r="AF97" i="67" s="1"/>
  <c r="AE97" i="67" a="1"/>
  <c r="AE97" i="67" s="1"/>
  <c r="AD97" i="67" a="1"/>
  <c r="AD97" i="67" s="1"/>
  <c r="T97" i="67"/>
  <c r="R97" i="67"/>
  <c r="N97" i="67"/>
  <c r="M97" i="67"/>
  <c r="L97" i="67"/>
  <c r="F97" i="67"/>
  <c r="D97" i="67"/>
  <c r="AF96" i="67" a="1"/>
  <c r="AF96" i="67" s="1"/>
  <c r="AE96" i="67" a="1"/>
  <c r="AE96" i="67" s="1"/>
  <c r="AD96" i="67" a="1"/>
  <c r="AD96" i="67" s="1"/>
  <c r="T96" i="67"/>
  <c r="R96" i="67"/>
  <c r="N96" i="67"/>
  <c r="M96" i="67"/>
  <c r="L96" i="67"/>
  <c r="F96" i="67"/>
  <c r="D96" i="67"/>
  <c r="AF95" i="67" a="1"/>
  <c r="AF95" i="67" s="1"/>
  <c r="AE95" i="67" a="1"/>
  <c r="AE95" i="67" s="1"/>
  <c r="AD95" i="67" a="1"/>
  <c r="AD95" i="67" s="1"/>
  <c r="T95" i="67"/>
  <c r="R95" i="67"/>
  <c r="N95" i="67"/>
  <c r="M95" i="67"/>
  <c r="L95" i="67"/>
  <c r="F95" i="67"/>
  <c r="D95" i="67"/>
  <c r="AF94" i="67" a="1"/>
  <c r="AF94" i="67" s="1"/>
  <c r="AE94" i="67" a="1"/>
  <c r="AE94" i="67" s="1"/>
  <c r="AD94" i="67" a="1"/>
  <c r="AD94" i="67" s="1"/>
  <c r="T94" i="67"/>
  <c r="R94" i="67"/>
  <c r="N94" i="67"/>
  <c r="M94" i="67"/>
  <c r="L94" i="67"/>
  <c r="F94" i="67"/>
  <c r="D94" i="67"/>
  <c r="AF93" i="67" a="1"/>
  <c r="AF93" i="67" s="1"/>
  <c r="AE93" i="67" a="1"/>
  <c r="AE93" i="67" s="1"/>
  <c r="AD93" i="67" a="1"/>
  <c r="AD93" i="67" s="1"/>
  <c r="T93" i="67"/>
  <c r="R93" i="67"/>
  <c r="N93" i="67"/>
  <c r="M93" i="67"/>
  <c r="L93" i="67"/>
  <c r="F93" i="67"/>
  <c r="D93" i="67"/>
  <c r="AF92" i="67" a="1"/>
  <c r="AF92" i="67" s="1"/>
  <c r="AE92" i="67" a="1"/>
  <c r="AE92" i="67" s="1"/>
  <c r="AD92" i="67" a="1"/>
  <c r="AD92" i="67" s="1"/>
  <c r="T92" i="67"/>
  <c r="R92" i="67"/>
  <c r="N92" i="67"/>
  <c r="M92" i="67"/>
  <c r="L92" i="67"/>
  <c r="F92" i="67"/>
  <c r="D92" i="67"/>
  <c r="AF91" i="67" a="1"/>
  <c r="AF91" i="67" s="1"/>
  <c r="AE91" i="67" a="1"/>
  <c r="AE91" i="67" s="1"/>
  <c r="AD91" i="67" a="1"/>
  <c r="AD91" i="67" s="1"/>
  <c r="T91" i="67"/>
  <c r="R91" i="67"/>
  <c r="N91" i="67"/>
  <c r="M91" i="67"/>
  <c r="L91" i="67"/>
  <c r="F91" i="67"/>
  <c r="D91" i="67"/>
  <c r="AF90" i="67" a="1"/>
  <c r="AF90" i="67" s="1"/>
  <c r="AE90" i="67" a="1"/>
  <c r="AE90" i="67" s="1"/>
  <c r="AD90" i="67" a="1"/>
  <c r="AD90" i="67" s="1"/>
  <c r="T90" i="67"/>
  <c r="R90" i="67"/>
  <c r="N90" i="67"/>
  <c r="M90" i="67"/>
  <c r="L90" i="67"/>
  <c r="F90" i="67"/>
  <c r="D90" i="67"/>
  <c r="AF89" i="67" a="1"/>
  <c r="AF89" i="67" s="1"/>
  <c r="AE89" i="67" a="1"/>
  <c r="AE89" i="67" s="1"/>
  <c r="AD89" i="67" a="1"/>
  <c r="AD89" i="67" s="1"/>
  <c r="T89" i="67"/>
  <c r="R89" i="67"/>
  <c r="N89" i="67"/>
  <c r="M89" i="67"/>
  <c r="L89" i="67"/>
  <c r="F89" i="67"/>
  <c r="D89" i="67"/>
  <c r="AF88" i="67" a="1"/>
  <c r="AF88" i="67" s="1"/>
  <c r="AE88" i="67" a="1"/>
  <c r="AE88" i="67" s="1"/>
  <c r="AD88" i="67" a="1"/>
  <c r="AD88" i="67" s="1"/>
  <c r="T88" i="67"/>
  <c r="R88" i="67"/>
  <c r="N88" i="67"/>
  <c r="M88" i="67"/>
  <c r="L88" i="67"/>
  <c r="F88" i="67"/>
  <c r="D88" i="67"/>
  <c r="AF87" i="67" a="1"/>
  <c r="AF87" i="67" s="1"/>
  <c r="AE87" i="67" a="1"/>
  <c r="AE87" i="67" s="1"/>
  <c r="AD87" i="67" a="1"/>
  <c r="AD87" i="67" s="1"/>
  <c r="T87" i="67"/>
  <c r="R87" i="67"/>
  <c r="N87" i="67"/>
  <c r="M87" i="67"/>
  <c r="L87" i="67"/>
  <c r="F87" i="67"/>
  <c r="D87" i="67"/>
  <c r="AF86" i="67" a="1"/>
  <c r="AF86" i="67" s="1"/>
  <c r="AE86" i="67" a="1"/>
  <c r="AE86" i="67" s="1"/>
  <c r="AD86" i="67" a="1"/>
  <c r="AD86" i="67" s="1"/>
  <c r="T86" i="67"/>
  <c r="R86" i="67"/>
  <c r="N86" i="67"/>
  <c r="M86" i="67"/>
  <c r="L86" i="67"/>
  <c r="F86" i="67"/>
  <c r="D86" i="67"/>
  <c r="AF85" i="67" a="1"/>
  <c r="AF85" i="67" s="1"/>
  <c r="AE85" i="67" a="1"/>
  <c r="AE85" i="67" s="1"/>
  <c r="AD85" i="67" a="1"/>
  <c r="AD85" i="67" s="1"/>
  <c r="T85" i="67"/>
  <c r="R85" i="67"/>
  <c r="N85" i="67"/>
  <c r="M85" i="67"/>
  <c r="L85" i="67"/>
  <c r="F85" i="67"/>
  <c r="D85" i="67"/>
  <c r="AF84" i="67" a="1"/>
  <c r="AF84" i="67" s="1"/>
  <c r="AE84" i="67" a="1"/>
  <c r="AE84" i="67" s="1"/>
  <c r="AD84" i="67" a="1"/>
  <c r="AD84" i="67" s="1"/>
  <c r="T84" i="67"/>
  <c r="R84" i="67"/>
  <c r="N84" i="67"/>
  <c r="M84" i="67"/>
  <c r="L84" i="67"/>
  <c r="F84" i="67"/>
  <c r="D84" i="67"/>
  <c r="AF83" i="67" a="1"/>
  <c r="AF83" i="67" s="1"/>
  <c r="AE83" i="67" a="1"/>
  <c r="AE83" i="67" s="1"/>
  <c r="AD83" i="67" a="1"/>
  <c r="AD83" i="67" s="1"/>
  <c r="T83" i="67"/>
  <c r="R83" i="67"/>
  <c r="N83" i="67"/>
  <c r="M83" i="67"/>
  <c r="L83" i="67"/>
  <c r="F83" i="67"/>
  <c r="D83" i="67"/>
  <c r="AF82" i="67" a="1"/>
  <c r="AF82" i="67" s="1"/>
  <c r="AE82" i="67" a="1"/>
  <c r="AE82" i="67" s="1"/>
  <c r="AD82" i="67" a="1"/>
  <c r="AD82" i="67" s="1"/>
  <c r="T82" i="67"/>
  <c r="R82" i="67"/>
  <c r="N82" i="67"/>
  <c r="M82" i="67"/>
  <c r="L82" i="67"/>
  <c r="F82" i="67"/>
  <c r="D82" i="67"/>
  <c r="AF81" i="67" a="1"/>
  <c r="AF81" i="67" s="1"/>
  <c r="AE81" i="67" a="1"/>
  <c r="AE81" i="67" s="1"/>
  <c r="AD81" i="67" a="1"/>
  <c r="AD81" i="67" s="1"/>
  <c r="T81" i="67"/>
  <c r="R81" i="67"/>
  <c r="N81" i="67"/>
  <c r="M81" i="67"/>
  <c r="L81" i="67"/>
  <c r="F81" i="67"/>
  <c r="D81" i="67"/>
  <c r="AF80" i="67" a="1"/>
  <c r="AF80" i="67" s="1"/>
  <c r="AE80" i="67" a="1"/>
  <c r="AE80" i="67" s="1"/>
  <c r="AD80" i="67" a="1"/>
  <c r="AD80" i="67" s="1"/>
  <c r="T80" i="67"/>
  <c r="R80" i="67"/>
  <c r="N80" i="67"/>
  <c r="M80" i="67"/>
  <c r="L80" i="67"/>
  <c r="F80" i="67"/>
  <c r="D80" i="67"/>
  <c r="AF79" i="67" a="1"/>
  <c r="AF79" i="67" s="1"/>
  <c r="AE79" i="67" a="1"/>
  <c r="AE79" i="67" s="1"/>
  <c r="AD79" i="67" a="1"/>
  <c r="AD79" i="67" s="1"/>
  <c r="T79" i="67"/>
  <c r="R79" i="67"/>
  <c r="N79" i="67"/>
  <c r="M79" i="67"/>
  <c r="L79" i="67"/>
  <c r="F79" i="67"/>
  <c r="D79" i="67"/>
  <c r="AF78" i="67" a="1"/>
  <c r="AF78" i="67" s="1"/>
  <c r="AE78" i="67" a="1"/>
  <c r="AE78" i="67" s="1"/>
  <c r="AD78" i="67" a="1"/>
  <c r="AD78" i="67" s="1"/>
  <c r="T78" i="67"/>
  <c r="R78" i="67"/>
  <c r="N78" i="67"/>
  <c r="M78" i="67"/>
  <c r="L78" i="67"/>
  <c r="F78" i="67"/>
  <c r="D78" i="67"/>
  <c r="AF77" i="67" a="1"/>
  <c r="AF77" i="67" s="1"/>
  <c r="AE77" i="67" a="1"/>
  <c r="AE77" i="67" s="1"/>
  <c r="AD77" i="67" a="1"/>
  <c r="AD77" i="67" s="1"/>
  <c r="T77" i="67"/>
  <c r="R77" i="67"/>
  <c r="N77" i="67"/>
  <c r="M77" i="67"/>
  <c r="L77" i="67"/>
  <c r="F77" i="67"/>
  <c r="D77" i="67"/>
  <c r="AF76" i="67" a="1"/>
  <c r="AF76" i="67" s="1"/>
  <c r="AE76" i="67" a="1"/>
  <c r="AE76" i="67" s="1"/>
  <c r="AD76" i="67" a="1"/>
  <c r="AD76" i="67" s="1"/>
  <c r="T76" i="67"/>
  <c r="R76" i="67"/>
  <c r="N76" i="67"/>
  <c r="M76" i="67"/>
  <c r="L76" i="67"/>
  <c r="F76" i="67"/>
  <c r="D76" i="67"/>
  <c r="AF75" i="67" a="1"/>
  <c r="AF75" i="67" s="1"/>
  <c r="AE75" i="67" a="1"/>
  <c r="AE75" i="67" s="1"/>
  <c r="AD75" i="67" a="1"/>
  <c r="AD75" i="67" s="1"/>
  <c r="T75" i="67"/>
  <c r="R75" i="67"/>
  <c r="N75" i="67"/>
  <c r="M75" i="67"/>
  <c r="L75" i="67"/>
  <c r="F75" i="67"/>
  <c r="D75" i="67"/>
  <c r="AF74" i="67" a="1"/>
  <c r="AF74" i="67" s="1"/>
  <c r="AE74" i="67" a="1"/>
  <c r="AE74" i="67" s="1"/>
  <c r="AD74" i="67" a="1"/>
  <c r="AD74" i="67" s="1"/>
  <c r="T74" i="67"/>
  <c r="R74" i="67"/>
  <c r="N74" i="67"/>
  <c r="M74" i="67"/>
  <c r="L74" i="67"/>
  <c r="F74" i="67"/>
  <c r="D74" i="67"/>
  <c r="AF73" i="67" a="1"/>
  <c r="AF73" i="67" s="1"/>
  <c r="AE73" i="67" a="1"/>
  <c r="AE73" i="67" s="1"/>
  <c r="AD73" i="67" a="1"/>
  <c r="AD73" i="67" s="1"/>
  <c r="T73" i="67"/>
  <c r="R73" i="67"/>
  <c r="N73" i="67"/>
  <c r="M73" i="67"/>
  <c r="L73" i="67"/>
  <c r="F73" i="67"/>
  <c r="D73" i="67"/>
  <c r="AF72" i="67" a="1"/>
  <c r="AF72" i="67" s="1"/>
  <c r="AE72" i="67" a="1"/>
  <c r="AE72" i="67" s="1"/>
  <c r="AD72" i="67" a="1"/>
  <c r="AD72" i="67" s="1"/>
  <c r="T72" i="67"/>
  <c r="R72" i="67"/>
  <c r="N72" i="67"/>
  <c r="M72" i="67"/>
  <c r="L72" i="67"/>
  <c r="F72" i="67"/>
  <c r="D72" i="67"/>
  <c r="AF71" i="67" a="1"/>
  <c r="AF71" i="67" s="1"/>
  <c r="AE71" i="67" a="1"/>
  <c r="AE71" i="67" s="1"/>
  <c r="AD71" i="67" a="1"/>
  <c r="AD71" i="67" s="1"/>
  <c r="T71" i="67"/>
  <c r="R71" i="67"/>
  <c r="N71" i="67"/>
  <c r="M71" i="67"/>
  <c r="L71" i="67"/>
  <c r="F71" i="67"/>
  <c r="D71" i="67"/>
  <c r="AF70" i="67" a="1"/>
  <c r="AF70" i="67" s="1"/>
  <c r="AE70" i="67" a="1"/>
  <c r="AE70" i="67" s="1"/>
  <c r="AD70" i="67" a="1"/>
  <c r="AD70" i="67" s="1"/>
  <c r="T70" i="67"/>
  <c r="R70" i="67"/>
  <c r="N70" i="67"/>
  <c r="M70" i="67"/>
  <c r="L70" i="67"/>
  <c r="F70" i="67"/>
  <c r="D70" i="67"/>
  <c r="AF66" i="67" a="1"/>
  <c r="AF66" i="67" s="1"/>
  <c r="AE66" i="67" a="1"/>
  <c r="AE66" i="67" s="1"/>
  <c r="AD66" i="67" a="1"/>
  <c r="AD66" i="67" s="1"/>
  <c r="T66" i="67"/>
  <c r="AF65" i="67" a="1"/>
  <c r="AF65" i="67" s="1"/>
  <c r="AE65" i="67" a="1"/>
  <c r="AE65" i="67" s="1"/>
  <c r="AD65" i="67" a="1"/>
  <c r="AD65" i="67" s="1"/>
  <c r="T65" i="67"/>
  <c r="M65" i="67"/>
  <c r="N65" i="67" s="1"/>
  <c r="L65" i="67"/>
  <c r="AF64" i="67" a="1"/>
  <c r="AF64" i="67" s="1"/>
  <c r="AE64" i="67" a="1"/>
  <c r="AE64" i="67" s="1"/>
  <c r="AD64" i="67" a="1"/>
  <c r="AD64" i="67" s="1"/>
  <c r="T64" i="67"/>
  <c r="M64" i="67"/>
  <c r="N64" i="67" s="1"/>
  <c r="L64" i="67"/>
  <c r="AF63" i="67" a="1"/>
  <c r="AF63" i="67" s="1"/>
  <c r="AE63" i="67" a="1"/>
  <c r="AE63" i="67" s="1"/>
  <c r="AD63" i="67" a="1"/>
  <c r="AD63" i="67" s="1"/>
  <c r="T63" i="67"/>
  <c r="M63" i="67"/>
  <c r="N63" i="67" s="1"/>
  <c r="L63" i="67"/>
  <c r="AF62" i="67" a="1"/>
  <c r="AF62" i="67" s="1"/>
  <c r="AE62" i="67" a="1"/>
  <c r="AE62" i="67" s="1"/>
  <c r="AD62" i="67" a="1"/>
  <c r="AD62" i="67" s="1"/>
  <c r="T62" i="67"/>
  <c r="M62" i="67"/>
  <c r="N62" i="67" s="1"/>
  <c r="L62" i="67"/>
  <c r="AF61" i="67" a="1"/>
  <c r="AF61" i="67" s="1"/>
  <c r="AE61" i="67" a="1"/>
  <c r="AE61" i="67" s="1"/>
  <c r="AD61" i="67" a="1"/>
  <c r="AD61" i="67" s="1"/>
  <c r="T61" i="67"/>
  <c r="M61" i="67"/>
  <c r="N61" i="67" s="1"/>
  <c r="L61" i="67"/>
  <c r="AF60" i="67" a="1"/>
  <c r="AF60" i="67" s="1"/>
  <c r="AE60" i="67" a="1"/>
  <c r="AE60" i="67" s="1"/>
  <c r="AD60" i="67" a="1"/>
  <c r="AD60" i="67" s="1"/>
  <c r="T60" i="67"/>
  <c r="M60" i="67"/>
  <c r="N60" i="67" s="1"/>
  <c r="L60" i="67"/>
  <c r="AF59" i="67" a="1"/>
  <c r="AF59" i="67" s="1"/>
  <c r="AE59" i="67" a="1"/>
  <c r="AE59" i="67" s="1"/>
  <c r="AD59" i="67" a="1"/>
  <c r="AD59" i="67" s="1"/>
  <c r="T59" i="67"/>
  <c r="M59" i="67"/>
  <c r="N59" i="67" s="1"/>
  <c r="L59" i="67"/>
  <c r="AF58" i="67" a="1"/>
  <c r="AF58" i="67" s="1"/>
  <c r="AE58" i="67" a="1"/>
  <c r="AE58" i="67" s="1"/>
  <c r="AD58" i="67" a="1"/>
  <c r="AD58" i="67" s="1"/>
  <c r="T58" i="67"/>
  <c r="M58" i="67"/>
  <c r="N58" i="67" s="1"/>
  <c r="L58" i="67"/>
  <c r="AF57" i="67" a="1"/>
  <c r="AF57" i="67" s="1"/>
  <c r="AE57" i="67" a="1"/>
  <c r="AE57" i="67" s="1"/>
  <c r="AD57" i="67" a="1"/>
  <c r="AD57" i="67" s="1"/>
  <c r="T57" i="67"/>
  <c r="M57" i="67"/>
  <c r="N57" i="67" s="1"/>
  <c r="L57" i="67"/>
  <c r="AF56" i="67" a="1"/>
  <c r="AF56" i="67" s="1"/>
  <c r="AE56" i="67" a="1"/>
  <c r="AE56" i="67" s="1"/>
  <c r="AD56" i="67" a="1"/>
  <c r="AD56" i="67" s="1"/>
  <c r="U56" i="67"/>
  <c r="V56" i="67" s="1"/>
  <c r="T56" i="67"/>
  <c r="O56" i="67"/>
  <c r="P56" i="67" s="1"/>
  <c r="M56" i="67"/>
  <c r="N56" i="67" s="1"/>
  <c r="L56" i="67"/>
  <c r="AF55" i="67" a="1"/>
  <c r="AF55" i="67" s="1"/>
  <c r="AE55" i="67" a="1"/>
  <c r="AE55" i="67" s="1"/>
  <c r="AD55" i="67" a="1"/>
  <c r="AD55" i="67" s="1"/>
  <c r="U55" i="67"/>
  <c r="V55" i="67" s="1"/>
  <c r="T55" i="67"/>
  <c r="O55" i="67"/>
  <c r="P55" i="67" s="1"/>
  <c r="M55" i="67"/>
  <c r="N55" i="67" s="1"/>
  <c r="L55" i="67"/>
  <c r="AF53" i="67" a="1"/>
  <c r="AF53" i="67" s="1"/>
  <c r="AE53" i="67" a="1"/>
  <c r="AE53" i="67" s="1"/>
  <c r="AD53" i="67" a="1"/>
  <c r="AD53" i="67" s="1"/>
  <c r="U53" i="67"/>
  <c r="V53" i="67" s="1"/>
  <c r="T53" i="67"/>
  <c r="O53" i="67"/>
  <c r="P53" i="67" s="1"/>
  <c r="M53" i="67"/>
  <c r="N53" i="67" s="1"/>
  <c r="L53" i="67"/>
  <c r="AF52" i="67" a="1"/>
  <c r="AF52" i="67" s="1"/>
  <c r="AE52" i="67" a="1"/>
  <c r="AE52" i="67" s="1"/>
  <c r="AD52" i="67" a="1"/>
  <c r="AD52" i="67" s="1"/>
  <c r="U52" i="67"/>
  <c r="V52" i="67" s="1"/>
  <c r="T52" i="67"/>
  <c r="O52" i="67"/>
  <c r="P52" i="67" s="1"/>
  <c r="M52" i="67"/>
  <c r="N52" i="67" s="1"/>
  <c r="L52" i="67"/>
  <c r="AF51" i="67" a="1"/>
  <c r="AF51" i="67" s="1"/>
  <c r="AE51" i="67" a="1"/>
  <c r="AE51" i="67" s="1"/>
  <c r="AD51" i="67" a="1"/>
  <c r="AD51" i="67" s="1"/>
  <c r="U51" i="67"/>
  <c r="V51" i="67" s="1"/>
  <c r="T51" i="67"/>
  <c r="O51" i="67"/>
  <c r="P51" i="67" s="1"/>
  <c r="M51" i="67"/>
  <c r="N51" i="67" s="1"/>
  <c r="L51" i="67"/>
  <c r="AF50" i="67" a="1"/>
  <c r="AF50" i="67" s="1"/>
  <c r="AE50" i="67" a="1"/>
  <c r="AE50" i="67" s="1"/>
  <c r="AD50" i="67" a="1"/>
  <c r="AD50" i="67" s="1"/>
  <c r="U50" i="67"/>
  <c r="V50" i="67" s="1"/>
  <c r="T50" i="67"/>
  <c r="O50" i="67"/>
  <c r="P50" i="67" s="1"/>
  <c r="M50" i="67"/>
  <c r="N50" i="67" s="1"/>
  <c r="L50" i="67"/>
  <c r="AF49" i="67" a="1"/>
  <c r="AF49" i="67" s="1"/>
  <c r="AE49" i="67" a="1"/>
  <c r="AE49" i="67" s="1"/>
  <c r="AD49" i="67" a="1"/>
  <c r="AD49" i="67" s="1"/>
  <c r="U49" i="67"/>
  <c r="V49" i="67" s="1"/>
  <c r="T49" i="67"/>
  <c r="O49" i="67"/>
  <c r="P49" i="67" s="1"/>
  <c r="M49" i="67"/>
  <c r="N49" i="67" s="1"/>
  <c r="L49" i="67"/>
  <c r="AF48" i="67" a="1"/>
  <c r="AF48" i="67" s="1"/>
  <c r="AE48" i="67" a="1"/>
  <c r="AE48" i="67" s="1"/>
  <c r="AD48" i="67" a="1"/>
  <c r="AD48" i="67" s="1"/>
  <c r="U48" i="67"/>
  <c r="V48" i="67" s="1"/>
  <c r="T48" i="67"/>
  <c r="O48" i="67"/>
  <c r="P48" i="67" s="1"/>
  <c r="M48" i="67"/>
  <c r="N48" i="67" s="1"/>
  <c r="L48" i="67"/>
  <c r="AF47" i="67" a="1"/>
  <c r="AF47" i="67" s="1"/>
  <c r="AE47" i="67" a="1"/>
  <c r="AE47" i="67" s="1"/>
  <c r="AD47" i="67" a="1"/>
  <c r="AD47" i="67" s="1"/>
  <c r="U47" i="67"/>
  <c r="V47" i="67" s="1"/>
  <c r="T47" i="67"/>
  <c r="O47" i="67"/>
  <c r="P47" i="67" s="1"/>
  <c r="M47" i="67"/>
  <c r="N47" i="67" s="1"/>
  <c r="L47" i="67"/>
  <c r="AF46" i="67" a="1"/>
  <c r="AF46" i="67" s="1"/>
  <c r="AE46" i="67" a="1"/>
  <c r="AE46" i="67" s="1"/>
  <c r="AD46" i="67" a="1"/>
  <c r="AD46" i="67" s="1"/>
  <c r="U46" i="67"/>
  <c r="V46" i="67" s="1"/>
  <c r="T46" i="67"/>
  <c r="O46" i="67"/>
  <c r="P46" i="67" s="1"/>
  <c r="M46" i="67"/>
  <c r="N46" i="67" s="1"/>
  <c r="L46" i="67"/>
  <c r="AF45" i="67" a="1"/>
  <c r="AF45" i="67" s="1"/>
  <c r="AE45" i="67" a="1"/>
  <c r="AE45" i="67" s="1"/>
  <c r="AD45" i="67" a="1"/>
  <c r="AD45" i="67" s="1"/>
  <c r="U45" i="67"/>
  <c r="V45" i="67" s="1"/>
  <c r="T45" i="67"/>
  <c r="O45" i="67"/>
  <c r="P45" i="67" s="1"/>
  <c r="M45" i="67"/>
  <c r="N45" i="67" s="1"/>
  <c r="L45" i="67"/>
  <c r="AF44" i="67" a="1"/>
  <c r="AF44" i="67" s="1"/>
  <c r="AE44" i="67" a="1"/>
  <c r="AE44" i="67" s="1"/>
  <c r="AD44" i="67" a="1"/>
  <c r="AD44" i="67" s="1"/>
  <c r="U44" i="67"/>
  <c r="V44" i="67" s="1"/>
  <c r="T44" i="67"/>
  <c r="O44" i="67"/>
  <c r="P44" i="67" s="1"/>
  <c r="M44" i="67"/>
  <c r="N44" i="67" s="1"/>
  <c r="L44" i="67"/>
  <c r="AF43" i="67" a="1"/>
  <c r="AF43" i="67" s="1"/>
  <c r="AE43" i="67" a="1"/>
  <c r="AE43" i="67" s="1"/>
  <c r="AD43" i="67" a="1"/>
  <c r="AD43" i="67" s="1"/>
  <c r="U43" i="67"/>
  <c r="V43" i="67" s="1"/>
  <c r="T43" i="67"/>
  <c r="O43" i="67"/>
  <c r="P43" i="67" s="1"/>
  <c r="M43" i="67"/>
  <c r="N43" i="67" s="1"/>
  <c r="L43" i="67"/>
  <c r="AF41" i="67" a="1"/>
  <c r="AF41" i="67" s="1"/>
  <c r="AE41" i="67" a="1"/>
  <c r="AE41" i="67" s="1"/>
  <c r="AD41" i="67" a="1"/>
  <c r="AD41" i="67" s="1"/>
  <c r="U41" i="67"/>
  <c r="V41" i="67" s="1"/>
  <c r="T41" i="67"/>
  <c r="O41" i="67"/>
  <c r="P41" i="67" s="1"/>
  <c r="M41" i="67"/>
  <c r="N41" i="67" s="1"/>
  <c r="L41" i="67"/>
  <c r="AF40" i="67" a="1"/>
  <c r="AF40" i="67" s="1"/>
  <c r="AE40" i="67" a="1"/>
  <c r="AE40" i="67" s="1"/>
  <c r="AD40" i="67" a="1"/>
  <c r="AD40" i="67" s="1"/>
  <c r="U40" i="67"/>
  <c r="V40" i="67" s="1"/>
  <c r="T40" i="67"/>
  <c r="O40" i="67"/>
  <c r="P40" i="67" s="1"/>
  <c r="M40" i="67"/>
  <c r="N40" i="67" s="1"/>
  <c r="L40" i="67"/>
  <c r="AF39" i="67" a="1"/>
  <c r="AF39" i="67" s="1"/>
  <c r="AE39" i="67" a="1"/>
  <c r="AE39" i="67" s="1"/>
  <c r="AD39" i="67" a="1"/>
  <c r="AD39" i="67" s="1"/>
  <c r="U39" i="67"/>
  <c r="V39" i="67" s="1"/>
  <c r="T39" i="67"/>
  <c r="O39" i="67"/>
  <c r="P39" i="67" s="1"/>
  <c r="M39" i="67"/>
  <c r="N39" i="67" s="1"/>
  <c r="L39" i="67"/>
  <c r="AF38" i="67" a="1"/>
  <c r="AF38" i="67" s="1"/>
  <c r="AE38" i="67" a="1"/>
  <c r="AE38" i="67" s="1"/>
  <c r="AD38" i="67" a="1"/>
  <c r="AD38" i="67" s="1"/>
  <c r="U38" i="67"/>
  <c r="V38" i="67" s="1"/>
  <c r="T38" i="67"/>
  <c r="O38" i="67"/>
  <c r="P38" i="67" s="1"/>
  <c r="M38" i="67"/>
  <c r="N38" i="67" s="1"/>
  <c r="L38" i="67"/>
  <c r="AF37" i="67" a="1"/>
  <c r="AF37" i="67" s="1"/>
  <c r="AE37" i="67" a="1"/>
  <c r="AE37" i="67" s="1"/>
  <c r="AD37" i="67" a="1"/>
  <c r="AD37" i="67" s="1"/>
  <c r="U37" i="67"/>
  <c r="V37" i="67" s="1"/>
  <c r="T37" i="67"/>
  <c r="O37" i="67"/>
  <c r="P37" i="67" s="1"/>
  <c r="M37" i="67"/>
  <c r="N37" i="67" s="1"/>
  <c r="L37" i="67"/>
  <c r="AF36" i="67" a="1"/>
  <c r="AF36" i="67" s="1"/>
  <c r="AE36" i="67" a="1"/>
  <c r="AE36" i="67" s="1"/>
  <c r="AD36" i="67" a="1"/>
  <c r="AD36" i="67" s="1"/>
  <c r="U36" i="67"/>
  <c r="V36" i="67" s="1"/>
  <c r="T36" i="67"/>
  <c r="O36" i="67"/>
  <c r="P36" i="67" s="1"/>
  <c r="M36" i="67"/>
  <c r="N36" i="67" s="1"/>
  <c r="L36" i="67"/>
  <c r="AF35" i="67" a="1"/>
  <c r="AF35" i="67" s="1"/>
  <c r="AE35" i="67" a="1"/>
  <c r="AE35" i="67" s="1"/>
  <c r="AD35" i="67" a="1"/>
  <c r="AD35" i="67" s="1"/>
  <c r="U35" i="67"/>
  <c r="V35" i="67" s="1"/>
  <c r="T35" i="67"/>
  <c r="O35" i="67"/>
  <c r="P35" i="67" s="1"/>
  <c r="M35" i="67"/>
  <c r="N35" i="67" s="1"/>
  <c r="L35" i="67"/>
  <c r="AF34" i="67" a="1"/>
  <c r="AF34" i="67" s="1"/>
  <c r="AE34" i="67" a="1"/>
  <c r="AE34" i="67" s="1"/>
  <c r="AD34" i="67" a="1"/>
  <c r="AD34" i="67" s="1"/>
  <c r="U34" i="67"/>
  <c r="V34" i="67" s="1"/>
  <c r="T34" i="67"/>
  <c r="O34" i="67"/>
  <c r="P34" i="67" s="1"/>
  <c r="M34" i="67"/>
  <c r="N34" i="67" s="1"/>
  <c r="L34" i="67"/>
  <c r="AF33" i="67" a="1"/>
  <c r="AF33" i="67" s="1"/>
  <c r="AE33" i="67" a="1"/>
  <c r="AE33" i="67" s="1"/>
  <c r="AD33" i="67" a="1"/>
  <c r="AD33" i="67" s="1"/>
  <c r="U33" i="67"/>
  <c r="V33" i="67" s="1"/>
  <c r="T33" i="67"/>
  <c r="O33" i="67"/>
  <c r="P33" i="67" s="1"/>
  <c r="M33" i="67"/>
  <c r="N33" i="67" s="1"/>
  <c r="L33" i="67"/>
  <c r="AF32" i="67" a="1"/>
  <c r="AF32" i="67" s="1"/>
  <c r="AE32" i="67" a="1"/>
  <c r="AE32" i="67" s="1"/>
  <c r="AD32" i="67" a="1"/>
  <c r="AD32" i="67" s="1"/>
  <c r="U32" i="67"/>
  <c r="V32" i="67" s="1"/>
  <c r="T32" i="67"/>
  <c r="O32" i="67"/>
  <c r="P32" i="67" s="1"/>
  <c r="M32" i="67"/>
  <c r="N32" i="67" s="1"/>
  <c r="L32" i="67"/>
  <c r="AF31" i="67" a="1"/>
  <c r="AF31" i="67" s="1"/>
  <c r="AE31" i="67" a="1"/>
  <c r="AE31" i="67" s="1"/>
  <c r="AD31" i="67" a="1"/>
  <c r="AD31" i="67" s="1"/>
  <c r="U31" i="67"/>
  <c r="V31" i="67" s="1"/>
  <c r="T31" i="67"/>
  <c r="O31" i="67"/>
  <c r="P31" i="67" s="1"/>
  <c r="M31" i="67"/>
  <c r="N31" i="67" s="1"/>
  <c r="L31" i="67"/>
  <c r="AF30" i="67" a="1"/>
  <c r="AF30" i="67" s="1"/>
  <c r="AE30" i="67" a="1"/>
  <c r="AE30" i="67" s="1"/>
  <c r="AD30" i="67" a="1"/>
  <c r="AD30" i="67" s="1"/>
  <c r="U30" i="67"/>
  <c r="V30" i="67" s="1"/>
  <c r="T30" i="67"/>
  <c r="O30" i="67"/>
  <c r="P30" i="67" s="1"/>
  <c r="M30" i="67"/>
  <c r="N30" i="67" s="1"/>
  <c r="L30" i="67"/>
  <c r="AF29" i="67" a="1"/>
  <c r="AF29" i="67" s="1"/>
  <c r="AE29" i="67" a="1"/>
  <c r="AE29" i="67" s="1"/>
  <c r="AD29" i="67" a="1"/>
  <c r="AD29" i="67" s="1"/>
  <c r="U29" i="67"/>
  <c r="V29" i="67" s="1"/>
  <c r="T29" i="67"/>
  <c r="O29" i="67"/>
  <c r="P29" i="67" s="1"/>
  <c r="M29" i="67"/>
  <c r="N29" i="67" s="1"/>
  <c r="L29" i="67"/>
  <c r="AF28" i="67" a="1"/>
  <c r="AF28" i="67" s="1"/>
  <c r="AE28" i="67" a="1"/>
  <c r="AE28" i="67" s="1"/>
  <c r="AD28" i="67" a="1"/>
  <c r="AD28" i="67" s="1"/>
  <c r="U28" i="67"/>
  <c r="V28" i="67" s="1"/>
  <c r="T28" i="67"/>
  <c r="O28" i="67"/>
  <c r="P28" i="67" s="1"/>
  <c r="M28" i="67"/>
  <c r="N28" i="67" s="1"/>
  <c r="L28" i="67"/>
  <c r="AF27" i="67" a="1"/>
  <c r="AF27" i="67" s="1"/>
  <c r="AE27" i="67" a="1"/>
  <c r="AE27" i="67" s="1"/>
  <c r="AD27" i="67" a="1"/>
  <c r="AD27" i="67" s="1"/>
  <c r="U27" i="67"/>
  <c r="V27" i="67" s="1"/>
  <c r="T27" i="67"/>
  <c r="O27" i="67"/>
  <c r="P27" i="67" s="1"/>
  <c r="M27" i="67"/>
  <c r="N27" i="67" s="1"/>
  <c r="L27" i="67"/>
  <c r="AF26" i="67" a="1"/>
  <c r="AF26" i="67" s="1"/>
  <c r="AE26" i="67" a="1"/>
  <c r="AE26" i="67" s="1"/>
  <c r="AD26" i="67" a="1"/>
  <c r="AD26" i="67" s="1"/>
  <c r="U26" i="67"/>
  <c r="V26" i="67" s="1"/>
  <c r="T26" i="67"/>
  <c r="O26" i="67"/>
  <c r="P26" i="67" s="1"/>
  <c r="M26" i="67"/>
  <c r="N26" i="67" s="1"/>
  <c r="L26" i="67"/>
  <c r="AF25" i="67" a="1"/>
  <c r="AF25" i="67" s="1"/>
  <c r="AE25" i="67" a="1"/>
  <c r="AE25" i="67" s="1"/>
  <c r="AD25" i="67" a="1"/>
  <c r="AD25" i="67" s="1"/>
  <c r="U25" i="67"/>
  <c r="V25" i="67" s="1"/>
  <c r="T25" i="67"/>
  <c r="O25" i="67"/>
  <c r="P25" i="67" s="1"/>
  <c r="M25" i="67"/>
  <c r="N25" i="67" s="1"/>
  <c r="L25" i="67"/>
  <c r="AF24" i="67" a="1"/>
  <c r="AF24" i="67" s="1"/>
  <c r="AE24" i="67" a="1"/>
  <c r="AE24" i="67" s="1"/>
  <c r="AD24" i="67" a="1"/>
  <c r="AD24" i="67" s="1"/>
  <c r="U24" i="67"/>
  <c r="V24" i="67" s="1"/>
  <c r="T24" i="67"/>
  <c r="O24" i="67"/>
  <c r="P24" i="67" s="1"/>
  <c r="M24" i="67"/>
  <c r="N24" i="67" s="1"/>
  <c r="L24" i="67"/>
  <c r="AF23" i="67" a="1"/>
  <c r="AF23" i="67" s="1"/>
  <c r="AE23" i="67" a="1"/>
  <c r="AE23" i="67" s="1"/>
  <c r="AD23" i="67" a="1"/>
  <c r="AD23" i="67" s="1"/>
  <c r="U23" i="67"/>
  <c r="V23" i="67" s="1"/>
  <c r="T23" i="67"/>
  <c r="R23" i="67"/>
  <c r="O23" i="67"/>
  <c r="P23" i="67" s="1"/>
  <c r="M23" i="67"/>
  <c r="N23" i="67" s="1"/>
  <c r="L23" i="67"/>
  <c r="G20" i="67"/>
  <c r="S19" i="67"/>
  <c r="R19" i="67"/>
  <c r="S18" i="67"/>
  <c r="R18" i="67"/>
  <c r="J17" i="67"/>
  <c r="I17" i="67"/>
  <c r="S16" i="67"/>
  <c r="R16" i="67"/>
  <c r="J16" i="67"/>
  <c r="I16" i="67"/>
  <c r="S15" i="67"/>
  <c r="R15" i="67"/>
  <c r="CK12" i="67" a="1"/>
  <c r="CK12" i="67" s="1"/>
  <c r="CJ12" i="67" a="1"/>
  <c r="CJ12" i="67" s="1"/>
  <c r="CI12" i="67" a="1"/>
  <c r="CI12" i="67" s="1"/>
  <c r="CH12" i="67" a="1"/>
  <c r="CH12" i="67" s="1"/>
  <c r="CG12" i="67" a="1"/>
  <c r="CG12" i="67" s="1"/>
  <c r="CF12" i="67" a="1"/>
  <c r="CF12" i="67" s="1"/>
  <c r="CE12" i="67" a="1"/>
  <c r="CE12" i="67" s="1"/>
  <c r="CD12" i="67" a="1"/>
  <c r="CD12" i="67" s="1"/>
  <c r="CC12" i="67" a="1"/>
  <c r="CC12" i="67" s="1"/>
  <c r="CB12" i="67" a="1"/>
  <c r="CB12" i="67" s="1"/>
  <c r="CA12" i="67" a="1"/>
  <c r="CA12" i="67" s="1"/>
  <c r="BZ12" i="67" a="1"/>
  <c r="BZ12" i="67" s="1"/>
  <c r="BY12" i="67" a="1"/>
  <c r="BY12" i="67" s="1"/>
  <c r="BX12" i="67" a="1"/>
  <c r="BX12" i="67" s="1"/>
  <c r="BS12" i="67" a="1"/>
  <c r="BS12" i="67" s="1"/>
  <c r="BR12" i="67" a="1"/>
  <c r="BR12" i="67" s="1"/>
  <c r="BQ12" i="67" a="1"/>
  <c r="BQ12" i="67" s="1"/>
  <c r="BO12" i="67" a="1"/>
  <c r="BO12" i="67" s="1"/>
  <c r="BD12" i="67" a="1"/>
  <c r="BD12" i="67" s="1"/>
  <c r="BC12" i="67" a="1"/>
  <c r="BC12" i="67" s="1"/>
  <c r="AY12" i="67" a="1"/>
  <c r="AY12" i="67" s="1"/>
  <c r="AX12" i="67" a="1"/>
  <c r="AX12" i="67" s="1"/>
  <c r="AW12" i="67" a="1"/>
  <c r="AW12" i="67" s="1"/>
  <c r="AV12" i="67" a="1"/>
  <c r="AV12" i="67" s="1"/>
  <c r="AP12" i="67" a="1"/>
  <c r="AP12" i="67" s="1"/>
  <c r="BB12" i="67" a="1"/>
  <c r="BB12" i="67" s="1"/>
  <c r="AZ12" i="67" a="1"/>
  <c r="AZ12" i="67" s="1"/>
  <c r="AU12" i="67" a="1"/>
  <c r="AU12" i="67" s="1"/>
  <c r="BM12" i="67" a="1"/>
  <c r="BM12" i="67" s="1"/>
  <c r="AO12" i="67" a="1"/>
  <c r="AO12" i="67" s="1"/>
  <c r="AN12" i="67" a="1"/>
  <c r="AN12" i="67" s="1"/>
  <c r="AL12" i="67" a="1"/>
  <c r="AL12" i="67" s="1"/>
  <c r="AK12" i="67" a="1"/>
  <c r="AK12" i="67" s="1"/>
  <c r="AI12" i="67" a="1"/>
  <c r="AI12" i="67" s="1"/>
  <c r="AH12" i="67" a="1"/>
  <c r="AH12" i="67" s="1"/>
  <c r="AG12" i="67" a="1"/>
  <c r="AG12" i="67" s="1"/>
  <c r="AF12" i="67" a="1"/>
  <c r="AF12" i="67" s="1"/>
  <c r="CK10" i="67" a="1"/>
  <c r="CK10" i="67" s="1"/>
  <c r="CJ10" i="67" a="1"/>
  <c r="CJ10" i="67" s="1"/>
  <c r="CI10" i="67" a="1"/>
  <c r="CI10" i="67" s="1"/>
  <c r="CH10" i="67" a="1"/>
  <c r="CH10" i="67" s="1"/>
  <c r="CG10" i="67" a="1"/>
  <c r="CG10" i="67" s="1"/>
  <c r="CF10" i="67" a="1"/>
  <c r="CF10" i="67" s="1"/>
  <c r="CE10" i="67" a="1"/>
  <c r="CE10" i="67" s="1"/>
  <c r="CD10" i="67" a="1"/>
  <c r="CD10" i="67" s="1"/>
  <c r="CC10" i="67" a="1"/>
  <c r="CC10" i="67" s="1"/>
  <c r="CB10" i="67" a="1"/>
  <c r="CB10" i="67" s="1"/>
  <c r="CA10" i="67" a="1"/>
  <c r="CA10" i="67" s="1"/>
  <c r="BZ10" i="67" a="1"/>
  <c r="BZ10" i="67" s="1"/>
  <c r="BY10" i="67" a="1"/>
  <c r="BY10" i="67" s="1"/>
  <c r="BX10" i="67" a="1"/>
  <c r="BX10" i="67" s="1"/>
  <c r="BS10" i="67" a="1"/>
  <c r="BS10" i="67" s="1"/>
  <c r="BR10" i="67" a="1"/>
  <c r="BR10" i="67" s="1"/>
  <c r="BQ10" i="67" a="1"/>
  <c r="BQ10" i="67" s="1"/>
  <c r="BO10" i="67" a="1"/>
  <c r="BO10" i="67" s="1"/>
  <c r="BD10" i="67" a="1"/>
  <c r="BD10" i="67" s="1"/>
  <c r="BC10" i="67" a="1"/>
  <c r="BC10" i="67" s="1"/>
  <c r="AY10" i="67" a="1"/>
  <c r="AY10" i="67" s="1"/>
  <c r="AX10" i="67" a="1"/>
  <c r="AX10" i="67" s="1"/>
  <c r="AW10" i="67" a="1"/>
  <c r="AW10" i="67" s="1"/>
  <c r="AV10" i="67" a="1"/>
  <c r="AV10" i="67" s="1"/>
  <c r="AP10" i="67" a="1"/>
  <c r="AP10" i="67" s="1"/>
  <c r="BB10" i="67" a="1"/>
  <c r="BB10" i="67" s="1"/>
  <c r="AZ10" i="67" a="1"/>
  <c r="AZ10" i="67" s="1"/>
  <c r="AU10" i="67" a="1"/>
  <c r="AU10" i="67" s="1"/>
  <c r="BM10" i="67" a="1"/>
  <c r="BM10" i="67" s="1"/>
  <c r="AO10" i="67" a="1"/>
  <c r="AO10" i="67" s="1"/>
  <c r="AN10" i="67" a="1"/>
  <c r="AN10" i="67" s="1"/>
  <c r="AL10" i="67" a="1"/>
  <c r="AL10" i="67" s="1"/>
  <c r="AK10" i="67" a="1"/>
  <c r="AK10" i="67" s="1"/>
  <c r="AI10" i="67" a="1"/>
  <c r="AI10" i="67" s="1"/>
  <c r="AH10" i="67" a="1"/>
  <c r="AH10" i="67" s="1"/>
  <c r="AG10" i="67" a="1"/>
  <c r="AG10" i="67" s="1"/>
  <c r="AF10" i="67" a="1"/>
  <c r="AF10" i="67" s="1"/>
  <c r="CK2" i="67" a="1"/>
  <c r="CK2" i="67" s="1"/>
  <c r="CJ2" i="67" a="1"/>
  <c r="CJ2" i="67" s="1"/>
  <c r="CI2" i="67" a="1"/>
  <c r="CI2" i="67" s="1"/>
  <c r="CH2" i="67" a="1"/>
  <c r="CH2" i="67" s="1"/>
  <c r="CG2" i="67" a="1"/>
  <c r="CG2" i="67" s="1"/>
  <c r="CF2" i="67" a="1"/>
  <c r="CF2" i="67" s="1"/>
  <c r="CE2" i="67" a="1"/>
  <c r="CE2" i="67" s="1"/>
  <c r="CD2" i="67" a="1"/>
  <c r="CD2" i="67" s="1"/>
  <c r="CC2" i="67" a="1"/>
  <c r="CC2" i="67" s="1"/>
  <c r="CB2" i="67" a="1"/>
  <c r="CB2" i="67" s="1"/>
  <c r="CA2" i="67" a="1"/>
  <c r="CA2" i="67" s="1"/>
  <c r="BZ2" i="67" a="1"/>
  <c r="BZ2" i="67" s="1"/>
  <c r="BY2" i="67" a="1"/>
  <c r="BY2" i="67" s="1"/>
  <c r="BX2" i="67" a="1"/>
  <c r="BX2" i="67" s="1"/>
  <c r="BS2" i="67" a="1"/>
  <c r="BS2" i="67" s="1"/>
  <c r="BR2" i="67" a="1"/>
  <c r="BR2" i="67" s="1"/>
  <c r="BQ2" i="67" a="1"/>
  <c r="BQ2" i="67" s="1"/>
  <c r="BO2" i="67" a="1"/>
  <c r="BO2" i="67" s="1"/>
  <c r="BD2" i="67" a="1"/>
  <c r="BD2" i="67" s="1"/>
  <c r="BC2" i="67" a="1"/>
  <c r="BC2" i="67" s="1"/>
  <c r="AY2" i="67" a="1"/>
  <c r="AY2" i="67" s="1"/>
  <c r="AX2" i="67" a="1"/>
  <c r="AX2" i="67" s="1"/>
  <c r="AW2" i="67" a="1"/>
  <c r="AW2" i="67" s="1"/>
  <c r="AV2" i="67" a="1"/>
  <c r="AV2" i="67" s="1"/>
  <c r="AP2" i="67" a="1"/>
  <c r="AP2" i="67" s="1"/>
  <c r="BB2" i="67" a="1"/>
  <c r="BB2" i="67" s="1"/>
  <c r="AZ2" i="67" a="1"/>
  <c r="AZ2" i="67" s="1"/>
  <c r="AU2" i="67" a="1"/>
  <c r="AU2" i="67" s="1"/>
  <c r="BM2" i="67" a="1"/>
  <c r="BM2" i="67" s="1"/>
  <c r="AO2" i="67" a="1"/>
  <c r="AO2" i="67" s="1"/>
  <c r="AN2" i="67" a="1"/>
  <c r="AN2" i="67" s="1"/>
  <c r="AL2" i="67" a="1"/>
  <c r="AL2" i="67" s="1"/>
  <c r="AK2" i="67" a="1"/>
  <c r="AK2" i="67" s="1"/>
  <c r="AI2" i="67" a="1"/>
  <c r="AI2" i="67" s="1"/>
  <c r="AH2" i="67" a="1"/>
  <c r="AH2" i="67" s="1"/>
  <c r="AG2" i="67" a="1"/>
  <c r="AG2" i="67" s="1"/>
  <c r="CK1" i="67"/>
  <c r="CJ1" i="67"/>
  <c r="CI1" i="67"/>
  <c r="CH1" i="67"/>
  <c r="CG1" i="67"/>
  <c r="CF1" i="67"/>
  <c r="CE1" i="67"/>
  <c r="CD1" i="67"/>
  <c r="CC1" i="67"/>
  <c r="CB1" i="67"/>
  <c r="CA1" i="67"/>
  <c r="BZ1" i="67"/>
  <c r="BY1" i="67"/>
  <c r="BX1" i="67"/>
  <c r="BS1" i="67"/>
  <c r="BR1" i="67"/>
  <c r="BQ1" i="67"/>
  <c r="BO1" i="67"/>
  <c r="BD1" i="67"/>
  <c r="BC1" i="67"/>
  <c r="AY1" i="67"/>
  <c r="AX1" i="67"/>
  <c r="AW1" i="67"/>
  <c r="AV1" i="67"/>
  <c r="AP1" i="67"/>
  <c r="BB1" i="67"/>
  <c r="AZ1" i="67"/>
  <c r="AU1" i="67"/>
  <c r="BM1" i="67"/>
  <c r="AO1" i="67"/>
  <c r="AN1" i="67"/>
  <c r="AL1" i="67"/>
  <c r="AK1" i="67"/>
  <c r="AI1" i="67"/>
  <c r="AH1" i="67"/>
  <c r="AG1" i="67"/>
  <c r="AF129" i="66" a="1"/>
  <c r="AF129" i="66" s="1"/>
  <c r="AE129" i="66" a="1"/>
  <c r="AE129" i="66" s="1"/>
  <c r="AD129" i="66" a="1"/>
  <c r="AD129" i="66" s="1"/>
  <c r="T129" i="66"/>
  <c r="R129" i="66"/>
  <c r="N129" i="66"/>
  <c r="M129" i="66"/>
  <c r="L129" i="66"/>
  <c r="F129" i="66"/>
  <c r="D129" i="66"/>
  <c r="AF128" i="66" a="1"/>
  <c r="AF128" i="66" s="1"/>
  <c r="AE128" i="66" a="1"/>
  <c r="AE128" i="66" s="1"/>
  <c r="AD128" i="66" a="1"/>
  <c r="AD128" i="66" s="1"/>
  <c r="T128" i="66"/>
  <c r="R128" i="66"/>
  <c r="N128" i="66"/>
  <c r="M128" i="66"/>
  <c r="L128" i="66"/>
  <c r="F128" i="66"/>
  <c r="D128" i="66"/>
  <c r="AF127" i="66" a="1"/>
  <c r="AF127" i="66" s="1"/>
  <c r="AE127" i="66" a="1"/>
  <c r="AE127" i="66" s="1"/>
  <c r="AD127" i="66" a="1"/>
  <c r="AD127" i="66" s="1"/>
  <c r="T127" i="66"/>
  <c r="R127" i="66"/>
  <c r="N127" i="66"/>
  <c r="M127" i="66"/>
  <c r="L127" i="66"/>
  <c r="F127" i="66"/>
  <c r="D127" i="66"/>
  <c r="AF126" i="66" a="1"/>
  <c r="AF126" i="66" s="1"/>
  <c r="AE126" i="66" a="1"/>
  <c r="AE126" i="66" s="1"/>
  <c r="AD126" i="66" a="1"/>
  <c r="AD126" i="66" s="1"/>
  <c r="T126" i="66"/>
  <c r="R126" i="66"/>
  <c r="N126" i="66"/>
  <c r="M126" i="66"/>
  <c r="L126" i="66"/>
  <c r="F126" i="66"/>
  <c r="D126" i="66"/>
  <c r="AF125" i="66" a="1"/>
  <c r="AF125" i="66" s="1"/>
  <c r="AE125" i="66" a="1"/>
  <c r="AE125" i="66" s="1"/>
  <c r="AD125" i="66" a="1"/>
  <c r="AD125" i="66" s="1"/>
  <c r="T125" i="66"/>
  <c r="R125" i="66"/>
  <c r="N125" i="66"/>
  <c r="M125" i="66"/>
  <c r="L125" i="66"/>
  <c r="F125" i="66"/>
  <c r="D125" i="66"/>
  <c r="AF124" i="66" a="1"/>
  <c r="AF124" i="66" s="1"/>
  <c r="AE124" i="66" a="1"/>
  <c r="AE124" i="66" s="1"/>
  <c r="AD124" i="66" a="1"/>
  <c r="AD124" i="66" s="1"/>
  <c r="T124" i="66"/>
  <c r="R124" i="66"/>
  <c r="N124" i="66"/>
  <c r="M124" i="66"/>
  <c r="L124" i="66"/>
  <c r="F124" i="66"/>
  <c r="D124" i="66"/>
  <c r="AF123" i="66" a="1"/>
  <c r="AF123" i="66" s="1"/>
  <c r="AE123" i="66" a="1"/>
  <c r="AE123" i="66" s="1"/>
  <c r="AD123" i="66" a="1"/>
  <c r="AD123" i="66" s="1"/>
  <c r="T123" i="66"/>
  <c r="R123" i="66"/>
  <c r="N123" i="66"/>
  <c r="M123" i="66"/>
  <c r="L123" i="66"/>
  <c r="F123" i="66"/>
  <c r="D123" i="66"/>
  <c r="AF122" i="66" a="1"/>
  <c r="AF122" i="66" s="1"/>
  <c r="AE122" i="66" a="1"/>
  <c r="AE122" i="66" s="1"/>
  <c r="AD122" i="66" a="1"/>
  <c r="AD122" i="66" s="1"/>
  <c r="T122" i="66"/>
  <c r="R122" i="66"/>
  <c r="N122" i="66"/>
  <c r="M122" i="66"/>
  <c r="L122" i="66"/>
  <c r="F122" i="66"/>
  <c r="D122" i="66"/>
  <c r="AF121" i="66" a="1"/>
  <c r="AF121" i="66" s="1"/>
  <c r="AE121" i="66" a="1"/>
  <c r="AE121" i="66" s="1"/>
  <c r="AD121" i="66" a="1"/>
  <c r="AD121" i="66" s="1"/>
  <c r="T121" i="66"/>
  <c r="R121" i="66"/>
  <c r="N121" i="66"/>
  <c r="M121" i="66"/>
  <c r="L121" i="66"/>
  <c r="F121" i="66"/>
  <c r="D121" i="66"/>
  <c r="AF120" i="66" a="1"/>
  <c r="AF120" i="66" s="1"/>
  <c r="AE120" i="66" a="1"/>
  <c r="AE120" i="66" s="1"/>
  <c r="AD120" i="66" a="1"/>
  <c r="AD120" i="66" s="1"/>
  <c r="T120" i="66"/>
  <c r="R120" i="66"/>
  <c r="N120" i="66"/>
  <c r="M120" i="66"/>
  <c r="L120" i="66"/>
  <c r="F120" i="66"/>
  <c r="D120" i="66"/>
  <c r="AF119" i="66" a="1"/>
  <c r="AF119" i="66" s="1"/>
  <c r="AE119" i="66" a="1"/>
  <c r="AE119" i="66" s="1"/>
  <c r="AD119" i="66" a="1"/>
  <c r="AD119" i="66" s="1"/>
  <c r="T119" i="66"/>
  <c r="R119" i="66"/>
  <c r="N119" i="66"/>
  <c r="M119" i="66"/>
  <c r="L119" i="66"/>
  <c r="F119" i="66"/>
  <c r="D119" i="66"/>
  <c r="AF118" i="66" a="1"/>
  <c r="AF118" i="66" s="1"/>
  <c r="AE118" i="66" a="1"/>
  <c r="AE118" i="66" s="1"/>
  <c r="AD118" i="66" a="1"/>
  <c r="AD118" i="66" s="1"/>
  <c r="T118" i="66"/>
  <c r="R118" i="66"/>
  <c r="N118" i="66"/>
  <c r="M118" i="66"/>
  <c r="L118" i="66"/>
  <c r="F118" i="66"/>
  <c r="D118" i="66"/>
  <c r="AF117" i="66" a="1"/>
  <c r="AF117" i="66" s="1"/>
  <c r="AE117" i="66" a="1"/>
  <c r="AE117" i="66" s="1"/>
  <c r="AD117" i="66" a="1"/>
  <c r="AD117" i="66" s="1"/>
  <c r="T117" i="66"/>
  <c r="R117" i="66"/>
  <c r="N117" i="66"/>
  <c r="M117" i="66"/>
  <c r="L117" i="66"/>
  <c r="F117" i="66"/>
  <c r="D117" i="66"/>
  <c r="AF116" i="66" a="1"/>
  <c r="AF116" i="66" s="1"/>
  <c r="AE116" i="66" a="1"/>
  <c r="AE116" i="66" s="1"/>
  <c r="AD116" i="66" a="1"/>
  <c r="AD116" i="66" s="1"/>
  <c r="T116" i="66"/>
  <c r="R116" i="66"/>
  <c r="N116" i="66"/>
  <c r="M116" i="66"/>
  <c r="L116" i="66"/>
  <c r="F116" i="66"/>
  <c r="D116" i="66"/>
  <c r="AF115" i="66" a="1"/>
  <c r="AF115" i="66" s="1"/>
  <c r="AE115" i="66" a="1"/>
  <c r="AE115" i="66" s="1"/>
  <c r="AD115" i="66" a="1"/>
  <c r="AD115" i="66" s="1"/>
  <c r="T115" i="66"/>
  <c r="R115" i="66"/>
  <c r="N115" i="66"/>
  <c r="M115" i="66"/>
  <c r="L115" i="66"/>
  <c r="F115" i="66"/>
  <c r="D115" i="66"/>
  <c r="AF114" i="66" a="1"/>
  <c r="AF114" i="66" s="1"/>
  <c r="AE114" i="66" a="1"/>
  <c r="AE114" i="66" s="1"/>
  <c r="AD114" i="66" a="1"/>
  <c r="AD114" i="66" s="1"/>
  <c r="T114" i="66"/>
  <c r="R114" i="66"/>
  <c r="N114" i="66"/>
  <c r="M114" i="66"/>
  <c r="L114" i="66"/>
  <c r="F114" i="66"/>
  <c r="D114" i="66"/>
  <c r="AF113" i="66" a="1"/>
  <c r="AF113" i="66" s="1"/>
  <c r="AE113" i="66" a="1"/>
  <c r="AE113" i="66" s="1"/>
  <c r="AD113" i="66" a="1"/>
  <c r="AD113" i="66" s="1"/>
  <c r="T113" i="66"/>
  <c r="R113" i="66"/>
  <c r="N113" i="66"/>
  <c r="M113" i="66"/>
  <c r="L113" i="66"/>
  <c r="F113" i="66"/>
  <c r="D113" i="66"/>
  <c r="AF112" i="66" a="1"/>
  <c r="AF112" i="66" s="1"/>
  <c r="AE112" i="66" a="1"/>
  <c r="AE112" i="66" s="1"/>
  <c r="AD112" i="66" a="1"/>
  <c r="AD112" i="66" s="1"/>
  <c r="T112" i="66"/>
  <c r="R112" i="66"/>
  <c r="N112" i="66"/>
  <c r="M112" i="66"/>
  <c r="L112" i="66"/>
  <c r="F112" i="66"/>
  <c r="D112" i="66"/>
  <c r="AF111" i="66" a="1"/>
  <c r="AF111" i="66" s="1"/>
  <c r="AE111" i="66" a="1"/>
  <c r="AE111" i="66" s="1"/>
  <c r="AD111" i="66" a="1"/>
  <c r="AD111" i="66" s="1"/>
  <c r="T111" i="66"/>
  <c r="R111" i="66"/>
  <c r="N111" i="66"/>
  <c r="M111" i="66"/>
  <c r="L111" i="66"/>
  <c r="F111" i="66"/>
  <c r="D111" i="66"/>
  <c r="AF110" i="66" a="1"/>
  <c r="AF110" i="66" s="1"/>
  <c r="AE110" i="66" a="1"/>
  <c r="AE110" i="66" s="1"/>
  <c r="AD110" i="66" a="1"/>
  <c r="AD110" i="66" s="1"/>
  <c r="T110" i="66"/>
  <c r="R110" i="66"/>
  <c r="N110" i="66"/>
  <c r="M110" i="66"/>
  <c r="L110" i="66"/>
  <c r="F110" i="66"/>
  <c r="D110" i="66"/>
  <c r="AF109" i="66" a="1"/>
  <c r="AF109" i="66" s="1"/>
  <c r="AE109" i="66" a="1"/>
  <c r="AE109" i="66" s="1"/>
  <c r="AD109" i="66" a="1"/>
  <c r="AD109" i="66" s="1"/>
  <c r="T109" i="66"/>
  <c r="R109" i="66"/>
  <c r="N109" i="66"/>
  <c r="M109" i="66"/>
  <c r="L109" i="66"/>
  <c r="F109" i="66"/>
  <c r="D109" i="66"/>
  <c r="AF108" i="66" a="1"/>
  <c r="AF108" i="66" s="1"/>
  <c r="AE108" i="66" a="1"/>
  <c r="AE108" i="66" s="1"/>
  <c r="AD108" i="66" a="1"/>
  <c r="AD108" i="66" s="1"/>
  <c r="T108" i="66"/>
  <c r="R108" i="66"/>
  <c r="N108" i="66"/>
  <c r="M108" i="66"/>
  <c r="L108" i="66"/>
  <c r="F108" i="66"/>
  <c r="D108" i="66"/>
  <c r="AF107" i="66" a="1"/>
  <c r="AF107" i="66" s="1"/>
  <c r="AE107" i="66" a="1"/>
  <c r="AE107" i="66" s="1"/>
  <c r="AD107" i="66" a="1"/>
  <c r="AD107" i="66" s="1"/>
  <c r="T107" i="66"/>
  <c r="R107" i="66"/>
  <c r="N107" i="66"/>
  <c r="M107" i="66"/>
  <c r="L107" i="66"/>
  <c r="F107" i="66"/>
  <c r="D107" i="66"/>
  <c r="AF106" i="66" a="1"/>
  <c r="AF106" i="66" s="1"/>
  <c r="AE106" i="66" a="1"/>
  <c r="AE106" i="66" s="1"/>
  <c r="AD106" i="66" a="1"/>
  <c r="AD106" i="66" s="1"/>
  <c r="T106" i="66"/>
  <c r="R106" i="66"/>
  <c r="N106" i="66"/>
  <c r="M106" i="66"/>
  <c r="L106" i="66"/>
  <c r="F106" i="66"/>
  <c r="D106" i="66"/>
  <c r="AF105" i="66" a="1"/>
  <c r="AF105" i="66" s="1"/>
  <c r="AE105" i="66" a="1"/>
  <c r="AE105" i="66" s="1"/>
  <c r="AD105" i="66" a="1"/>
  <c r="AD105" i="66" s="1"/>
  <c r="T105" i="66"/>
  <c r="R105" i="66"/>
  <c r="N105" i="66"/>
  <c r="M105" i="66"/>
  <c r="L105" i="66"/>
  <c r="F105" i="66"/>
  <c r="D105" i="66"/>
  <c r="AF104" i="66" a="1"/>
  <c r="AF104" i="66" s="1"/>
  <c r="AE104" i="66" a="1"/>
  <c r="AE104" i="66" s="1"/>
  <c r="AD104" i="66" a="1"/>
  <c r="AD104" i="66" s="1"/>
  <c r="T104" i="66"/>
  <c r="R104" i="66"/>
  <c r="N104" i="66"/>
  <c r="M104" i="66"/>
  <c r="L104" i="66"/>
  <c r="F104" i="66"/>
  <c r="D104" i="66"/>
  <c r="AF103" i="66" a="1"/>
  <c r="AF103" i="66" s="1"/>
  <c r="AE103" i="66" a="1"/>
  <c r="AE103" i="66" s="1"/>
  <c r="AD103" i="66" a="1"/>
  <c r="AD103" i="66" s="1"/>
  <c r="T103" i="66"/>
  <c r="R103" i="66"/>
  <c r="N103" i="66"/>
  <c r="M103" i="66"/>
  <c r="L103" i="66"/>
  <c r="F103" i="66"/>
  <c r="D103" i="66"/>
  <c r="AF102" i="66" a="1"/>
  <c r="AF102" i="66" s="1"/>
  <c r="AE102" i="66" a="1"/>
  <c r="AE102" i="66" s="1"/>
  <c r="AD102" i="66" a="1"/>
  <c r="AD102" i="66" s="1"/>
  <c r="T102" i="66"/>
  <c r="R102" i="66"/>
  <c r="N102" i="66"/>
  <c r="M102" i="66"/>
  <c r="L102" i="66"/>
  <c r="F102" i="66"/>
  <c r="D102" i="66"/>
  <c r="AF101" i="66" a="1"/>
  <c r="AF101" i="66" s="1"/>
  <c r="AE101" i="66" a="1"/>
  <c r="AE101" i="66" s="1"/>
  <c r="AD101" i="66" a="1"/>
  <c r="AD101" i="66" s="1"/>
  <c r="T101" i="66"/>
  <c r="R101" i="66"/>
  <c r="N101" i="66"/>
  <c r="M101" i="66"/>
  <c r="L101" i="66"/>
  <c r="F101" i="66"/>
  <c r="D101" i="66"/>
  <c r="AF100" i="66" a="1"/>
  <c r="AF100" i="66" s="1"/>
  <c r="AE100" i="66" a="1"/>
  <c r="AE100" i="66" s="1"/>
  <c r="AD100" i="66" a="1"/>
  <c r="AD100" i="66" s="1"/>
  <c r="T100" i="66"/>
  <c r="R100" i="66"/>
  <c r="N100" i="66"/>
  <c r="M100" i="66"/>
  <c r="L100" i="66"/>
  <c r="F100" i="66"/>
  <c r="D100" i="66"/>
  <c r="AF99" i="66" a="1"/>
  <c r="AF99" i="66" s="1"/>
  <c r="AE99" i="66" a="1"/>
  <c r="AE99" i="66" s="1"/>
  <c r="AD99" i="66" a="1"/>
  <c r="AD99" i="66" s="1"/>
  <c r="T99" i="66"/>
  <c r="R99" i="66"/>
  <c r="N99" i="66"/>
  <c r="M99" i="66"/>
  <c r="L99" i="66"/>
  <c r="F99" i="66"/>
  <c r="D99" i="66"/>
  <c r="AF98" i="66" a="1"/>
  <c r="AF98" i="66" s="1"/>
  <c r="AE98" i="66" a="1"/>
  <c r="AE98" i="66" s="1"/>
  <c r="AD98" i="66" a="1"/>
  <c r="AD98" i="66" s="1"/>
  <c r="T98" i="66"/>
  <c r="R98" i="66"/>
  <c r="N98" i="66"/>
  <c r="M98" i="66"/>
  <c r="L98" i="66"/>
  <c r="F98" i="66"/>
  <c r="D98" i="66"/>
  <c r="AF97" i="66" a="1"/>
  <c r="AF97" i="66" s="1"/>
  <c r="AE97" i="66" a="1"/>
  <c r="AE97" i="66" s="1"/>
  <c r="AD97" i="66" a="1"/>
  <c r="AD97" i="66" s="1"/>
  <c r="T97" i="66"/>
  <c r="R97" i="66"/>
  <c r="N97" i="66"/>
  <c r="M97" i="66"/>
  <c r="L97" i="66"/>
  <c r="F97" i="66"/>
  <c r="D97" i="66"/>
  <c r="AF96" i="66" a="1"/>
  <c r="AF96" i="66" s="1"/>
  <c r="AE96" i="66" a="1"/>
  <c r="AE96" i="66" s="1"/>
  <c r="AD96" i="66" a="1"/>
  <c r="AD96" i="66" s="1"/>
  <c r="T96" i="66"/>
  <c r="R96" i="66"/>
  <c r="N96" i="66"/>
  <c r="M96" i="66"/>
  <c r="L96" i="66"/>
  <c r="F96" i="66"/>
  <c r="D96" i="66"/>
  <c r="AF95" i="66" a="1"/>
  <c r="AF95" i="66" s="1"/>
  <c r="AE95" i="66" a="1"/>
  <c r="AE95" i="66" s="1"/>
  <c r="AD95" i="66" a="1"/>
  <c r="AD95" i="66" s="1"/>
  <c r="T95" i="66"/>
  <c r="R95" i="66"/>
  <c r="N95" i="66"/>
  <c r="M95" i="66"/>
  <c r="L95" i="66"/>
  <c r="F95" i="66"/>
  <c r="D95" i="66"/>
  <c r="AF94" i="66" a="1"/>
  <c r="AF94" i="66" s="1"/>
  <c r="AE94" i="66" a="1"/>
  <c r="AE94" i="66" s="1"/>
  <c r="AD94" i="66" a="1"/>
  <c r="AD94" i="66" s="1"/>
  <c r="T94" i="66"/>
  <c r="R94" i="66"/>
  <c r="N94" i="66"/>
  <c r="M94" i="66"/>
  <c r="L94" i="66"/>
  <c r="F94" i="66"/>
  <c r="D94" i="66"/>
  <c r="AF93" i="66" a="1"/>
  <c r="AF93" i="66" s="1"/>
  <c r="AE93" i="66" a="1"/>
  <c r="AE93" i="66" s="1"/>
  <c r="AD93" i="66" a="1"/>
  <c r="AD93" i="66" s="1"/>
  <c r="T93" i="66"/>
  <c r="R93" i="66"/>
  <c r="N93" i="66"/>
  <c r="M93" i="66"/>
  <c r="L93" i="66"/>
  <c r="F93" i="66"/>
  <c r="D93" i="66"/>
  <c r="AF92" i="66" a="1"/>
  <c r="AF92" i="66" s="1"/>
  <c r="AE92" i="66" a="1"/>
  <c r="AE92" i="66" s="1"/>
  <c r="AD92" i="66" a="1"/>
  <c r="AD92" i="66" s="1"/>
  <c r="T92" i="66"/>
  <c r="R92" i="66"/>
  <c r="N92" i="66"/>
  <c r="M92" i="66"/>
  <c r="L92" i="66"/>
  <c r="F92" i="66"/>
  <c r="D92" i="66"/>
  <c r="AF91" i="66" a="1"/>
  <c r="AF91" i="66" s="1"/>
  <c r="AE91" i="66" a="1"/>
  <c r="AE91" i="66" s="1"/>
  <c r="AD91" i="66" a="1"/>
  <c r="AD91" i="66" s="1"/>
  <c r="T91" i="66"/>
  <c r="R91" i="66"/>
  <c r="N91" i="66"/>
  <c r="M91" i="66"/>
  <c r="L91" i="66"/>
  <c r="F91" i="66"/>
  <c r="D91" i="66"/>
  <c r="AF90" i="66" a="1"/>
  <c r="AF90" i="66" s="1"/>
  <c r="AE90" i="66" a="1"/>
  <c r="AE90" i="66" s="1"/>
  <c r="AD90" i="66" a="1"/>
  <c r="AD90" i="66" s="1"/>
  <c r="T90" i="66"/>
  <c r="R90" i="66"/>
  <c r="N90" i="66"/>
  <c r="M90" i="66"/>
  <c r="L90" i="66"/>
  <c r="F90" i="66"/>
  <c r="D90" i="66"/>
  <c r="AF89" i="66" a="1"/>
  <c r="AF89" i="66" s="1"/>
  <c r="AE89" i="66" a="1"/>
  <c r="AE89" i="66" s="1"/>
  <c r="AD89" i="66" a="1"/>
  <c r="AD89" i="66" s="1"/>
  <c r="T89" i="66"/>
  <c r="R89" i="66"/>
  <c r="N89" i="66"/>
  <c r="M89" i="66"/>
  <c r="L89" i="66"/>
  <c r="F89" i="66"/>
  <c r="D89" i="66"/>
  <c r="AF88" i="66" a="1"/>
  <c r="AF88" i="66" s="1"/>
  <c r="AE88" i="66" a="1"/>
  <c r="AE88" i="66" s="1"/>
  <c r="AD88" i="66" a="1"/>
  <c r="AD88" i="66" s="1"/>
  <c r="T88" i="66"/>
  <c r="R88" i="66"/>
  <c r="N88" i="66"/>
  <c r="M88" i="66"/>
  <c r="L88" i="66"/>
  <c r="F88" i="66"/>
  <c r="D88" i="66"/>
  <c r="AF87" i="66" a="1"/>
  <c r="AF87" i="66" s="1"/>
  <c r="AE87" i="66" a="1"/>
  <c r="AE87" i="66" s="1"/>
  <c r="AD87" i="66" a="1"/>
  <c r="AD87" i="66" s="1"/>
  <c r="T87" i="66"/>
  <c r="R87" i="66"/>
  <c r="N87" i="66"/>
  <c r="M87" i="66"/>
  <c r="L87" i="66"/>
  <c r="F87" i="66"/>
  <c r="D87" i="66"/>
  <c r="AF86" i="66" a="1"/>
  <c r="AF86" i="66" s="1"/>
  <c r="AE86" i="66" a="1"/>
  <c r="AE86" i="66" s="1"/>
  <c r="AD86" i="66" a="1"/>
  <c r="AD86" i="66" s="1"/>
  <c r="T86" i="66"/>
  <c r="R86" i="66"/>
  <c r="N86" i="66"/>
  <c r="M86" i="66"/>
  <c r="L86" i="66"/>
  <c r="F86" i="66"/>
  <c r="D86" i="66"/>
  <c r="AF85" i="66" a="1"/>
  <c r="AF85" i="66" s="1"/>
  <c r="AE85" i="66" a="1"/>
  <c r="AE85" i="66" s="1"/>
  <c r="AD85" i="66" a="1"/>
  <c r="AD85" i="66" s="1"/>
  <c r="T85" i="66"/>
  <c r="R85" i="66"/>
  <c r="N85" i="66"/>
  <c r="M85" i="66"/>
  <c r="L85" i="66"/>
  <c r="F85" i="66"/>
  <c r="D85" i="66"/>
  <c r="AF84" i="66" a="1"/>
  <c r="AF84" i="66" s="1"/>
  <c r="AE84" i="66" a="1"/>
  <c r="AE84" i="66" s="1"/>
  <c r="AD84" i="66" a="1"/>
  <c r="AD84" i="66" s="1"/>
  <c r="T84" i="66"/>
  <c r="R84" i="66"/>
  <c r="N84" i="66"/>
  <c r="M84" i="66"/>
  <c r="L84" i="66"/>
  <c r="F84" i="66"/>
  <c r="D84" i="66"/>
  <c r="AF83" i="66" a="1"/>
  <c r="AF83" i="66" s="1"/>
  <c r="AE83" i="66" a="1"/>
  <c r="AE83" i="66" s="1"/>
  <c r="AD83" i="66" a="1"/>
  <c r="AD83" i="66" s="1"/>
  <c r="T83" i="66"/>
  <c r="R83" i="66"/>
  <c r="N83" i="66"/>
  <c r="M83" i="66"/>
  <c r="L83" i="66"/>
  <c r="F83" i="66"/>
  <c r="D83" i="66"/>
  <c r="AF82" i="66" a="1"/>
  <c r="AF82" i="66" s="1"/>
  <c r="AE82" i="66" a="1"/>
  <c r="AE82" i="66" s="1"/>
  <c r="AD82" i="66" a="1"/>
  <c r="AD82" i="66" s="1"/>
  <c r="T82" i="66"/>
  <c r="R82" i="66"/>
  <c r="N82" i="66"/>
  <c r="M82" i="66"/>
  <c r="L82" i="66"/>
  <c r="F82" i="66"/>
  <c r="D82" i="66"/>
  <c r="AF81" i="66" a="1"/>
  <c r="AF81" i="66" s="1"/>
  <c r="AE81" i="66" a="1"/>
  <c r="AE81" i="66" s="1"/>
  <c r="AD81" i="66" a="1"/>
  <c r="AD81" i="66" s="1"/>
  <c r="T81" i="66"/>
  <c r="R81" i="66"/>
  <c r="N81" i="66"/>
  <c r="M81" i="66"/>
  <c r="L81" i="66"/>
  <c r="F81" i="66"/>
  <c r="D81" i="66"/>
  <c r="AF80" i="66" a="1"/>
  <c r="AF80" i="66" s="1"/>
  <c r="AE80" i="66" a="1"/>
  <c r="AE80" i="66" s="1"/>
  <c r="AD80" i="66" a="1"/>
  <c r="AD80" i="66" s="1"/>
  <c r="T80" i="66"/>
  <c r="R80" i="66"/>
  <c r="N80" i="66"/>
  <c r="M80" i="66"/>
  <c r="L80" i="66"/>
  <c r="F80" i="66"/>
  <c r="D80" i="66"/>
  <c r="AF79" i="66" a="1"/>
  <c r="AF79" i="66" s="1"/>
  <c r="AE79" i="66" a="1"/>
  <c r="AE79" i="66" s="1"/>
  <c r="AD79" i="66" a="1"/>
  <c r="AD79" i="66" s="1"/>
  <c r="T79" i="66"/>
  <c r="R79" i="66"/>
  <c r="N79" i="66"/>
  <c r="M79" i="66"/>
  <c r="L79" i="66"/>
  <c r="F79" i="66"/>
  <c r="D79" i="66"/>
  <c r="AF78" i="66" a="1"/>
  <c r="AF78" i="66" s="1"/>
  <c r="AE78" i="66" a="1"/>
  <c r="AE78" i="66" s="1"/>
  <c r="AD78" i="66" a="1"/>
  <c r="AD78" i="66" s="1"/>
  <c r="T78" i="66"/>
  <c r="R78" i="66"/>
  <c r="N78" i="66"/>
  <c r="M78" i="66"/>
  <c r="L78" i="66"/>
  <c r="F78" i="66"/>
  <c r="D78" i="66"/>
  <c r="AF77" i="66" a="1"/>
  <c r="AF77" i="66" s="1"/>
  <c r="AE77" i="66" a="1"/>
  <c r="AE77" i="66" s="1"/>
  <c r="AD77" i="66" a="1"/>
  <c r="AD77" i="66" s="1"/>
  <c r="T77" i="66"/>
  <c r="R77" i="66"/>
  <c r="N77" i="66"/>
  <c r="M77" i="66"/>
  <c r="L77" i="66"/>
  <c r="F77" i="66"/>
  <c r="D77" i="66"/>
  <c r="AF76" i="66" a="1"/>
  <c r="AF76" i="66" s="1"/>
  <c r="AE76" i="66" a="1"/>
  <c r="AE76" i="66" s="1"/>
  <c r="AD76" i="66" a="1"/>
  <c r="AD76" i="66" s="1"/>
  <c r="T76" i="66"/>
  <c r="R76" i="66"/>
  <c r="N76" i="66"/>
  <c r="M76" i="66"/>
  <c r="L76" i="66"/>
  <c r="F76" i="66"/>
  <c r="D76" i="66"/>
  <c r="AF75" i="66" a="1"/>
  <c r="AF75" i="66" s="1"/>
  <c r="AE75" i="66" a="1"/>
  <c r="AE75" i="66" s="1"/>
  <c r="AD75" i="66" a="1"/>
  <c r="AD75" i="66" s="1"/>
  <c r="T75" i="66"/>
  <c r="R75" i="66"/>
  <c r="N75" i="66"/>
  <c r="M75" i="66"/>
  <c r="L75" i="66"/>
  <c r="F75" i="66"/>
  <c r="D75" i="66"/>
  <c r="AF74" i="66" a="1"/>
  <c r="AF74" i="66" s="1"/>
  <c r="AE74" i="66" a="1"/>
  <c r="AE74" i="66" s="1"/>
  <c r="AD74" i="66" a="1"/>
  <c r="AD74" i="66" s="1"/>
  <c r="T74" i="66"/>
  <c r="R74" i="66"/>
  <c r="N74" i="66"/>
  <c r="M74" i="66"/>
  <c r="L74" i="66"/>
  <c r="F74" i="66"/>
  <c r="D74" i="66"/>
  <c r="AF73" i="66" a="1"/>
  <c r="AF73" i="66" s="1"/>
  <c r="AE73" i="66" a="1"/>
  <c r="AE73" i="66" s="1"/>
  <c r="AD73" i="66" a="1"/>
  <c r="AD73" i="66" s="1"/>
  <c r="T73" i="66"/>
  <c r="R73" i="66"/>
  <c r="N73" i="66"/>
  <c r="M73" i="66"/>
  <c r="L73" i="66"/>
  <c r="F73" i="66"/>
  <c r="D73" i="66"/>
  <c r="AF72" i="66" a="1"/>
  <c r="AF72" i="66" s="1"/>
  <c r="AE72" i="66" a="1"/>
  <c r="AE72" i="66" s="1"/>
  <c r="AD72" i="66" a="1"/>
  <c r="AD72" i="66" s="1"/>
  <c r="T72" i="66"/>
  <c r="R72" i="66"/>
  <c r="N72" i="66"/>
  <c r="M72" i="66"/>
  <c r="L72" i="66"/>
  <c r="F72" i="66"/>
  <c r="D72" i="66"/>
  <c r="AF67" i="66" a="1"/>
  <c r="AF67" i="66" s="1"/>
  <c r="AE67" i="66" a="1"/>
  <c r="AE67" i="66" s="1"/>
  <c r="AD67" i="66" a="1"/>
  <c r="AD67" i="66" s="1"/>
  <c r="T67" i="66"/>
  <c r="AF66" i="66" a="1"/>
  <c r="AF66" i="66" s="1"/>
  <c r="AE66" i="66" a="1"/>
  <c r="AE66" i="66" s="1"/>
  <c r="AD66" i="66" a="1"/>
  <c r="AD66" i="66" s="1"/>
  <c r="T66" i="66"/>
  <c r="T65" i="66"/>
  <c r="M65" i="66"/>
  <c r="N65" i="66" s="1"/>
  <c r="L65" i="66"/>
  <c r="T64" i="66"/>
  <c r="M64" i="66"/>
  <c r="N64" i="66" s="1"/>
  <c r="L64" i="66"/>
  <c r="T62" i="66"/>
  <c r="M62" i="66"/>
  <c r="N62" i="66" s="1"/>
  <c r="L62" i="66"/>
  <c r="T61" i="66"/>
  <c r="M61" i="66"/>
  <c r="N61" i="66" s="1"/>
  <c r="L61" i="66"/>
  <c r="T60" i="66"/>
  <c r="M60" i="66"/>
  <c r="N60" i="66" s="1"/>
  <c r="L60" i="66"/>
  <c r="T59" i="66"/>
  <c r="M59" i="66"/>
  <c r="N59" i="66" s="1"/>
  <c r="L59" i="66"/>
  <c r="T58" i="66"/>
  <c r="M58" i="66"/>
  <c r="N58" i="66" s="1"/>
  <c r="L58" i="66"/>
  <c r="T57" i="66"/>
  <c r="M57" i="66"/>
  <c r="N57" i="66" s="1"/>
  <c r="L57" i="66"/>
  <c r="U56" i="66"/>
  <c r="V56" i="66" s="1"/>
  <c r="T56" i="66"/>
  <c r="O56" i="66"/>
  <c r="P56" i="66" s="1"/>
  <c r="M56" i="66"/>
  <c r="N56" i="66" s="1"/>
  <c r="L56" i="66"/>
  <c r="U63" i="66"/>
  <c r="V63" i="66" s="1"/>
  <c r="T63" i="66"/>
  <c r="O63" i="66"/>
  <c r="P63" i="66" s="1"/>
  <c r="M63" i="66"/>
  <c r="N63" i="66" s="1"/>
  <c r="L63" i="66"/>
  <c r="AF53" i="66" a="1"/>
  <c r="AF53" i="66" s="1"/>
  <c r="AE53" i="66" a="1"/>
  <c r="AE53" i="66" s="1"/>
  <c r="AD53" i="66" a="1"/>
  <c r="AD53" i="66" s="1"/>
  <c r="U53" i="66"/>
  <c r="V53" i="66" s="1"/>
  <c r="T53" i="66"/>
  <c r="O53" i="66"/>
  <c r="P53" i="66" s="1"/>
  <c r="M53" i="66"/>
  <c r="N53" i="66" s="1"/>
  <c r="L53" i="66"/>
  <c r="AF52" i="66" a="1"/>
  <c r="AF52" i="66" s="1"/>
  <c r="AE52" i="66" a="1"/>
  <c r="AE52" i="66" s="1"/>
  <c r="AD52" i="66" a="1"/>
  <c r="AD52" i="66" s="1"/>
  <c r="U52" i="66"/>
  <c r="V52" i="66" s="1"/>
  <c r="T52" i="66"/>
  <c r="O52" i="66"/>
  <c r="P52" i="66" s="1"/>
  <c r="M52" i="66"/>
  <c r="N52" i="66" s="1"/>
  <c r="L52" i="66"/>
  <c r="V51" i="66"/>
  <c r="U51" i="66"/>
  <c r="T51" i="66"/>
  <c r="O51" i="66"/>
  <c r="P51" i="66" s="1"/>
  <c r="M51" i="66"/>
  <c r="N51" i="66" s="1"/>
  <c r="L51" i="66"/>
  <c r="U50" i="66"/>
  <c r="V50" i="66" s="1"/>
  <c r="T50" i="66"/>
  <c r="O50" i="66"/>
  <c r="P50" i="66" s="1"/>
  <c r="M50" i="66"/>
  <c r="N50" i="66" s="1"/>
  <c r="L50" i="66"/>
  <c r="U49" i="66"/>
  <c r="V49" i="66" s="1"/>
  <c r="T49" i="66"/>
  <c r="O49" i="66"/>
  <c r="P49" i="66" s="1"/>
  <c r="M49" i="66"/>
  <c r="N49" i="66" s="1"/>
  <c r="L49" i="66"/>
  <c r="U48" i="66"/>
  <c r="V48" i="66" s="1"/>
  <c r="T48" i="66"/>
  <c r="O48" i="66"/>
  <c r="P48" i="66" s="1"/>
  <c r="M48" i="66"/>
  <c r="N48" i="66" s="1"/>
  <c r="L48" i="66"/>
  <c r="U47" i="66"/>
  <c r="V47" i="66" s="1"/>
  <c r="T47" i="66"/>
  <c r="O47" i="66"/>
  <c r="P47" i="66" s="1"/>
  <c r="M47" i="66"/>
  <c r="N47" i="66" s="1"/>
  <c r="L47" i="66"/>
  <c r="U46" i="66"/>
  <c r="V46" i="66" s="1"/>
  <c r="T46" i="66"/>
  <c r="O46" i="66"/>
  <c r="P46" i="66" s="1"/>
  <c r="M46" i="66"/>
  <c r="N46" i="66" s="1"/>
  <c r="L46" i="66"/>
  <c r="U45" i="66"/>
  <c r="V45" i="66" s="1"/>
  <c r="T45" i="66"/>
  <c r="O45" i="66"/>
  <c r="P45" i="66" s="1"/>
  <c r="M45" i="66"/>
  <c r="N45" i="66" s="1"/>
  <c r="L45" i="66"/>
  <c r="U44" i="66"/>
  <c r="V44" i="66" s="1"/>
  <c r="T44" i="66"/>
  <c r="O44" i="66"/>
  <c r="P44" i="66" s="1"/>
  <c r="M44" i="66"/>
  <c r="N44" i="66" s="1"/>
  <c r="L44" i="66"/>
  <c r="AF41" i="66" a="1"/>
  <c r="AF41" i="66" s="1"/>
  <c r="AE41" i="66" a="1"/>
  <c r="AE41" i="66" s="1"/>
  <c r="AD41" i="66" a="1"/>
  <c r="AD41" i="66" s="1"/>
  <c r="U41" i="66"/>
  <c r="V41" i="66" s="1"/>
  <c r="T41" i="66"/>
  <c r="O41" i="66"/>
  <c r="P41" i="66" s="1"/>
  <c r="M41" i="66"/>
  <c r="N41" i="66" s="1"/>
  <c r="L41" i="66"/>
  <c r="AF40" i="66" a="1"/>
  <c r="AF40" i="66" s="1"/>
  <c r="AE40" i="66" a="1"/>
  <c r="AE40" i="66" s="1"/>
  <c r="AD40" i="66" a="1"/>
  <c r="AD40" i="66" s="1"/>
  <c r="U40" i="66"/>
  <c r="V40" i="66" s="1"/>
  <c r="T40" i="66"/>
  <c r="O40" i="66"/>
  <c r="P40" i="66" s="1"/>
  <c r="M40" i="66"/>
  <c r="N40" i="66" s="1"/>
  <c r="L40" i="66"/>
  <c r="AF39" i="66" a="1"/>
  <c r="AF39" i="66" s="1"/>
  <c r="AE39" i="66" a="1"/>
  <c r="AE39" i="66" s="1"/>
  <c r="AD39" i="66" a="1"/>
  <c r="AD39" i="66" s="1"/>
  <c r="U39" i="66"/>
  <c r="V39" i="66" s="1"/>
  <c r="T39" i="66"/>
  <c r="O39" i="66"/>
  <c r="P39" i="66" s="1"/>
  <c r="M39" i="66"/>
  <c r="N39" i="66" s="1"/>
  <c r="L39" i="66"/>
  <c r="AF38" i="66" a="1"/>
  <c r="AF38" i="66" s="1"/>
  <c r="AE38" i="66" a="1"/>
  <c r="AE38" i="66" s="1"/>
  <c r="AD38" i="66" a="1"/>
  <c r="AD38" i="66" s="1"/>
  <c r="U38" i="66"/>
  <c r="V38" i="66" s="1"/>
  <c r="T38" i="66"/>
  <c r="O38" i="66"/>
  <c r="P38" i="66" s="1"/>
  <c r="M38" i="66"/>
  <c r="N38" i="66" s="1"/>
  <c r="L38" i="66"/>
  <c r="AF37" i="66" a="1"/>
  <c r="AF37" i="66" s="1"/>
  <c r="AE37" i="66" a="1"/>
  <c r="AE37" i="66" s="1"/>
  <c r="AD37" i="66" a="1"/>
  <c r="AD37" i="66" s="1"/>
  <c r="U37" i="66"/>
  <c r="V37" i="66" s="1"/>
  <c r="T37" i="66"/>
  <c r="O37" i="66"/>
  <c r="P37" i="66" s="1"/>
  <c r="M37" i="66"/>
  <c r="N37" i="66" s="1"/>
  <c r="L37" i="66"/>
  <c r="AF36" i="66" a="1"/>
  <c r="AF36" i="66" s="1"/>
  <c r="AE36" i="66" a="1"/>
  <c r="AE36" i="66" s="1"/>
  <c r="AD36" i="66" a="1"/>
  <c r="AD36" i="66" s="1"/>
  <c r="U36" i="66"/>
  <c r="V36" i="66" s="1"/>
  <c r="T36" i="66"/>
  <c r="O36" i="66"/>
  <c r="P36" i="66" s="1"/>
  <c r="M36" i="66"/>
  <c r="N36" i="66" s="1"/>
  <c r="L36" i="66"/>
  <c r="AF35" i="66" a="1"/>
  <c r="AF35" i="66" s="1"/>
  <c r="AE35" i="66" a="1"/>
  <c r="AE35" i="66" s="1"/>
  <c r="AD35" i="66" a="1"/>
  <c r="AD35" i="66" s="1"/>
  <c r="U35" i="66"/>
  <c r="V35" i="66" s="1"/>
  <c r="T35" i="66"/>
  <c r="O35" i="66"/>
  <c r="P35" i="66" s="1"/>
  <c r="M35" i="66"/>
  <c r="N35" i="66" s="1"/>
  <c r="L35" i="66"/>
  <c r="AF34" i="66" a="1"/>
  <c r="AF34" i="66" s="1"/>
  <c r="AE34" i="66" a="1"/>
  <c r="AE34" i="66" s="1"/>
  <c r="AD34" i="66" a="1"/>
  <c r="AD34" i="66" s="1"/>
  <c r="U34" i="66"/>
  <c r="V34" i="66" s="1"/>
  <c r="T34" i="66"/>
  <c r="O34" i="66"/>
  <c r="P34" i="66" s="1"/>
  <c r="M34" i="66"/>
  <c r="N34" i="66" s="1"/>
  <c r="L34" i="66"/>
  <c r="AF33" i="66" a="1"/>
  <c r="AF33" i="66" s="1"/>
  <c r="AE33" i="66" a="1"/>
  <c r="AE33" i="66" s="1"/>
  <c r="AD33" i="66" a="1"/>
  <c r="AD33" i="66" s="1"/>
  <c r="U33" i="66"/>
  <c r="V33" i="66" s="1"/>
  <c r="T33" i="66"/>
  <c r="O33" i="66"/>
  <c r="P33" i="66" s="1"/>
  <c r="M33" i="66"/>
  <c r="N33" i="66" s="1"/>
  <c r="L33" i="66"/>
  <c r="AF32" i="66" a="1"/>
  <c r="AF32" i="66" s="1"/>
  <c r="AE32" i="66" a="1"/>
  <c r="AE32" i="66" s="1"/>
  <c r="AD32" i="66" a="1"/>
  <c r="AD32" i="66" s="1"/>
  <c r="U32" i="66"/>
  <c r="V32" i="66" s="1"/>
  <c r="T32" i="66"/>
  <c r="O32" i="66"/>
  <c r="P32" i="66" s="1"/>
  <c r="M32" i="66"/>
  <c r="N32" i="66" s="1"/>
  <c r="L32" i="66"/>
  <c r="AF31" i="66" a="1"/>
  <c r="AF31" i="66" s="1"/>
  <c r="AE31" i="66" a="1"/>
  <c r="AE31" i="66" s="1"/>
  <c r="AD31" i="66" a="1"/>
  <c r="AD31" i="66" s="1"/>
  <c r="U31" i="66"/>
  <c r="V31" i="66" s="1"/>
  <c r="T31" i="66"/>
  <c r="O31" i="66"/>
  <c r="P31" i="66" s="1"/>
  <c r="M31" i="66"/>
  <c r="N31" i="66" s="1"/>
  <c r="L31" i="66"/>
  <c r="AF30" i="66" a="1"/>
  <c r="AF30" i="66" s="1"/>
  <c r="AE30" i="66" a="1"/>
  <c r="AE30" i="66" s="1"/>
  <c r="AD30" i="66" a="1"/>
  <c r="AD30" i="66" s="1"/>
  <c r="U30" i="66"/>
  <c r="V30" i="66" s="1"/>
  <c r="T30" i="66"/>
  <c r="O30" i="66"/>
  <c r="P30" i="66" s="1"/>
  <c r="M30" i="66"/>
  <c r="N30" i="66" s="1"/>
  <c r="L30" i="66"/>
  <c r="U43" i="66"/>
  <c r="V43" i="66" s="1"/>
  <c r="T43" i="66"/>
  <c r="O43" i="66"/>
  <c r="P43" i="66" s="1"/>
  <c r="M43" i="66"/>
  <c r="N43" i="66" s="1"/>
  <c r="L43" i="66"/>
  <c r="AF29" i="66" a="1"/>
  <c r="AF29" i="66" s="1"/>
  <c r="AE29" i="66" a="1"/>
  <c r="AE29" i="66" s="1"/>
  <c r="AD29" i="66" a="1"/>
  <c r="AD29" i="66" s="1"/>
  <c r="U29" i="66"/>
  <c r="V29" i="66" s="1"/>
  <c r="T29" i="66"/>
  <c r="O29" i="66"/>
  <c r="P29" i="66" s="1"/>
  <c r="M29" i="66"/>
  <c r="N29" i="66" s="1"/>
  <c r="L29" i="66"/>
  <c r="AF28" i="66" a="1"/>
  <c r="AF28" i="66" s="1"/>
  <c r="AE28" i="66" a="1"/>
  <c r="AE28" i="66" s="1"/>
  <c r="AD28" i="66" a="1"/>
  <c r="AD28" i="66" s="1"/>
  <c r="U28" i="66"/>
  <c r="V28" i="66" s="1"/>
  <c r="T28" i="66"/>
  <c r="O28" i="66"/>
  <c r="P28" i="66" s="1"/>
  <c r="M28" i="66"/>
  <c r="N28" i="66" s="1"/>
  <c r="L28" i="66"/>
  <c r="AF27" i="66" a="1"/>
  <c r="AF27" i="66" s="1"/>
  <c r="AE27" i="66" a="1"/>
  <c r="AE27" i="66" s="1"/>
  <c r="AD27" i="66" a="1"/>
  <c r="AD27" i="66" s="1"/>
  <c r="U27" i="66"/>
  <c r="V27" i="66" s="1"/>
  <c r="T27" i="66"/>
  <c r="O27" i="66"/>
  <c r="P27" i="66" s="1"/>
  <c r="M27" i="66"/>
  <c r="N27" i="66" s="1"/>
  <c r="L27" i="66"/>
  <c r="AF26" i="66" a="1"/>
  <c r="AF26" i="66" s="1"/>
  <c r="AE26" i="66" a="1"/>
  <c r="AE26" i="66" s="1"/>
  <c r="AD26" i="66" a="1"/>
  <c r="AD26" i="66" s="1"/>
  <c r="U26" i="66"/>
  <c r="V26" i="66" s="1"/>
  <c r="T26" i="66"/>
  <c r="O26" i="66"/>
  <c r="P26" i="66" s="1"/>
  <c r="M26" i="66"/>
  <c r="N26" i="66" s="1"/>
  <c r="L26" i="66"/>
  <c r="AF25" i="66" a="1"/>
  <c r="AF25" i="66" s="1"/>
  <c r="AE25" i="66" a="1"/>
  <c r="AE25" i="66" s="1"/>
  <c r="AD25" i="66" a="1"/>
  <c r="AD25" i="66" s="1"/>
  <c r="U25" i="66"/>
  <c r="V25" i="66" s="1"/>
  <c r="T25" i="66"/>
  <c r="O25" i="66"/>
  <c r="P25" i="66" s="1"/>
  <c r="M25" i="66"/>
  <c r="N25" i="66" s="1"/>
  <c r="L25" i="66"/>
  <c r="AF24" i="66" a="1"/>
  <c r="AF24" i="66" s="1"/>
  <c r="AE24" i="66" a="1"/>
  <c r="AE24" i="66" s="1"/>
  <c r="AD24" i="66" a="1"/>
  <c r="AD24" i="66" s="1"/>
  <c r="U24" i="66"/>
  <c r="V24" i="66" s="1"/>
  <c r="T24" i="66"/>
  <c r="O24" i="66"/>
  <c r="P24" i="66" s="1"/>
  <c r="M24" i="66"/>
  <c r="N24" i="66" s="1"/>
  <c r="L24" i="66"/>
  <c r="AF23" i="66" a="1"/>
  <c r="AF23" i="66" s="1"/>
  <c r="AE23" i="66" a="1"/>
  <c r="AE23" i="66" s="1"/>
  <c r="AD23" i="66" a="1"/>
  <c r="AD23" i="66" s="1"/>
  <c r="U23" i="66"/>
  <c r="V23" i="66" s="1"/>
  <c r="T23" i="66"/>
  <c r="R23" i="66"/>
  <c r="O23" i="66"/>
  <c r="P23" i="66" s="1"/>
  <c r="M23" i="66"/>
  <c r="N23" i="66" s="1"/>
  <c r="L23" i="66"/>
  <c r="G20" i="66"/>
  <c r="S19" i="66"/>
  <c r="R19" i="66"/>
  <c r="S18" i="66"/>
  <c r="R18" i="66"/>
  <c r="AG17" i="66" a="1"/>
  <c r="AG17" i="66" s="1"/>
  <c r="J17" i="66"/>
  <c r="I17" i="66"/>
  <c r="AG16" i="66" a="1"/>
  <c r="AG16" i="66" s="1"/>
  <c r="S16" i="66"/>
  <c r="R16" i="66"/>
  <c r="J16" i="66"/>
  <c r="I16" i="66"/>
  <c r="AG15" i="66" a="1"/>
  <c r="AG15" i="66" s="1"/>
  <c r="S15" i="66"/>
  <c r="R15" i="66"/>
  <c r="CK12" i="66" a="1"/>
  <c r="CK12" i="66" s="1"/>
  <c r="CJ12" i="66" a="1"/>
  <c r="CJ12" i="66" s="1"/>
  <c r="CI12" i="66" a="1"/>
  <c r="CI12" i="66" s="1"/>
  <c r="CH12" i="66" a="1"/>
  <c r="CH12" i="66" s="1"/>
  <c r="CG12" i="66" a="1"/>
  <c r="CG12" i="66" s="1"/>
  <c r="CF12" i="66" a="1"/>
  <c r="CF12" i="66" s="1"/>
  <c r="CE12" i="66" a="1"/>
  <c r="CE12" i="66" s="1"/>
  <c r="CD12" i="66" a="1"/>
  <c r="CD12" i="66" s="1"/>
  <c r="CC12" i="66" a="1"/>
  <c r="CC12" i="66" s="1"/>
  <c r="CB12" i="66" a="1"/>
  <c r="CB12" i="66" s="1"/>
  <c r="CA12" i="66" a="1"/>
  <c r="CA12" i="66" s="1"/>
  <c r="BZ12" i="66" a="1"/>
  <c r="BZ12" i="66" s="1"/>
  <c r="BY12" i="66" a="1"/>
  <c r="BY12" i="66" s="1"/>
  <c r="BX12" i="66" a="1"/>
  <c r="BX12" i="66" s="1"/>
  <c r="BS12" i="66" a="1"/>
  <c r="BS12" i="66" s="1"/>
  <c r="BR12" i="66" a="1"/>
  <c r="BR12" i="66" s="1"/>
  <c r="BQ12" i="66" a="1"/>
  <c r="BQ12" i="66" s="1"/>
  <c r="BO12" i="66" a="1"/>
  <c r="BO12" i="66" s="1"/>
  <c r="BF12" i="66" a="1"/>
  <c r="BF12" i="66" s="1"/>
  <c r="BE12" i="66" a="1"/>
  <c r="BE12" i="66" s="1"/>
  <c r="BA12" i="66" a="1"/>
  <c r="BA12" i="66" s="1"/>
  <c r="BM12" i="66" a="1"/>
  <c r="BM12" i="66" s="1"/>
  <c r="AY12" i="66" a="1"/>
  <c r="AY12" i="66" s="1"/>
  <c r="AX12" i="66" a="1"/>
  <c r="AX12" i="66" s="1"/>
  <c r="BC12" i="66" a="1"/>
  <c r="BC12" i="66" s="1"/>
  <c r="AW12" i="66" a="1"/>
  <c r="AW12" i="66" s="1"/>
  <c r="AU12" i="66" a="1"/>
  <c r="AU12" i="66" s="1"/>
  <c r="AT12" i="66" a="1"/>
  <c r="AT12" i="66" s="1"/>
  <c r="AS12" i="66" a="1"/>
  <c r="AS12" i="66" s="1"/>
  <c r="AP12" i="66" a="1"/>
  <c r="AP12" i="66" s="1"/>
  <c r="AO12" i="66" a="1"/>
  <c r="AO12" i="66" s="1"/>
  <c r="AL12" i="66" a="1"/>
  <c r="AL12" i="66" s="1"/>
  <c r="AK12" i="66" a="1"/>
  <c r="AK12" i="66" s="1"/>
  <c r="AI12" i="66" a="1"/>
  <c r="AI12" i="66" s="1"/>
  <c r="AH12" i="66" a="1"/>
  <c r="AH12" i="66" s="1"/>
  <c r="AG12" i="66" a="1"/>
  <c r="AG12" i="66" s="1"/>
  <c r="AF12" i="66" a="1"/>
  <c r="AF12" i="66" s="1"/>
  <c r="CK10" i="66" a="1"/>
  <c r="CK10" i="66" s="1"/>
  <c r="CJ10" i="66" a="1"/>
  <c r="CJ10" i="66" s="1"/>
  <c r="CI10" i="66" a="1"/>
  <c r="CI10" i="66" s="1"/>
  <c r="CH10" i="66" a="1"/>
  <c r="CH10" i="66" s="1"/>
  <c r="CG10" i="66" a="1"/>
  <c r="CG10" i="66" s="1"/>
  <c r="CF10" i="66" a="1"/>
  <c r="CF10" i="66" s="1"/>
  <c r="CE10" i="66" a="1"/>
  <c r="CE10" i="66" s="1"/>
  <c r="CD10" i="66" a="1"/>
  <c r="CD10" i="66" s="1"/>
  <c r="CC10" i="66" a="1"/>
  <c r="CC10" i="66" s="1"/>
  <c r="CB10" i="66" a="1"/>
  <c r="CB10" i="66" s="1"/>
  <c r="CA10" i="66" a="1"/>
  <c r="CA10" i="66" s="1"/>
  <c r="BZ10" i="66" a="1"/>
  <c r="BZ10" i="66" s="1"/>
  <c r="BY10" i="66" a="1"/>
  <c r="BY10" i="66" s="1"/>
  <c r="BX10" i="66" a="1"/>
  <c r="BX10" i="66" s="1"/>
  <c r="BS10" i="66" a="1"/>
  <c r="BS10" i="66" s="1"/>
  <c r="BR10" i="66" a="1"/>
  <c r="BR10" i="66" s="1"/>
  <c r="BQ10" i="66" a="1"/>
  <c r="BQ10" i="66" s="1"/>
  <c r="BO10" i="66" a="1"/>
  <c r="BO10" i="66" s="1"/>
  <c r="BF10" i="66" a="1"/>
  <c r="BF10" i="66" s="1"/>
  <c r="BE10" i="66" a="1"/>
  <c r="BE10" i="66" s="1"/>
  <c r="BA10" i="66" a="1"/>
  <c r="BA10" i="66" s="1"/>
  <c r="BM10" i="66" a="1"/>
  <c r="BM10" i="66" s="1"/>
  <c r="AY10" i="66" a="1"/>
  <c r="AY10" i="66" s="1"/>
  <c r="AX10" i="66" a="1"/>
  <c r="AX10" i="66" s="1"/>
  <c r="BC10" i="66" a="1"/>
  <c r="BC10" i="66" s="1"/>
  <c r="AW10" i="66" a="1"/>
  <c r="AW10" i="66" s="1"/>
  <c r="AU10" i="66" a="1"/>
  <c r="AU10" i="66" s="1"/>
  <c r="AT10" i="66" a="1"/>
  <c r="AT10" i="66" s="1"/>
  <c r="AS10" i="66" a="1"/>
  <c r="AS10" i="66" s="1"/>
  <c r="AP10" i="66" a="1"/>
  <c r="AP10" i="66" s="1"/>
  <c r="AO10" i="66" a="1"/>
  <c r="AO10" i="66" s="1"/>
  <c r="AL10" i="66" a="1"/>
  <c r="AL10" i="66" s="1"/>
  <c r="AK10" i="66" a="1"/>
  <c r="AK10" i="66" s="1"/>
  <c r="AI10" i="66" a="1"/>
  <c r="AI10" i="66" s="1"/>
  <c r="AH10" i="66" a="1"/>
  <c r="AH10" i="66" s="1"/>
  <c r="AG10" i="66" a="1"/>
  <c r="AG10" i="66" s="1"/>
  <c r="AF10" i="66" a="1"/>
  <c r="AF10" i="66" s="1"/>
  <c r="CK2" i="66" a="1"/>
  <c r="CK2" i="66" s="1"/>
  <c r="CJ2" i="66" a="1"/>
  <c r="CJ2" i="66" s="1"/>
  <c r="CI2" i="66" a="1"/>
  <c r="CI2" i="66" s="1"/>
  <c r="CH2" i="66" a="1"/>
  <c r="CH2" i="66" s="1"/>
  <c r="CG2" i="66" a="1"/>
  <c r="CG2" i="66" s="1"/>
  <c r="CF2" i="66" a="1"/>
  <c r="CF2" i="66" s="1"/>
  <c r="CE2" i="66" a="1"/>
  <c r="CE2" i="66" s="1"/>
  <c r="CD2" i="66" a="1"/>
  <c r="CD2" i="66" s="1"/>
  <c r="CC2" i="66" a="1"/>
  <c r="CC2" i="66" s="1"/>
  <c r="CB2" i="66" a="1"/>
  <c r="CB2" i="66" s="1"/>
  <c r="CA2" i="66" a="1"/>
  <c r="CA2" i="66" s="1"/>
  <c r="BZ2" i="66" a="1"/>
  <c r="BZ2" i="66" s="1"/>
  <c r="BY2" i="66" a="1"/>
  <c r="BY2" i="66" s="1"/>
  <c r="BX2" i="66" a="1"/>
  <c r="BX2" i="66" s="1"/>
  <c r="BS2" i="66" a="1"/>
  <c r="BS2" i="66" s="1"/>
  <c r="BR2" i="66" a="1"/>
  <c r="BR2" i="66" s="1"/>
  <c r="BQ2" i="66" a="1"/>
  <c r="BQ2" i="66" s="1"/>
  <c r="BO2" i="66" a="1"/>
  <c r="BO2" i="66" s="1"/>
  <c r="BF2" i="66" a="1"/>
  <c r="BF2" i="66" s="1"/>
  <c r="BE2" i="66" a="1"/>
  <c r="BE2" i="66" s="1"/>
  <c r="BA2" i="66" a="1"/>
  <c r="BA2" i="66" s="1"/>
  <c r="BM2" i="66" a="1"/>
  <c r="BM2" i="66" s="1"/>
  <c r="AY2" i="66" a="1"/>
  <c r="AY2" i="66" s="1"/>
  <c r="AX2" i="66" a="1"/>
  <c r="AX2" i="66" s="1"/>
  <c r="BC2" i="66" a="1"/>
  <c r="BC2" i="66" s="1"/>
  <c r="AW2" i="66" a="1"/>
  <c r="AW2" i="66" s="1"/>
  <c r="AU2" i="66" a="1"/>
  <c r="AU2" i="66" s="1"/>
  <c r="AT2" i="66" a="1"/>
  <c r="AT2" i="66" s="1"/>
  <c r="AS2" i="66" a="1"/>
  <c r="AS2" i="66" s="1"/>
  <c r="AP2" i="66" a="1"/>
  <c r="AP2" i="66" s="1"/>
  <c r="AO2" i="66" a="1"/>
  <c r="AO2" i="66" s="1"/>
  <c r="AL2" i="66" a="1"/>
  <c r="AL2" i="66" s="1"/>
  <c r="AK2" i="66" a="1"/>
  <c r="AK2" i="66" s="1"/>
  <c r="AI2" i="66" a="1"/>
  <c r="AI2" i="66" s="1"/>
  <c r="AH2" i="66" a="1"/>
  <c r="AH2" i="66" s="1"/>
  <c r="AG2" i="66" a="1"/>
  <c r="AG2" i="66" s="1"/>
  <c r="CK1" i="66"/>
  <c r="CJ1" i="66"/>
  <c r="CI1" i="66"/>
  <c r="CH1" i="66"/>
  <c r="CG1" i="66"/>
  <c r="CF1" i="66"/>
  <c r="CE1" i="66"/>
  <c r="CD1" i="66"/>
  <c r="CC1" i="66"/>
  <c r="CB1" i="66"/>
  <c r="CA1" i="66"/>
  <c r="BZ1" i="66"/>
  <c r="BY1" i="66"/>
  <c r="BX1" i="66"/>
  <c r="BS1" i="66"/>
  <c r="BR1" i="66"/>
  <c r="BQ1" i="66"/>
  <c r="BO1" i="66"/>
  <c r="BF1" i="66"/>
  <c r="BE1" i="66"/>
  <c r="BA1" i="66"/>
  <c r="BM1" i="66"/>
  <c r="AY1" i="66"/>
  <c r="AX1" i="66"/>
  <c r="BC1" i="66"/>
  <c r="AW1" i="66"/>
  <c r="AU1" i="66"/>
  <c r="AT1" i="66"/>
  <c r="AS1" i="66"/>
  <c r="AP1" i="66"/>
  <c r="AO1" i="66"/>
  <c r="AL1" i="66"/>
  <c r="AK1" i="66"/>
  <c r="AI1" i="66"/>
  <c r="AH1" i="66"/>
  <c r="AG1" i="66"/>
  <c r="AF128" i="65" a="1"/>
  <c r="AF128" i="65" s="1"/>
  <c r="AE128" i="65" a="1"/>
  <c r="AE128" i="65" s="1"/>
  <c r="AD128" i="65" a="1"/>
  <c r="AD128" i="65" s="1"/>
  <c r="T128" i="65"/>
  <c r="R128" i="65"/>
  <c r="N128" i="65"/>
  <c r="M128" i="65"/>
  <c r="L128" i="65"/>
  <c r="F128" i="65"/>
  <c r="D128" i="65"/>
  <c r="AF127" i="65" a="1"/>
  <c r="AF127" i="65" s="1"/>
  <c r="AE127" i="65" a="1"/>
  <c r="AE127" i="65" s="1"/>
  <c r="AD127" i="65" a="1"/>
  <c r="AD127" i="65" s="1"/>
  <c r="T127" i="65"/>
  <c r="R127" i="65"/>
  <c r="N127" i="65"/>
  <c r="M127" i="65"/>
  <c r="L127" i="65"/>
  <c r="F127" i="65"/>
  <c r="D127" i="65"/>
  <c r="AF126" i="65" a="1"/>
  <c r="AF126" i="65" s="1"/>
  <c r="AE126" i="65" a="1"/>
  <c r="AE126" i="65" s="1"/>
  <c r="AD126" i="65" a="1"/>
  <c r="AD126" i="65" s="1"/>
  <c r="T126" i="65"/>
  <c r="R126" i="65"/>
  <c r="N126" i="65"/>
  <c r="M126" i="65"/>
  <c r="L126" i="65"/>
  <c r="F126" i="65"/>
  <c r="D126" i="65"/>
  <c r="AF125" i="65" a="1"/>
  <c r="AF125" i="65" s="1"/>
  <c r="AE125" i="65" a="1"/>
  <c r="AE125" i="65" s="1"/>
  <c r="AD125" i="65" a="1"/>
  <c r="AD125" i="65" s="1"/>
  <c r="T125" i="65"/>
  <c r="R125" i="65"/>
  <c r="N125" i="65"/>
  <c r="M125" i="65"/>
  <c r="L125" i="65"/>
  <c r="F125" i="65"/>
  <c r="D125" i="65"/>
  <c r="AF124" i="65" a="1"/>
  <c r="AF124" i="65" s="1"/>
  <c r="AE124" i="65" a="1"/>
  <c r="AE124" i="65" s="1"/>
  <c r="AD124" i="65" a="1"/>
  <c r="AD124" i="65" s="1"/>
  <c r="T124" i="65"/>
  <c r="R124" i="65"/>
  <c r="N124" i="65"/>
  <c r="M124" i="65"/>
  <c r="L124" i="65"/>
  <c r="F124" i="65"/>
  <c r="D124" i="65"/>
  <c r="AF123" i="65" a="1"/>
  <c r="AF123" i="65" s="1"/>
  <c r="AE123" i="65" a="1"/>
  <c r="AE123" i="65" s="1"/>
  <c r="AD123" i="65" a="1"/>
  <c r="AD123" i="65" s="1"/>
  <c r="T123" i="65"/>
  <c r="R123" i="65"/>
  <c r="N123" i="65"/>
  <c r="M123" i="65"/>
  <c r="L123" i="65"/>
  <c r="F123" i="65"/>
  <c r="D123" i="65"/>
  <c r="AF122" i="65" a="1"/>
  <c r="AF122" i="65" s="1"/>
  <c r="AE122" i="65" a="1"/>
  <c r="AE122" i="65" s="1"/>
  <c r="AD122" i="65" a="1"/>
  <c r="AD122" i="65" s="1"/>
  <c r="T122" i="65"/>
  <c r="R122" i="65"/>
  <c r="N122" i="65"/>
  <c r="M122" i="65"/>
  <c r="L122" i="65"/>
  <c r="F122" i="65"/>
  <c r="D122" i="65"/>
  <c r="AF121" i="65" a="1"/>
  <c r="AF121" i="65" s="1"/>
  <c r="AE121" i="65" a="1"/>
  <c r="AE121" i="65" s="1"/>
  <c r="AD121" i="65" a="1"/>
  <c r="AD121" i="65" s="1"/>
  <c r="T121" i="65"/>
  <c r="R121" i="65"/>
  <c r="N121" i="65"/>
  <c r="M121" i="65"/>
  <c r="L121" i="65"/>
  <c r="F121" i="65"/>
  <c r="D121" i="65"/>
  <c r="AF120" i="65" a="1"/>
  <c r="AF120" i="65" s="1"/>
  <c r="AE120" i="65" a="1"/>
  <c r="AE120" i="65" s="1"/>
  <c r="AD120" i="65" a="1"/>
  <c r="AD120" i="65" s="1"/>
  <c r="T120" i="65"/>
  <c r="R120" i="65"/>
  <c r="N120" i="65"/>
  <c r="M120" i="65"/>
  <c r="L120" i="65"/>
  <c r="F120" i="65"/>
  <c r="D120" i="65"/>
  <c r="AF119" i="65" a="1"/>
  <c r="AF119" i="65" s="1"/>
  <c r="AE119" i="65" a="1"/>
  <c r="AE119" i="65" s="1"/>
  <c r="AD119" i="65" a="1"/>
  <c r="AD119" i="65" s="1"/>
  <c r="T119" i="65"/>
  <c r="R119" i="65"/>
  <c r="N119" i="65"/>
  <c r="M119" i="65"/>
  <c r="L119" i="65"/>
  <c r="F119" i="65"/>
  <c r="D119" i="65"/>
  <c r="AF118" i="65" a="1"/>
  <c r="AF118" i="65" s="1"/>
  <c r="AE118" i="65" a="1"/>
  <c r="AE118" i="65" s="1"/>
  <c r="AD118" i="65" a="1"/>
  <c r="AD118" i="65" s="1"/>
  <c r="T118" i="65"/>
  <c r="R118" i="65"/>
  <c r="N118" i="65"/>
  <c r="M118" i="65"/>
  <c r="L118" i="65"/>
  <c r="F118" i="65"/>
  <c r="D118" i="65"/>
  <c r="AF117" i="65" a="1"/>
  <c r="AF117" i="65" s="1"/>
  <c r="AE117" i="65" a="1"/>
  <c r="AE117" i="65" s="1"/>
  <c r="AD117" i="65" a="1"/>
  <c r="AD117" i="65" s="1"/>
  <c r="T117" i="65"/>
  <c r="R117" i="65"/>
  <c r="N117" i="65"/>
  <c r="M117" i="65"/>
  <c r="L117" i="65"/>
  <c r="F117" i="65"/>
  <c r="D117" i="65"/>
  <c r="AF116" i="65" a="1"/>
  <c r="AF116" i="65" s="1"/>
  <c r="AE116" i="65" a="1"/>
  <c r="AE116" i="65" s="1"/>
  <c r="AD116" i="65" a="1"/>
  <c r="AD116" i="65" s="1"/>
  <c r="T116" i="65"/>
  <c r="R116" i="65"/>
  <c r="N116" i="65"/>
  <c r="M116" i="65"/>
  <c r="L116" i="65"/>
  <c r="F116" i="65"/>
  <c r="D116" i="65"/>
  <c r="AF115" i="65" a="1"/>
  <c r="AF115" i="65" s="1"/>
  <c r="AE115" i="65" a="1"/>
  <c r="AE115" i="65" s="1"/>
  <c r="AD115" i="65" a="1"/>
  <c r="AD115" i="65" s="1"/>
  <c r="T115" i="65"/>
  <c r="R115" i="65"/>
  <c r="N115" i="65"/>
  <c r="M115" i="65"/>
  <c r="L115" i="65"/>
  <c r="F115" i="65"/>
  <c r="D115" i="65"/>
  <c r="AF114" i="65" a="1"/>
  <c r="AF114" i="65" s="1"/>
  <c r="AE114" i="65" a="1"/>
  <c r="AE114" i="65" s="1"/>
  <c r="AD114" i="65" a="1"/>
  <c r="AD114" i="65" s="1"/>
  <c r="T114" i="65"/>
  <c r="R114" i="65"/>
  <c r="N114" i="65"/>
  <c r="M114" i="65"/>
  <c r="L114" i="65"/>
  <c r="F114" i="65"/>
  <c r="D114" i="65"/>
  <c r="AF113" i="65" a="1"/>
  <c r="AF113" i="65" s="1"/>
  <c r="AE113" i="65" a="1"/>
  <c r="AE113" i="65" s="1"/>
  <c r="AD113" i="65" a="1"/>
  <c r="AD113" i="65" s="1"/>
  <c r="T113" i="65"/>
  <c r="R113" i="65"/>
  <c r="N113" i="65"/>
  <c r="M113" i="65"/>
  <c r="L113" i="65"/>
  <c r="F113" i="65"/>
  <c r="D113" i="65"/>
  <c r="AF112" i="65" a="1"/>
  <c r="AF112" i="65" s="1"/>
  <c r="AE112" i="65" a="1"/>
  <c r="AE112" i="65" s="1"/>
  <c r="AD112" i="65" a="1"/>
  <c r="AD112" i="65" s="1"/>
  <c r="T112" i="65"/>
  <c r="R112" i="65"/>
  <c r="N112" i="65"/>
  <c r="M112" i="65"/>
  <c r="L112" i="65"/>
  <c r="F112" i="65"/>
  <c r="D112" i="65"/>
  <c r="AF111" i="65" a="1"/>
  <c r="AF111" i="65" s="1"/>
  <c r="AE111" i="65" a="1"/>
  <c r="AE111" i="65" s="1"/>
  <c r="AD111" i="65" a="1"/>
  <c r="AD111" i="65" s="1"/>
  <c r="T111" i="65"/>
  <c r="R111" i="65"/>
  <c r="N111" i="65"/>
  <c r="M111" i="65"/>
  <c r="L111" i="65"/>
  <c r="F111" i="65"/>
  <c r="D111" i="65"/>
  <c r="AF110" i="65" a="1"/>
  <c r="AF110" i="65" s="1"/>
  <c r="AE110" i="65" a="1"/>
  <c r="AE110" i="65" s="1"/>
  <c r="AD110" i="65" a="1"/>
  <c r="AD110" i="65" s="1"/>
  <c r="T110" i="65"/>
  <c r="R110" i="65"/>
  <c r="N110" i="65"/>
  <c r="M110" i="65"/>
  <c r="L110" i="65"/>
  <c r="F110" i="65"/>
  <c r="D110" i="65"/>
  <c r="AF109" i="65" a="1"/>
  <c r="AF109" i="65" s="1"/>
  <c r="AE109" i="65" a="1"/>
  <c r="AE109" i="65" s="1"/>
  <c r="AD109" i="65" a="1"/>
  <c r="AD109" i="65" s="1"/>
  <c r="T109" i="65"/>
  <c r="R109" i="65"/>
  <c r="N109" i="65"/>
  <c r="M109" i="65"/>
  <c r="L109" i="65"/>
  <c r="F109" i="65"/>
  <c r="D109" i="65"/>
  <c r="AF108" i="65" a="1"/>
  <c r="AF108" i="65" s="1"/>
  <c r="AE108" i="65" a="1"/>
  <c r="AE108" i="65" s="1"/>
  <c r="AD108" i="65" a="1"/>
  <c r="AD108" i="65" s="1"/>
  <c r="T108" i="65"/>
  <c r="R108" i="65"/>
  <c r="N108" i="65"/>
  <c r="M108" i="65"/>
  <c r="L108" i="65"/>
  <c r="F108" i="65"/>
  <c r="D108" i="65"/>
  <c r="AF107" i="65" a="1"/>
  <c r="AF107" i="65" s="1"/>
  <c r="AE107" i="65" a="1"/>
  <c r="AE107" i="65" s="1"/>
  <c r="AD107" i="65" a="1"/>
  <c r="AD107" i="65" s="1"/>
  <c r="T107" i="65"/>
  <c r="R107" i="65"/>
  <c r="N107" i="65"/>
  <c r="M107" i="65"/>
  <c r="L107" i="65"/>
  <c r="F107" i="65"/>
  <c r="D107" i="65"/>
  <c r="AF106" i="65" a="1"/>
  <c r="AF106" i="65" s="1"/>
  <c r="AE106" i="65" a="1"/>
  <c r="AE106" i="65" s="1"/>
  <c r="AD106" i="65" a="1"/>
  <c r="AD106" i="65" s="1"/>
  <c r="T106" i="65"/>
  <c r="R106" i="65"/>
  <c r="N106" i="65"/>
  <c r="M106" i="65"/>
  <c r="L106" i="65"/>
  <c r="F106" i="65"/>
  <c r="D106" i="65"/>
  <c r="AF105" i="65" a="1"/>
  <c r="AF105" i="65" s="1"/>
  <c r="AE105" i="65" a="1"/>
  <c r="AE105" i="65" s="1"/>
  <c r="AD105" i="65" a="1"/>
  <c r="AD105" i="65" s="1"/>
  <c r="T105" i="65"/>
  <c r="R105" i="65"/>
  <c r="N105" i="65"/>
  <c r="M105" i="65"/>
  <c r="L105" i="65"/>
  <c r="F105" i="65"/>
  <c r="D105" i="65"/>
  <c r="AF104" i="65" a="1"/>
  <c r="AF104" i="65" s="1"/>
  <c r="AE104" i="65" a="1"/>
  <c r="AE104" i="65" s="1"/>
  <c r="AD104" i="65" a="1"/>
  <c r="AD104" i="65" s="1"/>
  <c r="T104" i="65"/>
  <c r="R104" i="65"/>
  <c r="N104" i="65"/>
  <c r="M104" i="65"/>
  <c r="L104" i="65"/>
  <c r="F104" i="65"/>
  <c r="D104" i="65"/>
  <c r="AF103" i="65" a="1"/>
  <c r="AF103" i="65" s="1"/>
  <c r="AE103" i="65" a="1"/>
  <c r="AE103" i="65" s="1"/>
  <c r="AD103" i="65" a="1"/>
  <c r="AD103" i="65" s="1"/>
  <c r="T103" i="65"/>
  <c r="R103" i="65"/>
  <c r="N103" i="65"/>
  <c r="M103" i="65"/>
  <c r="L103" i="65"/>
  <c r="F103" i="65"/>
  <c r="D103" i="65"/>
  <c r="AF102" i="65" a="1"/>
  <c r="AF102" i="65" s="1"/>
  <c r="AE102" i="65" a="1"/>
  <c r="AE102" i="65" s="1"/>
  <c r="AD102" i="65" a="1"/>
  <c r="AD102" i="65" s="1"/>
  <c r="T102" i="65"/>
  <c r="R102" i="65"/>
  <c r="N102" i="65"/>
  <c r="M102" i="65"/>
  <c r="L102" i="65"/>
  <c r="F102" i="65"/>
  <c r="D102" i="65"/>
  <c r="AF101" i="65" a="1"/>
  <c r="AF101" i="65" s="1"/>
  <c r="AE101" i="65" a="1"/>
  <c r="AE101" i="65" s="1"/>
  <c r="AD101" i="65" a="1"/>
  <c r="AD101" i="65" s="1"/>
  <c r="T101" i="65"/>
  <c r="R101" i="65"/>
  <c r="N101" i="65"/>
  <c r="M101" i="65"/>
  <c r="L101" i="65"/>
  <c r="F101" i="65"/>
  <c r="D101" i="65"/>
  <c r="AF100" i="65" a="1"/>
  <c r="AF100" i="65" s="1"/>
  <c r="AE100" i="65" a="1"/>
  <c r="AE100" i="65" s="1"/>
  <c r="AD100" i="65" a="1"/>
  <c r="AD100" i="65" s="1"/>
  <c r="T100" i="65"/>
  <c r="R100" i="65"/>
  <c r="N100" i="65"/>
  <c r="M100" i="65"/>
  <c r="L100" i="65"/>
  <c r="F100" i="65"/>
  <c r="D100" i="65"/>
  <c r="AF99" i="65" a="1"/>
  <c r="AF99" i="65" s="1"/>
  <c r="AE99" i="65" a="1"/>
  <c r="AE99" i="65" s="1"/>
  <c r="AD99" i="65" a="1"/>
  <c r="AD99" i="65" s="1"/>
  <c r="T99" i="65"/>
  <c r="R99" i="65"/>
  <c r="N99" i="65"/>
  <c r="M99" i="65"/>
  <c r="L99" i="65"/>
  <c r="F99" i="65"/>
  <c r="D99" i="65"/>
  <c r="AF98" i="65" a="1"/>
  <c r="AF98" i="65" s="1"/>
  <c r="AE98" i="65" a="1"/>
  <c r="AE98" i="65" s="1"/>
  <c r="AD98" i="65" a="1"/>
  <c r="AD98" i="65" s="1"/>
  <c r="T98" i="65"/>
  <c r="R98" i="65"/>
  <c r="N98" i="65"/>
  <c r="M98" i="65"/>
  <c r="L98" i="65"/>
  <c r="F98" i="65"/>
  <c r="D98" i="65"/>
  <c r="AF97" i="65" a="1"/>
  <c r="AF97" i="65" s="1"/>
  <c r="AE97" i="65" a="1"/>
  <c r="AE97" i="65" s="1"/>
  <c r="AD97" i="65" a="1"/>
  <c r="AD97" i="65" s="1"/>
  <c r="T97" i="65"/>
  <c r="R97" i="65"/>
  <c r="N97" i="65"/>
  <c r="M97" i="65"/>
  <c r="L97" i="65"/>
  <c r="F97" i="65"/>
  <c r="D97" i="65"/>
  <c r="AF96" i="65" a="1"/>
  <c r="AF96" i="65" s="1"/>
  <c r="AE96" i="65" a="1"/>
  <c r="AE96" i="65" s="1"/>
  <c r="AD96" i="65" a="1"/>
  <c r="AD96" i="65" s="1"/>
  <c r="T96" i="65"/>
  <c r="R96" i="65"/>
  <c r="N96" i="65"/>
  <c r="M96" i="65"/>
  <c r="L96" i="65"/>
  <c r="F96" i="65"/>
  <c r="D96" i="65"/>
  <c r="AF95" i="65" a="1"/>
  <c r="AF95" i="65" s="1"/>
  <c r="AE95" i="65" a="1"/>
  <c r="AE95" i="65" s="1"/>
  <c r="AD95" i="65" a="1"/>
  <c r="AD95" i="65" s="1"/>
  <c r="T95" i="65"/>
  <c r="R95" i="65"/>
  <c r="N95" i="65"/>
  <c r="M95" i="65"/>
  <c r="L95" i="65"/>
  <c r="F95" i="65"/>
  <c r="D95" i="65"/>
  <c r="AF94" i="65" a="1"/>
  <c r="AF94" i="65" s="1"/>
  <c r="AE94" i="65" a="1"/>
  <c r="AE94" i="65" s="1"/>
  <c r="AD94" i="65" a="1"/>
  <c r="AD94" i="65" s="1"/>
  <c r="T94" i="65"/>
  <c r="R94" i="65"/>
  <c r="N94" i="65"/>
  <c r="M94" i="65"/>
  <c r="L94" i="65"/>
  <c r="F94" i="65"/>
  <c r="D94" i="65"/>
  <c r="AF93" i="65" a="1"/>
  <c r="AF93" i="65" s="1"/>
  <c r="AE93" i="65" a="1"/>
  <c r="AE93" i="65" s="1"/>
  <c r="AD93" i="65" a="1"/>
  <c r="AD93" i="65" s="1"/>
  <c r="T93" i="65"/>
  <c r="R93" i="65"/>
  <c r="N93" i="65"/>
  <c r="M93" i="65"/>
  <c r="L93" i="65"/>
  <c r="F93" i="65"/>
  <c r="D93" i="65"/>
  <c r="AF92" i="65" a="1"/>
  <c r="AF92" i="65" s="1"/>
  <c r="AE92" i="65" a="1"/>
  <c r="AE92" i="65" s="1"/>
  <c r="AD92" i="65" a="1"/>
  <c r="AD92" i="65" s="1"/>
  <c r="T92" i="65"/>
  <c r="R92" i="65"/>
  <c r="N92" i="65"/>
  <c r="M92" i="65"/>
  <c r="L92" i="65"/>
  <c r="F92" i="65"/>
  <c r="D92" i="65"/>
  <c r="AF91" i="65" a="1"/>
  <c r="AF91" i="65" s="1"/>
  <c r="AE91" i="65" a="1"/>
  <c r="AE91" i="65" s="1"/>
  <c r="AD91" i="65" a="1"/>
  <c r="AD91" i="65" s="1"/>
  <c r="T91" i="65"/>
  <c r="R91" i="65"/>
  <c r="N91" i="65"/>
  <c r="M91" i="65"/>
  <c r="L91" i="65"/>
  <c r="F91" i="65"/>
  <c r="D91" i="65"/>
  <c r="AF90" i="65" a="1"/>
  <c r="AF90" i="65" s="1"/>
  <c r="AE90" i="65" a="1"/>
  <c r="AE90" i="65" s="1"/>
  <c r="AD90" i="65" a="1"/>
  <c r="AD90" i="65" s="1"/>
  <c r="T90" i="65"/>
  <c r="R90" i="65"/>
  <c r="N90" i="65"/>
  <c r="M90" i="65"/>
  <c r="L90" i="65"/>
  <c r="F90" i="65"/>
  <c r="D90" i="65"/>
  <c r="AF89" i="65" a="1"/>
  <c r="AF89" i="65" s="1"/>
  <c r="AE89" i="65" a="1"/>
  <c r="AE89" i="65" s="1"/>
  <c r="AD89" i="65" a="1"/>
  <c r="AD89" i="65" s="1"/>
  <c r="T89" i="65"/>
  <c r="R89" i="65"/>
  <c r="N89" i="65"/>
  <c r="M89" i="65"/>
  <c r="L89" i="65"/>
  <c r="F89" i="65"/>
  <c r="D89" i="65"/>
  <c r="AF88" i="65" a="1"/>
  <c r="AF88" i="65" s="1"/>
  <c r="AE88" i="65" a="1"/>
  <c r="AE88" i="65" s="1"/>
  <c r="AD88" i="65" a="1"/>
  <c r="AD88" i="65" s="1"/>
  <c r="T88" i="65"/>
  <c r="R88" i="65"/>
  <c r="N88" i="65"/>
  <c r="M88" i="65"/>
  <c r="L88" i="65"/>
  <c r="F88" i="65"/>
  <c r="D88" i="65"/>
  <c r="AF87" i="65" a="1"/>
  <c r="AF87" i="65" s="1"/>
  <c r="AE87" i="65" a="1"/>
  <c r="AE87" i="65" s="1"/>
  <c r="AD87" i="65" a="1"/>
  <c r="AD87" i="65" s="1"/>
  <c r="T87" i="65"/>
  <c r="R87" i="65"/>
  <c r="N87" i="65"/>
  <c r="M87" i="65"/>
  <c r="L87" i="65"/>
  <c r="F87" i="65"/>
  <c r="D87" i="65"/>
  <c r="AF86" i="65" a="1"/>
  <c r="AF86" i="65" s="1"/>
  <c r="AE86" i="65" a="1"/>
  <c r="AE86" i="65" s="1"/>
  <c r="AD86" i="65" a="1"/>
  <c r="AD86" i="65" s="1"/>
  <c r="T86" i="65"/>
  <c r="R86" i="65"/>
  <c r="N86" i="65"/>
  <c r="M86" i="65"/>
  <c r="L86" i="65"/>
  <c r="F86" i="65"/>
  <c r="D86" i="65"/>
  <c r="AF85" i="65" a="1"/>
  <c r="AF85" i="65" s="1"/>
  <c r="AE85" i="65" a="1"/>
  <c r="AE85" i="65" s="1"/>
  <c r="AD85" i="65" a="1"/>
  <c r="AD85" i="65" s="1"/>
  <c r="T85" i="65"/>
  <c r="R85" i="65"/>
  <c r="N85" i="65"/>
  <c r="M85" i="65"/>
  <c r="L85" i="65"/>
  <c r="F85" i="65"/>
  <c r="D85" i="65"/>
  <c r="AF84" i="65" a="1"/>
  <c r="AF84" i="65" s="1"/>
  <c r="AE84" i="65" a="1"/>
  <c r="AE84" i="65" s="1"/>
  <c r="AD84" i="65" a="1"/>
  <c r="AD84" i="65" s="1"/>
  <c r="T84" i="65"/>
  <c r="R84" i="65"/>
  <c r="N84" i="65"/>
  <c r="M84" i="65"/>
  <c r="L84" i="65"/>
  <c r="F84" i="65"/>
  <c r="D84" i="65"/>
  <c r="AF83" i="65" a="1"/>
  <c r="AF83" i="65" s="1"/>
  <c r="AE83" i="65" a="1"/>
  <c r="AE83" i="65" s="1"/>
  <c r="AD83" i="65" a="1"/>
  <c r="AD83" i="65" s="1"/>
  <c r="T83" i="65"/>
  <c r="R83" i="65"/>
  <c r="N83" i="65"/>
  <c r="M83" i="65"/>
  <c r="L83" i="65"/>
  <c r="F83" i="65"/>
  <c r="D83" i="65"/>
  <c r="AF82" i="65" a="1"/>
  <c r="AF82" i="65" s="1"/>
  <c r="AE82" i="65" a="1"/>
  <c r="AE82" i="65" s="1"/>
  <c r="AD82" i="65" a="1"/>
  <c r="AD82" i="65" s="1"/>
  <c r="T82" i="65"/>
  <c r="R82" i="65"/>
  <c r="N82" i="65"/>
  <c r="M82" i="65"/>
  <c r="L82" i="65"/>
  <c r="F82" i="65"/>
  <c r="D82" i="65"/>
  <c r="AF81" i="65" a="1"/>
  <c r="AF81" i="65" s="1"/>
  <c r="AE81" i="65" a="1"/>
  <c r="AE81" i="65" s="1"/>
  <c r="AD81" i="65" a="1"/>
  <c r="AD81" i="65" s="1"/>
  <c r="T81" i="65"/>
  <c r="R81" i="65"/>
  <c r="N81" i="65"/>
  <c r="M81" i="65"/>
  <c r="L81" i="65"/>
  <c r="F81" i="65"/>
  <c r="D81" i="65"/>
  <c r="AF80" i="65" a="1"/>
  <c r="AF80" i="65" s="1"/>
  <c r="AE80" i="65" a="1"/>
  <c r="AE80" i="65" s="1"/>
  <c r="AD80" i="65" a="1"/>
  <c r="AD80" i="65" s="1"/>
  <c r="T80" i="65"/>
  <c r="R80" i="65"/>
  <c r="N80" i="65"/>
  <c r="M80" i="65"/>
  <c r="L80" i="65"/>
  <c r="F80" i="65"/>
  <c r="D80" i="65"/>
  <c r="AF79" i="65" a="1"/>
  <c r="AF79" i="65" s="1"/>
  <c r="AE79" i="65" a="1"/>
  <c r="AE79" i="65" s="1"/>
  <c r="AD79" i="65" a="1"/>
  <c r="AD79" i="65" s="1"/>
  <c r="T79" i="65"/>
  <c r="R79" i="65"/>
  <c r="N79" i="65"/>
  <c r="M79" i="65"/>
  <c r="L79" i="65"/>
  <c r="F79" i="65"/>
  <c r="D79" i="65"/>
  <c r="AF78" i="65" a="1"/>
  <c r="AF78" i="65" s="1"/>
  <c r="AE78" i="65" a="1"/>
  <c r="AE78" i="65" s="1"/>
  <c r="AD78" i="65" a="1"/>
  <c r="AD78" i="65" s="1"/>
  <c r="T78" i="65"/>
  <c r="R78" i="65"/>
  <c r="N78" i="65"/>
  <c r="M78" i="65"/>
  <c r="L78" i="65"/>
  <c r="F78" i="65"/>
  <c r="D78" i="65"/>
  <c r="AF77" i="65" a="1"/>
  <c r="AF77" i="65" s="1"/>
  <c r="AE77" i="65" a="1"/>
  <c r="AE77" i="65" s="1"/>
  <c r="AD77" i="65" a="1"/>
  <c r="AD77" i="65" s="1"/>
  <c r="T77" i="65"/>
  <c r="R77" i="65"/>
  <c r="N77" i="65"/>
  <c r="M77" i="65"/>
  <c r="L77" i="65"/>
  <c r="F77" i="65"/>
  <c r="D77" i="65"/>
  <c r="AF76" i="65" a="1"/>
  <c r="AF76" i="65" s="1"/>
  <c r="AE76" i="65" a="1"/>
  <c r="AE76" i="65" s="1"/>
  <c r="AD76" i="65" a="1"/>
  <c r="AD76" i="65" s="1"/>
  <c r="T76" i="65"/>
  <c r="R76" i="65"/>
  <c r="N76" i="65"/>
  <c r="M76" i="65"/>
  <c r="L76" i="65"/>
  <c r="F76" i="65"/>
  <c r="D76" i="65"/>
  <c r="AF75" i="65" a="1"/>
  <c r="AF75" i="65" s="1"/>
  <c r="AE75" i="65" a="1"/>
  <c r="AE75" i="65" s="1"/>
  <c r="AD75" i="65" a="1"/>
  <c r="AD75" i="65" s="1"/>
  <c r="T75" i="65"/>
  <c r="R75" i="65"/>
  <c r="N75" i="65"/>
  <c r="M75" i="65"/>
  <c r="L75" i="65"/>
  <c r="F75" i="65"/>
  <c r="D75" i="65"/>
  <c r="AF74" i="65" a="1"/>
  <c r="AF74" i="65" s="1"/>
  <c r="AE74" i="65" a="1"/>
  <c r="AE74" i="65" s="1"/>
  <c r="AD74" i="65" a="1"/>
  <c r="AD74" i="65" s="1"/>
  <c r="T74" i="65"/>
  <c r="R74" i="65"/>
  <c r="N74" i="65"/>
  <c r="M74" i="65"/>
  <c r="L74" i="65"/>
  <c r="F74" i="65"/>
  <c r="D74" i="65"/>
  <c r="AF73" i="65" a="1"/>
  <c r="AF73" i="65" s="1"/>
  <c r="AE73" i="65" a="1"/>
  <c r="AE73" i="65" s="1"/>
  <c r="AD73" i="65" a="1"/>
  <c r="AD73" i="65" s="1"/>
  <c r="T73" i="65"/>
  <c r="R73" i="65"/>
  <c r="N73" i="65"/>
  <c r="M73" i="65"/>
  <c r="L73" i="65"/>
  <c r="F73" i="65"/>
  <c r="D73" i="65"/>
  <c r="AF72" i="65" a="1"/>
  <c r="AF72" i="65" s="1"/>
  <c r="AE72" i="65" a="1"/>
  <c r="AE72" i="65" s="1"/>
  <c r="AD72" i="65" a="1"/>
  <c r="AD72" i="65" s="1"/>
  <c r="T72" i="65"/>
  <c r="R72" i="65"/>
  <c r="N72" i="65"/>
  <c r="M72" i="65"/>
  <c r="L72" i="65"/>
  <c r="F72" i="65"/>
  <c r="D72" i="65"/>
  <c r="AF71" i="65" a="1"/>
  <c r="AF71" i="65" s="1"/>
  <c r="AE71" i="65" a="1"/>
  <c r="AE71" i="65" s="1"/>
  <c r="AD71" i="65" a="1"/>
  <c r="AD71" i="65" s="1"/>
  <c r="T71" i="65"/>
  <c r="R71" i="65"/>
  <c r="N71" i="65"/>
  <c r="M71" i="65"/>
  <c r="L71" i="65"/>
  <c r="F71" i="65"/>
  <c r="D71" i="65"/>
  <c r="AF67" i="65" a="1"/>
  <c r="AF67" i="65" s="1"/>
  <c r="AE67" i="65" a="1"/>
  <c r="AE67" i="65" s="1"/>
  <c r="AD67" i="65" a="1"/>
  <c r="AD67" i="65" s="1"/>
  <c r="AF66" i="65" a="1"/>
  <c r="AF66" i="65" s="1"/>
  <c r="AE66" i="65" a="1"/>
  <c r="AE66" i="65" s="1"/>
  <c r="AD66" i="65" a="1"/>
  <c r="AD66" i="65" s="1"/>
  <c r="AF65" i="65" a="1"/>
  <c r="AF65" i="65" s="1"/>
  <c r="AE65" i="65" a="1"/>
  <c r="AE65" i="65" s="1"/>
  <c r="AD65" i="65" a="1"/>
  <c r="AD65" i="65" s="1"/>
  <c r="T65" i="65"/>
  <c r="M65" i="65"/>
  <c r="N65" i="65" s="1"/>
  <c r="L65" i="65"/>
  <c r="T64" i="65"/>
  <c r="M64" i="65"/>
  <c r="N64" i="65" s="1"/>
  <c r="L64" i="65"/>
  <c r="T63" i="65"/>
  <c r="M63" i="65"/>
  <c r="N63" i="65" s="1"/>
  <c r="L63" i="65"/>
  <c r="T62" i="65"/>
  <c r="M62" i="65"/>
  <c r="N62" i="65" s="1"/>
  <c r="L62" i="65"/>
  <c r="T61" i="65"/>
  <c r="M61" i="65"/>
  <c r="N61" i="65" s="1"/>
  <c r="L61" i="65"/>
  <c r="T60" i="65"/>
  <c r="M60" i="65"/>
  <c r="N60" i="65" s="1"/>
  <c r="L60" i="65"/>
  <c r="T59" i="65"/>
  <c r="M59" i="65"/>
  <c r="N59" i="65" s="1"/>
  <c r="L59" i="65"/>
  <c r="T58" i="65"/>
  <c r="M58" i="65"/>
  <c r="N58" i="65" s="1"/>
  <c r="L58" i="65"/>
  <c r="V57" i="65"/>
  <c r="T57" i="65"/>
  <c r="O57" i="65"/>
  <c r="P57" i="65" s="1"/>
  <c r="M57" i="65"/>
  <c r="N57" i="65" s="1"/>
  <c r="L57" i="65"/>
  <c r="AF56" i="65" a="1"/>
  <c r="AF56" i="65" s="1"/>
  <c r="AE56" i="65" a="1"/>
  <c r="AE56" i="65" s="1"/>
  <c r="AD56" i="65" a="1"/>
  <c r="AD56" i="65" s="1"/>
  <c r="V56" i="65"/>
  <c r="T56" i="65"/>
  <c r="O56" i="65"/>
  <c r="P56" i="65" s="1"/>
  <c r="M56" i="65"/>
  <c r="N56" i="65" s="1"/>
  <c r="L56" i="65"/>
  <c r="AF53" i="65" a="1"/>
  <c r="AF53" i="65" s="1"/>
  <c r="AE53" i="65" a="1"/>
  <c r="AE53" i="65" s="1"/>
  <c r="AD53" i="65" a="1"/>
  <c r="AD53" i="65" s="1"/>
  <c r="V53" i="65"/>
  <c r="T53" i="65"/>
  <c r="O53" i="65"/>
  <c r="P53" i="65" s="1"/>
  <c r="M53" i="65"/>
  <c r="N53" i="65" s="1"/>
  <c r="L53" i="65"/>
  <c r="AF52" i="65" a="1"/>
  <c r="AF52" i="65" s="1"/>
  <c r="AE52" i="65" a="1"/>
  <c r="AE52" i="65" s="1"/>
  <c r="AD52" i="65" a="1"/>
  <c r="AD52" i="65" s="1"/>
  <c r="V52" i="65"/>
  <c r="T52" i="65"/>
  <c r="O52" i="65"/>
  <c r="P52" i="65" s="1"/>
  <c r="M52" i="65"/>
  <c r="N52" i="65" s="1"/>
  <c r="L52" i="65"/>
  <c r="AF51" i="65" a="1"/>
  <c r="AF51" i="65" s="1"/>
  <c r="AE51" i="65" a="1"/>
  <c r="AE51" i="65" s="1"/>
  <c r="AD51" i="65" a="1"/>
  <c r="AD51" i="65" s="1"/>
  <c r="V51" i="65"/>
  <c r="T51" i="65"/>
  <c r="O51" i="65"/>
  <c r="P51" i="65" s="1"/>
  <c r="M51" i="65"/>
  <c r="N51" i="65" s="1"/>
  <c r="L51" i="65"/>
  <c r="AF50" i="65" a="1"/>
  <c r="AF50" i="65" s="1"/>
  <c r="AE50" i="65" a="1"/>
  <c r="AE50" i="65" s="1"/>
  <c r="AD50" i="65" a="1"/>
  <c r="AD50" i="65" s="1"/>
  <c r="V50" i="65"/>
  <c r="T50" i="65"/>
  <c r="O50" i="65"/>
  <c r="P50" i="65" s="1"/>
  <c r="M50" i="65"/>
  <c r="N50" i="65" s="1"/>
  <c r="L50" i="65"/>
  <c r="AF49" i="65" a="1"/>
  <c r="AF49" i="65" s="1"/>
  <c r="AE49" i="65" a="1"/>
  <c r="AE49" i="65" s="1"/>
  <c r="AD49" i="65" a="1"/>
  <c r="AD49" i="65" s="1"/>
  <c r="V49" i="65"/>
  <c r="T49" i="65"/>
  <c r="O49" i="65"/>
  <c r="P49" i="65" s="1"/>
  <c r="M49" i="65"/>
  <c r="N49" i="65" s="1"/>
  <c r="L49" i="65"/>
  <c r="AF48" i="65" a="1"/>
  <c r="AF48" i="65" s="1"/>
  <c r="AE48" i="65" a="1"/>
  <c r="AE48" i="65" s="1"/>
  <c r="AD48" i="65" a="1"/>
  <c r="AD48" i="65" s="1"/>
  <c r="V48" i="65"/>
  <c r="T48" i="65"/>
  <c r="O48" i="65"/>
  <c r="P48" i="65" s="1"/>
  <c r="M48" i="65"/>
  <c r="N48" i="65" s="1"/>
  <c r="L48" i="65"/>
  <c r="AF47" i="65" a="1"/>
  <c r="AF47" i="65" s="1"/>
  <c r="AE47" i="65" a="1"/>
  <c r="AE47" i="65" s="1"/>
  <c r="AD47" i="65" a="1"/>
  <c r="AD47" i="65" s="1"/>
  <c r="V47" i="65"/>
  <c r="T47" i="65"/>
  <c r="O47" i="65"/>
  <c r="P47" i="65" s="1"/>
  <c r="M47" i="65"/>
  <c r="N47" i="65" s="1"/>
  <c r="L47" i="65"/>
  <c r="AF46" i="65" a="1"/>
  <c r="AF46" i="65" s="1"/>
  <c r="AE46" i="65" a="1"/>
  <c r="AE46" i="65" s="1"/>
  <c r="AD46" i="65" a="1"/>
  <c r="AD46" i="65" s="1"/>
  <c r="V46" i="65"/>
  <c r="T46" i="65"/>
  <c r="O46" i="65"/>
  <c r="P46" i="65" s="1"/>
  <c r="M46" i="65"/>
  <c r="N46" i="65" s="1"/>
  <c r="L46" i="65"/>
  <c r="AF45" i="65" a="1"/>
  <c r="AF45" i="65" s="1"/>
  <c r="AE45" i="65" a="1"/>
  <c r="AE45" i="65" s="1"/>
  <c r="AD45" i="65" a="1"/>
  <c r="AD45" i="65" s="1"/>
  <c r="U45" i="65"/>
  <c r="V45" i="65" s="1"/>
  <c r="T45" i="65"/>
  <c r="O45" i="65"/>
  <c r="P45" i="65" s="1"/>
  <c r="M45" i="65"/>
  <c r="N45" i="65" s="1"/>
  <c r="L45" i="65"/>
  <c r="U44" i="65"/>
  <c r="V44" i="65" s="1"/>
  <c r="T44" i="65"/>
  <c r="O44" i="65"/>
  <c r="P44" i="65" s="1"/>
  <c r="M44" i="65"/>
  <c r="N44" i="65" s="1"/>
  <c r="L44" i="65"/>
  <c r="U43" i="65"/>
  <c r="V43" i="65" s="1"/>
  <c r="T43" i="65"/>
  <c r="O43" i="65"/>
  <c r="P43" i="65" s="1"/>
  <c r="M43" i="65"/>
  <c r="N43" i="65" s="1"/>
  <c r="L43" i="65"/>
  <c r="AF41" i="65" a="1"/>
  <c r="AF41" i="65" s="1"/>
  <c r="AE41" i="65" a="1"/>
  <c r="AE41" i="65" s="1"/>
  <c r="AD41" i="65" a="1"/>
  <c r="AD41" i="65" s="1"/>
  <c r="U41" i="65"/>
  <c r="V41" i="65" s="1"/>
  <c r="T41" i="65"/>
  <c r="O41" i="65"/>
  <c r="P41" i="65" s="1"/>
  <c r="M41" i="65"/>
  <c r="N41" i="65" s="1"/>
  <c r="L41" i="65"/>
  <c r="AF40" i="65" a="1"/>
  <c r="AF40" i="65" s="1"/>
  <c r="AE40" i="65" a="1"/>
  <c r="AE40" i="65" s="1"/>
  <c r="AD40" i="65" a="1"/>
  <c r="AD40" i="65" s="1"/>
  <c r="U40" i="65"/>
  <c r="V40" i="65" s="1"/>
  <c r="T40" i="65"/>
  <c r="O40" i="65"/>
  <c r="P40" i="65" s="1"/>
  <c r="M40" i="65"/>
  <c r="N40" i="65" s="1"/>
  <c r="L40" i="65"/>
  <c r="AF39" i="65" a="1"/>
  <c r="AF39" i="65" s="1"/>
  <c r="AE39" i="65" a="1"/>
  <c r="AE39" i="65" s="1"/>
  <c r="AD39" i="65" a="1"/>
  <c r="AD39" i="65" s="1"/>
  <c r="U39" i="65"/>
  <c r="V39" i="65" s="1"/>
  <c r="T39" i="65"/>
  <c r="O39" i="65"/>
  <c r="P39" i="65" s="1"/>
  <c r="M39" i="65"/>
  <c r="N39" i="65" s="1"/>
  <c r="L39" i="65"/>
  <c r="AF38" i="65" a="1"/>
  <c r="AF38" i="65" s="1"/>
  <c r="AE38" i="65" a="1"/>
  <c r="AE38" i="65" s="1"/>
  <c r="AD38" i="65" a="1"/>
  <c r="AD38" i="65" s="1"/>
  <c r="U38" i="65"/>
  <c r="V38" i="65" s="1"/>
  <c r="T38" i="65"/>
  <c r="O38" i="65"/>
  <c r="P38" i="65" s="1"/>
  <c r="M38" i="65"/>
  <c r="N38" i="65" s="1"/>
  <c r="L38" i="65"/>
  <c r="AF37" i="65" a="1"/>
  <c r="AF37" i="65" s="1"/>
  <c r="AE37" i="65" a="1"/>
  <c r="AE37" i="65" s="1"/>
  <c r="AD37" i="65" a="1"/>
  <c r="AD37" i="65" s="1"/>
  <c r="U37" i="65"/>
  <c r="V37" i="65" s="1"/>
  <c r="T37" i="65"/>
  <c r="O37" i="65"/>
  <c r="P37" i="65" s="1"/>
  <c r="M37" i="65"/>
  <c r="N37" i="65" s="1"/>
  <c r="L37" i="65"/>
  <c r="AF36" i="65" a="1"/>
  <c r="AF36" i="65" s="1"/>
  <c r="AE36" i="65" a="1"/>
  <c r="AE36" i="65" s="1"/>
  <c r="AD36" i="65" a="1"/>
  <c r="AD36" i="65" s="1"/>
  <c r="U36" i="65"/>
  <c r="V36" i="65" s="1"/>
  <c r="T36" i="65"/>
  <c r="O36" i="65"/>
  <c r="P36" i="65" s="1"/>
  <c r="M36" i="65"/>
  <c r="N36" i="65" s="1"/>
  <c r="L36" i="65"/>
  <c r="AF35" i="65" a="1"/>
  <c r="AF35" i="65" s="1"/>
  <c r="AE35" i="65" a="1"/>
  <c r="AE35" i="65" s="1"/>
  <c r="AD35" i="65" a="1"/>
  <c r="AD35" i="65" s="1"/>
  <c r="U35" i="65"/>
  <c r="V35" i="65" s="1"/>
  <c r="T35" i="65"/>
  <c r="O35" i="65"/>
  <c r="P35" i="65" s="1"/>
  <c r="M35" i="65"/>
  <c r="N35" i="65" s="1"/>
  <c r="L35" i="65"/>
  <c r="AF34" i="65" a="1"/>
  <c r="AF34" i="65" s="1"/>
  <c r="AE34" i="65" a="1"/>
  <c r="AE34" i="65" s="1"/>
  <c r="AD34" i="65" a="1"/>
  <c r="AD34" i="65" s="1"/>
  <c r="U34" i="65"/>
  <c r="V34" i="65" s="1"/>
  <c r="T34" i="65"/>
  <c r="O34" i="65"/>
  <c r="P34" i="65" s="1"/>
  <c r="M34" i="65"/>
  <c r="N34" i="65" s="1"/>
  <c r="L34" i="65"/>
  <c r="AF33" i="65" a="1"/>
  <c r="AF33" i="65" s="1"/>
  <c r="AE33" i="65" a="1"/>
  <c r="AE33" i="65" s="1"/>
  <c r="AD33" i="65" a="1"/>
  <c r="AD33" i="65" s="1"/>
  <c r="U33" i="65"/>
  <c r="V33" i="65" s="1"/>
  <c r="T33" i="65"/>
  <c r="O33" i="65"/>
  <c r="P33" i="65" s="1"/>
  <c r="M33" i="65"/>
  <c r="N33" i="65" s="1"/>
  <c r="L33" i="65"/>
  <c r="AF32" i="65" a="1"/>
  <c r="AF32" i="65" s="1"/>
  <c r="AE32" i="65" a="1"/>
  <c r="AE32" i="65" s="1"/>
  <c r="AD32" i="65" a="1"/>
  <c r="AD32" i="65" s="1"/>
  <c r="U32" i="65"/>
  <c r="V32" i="65" s="1"/>
  <c r="T32" i="65"/>
  <c r="O32" i="65"/>
  <c r="P32" i="65" s="1"/>
  <c r="M32" i="65"/>
  <c r="N32" i="65" s="1"/>
  <c r="L32" i="65"/>
  <c r="AF31" i="65" a="1"/>
  <c r="AF31" i="65" s="1"/>
  <c r="AE31" i="65" a="1"/>
  <c r="AE31" i="65" s="1"/>
  <c r="AD31" i="65" a="1"/>
  <c r="AD31" i="65" s="1"/>
  <c r="U31" i="65"/>
  <c r="V31" i="65" s="1"/>
  <c r="T31" i="65"/>
  <c r="O31" i="65"/>
  <c r="P31" i="65" s="1"/>
  <c r="M31" i="65"/>
  <c r="N31" i="65" s="1"/>
  <c r="L31" i="65"/>
  <c r="AF30" i="65" a="1"/>
  <c r="AF30" i="65" s="1"/>
  <c r="AE30" i="65" a="1"/>
  <c r="AE30" i="65" s="1"/>
  <c r="AD30" i="65" a="1"/>
  <c r="AD30" i="65" s="1"/>
  <c r="U30" i="65"/>
  <c r="V30" i="65" s="1"/>
  <c r="T30" i="65"/>
  <c r="O30" i="65"/>
  <c r="P30" i="65" s="1"/>
  <c r="M30" i="65"/>
  <c r="N30" i="65" s="1"/>
  <c r="L30" i="65"/>
  <c r="AF29" i="65" a="1"/>
  <c r="AF29" i="65" s="1"/>
  <c r="AE29" i="65" a="1"/>
  <c r="AE29" i="65" s="1"/>
  <c r="AD29" i="65" a="1"/>
  <c r="AD29" i="65" s="1"/>
  <c r="U29" i="65"/>
  <c r="V29" i="65" s="1"/>
  <c r="T29" i="65"/>
  <c r="O29" i="65"/>
  <c r="P29" i="65" s="1"/>
  <c r="M29" i="65"/>
  <c r="N29" i="65" s="1"/>
  <c r="L29" i="65"/>
  <c r="AF28" i="65" a="1"/>
  <c r="AF28" i="65" s="1"/>
  <c r="AE28" i="65" a="1"/>
  <c r="AE28" i="65" s="1"/>
  <c r="AD28" i="65" a="1"/>
  <c r="AD28" i="65" s="1"/>
  <c r="U28" i="65"/>
  <c r="V28" i="65" s="1"/>
  <c r="T28" i="65"/>
  <c r="O28" i="65"/>
  <c r="P28" i="65" s="1"/>
  <c r="M28" i="65"/>
  <c r="N28" i="65" s="1"/>
  <c r="L28" i="65"/>
  <c r="AF27" i="65" a="1"/>
  <c r="AF27" i="65" s="1"/>
  <c r="AE27" i="65" a="1"/>
  <c r="AE27" i="65" s="1"/>
  <c r="AD27" i="65" a="1"/>
  <c r="AD27" i="65" s="1"/>
  <c r="U27" i="65"/>
  <c r="V27" i="65" s="1"/>
  <c r="T27" i="65"/>
  <c r="O27" i="65"/>
  <c r="P27" i="65" s="1"/>
  <c r="M27" i="65"/>
  <c r="N27" i="65" s="1"/>
  <c r="L27" i="65"/>
  <c r="AF26" i="65" a="1"/>
  <c r="AF26" i="65" s="1"/>
  <c r="AE26" i="65" a="1"/>
  <c r="AE26" i="65" s="1"/>
  <c r="AD26" i="65" a="1"/>
  <c r="AD26" i="65" s="1"/>
  <c r="U26" i="65"/>
  <c r="V26" i="65" s="1"/>
  <c r="T26" i="65"/>
  <c r="O26" i="65"/>
  <c r="P26" i="65" s="1"/>
  <c r="M26" i="65"/>
  <c r="N26" i="65" s="1"/>
  <c r="L26" i="65"/>
  <c r="AF25" i="65" a="1"/>
  <c r="AF25" i="65" s="1"/>
  <c r="AE25" i="65" a="1"/>
  <c r="AE25" i="65" s="1"/>
  <c r="AD25" i="65" a="1"/>
  <c r="AD25" i="65" s="1"/>
  <c r="U25" i="65"/>
  <c r="V25" i="65" s="1"/>
  <c r="T25" i="65"/>
  <c r="O25" i="65"/>
  <c r="P25" i="65" s="1"/>
  <c r="M25" i="65"/>
  <c r="N25" i="65" s="1"/>
  <c r="L25" i="65"/>
  <c r="AF24" i="65" a="1"/>
  <c r="AF24" i="65" s="1"/>
  <c r="AE24" i="65" a="1"/>
  <c r="AE24" i="65" s="1"/>
  <c r="AD24" i="65" a="1"/>
  <c r="AD24" i="65" s="1"/>
  <c r="U24" i="65"/>
  <c r="V24" i="65" s="1"/>
  <c r="T24" i="65"/>
  <c r="O24" i="65"/>
  <c r="P24" i="65" s="1"/>
  <c r="M24" i="65"/>
  <c r="N24" i="65" s="1"/>
  <c r="L24" i="65"/>
  <c r="AF23" i="65" a="1"/>
  <c r="AF23" i="65" s="1"/>
  <c r="AE23" i="65" a="1"/>
  <c r="AE23" i="65" s="1"/>
  <c r="AD23" i="65" a="1"/>
  <c r="AD23" i="65" s="1"/>
  <c r="U23" i="65"/>
  <c r="V23" i="65" s="1"/>
  <c r="T23" i="65"/>
  <c r="R23" i="65"/>
  <c r="O23" i="65"/>
  <c r="P23" i="65" s="1"/>
  <c r="M23" i="65"/>
  <c r="N23" i="65" s="1"/>
  <c r="L23" i="65"/>
  <c r="G20" i="65"/>
  <c r="S19" i="65"/>
  <c r="R19" i="65"/>
  <c r="S18" i="65"/>
  <c r="R18" i="65"/>
  <c r="AG17" i="65" a="1"/>
  <c r="AG17" i="65" s="1"/>
  <c r="J17" i="65"/>
  <c r="I17" i="65"/>
  <c r="AG16" i="65" a="1"/>
  <c r="AG16" i="65" s="1"/>
  <c r="S16" i="65"/>
  <c r="R16" i="65"/>
  <c r="J16" i="65"/>
  <c r="I16" i="65"/>
  <c r="AG15" i="65" a="1"/>
  <c r="AG15" i="65" s="1"/>
  <c r="S15" i="65"/>
  <c r="R15" i="65"/>
  <c r="CJ12" i="65" a="1"/>
  <c r="CJ12" i="65" s="1"/>
  <c r="CI12" i="65" a="1"/>
  <c r="CI12" i="65" s="1"/>
  <c r="CH12" i="65" a="1"/>
  <c r="CH12" i="65" s="1"/>
  <c r="CG12" i="65" a="1"/>
  <c r="CG12" i="65" s="1"/>
  <c r="CF12" i="65" a="1"/>
  <c r="CF12" i="65" s="1"/>
  <c r="CE12" i="65" a="1"/>
  <c r="CE12" i="65" s="1"/>
  <c r="CD12" i="65" a="1"/>
  <c r="CD12" i="65" s="1"/>
  <c r="CC12" i="65" a="1"/>
  <c r="CC12" i="65" s="1"/>
  <c r="CB12" i="65" a="1"/>
  <c r="CB12" i="65" s="1"/>
  <c r="CA12" i="65" a="1"/>
  <c r="CA12" i="65" s="1"/>
  <c r="BZ12" i="65" a="1"/>
  <c r="BZ12" i="65" s="1"/>
  <c r="BY12" i="65" a="1"/>
  <c r="BY12" i="65" s="1"/>
  <c r="BX12" i="65" a="1"/>
  <c r="BX12" i="65" s="1"/>
  <c r="BW12" i="65" a="1"/>
  <c r="BW12" i="65" s="1"/>
  <c r="BR12" i="65" a="1"/>
  <c r="BR12" i="65" s="1"/>
  <c r="BQ12" i="65" a="1"/>
  <c r="BQ12" i="65" s="1"/>
  <c r="BP12" i="65" a="1"/>
  <c r="BP12" i="65" s="1"/>
  <c r="BN12" i="65" a="1"/>
  <c r="BN12" i="65" s="1"/>
  <c r="AN12" i="65" a="1"/>
  <c r="AN12" i="65" s="1"/>
  <c r="BH12" i="65" a="1"/>
  <c r="BH12" i="65" s="1"/>
  <c r="BG12" i="65" a="1"/>
  <c r="BG12" i="65" s="1"/>
  <c r="BF12" i="65" a="1"/>
  <c r="BF12" i="65" s="1"/>
  <c r="AR12" i="65" a="1"/>
  <c r="AR12" i="65" s="1"/>
  <c r="AQ12" i="65" a="1"/>
  <c r="AQ12" i="65" s="1"/>
  <c r="AX12" i="65" a="1"/>
  <c r="AX12" i="65" s="1"/>
  <c r="AW12" i="65" a="1"/>
  <c r="AW12" i="65" s="1"/>
  <c r="BE12" i="65" a="1"/>
  <c r="BE12" i="65" s="1"/>
  <c r="AV12" i="65" a="1"/>
  <c r="AV12" i="65" s="1"/>
  <c r="AU12" i="65" a="1"/>
  <c r="AU12" i="65" s="1"/>
  <c r="AP12" i="65" a="1"/>
  <c r="AP12" i="65" s="1"/>
  <c r="AO12" i="65" a="1"/>
  <c r="AO12" i="65" s="1"/>
  <c r="AL12" i="65" a="1"/>
  <c r="AL12" i="65" s="1"/>
  <c r="AK12" i="65" a="1"/>
  <c r="AK12" i="65" s="1"/>
  <c r="AI12" i="65" a="1"/>
  <c r="AI12" i="65" s="1"/>
  <c r="AH12" i="65" a="1"/>
  <c r="AH12" i="65" s="1"/>
  <c r="AG12" i="65" a="1"/>
  <c r="AG12" i="65" s="1"/>
  <c r="AF12" i="65" a="1"/>
  <c r="AF12" i="65" s="1"/>
  <c r="CJ10" i="65" a="1"/>
  <c r="CJ10" i="65" s="1"/>
  <c r="CI10" i="65" a="1"/>
  <c r="CI10" i="65" s="1"/>
  <c r="CH10" i="65" a="1"/>
  <c r="CH10" i="65" s="1"/>
  <c r="CG10" i="65" a="1"/>
  <c r="CG10" i="65" s="1"/>
  <c r="CF10" i="65" a="1"/>
  <c r="CF10" i="65" s="1"/>
  <c r="CE10" i="65" a="1"/>
  <c r="CE10" i="65" s="1"/>
  <c r="CD10" i="65" a="1"/>
  <c r="CD10" i="65" s="1"/>
  <c r="CC10" i="65" a="1"/>
  <c r="CC10" i="65" s="1"/>
  <c r="CB10" i="65" a="1"/>
  <c r="CB10" i="65" s="1"/>
  <c r="CA10" i="65" a="1"/>
  <c r="CA10" i="65" s="1"/>
  <c r="BZ10" i="65" a="1"/>
  <c r="BZ10" i="65" s="1"/>
  <c r="BY10" i="65" a="1"/>
  <c r="BY10" i="65" s="1"/>
  <c r="BX10" i="65" a="1"/>
  <c r="BX10" i="65" s="1"/>
  <c r="BW10" i="65" a="1"/>
  <c r="BW10" i="65" s="1"/>
  <c r="BR10" i="65" a="1"/>
  <c r="BR10" i="65" s="1"/>
  <c r="BQ10" i="65" a="1"/>
  <c r="BQ10" i="65" s="1"/>
  <c r="BP10" i="65" a="1"/>
  <c r="BP10" i="65" s="1"/>
  <c r="BN10" i="65" a="1"/>
  <c r="BN10" i="65" s="1"/>
  <c r="AN10" i="65" a="1"/>
  <c r="AN10" i="65" s="1"/>
  <c r="BH10" i="65" a="1"/>
  <c r="BH10" i="65" s="1"/>
  <c r="BG10" i="65" a="1"/>
  <c r="BG10" i="65" s="1"/>
  <c r="BF10" i="65" a="1"/>
  <c r="BF10" i="65" s="1"/>
  <c r="AR10" i="65" a="1"/>
  <c r="AR10" i="65" s="1"/>
  <c r="AQ10" i="65" a="1"/>
  <c r="AQ10" i="65" s="1"/>
  <c r="AX10" i="65" a="1"/>
  <c r="AX10" i="65" s="1"/>
  <c r="AW10" i="65" a="1"/>
  <c r="AW10" i="65" s="1"/>
  <c r="BE10" i="65" a="1"/>
  <c r="BE10" i="65" s="1"/>
  <c r="AV10" i="65" a="1"/>
  <c r="AV10" i="65" s="1"/>
  <c r="AU10" i="65" a="1"/>
  <c r="AU10" i="65" s="1"/>
  <c r="AP10" i="65" a="1"/>
  <c r="AP10" i="65" s="1"/>
  <c r="AO10" i="65" a="1"/>
  <c r="AO10" i="65" s="1"/>
  <c r="AL10" i="65" a="1"/>
  <c r="AL10" i="65" s="1"/>
  <c r="AK10" i="65" a="1"/>
  <c r="AK10" i="65" s="1"/>
  <c r="AI10" i="65" a="1"/>
  <c r="AI10" i="65" s="1"/>
  <c r="AH10" i="65" a="1"/>
  <c r="AH10" i="65" s="1"/>
  <c r="AG10" i="65" a="1"/>
  <c r="AG10" i="65" s="1"/>
  <c r="AF10" i="65" a="1"/>
  <c r="AF10" i="65" s="1"/>
  <c r="CJ2" i="65" a="1"/>
  <c r="CJ2" i="65" s="1"/>
  <c r="CI2" i="65" a="1"/>
  <c r="CI2" i="65" s="1"/>
  <c r="CI11" i="65" s="1"/>
  <c r="CH2" i="65" a="1"/>
  <c r="CH2" i="65" s="1"/>
  <c r="CG2" i="65" a="1"/>
  <c r="CG2" i="65" s="1"/>
  <c r="CF2" i="65" a="1"/>
  <c r="CF2" i="65" s="1"/>
  <c r="CE2" i="65" a="1"/>
  <c r="CE2" i="65" s="1"/>
  <c r="CD2" i="65" a="1"/>
  <c r="CD2" i="65" s="1"/>
  <c r="CC2" i="65" a="1"/>
  <c r="CC2" i="65" s="1"/>
  <c r="CB2" i="65" a="1"/>
  <c r="CB2" i="65" s="1"/>
  <c r="CA2" i="65" a="1"/>
  <c r="CA2" i="65" s="1"/>
  <c r="BZ2" i="65" a="1"/>
  <c r="BZ2" i="65" s="1"/>
  <c r="BY2" i="65" a="1"/>
  <c r="BY2" i="65" s="1"/>
  <c r="BX2" i="65" a="1"/>
  <c r="BX2" i="65" s="1"/>
  <c r="BW2" i="65" a="1"/>
  <c r="BW2" i="65" s="1"/>
  <c r="BR2" i="65" a="1"/>
  <c r="BR2" i="65" s="1"/>
  <c r="BQ2" i="65" a="1"/>
  <c r="BQ2" i="65" s="1"/>
  <c r="BP2" i="65" a="1"/>
  <c r="BP2" i="65" s="1"/>
  <c r="BN2" i="65" a="1"/>
  <c r="BN2" i="65" s="1"/>
  <c r="AN2" i="65" a="1"/>
  <c r="AN2" i="65" s="1"/>
  <c r="BH2" i="65" a="1"/>
  <c r="BH2" i="65" s="1"/>
  <c r="BG2" i="65" a="1"/>
  <c r="BG2" i="65" s="1"/>
  <c r="BF2" i="65" a="1"/>
  <c r="BF2" i="65" s="1"/>
  <c r="AR2" i="65" a="1"/>
  <c r="AR2" i="65" s="1"/>
  <c r="AQ2" i="65" a="1"/>
  <c r="AQ2" i="65" s="1"/>
  <c r="AX2" i="65" a="1"/>
  <c r="AX2" i="65" s="1"/>
  <c r="AW2" i="65" a="1"/>
  <c r="AW2" i="65" s="1"/>
  <c r="BE2" i="65" a="1"/>
  <c r="BE2" i="65" s="1"/>
  <c r="AV2" i="65" a="1"/>
  <c r="AV2" i="65" s="1"/>
  <c r="AU2" i="65" a="1"/>
  <c r="AU2" i="65" s="1"/>
  <c r="AP2" i="65" a="1"/>
  <c r="AP2" i="65" s="1"/>
  <c r="AO2" i="65" a="1"/>
  <c r="AO2" i="65" s="1"/>
  <c r="AL2" i="65" a="1"/>
  <c r="AL2" i="65" s="1"/>
  <c r="AK2" i="65" a="1"/>
  <c r="AK2" i="65" s="1"/>
  <c r="AI2" i="65" a="1"/>
  <c r="AI2" i="65" s="1"/>
  <c r="AH2" i="65" a="1"/>
  <c r="AH2" i="65" s="1"/>
  <c r="AG2" i="65" a="1"/>
  <c r="AG2" i="65" s="1"/>
  <c r="CJ1" i="65"/>
  <c r="CI1" i="65"/>
  <c r="CH1" i="65"/>
  <c r="CG1" i="65"/>
  <c r="CF1" i="65"/>
  <c r="CE1" i="65"/>
  <c r="CD1" i="65"/>
  <c r="CC1" i="65"/>
  <c r="CB1" i="65"/>
  <c r="CA1" i="65"/>
  <c r="BZ1" i="65"/>
  <c r="BY1" i="65"/>
  <c r="BX1" i="65"/>
  <c r="BW1" i="65"/>
  <c r="BR1" i="65"/>
  <c r="BQ1" i="65"/>
  <c r="BP1" i="65"/>
  <c r="BN1" i="65"/>
  <c r="AN1" i="65"/>
  <c r="BH1" i="65"/>
  <c r="BG1" i="65"/>
  <c r="BF1" i="65"/>
  <c r="AR1" i="65"/>
  <c r="AQ1" i="65"/>
  <c r="AX1" i="65"/>
  <c r="AW1" i="65"/>
  <c r="BE1" i="65"/>
  <c r="AV1" i="65"/>
  <c r="AU1" i="65"/>
  <c r="AP1" i="65"/>
  <c r="AO1" i="65"/>
  <c r="AL1" i="65"/>
  <c r="AK1" i="65"/>
  <c r="AI1" i="65"/>
  <c r="AH1" i="65"/>
  <c r="AG1" i="65"/>
  <c r="AF134" i="64" a="1"/>
  <c r="AF134" i="64" s="1"/>
  <c r="AE134" i="64" a="1"/>
  <c r="AE134" i="64" s="1"/>
  <c r="AD134" i="64" a="1"/>
  <c r="AD134" i="64" s="1"/>
  <c r="T134" i="64"/>
  <c r="R134" i="64"/>
  <c r="N134" i="64"/>
  <c r="M134" i="64"/>
  <c r="L134" i="64"/>
  <c r="F134" i="64"/>
  <c r="D134" i="64"/>
  <c r="AF133" i="64" a="1"/>
  <c r="AF133" i="64" s="1"/>
  <c r="AE133" i="64" a="1"/>
  <c r="AE133" i="64" s="1"/>
  <c r="AD133" i="64" a="1"/>
  <c r="AD133" i="64" s="1"/>
  <c r="T133" i="64"/>
  <c r="R133" i="64"/>
  <c r="N133" i="64"/>
  <c r="M133" i="64"/>
  <c r="L133" i="64"/>
  <c r="F133" i="64"/>
  <c r="D133" i="64"/>
  <c r="AF132" i="64" a="1"/>
  <c r="AF132" i="64" s="1"/>
  <c r="AE132" i="64" a="1"/>
  <c r="AE132" i="64" s="1"/>
  <c r="AD132" i="64" a="1"/>
  <c r="AD132" i="64" s="1"/>
  <c r="T132" i="64"/>
  <c r="R132" i="64"/>
  <c r="N132" i="64"/>
  <c r="M132" i="64"/>
  <c r="L132" i="64"/>
  <c r="F132" i="64"/>
  <c r="D132" i="64"/>
  <c r="AF131" i="64" a="1"/>
  <c r="AF131" i="64" s="1"/>
  <c r="AE131" i="64" a="1"/>
  <c r="AE131" i="64" s="1"/>
  <c r="AD131" i="64" a="1"/>
  <c r="AD131" i="64" s="1"/>
  <c r="T131" i="64"/>
  <c r="R131" i="64"/>
  <c r="N131" i="64"/>
  <c r="M131" i="64"/>
  <c r="L131" i="64"/>
  <c r="F131" i="64"/>
  <c r="D131" i="64"/>
  <c r="AF130" i="64" a="1"/>
  <c r="AF130" i="64" s="1"/>
  <c r="AE130" i="64" a="1"/>
  <c r="AE130" i="64" s="1"/>
  <c r="AD130" i="64" a="1"/>
  <c r="AD130" i="64" s="1"/>
  <c r="T130" i="64"/>
  <c r="R130" i="64"/>
  <c r="N130" i="64"/>
  <c r="M130" i="64"/>
  <c r="L130" i="64"/>
  <c r="F130" i="64"/>
  <c r="D130" i="64"/>
  <c r="AF129" i="64" a="1"/>
  <c r="AF129" i="64" s="1"/>
  <c r="AE129" i="64" a="1"/>
  <c r="AE129" i="64" s="1"/>
  <c r="AD129" i="64" a="1"/>
  <c r="AD129" i="64" s="1"/>
  <c r="T129" i="64"/>
  <c r="R129" i="64"/>
  <c r="N129" i="64"/>
  <c r="M129" i="64"/>
  <c r="L129" i="64"/>
  <c r="F129" i="64"/>
  <c r="D129" i="64"/>
  <c r="AF128" i="64" a="1"/>
  <c r="AF128" i="64" s="1"/>
  <c r="AE128" i="64" a="1"/>
  <c r="AE128" i="64" s="1"/>
  <c r="AD128" i="64" a="1"/>
  <c r="AD128" i="64" s="1"/>
  <c r="T128" i="64"/>
  <c r="R128" i="64"/>
  <c r="N128" i="64"/>
  <c r="M128" i="64"/>
  <c r="L128" i="64"/>
  <c r="F128" i="64"/>
  <c r="D128" i="64"/>
  <c r="AF127" i="64" a="1"/>
  <c r="AF127" i="64" s="1"/>
  <c r="AE127" i="64" a="1"/>
  <c r="AE127" i="64" s="1"/>
  <c r="AD127" i="64" a="1"/>
  <c r="AD127" i="64" s="1"/>
  <c r="T127" i="64"/>
  <c r="R127" i="64"/>
  <c r="N127" i="64"/>
  <c r="M127" i="64"/>
  <c r="L127" i="64"/>
  <c r="F127" i="64"/>
  <c r="D127" i="64"/>
  <c r="AF126" i="64" a="1"/>
  <c r="AF126" i="64" s="1"/>
  <c r="AE126" i="64" a="1"/>
  <c r="AE126" i="64" s="1"/>
  <c r="AD126" i="64" a="1"/>
  <c r="AD126" i="64" s="1"/>
  <c r="T126" i="64"/>
  <c r="R126" i="64"/>
  <c r="N126" i="64"/>
  <c r="M126" i="64"/>
  <c r="L126" i="64"/>
  <c r="F126" i="64"/>
  <c r="D126" i="64"/>
  <c r="AF125" i="64" a="1"/>
  <c r="AF125" i="64" s="1"/>
  <c r="AE125" i="64" a="1"/>
  <c r="AE125" i="64" s="1"/>
  <c r="AD125" i="64" a="1"/>
  <c r="AD125" i="64" s="1"/>
  <c r="T125" i="64"/>
  <c r="R125" i="64"/>
  <c r="N125" i="64"/>
  <c r="M125" i="64"/>
  <c r="L125" i="64"/>
  <c r="F125" i="64"/>
  <c r="D125" i="64"/>
  <c r="AF124" i="64" a="1"/>
  <c r="AF124" i="64" s="1"/>
  <c r="AE124" i="64" a="1"/>
  <c r="AE124" i="64" s="1"/>
  <c r="AD124" i="64" a="1"/>
  <c r="AD124" i="64" s="1"/>
  <c r="T124" i="64"/>
  <c r="R124" i="64"/>
  <c r="N124" i="64"/>
  <c r="M124" i="64"/>
  <c r="L124" i="64"/>
  <c r="F124" i="64"/>
  <c r="D124" i="64"/>
  <c r="AF123" i="64" a="1"/>
  <c r="AF123" i="64" s="1"/>
  <c r="AE123" i="64" a="1"/>
  <c r="AE123" i="64" s="1"/>
  <c r="AD123" i="64" a="1"/>
  <c r="AD123" i="64" s="1"/>
  <c r="T123" i="64"/>
  <c r="R123" i="64"/>
  <c r="N123" i="64"/>
  <c r="M123" i="64"/>
  <c r="L123" i="64"/>
  <c r="F123" i="64"/>
  <c r="D123" i="64"/>
  <c r="AF122" i="64" a="1"/>
  <c r="AF122" i="64" s="1"/>
  <c r="AE122" i="64" a="1"/>
  <c r="AE122" i="64" s="1"/>
  <c r="AD122" i="64" a="1"/>
  <c r="AD122" i="64" s="1"/>
  <c r="T122" i="64"/>
  <c r="R122" i="64"/>
  <c r="N122" i="64"/>
  <c r="M122" i="64"/>
  <c r="L122" i="64"/>
  <c r="F122" i="64"/>
  <c r="D122" i="64"/>
  <c r="AF121" i="64" a="1"/>
  <c r="AF121" i="64" s="1"/>
  <c r="AE121" i="64" a="1"/>
  <c r="AE121" i="64" s="1"/>
  <c r="AD121" i="64" a="1"/>
  <c r="AD121" i="64" s="1"/>
  <c r="T121" i="64"/>
  <c r="R121" i="64"/>
  <c r="N121" i="64"/>
  <c r="M121" i="64"/>
  <c r="L121" i="64"/>
  <c r="F121" i="64"/>
  <c r="D121" i="64"/>
  <c r="AF120" i="64" a="1"/>
  <c r="AF120" i="64" s="1"/>
  <c r="AE120" i="64" a="1"/>
  <c r="AE120" i="64" s="1"/>
  <c r="AD120" i="64" a="1"/>
  <c r="AD120" i="64" s="1"/>
  <c r="T120" i="64"/>
  <c r="R120" i="64"/>
  <c r="N120" i="64"/>
  <c r="M120" i="64"/>
  <c r="L120" i="64"/>
  <c r="F120" i="64"/>
  <c r="D120" i="64"/>
  <c r="AF119" i="64" a="1"/>
  <c r="AF119" i="64" s="1"/>
  <c r="AE119" i="64" a="1"/>
  <c r="AE119" i="64" s="1"/>
  <c r="AD119" i="64" a="1"/>
  <c r="AD119" i="64" s="1"/>
  <c r="T119" i="64"/>
  <c r="R119" i="64"/>
  <c r="N119" i="64"/>
  <c r="M119" i="64"/>
  <c r="L119" i="64"/>
  <c r="F119" i="64"/>
  <c r="D119" i="64"/>
  <c r="AF118" i="64" a="1"/>
  <c r="AF118" i="64" s="1"/>
  <c r="AE118" i="64" a="1"/>
  <c r="AE118" i="64" s="1"/>
  <c r="AD118" i="64" a="1"/>
  <c r="AD118" i="64" s="1"/>
  <c r="T118" i="64"/>
  <c r="R118" i="64"/>
  <c r="N118" i="64"/>
  <c r="M118" i="64"/>
  <c r="L118" i="64"/>
  <c r="F118" i="64"/>
  <c r="D118" i="64"/>
  <c r="AF117" i="64"/>
  <c r="AF117" i="64" a="1"/>
  <c r="AE117" i="64" a="1"/>
  <c r="AE117" i="64" s="1"/>
  <c r="AD117" i="64" a="1"/>
  <c r="AD117" i="64" s="1"/>
  <c r="T117" i="64"/>
  <c r="R117" i="64"/>
  <c r="N117" i="64"/>
  <c r="M117" i="64"/>
  <c r="L117" i="64"/>
  <c r="F117" i="64"/>
  <c r="D117" i="64"/>
  <c r="AF116" i="64" a="1"/>
  <c r="AF116" i="64" s="1"/>
  <c r="AE116" i="64" a="1"/>
  <c r="AE116" i="64" s="1"/>
  <c r="AD116" i="64" a="1"/>
  <c r="AD116" i="64" s="1"/>
  <c r="T116" i="64"/>
  <c r="R116" i="64"/>
  <c r="N116" i="64"/>
  <c r="M116" i="64"/>
  <c r="L116" i="64"/>
  <c r="F116" i="64"/>
  <c r="D116" i="64"/>
  <c r="AF115" i="64" a="1"/>
  <c r="AF115" i="64" s="1"/>
  <c r="AE115" i="64" a="1"/>
  <c r="AE115" i="64" s="1"/>
  <c r="AD115" i="64" a="1"/>
  <c r="AD115" i="64" s="1"/>
  <c r="T115" i="64"/>
  <c r="R115" i="64"/>
  <c r="N115" i="64"/>
  <c r="M115" i="64"/>
  <c r="L115" i="64"/>
  <c r="F115" i="64"/>
  <c r="D115" i="64"/>
  <c r="AF114" i="64" a="1"/>
  <c r="AF114" i="64" s="1"/>
  <c r="AE114" i="64" a="1"/>
  <c r="AE114" i="64" s="1"/>
  <c r="AD114" i="64" a="1"/>
  <c r="AD114" i="64" s="1"/>
  <c r="T114" i="64"/>
  <c r="R114" i="64"/>
  <c r="N114" i="64"/>
  <c r="M114" i="64"/>
  <c r="L114" i="64"/>
  <c r="F114" i="64"/>
  <c r="D114" i="64"/>
  <c r="AF113" i="64" a="1"/>
  <c r="AF113" i="64" s="1"/>
  <c r="AE113" i="64" a="1"/>
  <c r="AE113" i="64" s="1"/>
  <c r="AD113" i="64" a="1"/>
  <c r="AD113" i="64" s="1"/>
  <c r="T113" i="64"/>
  <c r="R113" i="64"/>
  <c r="N113" i="64"/>
  <c r="M113" i="64"/>
  <c r="L113" i="64"/>
  <c r="F113" i="64"/>
  <c r="D113" i="64"/>
  <c r="AF112" i="64" a="1"/>
  <c r="AF112" i="64" s="1"/>
  <c r="AE112" i="64" a="1"/>
  <c r="AE112" i="64" s="1"/>
  <c r="AD112" i="64" a="1"/>
  <c r="AD112" i="64" s="1"/>
  <c r="T112" i="64"/>
  <c r="R112" i="64"/>
  <c r="N112" i="64"/>
  <c r="M112" i="64"/>
  <c r="L112" i="64"/>
  <c r="F112" i="64"/>
  <c r="D112" i="64"/>
  <c r="AF111" i="64" a="1"/>
  <c r="AF111" i="64" s="1"/>
  <c r="AE111" i="64" a="1"/>
  <c r="AE111" i="64" s="1"/>
  <c r="AD111" i="64" a="1"/>
  <c r="AD111" i="64" s="1"/>
  <c r="T111" i="64"/>
  <c r="R111" i="64"/>
  <c r="N111" i="64"/>
  <c r="M111" i="64"/>
  <c r="L111" i="64"/>
  <c r="F111" i="64"/>
  <c r="D111" i="64"/>
  <c r="AF110" i="64" a="1"/>
  <c r="AF110" i="64" s="1"/>
  <c r="AE110" i="64" a="1"/>
  <c r="AE110" i="64" s="1"/>
  <c r="AD110" i="64" a="1"/>
  <c r="AD110" i="64" s="1"/>
  <c r="T110" i="64"/>
  <c r="R110" i="64"/>
  <c r="N110" i="64"/>
  <c r="M110" i="64"/>
  <c r="L110" i="64"/>
  <c r="F110" i="64"/>
  <c r="D110" i="64"/>
  <c r="AF109" i="64" a="1"/>
  <c r="AF109" i="64" s="1"/>
  <c r="AE109" i="64" a="1"/>
  <c r="AE109" i="64" s="1"/>
  <c r="AD109" i="64" a="1"/>
  <c r="AD109" i="64" s="1"/>
  <c r="T109" i="64"/>
  <c r="R109" i="64"/>
  <c r="N109" i="64"/>
  <c r="M109" i="64"/>
  <c r="L109" i="64"/>
  <c r="F109" i="64"/>
  <c r="D109" i="64"/>
  <c r="AF108" i="64" a="1"/>
  <c r="AF108" i="64" s="1"/>
  <c r="AE108" i="64" a="1"/>
  <c r="AE108" i="64" s="1"/>
  <c r="AD108" i="64" a="1"/>
  <c r="AD108" i="64" s="1"/>
  <c r="T108" i="64"/>
  <c r="R108" i="64"/>
  <c r="N108" i="64"/>
  <c r="M108" i="64"/>
  <c r="L108" i="64"/>
  <c r="F108" i="64"/>
  <c r="D108" i="64"/>
  <c r="AF107" i="64" a="1"/>
  <c r="AF107" i="64" s="1"/>
  <c r="AE107" i="64" a="1"/>
  <c r="AE107" i="64" s="1"/>
  <c r="AD107" i="64" a="1"/>
  <c r="AD107" i="64" s="1"/>
  <c r="T107" i="64"/>
  <c r="R107" i="64"/>
  <c r="N107" i="64"/>
  <c r="M107" i="64"/>
  <c r="L107" i="64"/>
  <c r="F107" i="64"/>
  <c r="D107" i="64"/>
  <c r="AF106" i="64" a="1"/>
  <c r="AF106" i="64" s="1"/>
  <c r="AE106" i="64" a="1"/>
  <c r="AE106" i="64" s="1"/>
  <c r="AD106" i="64" a="1"/>
  <c r="AD106" i="64" s="1"/>
  <c r="T106" i="64"/>
  <c r="R106" i="64"/>
  <c r="N106" i="64"/>
  <c r="M106" i="64"/>
  <c r="L106" i="64"/>
  <c r="F106" i="64"/>
  <c r="D106" i="64"/>
  <c r="AF105" i="64" a="1"/>
  <c r="AF105" i="64" s="1"/>
  <c r="AE105" i="64" a="1"/>
  <c r="AE105" i="64" s="1"/>
  <c r="AD105" i="64" a="1"/>
  <c r="AD105" i="64" s="1"/>
  <c r="T105" i="64"/>
  <c r="R105" i="64"/>
  <c r="N105" i="64"/>
  <c r="M105" i="64"/>
  <c r="L105" i="64"/>
  <c r="F105" i="64"/>
  <c r="D105" i="64"/>
  <c r="AF104" i="64" a="1"/>
  <c r="AF104" i="64" s="1"/>
  <c r="AE104" i="64" a="1"/>
  <c r="AE104" i="64" s="1"/>
  <c r="AD104" i="64" a="1"/>
  <c r="AD104" i="64" s="1"/>
  <c r="T104" i="64"/>
  <c r="R104" i="64"/>
  <c r="N104" i="64"/>
  <c r="M104" i="64"/>
  <c r="L104" i="64"/>
  <c r="F104" i="64"/>
  <c r="D104" i="64"/>
  <c r="AF103" i="64" a="1"/>
  <c r="AF103" i="64" s="1"/>
  <c r="AE103" i="64" a="1"/>
  <c r="AE103" i="64" s="1"/>
  <c r="AD103" i="64" a="1"/>
  <c r="AD103" i="64" s="1"/>
  <c r="T103" i="64"/>
  <c r="R103" i="64"/>
  <c r="N103" i="64"/>
  <c r="M103" i="64"/>
  <c r="L103" i="64"/>
  <c r="F103" i="64"/>
  <c r="D103" i="64"/>
  <c r="AF102" i="64" a="1"/>
  <c r="AF102" i="64" s="1"/>
  <c r="AE102" i="64" a="1"/>
  <c r="AE102" i="64" s="1"/>
  <c r="AD102" i="64" a="1"/>
  <c r="AD102" i="64" s="1"/>
  <c r="T102" i="64"/>
  <c r="R102" i="64"/>
  <c r="N102" i="64"/>
  <c r="M102" i="64"/>
  <c r="L102" i="64"/>
  <c r="F102" i="64"/>
  <c r="D102" i="64"/>
  <c r="AF101" i="64" a="1"/>
  <c r="AF101" i="64" s="1"/>
  <c r="AE101" i="64" a="1"/>
  <c r="AE101" i="64" s="1"/>
  <c r="AD101" i="64" a="1"/>
  <c r="AD101" i="64" s="1"/>
  <c r="T101" i="64"/>
  <c r="R101" i="64"/>
  <c r="N101" i="64"/>
  <c r="M101" i="64"/>
  <c r="L101" i="64"/>
  <c r="F101" i="64"/>
  <c r="D101" i="64"/>
  <c r="AF100" i="64" a="1"/>
  <c r="AF100" i="64" s="1"/>
  <c r="AE100" i="64" a="1"/>
  <c r="AE100" i="64" s="1"/>
  <c r="AD100" i="64" a="1"/>
  <c r="AD100" i="64" s="1"/>
  <c r="T100" i="64"/>
  <c r="R100" i="64"/>
  <c r="N100" i="64"/>
  <c r="M100" i="64"/>
  <c r="L100" i="64"/>
  <c r="F100" i="64"/>
  <c r="D100" i="64"/>
  <c r="AF99" i="64" a="1"/>
  <c r="AF99" i="64" s="1"/>
  <c r="AE99" i="64" a="1"/>
  <c r="AE99" i="64" s="1"/>
  <c r="AD99" i="64" a="1"/>
  <c r="AD99" i="64" s="1"/>
  <c r="T99" i="64"/>
  <c r="R99" i="64"/>
  <c r="N99" i="64"/>
  <c r="M99" i="64"/>
  <c r="L99" i="64"/>
  <c r="F99" i="64"/>
  <c r="D99" i="64"/>
  <c r="AF98" i="64" a="1"/>
  <c r="AF98" i="64" s="1"/>
  <c r="AE98" i="64" a="1"/>
  <c r="AE98" i="64" s="1"/>
  <c r="AD98" i="64" a="1"/>
  <c r="AD98" i="64" s="1"/>
  <c r="T98" i="64"/>
  <c r="R98" i="64"/>
  <c r="N98" i="64"/>
  <c r="M98" i="64"/>
  <c r="L98" i="64"/>
  <c r="F98" i="64"/>
  <c r="D98" i="64"/>
  <c r="AF97" i="64" a="1"/>
  <c r="AF97" i="64" s="1"/>
  <c r="AE97" i="64" a="1"/>
  <c r="AE97" i="64" s="1"/>
  <c r="AD97" i="64" a="1"/>
  <c r="AD97" i="64" s="1"/>
  <c r="T97" i="64"/>
  <c r="R97" i="64"/>
  <c r="N97" i="64"/>
  <c r="M97" i="64"/>
  <c r="L97" i="64"/>
  <c r="F97" i="64"/>
  <c r="D97" i="64"/>
  <c r="AF96" i="64" a="1"/>
  <c r="AF96" i="64" s="1"/>
  <c r="AE96" i="64" a="1"/>
  <c r="AE96" i="64" s="1"/>
  <c r="AD96" i="64" a="1"/>
  <c r="AD96" i="64" s="1"/>
  <c r="T96" i="64"/>
  <c r="R96" i="64"/>
  <c r="N96" i="64"/>
  <c r="M96" i="64"/>
  <c r="L96" i="64"/>
  <c r="F96" i="64"/>
  <c r="D96" i="64"/>
  <c r="AF95" i="64" a="1"/>
  <c r="AF95" i="64" s="1"/>
  <c r="AE95" i="64" a="1"/>
  <c r="AE95" i="64" s="1"/>
  <c r="AD95" i="64" a="1"/>
  <c r="AD95" i="64" s="1"/>
  <c r="T95" i="64"/>
  <c r="R95" i="64"/>
  <c r="N95" i="64"/>
  <c r="M95" i="64"/>
  <c r="L95" i="64"/>
  <c r="F95" i="64"/>
  <c r="D95" i="64"/>
  <c r="AF94" i="64" a="1"/>
  <c r="AF94" i="64" s="1"/>
  <c r="AE94" i="64" a="1"/>
  <c r="AE94" i="64" s="1"/>
  <c r="AD94" i="64" a="1"/>
  <c r="AD94" i="64" s="1"/>
  <c r="T94" i="64"/>
  <c r="R94" i="64"/>
  <c r="N94" i="64"/>
  <c r="M94" i="64"/>
  <c r="L94" i="64"/>
  <c r="F94" i="64"/>
  <c r="D94" i="64"/>
  <c r="AF93" i="64" a="1"/>
  <c r="AF93" i="64" s="1"/>
  <c r="AE93" i="64" a="1"/>
  <c r="AE93" i="64" s="1"/>
  <c r="AD93" i="64" a="1"/>
  <c r="AD93" i="64" s="1"/>
  <c r="T93" i="64"/>
  <c r="R93" i="64"/>
  <c r="N93" i="64"/>
  <c r="M93" i="64"/>
  <c r="L93" i="64"/>
  <c r="F93" i="64"/>
  <c r="D93" i="64"/>
  <c r="AF92" i="64" a="1"/>
  <c r="AF92" i="64" s="1"/>
  <c r="AE92" i="64" a="1"/>
  <c r="AE92" i="64" s="1"/>
  <c r="AD92" i="64" a="1"/>
  <c r="AD92" i="64" s="1"/>
  <c r="T92" i="64"/>
  <c r="R92" i="64"/>
  <c r="N92" i="64"/>
  <c r="M92" i="64"/>
  <c r="L92" i="64"/>
  <c r="F92" i="64"/>
  <c r="D92" i="64"/>
  <c r="AF91" i="64" a="1"/>
  <c r="AF91" i="64" s="1"/>
  <c r="AE91" i="64" a="1"/>
  <c r="AE91" i="64" s="1"/>
  <c r="AD91" i="64" a="1"/>
  <c r="AD91" i="64" s="1"/>
  <c r="T91" i="64"/>
  <c r="R91" i="64"/>
  <c r="N91" i="64"/>
  <c r="M91" i="64"/>
  <c r="L91" i="64"/>
  <c r="F91" i="64"/>
  <c r="D91" i="64"/>
  <c r="AF90" i="64" a="1"/>
  <c r="AF90" i="64" s="1"/>
  <c r="AE90" i="64" a="1"/>
  <c r="AE90" i="64" s="1"/>
  <c r="AD90" i="64" a="1"/>
  <c r="AD90" i="64" s="1"/>
  <c r="T90" i="64"/>
  <c r="R90" i="64"/>
  <c r="N90" i="64"/>
  <c r="M90" i="64"/>
  <c r="L90" i="64"/>
  <c r="F90" i="64"/>
  <c r="D90" i="64"/>
  <c r="AF89" i="64" a="1"/>
  <c r="AF89" i="64" s="1"/>
  <c r="AE89" i="64" a="1"/>
  <c r="AE89" i="64" s="1"/>
  <c r="AD89" i="64" a="1"/>
  <c r="AD89" i="64" s="1"/>
  <c r="T89" i="64"/>
  <c r="R89" i="64"/>
  <c r="N89" i="64"/>
  <c r="M89" i="64"/>
  <c r="L89" i="64"/>
  <c r="F89" i="64"/>
  <c r="D89" i="64"/>
  <c r="AF88" i="64" a="1"/>
  <c r="AF88" i="64" s="1"/>
  <c r="AE88" i="64" a="1"/>
  <c r="AE88" i="64" s="1"/>
  <c r="AD88" i="64" a="1"/>
  <c r="AD88" i="64" s="1"/>
  <c r="T88" i="64"/>
  <c r="R88" i="64"/>
  <c r="N88" i="64"/>
  <c r="M88" i="64"/>
  <c r="L88" i="64"/>
  <c r="F88" i="64"/>
  <c r="D88" i="64"/>
  <c r="AF87" i="64" a="1"/>
  <c r="AF87" i="64" s="1"/>
  <c r="AE87" i="64" a="1"/>
  <c r="AE87" i="64" s="1"/>
  <c r="AD87" i="64" a="1"/>
  <c r="AD87" i="64" s="1"/>
  <c r="T87" i="64"/>
  <c r="R87" i="64"/>
  <c r="N87" i="64"/>
  <c r="M87" i="64"/>
  <c r="L87" i="64"/>
  <c r="F87" i="64"/>
  <c r="D87" i="64"/>
  <c r="AF86" i="64" a="1"/>
  <c r="AF86" i="64" s="1"/>
  <c r="AE86" i="64" a="1"/>
  <c r="AE86" i="64" s="1"/>
  <c r="AD86" i="64" a="1"/>
  <c r="AD86" i="64" s="1"/>
  <c r="T86" i="64"/>
  <c r="R86" i="64"/>
  <c r="N86" i="64"/>
  <c r="M86" i="64"/>
  <c r="L86" i="64"/>
  <c r="F86" i="64"/>
  <c r="D86" i="64"/>
  <c r="AF85" i="64" a="1"/>
  <c r="AF85" i="64" s="1"/>
  <c r="AE85" i="64" a="1"/>
  <c r="AE85" i="64" s="1"/>
  <c r="AD85" i="64" a="1"/>
  <c r="AD85" i="64" s="1"/>
  <c r="T85" i="64"/>
  <c r="R85" i="64"/>
  <c r="N85" i="64"/>
  <c r="M85" i="64"/>
  <c r="L85" i="64"/>
  <c r="F85" i="64"/>
  <c r="D85" i="64"/>
  <c r="AF84" i="64" a="1"/>
  <c r="AF84" i="64" s="1"/>
  <c r="AE84" i="64" a="1"/>
  <c r="AE84" i="64" s="1"/>
  <c r="AD84" i="64" a="1"/>
  <c r="AD84" i="64" s="1"/>
  <c r="T84" i="64"/>
  <c r="R84" i="64"/>
  <c r="N84" i="64"/>
  <c r="M84" i="64"/>
  <c r="L84" i="64"/>
  <c r="F84" i="64"/>
  <c r="D84" i="64"/>
  <c r="AF83" i="64" a="1"/>
  <c r="AF83" i="64" s="1"/>
  <c r="AE83" i="64" a="1"/>
  <c r="AE83" i="64" s="1"/>
  <c r="AD83" i="64" a="1"/>
  <c r="AD83" i="64" s="1"/>
  <c r="T83" i="64"/>
  <c r="R83" i="64"/>
  <c r="N83" i="64"/>
  <c r="M83" i="64"/>
  <c r="L83" i="64"/>
  <c r="F83" i="64"/>
  <c r="D83" i="64"/>
  <c r="AF82" i="64" a="1"/>
  <c r="AF82" i="64" s="1"/>
  <c r="AE82" i="64" a="1"/>
  <c r="AE82" i="64" s="1"/>
  <c r="AD82" i="64" a="1"/>
  <c r="AD82" i="64" s="1"/>
  <c r="T82" i="64"/>
  <c r="R82" i="64"/>
  <c r="N82" i="64"/>
  <c r="M82" i="64"/>
  <c r="L82" i="64"/>
  <c r="F82" i="64"/>
  <c r="D82" i="64"/>
  <c r="AF81" i="64" a="1"/>
  <c r="AF81" i="64" s="1"/>
  <c r="AE81" i="64" a="1"/>
  <c r="AE81" i="64" s="1"/>
  <c r="AD81" i="64" a="1"/>
  <c r="AD81" i="64" s="1"/>
  <c r="T81" i="64"/>
  <c r="R81" i="64"/>
  <c r="N81" i="64"/>
  <c r="M81" i="64"/>
  <c r="L81" i="64"/>
  <c r="F81" i="64"/>
  <c r="D81" i="64"/>
  <c r="AF80" i="64" a="1"/>
  <c r="AF80" i="64" s="1"/>
  <c r="AE80" i="64" a="1"/>
  <c r="AE80" i="64" s="1"/>
  <c r="AD80" i="64" a="1"/>
  <c r="AD80" i="64" s="1"/>
  <c r="T80" i="64"/>
  <c r="R80" i="64"/>
  <c r="N80" i="64"/>
  <c r="M80" i="64"/>
  <c r="L80" i="64"/>
  <c r="F80" i="64"/>
  <c r="D80" i="64"/>
  <c r="AF79" i="64" a="1"/>
  <c r="AF79" i="64" s="1"/>
  <c r="AE79" i="64" a="1"/>
  <c r="AE79" i="64" s="1"/>
  <c r="AD79" i="64" a="1"/>
  <c r="AD79" i="64" s="1"/>
  <c r="T79" i="64"/>
  <c r="R79" i="64"/>
  <c r="N79" i="64"/>
  <c r="M79" i="64"/>
  <c r="L79" i="64"/>
  <c r="F79" i="64"/>
  <c r="D79" i="64"/>
  <c r="AF78" i="64" a="1"/>
  <c r="AF78" i="64" s="1"/>
  <c r="AE78" i="64" a="1"/>
  <c r="AE78" i="64" s="1"/>
  <c r="AD78" i="64" a="1"/>
  <c r="AD78" i="64" s="1"/>
  <c r="T78" i="64"/>
  <c r="R78" i="64"/>
  <c r="N78" i="64"/>
  <c r="M78" i="64"/>
  <c r="L78" i="64"/>
  <c r="F78" i="64"/>
  <c r="D78" i="64"/>
  <c r="AF77" i="64" a="1"/>
  <c r="AF77" i="64" s="1"/>
  <c r="AE77" i="64" a="1"/>
  <c r="AE77" i="64" s="1"/>
  <c r="AD77" i="64" a="1"/>
  <c r="AD77" i="64" s="1"/>
  <c r="T77" i="64"/>
  <c r="R77" i="64"/>
  <c r="N77" i="64"/>
  <c r="M77" i="64"/>
  <c r="L77" i="64"/>
  <c r="F77" i="64"/>
  <c r="D77" i="64"/>
  <c r="AF66" i="64" a="1"/>
  <c r="AF66" i="64" s="1"/>
  <c r="AE66" i="64" a="1"/>
  <c r="AE66" i="64" s="1"/>
  <c r="AD66" i="64" a="1"/>
  <c r="AD66" i="64" s="1"/>
  <c r="T66" i="64"/>
  <c r="M66" i="64"/>
  <c r="N66" i="64" s="1"/>
  <c r="L66" i="64"/>
  <c r="AF65" i="64" a="1"/>
  <c r="AF65" i="64" s="1"/>
  <c r="AE65" i="64" a="1"/>
  <c r="AE65" i="64" s="1"/>
  <c r="AD65" i="64" a="1"/>
  <c r="AD65" i="64" s="1"/>
  <c r="T65" i="64"/>
  <c r="M65" i="64"/>
  <c r="N65" i="64" s="1"/>
  <c r="L65" i="64"/>
  <c r="AF64" i="64" a="1"/>
  <c r="AF64" i="64" s="1"/>
  <c r="AE64" i="64" a="1"/>
  <c r="AE64" i="64" s="1"/>
  <c r="AD64" i="64" a="1"/>
  <c r="AD64" i="64" s="1"/>
  <c r="T64" i="64"/>
  <c r="M64" i="64"/>
  <c r="N64" i="64" s="1"/>
  <c r="L64" i="64"/>
  <c r="AF63" i="64" a="1"/>
  <c r="AF63" i="64" s="1"/>
  <c r="AE63" i="64" a="1"/>
  <c r="AE63" i="64" s="1"/>
  <c r="AD63" i="64" a="1"/>
  <c r="AD63" i="64" s="1"/>
  <c r="T63" i="64"/>
  <c r="M63" i="64"/>
  <c r="N63" i="64" s="1"/>
  <c r="L63" i="64"/>
  <c r="AF61" i="64" a="1"/>
  <c r="AF61" i="64" s="1"/>
  <c r="AE61" i="64" a="1"/>
  <c r="AE61" i="64" s="1"/>
  <c r="AD61" i="64" a="1"/>
  <c r="AD61" i="64" s="1"/>
  <c r="U61" i="64"/>
  <c r="V61" i="64" s="1"/>
  <c r="T61" i="64"/>
  <c r="O61" i="64"/>
  <c r="P61" i="64" s="1"/>
  <c r="M61" i="64"/>
  <c r="N61" i="64" s="1"/>
  <c r="L61" i="64"/>
  <c r="AF60" i="64" a="1"/>
  <c r="AF60" i="64" s="1"/>
  <c r="AE60" i="64" a="1"/>
  <c r="AE60" i="64" s="1"/>
  <c r="AD60" i="64" a="1"/>
  <c r="AD60" i="64" s="1"/>
  <c r="U60" i="64"/>
  <c r="V60" i="64" s="1"/>
  <c r="T60" i="64"/>
  <c r="O60" i="64"/>
  <c r="P60" i="64" s="1"/>
  <c r="M60" i="64"/>
  <c r="N60" i="64" s="1"/>
  <c r="L60" i="64"/>
  <c r="AF57" i="64" a="1"/>
  <c r="AF57" i="64" s="1"/>
  <c r="AE57" i="64" a="1"/>
  <c r="AE57" i="64" s="1"/>
  <c r="AD57" i="64" a="1"/>
  <c r="AD57" i="64" s="1"/>
  <c r="V57" i="64"/>
  <c r="U57" i="64"/>
  <c r="T57" i="64"/>
  <c r="O57" i="64"/>
  <c r="P57" i="64" s="1"/>
  <c r="M57" i="64"/>
  <c r="N57" i="64" s="1"/>
  <c r="L57" i="64"/>
  <c r="AF56" i="64" a="1"/>
  <c r="AF56" i="64" s="1"/>
  <c r="AE56" i="64" a="1"/>
  <c r="AE56" i="64" s="1"/>
  <c r="AD56" i="64" a="1"/>
  <c r="AD56" i="64" s="1"/>
  <c r="U56" i="64"/>
  <c r="V56" i="64" s="1"/>
  <c r="T56" i="64"/>
  <c r="O56" i="64"/>
  <c r="P56" i="64" s="1"/>
  <c r="M56" i="64"/>
  <c r="N56" i="64" s="1"/>
  <c r="L56" i="64"/>
  <c r="AF55" i="64" a="1"/>
  <c r="AF55" i="64" s="1"/>
  <c r="AE55" i="64" a="1"/>
  <c r="AE55" i="64" s="1"/>
  <c r="AD55" i="64" a="1"/>
  <c r="AD55" i="64" s="1"/>
  <c r="U55" i="64"/>
  <c r="V55" i="64" s="1"/>
  <c r="T55" i="64"/>
  <c r="O55" i="64"/>
  <c r="P55" i="64" s="1"/>
  <c r="M55" i="64"/>
  <c r="N55" i="64" s="1"/>
  <c r="L55" i="64"/>
  <c r="AF54" i="64" a="1"/>
  <c r="AF54" i="64" s="1"/>
  <c r="AE54" i="64" a="1"/>
  <c r="AE54" i="64" s="1"/>
  <c r="AD54" i="64" a="1"/>
  <c r="AD54" i="64" s="1"/>
  <c r="U54" i="64"/>
  <c r="V54" i="64" s="1"/>
  <c r="T54" i="64"/>
  <c r="O54" i="64"/>
  <c r="P54" i="64" s="1"/>
  <c r="M54" i="64"/>
  <c r="N54" i="64" s="1"/>
  <c r="L54" i="64"/>
  <c r="AF53" i="64" a="1"/>
  <c r="AF53" i="64" s="1"/>
  <c r="AE53" i="64" a="1"/>
  <c r="AE53" i="64" s="1"/>
  <c r="AD53" i="64" a="1"/>
  <c r="AD53" i="64" s="1"/>
  <c r="U53" i="64"/>
  <c r="V53" i="64" s="1"/>
  <c r="T53" i="64"/>
  <c r="O53" i="64"/>
  <c r="P53" i="64" s="1"/>
  <c r="M53" i="64"/>
  <c r="N53" i="64" s="1"/>
  <c r="L53" i="64"/>
  <c r="AF52" i="64" a="1"/>
  <c r="AF52" i="64" s="1"/>
  <c r="AE52" i="64" a="1"/>
  <c r="AE52" i="64" s="1"/>
  <c r="AD52" i="64" a="1"/>
  <c r="AD52" i="64" s="1"/>
  <c r="V52" i="64"/>
  <c r="U52" i="64"/>
  <c r="T52" i="64"/>
  <c r="O52" i="64"/>
  <c r="P52" i="64" s="1"/>
  <c r="M52" i="64"/>
  <c r="N52" i="64" s="1"/>
  <c r="L52" i="64"/>
  <c r="AF51" i="64" a="1"/>
  <c r="AF51" i="64" s="1"/>
  <c r="AE51" i="64" a="1"/>
  <c r="AE51" i="64" s="1"/>
  <c r="AD51" i="64" a="1"/>
  <c r="AD51" i="64" s="1"/>
  <c r="U51" i="64"/>
  <c r="V51" i="64" s="1"/>
  <c r="T51" i="64"/>
  <c r="O51" i="64"/>
  <c r="P51" i="64" s="1"/>
  <c r="M51" i="64"/>
  <c r="N51" i="64" s="1"/>
  <c r="L51" i="64"/>
  <c r="AF50" i="64" a="1"/>
  <c r="AF50" i="64" s="1"/>
  <c r="AE50" i="64" a="1"/>
  <c r="AE50" i="64" s="1"/>
  <c r="AD50" i="64" a="1"/>
  <c r="AD50" i="64" s="1"/>
  <c r="U50" i="64"/>
  <c r="V50" i="64" s="1"/>
  <c r="T50" i="64"/>
  <c r="O50" i="64"/>
  <c r="P50" i="64" s="1"/>
  <c r="M50" i="64"/>
  <c r="N50" i="64" s="1"/>
  <c r="L50" i="64"/>
  <c r="AF49" i="64" a="1"/>
  <c r="AF49" i="64" s="1"/>
  <c r="AE49" i="64" a="1"/>
  <c r="AE49" i="64" s="1"/>
  <c r="AD49" i="64" a="1"/>
  <c r="AD49" i="64" s="1"/>
  <c r="U49" i="64"/>
  <c r="V49" i="64" s="1"/>
  <c r="T49" i="64"/>
  <c r="O49" i="64"/>
  <c r="P49" i="64" s="1"/>
  <c r="M49" i="64"/>
  <c r="N49" i="64" s="1"/>
  <c r="L49" i="64"/>
  <c r="AF48" i="64" a="1"/>
  <c r="AF48" i="64" s="1"/>
  <c r="AE48" i="64" a="1"/>
  <c r="AE48" i="64" s="1"/>
  <c r="AD48" i="64" a="1"/>
  <c r="AD48" i="64" s="1"/>
  <c r="U48" i="64"/>
  <c r="V48" i="64" s="1"/>
  <c r="T48" i="64"/>
  <c r="O48" i="64"/>
  <c r="P48" i="64" s="1"/>
  <c r="M48" i="64"/>
  <c r="N48" i="64" s="1"/>
  <c r="L48" i="64"/>
  <c r="AF47" i="64" a="1"/>
  <c r="AF47" i="64" s="1"/>
  <c r="AE47" i="64" a="1"/>
  <c r="AE47" i="64" s="1"/>
  <c r="AD47" i="64" a="1"/>
  <c r="AD47" i="64" s="1"/>
  <c r="U47" i="64"/>
  <c r="V47" i="64" s="1"/>
  <c r="T47" i="64"/>
  <c r="O47" i="64"/>
  <c r="P47" i="64" s="1"/>
  <c r="M47" i="64"/>
  <c r="N47" i="64" s="1"/>
  <c r="L47" i="64"/>
  <c r="AF45" i="64" a="1"/>
  <c r="AF45" i="64" s="1"/>
  <c r="AE45" i="64" a="1"/>
  <c r="AE45" i="64" s="1"/>
  <c r="AD45" i="64" a="1"/>
  <c r="AD45" i="64" s="1"/>
  <c r="U45" i="64"/>
  <c r="V45" i="64" s="1"/>
  <c r="T45" i="64"/>
  <c r="O45" i="64"/>
  <c r="P45" i="64" s="1"/>
  <c r="M45" i="64"/>
  <c r="N45" i="64" s="1"/>
  <c r="L45" i="64"/>
  <c r="AF44" i="64" a="1"/>
  <c r="AF44" i="64" s="1"/>
  <c r="AE44" i="64" a="1"/>
  <c r="AE44" i="64" s="1"/>
  <c r="AD44" i="64" a="1"/>
  <c r="AD44" i="64" s="1"/>
  <c r="U44" i="64"/>
  <c r="V44" i="64" s="1"/>
  <c r="T44" i="64"/>
  <c r="O44" i="64"/>
  <c r="P44" i="64" s="1"/>
  <c r="M44" i="64"/>
  <c r="N44" i="64" s="1"/>
  <c r="L44" i="64"/>
  <c r="AF43" i="64" a="1"/>
  <c r="AF43" i="64" s="1"/>
  <c r="AE43" i="64" a="1"/>
  <c r="AE43" i="64" s="1"/>
  <c r="AD43" i="64" a="1"/>
  <c r="AD43" i="64" s="1"/>
  <c r="U43" i="64"/>
  <c r="V43" i="64" s="1"/>
  <c r="T43" i="64"/>
  <c r="O43" i="64"/>
  <c r="P43" i="64" s="1"/>
  <c r="M43" i="64"/>
  <c r="N43" i="64" s="1"/>
  <c r="L43" i="64"/>
  <c r="AF41" i="64" a="1"/>
  <c r="AF41" i="64" s="1"/>
  <c r="AE41" i="64" a="1"/>
  <c r="AE41" i="64" s="1"/>
  <c r="AD41" i="64" a="1"/>
  <c r="AD41" i="64" s="1"/>
  <c r="U41" i="64"/>
  <c r="V41" i="64" s="1"/>
  <c r="T41" i="64"/>
  <c r="O41" i="64"/>
  <c r="P41" i="64" s="1"/>
  <c r="M41" i="64"/>
  <c r="N41" i="64" s="1"/>
  <c r="L41" i="64"/>
  <c r="AF40" i="64" a="1"/>
  <c r="AF40" i="64" s="1"/>
  <c r="AE40" i="64" a="1"/>
  <c r="AE40" i="64" s="1"/>
  <c r="AD40" i="64" a="1"/>
  <c r="AD40" i="64" s="1"/>
  <c r="U40" i="64"/>
  <c r="V40" i="64" s="1"/>
  <c r="T40" i="64"/>
  <c r="O40" i="64"/>
  <c r="P40" i="64" s="1"/>
  <c r="M40" i="64"/>
  <c r="N40" i="64" s="1"/>
  <c r="L40" i="64"/>
  <c r="AF39" i="64" a="1"/>
  <c r="AF39" i="64" s="1"/>
  <c r="AE39" i="64" a="1"/>
  <c r="AE39" i="64" s="1"/>
  <c r="AD39" i="64" a="1"/>
  <c r="AD39" i="64" s="1"/>
  <c r="U39" i="64"/>
  <c r="V39" i="64" s="1"/>
  <c r="T39" i="64"/>
  <c r="O39" i="64"/>
  <c r="P39" i="64" s="1"/>
  <c r="M39" i="64"/>
  <c r="N39" i="64" s="1"/>
  <c r="L39" i="64"/>
  <c r="AF38" i="64" a="1"/>
  <c r="AF38" i="64" s="1"/>
  <c r="AE38" i="64" a="1"/>
  <c r="AE38" i="64" s="1"/>
  <c r="AD38" i="64" a="1"/>
  <c r="AD38" i="64" s="1"/>
  <c r="U38" i="64"/>
  <c r="V38" i="64" s="1"/>
  <c r="T38" i="64"/>
  <c r="O38" i="64"/>
  <c r="P38" i="64" s="1"/>
  <c r="M38" i="64"/>
  <c r="N38" i="64" s="1"/>
  <c r="L38" i="64"/>
  <c r="AF37" i="64" a="1"/>
  <c r="AF37" i="64" s="1"/>
  <c r="AE37" i="64" a="1"/>
  <c r="AE37" i="64" s="1"/>
  <c r="AD37" i="64" a="1"/>
  <c r="AD37" i="64" s="1"/>
  <c r="U37" i="64"/>
  <c r="V37" i="64" s="1"/>
  <c r="T37" i="64"/>
  <c r="O37" i="64"/>
  <c r="P37" i="64" s="1"/>
  <c r="M37" i="64"/>
  <c r="N37" i="64" s="1"/>
  <c r="L37" i="64"/>
  <c r="AF36" i="64" a="1"/>
  <c r="AF36" i="64" s="1"/>
  <c r="AE36" i="64" a="1"/>
  <c r="AE36" i="64" s="1"/>
  <c r="AD36" i="64" a="1"/>
  <c r="AD36" i="64" s="1"/>
  <c r="U36" i="64"/>
  <c r="V36" i="64" s="1"/>
  <c r="T36" i="64"/>
  <c r="O36" i="64"/>
  <c r="P36" i="64" s="1"/>
  <c r="M36" i="64"/>
  <c r="N36" i="64" s="1"/>
  <c r="L36" i="64"/>
  <c r="AF35" i="64" a="1"/>
  <c r="AF35" i="64" s="1"/>
  <c r="AE35" i="64" a="1"/>
  <c r="AE35" i="64" s="1"/>
  <c r="AD35" i="64" a="1"/>
  <c r="AD35" i="64" s="1"/>
  <c r="U35" i="64"/>
  <c r="V35" i="64" s="1"/>
  <c r="T35" i="64"/>
  <c r="O35" i="64"/>
  <c r="P35" i="64" s="1"/>
  <c r="M35" i="64"/>
  <c r="N35" i="64" s="1"/>
  <c r="L35" i="64"/>
  <c r="AF34" i="64" a="1"/>
  <c r="AF34" i="64" s="1"/>
  <c r="AE34" i="64" a="1"/>
  <c r="AE34" i="64" s="1"/>
  <c r="AD34" i="64" a="1"/>
  <c r="AD34" i="64" s="1"/>
  <c r="U34" i="64"/>
  <c r="V34" i="64" s="1"/>
  <c r="T34" i="64"/>
  <c r="O34" i="64"/>
  <c r="P34" i="64" s="1"/>
  <c r="M34" i="64"/>
  <c r="N34" i="64" s="1"/>
  <c r="L34" i="64"/>
  <c r="AF33" i="64" a="1"/>
  <c r="AF33" i="64" s="1"/>
  <c r="AE33" i="64" a="1"/>
  <c r="AE33" i="64" s="1"/>
  <c r="AD33" i="64" a="1"/>
  <c r="AD33" i="64" s="1"/>
  <c r="U33" i="64"/>
  <c r="V33" i="64" s="1"/>
  <c r="T33" i="64"/>
  <c r="O33" i="64"/>
  <c r="P33" i="64" s="1"/>
  <c r="M33" i="64"/>
  <c r="N33" i="64" s="1"/>
  <c r="L33" i="64"/>
  <c r="AF32" i="64" a="1"/>
  <c r="AF32" i="64" s="1"/>
  <c r="AE32" i="64" a="1"/>
  <c r="AE32" i="64" s="1"/>
  <c r="AD32" i="64" a="1"/>
  <c r="AD32" i="64" s="1"/>
  <c r="U32" i="64"/>
  <c r="V32" i="64" s="1"/>
  <c r="T32" i="64"/>
  <c r="O32" i="64"/>
  <c r="P32" i="64" s="1"/>
  <c r="M32" i="64"/>
  <c r="N32" i="64" s="1"/>
  <c r="L32" i="64"/>
  <c r="AF31" i="64" a="1"/>
  <c r="AF31" i="64" s="1"/>
  <c r="AE31" i="64" a="1"/>
  <c r="AE31" i="64" s="1"/>
  <c r="AD31" i="64" a="1"/>
  <c r="AD31" i="64" s="1"/>
  <c r="U31" i="64"/>
  <c r="V31" i="64" s="1"/>
  <c r="T31" i="64"/>
  <c r="O31" i="64"/>
  <c r="P31" i="64" s="1"/>
  <c r="M31" i="64"/>
  <c r="N31" i="64" s="1"/>
  <c r="L31" i="64"/>
  <c r="AF30" i="64" a="1"/>
  <c r="AF30" i="64" s="1"/>
  <c r="AE30" i="64" a="1"/>
  <c r="AE30" i="64" s="1"/>
  <c r="AD30" i="64" a="1"/>
  <c r="AD30" i="64" s="1"/>
  <c r="U30" i="64"/>
  <c r="V30" i="64" s="1"/>
  <c r="T30" i="64"/>
  <c r="O30" i="64"/>
  <c r="P30" i="64" s="1"/>
  <c r="M30" i="64"/>
  <c r="N30" i="64" s="1"/>
  <c r="L30" i="64"/>
  <c r="AF29" i="64" a="1"/>
  <c r="AF29" i="64" s="1"/>
  <c r="AE29" i="64" a="1"/>
  <c r="AE29" i="64" s="1"/>
  <c r="AD29" i="64" a="1"/>
  <c r="AD29" i="64" s="1"/>
  <c r="U29" i="64"/>
  <c r="V29" i="64" s="1"/>
  <c r="T29" i="64"/>
  <c r="O29" i="64"/>
  <c r="P29" i="64" s="1"/>
  <c r="M29" i="64"/>
  <c r="N29" i="64" s="1"/>
  <c r="L29" i="64"/>
  <c r="AF28" i="64" a="1"/>
  <c r="AF28" i="64" s="1"/>
  <c r="AE28" i="64" a="1"/>
  <c r="AE28" i="64" s="1"/>
  <c r="AD28" i="64" a="1"/>
  <c r="AD28" i="64" s="1"/>
  <c r="U28" i="64"/>
  <c r="V28" i="64" s="1"/>
  <c r="T28" i="64"/>
  <c r="O28" i="64"/>
  <c r="P28" i="64" s="1"/>
  <c r="M28" i="64"/>
  <c r="N28" i="64" s="1"/>
  <c r="L28" i="64"/>
  <c r="G20" i="64"/>
  <c r="S19" i="64"/>
  <c r="R19" i="64"/>
  <c r="S18" i="64"/>
  <c r="R18" i="64"/>
  <c r="BN17" i="64" a="1"/>
  <c r="BN17" i="64" s="1"/>
  <c r="AP17" i="64" a="1"/>
  <c r="AP17" i="64" s="1"/>
  <c r="AO17" i="64" a="1"/>
  <c r="AO17" i="64" s="1"/>
  <c r="AN17" i="64" a="1"/>
  <c r="AN17" i="64" s="1"/>
  <c r="AM17" i="64" a="1"/>
  <c r="AM17" i="64" s="1"/>
  <c r="AL17" i="64" a="1"/>
  <c r="AL17" i="64" s="1"/>
  <c r="AK17" i="64" a="1"/>
  <c r="AK17" i="64" s="1"/>
  <c r="AI17" i="64" a="1"/>
  <c r="AI17" i="64" s="1"/>
  <c r="AH17" i="64" a="1"/>
  <c r="AH17" i="64" s="1"/>
  <c r="AG17" i="64" a="1"/>
  <c r="AG17" i="64" s="1"/>
  <c r="J17" i="64"/>
  <c r="I17" i="64"/>
  <c r="BN16" i="64" a="1"/>
  <c r="BN16" i="64" s="1"/>
  <c r="AP16" i="64" a="1"/>
  <c r="AP16" i="64" s="1"/>
  <c r="AO16" i="64" a="1"/>
  <c r="AO16" i="64" s="1"/>
  <c r="AN16" i="64" a="1"/>
  <c r="AN16" i="64" s="1"/>
  <c r="AM16" i="64" a="1"/>
  <c r="AM16" i="64" s="1"/>
  <c r="AL16" i="64" a="1"/>
  <c r="AL16" i="64" s="1"/>
  <c r="AK16" i="64" a="1"/>
  <c r="AK16" i="64" s="1"/>
  <c r="AI16" i="64" a="1"/>
  <c r="AI16" i="64" s="1"/>
  <c r="AH16" i="64" a="1"/>
  <c r="AH16" i="64" s="1"/>
  <c r="AG16" i="64" a="1"/>
  <c r="AG16" i="64" s="1"/>
  <c r="S16" i="64"/>
  <c r="R16" i="64"/>
  <c r="J16" i="64"/>
  <c r="I16" i="64"/>
  <c r="BN15" i="64" a="1"/>
  <c r="BN15" i="64" s="1"/>
  <c r="AP15" i="64" a="1"/>
  <c r="AP15" i="64" s="1"/>
  <c r="AO15" i="64" a="1"/>
  <c r="AO15" i="64" s="1"/>
  <c r="AN15" i="64" a="1"/>
  <c r="AN15" i="64" s="1"/>
  <c r="AM15" i="64" a="1"/>
  <c r="AM15" i="64" s="1"/>
  <c r="AL15" i="64" a="1"/>
  <c r="AL15" i="64" s="1"/>
  <c r="AK15" i="64" a="1"/>
  <c r="AK15" i="64" s="1"/>
  <c r="AI15" i="64" a="1"/>
  <c r="AI15" i="64" s="1"/>
  <c r="AH15" i="64" a="1"/>
  <c r="AH15" i="64" s="1"/>
  <c r="AG15" i="64" a="1"/>
  <c r="AG15" i="64" s="1"/>
  <c r="S15" i="64"/>
  <c r="R15" i="64"/>
  <c r="CK12" i="64" a="1"/>
  <c r="CK12" i="64" s="1"/>
  <c r="CJ12" i="64" a="1"/>
  <c r="CJ12" i="64" s="1"/>
  <c r="CI12" i="64" a="1"/>
  <c r="CI12" i="64" s="1"/>
  <c r="CH12" i="64" a="1"/>
  <c r="CH12" i="64" s="1"/>
  <c r="CG12" i="64" a="1"/>
  <c r="CG12" i="64" s="1"/>
  <c r="CF12" i="64" a="1"/>
  <c r="CF12" i="64" s="1"/>
  <c r="CE12" i="64" a="1"/>
  <c r="CE12" i="64" s="1"/>
  <c r="CD12" i="64" a="1"/>
  <c r="CD12" i="64" s="1"/>
  <c r="CC12" i="64" a="1"/>
  <c r="CC12" i="64" s="1"/>
  <c r="CB12" i="64" a="1"/>
  <c r="CB12" i="64" s="1"/>
  <c r="CA12" i="64" a="1"/>
  <c r="CA12" i="64" s="1"/>
  <c r="BZ12" i="64" a="1"/>
  <c r="BZ12" i="64" s="1"/>
  <c r="BY12" i="64" a="1"/>
  <c r="BY12" i="64" s="1"/>
  <c r="BX12" i="64" a="1"/>
  <c r="BX12" i="64" s="1"/>
  <c r="BS12" i="64" a="1"/>
  <c r="BS12" i="64" s="1"/>
  <c r="BR12" i="64" a="1"/>
  <c r="BR12" i="64" s="1"/>
  <c r="BQ12" i="64" a="1"/>
  <c r="BQ12" i="64" s="1"/>
  <c r="BL12" i="64" a="1"/>
  <c r="BL12" i="64" s="1"/>
  <c r="BD12" i="64" a="1"/>
  <c r="BD12" i="64" s="1"/>
  <c r="BA12" i="64" a="1"/>
  <c r="BA12" i="64" s="1"/>
  <c r="AZ12" i="64" a="1"/>
  <c r="AZ12" i="64" s="1"/>
  <c r="BB12" i="64" a="1"/>
  <c r="BB12" i="64" s="1"/>
  <c r="BC12" i="64" a="1"/>
  <c r="BC12" i="64" s="1"/>
  <c r="AW12" i="64" a="1"/>
  <c r="AW12" i="64" s="1"/>
  <c r="BO12" i="64" a="1"/>
  <c r="BO12" i="64" s="1"/>
  <c r="AT12" i="64" a="1"/>
  <c r="AT12" i="64" s="1"/>
  <c r="AS12" i="64" a="1"/>
  <c r="AS12" i="64" s="1"/>
  <c r="AR12" i="64" a="1"/>
  <c r="AR12" i="64" s="1"/>
  <c r="AQ12" i="64" a="1"/>
  <c r="AQ12" i="64" s="1"/>
  <c r="AP12" i="64" a="1"/>
  <c r="AP12" i="64" s="1"/>
  <c r="AO12" i="64" a="1"/>
  <c r="AO12" i="64" s="1"/>
  <c r="AM12" i="64" a="1"/>
  <c r="AM12" i="64" s="1"/>
  <c r="AL12" i="64" a="1"/>
  <c r="AL12" i="64" s="1"/>
  <c r="AI12" i="64" a="1"/>
  <c r="AI12" i="64" s="1"/>
  <c r="AH12" i="64" a="1"/>
  <c r="AH12" i="64" s="1"/>
  <c r="AG12" i="64" a="1"/>
  <c r="AG12" i="64" s="1"/>
  <c r="AF12" i="64" a="1"/>
  <c r="AF12" i="64" s="1"/>
  <c r="CK10" i="64" a="1"/>
  <c r="CK10" i="64" s="1"/>
  <c r="CJ10" i="64" a="1"/>
  <c r="CJ10" i="64" s="1"/>
  <c r="CI10" i="64" a="1"/>
  <c r="CI10" i="64" s="1"/>
  <c r="CH10" i="64" a="1"/>
  <c r="CH10" i="64" s="1"/>
  <c r="CG10" i="64" a="1"/>
  <c r="CG10" i="64" s="1"/>
  <c r="CF10" i="64" a="1"/>
  <c r="CF10" i="64" s="1"/>
  <c r="CE10" i="64" a="1"/>
  <c r="CE10" i="64" s="1"/>
  <c r="CD10" i="64" a="1"/>
  <c r="CD10" i="64" s="1"/>
  <c r="CC10" i="64" a="1"/>
  <c r="CC10" i="64" s="1"/>
  <c r="CB10" i="64" a="1"/>
  <c r="CB10" i="64" s="1"/>
  <c r="CA10" i="64" a="1"/>
  <c r="CA10" i="64" s="1"/>
  <c r="BZ10" i="64" a="1"/>
  <c r="BZ10" i="64" s="1"/>
  <c r="BY10" i="64" a="1"/>
  <c r="BY10" i="64" s="1"/>
  <c r="BX10" i="64" a="1"/>
  <c r="BX10" i="64" s="1"/>
  <c r="BS10" i="64" a="1"/>
  <c r="BS10" i="64" s="1"/>
  <c r="BR10" i="64" a="1"/>
  <c r="BR10" i="64" s="1"/>
  <c r="BQ10" i="64" a="1"/>
  <c r="BQ10" i="64" s="1"/>
  <c r="BL10" i="64" a="1"/>
  <c r="BL10" i="64" s="1"/>
  <c r="BD10" i="64" a="1"/>
  <c r="BD10" i="64" s="1"/>
  <c r="BA10" i="64" a="1"/>
  <c r="BA10" i="64" s="1"/>
  <c r="AZ10" i="64" a="1"/>
  <c r="AZ10" i="64" s="1"/>
  <c r="BB10" i="64" a="1"/>
  <c r="BB10" i="64" s="1"/>
  <c r="BC10" i="64" a="1"/>
  <c r="BC10" i="64" s="1"/>
  <c r="AW10" i="64" a="1"/>
  <c r="AW10" i="64" s="1"/>
  <c r="BO10" i="64" a="1"/>
  <c r="BO10" i="64" s="1"/>
  <c r="AT10" i="64" a="1"/>
  <c r="AT10" i="64" s="1"/>
  <c r="AS10" i="64" a="1"/>
  <c r="AS10" i="64" s="1"/>
  <c r="AR10" i="64" a="1"/>
  <c r="AR10" i="64" s="1"/>
  <c r="AQ10" i="64" a="1"/>
  <c r="AQ10" i="64" s="1"/>
  <c r="AP10" i="64" a="1"/>
  <c r="AP10" i="64" s="1"/>
  <c r="AO10" i="64" a="1"/>
  <c r="AO10" i="64" s="1"/>
  <c r="AM10" i="64" a="1"/>
  <c r="AM10" i="64" s="1"/>
  <c r="AL10" i="64" a="1"/>
  <c r="AL10" i="64" s="1"/>
  <c r="AI10" i="64" a="1"/>
  <c r="AI10" i="64" s="1"/>
  <c r="AH10" i="64" a="1"/>
  <c r="AH10" i="64" s="1"/>
  <c r="AG10" i="64" a="1"/>
  <c r="AG10" i="64" s="1"/>
  <c r="AF10" i="64" a="1"/>
  <c r="AF10" i="64" s="1"/>
  <c r="CK2" i="64" a="1"/>
  <c r="CK2" i="64" s="1"/>
  <c r="CJ2" i="64" a="1"/>
  <c r="CJ2" i="64" s="1"/>
  <c r="CI2" i="64" a="1"/>
  <c r="CI2" i="64" s="1"/>
  <c r="CH2" i="64" a="1"/>
  <c r="CH2" i="64" s="1"/>
  <c r="CG2" i="64" a="1"/>
  <c r="CG2" i="64" s="1"/>
  <c r="CF2" i="64" a="1"/>
  <c r="CF2" i="64" s="1"/>
  <c r="CE2" i="64" a="1"/>
  <c r="CE2" i="64" s="1"/>
  <c r="CD2" i="64" a="1"/>
  <c r="CD2" i="64" s="1"/>
  <c r="CC2" i="64" a="1"/>
  <c r="CC2" i="64" s="1"/>
  <c r="CB2" i="64" a="1"/>
  <c r="CB2" i="64" s="1"/>
  <c r="CA2" i="64" a="1"/>
  <c r="CA2" i="64" s="1"/>
  <c r="BZ2" i="64" a="1"/>
  <c r="BZ2" i="64" s="1"/>
  <c r="BY2" i="64" a="1"/>
  <c r="BY2" i="64" s="1"/>
  <c r="BX2" i="64" a="1"/>
  <c r="BX2" i="64" s="1"/>
  <c r="BS2" i="64" a="1"/>
  <c r="BS2" i="64" s="1"/>
  <c r="BR2" i="64" a="1"/>
  <c r="BR2" i="64" s="1"/>
  <c r="BQ2" i="64" a="1"/>
  <c r="BQ2" i="64" s="1"/>
  <c r="BL2" i="64" a="1"/>
  <c r="BL2" i="64" s="1"/>
  <c r="BD2" i="64" a="1"/>
  <c r="BD2" i="64" s="1"/>
  <c r="BA2" i="64" a="1"/>
  <c r="BA2" i="64" s="1"/>
  <c r="AZ2" i="64" a="1"/>
  <c r="AZ2" i="64" s="1"/>
  <c r="BB2" i="64" a="1"/>
  <c r="BB2" i="64" s="1"/>
  <c r="BC2" i="64" a="1"/>
  <c r="BC2" i="64" s="1"/>
  <c r="AW2" i="64" a="1"/>
  <c r="AW2" i="64" s="1"/>
  <c r="BO2" i="64" a="1"/>
  <c r="BO2" i="64" s="1"/>
  <c r="AT2" i="64" a="1"/>
  <c r="AT2" i="64" s="1"/>
  <c r="AS2" i="64" a="1"/>
  <c r="AS2" i="64" s="1"/>
  <c r="AR2" i="64" a="1"/>
  <c r="AR2" i="64" s="1"/>
  <c r="AQ2" i="64" a="1"/>
  <c r="AQ2" i="64" s="1"/>
  <c r="AP2" i="64" a="1"/>
  <c r="AP2" i="64" s="1"/>
  <c r="AO2" i="64" a="1"/>
  <c r="AO2" i="64" s="1"/>
  <c r="AM2" i="64" a="1"/>
  <c r="AM2" i="64" s="1"/>
  <c r="AL2" i="64" a="1"/>
  <c r="AL2" i="64" s="1"/>
  <c r="AI2" i="64" a="1"/>
  <c r="AI2" i="64" s="1"/>
  <c r="AH2" i="64" a="1"/>
  <c r="AH2" i="64" s="1"/>
  <c r="AG2" i="64" a="1"/>
  <c r="AG2" i="64" s="1"/>
  <c r="CK1" i="64"/>
  <c r="CJ1" i="64"/>
  <c r="CI1" i="64"/>
  <c r="CH1" i="64"/>
  <c r="CG1" i="64"/>
  <c r="CF1" i="64"/>
  <c r="CE1" i="64"/>
  <c r="CD1" i="64"/>
  <c r="CC1" i="64"/>
  <c r="CB1" i="64"/>
  <c r="CA1" i="64"/>
  <c r="BZ1" i="64"/>
  <c r="BY1" i="64"/>
  <c r="BX1" i="64"/>
  <c r="BS1" i="64"/>
  <c r="BR1" i="64"/>
  <c r="BQ1" i="64"/>
  <c r="BL1" i="64"/>
  <c r="BD1" i="64"/>
  <c r="BA1" i="64"/>
  <c r="AZ1" i="64"/>
  <c r="BB1" i="64"/>
  <c r="BC1" i="64"/>
  <c r="AW1" i="64"/>
  <c r="BO1" i="64"/>
  <c r="AT1" i="64"/>
  <c r="AS1" i="64"/>
  <c r="AR1" i="64"/>
  <c r="AQ1" i="64"/>
  <c r="AP1" i="64"/>
  <c r="AO1" i="64"/>
  <c r="AM1" i="64"/>
  <c r="AL1" i="64"/>
  <c r="AI1" i="64"/>
  <c r="AH1" i="64"/>
  <c r="AG1" i="64"/>
  <c r="AF132" i="63" a="1"/>
  <c r="AF132" i="63" s="1"/>
  <c r="AE132" i="63" a="1"/>
  <c r="AE132" i="63" s="1"/>
  <c r="AD132" i="63" a="1"/>
  <c r="AD132" i="63" s="1"/>
  <c r="T132" i="63"/>
  <c r="R132" i="63"/>
  <c r="N132" i="63"/>
  <c r="M132" i="63"/>
  <c r="L132" i="63"/>
  <c r="F132" i="63"/>
  <c r="D132" i="63"/>
  <c r="AF131" i="63" a="1"/>
  <c r="AF131" i="63" s="1"/>
  <c r="AE131" i="63" a="1"/>
  <c r="AE131" i="63" s="1"/>
  <c r="AD131" i="63" a="1"/>
  <c r="AD131" i="63" s="1"/>
  <c r="T131" i="63"/>
  <c r="R131" i="63"/>
  <c r="N131" i="63"/>
  <c r="M131" i="63"/>
  <c r="L131" i="63"/>
  <c r="F131" i="63"/>
  <c r="D131" i="63"/>
  <c r="AF130" i="63" a="1"/>
  <c r="AF130" i="63" s="1"/>
  <c r="AE130" i="63" a="1"/>
  <c r="AE130" i="63" s="1"/>
  <c r="AD130" i="63" a="1"/>
  <c r="AD130" i="63" s="1"/>
  <c r="T130" i="63"/>
  <c r="R130" i="63"/>
  <c r="N130" i="63"/>
  <c r="M130" i="63"/>
  <c r="L130" i="63"/>
  <c r="F130" i="63"/>
  <c r="D130" i="63"/>
  <c r="AF129" i="63" a="1"/>
  <c r="AF129" i="63" s="1"/>
  <c r="AE129" i="63" a="1"/>
  <c r="AE129" i="63" s="1"/>
  <c r="AD129" i="63" a="1"/>
  <c r="AD129" i="63" s="1"/>
  <c r="T129" i="63"/>
  <c r="R129" i="63"/>
  <c r="N129" i="63"/>
  <c r="M129" i="63"/>
  <c r="L129" i="63"/>
  <c r="F129" i="63"/>
  <c r="D129" i="63"/>
  <c r="AF128" i="63" a="1"/>
  <c r="AF128" i="63" s="1"/>
  <c r="AE128" i="63" a="1"/>
  <c r="AE128" i="63" s="1"/>
  <c r="AD128" i="63" a="1"/>
  <c r="AD128" i="63" s="1"/>
  <c r="T128" i="63"/>
  <c r="R128" i="63"/>
  <c r="N128" i="63"/>
  <c r="M128" i="63"/>
  <c r="L128" i="63"/>
  <c r="F128" i="63"/>
  <c r="D128" i="63"/>
  <c r="AF127" i="63" a="1"/>
  <c r="AF127" i="63" s="1"/>
  <c r="AE127" i="63" a="1"/>
  <c r="AE127" i="63" s="1"/>
  <c r="AD127" i="63" a="1"/>
  <c r="AD127" i="63" s="1"/>
  <c r="T127" i="63"/>
  <c r="R127" i="63"/>
  <c r="N127" i="63"/>
  <c r="M127" i="63"/>
  <c r="L127" i="63"/>
  <c r="F127" i="63"/>
  <c r="D127" i="63"/>
  <c r="AF126" i="63" a="1"/>
  <c r="AF126" i="63" s="1"/>
  <c r="AE126" i="63" a="1"/>
  <c r="AE126" i="63" s="1"/>
  <c r="AD126" i="63" a="1"/>
  <c r="AD126" i="63" s="1"/>
  <c r="T126" i="63"/>
  <c r="R126" i="63"/>
  <c r="N126" i="63"/>
  <c r="M126" i="63"/>
  <c r="L126" i="63"/>
  <c r="F126" i="63"/>
  <c r="D126" i="63"/>
  <c r="AF125" i="63" a="1"/>
  <c r="AF125" i="63" s="1"/>
  <c r="AE125" i="63" a="1"/>
  <c r="AE125" i="63" s="1"/>
  <c r="AD125" i="63" a="1"/>
  <c r="AD125" i="63" s="1"/>
  <c r="T125" i="63"/>
  <c r="R125" i="63"/>
  <c r="N125" i="63"/>
  <c r="M125" i="63"/>
  <c r="L125" i="63"/>
  <c r="F125" i="63"/>
  <c r="D125" i="63"/>
  <c r="AF124" i="63" a="1"/>
  <c r="AF124" i="63" s="1"/>
  <c r="AE124" i="63" a="1"/>
  <c r="AE124" i="63" s="1"/>
  <c r="AD124" i="63" a="1"/>
  <c r="AD124" i="63" s="1"/>
  <c r="T124" i="63"/>
  <c r="R124" i="63"/>
  <c r="N124" i="63"/>
  <c r="M124" i="63"/>
  <c r="L124" i="63"/>
  <c r="F124" i="63"/>
  <c r="D124" i="63"/>
  <c r="AF123" i="63" a="1"/>
  <c r="AF123" i="63" s="1"/>
  <c r="AE123" i="63" a="1"/>
  <c r="AE123" i="63" s="1"/>
  <c r="AD123" i="63" a="1"/>
  <c r="AD123" i="63" s="1"/>
  <c r="T123" i="63"/>
  <c r="R123" i="63"/>
  <c r="N123" i="63"/>
  <c r="M123" i="63"/>
  <c r="L123" i="63"/>
  <c r="F123" i="63"/>
  <c r="D123" i="63"/>
  <c r="AF122" i="63" a="1"/>
  <c r="AF122" i="63" s="1"/>
  <c r="AE122" i="63" a="1"/>
  <c r="AE122" i="63" s="1"/>
  <c r="AD122" i="63" a="1"/>
  <c r="AD122" i="63" s="1"/>
  <c r="T122" i="63"/>
  <c r="R122" i="63"/>
  <c r="N122" i="63"/>
  <c r="M122" i="63"/>
  <c r="L122" i="63"/>
  <c r="F122" i="63"/>
  <c r="D122" i="63"/>
  <c r="AF121" i="63" a="1"/>
  <c r="AF121" i="63" s="1"/>
  <c r="AE121" i="63" a="1"/>
  <c r="AE121" i="63" s="1"/>
  <c r="AD121" i="63" a="1"/>
  <c r="AD121" i="63" s="1"/>
  <c r="T121" i="63"/>
  <c r="R121" i="63"/>
  <c r="N121" i="63"/>
  <c r="M121" i="63"/>
  <c r="L121" i="63"/>
  <c r="F121" i="63"/>
  <c r="D121" i="63"/>
  <c r="AF120" i="63" a="1"/>
  <c r="AF120" i="63" s="1"/>
  <c r="AE120" i="63" a="1"/>
  <c r="AE120" i="63" s="1"/>
  <c r="AD120" i="63" a="1"/>
  <c r="AD120" i="63" s="1"/>
  <c r="T120" i="63"/>
  <c r="R120" i="63"/>
  <c r="N120" i="63"/>
  <c r="M120" i="63"/>
  <c r="L120" i="63"/>
  <c r="F120" i="63"/>
  <c r="D120" i="63"/>
  <c r="AF119" i="63" a="1"/>
  <c r="AF119" i="63" s="1"/>
  <c r="AE119" i="63" a="1"/>
  <c r="AE119" i="63" s="1"/>
  <c r="AD119" i="63" a="1"/>
  <c r="AD119" i="63" s="1"/>
  <c r="T119" i="63"/>
  <c r="R119" i="63"/>
  <c r="N119" i="63"/>
  <c r="M119" i="63"/>
  <c r="L119" i="63"/>
  <c r="F119" i="63"/>
  <c r="D119" i="63"/>
  <c r="AF118" i="63" a="1"/>
  <c r="AF118" i="63" s="1"/>
  <c r="AE118" i="63" a="1"/>
  <c r="AE118" i="63" s="1"/>
  <c r="AD118" i="63" a="1"/>
  <c r="AD118" i="63" s="1"/>
  <c r="T118" i="63"/>
  <c r="R118" i="63"/>
  <c r="N118" i="63"/>
  <c r="M118" i="63"/>
  <c r="L118" i="63"/>
  <c r="F118" i="63"/>
  <c r="D118" i="63"/>
  <c r="AF117" i="63" a="1"/>
  <c r="AF117" i="63" s="1"/>
  <c r="AE117" i="63" a="1"/>
  <c r="AE117" i="63" s="1"/>
  <c r="AD117" i="63" a="1"/>
  <c r="AD117" i="63" s="1"/>
  <c r="T117" i="63"/>
  <c r="R117" i="63"/>
  <c r="N117" i="63"/>
  <c r="M117" i="63"/>
  <c r="L117" i="63"/>
  <c r="F117" i="63"/>
  <c r="D117" i="63"/>
  <c r="AF116" i="63" a="1"/>
  <c r="AF116" i="63" s="1"/>
  <c r="AE116" i="63" a="1"/>
  <c r="AE116" i="63" s="1"/>
  <c r="AD116" i="63" a="1"/>
  <c r="AD116" i="63" s="1"/>
  <c r="T116" i="63"/>
  <c r="R116" i="63"/>
  <c r="N116" i="63"/>
  <c r="M116" i="63"/>
  <c r="L116" i="63"/>
  <c r="F116" i="63"/>
  <c r="D116" i="63"/>
  <c r="AF115" i="63" a="1"/>
  <c r="AF115" i="63" s="1"/>
  <c r="AE115" i="63" a="1"/>
  <c r="AE115" i="63" s="1"/>
  <c r="AD115" i="63" a="1"/>
  <c r="AD115" i="63" s="1"/>
  <c r="T115" i="63"/>
  <c r="R115" i="63"/>
  <c r="N115" i="63"/>
  <c r="M115" i="63"/>
  <c r="L115" i="63"/>
  <c r="F115" i="63"/>
  <c r="D115" i="63"/>
  <c r="AF114" i="63" a="1"/>
  <c r="AF114" i="63" s="1"/>
  <c r="AE114" i="63" a="1"/>
  <c r="AE114" i="63" s="1"/>
  <c r="AD114" i="63" a="1"/>
  <c r="AD114" i="63" s="1"/>
  <c r="T114" i="63"/>
  <c r="R114" i="63"/>
  <c r="N114" i="63"/>
  <c r="M114" i="63"/>
  <c r="L114" i="63"/>
  <c r="F114" i="63"/>
  <c r="D114" i="63"/>
  <c r="AF113" i="63" a="1"/>
  <c r="AF113" i="63" s="1"/>
  <c r="AE113" i="63" a="1"/>
  <c r="AE113" i="63" s="1"/>
  <c r="AD113" i="63" a="1"/>
  <c r="AD113" i="63" s="1"/>
  <c r="T113" i="63"/>
  <c r="R113" i="63"/>
  <c r="N113" i="63"/>
  <c r="M113" i="63"/>
  <c r="L113" i="63"/>
  <c r="F113" i="63"/>
  <c r="D113" i="63"/>
  <c r="AF112" i="63" a="1"/>
  <c r="AF112" i="63" s="1"/>
  <c r="AE112" i="63" a="1"/>
  <c r="AE112" i="63" s="1"/>
  <c r="AD112" i="63" a="1"/>
  <c r="AD112" i="63" s="1"/>
  <c r="T112" i="63"/>
  <c r="R112" i="63"/>
  <c r="N112" i="63"/>
  <c r="M112" i="63"/>
  <c r="L112" i="63"/>
  <c r="F112" i="63"/>
  <c r="D112" i="63"/>
  <c r="AF111" i="63" a="1"/>
  <c r="AF111" i="63" s="1"/>
  <c r="AE111" i="63" a="1"/>
  <c r="AE111" i="63" s="1"/>
  <c r="AD111" i="63" a="1"/>
  <c r="AD111" i="63" s="1"/>
  <c r="T111" i="63"/>
  <c r="R111" i="63"/>
  <c r="N111" i="63"/>
  <c r="M111" i="63"/>
  <c r="L111" i="63"/>
  <c r="F111" i="63"/>
  <c r="D111" i="63"/>
  <c r="AF110" i="63" a="1"/>
  <c r="AF110" i="63" s="1"/>
  <c r="AE110" i="63" a="1"/>
  <c r="AE110" i="63" s="1"/>
  <c r="AD110" i="63" a="1"/>
  <c r="AD110" i="63" s="1"/>
  <c r="T110" i="63"/>
  <c r="R110" i="63"/>
  <c r="N110" i="63"/>
  <c r="M110" i="63"/>
  <c r="L110" i="63"/>
  <c r="F110" i="63"/>
  <c r="D110" i="63"/>
  <c r="AF109" i="63" a="1"/>
  <c r="AF109" i="63" s="1"/>
  <c r="AE109" i="63" a="1"/>
  <c r="AE109" i="63" s="1"/>
  <c r="AD109" i="63" a="1"/>
  <c r="AD109" i="63" s="1"/>
  <c r="T109" i="63"/>
  <c r="R109" i="63"/>
  <c r="N109" i="63"/>
  <c r="M109" i="63"/>
  <c r="L109" i="63"/>
  <c r="F109" i="63"/>
  <c r="D109" i="63"/>
  <c r="AF108" i="63" a="1"/>
  <c r="AF108" i="63" s="1"/>
  <c r="AE108" i="63" a="1"/>
  <c r="AE108" i="63" s="1"/>
  <c r="AD108" i="63" a="1"/>
  <c r="AD108" i="63" s="1"/>
  <c r="T108" i="63"/>
  <c r="R108" i="63"/>
  <c r="N108" i="63"/>
  <c r="M108" i="63"/>
  <c r="L108" i="63"/>
  <c r="F108" i="63"/>
  <c r="D108" i="63"/>
  <c r="AF107" i="63" a="1"/>
  <c r="AF107" i="63" s="1"/>
  <c r="AE107" i="63" a="1"/>
  <c r="AE107" i="63" s="1"/>
  <c r="AD107" i="63" a="1"/>
  <c r="AD107" i="63" s="1"/>
  <c r="T107" i="63"/>
  <c r="R107" i="63"/>
  <c r="N107" i="63"/>
  <c r="M107" i="63"/>
  <c r="L107" i="63"/>
  <c r="F107" i="63"/>
  <c r="D107" i="63"/>
  <c r="AF106" i="63" a="1"/>
  <c r="AF106" i="63" s="1"/>
  <c r="AE106" i="63" a="1"/>
  <c r="AE106" i="63" s="1"/>
  <c r="AD106" i="63" a="1"/>
  <c r="AD106" i="63" s="1"/>
  <c r="T106" i="63"/>
  <c r="R106" i="63"/>
  <c r="N106" i="63"/>
  <c r="M106" i="63"/>
  <c r="L106" i="63"/>
  <c r="F106" i="63"/>
  <c r="D106" i="63"/>
  <c r="AF105" i="63" a="1"/>
  <c r="AF105" i="63" s="1"/>
  <c r="AE105" i="63" a="1"/>
  <c r="AE105" i="63" s="1"/>
  <c r="AD105" i="63" a="1"/>
  <c r="AD105" i="63" s="1"/>
  <c r="T105" i="63"/>
  <c r="R105" i="63"/>
  <c r="N105" i="63"/>
  <c r="M105" i="63"/>
  <c r="L105" i="63"/>
  <c r="F105" i="63"/>
  <c r="D105" i="63"/>
  <c r="AF104" i="63" a="1"/>
  <c r="AF104" i="63" s="1"/>
  <c r="AE104" i="63" a="1"/>
  <c r="AE104" i="63" s="1"/>
  <c r="AD104" i="63" a="1"/>
  <c r="AD104" i="63" s="1"/>
  <c r="T104" i="63"/>
  <c r="R104" i="63"/>
  <c r="N104" i="63"/>
  <c r="M104" i="63"/>
  <c r="L104" i="63"/>
  <c r="F104" i="63"/>
  <c r="D104" i="63"/>
  <c r="AF103" i="63" a="1"/>
  <c r="AF103" i="63" s="1"/>
  <c r="AE103" i="63" a="1"/>
  <c r="AE103" i="63" s="1"/>
  <c r="AD103" i="63" a="1"/>
  <c r="AD103" i="63" s="1"/>
  <c r="T103" i="63"/>
  <c r="R103" i="63"/>
  <c r="N103" i="63"/>
  <c r="M103" i="63"/>
  <c r="L103" i="63"/>
  <c r="F103" i="63"/>
  <c r="D103" i="63"/>
  <c r="AF102" i="63" a="1"/>
  <c r="AF102" i="63" s="1"/>
  <c r="AE102" i="63" a="1"/>
  <c r="AE102" i="63" s="1"/>
  <c r="AD102" i="63" a="1"/>
  <c r="AD102" i="63" s="1"/>
  <c r="T102" i="63"/>
  <c r="R102" i="63"/>
  <c r="N102" i="63"/>
  <c r="M102" i="63"/>
  <c r="L102" i="63"/>
  <c r="F102" i="63"/>
  <c r="D102" i="63"/>
  <c r="AF101" i="63" a="1"/>
  <c r="AF101" i="63" s="1"/>
  <c r="AE101" i="63" a="1"/>
  <c r="AE101" i="63" s="1"/>
  <c r="AD101" i="63" a="1"/>
  <c r="AD101" i="63" s="1"/>
  <c r="T101" i="63"/>
  <c r="R101" i="63"/>
  <c r="N101" i="63"/>
  <c r="M101" i="63"/>
  <c r="L101" i="63"/>
  <c r="F101" i="63"/>
  <c r="D101" i="63"/>
  <c r="AF100" i="63" a="1"/>
  <c r="AF100" i="63" s="1"/>
  <c r="AE100" i="63" a="1"/>
  <c r="AE100" i="63" s="1"/>
  <c r="AD100" i="63" a="1"/>
  <c r="AD100" i="63" s="1"/>
  <c r="T100" i="63"/>
  <c r="R100" i="63"/>
  <c r="N100" i="63"/>
  <c r="M100" i="63"/>
  <c r="L100" i="63"/>
  <c r="F100" i="63"/>
  <c r="D100" i="63"/>
  <c r="AF99" i="63" a="1"/>
  <c r="AF99" i="63" s="1"/>
  <c r="AE99" i="63" a="1"/>
  <c r="AE99" i="63" s="1"/>
  <c r="AD99" i="63" a="1"/>
  <c r="AD99" i="63" s="1"/>
  <c r="T99" i="63"/>
  <c r="R99" i="63"/>
  <c r="N99" i="63"/>
  <c r="M99" i="63"/>
  <c r="L99" i="63"/>
  <c r="F99" i="63"/>
  <c r="D99" i="63"/>
  <c r="AF98" i="63" a="1"/>
  <c r="AF98" i="63" s="1"/>
  <c r="AE98" i="63" a="1"/>
  <c r="AE98" i="63" s="1"/>
  <c r="AD98" i="63" a="1"/>
  <c r="AD98" i="63" s="1"/>
  <c r="T98" i="63"/>
  <c r="R98" i="63"/>
  <c r="N98" i="63"/>
  <c r="M98" i="63"/>
  <c r="L98" i="63"/>
  <c r="F98" i="63"/>
  <c r="D98" i="63"/>
  <c r="AF97" i="63" a="1"/>
  <c r="AF97" i="63" s="1"/>
  <c r="AE97" i="63" a="1"/>
  <c r="AE97" i="63" s="1"/>
  <c r="AD97" i="63" a="1"/>
  <c r="AD97" i="63" s="1"/>
  <c r="T97" i="63"/>
  <c r="R97" i="63"/>
  <c r="N97" i="63"/>
  <c r="M97" i="63"/>
  <c r="L97" i="63"/>
  <c r="F97" i="63"/>
  <c r="D97" i="63"/>
  <c r="AF96" i="63" a="1"/>
  <c r="AF96" i="63" s="1"/>
  <c r="AE96" i="63" a="1"/>
  <c r="AE96" i="63" s="1"/>
  <c r="AD96" i="63" a="1"/>
  <c r="AD96" i="63" s="1"/>
  <c r="T96" i="63"/>
  <c r="R96" i="63"/>
  <c r="N96" i="63"/>
  <c r="M96" i="63"/>
  <c r="L96" i="63"/>
  <c r="F96" i="63"/>
  <c r="D96" i="63"/>
  <c r="AF95" i="63" a="1"/>
  <c r="AF95" i="63" s="1"/>
  <c r="AE95" i="63" a="1"/>
  <c r="AE95" i="63" s="1"/>
  <c r="AD95" i="63" a="1"/>
  <c r="AD95" i="63" s="1"/>
  <c r="T95" i="63"/>
  <c r="R95" i="63"/>
  <c r="N95" i="63"/>
  <c r="M95" i="63"/>
  <c r="L95" i="63"/>
  <c r="F95" i="63"/>
  <c r="D95" i="63"/>
  <c r="AF94" i="63" a="1"/>
  <c r="AF94" i="63" s="1"/>
  <c r="AE94" i="63" a="1"/>
  <c r="AE94" i="63" s="1"/>
  <c r="AD94" i="63" a="1"/>
  <c r="AD94" i="63" s="1"/>
  <c r="T94" i="63"/>
  <c r="R94" i="63"/>
  <c r="N94" i="63"/>
  <c r="M94" i="63"/>
  <c r="L94" i="63"/>
  <c r="F94" i="63"/>
  <c r="D94" i="63"/>
  <c r="AF93" i="63" a="1"/>
  <c r="AF93" i="63" s="1"/>
  <c r="AE93" i="63" a="1"/>
  <c r="AE93" i="63" s="1"/>
  <c r="AD93" i="63" a="1"/>
  <c r="AD93" i="63" s="1"/>
  <c r="T93" i="63"/>
  <c r="R93" i="63"/>
  <c r="N93" i="63"/>
  <c r="M93" i="63"/>
  <c r="L93" i="63"/>
  <c r="F93" i="63"/>
  <c r="D93" i="63"/>
  <c r="AF92" i="63" a="1"/>
  <c r="AF92" i="63" s="1"/>
  <c r="AE92" i="63" a="1"/>
  <c r="AE92" i="63" s="1"/>
  <c r="AD92" i="63" a="1"/>
  <c r="AD92" i="63" s="1"/>
  <c r="T92" i="63"/>
  <c r="R92" i="63"/>
  <c r="N92" i="63"/>
  <c r="M92" i="63"/>
  <c r="L92" i="63"/>
  <c r="F92" i="63"/>
  <c r="D92" i="63"/>
  <c r="AF91" i="63" a="1"/>
  <c r="AF91" i="63" s="1"/>
  <c r="AE91" i="63" a="1"/>
  <c r="AE91" i="63" s="1"/>
  <c r="AD91" i="63" a="1"/>
  <c r="AD91" i="63" s="1"/>
  <c r="T91" i="63"/>
  <c r="R91" i="63"/>
  <c r="N91" i="63"/>
  <c r="M91" i="63"/>
  <c r="L91" i="63"/>
  <c r="F91" i="63"/>
  <c r="D91" i="63"/>
  <c r="AF90" i="63" a="1"/>
  <c r="AF90" i="63" s="1"/>
  <c r="AE90" i="63" a="1"/>
  <c r="AE90" i="63" s="1"/>
  <c r="AD90" i="63" a="1"/>
  <c r="AD90" i="63" s="1"/>
  <c r="T90" i="63"/>
  <c r="R90" i="63"/>
  <c r="N90" i="63"/>
  <c r="M90" i="63"/>
  <c r="L90" i="63"/>
  <c r="F90" i="63"/>
  <c r="D90" i="63"/>
  <c r="AF89" i="63" a="1"/>
  <c r="AF89" i="63" s="1"/>
  <c r="AE89" i="63" a="1"/>
  <c r="AE89" i="63" s="1"/>
  <c r="AD89" i="63" a="1"/>
  <c r="AD89" i="63" s="1"/>
  <c r="T89" i="63"/>
  <c r="R89" i="63"/>
  <c r="N89" i="63"/>
  <c r="M89" i="63"/>
  <c r="L89" i="63"/>
  <c r="F89" i="63"/>
  <c r="D89" i="63"/>
  <c r="AF88" i="63" a="1"/>
  <c r="AF88" i="63" s="1"/>
  <c r="AE88" i="63" a="1"/>
  <c r="AE88" i="63" s="1"/>
  <c r="AD88" i="63" a="1"/>
  <c r="AD88" i="63" s="1"/>
  <c r="T88" i="63"/>
  <c r="R88" i="63"/>
  <c r="N88" i="63"/>
  <c r="M88" i="63"/>
  <c r="L88" i="63"/>
  <c r="F88" i="63"/>
  <c r="D88" i="63"/>
  <c r="AF87" i="63" a="1"/>
  <c r="AF87" i="63" s="1"/>
  <c r="AE87" i="63" a="1"/>
  <c r="AE87" i="63" s="1"/>
  <c r="AD87" i="63" a="1"/>
  <c r="AD87" i="63" s="1"/>
  <c r="T87" i="63"/>
  <c r="R87" i="63"/>
  <c r="N87" i="63"/>
  <c r="M87" i="63"/>
  <c r="L87" i="63"/>
  <c r="F87" i="63"/>
  <c r="D87" i="63"/>
  <c r="AF86" i="63" a="1"/>
  <c r="AF86" i="63" s="1"/>
  <c r="AE86" i="63" a="1"/>
  <c r="AE86" i="63" s="1"/>
  <c r="AD86" i="63" a="1"/>
  <c r="AD86" i="63" s="1"/>
  <c r="T86" i="63"/>
  <c r="R86" i="63"/>
  <c r="N86" i="63"/>
  <c r="M86" i="63"/>
  <c r="L86" i="63"/>
  <c r="F86" i="63"/>
  <c r="D86" i="63"/>
  <c r="AF85" i="63" a="1"/>
  <c r="AF85" i="63" s="1"/>
  <c r="AE85" i="63" a="1"/>
  <c r="AE85" i="63" s="1"/>
  <c r="AD85" i="63" a="1"/>
  <c r="AD85" i="63" s="1"/>
  <c r="T85" i="63"/>
  <c r="R85" i="63"/>
  <c r="N85" i="63"/>
  <c r="M85" i="63"/>
  <c r="L85" i="63"/>
  <c r="F85" i="63"/>
  <c r="D85" i="63"/>
  <c r="AF84" i="63" a="1"/>
  <c r="AF84" i="63" s="1"/>
  <c r="AE84" i="63" a="1"/>
  <c r="AE84" i="63" s="1"/>
  <c r="AD84" i="63" a="1"/>
  <c r="AD84" i="63" s="1"/>
  <c r="T84" i="63"/>
  <c r="R84" i="63"/>
  <c r="N84" i="63"/>
  <c r="M84" i="63"/>
  <c r="L84" i="63"/>
  <c r="F84" i="63"/>
  <c r="D84" i="63"/>
  <c r="AF83" i="63" a="1"/>
  <c r="AF83" i="63" s="1"/>
  <c r="AE83" i="63" a="1"/>
  <c r="AE83" i="63" s="1"/>
  <c r="AD83" i="63" a="1"/>
  <c r="AD83" i="63" s="1"/>
  <c r="T83" i="63"/>
  <c r="R83" i="63"/>
  <c r="N83" i="63"/>
  <c r="M83" i="63"/>
  <c r="L83" i="63"/>
  <c r="F83" i="63"/>
  <c r="D83" i="63"/>
  <c r="AF82" i="63" a="1"/>
  <c r="AF82" i="63" s="1"/>
  <c r="AE82" i="63" a="1"/>
  <c r="AE82" i="63" s="1"/>
  <c r="AD82" i="63" a="1"/>
  <c r="AD82" i="63" s="1"/>
  <c r="T82" i="63"/>
  <c r="R82" i="63"/>
  <c r="N82" i="63"/>
  <c r="M82" i="63"/>
  <c r="L82" i="63"/>
  <c r="F82" i="63"/>
  <c r="D82" i="63"/>
  <c r="AF81" i="63" a="1"/>
  <c r="AF81" i="63" s="1"/>
  <c r="AE81" i="63" a="1"/>
  <c r="AE81" i="63" s="1"/>
  <c r="AD81" i="63" a="1"/>
  <c r="AD81" i="63" s="1"/>
  <c r="T81" i="63"/>
  <c r="R81" i="63"/>
  <c r="N81" i="63"/>
  <c r="M81" i="63"/>
  <c r="L81" i="63"/>
  <c r="F81" i="63"/>
  <c r="D81" i="63"/>
  <c r="AF80" i="63" a="1"/>
  <c r="AF80" i="63" s="1"/>
  <c r="AE80" i="63" a="1"/>
  <c r="AE80" i="63" s="1"/>
  <c r="AD80" i="63" a="1"/>
  <c r="AD80" i="63" s="1"/>
  <c r="T80" i="63"/>
  <c r="R80" i="63"/>
  <c r="N80" i="63"/>
  <c r="M80" i="63"/>
  <c r="L80" i="63"/>
  <c r="F80" i="63"/>
  <c r="D80" i="63"/>
  <c r="AF79" i="63" a="1"/>
  <c r="AF79" i="63" s="1"/>
  <c r="AE79" i="63" a="1"/>
  <c r="AE79" i="63" s="1"/>
  <c r="AD79" i="63" a="1"/>
  <c r="AD79" i="63" s="1"/>
  <c r="T79" i="63"/>
  <c r="R79" i="63"/>
  <c r="N79" i="63"/>
  <c r="M79" i="63"/>
  <c r="L79" i="63"/>
  <c r="F79" i="63"/>
  <c r="D79" i="63"/>
  <c r="AF78" i="63" a="1"/>
  <c r="AF78" i="63" s="1"/>
  <c r="AE78" i="63" a="1"/>
  <c r="AE78" i="63" s="1"/>
  <c r="AD78" i="63" a="1"/>
  <c r="AD78" i="63" s="1"/>
  <c r="T78" i="63"/>
  <c r="R78" i="63"/>
  <c r="N78" i="63"/>
  <c r="M78" i="63"/>
  <c r="L78" i="63"/>
  <c r="F78" i="63"/>
  <c r="D78" i="63"/>
  <c r="AF77" i="63" a="1"/>
  <c r="AF77" i="63" s="1"/>
  <c r="AE77" i="63" a="1"/>
  <c r="AE77" i="63" s="1"/>
  <c r="AD77" i="63" a="1"/>
  <c r="AD77" i="63" s="1"/>
  <c r="T77" i="63"/>
  <c r="R77" i="63"/>
  <c r="N77" i="63"/>
  <c r="M77" i="63"/>
  <c r="L77" i="63"/>
  <c r="F77" i="63"/>
  <c r="D77" i="63"/>
  <c r="AF76" i="63" a="1"/>
  <c r="AF76" i="63" s="1"/>
  <c r="AE76" i="63" a="1"/>
  <c r="AE76" i="63" s="1"/>
  <c r="AD76" i="63" a="1"/>
  <c r="AD76" i="63" s="1"/>
  <c r="T76" i="63"/>
  <c r="R76" i="63"/>
  <c r="N76" i="63"/>
  <c r="M76" i="63"/>
  <c r="L76" i="63"/>
  <c r="F76" i="63"/>
  <c r="D76" i="63"/>
  <c r="AF75" i="63" a="1"/>
  <c r="AF75" i="63" s="1"/>
  <c r="AE75" i="63" a="1"/>
  <c r="AE75" i="63" s="1"/>
  <c r="AD75" i="63" a="1"/>
  <c r="AD75" i="63" s="1"/>
  <c r="T75" i="63"/>
  <c r="R75" i="63"/>
  <c r="N75" i="63"/>
  <c r="M75" i="63"/>
  <c r="L75" i="63"/>
  <c r="F75" i="63"/>
  <c r="D75" i="63"/>
  <c r="AF71" i="63" a="1"/>
  <c r="AF71" i="63" s="1"/>
  <c r="AE71" i="63" a="1"/>
  <c r="AE71" i="63" s="1"/>
  <c r="AD71" i="63" a="1"/>
  <c r="AD71" i="63" s="1"/>
  <c r="T71" i="63"/>
  <c r="AF70" i="63" a="1"/>
  <c r="AF70" i="63" s="1"/>
  <c r="AE70" i="63" a="1"/>
  <c r="AE70" i="63" s="1"/>
  <c r="AD70" i="63" a="1"/>
  <c r="AD70" i="63" s="1"/>
  <c r="T70" i="63"/>
  <c r="AF69" i="63" a="1"/>
  <c r="AF69" i="63" s="1"/>
  <c r="AE69" i="63" a="1"/>
  <c r="AE69" i="63" s="1"/>
  <c r="AD69" i="63" a="1"/>
  <c r="AD69" i="63" s="1"/>
  <c r="T69" i="63"/>
  <c r="AF68" i="63" a="1"/>
  <c r="AF68" i="63" s="1"/>
  <c r="AE68" i="63" a="1"/>
  <c r="AE68" i="63" s="1"/>
  <c r="AD68" i="63" a="1"/>
  <c r="AD68" i="63" s="1"/>
  <c r="T68" i="63"/>
  <c r="AF67" i="63" a="1"/>
  <c r="AF67" i="63" s="1"/>
  <c r="AE67" i="63" a="1"/>
  <c r="AE67" i="63" s="1"/>
  <c r="AD67" i="63" a="1"/>
  <c r="AD67" i="63" s="1"/>
  <c r="T67" i="63"/>
  <c r="AF66" i="63" a="1"/>
  <c r="AF66" i="63" s="1"/>
  <c r="AE66" i="63" a="1"/>
  <c r="AE66" i="63" s="1"/>
  <c r="AD66" i="63" a="1"/>
  <c r="AD66" i="63" s="1"/>
  <c r="T66" i="63"/>
  <c r="M66" i="63"/>
  <c r="N66" i="63" s="1"/>
  <c r="L66" i="63"/>
  <c r="AF65" i="63" a="1"/>
  <c r="AF65" i="63" s="1"/>
  <c r="AE65" i="63" a="1"/>
  <c r="AE65" i="63" s="1"/>
  <c r="AD65" i="63" a="1"/>
  <c r="AD65" i="63" s="1"/>
  <c r="T65" i="63"/>
  <c r="M65" i="63"/>
  <c r="N65" i="63" s="1"/>
  <c r="L65" i="63"/>
  <c r="AF64" i="63" a="1"/>
  <c r="AF64" i="63" s="1"/>
  <c r="AE64" i="63" a="1"/>
  <c r="AE64" i="63" s="1"/>
  <c r="AD64" i="63" a="1"/>
  <c r="AD64" i="63" s="1"/>
  <c r="T64" i="63"/>
  <c r="M64" i="63"/>
  <c r="N64" i="63" s="1"/>
  <c r="L64" i="63"/>
  <c r="AF63" i="63" a="1"/>
  <c r="AF63" i="63" s="1"/>
  <c r="AE63" i="63" a="1"/>
  <c r="AE63" i="63" s="1"/>
  <c r="AD63" i="63" a="1"/>
  <c r="AD63" i="63" s="1"/>
  <c r="T63" i="63"/>
  <c r="M63" i="63"/>
  <c r="N63" i="63" s="1"/>
  <c r="L63" i="63"/>
  <c r="AF62" i="63" a="1"/>
  <c r="AF62" i="63" s="1"/>
  <c r="AE62" i="63" a="1"/>
  <c r="AE62" i="63" s="1"/>
  <c r="AD62" i="63" a="1"/>
  <c r="AD62" i="63" s="1"/>
  <c r="T62" i="63"/>
  <c r="M62" i="63"/>
  <c r="N62" i="63" s="1"/>
  <c r="L62" i="63"/>
  <c r="AF61" i="63" a="1"/>
  <c r="AF61" i="63" s="1"/>
  <c r="AE61" i="63" a="1"/>
  <c r="AE61" i="63" s="1"/>
  <c r="AD61" i="63" a="1"/>
  <c r="AD61" i="63" s="1"/>
  <c r="U61" i="63"/>
  <c r="V61" i="63" s="1"/>
  <c r="T61" i="63"/>
  <c r="O61" i="63"/>
  <c r="P61" i="63" s="1"/>
  <c r="M61" i="63"/>
  <c r="N61" i="63" s="1"/>
  <c r="L61" i="63"/>
  <c r="AF60" i="63" a="1"/>
  <c r="AF60" i="63" s="1"/>
  <c r="AE60" i="63" a="1"/>
  <c r="AE60" i="63" s="1"/>
  <c r="AD60" i="63" a="1"/>
  <c r="AD60" i="63" s="1"/>
  <c r="U60" i="63"/>
  <c r="V60" i="63" s="1"/>
  <c r="T60" i="63"/>
  <c r="O60" i="63"/>
  <c r="P60" i="63" s="1"/>
  <c r="M60" i="63"/>
  <c r="N60" i="63" s="1"/>
  <c r="L60" i="63"/>
  <c r="AF57" i="63" a="1"/>
  <c r="AF57" i="63" s="1"/>
  <c r="AE57" i="63" a="1"/>
  <c r="AE57" i="63" s="1"/>
  <c r="AD57" i="63" a="1"/>
  <c r="AD57" i="63" s="1"/>
  <c r="V57" i="63"/>
  <c r="U57" i="63"/>
  <c r="T57" i="63"/>
  <c r="O57" i="63"/>
  <c r="P57" i="63" s="1"/>
  <c r="M57" i="63"/>
  <c r="N57" i="63" s="1"/>
  <c r="L57" i="63"/>
  <c r="AF56" i="63" a="1"/>
  <c r="AF56" i="63" s="1"/>
  <c r="AE56" i="63" a="1"/>
  <c r="AE56" i="63" s="1"/>
  <c r="AD56" i="63" a="1"/>
  <c r="AD56" i="63" s="1"/>
  <c r="U56" i="63"/>
  <c r="V56" i="63" s="1"/>
  <c r="T56" i="63"/>
  <c r="O56" i="63"/>
  <c r="P56" i="63" s="1"/>
  <c r="M56" i="63"/>
  <c r="N56" i="63" s="1"/>
  <c r="L56" i="63"/>
  <c r="AF55" i="63" a="1"/>
  <c r="AF55" i="63" s="1"/>
  <c r="AE55" i="63" a="1"/>
  <c r="AE55" i="63" s="1"/>
  <c r="AD55" i="63" a="1"/>
  <c r="AD55" i="63" s="1"/>
  <c r="U55" i="63"/>
  <c r="V55" i="63" s="1"/>
  <c r="T55" i="63"/>
  <c r="O55" i="63"/>
  <c r="P55" i="63" s="1"/>
  <c r="M55" i="63"/>
  <c r="N55" i="63" s="1"/>
  <c r="L55" i="63"/>
  <c r="AF54" i="63" a="1"/>
  <c r="AF54" i="63" s="1"/>
  <c r="AE54" i="63" a="1"/>
  <c r="AE54" i="63" s="1"/>
  <c r="AD54" i="63" a="1"/>
  <c r="AD54" i="63" s="1"/>
  <c r="U54" i="63"/>
  <c r="V54" i="63" s="1"/>
  <c r="T54" i="63"/>
  <c r="O54" i="63"/>
  <c r="P54" i="63" s="1"/>
  <c r="M54" i="63"/>
  <c r="N54" i="63" s="1"/>
  <c r="L54" i="63"/>
  <c r="AF53" i="63" a="1"/>
  <c r="AF53" i="63" s="1"/>
  <c r="AE53" i="63" a="1"/>
  <c r="AE53" i="63" s="1"/>
  <c r="AD53" i="63" a="1"/>
  <c r="AD53" i="63" s="1"/>
  <c r="V53" i="63"/>
  <c r="U53" i="63"/>
  <c r="T53" i="63"/>
  <c r="O53" i="63"/>
  <c r="P53" i="63" s="1"/>
  <c r="M53" i="63"/>
  <c r="N53" i="63" s="1"/>
  <c r="L53" i="63"/>
  <c r="AF52" i="63" a="1"/>
  <c r="AF52" i="63" s="1"/>
  <c r="AE52" i="63" a="1"/>
  <c r="AE52" i="63" s="1"/>
  <c r="AD52" i="63" a="1"/>
  <c r="AD52" i="63" s="1"/>
  <c r="U52" i="63"/>
  <c r="V52" i="63" s="1"/>
  <c r="T52" i="63"/>
  <c r="O52" i="63"/>
  <c r="P52" i="63" s="1"/>
  <c r="AF51" i="63" a="1"/>
  <c r="AF51" i="63" s="1"/>
  <c r="AE51" i="63" a="1"/>
  <c r="AE51" i="63" s="1"/>
  <c r="AD51" i="63" a="1"/>
  <c r="AD51" i="63" s="1"/>
  <c r="U51" i="63"/>
  <c r="V51" i="63" s="1"/>
  <c r="T51" i="63"/>
  <c r="O51" i="63"/>
  <c r="P51" i="63" s="1"/>
  <c r="AF50" i="63" a="1"/>
  <c r="AF50" i="63" s="1"/>
  <c r="AE50" i="63" a="1"/>
  <c r="AE50" i="63" s="1"/>
  <c r="AD50" i="63" a="1"/>
  <c r="AD50" i="63" s="1"/>
  <c r="U50" i="63"/>
  <c r="V50" i="63" s="1"/>
  <c r="T50" i="63"/>
  <c r="O50" i="63"/>
  <c r="P50" i="63" s="1"/>
  <c r="AF49" i="63" a="1"/>
  <c r="AF49" i="63" s="1"/>
  <c r="AE49" i="63" a="1"/>
  <c r="AE49" i="63" s="1"/>
  <c r="AD49" i="63" a="1"/>
  <c r="AD49" i="63" s="1"/>
  <c r="U49" i="63"/>
  <c r="V49" i="63" s="1"/>
  <c r="T49" i="63"/>
  <c r="O49" i="63"/>
  <c r="P49" i="63" s="1"/>
  <c r="AF48" i="63" a="1"/>
  <c r="AF48" i="63" s="1"/>
  <c r="AE48" i="63" a="1"/>
  <c r="AE48" i="63" s="1"/>
  <c r="AD48" i="63" a="1"/>
  <c r="AD48" i="63" s="1"/>
  <c r="V48" i="63"/>
  <c r="U48" i="63"/>
  <c r="T48" i="63"/>
  <c r="O48" i="63"/>
  <c r="P48" i="63" s="1"/>
  <c r="AF47" i="63" a="1"/>
  <c r="AF47" i="63" s="1"/>
  <c r="AE47" i="63" a="1"/>
  <c r="AE47" i="63" s="1"/>
  <c r="AD47" i="63" a="1"/>
  <c r="AD47" i="63" s="1"/>
  <c r="U47" i="63"/>
  <c r="V47" i="63" s="1"/>
  <c r="T47" i="63"/>
  <c r="O47" i="63"/>
  <c r="P47" i="63" s="1"/>
  <c r="AF45" i="63" a="1"/>
  <c r="AF45" i="63" s="1"/>
  <c r="AE45" i="63" a="1"/>
  <c r="AE45" i="63" s="1"/>
  <c r="AD45" i="63" a="1"/>
  <c r="AD45" i="63" s="1"/>
  <c r="U45" i="63"/>
  <c r="V45" i="63" s="1"/>
  <c r="T45" i="63"/>
  <c r="O45" i="63"/>
  <c r="P45" i="63" s="1"/>
  <c r="AF44" i="63" a="1"/>
  <c r="AF44" i="63" s="1"/>
  <c r="AE44" i="63" a="1"/>
  <c r="AE44" i="63" s="1"/>
  <c r="AD44" i="63" a="1"/>
  <c r="AD44" i="63" s="1"/>
  <c r="U44" i="63"/>
  <c r="V44" i="63" s="1"/>
  <c r="T44" i="63"/>
  <c r="O44" i="63"/>
  <c r="P44" i="63" s="1"/>
  <c r="AF43" i="63" a="1"/>
  <c r="AF43" i="63" s="1"/>
  <c r="AE43" i="63" a="1"/>
  <c r="AE43" i="63" s="1"/>
  <c r="AD43" i="63" a="1"/>
  <c r="AD43" i="63" s="1"/>
  <c r="T43" i="63"/>
  <c r="O43" i="63"/>
  <c r="P43" i="63" s="1"/>
  <c r="AF41" i="63" a="1"/>
  <c r="AF41" i="63" s="1"/>
  <c r="AE41" i="63" a="1"/>
  <c r="AE41" i="63" s="1"/>
  <c r="AD41" i="63" a="1"/>
  <c r="AD41" i="63" s="1"/>
  <c r="U41" i="63"/>
  <c r="V41" i="63" s="1"/>
  <c r="T41" i="63"/>
  <c r="O41" i="63"/>
  <c r="P41" i="63" s="1"/>
  <c r="AF40" i="63" a="1"/>
  <c r="AF40" i="63" s="1"/>
  <c r="AE40" i="63" a="1"/>
  <c r="AE40" i="63" s="1"/>
  <c r="AD40" i="63" a="1"/>
  <c r="AD40" i="63" s="1"/>
  <c r="U40" i="63"/>
  <c r="V40" i="63" s="1"/>
  <c r="T40" i="63"/>
  <c r="O40" i="63"/>
  <c r="P40" i="63" s="1"/>
  <c r="AF39" i="63" a="1"/>
  <c r="AF39" i="63" s="1"/>
  <c r="AE39" i="63" a="1"/>
  <c r="AE39" i="63" s="1"/>
  <c r="AD39" i="63" a="1"/>
  <c r="AD39" i="63" s="1"/>
  <c r="U39" i="63"/>
  <c r="V39" i="63" s="1"/>
  <c r="T39" i="63"/>
  <c r="O39" i="63"/>
  <c r="P39" i="63" s="1"/>
  <c r="M39" i="63"/>
  <c r="N39" i="63" s="1"/>
  <c r="L39" i="63"/>
  <c r="AF38" i="63" a="1"/>
  <c r="AF38" i="63" s="1"/>
  <c r="AE38" i="63" a="1"/>
  <c r="AE38" i="63" s="1"/>
  <c r="AD38" i="63" a="1"/>
  <c r="AD38" i="63" s="1"/>
  <c r="U38" i="63"/>
  <c r="V38" i="63" s="1"/>
  <c r="T38" i="63"/>
  <c r="O38" i="63"/>
  <c r="P38" i="63" s="1"/>
  <c r="M38" i="63"/>
  <c r="N38" i="63" s="1"/>
  <c r="L38" i="63"/>
  <c r="AF37" i="63" a="1"/>
  <c r="AF37" i="63" s="1"/>
  <c r="AE37" i="63" a="1"/>
  <c r="AE37" i="63" s="1"/>
  <c r="AD37" i="63" a="1"/>
  <c r="AD37" i="63" s="1"/>
  <c r="U37" i="63"/>
  <c r="V37" i="63" s="1"/>
  <c r="T37" i="63"/>
  <c r="O37" i="63"/>
  <c r="P37" i="63" s="1"/>
  <c r="M37" i="63"/>
  <c r="N37" i="63" s="1"/>
  <c r="L37" i="63"/>
  <c r="AF36" i="63" a="1"/>
  <c r="AF36" i="63" s="1"/>
  <c r="AE36" i="63" a="1"/>
  <c r="AE36" i="63" s="1"/>
  <c r="AD36" i="63" a="1"/>
  <c r="AD36" i="63" s="1"/>
  <c r="U36" i="63"/>
  <c r="V36" i="63" s="1"/>
  <c r="T36" i="63"/>
  <c r="O36" i="63"/>
  <c r="P36" i="63" s="1"/>
  <c r="M36" i="63"/>
  <c r="N36" i="63" s="1"/>
  <c r="L36" i="63"/>
  <c r="AF35" i="63" a="1"/>
  <c r="AF35" i="63" s="1"/>
  <c r="AE35" i="63" a="1"/>
  <c r="AE35" i="63" s="1"/>
  <c r="AD35" i="63" a="1"/>
  <c r="AD35" i="63" s="1"/>
  <c r="U35" i="63"/>
  <c r="V35" i="63" s="1"/>
  <c r="T35" i="63"/>
  <c r="O35" i="63"/>
  <c r="P35" i="63" s="1"/>
  <c r="M35" i="63"/>
  <c r="N35" i="63" s="1"/>
  <c r="L35" i="63"/>
  <c r="AF34" i="63" a="1"/>
  <c r="AF34" i="63" s="1"/>
  <c r="AE34" i="63" a="1"/>
  <c r="AE34" i="63" s="1"/>
  <c r="AD34" i="63" a="1"/>
  <c r="AD34" i="63" s="1"/>
  <c r="U34" i="63"/>
  <c r="V34" i="63" s="1"/>
  <c r="T34" i="63"/>
  <c r="O34" i="63"/>
  <c r="P34" i="63" s="1"/>
  <c r="M34" i="63"/>
  <c r="N34" i="63" s="1"/>
  <c r="L34" i="63"/>
  <c r="AF33" i="63" a="1"/>
  <c r="AF33" i="63" s="1"/>
  <c r="AE33" i="63" a="1"/>
  <c r="AE33" i="63" s="1"/>
  <c r="AD33" i="63" a="1"/>
  <c r="AD33" i="63" s="1"/>
  <c r="U33" i="63"/>
  <c r="V33" i="63" s="1"/>
  <c r="T33" i="63"/>
  <c r="O33" i="63"/>
  <c r="P33" i="63" s="1"/>
  <c r="M33" i="63"/>
  <c r="N33" i="63" s="1"/>
  <c r="L33" i="63"/>
  <c r="AF32" i="63" a="1"/>
  <c r="AF32" i="63" s="1"/>
  <c r="AE32" i="63" a="1"/>
  <c r="AE32" i="63" s="1"/>
  <c r="AD32" i="63" a="1"/>
  <c r="AD32" i="63" s="1"/>
  <c r="U32" i="63"/>
  <c r="V32" i="63" s="1"/>
  <c r="T32" i="63"/>
  <c r="O32" i="63"/>
  <c r="P32" i="63" s="1"/>
  <c r="M32" i="63"/>
  <c r="N32" i="63" s="1"/>
  <c r="L32" i="63"/>
  <c r="AF31" i="63" a="1"/>
  <c r="AF31" i="63" s="1"/>
  <c r="AE31" i="63" a="1"/>
  <c r="AE31" i="63" s="1"/>
  <c r="AD31" i="63" a="1"/>
  <c r="AD31" i="63" s="1"/>
  <c r="U31" i="63"/>
  <c r="V31" i="63" s="1"/>
  <c r="T31" i="63"/>
  <c r="O31" i="63"/>
  <c r="P31" i="63" s="1"/>
  <c r="M31" i="63"/>
  <c r="N31" i="63" s="1"/>
  <c r="L31" i="63"/>
  <c r="AF30" i="63" a="1"/>
  <c r="AF30" i="63" s="1"/>
  <c r="AE30" i="63" a="1"/>
  <c r="AE30" i="63" s="1"/>
  <c r="AD30" i="63" a="1"/>
  <c r="AD30" i="63" s="1"/>
  <c r="U30" i="63"/>
  <c r="V30" i="63" s="1"/>
  <c r="T30" i="63"/>
  <c r="O30" i="63"/>
  <c r="P30" i="63" s="1"/>
  <c r="M30" i="63"/>
  <c r="N30" i="63" s="1"/>
  <c r="L30" i="63"/>
  <c r="AF29" i="63" a="1"/>
  <c r="AF29" i="63" s="1"/>
  <c r="AE29" i="63" a="1"/>
  <c r="AE29" i="63" s="1"/>
  <c r="AD29" i="63" a="1"/>
  <c r="AD29" i="63" s="1"/>
  <c r="U29" i="63"/>
  <c r="V29" i="63" s="1"/>
  <c r="T29" i="63"/>
  <c r="O29" i="63"/>
  <c r="P29" i="63" s="1"/>
  <c r="M29" i="63"/>
  <c r="N29" i="63" s="1"/>
  <c r="L29" i="63"/>
  <c r="AF28" i="63" a="1"/>
  <c r="AF28" i="63" s="1"/>
  <c r="AE28" i="63" a="1"/>
  <c r="AE28" i="63" s="1"/>
  <c r="AD28" i="63" a="1"/>
  <c r="AD28" i="63" s="1"/>
  <c r="U28" i="63"/>
  <c r="V28" i="63" s="1"/>
  <c r="T28" i="63"/>
  <c r="O28" i="63"/>
  <c r="P28" i="63" s="1"/>
  <c r="M28" i="63"/>
  <c r="N28" i="63" s="1"/>
  <c r="L28" i="63"/>
  <c r="AF27" i="63" a="1"/>
  <c r="AF27" i="63" s="1"/>
  <c r="AE27" i="63" a="1"/>
  <c r="AE27" i="63" s="1"/>
  <c r="AD27" i="63" a="1"/>
  <c r="AD27" i="63" s="1"/>
  <c r="U27" i="63"/>
  <c r="V27" i="63" s="1"/>
  <c r="T27" i="63"/>
  <c r="O27" i="63"/>
  <c r="P27" i="63" s="1"/>
  <c r="M27" i="63"/>
  <c r="N27" i="63" s="1"/>
  <c r="L27" i="63"/>
  <c r="S19" i="63"/>
  <c r="R19" i="63"/>
  <c r="S18" i="63"/>
  <c r="R18" i="63"/>
  <c r="AG17" i="63" a="1"/>
  <c r="AG17" i="63" s="1"/>
  <c r="J17" i="63"/>
  <c r="I17" i="63"/>
  <c r="AG16" i="63" a="1"/>
  <c r="AG16" i="63" s="1"/>
  <c r="S16" i="63"/>
  <c r="R16" i="63"/>
  <c r="J16" i="63"/>
  <c r="I16" i="63"/>
  <c r="AG15" i="63" a="1"/>
  <c r="AG15" i="63" s="1"/>
  <c r="S15" i="63"/>
  <c r="R15" i="63"/>
  <c r="CK12" i="63" a="1"/>
  <c r="CK12" i="63" s="1"/>
  <c r="CJ12" i="63" a="1"/>
  <c r="CJ12" i="63" s="1"/>
  <c r="CI12" i="63" a="1"/>
  <c r="CI12" i="63" s="1"/>
  <c r="CH12" i="63" a="1"/>
  <c r="CH12" i="63" s="1"/>
  <c r="CG12" i="63" a="1"/>
  <c r="CG12" i="63" s="1"/>
  <c r="CF12" i="63" a="1"/>
  <c r="CF12" i="63" s="1"/>
  <c r="CE12" i="63" a="1"/>
  <c r="CE12" i="63" s="1"/>
  <c r="CD12" i="63" a="1"/>
  <c r="CD12" i="63" s="1"/>
  <c r="CC12" i="63" a="1"/>
  <c r="CC12" i="63" s="1"/>
  <c r="CB12" i="63" a="1"/>
  <c r="CB12" i="63" s="1"/>
  <c r="CA12" i="63" a="1"/>
  <c r="CA12" i="63" s="1"/>
  <c r="BZ12" i="63" a="1"/>
  <c r="BZ12" i="63" s="1"/>
  <c r="BY12" i="63" a="1"/>
  <c r="BY12" i="63" s="1"/>
  <c r="BX12" i="63" a="1"/>
  <c r="BX12" i="63" s="1"/>
  <c r="BS12" i="63" a="1"/>
  <c r="BS12" i="63" s="1"/>
  <c r="BR12" i="63" a="1"/>
  <c r="BR12" i="63" s="1"/>
  <c r="BQ12" i="63" a="1"/>
  <c r="BQ12" i="63" s="1"/>
  <c r="BO12" i="63" a="1"/>
  <c r="BO12" i="63" s="1"/>
  <c r="AZ12" i="63" a="1"/>
  <c r="AZ12" i="63" s="1"/>
  <c r="BB12" i="63" a="1"/>
  <c r="BB12" i="63" s="1"/>
  <c r="AY12" i="63" a="1"/>
  <c r="AY12" i="63" s="1"/>
  <c r="AX12" i="63" a="1"/>
  <c r="AX12" i="63" s="1"/>
  <c r="BN12" i="63" a="1"/>
  <c r="BN12" i="63" s="1"/>
  <c r="AW12" i="63" a="1"/>
  <c r="AW12" i="63" s="1"/>
  <c r="AV12" i="63" a="1"/>
  <c r="AV12" i="63" s="1"/>
  <c r="AU12" i="63" a="1"/>
  <c r="AU12" i="63" s="1"/>
  <c r="AT12" i="63" a="1"/>
  <c r="AT12" i="63" s="1"/>
  <c r="AR12" i="63" a="1"/>
  <c r="AR12" i="63" s="1"/>
  <c r="AQ12" i="63" a="1"/>
  <c r="AQ12" i="63" s="1"/>
  <c r="AO12" i="63" a="1"/>
  <c r="AO12" i="63" s="1"/>
  <c r="AN12" i="63" a="1"/>
  <c r="AN12" i="63" s="1"/>
  <c r="AK12" i="63" a="1"/>
  <c r="AK12" i="63" s="1"/>
  <c r="AJ12" i="63" a="1"/>
  <c r="AJ12" i="63" s="1"/>
  <c r="AH12" i="63" a="1"/>
  <c r="AH12" i="63" s="1"/>
  <c r="BL12" i="63" a="1"/>
  <c r="BL12" i="63" s="1"/>
  <c r="AG12" i="63" a="1"/>
  <c r="AG12" i="63" s="1"/>
  <c r="AF12" i="63" a="1"/>
  <c r="AF12" i="63" s="1"/>
  <c r="CK10" i="63" a="1"/>
  <c r="CK10" i="63" s="1"/>
  <c r="CJ10" i="63" a="1"/>
  <c r="CJ10" i="63" s="1"/>
  <c r="CI10" i="63" a="1"/>
  <c r="CI10" i="63" s="1"/>
  <c r="CH10" i="63" a="1"/>
  <c r="CH10" i="63" s="1"/>
  <c r="CG10" i="63" a="1"/>
  <c r="CG10" i="63" s="1"/>
  <c r="CF10" i="63" a="1"/>
  <c r="CF10" i="63" s="1"/>
  <c r="CE10" i="63" a="1"/>
  <c r="CE10" i="63" s="1"/>
  <c r="CD10" i="63" a="1"/>
  <c r="CD10" i="63" s="1"/>
  <c r="CC10" i="63" a="1"/>
  <c r="CC10" i="63" s="1"/>
  <c r="CB10" i="63" a="1"/>
  <c r="CB10" i="63" s="1"/>
  <c r="CA10" i="63" a="1"/>
  <c r="CA10" i="63" s="1"/>
  <c r="BZ10" i="63" a="1"/>
  <c r="BZ10" i="63" s="1"/>
  <c r="BY10" i="63" a="1"/>
  <c r="BY10" i="63" s="1"/>
  <c r="BX10" i="63" a="1"/>
  <c r="BX10" i="63" s="1"/>
  <c r="BS10" i="63" a="1"/>
  <c r="BS10" i="63" s="1"/>
  <c r="BR10" i="63" a="1"/>
  <c r="BR10" i="63" s="1"/>
  <c r="BQ10" i="63" a="1"/>
  <c r="BQ10" i="63" s="1"/>
  <c r="BO10" i="63" a="1"/>
  <c r="BO10" i="63" s="1"/>
  <c r="AZ10" i="63" a="1"/>
  <c r="AZ10" i="63" s="1"/>
  <c r="BB10" i="63" a="1"/>
  <c r="BB10" i="63" s="1"/>
  <c r="AY10" i="63" a="1"/>
  <c r="AY10" i="63" s="1"/>
  <c r="AX10" i="63" a="1"/>
  <c r="AX10" i="63" s="1"/>
  <c r="BN10" i="63" a="1"/>
  <c r="BN10" i="63" s="1"/>
  <c r="AW10" i="63" a="1"/>
  <c r="AW10" i="63" s="1"/>
  <c r="AV10" i="63" a="1"/>
  <c r="AV10" i="63" s="1"/>
  <c r="AU10" i="63" a="1"/>
  <c r="AU10" i="63" s="1"/>
  <c r="AT10" i="63" a="1"/>
  <c r="AT10" i="63" s="1"/>
  <c r="AR10" i="63" a="1"/>
  <c r="AR10" i="63" s="1"/>
  <c r="AQ10" i="63" a="1"/>
  <c r="AQ10" i="63" s="1"/>
  <c r="AO10" i="63" a="1"/>
  <c r="AO10" i="63" s="1"/>
  <c r="AN10" i="63" a="1"/>
  <c r="AN10" i="63" s="1"/>
  <c r="AK10" i="63" a="1"/>
  <c r="AK10" i="63" s="1"/>
  <c r="AJ10" i="63" a="1"/>
  <c r="AJ10" i="63" s="1"/>
  <c r="AH10" i="63" a="1"/>
  <c r="AH10" i="63" s="1"/>
  <c r="BL10" i="63" a="1"/>
  <c r="BL10" i="63" s="1"/>
  <c r="AG10" i="63" a="1"/>
  <c r="AG10" i="63" s="1"/>
  <c r="AF10" i="63" a="1"/>
  <c r="AF10" i="63" s="1"/>
  <c r="CK2" i="63" a="1"/>
  <c r="CK2" i="63" s="1"/>
  <c r="CJ2" i="63" a="1"/>
  <c r="CJ2" i="63" s="1"/>
  <c r="CI2" i="63" a="1"/>
  <c r="CI2" i="63" s="1"/>
  <c r="CH2" i="63" a="1"/>
  <c r="CH2" i="63" s="1"/>
  <c r="CG2" i="63" a="1"/>
  <c r="CG2" i="63" s="1"/>
  <c r="CF2" i="63" a="1"/>
  <c r="CF2" i="63" s="1"/>
  <c r="CE2" i="63" a="1"/>
  <c r="CE2" i="63" s="1"/>
  <c r="CD2" i="63" a="1"/>
  <c r="CD2" i="63" s="1"/>
  <c r="CC2" i="63" a="1"/>
  <c r="CC2" i="63" s="1"/>
  <c r="CB2" i="63" a="1"/>
  <c r="CB2" i="63" s="1"/>
  <c r="CA2" i="63" a="1"/>
  <c r="CA2" i="63" s="1"/>
  <c r="BZ2" i="63" a="1"/>
  <c r="BZ2" i="63" s="1"/>
  <c r="BY2" i="63" a="1"/>
  <c r="BY2" i="63" s="1"/>
  <c r="BX2" i="63" a="1"/>
  <c r="BX2" i="63" s="1"/>
  <c r="BS2" i="63" a="1"/>
  <c r="BS2" i="63" s="1"/>
  <c r="BR2" i="63" a="1"/>
  <c r="BR2" i="63" s="1"/>
  <c r="BQ2" i="63" a="1"/>
  <c r="BQ2" i="63" s="1"/>
  <c r="BO2" i="63" a="1"/>
  <c r="BO2" i="63" s="1"/>
  <c r="AZ2" i="63" a="1"/>
  <c r="AZ2" i="63" s="1"/>
  <c r="BB2" i="63" a="1"/>
  <c r="BB2" i="63" s="1"/>
  <c r="AY2" i="63" a="1"/>
  <c r="AY2" i="63" s="1"/>
  <c r="AX2" i="63" a="1"/>
  <c r="AX2" i="63" s="1"/>
  <c r="BN2" i="63" a="1"/>
  <c r="BN2" i="63" s="1"/>
  <c r="AW2" i="63" a="1"/>
  <c r="AW2" i="63" s="1"/>
  <c r="AV2" i="63" a="1"/>
  <c r="AV2" i="63" s="1"/>
  <c r="AU2" i="63" a="1"/>
  <c r="AU2" i="63" s="1"/>
  <c r="AT2" i="63" a="1"/>
  <c r="AT2" i="63" s="1"/>
  <c r="AR2" i="63" a="1"/>
  <c r="AR2" i="63" s="1"/>
  <c r="AQ2" i="63" a="1"/>
  <c r="AQ2" i="63" s="1"/>
  <c r="AO2" i="63" a="1"/>
  <c r="AO2" i="63" s="1"/>
  <c r="AN2" i="63" a="1"/>
  <c r="AN2" i="63" s="1"/>
  <c r="AK2" i="63" a="1"/>
  <c r="AK2" i="63" s="1"/>
  <c r="AJ2" i="63" a="1"/>
  <c r="AJ2" i="63" s="1"/>
  <c r="AH2" i="63" a="1"/>
  <c r="AH2" i="63" s="1"/>
  <c r="BL2" i="63" a="1"/>
  <c r="BL2" i="63" s="1"/>
  <c r="AG2" i="63" a="1"/>
  <c r="AG2" i="63" s="1"/>
  <c r="CK1" i="63"/>
  <c r="CJ1" i="63"/>
  <c r="CI1" i="63"/>
  <c r="CH1" i="63"/>
  <c r="CG1" i="63"/>
  <c r="CF1" i="63"/>
  <c r="CE1" i="63"/>
  <c r="CD1" i="63"/>
  <c r="CC1" i="63"/>
  <c r="CB1" i="63"/>
  <c r="CA1" i="63"/>
  <c r="BZ1" i="63"/>
  <c r="BY1" i="63"/>
  <c r="BX1" i="63"/>
  <c r="BS1" i="63"/>
  <c r="BR1" i="63"/>
  <c r="BQ1" i="63"/>
  <c r="BO1" i="63"/>
  <c r="AZ1" i="63"/>
  <c r="BB1" i="63"/>
  <c r="AY1" i="63"/>
  <c r="AX1" i="63"/>
  <c r="BN1" i="63"/>
  <c r="AW1" i="63"/>
  <c r="AV1" i="63"/>
  <c r="AU1" i="63"/>
  <c r="AT1" i="63"/>
  <c r="AR1" i="63"/>
  <c r="AQ1" i="63"/>
  <c r="AO1" i="63"/>
  <c r="AN1" i="63"/>
  <c r="AK1" i="63"/>
  <c r="AJ1" i="63"/>
  <c r="AH1" i="63"/>
  <c r="BL1" i="63"/>
  <c r="AG1" i="63"/>
  <c r="AF128" i="62" a="1"/>
  <c r="AF128" i="62" s="1"/>
  <c r="AE128" i="62" a="1"/>
  <c r="AE128" i="62" s="1"/>
  <c r="AD128" i="62" a="1"/>
  <c r="AD128" i="62" s="1"/>
  <c r="T128" i="62"/>
  <c r="R128" i="62"/>
  <c r="N128" i="62"/>
  <c r="M128" i="62"/>
  <c r="L128" i="62"/>
  <c r="F128" i="62"/>
  <c r="D128" i="62"/>
  <c r="AF127" i="62" a="1"/>
  <c r="AF127" i="62" s="1"/>
  <c r="AE127" i="62" a="1"/>
  <c r="AE127" i="62" s="1"/>
  <c r="AD127" i="62" a="1"/>
  <c r="AD127" i="62" s="1"/>
  <c r="T127" i="62"/>
  <c r="R127" i="62"/>
  <c r="N127" i="62"/>
  <c r="M127" i="62"/>
  <c r="L127" i="62"/>
  <c r="F127" i="62"/>
  <c r="D127" i="62"/>
  <c r="AF126" i="62" a="1"/>
  <c r="AF126" i="62" s="1"/>
  <c r="AE126" i="62" a="1"/>
  <c r="AE126" i="62" s="1"/>
  <c r="AD126" i="62" a="1"/>
  <c r="AD126" i="62" s="1"/>
  <c r="T126" i="62"/>
  <c r="R126" i="62"/>
  <c r="N126" i="62"/>
  <c r="M126" i="62"/>
  <c r="L126" i="62"/>
  <c r="F126" i="62"/>
  <c r="D126" i="62"/>
  <c r="AF125" i="62" a="1"/>
  <c r="AF125" i="62" s="1"/>
  <c r="AE125" i="62" a="1"/>
  <c r="AE125" i="62" s="1"/>
  <c r="AD125" i="62" a="1"/>
  <c r="AD125" i="62" s="1"/>
  <c r="T125" i="62"/>
  <c r="R125" i="62"/>
  <c r="N125" i="62"/>
  <c r="M125" i="62"/>
  <c r="L125" i="62"/>
  <c r="F125" i="62"/>
  <c r="D125" i="62"/>
  <c r="AF124" i="62" a="1"/>
  <c r="AF124" i="62" s="1"/>
  <c r="AE124" i="62" a="1"/>
  <c r="AE124" i="62" s="1"/>
  <c r="AD124" i="62" a="1"/>
  <c r="AD124" i="62" s="1"/>
  <c r="T124" i="62"/>
  <c r="R124" i="62"/>
  <c r="N124" i="62"/>
  <c r="M124" i="62"/>
  <c r="L124" i="62"/>
  <c r="F124" i="62"/>
  <c r="D124" i="62"/>
  <c r="AF123" i="62" a="1"/>
  <c r="AF123" i="62" s="1"/>
  <c r="AE123" i="62" a="1"/>
  <c r="AE123" i="62" s="1"/>
  <c r="AD123" i="62" a="1"/>
  <c r="AD123" i="62" s="1"/>
  <c r="T123" i="62"/>
  <c r="R123" i="62"/>
  <c r="N123" i="62"/>
  <c r="M123" i="62"/>
  <c r="L123" i="62"/>
  <c r="F123" i="62"/>
  <c r="D123" i="62"/>
  <c r="AF122" i="62" a="1"/>
  <c r="AF122" i="62" s="1"/>
  <c r="AE122" i="62" a="1"/>
  <c r="AE122" i="62" s="1"/>
  <c r="AD122" i="62" a="1"/>
  <c r="AD122" i="62" s="1"/>
  <c r="T122" i="62"/>
  <c r="R122" i="62"/>
  <c r="N122" i="62"/>
  <c r="M122" i="62"/>
  <c r="L122" i="62"/>
  <c r="F122" i="62"/>
  <c r="D122" i="62"/>
  <c r="AF121" i="62" a="1"/>
  <c r="AF121" i="62" s="1"/>
  <c r="AE121" i="62" a="1"/>
  <c r="AE121" i="62" s="1"/>
  <c r="AD121" i="62" a="1"/>
  <c r="AD121" i="62" s="1"/>
  <c r="T121" i="62"/>
  <c r="R121" i="62"/>
  <c r="N121" i="62"/>
  <c r="M121" i="62"/>
  <c r="L121" i="62"/>
  <c r="F121" i="62"/>
  <c r="D121" i="62"/>
  <c r="AF120" i="62" a="1"/>
  <c r="AF120" i="62" s="1"/>
  <c r="AE120" i="62" a="1"/>
  <c r="AE120" i="62" s="1"/>
  <c r="AD120" i="62" a="1"/>
  <c r="AD120" i="62" s="1"/>
  <c r="T120" i="62"/>
  <c r="R120" i="62"/>
  <c r="N120" i="62"/>
  <c r="M120" i="62"/>
  <c r="L120" i="62"/>
  <c r="F120" i="62"/>
  <c r="D120" i="62"/>
  <c r="AF119" i="62" a="1"/>
  <c r="AF119" i="62" s="1"/>
  <c r="AE119" i="62" a="1"/>
  <c r="AE119" i="62" s="1"/>
  <c r="AD119" i="62" a="1"/>
  <c r="AD119" i="62" s="1"/>
  <c r="T119" i="62"/>
  <c r="R119" i="62"/>
  <c r="N119" i="62"/>
  <c r="M119" i="62"/>
  <c r="L119" i="62"/>
  <c r="F119" i="62"/>
  <c r="D119" i="62"/>
  <c r="AF118" i="62" a="1"/>
  <c r="AF118" i="62" s="1"/>
  <c r="AE118" i="62" a="1"/>
  <c r="AE118" i="62" s="1"/>
  <c r="AD118" i="62" a="1"/>
  <c r="AD118" i="62" s="1"/>
  <c r="T118" i="62"/>
  <c r="R118" i="62"/>
  <c r="N118" i="62"/>
  <c r="M118" i="62"/>
  <c r="L118" i="62"/>
  <c r="F118" i="62"/>
  <c r="D118" i="62"/>
  <c r="AF117" i="62" a="1"/>
  <c r="AF117" i="62" s="1"/>
  <c r="AE117" i="62" a="1"/>
  <c r="AE117" i="62" s="1"/>
  <c r="AD117" i="62" a="1"/>
  <c r="AD117" i="62" s="1"/>
  <c r="T117" i="62"/>
  <c r="R117" i="62"/>
  <c r="N117" i="62"/>
  <c r="M117" i="62"/>
  <c r="L117" i="62"/>
  <c r="F117" i="62"/>
  <c r="D117" i="62"/>
  <c r="AF116" i="62" a="1"/>
  <c r="AF116" i="62" s="1"/>
  <c r="AE116" i="62" a="1"/>
  <c r="AE116" i="62" s="1"/>
  <c r="AD116" i="62" a="1"/>
  <c r="AD116" i="62" s="1"/>
  <c r="T116" i="62"/>
  <c r="R116" i="62"/>
  <c r="N116" i="62"/>
  <c r="M116" i="62"/>
  <c r="L116" i="62"/>
  <c r="F116" i="62"/>
  <c r="D116" i="62"/>
  <c r="AF115" i="62" a="1"/>
  <c r="AF115" i="62" s="1"/>
  <c r="AE115" i="62" a="1"/>
  <c r="AE115" i="62" s="1"/>
  <c r="AD115" i="62" a="1"/>
  <c r="AD115" i="62" s="1"/>
  <c r="T115" i="62"/>
  <c r="R115" i="62"/>
  <c r="N115" i="62"/>
  <c r="M115" i="62"/>
  <c r="L115" i="62"/>
  <c r="F115" i="62"/>
  <c r="D115" i="62"/>
  <c r="AF114" i="62" a="1"/>
  <c r="AF114" i="62" s="1"/>
  <c r="AE114" i="62" a="1"/>
  <c r="AE114" i="62" s="1"/>
  <c r="AD114" i="62" a="1"/>
  <c r="AD114" i="62" s="1"/>
  <c r="T114" i="62"/>
  <c r="R114" i="62"/>
  <c r="N114" i="62"/>
  <c r="M114" i="62"/>
  <c r="L114" i="62"/>
  <c r="F114" i="62"/>
  <c r="D114" i="62"/>
  <c r="AF113" i="62" a="1"/>
  <c r="AF113" i="62" s="1"/>
  <c r="AE113" i="62" a="1"/>
  <c r="AE113" i="62" s="1"/>
  <c r="AD113" i="62" a="1"/>
  <c r="AD113" i="62" s="1"/>
  <c r="T113" i="62"/>
  <c r="R113" i="62"/>
  <c r="N113" i="62"/>
  <c r="M113" i="62"/>
  <c r="L113" i="62"/>
  <c r="F113" i="62"/>
  <c r="D113" i="62"/>
  <c r="AF112" i="62" a="1"/>
  <c r="AF112" i="62" s="1"/>
  <c r="AE112" i="62" a="1"/>
  <c r="AE112" i="62" s="1"/>
  <c r="AD112" i="62" a="1"/>
  <c r="AD112" i="62" s="1"/>
  <c r="T112" i="62"/>
  <c r="R112" i="62"/>
  <c r="N112" i="62"/>
  <c r="M112" i="62"/>
  <c r="L112" i="62"/>
  <c r="F112" i="62"/>
  <c r="D112" i="62"/>
  <c r="AF111" i="62" a="1"/>
  <c r="AF111" i="62" s="1"/>
  <c r="AE111" i="62" a="1"/>
  <c r="AE111" i="62" s="1"/>
  <c r="AD111" i="62" a="1"/>
  <c r="AD111" i="62" s="1"/>
  <c r="T111" i="62"/>
  <c r="R111" i="62"/>
  <c r="N111" i="62"/>
  <c r="M111" i="62"/>
  <c r="L111" i="62"/>
  <c r="F111" i="62"/>
  <c r="D111" i="62"/>
  <c r="AF110" i="62" a="1"/>
  <c r="AF110" i="62" s="1"/>
  <c r="AE110" i="62" a="1"/>
  <c r="AE110" i="62" s="1"/>
  <c r="AD110" i="62" a="1"/>
  <c r="AD110" i="62" s="1"/>
  <c r="T110" i="62"/>
  <c r="R110" i="62"/>
  <c r="N110" i="62"/>
  <c r="M110" i="62"/>
  <c r="L110" i="62"/>
  <c r="F110" i="62"/>
  <c r="D110" i="62"/>
  <c r="AF109" i="62" a="1"/>
  <c r="AF109" i="62" s="1"/>
  <c r="AE109" i="62" a="1"/>
  <c r="AE109" i="62" s="1"/>
  <c r="AD109" i="62" a="1"/>
  <c r="AD109" i="62" s="1"/>
  <c r="T109" i="62"/>
  <c r="R109" i="62"/>
  <c r="N109" i="62"/>
  <c r="M109" i="62"/>
  <c r="L109" i="62"/>
  <c r="F109" i="62"/>
  <c r="D109" i="62"/>
  <c r="AF108" i="62" a="1"/>
  <c r="AF108" i="62" s="1"/>
  <c r="AE108" i="62" a="1"/>
  <c r="AE108" i="62" s="1"/>
  <c r="AD108" i="62" a="1"/>
  <c r="AD108" i="62" s="1"/>
  <c r="T108" i="62"/>
  <c r="R108" i="62"/>
  <c r="N108" i="62"/>
  <c r="M108" i="62"/>
  <c r="L108" i="62"/>
  <c r="F108" i="62"/>
  <c r="D108" i="62"/>
  <c r="AF107" i="62" a="1"/>
  <c r="AF107" i="62" s="1"/>
  <c r="AE107" i="62" a="1"/>
  <c r="AE107" i="62" s="1"/>
  <c r="AD107" i="62" a="1"/>
  <c r="AD107" i="62" s="1"/>
  <c r="T107" i="62"/>
  <c r="R107" i="62"/>
  <c r="N107" i="62"/>
  <c r="M107" i="62"/>
  <c r="L107" i="62"/>
  <c r="F107" i="62"/>
  <c r="D107" i="62"/>
  <c r="AF106" i="62" a="1"/>
  <c r="AF106" i="62" s="1"/>
  <c r="AE106" i="62" a="1"/>
  <c r="AE106" i="62" s="1"/>
  <c r="AD106" i="62" a="1"/>
  <c r="AD106" i="62" s="1"/>
  <c r="T106" i="62"/>
  <c r="R106" i="62"/>
  <c r="N106" i="62"/>
  <c r="M106" i="62"/>
  <c r="L106" i="62"/>
  <c r="F106" i="62"/>
  <c r="D106" i="62"/>
  <c r="AF105" i="62" a="1"/>
  <c r="AF105" i="62" s="1"/>
  <c r="AE105" i="62" a="1"/>
  <c r="AE105" i="62" s="1"/>
  <c r="AD105" i="62" a="1"/>
  <c r="AD105" i="62" s="1"/>
  <c r="T105" i="62"/>
  <c r="R105" i="62"/>
  <c r="N105" i="62"/>
  <c r="M105" i="62"/>
  <c r="L105" i="62"/>
  <c r="F105" i="62"/>
  <c r="D105" i="62"/>
  <c r="AF104" i="62" a="1"/>
  <c r="AF104" i="62" s="1"/>
  <c r="AE104" i="62" a="1"/>
  <c r="AE104" i="62" s="1"/>
  <c r="AD104" i="62" a="1"/>
  <c r="AD104" i="62" s="1"/>
  <c r="T104" i="62"/>
  <c r="R104" i="62"/>
  <c r="N104" i="62"/>
  <c r="M104" i="62"/>
  <c r="L104" i="62"/>
  <c r="F104" i="62"/>
  <c r="D104" i="62"/>
  <c r="AF103" i="62" a="1"/>
  <c r="AF103" i="62" s="1"/>
  <c r="AE103" i="62" a="1"/>
  <c r="AE103" i="62" s="1"/>
  <c r="AD103" i="62" a="1"/>
  <c r="AD103" i="62" s="1"/>
  <c r="T103" i="62"/>
  <c r="R103" i="62"/>
  <c r="N103" i="62"/>
  <c r="M103" i="62"/>
  <c r="L103" i="62"/>
  <c r="F103" i="62"/>
  <c r="D103" i="62"/>
  <c r="AF102" i="62" a="1"/>
  <c r="AF102" i="62" s="1"/>
  <c r="AE102" i="62" a="1"/>
  <c r="AE102" i="62" s="1"/>
  <c r="AD102" i="62" a="1"/>
  <c r="AD102" i="62" s="1"/>
  <c r="T102" i="62"/>
  <c r="R102" i="62"/>
  <c r="N102" i="62"/>
  <c r="M102" i="62"/>
  <c r="L102" i="62"/>
  <c r="F102" i="62"/>
  <c r="D102" i="62"/>
  <c r="AF101" i="62" a="1"/>
  <c r="AF101" i="62" s="1"/>
  <c r="AE101" i="62" a="1"/>
  <c r="AE101" i="62" s="1"/>
  <c r="AD101" i="62" a="1"/>
  <c r="AD101" i="62" s="1"/>
  <c r="T101" i="62"/>
  <c r="R101" i="62"/>
  <c r="N101" i="62"/>
  <c r="M101" i="62"/>
  <c r="L101" i="62"/>
  <c r="F101" i="62"/>
  <c r="D101" i="62"/>
  <c r="AF100" i="62" a="1"/>
  <c r="AF100" i="62" s="1"/>
  <c r="AE100" i="62" a="1"/>
  <c r="AE100" i="62" s="1"/>
  <c r="AD100" i="62" a="1"/>
  <c r="AD100" i="62" s="1"/>
  <c r="T100" i="62"/>
  <c r="R100" i="62"/>
  <c r="N100" i="62"/>
  <c r="M100" i="62"/>
  <c r="L100" i="62"/>
  <c r="F100" i="62"/>
  <c r="D100" i="62"/>
  <c r="AF99" i="62" a="1"/>
  <c r="AF99" i="62" s="1"/>
  <c r="AE99" i="62" a="1"/>
  <c r="AE99" i="62" s="1"/>
  <c r="AD99" i="62" a="1"/>
  <c r="AD99" i="62" s="1"/>
  <c r="T99" i="62"/>
  <c r="R99" i="62"/>
  <c r="N99" i="62"/>
  <c r="M99" i="62"/>
  <c r="L99" i="62"/>
  <c r="F99" i="62"/>
  <c r="D99" i="62"/>
  <c r="AF98" i="62" a="1"/>
  <c r="AF98" i="62" s="1"/>
  <c r="AE98" i="62" a="1"/>
  <c r="AE98" i="62" s="1"/>
  <c r="AD98" i="62" a="1"/>
  <c r="AD98" i="62" s="1"/>
  <c r="T98" i="62"/>
  <c r="R98" i="62"/>
  <c r="N98" i="62"/>
  <c r="M98" i="62"/>
  <c r="L98" i="62"/>
  <c r="F98" i="62"/>
  <c r="D98" i="62"/>
  <c r="AF97" i="62" a="1"/>
  <c r="AF97" i="62" s="1"/>
  <c r="AE97" i="62" a="1"/>
  <c r="AE97" i="62" s="1"/>
  <c r="AD97" i="62" a="1"/>
  <c r="AD97" i="62" s="1"/>
  <c r="T97" i="62"/>
  <c r="R97" i="62"/>
  <c r="N97" i="62"/>
  <c r="M97" i="62"/>
  <c r="L97" i="62"/>
  <c r="F97" i="62"/>
  <c r="D97" i="62"/>
  <c r="AF96" i="62" a="1"/>
  <c r="AF96" i="62" s="1"/>
  <c r="AE96" i="62" a="1"/>
  <c r="AE96" i="62" s="1"/>
  <c r="AD96" i="62" a="1"/>
  <c r="AD96" i="62" s="1"/>
  <c r="T96" i="62"/>
  <c r="R96" i="62"/>
  <c r="N96" i="62"/>
  <c r="M96" i="62"/>
  <c r="L96" i="62"/>
  <c r="F96" i="62"/>
  <c r="D96" i="62"/>
  <c r="AF95" i="62" a="1"/>
  <c r="AF95" i="62" s="1"/>
  <c r="AE95" i="62" a="1"/>
  <c r="AE95" i="62" s="1"/>
  <c r="AD95" i="62" a="1"/>
  <c r="AD95" i="62" s="1"/>
  <c r="T95" i="62"/>
  <c r="R95" i="62"/>
  <c r="N95" i="62"/>
  <c r="M95" i="62"/>
  <c r="L95" i="62"/>
  <c r="F95" i="62"/>
  <c r="D95" i="62"/>
  <c r="AF94" i="62" a="1"/>
  <c r="AF94" i="62" s="1"/>
  <c r="AE94" i="62" a="1"/>
  <c r="AE94" i="62" s="1"/>
  <c r="AD94" i="62" a="1"/>
  <c r="AD94" i="62" s="1"/>
  <c r="T94" i="62"/>
  <c r="R94" i="62"/>
  <c r="N94" i="62"/>
  <c r="M94" i="62"/>
  <c r="L94" i="62"/>
  <c r="F94" i="62"/>
  <c r="D94" i="62"/>
  <c r="AF93" i="62" a="1"/>
  <c r="AF93" i="62" s="1"/>
  <c r="AE93" i="62" a="1"/>
  <c r="AE93" i="62" s="1"/>
  <c r="AD93" i="62" a="1"/>
  <c r="AD93" i="62" s="1"/>
  <c r="T93" i="62"/>
  <c r="R93" i="62"/>
  <c r="N93" i="62"/>
  <c r="M93" i="62"/>
  <c r="L93" i="62"/>
  <c r="F93" i="62"/>
  <c r="D93" i="62"/>
  <c r="AF92" i="62" a="1"/>
  <c r="AF92" i="62" s="1"/>
  <c r="AE92" i="62" a="1"/>
  <c r="AE92" i="62" s="1"/>
  <c r="AD92" i="62" a="1"/>
  <c r="AD92" i="62" s="1"/>
  <c r="T92" i="62"/>
  <c r="R92" i="62"/>
  <c r="N92" i="62"/>
  <c r="M92" i="62"/>
  <c r="L92" i="62"/>
  <c r="F92" i="62"/>
  <c r="D92" i="62"/>
  <c r="AF91" i="62" a="1"/>
  <c r="AF91" i="62" s="1"/>
  <c r="AE91" i="62" a="1"/>
  <c r="AE91" i="62" s="1"/>
  <c r="AD91" i="62" a="1"/>
  <c r="AD91" i="62" s="1"/>
  <c r="T91" i="62"/>
  <c r="R91" i="62"/>
  <c r="N91" i="62"/>
  <c r="M91" i="62"/>
  <c r="L91" i="62"/>
  <c r="F91" i="62"/>
  <c r="D91" i="62"/>
  <c r="AF90" i="62" a="1"/>
  <c r="AF90" i="62" s="1"/>
  <c r="AE90" i="62" a="1"/>
  <c r="AE90" i="62" s="1"/>
  <c r="AD90" i="62" a="1"/>
  <c r="AD90" i="62" s="1"/>
  <c r="T90" i="62"/>
  <c r="R90" i="62"/>
  <c r="N90" i="62"/>
  <c r="M90" i="62"/>
  <c r="L90" i="62"/>
  <c r="F90" i="62"/>
  <c r="D90" i="62"/>
  <c r="AF89" i="62" a="1"/>
  <c r="AF89" i="62" s="1"/>
  <c r="AE89" i="62" a="1"/>
  <c r="AE89" i="62" s="1"/>
  <c r="AD89" i="62" a="1"/>
  <c r="AD89" i="62" s="1"/>
  <c r="T89" i="62"/>
  <c r="R89" i="62"/>
  <c r="N89" i="62"/>
  <c r="M89" i="62"/>
  <c r="L89" i="62"/>
  <c r="F89" i="62"/>
  <c r="D89" i="62"/>
  <c r="AF88" i="62" a="1"/>
  <c r="AF88" i="62" s="1"/>
  <c r="AE88" i="62" a="1"/>
  <c r="AE88" i="62" s="1"/>
  <c r="AD88" i="62" a="1"/>
  <c r="AD88" i="62" s="1"/>
  <c r="T88" i="62"/>
  <c r="R88" i="62"/>
  <c r="N88" i="62"/>
  <c r="M88" i="62"/>
  <c r="L88" i="62"/>
  <c r="F88" i="62"/>
  <c r="D88" i="62"/>
  <c r="AF87" i="62" a="1"/>
  <c r="AF87" i="62" s="1"/>
  <c r="AE87" i="62" a="1"/>
  <c r="AE87" i="62" s="1"/>
  <c r="AD87" i="62" a="1"/>
  <c r="AD87" i="62" s="1"/>
  <c r="T87" i="62"/>
  <c r="R87" i="62"/>
  <c r="N87" i="62"/>
  <c r="M87" i="62"/>
  <c r="L87" i="62"/>
  <c r="F87" i="62"/>
  <c r="D87" i="62"/>
  <c r="AF86" i="62" a="1"/>
  <c r="AF86" i="62" s="1"/>
  <c r="AE86" i="62" a="1"/>
  <c r="AE86" i="62" s="1"/>
  <c r="AD86" i="62" a="1"/>
  <c r="AD86" i="62" s="1"/>
  <c r="T86" i="62"/>
  <c r="R86" i="62"/>
  <c r="N86" i="62"/>
  <c r="M86" i="62"/>
  <c r="L86" i="62"/>
  <c r="F86" i="62"/>
  <c r="D86" i="62"/>
  <c r="AF85" i="62" a="1"/>
  <c r="AF85" i="62" s="1"/>
  <c r="AE85" i="62" a="1"/>
  <c r="AE85" i="62" s="1"/>
  <c r="AD85" i="62" a="1"/>
  <c r="AD85" i="62" s="1"/>
  <c r="T85" i="62"/>
  <c r="R85" i="62"/>
  <c r="N85" i="62"/>
  <c r="M85" i="62"/>
  <c r="L85" i="62"/>
  <c r="F85" i="62"/>
  <c r="D85" i="62"/>
  <c r="AF84" i="62" a="1"/>
  <c r="AF84" i="62" s="1"/>
  <c r="AE84" i="62" a="1"/>
  <c r="AE84" i="62" s="1"/>
  <c r="AD84" i="62" a="1"/>
  <c r="AD84" i="62" s="1"/>
  <c r="T84" i="62"/>
  <c r="R84" i="62"/>
  <c r="N84" i="62"/>
  <c r="M84" i="62"/>
  <c r="L84" i="62"/>
  <c r="F84" i="62"/>
  <c r="D84" i="62"/>
  <c r="AF83" i="62" a="1"/>
  <c r="AF83" i="62" s="1"/>
  <c r="AE83" i="62" a="1"/>
  <c r="AE83" i="62" s="1"/>
  <c r="AD83" i="62" a="1"/>
  <c r="AD83" i="62" s="1"/>
  <c r="T83" i="62"/>
  <c r="R83" i="62"/>
  <c r="N83" i="62"/>
  <c r="M83" i="62"/>
  <c r="L83" i="62"/>
  <c r="F83" i="62"/>
  <c r="D83" i="62"/>
  <c r="AF82" i="62" a="1"/>
  <c r="AF82" i="62" s="1"/>
  <c r="AE82" i="62" a="1"/>
  <c r="AE82" i="62" s="1"/>
  <c r="AD82" i="62" a="1"/>
  <c r="AD82" i="62" s="1"/>
  <c r="T82" i="62"/>
  <c r="R82" i="62"/>
  <c r="N82" i="62"/>
  <c r="M82" i="62"/>
  <c r="L82" i="62"/>
  <c r="F82" i="62"/>
  <c r="D82" i="62"/>
  <c r="AF81" i="62" a="1"/>
  <c r="AF81" i="62" s="1"/>
  <c r="AE81" i="62" a="1"/>
  <c r="AE81" i="62" s="1"/>
  <c r="AD81" i="62" a="1"/>
  <c r="AD81" i="62" s="1"/>
  <c r="T81" i="62"/>
  <c r="R81" i="62"/>
  <c r="N81" i="62"/>
  <c r="M81" i="62"/>
  <c r="L81" i="62"/>
  <c r="F81" i="62"/>
  <c r="D81" i="62"/>
  <c r="AF80" i="62" a="1"/>
  <c r="AF80" i="62" s="1"/>
  <c r="AE80" i="62" a="1"/>
  <c r="AE80" i="62" s="1"/>
  <c r="AD80" i="62" a="1"/>
  <c r="AD80" i="62" s="1"/>
  <c r="T80" i="62"/>
  <c r="R80" i="62"/>
  <c r="N80" i="62"/>
  <c r="M80" i="62"/>
  <c r="L80" i="62"/>
  <c r="F80" i="62"/>
  <c r="D80" i="62"/>
  <c r="AF79" i="62" a="1"/>
  <c r="AF79" i="62" s="1"/>
  <c r="AE79" i="62" a="1"/>
  <c r="AE79" i="62" s="1"/>
  <c r="AD79" i="62" a="1"/>
  <c r="AD79" i="62" s="1"/>
  <c r="T79" i="62"/>
  <c r="R79" i="62"/>
  <c r="N79" i="62"/>
  <c r="M79" i="62"/>
  <c r="L79" i="62"/>
  <c r="F79" i="62"/>
  <c r="D79" i="62"/>
  <c r="AF78" i="62" a="1"/>
  <c r="AF78" i="62" s="1"/>
  <c r="AE78" i="62" a="1"/>
  <c r="AE78" i="62" s="1"/>
  <c r="AD78" i="62" a="1"/>
  <c r="AD78" i="62" s="1"/>
  <c r="T78" i="62"/>
  <c r="R78" i="62"/>
  <c r="N78" i="62"/>
  <c r="M78" i="62"/>
  <c r="L78" i="62"/>
  <c r="F78" i="62"/>
  <c r="D78" i="62"/>
  <c r="AF77" i="62" a="1"/>
  <c r="AF77" i="62" s="1"/>
  <c r="AE77" i="62" a="1"/>
  <c r="AE77" i="62" s="1"/>
  <c r="AD77" i="62" a="1"/>
  <c r="AD77" i="62" s="1"/>
  <c r="T77" i="62"/>
  <c r="R77" i="62"/>
  <c r="N77" i="62"/>
  <c r="M77" i="62"/>
  <c r="L77" i="62"/>
  <c r="F77" i="62"/>
  <c r="D77" i="62"/>
  <c r="AF76" i="62" a="1"/>
  <c r="AF76" i="62" s="1"/>
  <c r="AE76" i="62" a="1"/>
  <c r="AE76" i="62" s="1"/>
  <c r="AD76" i="62" a="1"/>
  <c r="AD76" i="62" s="1"/>
  <c r="T76" i="62"/>
  <c r="R76" i="62"/>
  <c r="N76" i="62"/>
  <c r="M76" i="62"/>
  <c r="L76" i="62"/>
  <c r="F76" i="62"/>
  <c r="D76" i="62"/>
  <c r="AF75" i="62" a="1"/>
  <c r="AF75" i="62" s="1"/>
  <c r="AE75" i="62" a="1"/>
  <c r="AE75" i="62" s="1"/>
  <c r="AD75" i="62" a="1"/>
  <c r="AD75" i="62" s="1"/>
  <c r="T75" i="62"/>
  <c r="R75" i="62"/>
  <c r="N75" i="62"/>
  <c r="M75" i="62"/>
  <c r="L75" i="62"/>
  <c r="F75" i="62"/>
  <c r="D75" i="62"/>
  <c r="AF74" i="62" a="1"/>
  <c r="AF74" i="62" s="1"/>
  <c r="AE74" i="62" a="1"/>
  <c r="AE74" i="62" s="1"/>
  <c r="AD74" i="62" a="1"/>
  <c r="AD74" i="62" s="1"/>
  <c r="T74" i="62"/>
  <c r="R74" i="62"/>
  <c r="N74" i="62"/>
  <c r="M74" i="62"/>
  <c r="L74" i="62"/>
  <c r="F74" i="62"/>
  <c r="D74" i="62"/>
  <c r="AF73" i="62" a="1"/>
  <c r="AF73" i="62" s="1"/>
  <c r="AE73" i="62" a="1"/>
  <c r="AE73" i="62" s="1"/>
  <c r="AD73" i="62" a="1"/>
  <c r="AD73" i="62" s="1"/>
  <c r="T73" i="62"/>
  <c r="R73" i="62"/>
  <c r="N73" i="62"/>
  <c r="M73" i="62"/>
  <c r="L73" i="62"/>
  <c r="F73" i="62"/>
  <c r="D73" i="62"/>
  <c r="AF72" i="62" a="1"/>
  <c r="AF72" i="62" s="1"/>
  <c r="AE72" i="62" a="1"/>
  <c r="AE72" i="62" s="1"/>
  <c r="AD72" i="62" a="1"/>
  <c r="AD72" i="62" s="1"/>
  <c r="T72" i="62"/>
  <c r="R72" i="62"/>
  <c r="N72" i="62"/>
  <c r="M72" i="62"/>
  <c r="L72" i="62"/>
  <c r="F72" i="62"/>
  <c r="D72" i="62"/>
  <c r="AF71" i="62" a="1"/>
  <c r="AF71" i="62" s="1"/>
  <c r="AE71" i="62" a="1"/>
  <c r="AE71" i="62" s="1"/>
  <c r="AD71" i="62" a="1"/>
  <c r="AD71" i="62" s="1"/>
  <c r="T71" i="62"/>
  <c r="R71" i="62"/>
  <c r="N71" i="62"/>
  <c r="M71" i="62"/>
  <c r="L71" i="62"/>
  <c r="F71" i="62"/>
  <c r="D71" i="62"/>
  <c r="AF67" i="62" a="1"/>
  <c r="AF67" i="62" s="1"/>
  <c r="AE67" i="62" a="1"/>
  <c r="AE67" i="62" s="1"/>
  <c r="AD67" i="62" a="1"/>
  <c r="AD67" i="62" s="1"/>
  <c r="T67" i="62"/>
  <c r="AF66" i="62" a="1"/>
  <c r="AF66" i="62" s="1"/>
  <c r="AE66" i="62" a="1"/>
  <c r="AE66" i="62" s="1"/>
  <c r="AD66" i="62" a="1"/>
  <c r="AD66" i="62" s="1"/>
  <c r="T66" i="62"/>
  <c r="M66" i="62"/>
  <c r="N66" i="62" s="1"/>
  <c r="L66" i="62"/>
  <c r="AF65" i="62" a="1"/>
  <c r="AF65" i="62" s="1"/>
  <c r="AE65" i="62" a="1"/>
  <c r="AE65" i="62" s="1"/>
  <c r="AD65" i="62" a="1"/>
  <c r="AD65" i="62" s="1"/>
  <c r="T65" i="62"/>
  <c r="M65" i="62"/>
  <c r="N65" i="62" s="1"/>
  <c r="L65" i="62"/>
  <c r="AF64" i="62" a="1"/>
  <c r="AF64" i="62" s="1"/>
  <c r="AE64" i="62" a="1"/>
  <c r="AE64" i="62" s="1"/>
  <c r="AD64" i="62" a="1"/>
  <c r="AD64" i="62" s="1"/>
  <c r="T64" i="62"/>
  <c r="M64" i="62"/>
  <c r="N64" i="62" s="1"/>
  <c r="L64" i="62"/>
  <c r="AF63" i="62" a="1"/>
  <c r="AF63" i="62" s="1"/>
  <c r="AE63" i="62" a="1"/>
  <c r="AE63" i="62" s="1"/>
  <c r="AD63" i="62" a="1"/>
  <c r="AD63" i="62" s="1"/>
  <c r="T63" i="62"/>
  <c r="M63" i="62"/>
  <c r="N63" i="62" s="1"/>
  <c r="L63" i="62"/>
  <c r="AF62" i="62" a="1"/>
  <c r="AF62" i="62" s="1"/>
  <c r="AE62" i="62" a="1"/>
  <c r="AE62" i="62" s="1"/>
  <c r="AD62" i="62" a="1"/>
  <c r="AD62" i="62" s="1"/>
  <c r="T62" i="62"/>
  <c r="M62" i="62"/>
  <c r="N62" i="62" s="1"/>
  <c r="L62" i="62"/>
  <c r="AF61" i="62" a="1"/>
  <c r="AF61" i="62" s="1"/>
  <c r="AE61" i="62" a="1"/>
  <c r="AE61" i="62" s="1"/>
  <c r="AD61" i="62" a="1"/>
  <c r="AD61" i="62" s="1"/>
  <c r="T61" i="62"/>
  <c r="M61" i="62"/>
  <c r="N61" i="62" s="1"/>
  <c r="L61" i="62"/>
  <c r="AF60" i="62" a="1"/>
  <c r="AF60" i="62" s="1"/>
  <c r="AE60" i="62" a="1"/>
  <c r="AE60" i="62" s="1"/>
  <c r="AD60" i="62" a="1"/>
  <c r="AD60" i="62" s="1"/>
  <c r="T60" i="62"/>
  <c r="M60" i="62"/>
  <c r="N60" i="62" s="1"/>
  <c r="L60" i="62"/>
  <c r="AF59" i="62" a="1"/>
  <c r="AF59" i="62" s="1"/>
  <c r="AE59" i="62" a="1"/>
  <c r="AE59" i="62" s="1"/>
  <c r="AD59" i="62" a="1"/>
  <c r="AD59" i="62" s="1"/>
  <c r="T59" i="62"/>
  <c r="M59" i="62"/>
  <c r="N59" i="62" s="1"/>
  <c r="L59" i="62"/>
  <c r="AF58" i="62" a="1"/>
  <c r="AF58" i="62" s="1"/>
  <c r="AE58" i="62" a="1"/>
  <c r="AE58" i="62" s="1"/>
  <c r="AD58" i="62" a="1"/>
  <c r="AD58" i="62" s="1"/>
  <c r="T58" i="62"/>
  <c r="M58" i="62"/>
  <c r="N58" i="62" s="1"/>
  <c r="L58" i="62"/>
  <c r="AF57" i="62" a="1"/>
  <c r="AF57" i="62" s="1"/>
  <c r="AE57" i="62" a="1"/>
  <c r="AE57" i="62" s="1"/>
  <c r="AD57" i="62" a="1"/>
  <c r="AD57" i="62" s="1"/>
  <c r="U57" i="62"/>
  <c r="V57" i="62" s="1"/>
  <c r="T57" i="62"/>
  <c r="O57" i="62"/>
  <c r="P57" i="62" s="1"/>
  <c r="M57" i="62"/>
  <c r="N57" i="62" s="1"/>
  <c r="L57" i="62"/>
  <c r="AF56" i="62" a="1"/>
  <c r="AF56" i="62" s="1"/>
  <c r="AE56" i="62" a="1"/>
  <c r="AE56" i="62" s="1"/>
  <c r="AD56" i="62" a="1"/>
  <c r="AD56" i="62" s="1"/>
  <c r="V56" i="62"/>
  <c r="U56" i="62"/>
  <c r="T56" i="62"/>
  <c r="O56" i="62"/>
  <c r="P56" i="62" s="1"/>
  <c r="M56" i="62"/>
  <c r="N56" i="62" s="1"/>
  <c r="L56" i="62"/>
  <c r="AF54" i="62" a="1"/>
  <c r="AF54" i="62" s="1"/>
  <c r="AE54" i="62" a="1"/>
  <c r="AE54" i="62" s="1"/>
  <c r="AD54" i="62" a="1"/>
  <c r="AD54" i="62" s="1"/>
  <c r="U54" i="62"/>
  <c r="V54" i="62" s="1"/>
  <c r="T54" i="62"/>
  <c r="O54" i="62"/>
  <c r="P54" i="62" s="1"/>
  <c r="M54" i="62"/>
  <c r="N54" i="62" s="1"/>
  <c r="L54" i="62"/>
  <c r="AF53" i="62" a="1"/>
  <c r="AF53" i="62" s="1"/>
  <c r="AE53" i="62" a="1"/>
  <c r="AE53" i="62" s="1"/>
  <c r="AD53" i="62" a="1"/>
  <c r="AD53" i="62" s="1"/>
  <c r="AF52" i="62" a="1"/>
  <c r="AF52" i="62" s="1"/>
  <c r="AE52" i="62" a="1"/>
  <c r="AE52" i="62" s="1"/>
  <c r="AD52" i="62" a="1"/>
  <c r="AD52" i="62" s="1"/>
  <c r="U52" i="62"/>
  <c r="V52" i="62" s="1"/>
  <c r="T52" i="62"/>
  <c r="O52" i="62"/>
  <c r="P52" i="62" s="1"/>
  <c r="M52" i="62"/>
  <c r="N52" i="62" s="1"/>
  <c r="L52" i="62"/>
  <c r="AF51" i="62" a="1"/>
  <c r="AF51" i="62" s="1"/>
  <c r="AE51" i="62" a="1"/>
  <c r="AE51" i="62" s="1"/>
  <c r="AD51" i="62" a="1"/>
  <c r="AD51" i="62" s="1"/>
  <c r="U51" i="62"/>
  <c r="V51" i="62" s="1"/>
  <c r="T51" i="62"/>
  <c r="O51" i="62"/>
  <c r="P51" i="62" s="1"/>
  <c r="M51" i="62"/>
  <c r="N51" i="62" s="1"/>
  <c r="L51" i="62"/>
  <c r="AF50" i="62" a="1"/>
  <c r="AF50" i="62" s="1"/>
  <c r="AE50" i="62" a="1"/>
  <c r="AE50" i="62" s="1"/>
  <c r="AD50" i="62" a="1"/>
  <c r="AD50" i="62" s="1"/>
  <c r="U50" i="62"/>
  <c r="V50" i="62" s="1"/>
  <c r="T50" i="62"/>
  <c r="O50" i="62"/>
  <c r="P50" i="62" s="1"/>
  <c r="M50" i="62"/>
  <c r="N50" i="62" s="1"/>
  <c r="L50" i="62"/>
  <c r="AF49" i="62" a="1"/>
  <c r="AF49" i="62" s="1"/>
  <c r="AE49" i="62" a="1"/>
  <c r="AE49" i="62" s="1"/>
  <c r="AD49" i="62" a="1"/>
  <c r="AD49" i="62" s="1"/>
  <c r="U49" i="62"/>
  <c r="V49" i="62" s="1"/>
  <c r="T49" i="62"/>
  <c r="O49" i="62"/>
  <c r="P49" i="62" s="1"/>
  <c r="M49" i="62"/>
  <c r="N49" i="62" s="1"/>
  <c r="L49" i="62"/>
  <c r="AF48" i="62" a="1"/>
  <c r="AF48" i="62" s="1"/>
  <c r="AE48" i="62" a="1"/>
  <c r="AE48" i="62" s="1"/>
  <c r="AD48" i="62" a="1"/>
  <c r="AD48" i="62" s="1"/>
  <c r="U48" i="62"/>
  <c r="V48" i="62" s="1"/>
  <c r="O48" i="62"/>
  <c r="P48" i="62" s="1"/>
  <c r="M48" i="62"/>
  <c r="N48" i="62" s="1"/>
  <c r="L48" i="62"/>
  <c r="AF47" i="62" a="1"/>
  <c r="AF47" i="62" s="1"/>
  <c r="AE47" i="62" a="1"/>
  <c r="AE47" i="62" s="1"/>
  <c r="AD47" i="62" a="1"/>
  <c r="AD47" i="62" s="1"/>
  <c r="U47" i="62"/>
  <c r="V47" i="62" s="1"/>
  <c r="O47" i="62"/>
  <c r="P47" i="62" s="1"/>
  <c r="M47" i="62"/>
  <c r="N47" i="62" s="1"/>
  <c r="L47" i="62"/>
  <c r="AF45" i="62" a="1"/>
  <c r="AF45" i="62" s="1"/>
  <c r="AE45" i="62" a="1"/>
  <c r="AE45" i="62" s="1"/>
  <c r="AD45" i="62" a="1"/>
  <c r="AD45" i="62" s="1"/>
  <c r="U45" i="62"/>
  <c r="V45" i="62" s="1"/>
  <c r="O45" i="62"/>
  <c r="P45" i="62" s="1"/>
  <c r="M45" i="62"/>
  <c r="N45" i="62" s="1"/>
  <c r="L45" i="62"/>
  <c r="AF44" i="62" a="1"/>
  <c r="AF44" i="62" s="1"/>
  <c r="AE44" i="62" a="1"/>
  <c r="AE44" i="62" s="1"/>
  <c r="AD44" i="62" a="1"/>
  <c r="AD44" i="62" s="1"/>
  <c r="U44" i="62"/>
  <c r="V44" i="62" s="1"/>
  <c r="O44" i="62"/>
  <c r="P44" i="62" s="1"/>
  <c r="M44" i="62"/>
  <c r="N44" i="62" s="1"/>
  <c r="L44" i="62"/>
  <c r="AF43" i="62" a="1"/>
  <c r="AF43" i="62" s="1"/>
  <c r="AE43" i="62" a="1"/>
  <c r="AE43" i="62" s="1"/>
  <c r="AD43" i="62" a="1"/>
  <c r="AD43" i="62" s="1"/>
  <c r="U43" i="62"/>
  <c r="V43" i="62" s="1"/>
  <c r="O43" i="62"/>
  <c r="P43" i="62" s="1"/>
  <c r="M43" i="62"/>
  <c r="N43" i="62" s="1"/>
  <c r="L43" i="62"/>
  <c r="AF41" i="62" a="1"/>
  <c r="AF41" i="62" s="1"/>
  <c r="AE41" i="62" a="1"/>
  <c r="AE41" i="62" s="1"/>
  <c r="AD41" i="62" a="1"/>
  <c r="AD41" i="62" s="1"/>
  <c r="U41" i="62"/>
  <c r="V41" i="62" s="1"/>
  <c r="O41" i="62"/>
  <c r="P41" i="62" s="1"/>
  <c r="M41" i="62"/>
  <c r="N41" i="62" s="1"/>
  <c r="AF40" i="62" a="1"/>
  <c r="AF40" i="62" s="1"/>
  <c r="AE40" i="62" a="1"/>
  <c r="AE40" i="62" s="1"/>
  <c r="AD40" i="62" a="1"/>
  <c r="AD40" i="62" s="1"/>
  <c r="U40" i="62"/>
  <c r="V40" i="62" s="1"/>
  <c r="O40" i="62"/>
  <c r="P40" i="62" s="1"/>
  <c r="M40" i="62"/>
  <c r="N40" i="62" s="1"/>
  <c r="L40" i="62"/>
  <c r="AF39" i="62" a="1"/>
  <c r="AF39" i="62" s="1"/>
  <c r="AE39" i="62" a="1"/>
  <c r="AE39" i="62" s="1"/>
  <c r="AD39" i="62" a="1"/>
  <c r="AD39" i="62" s="1"/>
  <c r="U39" i="62"/>
  <c r="V39" i="62" s="1"/>
  <c r="O39" i="62"/>
  <c r="P39" i="62" s="1"/>
  <c r="M39" i="62"/>
  <c r="N39" i="62" s="1"/>
  <c r="L39" i="62"/>
  <c r="AF38" i="62" a="1"/>
  <c r="AF38" i="62" s="1"/>
  <c r="AE38" i="62" a="1"/>
  <c r="AE38" i="62" s="1"/>
  <c r="AD38" i="62" a="1"/>
  <c r="AD38" i="62" s="1"/>
  <c r="U38" i="62"/>
  <c r="V38" i="62" s="1"/>
  <c r="O38" i="62"/>
  <c r="P38" i="62" s="1"/>
  <c r="M38" i="62"/>
  <c r="N38" i="62" s="1"/>
  <c r="L38" i="62"/>
  <c r="AF37" i="62" a="1"/>
  <c r="AF37" i="62" s="1"/>
  <c r="AE37" i="62" a="1"/>
  <c r="AE37" i="62" s="1"/>
  <c r="AD37" i="62" a="1"/>
  <c r="AD37" i="62" s="1"/>
  <c r="U37" i="62"/>
  <c r="V37" i="62" s="1"/>
  <c r="O37" i="62"/>
  <c r="P37" i="62" s="1"/>
  <c r="M37" i="62"/>
  <c r="N37" i="62" s="1"/>
  <c r="L37" i="62"/>
  <c r="AF36" i="62" a="1"/>
  <c r="AF36" i="62" s="1"/>
  <c r="AE36" i="62" a="1"/>
  <c r="AE36" i="62" s="1"/>
  <c r="AD36" i="62" a="1"/>
  <c r="AD36" i="62" s="1"/>
  <c r="U36" i="62"/>
  <c r="V36" i="62" s="1"/>
  <c r="O36" i="62"/>
  <c r="P36" i="62" s="1"/>
  <c r="M36" i="62"/>
  <c r="N36" i="62" s="1"/>
  <c r="L36" i="62"/>
  <c r="AF35" i="62" a="1"/>
  <c r="AF35" i="62" s="1"/>
  <c r="AE35" i="62" a="1"/>
  <c r="AE35" i="62" s="1"/>
  <c r="AD35" i="62" a="1"/>
  <c r="AD35" i="62" s="1"/>
  <c r="U35" i="62"/>
  <c r="V35" i="62" s="1"/>
  <c r="O35" i="62"/>
  <c r="P35" i="62" s="1"/>
  <c r="M35" i="62"/>
  <c r="N35" i="62" s="1"/>
  <c r="L35" i="62"/>
  <c r="AF34" i="62" a="1"/>
  <c r="AF34" i="62" s="1"/>
  <c r="AE34" i="62" a="1"/>
  <c r="AE34" i="62" s="1"/>
  <c r="AD34" i="62" a="1"/>
  <c r="AD34" i="62" s="1"/>
  <c r="U34" i="62"/>
  <c r="V34" i="62" s="1"/>
  <c r="O34" i="62"/>
  <c r="P34" i="62" s="1"/>
  <c r="M34" i="62"/>
  <c r="N34" i="62" s="1"/>
  <c r="L34" i="62"/>
  <c r="AF33" i="62" a="1"/>
  <c r="AF33" i="62" s="1"/>
  <c r="AE33" i="62" a="1"/>
  <c r="AE33" i="62" s="1"/>
  <c r="AD33" i="62" a="1"/>
  <c r="AD33" i="62" s="1"/>
  <c r="U33" i="62"/>
  <c r="V33" i="62" s="1"/>
  <c r="O33" i="62"/>
  <c r="P33" i="62" s="1"/>
  <c r="M33" i="62"/>
  <c r="N33" i="62" s="1"/>
  <c r="L33" i="62"/>
  <c r="AF32" i="62" a="1"/>
  <c r="AF32" i="62" s="1"/>
  <c r="AE32" i="62" a="1"/>
  <c r="AE32" i="62" s="1"/>
  <c r="AD32" i="62" a="1"/>
  <c r="AD32" i="62" s="1"/>
  <c r="U32" i="62"/>
  <c r="V32" i="62" s="1"/>
  <c r="O32" i="62"/>
  <c r="P32" i="62" s="1"/>
  <c r="M32" i="62"/>
  <c r="N32" i="62" s="1"/>
  <c r="L32" i="62"/>
  <c r="AF31" i="62" a="1"/>
  <c r="AF31" i="62" s="1"/>
  <c r="AE31" i="62" a="1"/>
  <c r="AE31" i="62" s="1"/>
  <c r="AD31" i="62" a="1"/>
  <c r="AD31" i="62" s="1"/>
  <c r="U31" i="62"/>
  <c r="V31" i="62" s="1"/>
  <c r="O31" i="62"/>
  <c r="P31" i="62" s="1"/>
  <c r="M31" i="62"/>
  <c r="N31" i="62" s="1"/>
  <c r="L31" i="62"/>
  <c r="AF30" i="62" a="1"/>
  <c r="AF30" i="62" s="1"/>
  <c r="AE30" i="62" a="1"/>
  <c r="AE30" i="62" s="1"/>
  <c r="AD30" i="62" a="1"/>
  <c r="AD30" i="62" s="1"/>
  <c r="U30" i="62"/>
  <c r="V30" i="62" s="1"/>
  <c r="O30" i="62"/>
  <c r="P30" i="62" s="1"/>
  <c r="M30" i="62"/>
  <c r="N30" i="62" s="1"/>
  <c r="L30" i="62"/>
  <c r="AF29" i="62" a="1"/>
  <c r="AF29" i="62" s="1"/>
  <c r="AE29" i="62" a="1"/>
  <c r="AE29" i="62" s="1"/>
  <c r="AD29" i="62" a="1"/>
  <c r="AD29" i="62" s="1"/>
  <c r="U29" i="62"/>
  <c r="V29" i="62" s="1"/>
  <c r="O29" i="62"/>
  <c r="P29" i="62" s="1"/>
  <c r="M29" i="62"/>
  <c r="N29" i="62" s="1"/>
  <c r="L29" i="62"/>
  <c r="AF28" i="62" a="1"/>
  <c r="AF28" i="62" s="1"/>
  <c r="AE28" i="62" a="1"/>
  <c r="AE28" i="62" s="1"/>
  <c r="AD28" i="62" a="1"/>
  <c r="AD28" i="62" s="1"/>
  <c r="U28" i="62"/>
  <c r="V28" i="62" s="1"/>
  <c r="O28" i="62"/>
  <c r="P28" i="62" s="1"/>
  <c r="M28" i="62"/>
  <c r="N28" i="62" s="1"/>
  <c r="L28" i="62"/>
  <c r="AF27" i="62" a="1"/>
  <c r="AF27" i="62" s="1"/>
  <c r="AE27" i="62" a="1"/>
  <c r="AE27" i="62" s="1"/>
  <c r="AD27" i="62" a="1"/>
  <c r="AD27" i="62" s="1"/>
  <c r="U27" i="62"/>
  <c r="V27" i="62" s="1"/>
  <c r="O27" i="62"/>
  <c r="P27" i="62" s="1"/>
  <c r="M27" i="62"/>
  <c r="N27" i="62" s="1"/>
  <c r="L27" i="62"/>
  <c r="AF26" i="62" a="1"/>
  <c r="AF26" i="62" s="1"/>
  <c r="AE26" i="62" a="1"/>
  <c r="AE26" i="62" s="1"/>
  <c r="AD26" i="62" a="1"/>
  <c r="AD26" i="62" s="1"/>
  <c r="U26" i="62"/>
  <c r="V26" i="62" s="1"/>
  <c r="O26" i="62"/>
  <c r="P26" i="62" s="1"/>
  <c r="M26" i="62"/>
  <c r="N26" i="62" s="1"/>
  <c r="L26" i="62"/>
  <c r="AF25" i="62" a="1"/>
  <c r="AF25" i="62" s="1"/>
  <c r="AE25" i="62" a="1"/>
  <c r="AE25" i="62" s="1"/>
  <c r="AD25" i="62" a="1"/>
  <c r="AD25" i="62" s="1"/>
  <c r="U25" i="62"/>
  <c r="V25" i="62" s="1"/>
  <c r="O25" i="62"/>
  <c r="P25" i="62" s="1"/>
  <c r="M25" i="62"/>
  <c r="N25" i="62" s="1"/>
  <c r="L25" i="62"/>
  <c r="AF24" i="62" a="1"/>
  <c r="AF24" i="62" s="1"/>
  <c r="AE24" i="62" a="1"/>
  <c r="AE24" i="62" s="1"/>
  <c r="AD24" i="62" a="1"/>
  <c r="AD24" i="62" s="1"/>
  <c r="U24" i="62"/>
  <c r="V24" i="62" s="1"/>
  <c r="O24" i="62"/>
  <c r="P24" i="62" s="1"/>
  <c r="M24" i="62"/>
  <c r="N24" i="62" s="1"/>
  <c r="L24" i="62"/>
  <c r="AF23" i="62" a="1"/>
  <c r="AF23" i="62" s="1"/>
  <c r="AE23" i="62" a="1"/>
  <c r="AE23" i="62" s="1"/>
  <c r="AD23" i="62" a="1"/>
  <c r="AD23" i="62" s="1"/>
  <c r="U23" i="62"/>
  <c r="V23" i="62" s="1"/>
  <c r="T23" i="62"/>
  <c r="R23" i="62"/>
  <c r="O23" i="62"/>
  <c r="P23" i="62" s="1"/>
  <c r="M23" i="62"/>
  <c r="N23" i="62" s="1"/>
  <c r="L23" i="62"/>
  <c r="G20" i="62"/>
  <c r="S19" i="62"/>
  <c r="R19" i="62"/>
  <c r="S18" i="62"/>
  <c r="R18" i="62"/>
  <c r="AG17" i="62" a="1"/>
  <c r="AG17" i="62" s="1"/>
  <c r="J17" i="62"/>
  <c r="I17" i="62"/>
  <c r="AG16" i="62" a="1"/>
  <c r="AG16" i="62" s="1"/>
  <c r="S16" i="62"/>
  <c r="R16" i="62"/>
  <c r="J16" i="62"/>
  <c r="I16" i="62"/>
  <c r="AG15" i="62" a="1"/>
  <c r="AG15" i="62" s="1"/>
  <c r="S15" i="62"/>
  <c r="R15" i="62"/>
  <c r="CJ12" i="62" a="1"/>
  <c r="CJ12" i="62" s="1"/>
  <c r="CI12" i="62" a="1"/>
  <c r="CI12" i="62" s="1"/>
  <c r="CH12" i="62" a="1"/>
  <c r="CH12" i="62" s="1"/>
  <c r="CG12" i="62" a="1"/>
  <c r="CG12" i="62" s="1"/>
  <c r="CF12" i="62" a="1"/>
  <c r="CF12" i="62" s="1"/>
  <c r="CE12" i="62" a="1"/>
  <c r="CE12" i="62" s="1"/>
  <c r="CD12" i="62" a="1"/>
  <c r="CD12" i="62" s="1"/>
  <c r="CC12" i="62" a="1"/>
  <c r="CC12" i="62" s="1"/>
  <c r="CB12" i="62" a="1"/>
  <c r="CB12" i="62" s="1"/>
  <c r="CA12" i="62" a="1"/>
  <c r="CA12" i="62" s="1"/>
  <c r="BZ12" i="62" a="1"/>
  <c r="BZ12" i="62" s="1"/>
  <c r="BY12" i="62" a="1"/>
  <c r="BY12" i="62" s="1"/>
  <c r="BX12" i="62" a="1"/>
  <c r="BX12" i="62" s="1"/>
  <c r="BW12" i="62" a="1"/>
  <c r="BW12" i="62" s="1"/>
  <c r="BR12" i="62" a="1"/>
  <c r="BR12" i="62" s="1"/>
  <c r="BQ12" i="62" a="1"/>
  <c r="BQ12" i="62" s="1"/>
  <c r="BP12" i="62" a="1"/>
  <c r="BP12" i="62" s="1"/>
  <c r="BL12" i="62" a="1"/>
  <c r="BL12" i="62" s="1"/>
  <c r="BD12" i="62" a="1"/>
  <c r="BD12" i="62" s="1"/>
  <c r="AX12" i="62" a="1"/>
  <c r="AX12" i="62" s="1"/>
  <c r="AZ12" i="62" a="1"/>
  <c r="AZ12" i="62" s="1"/>
  <c r="AW12" i="62" a="1"/>
  <c r="AW12" i="62" s="1"/>
  <c r="AT12" i="62" a="1"/>
  <c r="AT12" i="62" s="1"/>
  <c r="BA12" i="62" a="1"/>
  <c r="BA12" i="62" s="1"/>
  <c r="BN12" i="62" a="1"/>
  <c r="BN12" i="62" s="1"/>
  <c r="BC12" i="62" a="1"/>
  <c r="BC12" i="62" s="1"/>
  <c r="AR12" i="62" a="1"/>
  <c r="AR12" i="62" s="1"/>
  <c r="AQ12" i="62" a="1"/>
  <c r="AQ12" i="62" s="1"/>
  <c r="AP12" i="62" a="1"/>
  <c r="AP12" i="62" s="1"/>
  <c r="AN12" i="62" a="1"/>
  <c r="AN12" i="62" s="1"/>
  <c r="AM12" i="62" a="1"/>
  <c r="AM12" i="62" s="1"/>
  <c r="AK12" i="62" a="1"/>
  <c r="AK12" i="62" s="1"/>
  <c r="BM12" i="62" a="1"/>
  <c r="BM12" i="62" s="1"/>
  <c r="AI12" i="62" a="1"/>
  <c r="AI12" i="62" s="1"/>
  <c r="AH12" i="62" a="1"/>
  <c r="AH12" i="62" s="1"/>
  <c r="AG12" i="62" a="1"/>
  <c r="AG12" i="62" s="1"/>
  <c r="AF12" i="62" a="1"/>
  <c r="AF12" i="62" s="1"/>
  <c r="CJ10" i="62" a="1"/>
  <c r="CJ10" i="62" s="1"/>
  <c r="CI10" i="62" a="1"/>
  <c r="CI10" i="62" s="1"/>
  <c r="CH10" i="62" a="1"/>
  <c r="CH10" i="62" s="1"/>
  <c r="CG10" i="62" a="1"/>
  <c r="CG10" i="62" s="1"/>
  <c r="CF10" i="62" a="1"/>
  <c r="CF10" i="62" s="1"/>
  <c r="CE10" i="62" a="1"/>
  <c r="CE10" i="62" s="1"/>
  <c r="CD10" i="62" a="1"/>
  <c r="CD10" i="62" s="1"/>
  <c r="CC10" i="62" a="1"/>
  <c r="CC10" i="62" s="1"/>
  <c r="CB10" i="62" a="1"/>
  <c r="CB10" i="62" s="1"/>
  <c r="CA10" i="62" a="1"/>
  <c r="CA10" i="62" s="1"/>
  <c r="BZ10" i="62" a="1"/>
  <c r="BZ10" i="62" s="1"/>
  <c r="BY10" i="62" a="1"/>
  <c r="BY10" i="62" s="1"/>
  <c r="BX10" i="62" a="1"/>
  <c r="BX10" i="62" s="1"/>
  <c r="BW10" i="62" a="1"/>
  <c r="BW10" i="62" s="1"/>
  <c r="BR10" i="62" a="1"/>
  <c r="BR10" i="62" s="1"/>
  <c r="BQ10" i="62" a="1"/>
  <c r="BQ10" i="62" s="1"/>
  <c r="BP10" i="62" a="1"/>
  <c r="BP10" i="62" s="1"/>
  <c r="BL10" i="62" a="1"/>
  <c r="BL10" i="62" s="1"/>
  <c r="BD10" i="62" a="1"/>
  <c r="BD10" i="62" s="1"/>
  <c r="AX10" i="62" a="1"/>
  <c r="AX10" i="62" s="1"/>
  <c r="AZ10" i="62" a="1"/>
  <c r="AZ10" i="62" s="1"/>
  <c r="AW10" i="62" a="1"/>
  <c r="AW10" i="62" s="1"/>
  <c r="AT10" i="62" a="1"/>
  <c r="AT10" i="62" s="1"/>
  <c r="BA10" i="62" a="1"/>
  <c r="BA10" i="62" s="1"/>
  <c r="BN10" i="62" a="1"/>
  <c r="BN10" i="62" s="1"/>
  <c r="BC10" i="62" a="1"/>
  <c r="BC10" i="62" s="1"/>
  <c r="AR10" i="62" a="1"/>
  <c r="AR10" i="62" s="1"/>
  <c r="AQ10" i="62" a="1"/>
  <c r="AQ10" i="62" s="1"/>
  <c r="AP10" i="62" a="1"/>
  <c r="AP10" i="62" s="1"/>
  <c r="AN10" i="62" a="1"/>
  <c r="AN10" i="62" s="1"/>
  <c r="AM10" i="62" a="1"/>
  <c r="AM10" i="62" s="1"/>
  <c r="AK10" i="62" a="1"/>
  <c r="AK10" i="62" s="1"/>
  <c r="BM10" i="62" a="1"/>
  <c r="BM10" i="62" s="1"/>
  <c r="AI10" i="62" a="1"/>
  <c r="AI10" i="62" s="1"/>
  <c r="AH10" i="62" a="1"/>
  <c r="AH10" i="62" s="1"/>
  <c r="AG10" i="62" a="1"/>
  <c r="AG10" i="62" s="1"/>
  <c r="AF10" i="62" a="1"/>
  <c r="AF10" i="62" s="1"/>
  <c r="CJ2" i="62" a="1"/>
  <c r="CJ2" i="62" s="1"/>
  <c r="CI2" i="62" a="1"/>
  <c r="CI2" i="62" s="1"/>
  <c r="CH2" i="62" a="1"/>
  <c r="CH2" i="62" s="1"/>
  <c r="CG2" i="62" a="1"/>
  <c r="CG2" i="62" s="1"/>
  <c r="CF2" i="62" a="1"/>
  <c r="CF2" i="62" s="1"/>
  <c r="CE2" i="62" a="1"/>
  <c r="CE2" i="62" s="1"/>
  <c r="CD2" i="62" a="1"/>
  <c r="CD2" i="62" s="1"/>
  <c r="CC2" i="62" a="1"/>
  <c r="CC2" i="62" s="1"/>
  <c r="CB2" i="62" a="1"/>
  <c r="CB2" i="62" s="1"/>
  <c r="CA2" i="62" a="1"/>
  <c r="CA2" i="62" s="1"/>
  <c r="BZ2" i="62" a="1"/>
  <c r="BZ2" i="62" s="1"/>
  <c r="BY2" i="62" a="1"/>
  <c r="BY2" i="62" s="1"/>
  <c r="BX2" i="62" a="1"/>
  <c r="BX2" i="62" s="1"/>
  <c r="BW2" i="62" a="1"/>
  <c r="BW2" i="62" s="1"/>
  <c r="BR2" i="62" a="1"/>
  <c r="BR2" i="62" s="1"/>
  <c r="BQ2" i="62" a="1"/>
  <c r="BQ2" i="62" s="1"/>
  <c r="BP2" i="62" a="1"/>
  <c r="BP2" i="62" s="1"/>
  <c r="BL2" i="62" a="1"/>
  <c r="BL2" i="62" s="1"/>
  <c r="BD2" i="62" a="1"/>
  <c r="BD2" i="62" s="1"/>
  <c r="AX2" i="62" a="1"/>
  <c r="AX2" i="62" s="1"/>
  <c r="AZ2" i="62" a="1"/>
  <c r="AZ2" i="62" s="1"/>
  <c r="AW2" i="62" a="1"/>
  <c r="AW2" i="62" s="1"/>
  <c r="AT2" i="62" a="1"/>
  <c r="AT2" i="62" s="1"/>
  <c r="BA2" i="62" a="1"/>
  <c r="BA2" i="62" s="1"/>
  <c r="BN2" i="62" a="1"/>
  <c r="BN2" i="62" s="1"/>
  <c r="BC2" i="62" a="1"/>
  <c r="BC2" i="62" s="1"/>
  <c r="AR2" i="62" a="1"/>
  <c r="AR2" i="62" s="1"/>
  <c r="AQ2" i="62" a="1"/>
  <c r="AQ2" i="62" s="1"/>
  <c r="AP2" i="62" a="1"/>
  <c r="AP2" i="62" s="1"/>
  <c r="AN2" i="62" a="1"/>
  <c r="AN2" i="62" s="1"/>
  <c r="AM2" i="62" a="1"/>
  <c r="AM2" i="62" s="1"/>
  <c r="AK2" i="62" a="1"/>
  <c r="AK2" i="62" s="1"/>
  <c r="BM2" i="62" a="1"/>
  <c r="BM2" i="62" s="1"/>
  <c r="AI2" i="62" a="1"/>
  <c r="AI2" i="62" s="1"/>
  <c r="AH2" i="62" a="1"/>
  <c r="AH2" i="62" s="1"/>
  <c r="AG2" i="62" a="1"/>
  <c r="AG2" i="62" s="1"/>
  <c r="CJ1" i="62"/>
  <c r="CI1" i="62"/>
  <c r="CH1" i="62"/>
  <c r="CG1" i="62"/>
  <c r="CF1" i="62"/>
  <c r="CE1" i="62"/>
  <c r="CD1" i="62"/>
  <c r="CC1" i="62"/>
  <c r="CB1" i="62"/>
  <c r="CA1" i="62"/>
  <c r="BZ1" i="62"/>
  <c r="BY1" i="62"/>
  <c r="BX1" i="62"/>
  <c r="BW1" i="62"/>
  <c r="BR1" i="62"/>
  <c r="BQ1" i="62"/>
  <c r="BP1" i="62"/>
  <c r="BL1" i="62"/>
  <c r="BD1" i="62"/>
  <c r="AX1" i="62"/>
  <c r="AZ1" i="62"/>
  <c r="AW1" i="62"/>
  <c r="AT1" i="62"/>
  <c r="BA1" i="62"/>
  <c r="BN1" i="62"/>
  <c r="BC1" i="62"/>
  <c r="AR1" i="62"/>
  <c r="AQ1" i="62"/>
  <c r="AP1" i="62"/>
  <c r="AN1" i="62"/>
  <c r="AM1" i="62"/>
  <c r="AK1" i="62"/>
  <c r="BM1" i="62"/>
  <c r="AI1" i="62"/>
  <c r="AH1" i="62"/>
  <c r="AG1" i="62"/>
  <c r="AF132" i="61" a="1"/>
  <c r="AF132" i="61" s="1"/>
  <c r="AE132" i="61" a="1"/>
  <c r="AE132" i="61" s="1"/>
  <c r="AD132" i="61" a="1"/>
  <c r="AD132" i="61" s="1"/>
  <c r="T132" i="61"/>
  <c r="R132" i="61"/>
  <c r="N132" i="61"/>
  <c r="M132" i="61"/>
  <c r="L132" i="61"/>
  <c r="F132" i="61"/>
  <c r="D132" i="61"/>
  <c r="AF131" i="61" a="1"/>
  <c r="AF131" i="61" s="1"/>
  <c r="AE131" i="61" a="1"/>
  <c r="AE131" i="61" s="1"/>
  <c r="AD131" i="61" a="1"/>
  <c r="AD131" i="61" s="1"/>
  <c r="T131" i="61"/>
  <c r="R131" i="61"/>
  <c r="N131" i="61"/>
  <c r="M131" i="61"/>
  <c r="L131" i="61"/>
  <c r="F131" i="61"/>
  <c r="D131" i="61"/>
  <c r="AF130" i="61" a="1"/>
  <c r="AF130" i="61" s="1"/>
  <c r="AE130" i="61" a="1"/>
  <c r="AE130" i="61" s="1"/>
  <c r="AD130" i="61" a="1"/>
  <c r="AD130" i="61" s="1"/>
  <c r="T130" i="61"/>
  <c r="R130" i="61"/>
  <c r="N130" i="61"/>
  <c r="M130" i="61"/>
  <c r="L130" i="61"/>
  <c r="F130" i="61"/>
  <c r="D130" i="61"/>
  <c r="AF129" i="61" a="1"/>
  <c r="AF129" i="61" s="1"/>
  <c r="AE129" i="61" a="1"/>
  <c r="AE129" i="61" s="1"/>
  <c r="AD129" i="61" a="1"/>
  <c r="AD129" i="61" s="1"/>
  <c r="T129" i="61"/>
  <c r="R129" i="61"/>
  <c r="N129" i="61"/>
  <c r="M129" i="61"/>
  <c r="L129" i="61"/>
  <c r="F129" i="61"/>
  <c r="D129" i="61"/>
  <c r="AF128" i="61" a="1"/>
  <c r="AF128" i="61" s="1"/>
  <c r="AE128" i="61" a="1"/>
  <c r="AE128" i="61" s="1"/>
  <c r="AD128" i="61" a="1"/>
  <c r="AD128" i="61" s="1"/>
  <c r="T128" i="61"/>
  <c r="R128" i="61"/>
  <c r="N128" i="61"/>
  <c r="M128" i="61"/>
  <c r="L128" i="61"/>
  <c r="F128" i="61"/>
  <c r="D128" i="61"/>
  <c r="AF127" i="61" a="1"/>
  <c r="AF127" i="61" s="1"/>
  <c r="AE127" i="61" a="1"/>
  <c r="AE127" i="61" s="1"/>
  <c r="AD127" i="61" a="1"/>
  <c r="AD127" i="61" s="1"/>
  <c r="T127" i="61"/>
  <c r="R127" i="61"/>
  <c r="N127" i="61"/>
  <c r="M127" i="61"/>
  <c r="L127" i="61"/>
  <c r="F127" i="61"/>
  <c r="D127" i="61"/>
  <c r="AF126" i="61" a="1"/>
  <c r="AF126" i="61" s="1"/>
  <c r="AE126" i="61" a="1"/>
  <c r="AE126" i="61" s="1"/>
  <c r="AD126" i="61" a="1"/>
  <c r="AD126" i="61" s="1"/>
  <c r="T126" i="61"/>
  <c r="R126" i="61"/>
  <c r="N126" i="61"/>
  <c r="M126" i="61"/>
  <c r="L126" i="61"/>
  <c r="F126" i="61"/>
  <c r="D126" i="61"/>
  <c r="AF125" i="61" a="1"/>
  <c r="AF125" i="61" s="1"/>
  <c r="AE125" i="61" a="1"/>
  <c r="AE125" i="61" s="1"/>
  <c r="AD125" i="61" a="1"/>
  <c r="AD125" i="61" s="1"/>
  <c r="T125" i="61"/>
  <c r="R125" i="61"/>
  <c r="N125" i="61"/>
  <c r="M125" i="61"/>
  <c r="L125" i="61"/>
  <c r="F125" i="61"/>
  <c r="D125" i="61"/>
  <c r="AF124" i="61" a="1"/>
  <c r="AF124" i="61" s="1"/>
  <c r="AE124" i="61" a="1"/>
  <c r="AE124" i="61" s="1"/>
  <c r="AD124" i="61" a="1"/>
  <c r="AD124" i="61" s="1"/>
  <c r="T124" i="61"/>
  <c r="R124" i="61"/>
  <c r="N124" i="61"/>
  <c r="M124" i="61"/>
  <c r="L124" i="61"/>
  <c r="F124" i="61"/>
  <c r="D124" i="61"/>
  <c r="AF123" i="61" a="1"/>
  <c r="AF123" i="61" s="1"/>
  <c r="AE123" i="61" a="1"/>
  <c r="AE123" i="61" s="1"/>
  <c r="AD123" i="61" a="1"/>
  <c r="AD123" i="61" s="1"/>
  <c r="T123" i="61"/>
  <c r="R123" i="61"/>
  <c r="N123" i="61"/>
  <c r="M123" i="61"/>
  <c r="L123" i="61"/>
  <c r="F123" i="61"/>
  <c r="D123" i="61"/>
  <c r="AF122" i="61" a="1"/>
  <c r="AF122" i="61" s="1"/>
  <c r="AE122" i="61" a="1"/>
  <c r="AE122" i="61" s="1"/>
  <c r="AD122" i="61" a="1"/>
  <c r="AD122" i="61" s="1"/>
  <c r="T122" i="61"/>
  <c r="R122" i="61"/>
  <c r="N122" i="61"/>
  <c r="M122" i="61"/>
  <c r="L122" i="61"/>
  <c r="F122" i="61"/>
  <c r="D122" i="61"/>
  <c r="AF121" i="61" a="1"/>
  <c r="AF121" i="61" s="1"/>
  <c r="AE121" i="61" a="1"/>
  <c r="AE121" i="61" s="1"/>
  <c r="AD121" i="61" a="1"/>
  <c r="AD121" i="61" s="1"/>
  <c r="T121" i="61"/>
  <c r="R121" i="61"/>
  <c r="N121" i="61"/>
  <c r="M121" i="61"/>
  <c r="L121" i="61"/>
  <c r="F121" i="61"/>
  <c r="D121" i="61"/>
  <c r="AF120" i="61" a="1"/>
  <c r="AF120" i="61" s="1"/>
  <c r="AE120" i="61" a="1"/>
  <c r="AE120" i="61" s="1"/>
  <c r="AD120" i="61" a="1"/>
  <c r="AD120" i="61" s="1"/>
  <c r="T120" i="61"/>
  <c r="R120" i="61"/>
  <c r="N120" i="61"/>
  <c r="M120" i="61"/>
  <c r="L120" i="61"/>
  <c r="F120" i="61"/>
  <c r="D120" i="61"/>
  <c r="AF119" i="61" a="1"/>
  <c r="AF119" i="61" s="1"/>
  <c r="AE119" i="61" a="1"/>
  <c r="AE119" i="61" s="1"/>
  <c r="AD119" i="61" a="1"/>
  <c r="AD119" i="61" s="1"/>
  <c r="T119" i="61"/>
  <c r="R119" i="61"/>
  <c r="N119" i="61"/>
  <c r="M119" i="61"/>
  <c r="L119" i="61"/>
  <c r="F119" i="61"/>
  <c r="D119" i="61"/>
  <c r="AF118" i="61" a="1"/>
  <c r="AF118" i="61" s="1"/>
  <c r="AE118" i="61" a="1"/>
  <c r="AE118" i="61" s="1"/>
  <c r="AD118" i="61" a="1"/>
  <c r="AD118" i="61" s="1"/>
  <c r="T118" i="61"/>
  <c r="R118" i="61"/>
  <c r="N118" i="61"/>
  <c r="M118" i="61"/>
  <c r="L118" i="61"/>
  <c r="F118" i="61"/>
  <c r="D118" i="61"/>
  <c r="AF117" i="61" a="1"/>
  <c r="AF117" i="61" s="1"/>
  <c r="AE117" i="61" a="1"/>
  <c r="AE117" i="61" s="1"/>
  <c r="AD117" i="61" a="1"/>
  <c r="AD117" i="61" s="1"/>
  <c r="T117" i="61"/>
  <c r="R117" i="61"/>
  <c r="N117" i="61"/>
  <c r="M117" i="61"/>
  <c r="L117" i="61"/>
  <c r="F117" i="61"/>
  <c r="D117" i="61"/>
  <c r="AF116" i="61" a="1"/>
  <c r="AF116" i="61" s="1"/>
  <c r="AE116" i="61" a="1"/>
  <c r="AE116" i="61" s="1"/>
  <c r="AD116" i="61" a="1"/>
  <c r="AD116" i="61" s="1"/>
  <c r="T116" i="61"/>
  <c r="R116" i="61"/>
  <c r="N116" i="61"/>
  <c r="M116" i="61"/>
  <c r="L116" i="61"/>
  <c r="F116" i="61"/>
  <c r="D116" i="61"/>
  <c r="AF115" i="61" a="1"/>
  <c r="AF115" i="61" s="1"/>
  <c r="AE115" i="61" a="1"/>
  <c r="AE115" i="61" s="1"/>
  <c r="AD115" i="61" a="1"/>
  <c r="AD115" i="61" s="1"/>
  <c r="T115" i="61"/>
  <c r="R115" i="61"/>
  <c r="N115" i="61"/>
  <c r="M115" i="61"/>
  <c r="L115" i="61"/>
  <c r="F115" i="61"/>
  <c r="D115" i="61"/>
  <c r="AF114" i="61" a="1"/>
  <c r="AF114" i="61" s="1"/>
  <c r="AE114" i="61" a="1"/>
  <c r="AE114" i="61" s="1"/>
  <c r="AD114" i="61" a="1"/>
  <c r="AD114" i="61" s="1"/>
  <c r="T114" i="61"/>
  <c r="R114" i="61"/>
  <c r="N114" i="61"/>
  <c r="M114" i="61"/>
  <c r="L114" i="61"/>
  <c r="F114" i="61"/>
  <c r="D114" i="61"/>
  <c r="AF113" i="61" a="1"/>
  <c r="AF113" i="61" s="1"/>
  <c r="AE113" i="61" a="1"/>
  <c r="AE113" i="61" s="1"/>
  <c r="AD113" i="61" a="1"/>
  <c r="AD113" i="61" s="1"/>
  <c r="T113" i="61"/>
  <c r="R113" i="61"/>
  <c r="N113" i="61"/>
  <c r="M113" i="61"/>
  <c r="L113" i="61"/>
  <c r="F113" i="61"/>
  <c r="D113" i="61"/>
  <c r="AF112" i="61" a="1"/>
  <c r="AF112" i="61" s="1"/>
  <c r="AE112" i="61" a="1"/>
  <c r="AE112" i="61" s="1"/>
  <c r="AD112" i="61" a="1"/>
  <c r="AD112" i="61" s="1"/>
  <c r="T112" i="61"/>
  <c r="R112" i="61"/>
  <c r="N112" i="61"/>
  <c r="M112" i="61"/>
  <c r="L112" i="61"/>
  <c r="F112" i="61"/>
  <c r="D112" i="61"/>
  <c r="AF111" i="61" a="1"/>
  <c r="AF111" i="61" s="1"/>
  <c r="AE111" i="61" a="1"/>
  <c r="AE111" i="61" s="1"/>
  <c r="AD111" i="61" a="1"/>
  <c r="AD111" i="61" s="1"/>
  <c r="T111" i="61"/>
  <c r="R111" i="61"/>
  <c r="N111" i="61"/>
  <c r="M111" i="61"/>
  <c r="L111" i="61"/>
  <c r="F111" i="61"/>
  <c r="D111" i="61"/>
  <c r="AF110" i="61" a="1"/>
  <c r="AF110" i="61" s="1"/>
  <c r="AE110" i="61" a="1"/>
  <c r="AE110" i="61" s="1"/>
  <c r="AD110" i="61" a="1"/>
  <c r="AD110" i="61" s="1"/>
  <c r="T110" i="61"/>
  <c r="R110" i="61"/>
  <c r="N110" i="61"/>
  <c r="M110" i="61"/>
  <c r="L110" i="61"/>
  <c r="F110" i="61"/>
  <c r="D110" i="61"/>
  <c r="AF109" i="61" a="1"/>
  <c r="AF109" i="61" s="1"/>
  <c r="AE109" i="61" a="1"/>
  <c r="AE109" i="61" s="1"/>
  <c r="AD109" i="61" a="1"/>
  <c r="AD109" i="61" s="1"/>
  <c r="T109" i="61"/>
  <c r="R109" i="61"/>
  <c r="N109" i="61"/>
  <c r="M109" i="61"/>
  <c r="L109" i="61"/>
  <c r="F109" i="61"/>
  <c r="D109" i="61"/>
  <c r="AF108" i="61" a="1"/>
  <c r="AF108" i="61" s="1"/>
  <c r="AE108" i="61" a="1"/>
  <c r="AE108" i="61" s="1"/>
  <c r="AD108" i="61" a="1"/>
  <c r="AD108" i="61" s="1"/>
  <c r="T108" i="61"/>
  <c r="R108" i="61"/>
  <c r="N108" i="61"/>
  <c r="M108" i="61"/>
  <c r="L108" i="61"/>
  <c r="F108" i="61"/>
  <c r="D108" i="61"/>
  <c r="AF107" i="61" a="1"/>
  <c r="AF107" i="61" s="1"/>
  <c r="AE107" i="61" a="1"/>
  <c r="AE107" i="61" s="1"/>
  <c r="AD107" i="61" a="1"/>
  <c r="AD107" i="61" s="1"/>
  <c r="T107" i="61"/>
  <c r="R107" i="61"/>
  <c r="N107" i="61"/>
  <c r="M107" i="61"/>
  <c r="L107" i="61"/>
  <c r="F107" i="61"/>
  <c r="D107" i="61"/>
  <c r="AF106" i="61" a="1"/>
  <c r="AF106" i="61" s="1"/>
  <c r="AE106" i="61" a="1"/>
  <c r="AE106" i="61" s="1"/>
  <c r="AD106" i="61" a="1"/>
  <c r="AD106" i="61" s="1"/>
  <c r="T106" i="61"/>
  <c r="R106" i="61"/>
  <c r="N106" i="61"/>
  <c r="M106" i="61"/>
  <c r="L106" i="61"/>
  <c r="F106" i="61"/>
  <c r="D106" i="61"/>
  <c r="AF105" i="61" a="1"/>
  <c r="AF105" i="61" s="1"/>
  <c r="AE105" i="61" a="1"/>
  <c r="AE105" i="61" s="1"/>
  <c r="AD105" i="61" a="1"/>
  <c r="AD105" i="61" s="1"/>
  <c r="T105" i="61"/>
  <c r="R105" i="61"/>
  <c r="N105" i="61"/>
  <c r="M105" i="61"/>
  <c r="L105" i="61"/>
  <c r="F105" i="61"/>
  <c r="D105" i="61"/>
  <c r="AF104" i="61" a="1"/>
  <c r="AF104" i="61" s="1"/>
  <c r="AE104" i="61" a="1"/>
  <c r="AE104" i="61" s="1"/>
  <c r="AD104" i="61" a="1"/>
  <c r="AD104" i="61" s="1"/>
  <c r="T104" i="61"/>
  <c r="R104" i="61"/>
  <c r="N104" i="61"/>
  <c r="M104" i="61"/>
  <c r="L104" i="61"/>
  <c r="F104" i="61"/>
  <c r="D104" i="61"/>
  <c r="AF103" i="61" a="1"/>
  <c r="AF103" i="61" s="1"/>
  <c r="AE103" i="61" a="1"/>
  <c r="AE103" i="61" s="1"/>
  <c r="AD103" i="61" a="1"/>
  <c r="AD103" i="61" s="1"/>
  <c r="T103" i="61"/>
  <c r="R103" i="61"/>
  <c r="N103" i="61"/>
  <c r="M103" i="61"/>
  <c r="L103" i="61"/>
  <c r="F103" i="61"/>
  <c r="D103" i="61"/>
  <c r="AF102" i="61" a="1"/>
  <c r="AF102" i="61" s="1"/>
  <c r="AE102" i="61" a="1"/>
  <c r="AE102" i="61" s="1"/>
  <c r="AD102" i="61" a="1"/>
  <c r="AD102" i="61" s="1"/>
  <c r="T102" i="61"/>
  <c r="R102" i="61"/>
  <c r="N102" i="61"/>
  <c r="M102" i="61"/>
  <c r="L102" i="61"/>
  <c r="F102" i="61"/>
  <c r="D102" i="61"/>
  <c r="AF101" i="61" a="1"/>
  <c r="AF101" i="61" s="1"/>
  <c r="AE101" i="61" a="1"/>
  <c r="AE101" i="61" s="1"/>
  <c r="AD101" i="61" a="1"/>
  <c r="AD101" i="61" s="1"/>
  <c r="T101" i="61"/>
  <c r="R101" i="61"/>
  <c r="N101" i="61"/>
  <c r="M101" i="61"/>
  <c r="L101" i="61"/>
  <c r="F101" i="61"/>
  <c r="D101" i="61"/>
  <c r="AF100" i="61" a="1"/>
  <c r="AF100" i="61" s="1"/>
  <c r="AE100" i="61" a="1"/>
  <c r="AE100" i="61" s="1"/>
  <c r="AD100" i="61" a="1"/>
  <c r="AD100" i="61" s="1"/>
  <c r="T100" i="61"/>
  <c r="R100" i="61"/>
  <c r="N100" i="61"/>
  <c r="M100" i="61"/>
  <c r="L100" i="61"/>
  <c r="F100" i="61"/>
  <c r="D100" i="61"/>
  <c r="AF99" i="61" a="1"/>
  <c r="AF99" i="61" s="1"/>
  <c r="AE99" i="61" a="1"/>
  <c r="AE99" i="61" s="1"/>
  <c r="AD99" i="61" a="1"/>
  <c r="AD99" i="61" s="1"/>
  <c r="T99" i="61"/>
  <c r="R99" i="61"/>
  <c r="N99" i="61"/>
  <c r="M99" i="61"/>
  <c r="L99" i="61"/>
  <c r="F99" i="61"/>
  <c r="D99" i="61"/>
  <c r="AF98" i="61" a="1"/>
  <c r="AF98" i="61" s="1"/>
  <c r="AE98" i="61" a="1"/>
  <c r="AE98" i="61" s="1"/>
  <c r="AD98" i="61" a="1"/>
  <c r="AD98" i="61" s="1"/>
  <c r="T98" i="61"/>
  <c r="R98" i="61"/>
  <c r="N98" i="61"/>
  <c r="M98" i="61"/>
  <c r="L98" i="61"/>
  <c r="F98" i="61"/>
  <c r="D98" i="61"/>
  <c r="AF97" i="61" a="1"/>
  <c r="AF97" i="61" s="1"/>
  <c r="AE97" i="61" a="1"/>
  <c r="AE97" i="61" s="1"/>
  <c r="AD97" i="61" a="1"/>
  <c r="AD97" i="61" s="1"/>
  <c r="T97" i="61"/>
  <c r="R97" i="61"/>
  <c r="N97" i="61"/>
  <c r="M97" i="61"/>
  <c r="L97" i="61"/>
  <c r="F97" i="61"/>
  <c r="D97" i="61"/>
  <c r="AF96" i="61" a="1"/>
  <c r="AF96" i="61" s="1"/>
  <c r="AE96" i="61" a="1"/>
  <c r="AE96" i="61" s="1"/>
  <c r="AD96" i="61" a="1"/>
  <c r="AD96" i="61" s="1"/>
  <c r="T96" i="61"/>
  <c r="R96" i="61"/>
  <c r="N96" i="61"/>
  <c r="M96" i="61"/>
  <c r="L96" i="61"/>
  <c r="F96" i="61"/>
  <c r="D96" i="61"/>
  <c r="AF95" i="61" a="1"/>
  <c r="AF95" i="61" s="1"/>
  <c r="AE95" i="61" a="1"/>
  <c r="AE95" i="61" s="1"/>
  <c r="AD95" i="61" a="1"/>
  <c r="AD95" i="61" s="1"/>
  <c r="T95" i="61"/>
  <c r="R95" i="61"/>
  <c r="N95" i="61"/>
  <c r="M95" i="61"/>
  <c r="L95" i="61"/>
  <c r="F95" i="61"/>
  <c r="D95" i="61"/>
  <c r="AF94" i="61" a="1"/>
  <c r="AF94" i="61" s="1"/>
  <c r="AE94" i="61" a="1"/>
  <c r="AE94" i="61" s="1"/>
  <c r="AD94" i="61" a="1"/>
  <c r="AD94" i="61" s="1"/>
  <c r="T94" i="61"/>
  <c r="R94" i="61"/>
  <c r="N94" i="61"/>
  <c r="M94" i="61"/>
  <c r="L94" i="61"/>
  <c r="F94" i="61"/>
  <c r="D94" i="61"/>
  <c r="AF93" i="61" a="1"/>
  <c r="AF93" i="61" s="1"/>
  <c r="AE93" i="61" a="1"/>
  <c r="AE93" i="61" s="1"/>
  <c r="AD93" i="61" a="1"/>
  <c r="AD93" i="61" s="1"/>
  <c r="T93" i="61"/>
  <c r="R93" i="61"/>
  <c r="N93" i="61"/>
  <c r="M93" i="61"/>
  <c r="L93" i="61"/>
  <c r="F93" i="61"/>
  <c r="D93" i="61"/>
  <c r="AF92" i="61" a="1"/>
  <c r="AF92" i="61" s="1"/>
  <c r="AE92" i="61" a="1"/>
  <c r="AE92" i="61" s="1"/>
  <c r="AD92" i="61" a="1"/>
  <c r="AD92" i="61" s="1"/>
  <c r="T92" i="61"/>
  <c r="R92" i="61"/>
  <c r="N92" i="61"/>
  <c r="M92" i="61"/>
  <c r="L92" i="61"/>
  <c r="F92" i="61"/>
  <c r="D92" i="61"/>
  <c r="AF91" i="61" a="1"/>
  <c r="AF91" i="61" s="1"/>
  <c r="AE91" i="61" a="1"/>
  <c r="AE91" i="61" s="1"/>
  <c r="AD91" i="61" a="1"/>
  <c r="AD91" i="61" s="1"/>
  <c r="T91" i="61"/>
  <c r="R91" i="61"/>
  <c r="N91" i="61"/>
  <c r="M91" i="61"/>
  <c r="L91" i="61"/>
  <c r="F91" i="61"/>
  <c r="D91" i="61"/>
  <c r="AF90" i="61" a="1"/>
  <c r="AF90" i="61" s="1"/>
  <c r="AE90" i="61" a="1"/>
  <c r="AE90" i="61" s="1"/>
  <c r="AD90" i="61" a="1"/>
  <c r="AD90" i="61" s="1"/>
  <c r="T90" i="61"/>
  <c r="R90" i="61"/>
  <c r="N90" i="61"/>
  <c r="M90" i="61"/>
  <c r="L90" i="61"/>
  <c r="F90" i="61"/>
  <c r="D90" i="61"/>
  <c r="AF89" i="61" a="1"/>
  <c r="AF89" i="61" s="1"/>
  <c r="AE89" i="61" a="1"/>
  <c r="AE89" i="61" s="1"/>
  <c r="AD89" i="61" a="1"/>
  <c r="AD89" i="61" s="1"/>
  <c r="T89" i="61"/>
  <c r="R89" i="61"/>
  <c r="N89" i="61"/>
  <c r="M89" i="61"/>
  <c r="L89" i="61"/>
  <c r="F89" i="61"/>
  <c r="D89" i="61"/>
  <c r="AF88" i="61" a="1"/>
  <c r="AF88" i="61" s="1"/>
  <c r="AE88" i="61" a="1"/>
  <c r="AE88" i="61" s="1"/>
  <c r="AD88" i="61" a="1"/>
  <c r="AD88" i="61" s="1"/>
  <c r="T88" i="61"/>
  <c r="R88" i="61"/>
  <c r="N88" i="61"/>
  <c r="M88" i="61"/>
  <c r="L88" i="61"/>
  <c r="F88" i="61"/>
  <c r="D88" i="61"/>
  <c r="AF87" i="61" a="1"/>
  <c r="AF87" i="61" s="1"/>
  <c r="AE87" i="61" a="1"/>
  <c r="AE87" i="61" s="1"/>
  <c r="AD87" i="61" a="1"/>
  <c r="AD87" i="61" s="1"/>
  <c r="T87" i="61"/>
  <c r="R87" i="61"/>
  <c r="N87" i="61"/>
  <c r="M87" i="61"/>
  <c r="L87" i="61"/>
  <c r="F87" i="61"/>
  <c r="D87" i="61"/>
  <c r="AF86" i="61" a="1"/>
  <c r="AF86" i="61" s="1"/>
  <c r="AE86" i="61" a="1"/>
  <c r="AE86" i="61" s="1"/>
  <c r="AD86" i="61" a="1"/>
  <c r="AD86" i="61" s="1"/>
  <c r="T86" i="61"/>
  <c r="R86" i="61"/>
  <c r="N86" i="61"/>
  <c r="M86" i="61"/>
  <c r="L86" i="61"/>
  <c r="F86" i="61"/>
  <c r="D86" i="61"/>
  <c r="AF85" i="61" a="1"/>
  <c r="AF85" i="61" s="1"/>
  <c r="AE85" i="61" a="1"/>
  <c r="AE85" i="61" s="1"/>
  <c r="AD85" i="61" a="1"/>
  <c r="AD85" i="61" s="1"/>
  <c r="T85" i="61"/>
  <c r="R85" i="61"/>
  <c r="N85" i="61"/>
  <c r="M85" i="61"/>
  <c r="L85" i="61"/>
  <c r="F85" i="61"/>
  <c r="D85" i="61"/>
  <c r="AF84" i="61" a="1"/>
  <c r="AF84" i="61" s="1"/>
  <c r="AE84" i="61" a="1"/>
  <c r="AE84" i="61" s="1"/>
  <c r="AD84" i="61" a="1"/>
  <c r="AD84" i="61" s="1"/>
  <c r="T84" i="61"/>
  <c r="R84" i="61"/>
  <c r="N84" i="61"/>
  <c r="M84" i="61"/>
  <c r="L84" i="61"/>
  <c r="F84" i="61"/>
  <c r="D84" i="61"/>
  <c r="AF83" i="61" a="1"/>
  <c r="AF83" i="61" s="1"/>
  <c r="AE83" i="61" a="1"/>
  <c r="AE83" i="61" s="1"/>
  <c r="AD83" i="61" a="1"/>
  <c r="AD83" i="61" s="1"/>
  <c r="T83" i="61"/>
  <c r="R83" i="61"/>
  <c r="N83" i="61"/>
  <c r="M83" i="61"/>
  <c r="L83" i="61"/>
  <c r="F83" i="61"/>
  <c r="D83" i="61"/>
  <c r="AF82" i="61" a="1"/>
  <c r="AF82" i="61" s="1"/>
  <c r="AE82" i="61" a="1"/>
  <c r="AE82" i="61" s="1"/>
  <c r="AD82" i="61" a="1"/>
  <c r="AD82" i="61" s="1"/>
  <c r="T82" i="61"/>
  <c r="R82" i="61"/>
  <c r="N82" i="61"/>
  <c r="M82" i="61"/>
  <c r="L82" i="61"/>
  <c r="F82" i="61"/>
  <c r="D82" i="61"/>
  <c r="AF81" i="61" a="1"/>
  <c r="AF81" i="61" s="1"/>
  <c r="AE81" i="61" a="1"/>
  <c r="AE81" i="61" s="1"/>
  <c r="AD81" i="61" a="1"/>
  <c r="AD81" i="61" s="1"/>
  <c r="T81" i="61"/>
  <c r="R81" i="61"/>
  <c r="N81" i="61"/>
  <c r="M81" i="61"/>
  <c r="L81" i="61"/>
  <c r="F81" i="61"/>
  <c r="D81" i="61"/>
  <c r="AF80" i="61" a="1"/>
  <c r="AF80" i="61" s="1"/>
  <c r="AE80" i="61" a="1"/>
  <c r="AE80" i="61" s="1"/>
  <c r="AD80" i="61" a="1"/>
  <c r="AD80" i="61" s="1"/>
  <c r="T80" i="61"/>
  <c r="R80" i="61"/>
  <c r="N80" i="61"/>
  <c r="M80" i="61"/>
  <c r="L80" i="61"/>
  <c r="F80" i="61"/>
  <c r="D80" i="61"/>
  <c r="AF79" i="61" a="1"/>
  <c r="AF79" i="61" s="1"/>
  <c r="AE79" i="61" a="1"/>
  <c r="AE79" i="61" s="1"/>
  <c r="AD79" i="61" a="1"/>
  <c r="AD79" i="61" s="1"/>
  <c r="T79" i="61"/>
  <c r="R79" i="61"/>
  <c r="N79" i="61"/>
  <c r="M79" i="61"/>
  <c r="L79" i="61"/>
  <c r="F79" i="61"/>
  <c r="D79" i="61"/>
  <c r="AF78" i="61" a="1"/>
  <c r="AF78" i="61" s="1"/>
  <c r="AE78" i="61" a="1"/>
  <c r="AE78" i="61" s="1"/>
  <c r="AD78" i="61" a="1"/>
  <c r="AD78" i="61" s="1"/>
  <c r="T78" i="61"/>
  <c r="R78" i="61"/>
  <c r="N78" i="61"/>
  <c r="M78" i="61"/>
  <c r="L78" i="61"/>
  <c r="F78" i="61"/>
  <c r="D78" i="61"/>
  <c r="AF77" i="61" a="1"/>
  <c r="AF77" i="61" s="1"/>
  <c r="AE77" i="61" a="1"/>
  <c r="AE77" i="61" s="1"/>
  <c r="AD77" i="61" a="1"/>
  <c r="AD77" i="61" s="1"/>
  <c r="T77" i="61"/>
  <c r="R77" i="61"/>
  <c r="N77" i="61"/>
  <c r="M77" i="61"/>
  <c r="L77" i="61"/>
  <c r="F77" i="61"/>
  <c r="D77" i="61"/>
  <c r="AF76" i="61" a="1"/>
  <c r="AF76" i="61" s="1"/>
  <c r="AE76" i="61" a="1"/>
  <c r="AE76" i="61" s="1"/>
  <c r="AD76" i="61" a="1"/>
  <c r="AD76" i="61" s="1"/>
  <c r="T76" i="61"/>
  <c r="R76" i="61"/>
  <c r="N76" i="61"/>
  <c r="M76" i="61"/>
  <c r="L76" i="61"/>
  <c r="F76" i="61"/>
  <c r="D76" i="61"/>
  <c r="AF75" i="61" a="1"/>
  <c r="AF75" i="61" s="1"/>
  <c r="AE75" i="61" a="1"/>
  <c r="AE75" i="61" s="1"/>
  <c r="AD75" i="61" a="1"/>
  <c r="AD75" i="61" s="1"/>
  <c r="T75" i="61"/>
  <c r="R75" i="61"/>
  <c r="N75" i="61"/>
  <c r="M75" i="61"/>
  <c r="L75" i="61"/>
  <c r="F75" i="61"/>
  <c r="D75" i="61"/>
  <c r="AF69" i="61" a="1"/>
  <c r="AF69" i="61" s="1"/>
  <c r="AE69" i="61" a="1"/>
  <c r="AE69" i="61" s="1"/>
  <c r="AD69" i="61" a="1"/>
  <c r="AD69" i="61" s="1"/>
  <c r="AF68" i="61" a="1"/>
  <c r="AF68" i="61" s="1"/>
  <c r="AE68" i="61" a="1"/>
  <c r="AE68" i="61" s="1"/>
  <c r="AD68" i="61" a="1"/>
  <c r="AD68" i="61" s="1"/>
  <c r="AF67" i="61" a="1"/>
  <c r="AF67" i="61" s="1"/>
  <c r="AE67" i="61" a="1"/>
  <c r="AE67" i="61" s="1"/>
  <c r="AD67" i="61" a="1"/>
  <c r="AD67" i="61" s="1"/>
  <c r="AF66" i="61" a="1"/>
  <c r="AF66" i="61" s="1"/>
  <c r="AE66" i="61" a="1"/>
  <c r="AE66" i="61" s="1"/>
  <c r="AD66" i="61" a="1"/>
  <c r="AD66" i="61" s="1"/>
  <c r="T66" i="61"/>
  <c r="M66" i="61"/>
  <c r="N66" i="61" s="1"/>
  <c r="L66" i="61"/>
  <c r="AF65" i="61" a="1"/>
  <c r="AF65" i="61" s="1"/>
  <c r="AE65" i="61" a="1"/>
  <c r="AE65" i="61" s="1"/>
  <c r="AD65" i="61" a="1"/>
  <c r="AD65" i="61" s="1"/>
  <c r="T65" i="61"/>
  <c r="M65" i="61"/>
  <c r="N65" i="61" s="1"/>
  <c r="L65" i="61"/>
  <c r="AF64" i="61" a="1"/>
  <c r="AF64" i="61" s="1"/>
  <c r="AE64" i="61" a="1"/>
  <c r="AE64" i="61" s="1"/>
  <c r="AD64" i="61" a="1"/>
  <c r="AD64" i="61" s="1"/>
  <c r="T64" i="61"/>
  <c r="M64" i="61"/>
  <c r="N64" i="61" s="1"/>
  <c r="L64" i="61"/>
  <c r="AF63" i="61" a="1"/>
  <c r="AF63" i="61" s="1"/>
  <c r="AE63" i="61" a="1"/>
  <c r="AE63" i="61" s="1"/>
  <c r="AD63" i="61" a="1"/>
  <c r="AD63" i="61" s="1"/>
  <c r="T63" i="61"/>
  <c r="M63" i="61"/>
  <c r="N63" i="61" s="1"/>
  <c r="L63" i="61"/>
  <c r="AF62" i="61" a="1"/>
  <c r="AF62" i="61" s="1"/>
  <c r="AE62" i="61" a="1"/>
  <c r="AE62" i="61" s="1"/>
  <c r="AD62" i="61" a="1"/>
  <c r="AD62" i="61" s="1"/>
  <c r="T62" i="61"/>
  <c r="M62" i="61"/>
  <c r="N62" i="61" s="1"/>
  <c r="L62" i="61"/>
  <c r="AF61" i="61" a="1"/>
  <c r="AF61" i="61" s="1"/>
  <c r="AE61" i="61" a="1"/>
  <c r="AE61" i="61" s="1"/>
  <c r="AD61" i="61" a="1"/>
  <c r="AD61" i="61" s="1"/>
  <c r="T61" i="61"/>
  <c r="M61" i="61"/>
  <c r="N61" i="61" s="1"/>
  <c r="L61" i="61"/>
  <c r="AF60" i="61" a="1"/>
  <c r="AF60" i="61" s="1"/>
  <c r="AE60" i="61" a="1"/>
  <c r="AE60" i="61" s="1"/>
  <c r="AD60" i="61" a="1"/>
  <c r="AD60" i="61" s="1"/>
  <c r="T60" i="61"/>
  <c r="M60" i="61"/>
  <c r="N60" i="61" s="1"/>
  <c r="L60" i="61"/>
  <c r="AF58" i="61" a="1"/>
  <c r="AF58" i="61" s="1"/>
  <c r="AE58" i="61" a="1"/>
  <c r="AE58" i="61" s="1"/>
  <c r="AD58" i="61" a="1"/>
  <c r="AD58" i="61" s="1"/>
  <c r="U58" i="61"/>
  <c r="V58" i="61" s="1"/>
  <c r="T58" i="61"/>
  <c r="O58" i="61"/>
  <c r="P58" i="61" s="1"/>
  <c r="M58" i="61"/>
  <c r="N58" i="61" s="1"/>
  <c r="L58" i="61"/>
  <c r="AF57" i="61" a="1"/>
  <c r="AF57" i="61" s="1"/>
  <c r="AE57" i="61" a="1"/>
  <c r="AE57" i="61" s="1"/>
  <c r="AD57" i="61" a="1"/>
  <c r="AD57" i="61" s="1"/>
  <c r="U57" i="61"/>
  <c r="V57" i="61" s="1"/>
  <c r="T57" i="61"/>
  <c r="O57" i="61"/>
  <c r="P57" i="61" s="1"/>
  <c r="M57" i="61"/>
  <c r="N57" i="61" s="1"/>
  <c r="L57" i="61"/>
  <c r="AF54" i="61" a="1"/>
  <c r="AF54" i="61" s="1"/>
  <c r="AE54" i="61" a="1"/>
  <c r="AE54" i="61" s="1"/>
  <c r="AD54" i="61" a="1"/>
  <c r="AD54" i="61" s="1"/>
  <c r="U54" i="61"/>
  <c r="V54" i="61" s="1"/>
  <c r="T54" i="61"/>
  <c r="O54" i="61"/>
  <c r="P54" i="61" s="1"/>
  <c r="M54" i="61"/>
  <c r="N54" i="61" s="1"/>
  <c r="L54" i="61"/>
  <c r="AF53" i="61" a="1"/>
  <c r="AF53" i="61" s="1"/>
  <c r="AE53" i="61" a="1"/>
  <c r="AE53" i="61" s="1"/>
  <c r="AD53" i="61" a="1"/>
  <c r="AD53" i="61" s="1"/>
  <c r="U53" i="61"/>
  <c r="V53" i="61" s="1"/>
  <c r="T53" i="61"/>
  <c r="O53" i="61"/>
  <c r="P53" i="61" s="1"/>
  <c r="M53" i="61"/>
  <c r="N53" i="61" s="1"/>
  <c r="L53" i="61"/>
  <c r="AF52" i="61" a="1"/>
  <c r="AF52" i="61" s="1"/>
  <c r="AE52" i="61" a="1"/>
  <c r="AE52" i="61" s="1"/>
  <c r="AD52" i="61" a="1"/>
  <c r="AD52" i="61" s="1"/>
  <c r="U52" i="61"/>
  <c r="V52" i="61" s="1"/>
  <c r="T52" i="61"/>
  <c r="O52" i="61"/>
  <c r="P52" i="61" s="1"/>
  <c r="M52" i="61"/>
  <c r="N52" i="61" s="1"/>
  <c r="L52" i="61"/>
  <c r="AF51" i="61" a="1"/>
  <c r="AF51" i="61" s="1"/>
  <c r="AE51" i="61" a="1"/>
  <c r="AE51" i="61" s="1"/>
  <c r="AD51" i="61" a="1"/>
  <c r="AD51" i="61" s="1"/>
  <c r="U51" i="61"/>
  <c r="V51" i="61" s="1"/>
  <c r="T51" i="61"/>
  <c r="O51" i="61"/>
  <c r="P51" i="61" s="1"/>
  <c r="M51" i="61"/>
  <c r="N51" i="61" s="1"/>
  <c r="L51" i="61"/>
  <c r="AF50" i="61" a="1"/>
  <c r="AF50" i="61" s="1"/>
  <c r="AE50" i="61" a="1"/>
  <c r="AE50" i="61" s="1"/>
  <c r="AD50" i="61" a="1"/>
  <c r="AD50" i="61" s="1"/>
  <c r="U50" i="61"/>
  <c r="V50" i="61" s="1"/>
  <c r="T50" i="61"/>
  <c r="O50" i="61"/>
  <c r="P50" i="61" s="1"/>
  <c r="M50" i="61"/>
  <c r="N50" i="61" s="1"/>
  <c r="L50" i="61"/>
  <c r="AF49" i="61" a="1"/>
  <c r="AF49" i="61" s="1"/>
  <c r="AE49" i="61" a="1"/>
  <c r="AE49" i="61" s="1"/>
  <c r="AD49" i="61" a="1"/>
  <c r="AD49" i="61" s="1"/>
  <c r="U49" i="61"/>
  <c r="V49" i="61" s="1"/>
  <c r="T49" i="61"/>
  <c r="O49" i="61"/>
  <c r="P49" i="61" s="1"/>
  <c r="M49" i="61"/>
  <c r="N49" i="61" s="1"/>
  <c r="L49" i="61"/>
  <c r="AF48" i="61" a="1"/>
  <c r="AF48" i="61" s="1"/>
  <c r="AE48" i="61" a="1"/>
  <c r="AE48" i="61" s="1"/>
  <c r="AD48" i="61" a="1"/>
  <c r="AD48" i="61" s="1"/>
  <c r="U48" i="61"/>
  <c r="V48" i="61" s="1"/>
  <c r="T48" i="61"/>
  <c r="O48" i="61"/>
  <c r="P48" i="61" s="1"/>
  <c r="M48" i="61"/>
  <c r="N48" i="61" s="1"/>
  <c r="L48" i="61"/>
  <c r="AF47" i="61" a="1"/>
  <c r="AF47" i="61" s="1"/>
  <c r="AE47" i="61" a="1"/>
  <c r="AE47" i="61" s="1"/>
  <c r="AD47" i="61" a="1"/>
  <c r="AD47" i="61" s="1"/>
  <c r="U47" i="61"/>
  <c r="V47" i="61" s="1"/>
  <c r="T47" i="61"/>
  <c r="O47" i="61"/>
  <c r="P47" i="61" s="1"/>
  <c r="M47" i="61"/>
  <c r="N47" i="61" s="1"/>
  <c r="L47" i="61"/>
  <c r="AF45" i="61" a="1"/>
  <c r="AF45" i="61" s="1"/>
  <c r="AE45" i="61" a="1"/>
  <c r="AE45" i="61" s="1"/>
  <c r="AD45" i="61" a="1"/>
  <c r="AD45" i="61" s="1"/>
  <c r="U45" i="61"/>
  <c r="V45" i="61" s="1"/>
  <c r="T45" i="61"/>
  <c r="O45" i="61"/>
  <c r="P45" i="61" s="1"/>
  <c r="M45" i="61"/>
  <c r="N45" i="61" s="1"/>
  <c r="L45" i="61"/>
  <c r="AF44" i="61" a="1"/>
  <c r="AF44" i="61" s="1"/>
  <c r="AE44" i="61" a="1"/>
  <c r="AE44" i="61" s="1"/>
  <c r="AD44" i="61" a="1"/>
  <c r="AD44" i="61" s="1"/>
  <c r="U44" i="61"/>
  <c r="V44" i="61" s="1"/>
  <c r="T44" i="61"/>
  <c r="O44" i="61"/>
  <c r="P44" i="61" s="1"/>
  <c r="M44" i="61"/>
  <c r="N44" i="61" s="1"/>
  <c r="L44" i="61"/>
  <c r="AF43" i="61" a="1"/>
  <c r="AF43" i="61" s="1"/>
  <c r="AE43" i="61" a="1"/>
  <c r="AE43" i="61" s="1"/>
  <c r="AD43" i="61" a="1"/>
  <c r="AD43" i="61" s="1"/>
  <c r="U43" i="61"/>
  <c r="V43" i="61" s="1"/>
  <c r="T43" i="61"/>
  <c r="O43" i="61"/>
  <c r="P43" i="61" s="1"/>
  <c r="M43" i="61"/>
  <c r="N43" i="61" s="1"/>
  <c r="L43" i="61"/>
  <c r="AF41" i="61" a="1"/>
  <c r="AF41" i="61" s="1"/>
  <c r="AE41" i="61" a="1"/>
  <c r="AE41" i="61" s="1"/>
  <c r="AD41" i="61" a="1"/>
  <c r="AD41" i="61" s="1"/>
  <c r="U41" i="61"/>
  <c r="V41" i="61" s="1"/>
  <c r="T41" i="61"/>
  <c r="O41" i="61"/>
  <c r="P41" i="61" s="1"/>
  <c r="M41" i="61"/>
  <c r="N41" i="61" s="1"/>
  <c r="L41" i="61"/>
  <c r="AF40" i="61" a="1"/>
  <c r="AF40" i="61" s="1"/>
  <c r="AE40" i="61" a="1"/>
  <c r="AE40" i="61" s="1"/>
  <c r="AD40" i="61" a="1"/>
  <c r="AD40" i="61" s="1"/>
  <c r="U40" i="61"/>
  <c r="V40" i="61" s="1"/>
  <c r="T40" i="61"/>
  <c r="O40" i="61"/>
  <c r="P40" i="61" s="1"/>
  <c r="M40" i="61"/>
  <c r="N40" i="61" s="1"/>
  <c r="L40" i="61"/>
  <c r="AF39" i="61" a="1"/>
  <c r="AF39" i="61" s="1"/>
  <c r="AE39" i="61" a="1"/>
  <c r="AE39" i="61" s="1"/>
  <c r="AD39" i="61" a="1"/>
  <c r="AD39" i="61" s="1"/>
  <c r="U39" i="61"/>
  <c r="V39" i="61" s="1"/>
  <c r="T39" i="61"/>
  <c r="O39" i="61"/>
  <c r="P39" i="61" s="1"/>
  <c r="M39" i="61"/>
  <c r="N39" i="61" s="1"/>
  <c r="L39" i="61"/>
  <c r="AF38" i="61" a="1"/>
  <c r="AF38" i="61" s="1"/>
  <c r="AE38" i="61" a="1"/>
  <c r="AE38" i="61" s="1"/>
  <c r="AD38" i="61" a="1"/>
  <c r="AD38" i="61" s="1"/>
  <c r="U38" i="61"/>
  <c r="V38" i="61" s="1"/>
  <c r="T38" i="61"/>
  <c r="O38" i="61"/>
  <c r="P38" i="61" s="1"/>
  <c r="M38" i="61"/>
  <c r="N38" i="61" s="1"/>
  <c r="L38" i="61"/>
  <c r="AF37" i="61" a="1"/>
  <c r="AF37" i="61" s="1"/>
  <c r="AE37" i="61" a="1"/>
  <c r="AE37" i="61" s="1"/>
  <c r="AD37" i="61" a="1"/>
  <c r="AD37" i="61" s="1"/>
  <c r="U37" i="61"/>
  <c r="V37" i="61" s="1"/>
  <c r="T37" i="61"/>
  <c r="O37" i="61"/>
  <c r="P37" i="61" s="1"/>
  <c r="M37" i="61"/>
  <c r="N37" i="61" s="1"/>
  <c r="L37" i="61"/>
  <c r="AF36" i="61" a="1"/>
  <c r="AF36" i="61" s="1"/>
  <c r="AE36" i="61" a="1"/>
  <c r="AE36" i="61" s="1"/>
  <c r="AD36" i="61" a="1"/>
  <c r="AD36" i="61" s="1"/>
  <c r="U36" i="61"/>
  <c r="V36" i="61" s="1"/>
  <c r="T36" i="61"/>
  <c r="O36" i="61"/>
  <c r="P36" i="61" s="1"/>
  <c r="M36" i="61"/>
  <c r="N36" i="61" s="1"/>
  <c r="L36" i="61"/>
  <c r="AF35" i="61" a="1"/>
  <c r="AF35" i="61" s="1"/>
  <c r="AE35" i="61" a="1"/>
  <c r="AE35" i="61" s="1"/>
  <c r="AD35" i="61" a="1"/>
  <c r="AD35" i="61" s="1"/>
  <c r="U35" i="61"/>
  <c r="V35" i="61" s="1"/>
  <c r="T35" i="61"/>
  <c r="O35" i="61"/>
  <c r="P35" i="61" s="1"/>
  <c r="M35" i="61"/>
  <c r="N35" i="61" s="1"/>
  <c r="L35" i="61"/>
  <c r="AF34" i="61" a="1"/>
  <c r="AF34" i="61" s="1"/>
  <c r="AE34" i="61" a="1"/>
  <c r="AE34" i="61" s="1"/>
  <c r="AD34" i="61" a="1"/>
  <c r="AD34" i="61" s="1"/>
  <c r="U34" i="61"/>
  <c r="V34" i="61" s="1"/>
  <c r="T34" i="61"/>
  <c r="O34" i="61"/>
  <c r="P34" i="61" s="1"/>
  <c r="M34" i="61"/>
  <c r="N34" i="61" s="1"/>
  <c r="L34" i="61"/>
  <c r="AF33" i="61" a="1"/>
  <c r="AF33" i="61" s="1"/>
  <c r="AE33" i="61" a="1"/>
  <c r="AE33" i="61" s="1"/>
  <c r="AD33" i="61" a="1"/>
  <c r="AD33" i="61" s="1"/>
  <c r="U33" i="61"/>
  <c r="V33" i="61" s="1"/>
  <c r="T33" i="61"/>
  <c r="O33" i="61"/>
  <c r="P33" i="61" s="1"/>
  <c r="M33" i="61"/>
  <c r="N33" i="61" s="1"/>
  <c r="L33" i="61"/>
  <c r="AF32" i="61" a="1"/>
  <c r="AF32" i="61" s="1"/>
  <c r="AE32" i="61" a="1"/>
  <c r="AE32" i="61" s="1"/>
  <c r="AD32" i="61" a="1"/>
  <c r="AD32" i="61" s="1"/>
  <c r="U32" i="61"/>
  <c r="V32" i="61" s="1"/>
  <c r="T32" i="61"/>
  <c r="O32" i="61"/>
  <c r="P32" i="61" s="1"/>
  <c r="M32" i="61"/>
  <c r="N32" i="61" s="1"/>
  <c r="L32" i="61"/>
  <c r="AF31" i="61" a="1"/>
  <c r="AF31" i="61" s="1"/>
  <c r="AE31" i="61" a="1"/>
  <c r="AE31" i="61" s="1"/>
  <c r="AD31" i="61" a="1"/>
  <c r="AD31" i="61" s="1"/>
  <c r="U31" i="61"/>
  <c r="V31" i="61" s="1"/>
  <c r="T31" i="61"/>
  <c r="O31" i="61"/>
  <c r="P31" i="61" s="1"/>
  <c r="M31" i="61"/>
  <c r="N31" i="61" s="1"/>
  <c r="L31" i="61"/>
  <c r="AF30" i="61" a="1"/>
  <c r="AF30" i="61" s="1"/>
  <c r="AE30" i="61" a="1"/>
  <c r="AE30" i="61" s="1"/>
  <c r="AD30" i="61" a="1"/>
  <c r="AD30" i="61" s="1"/>
  <c r="U30" i="61"/>
  <c r="V30" i="61" s="1"/>
  <c r="T30" i="61"/>
  <c r="O30" i="61"/>
  <c r="P30" i="61" s="1"/>
  <c r="M30" i="61"/>
  <c r="N30" i="61" s="1"/>
  <c r="L30" i="61"/>
  <c r="AF29" i="61" a="1"/>
  <c r="AF29" i="61" s="1"/>
  <c r="AE29" i="61" a="1"/>
  <c r="AE29" i="61" s="1"/>
  <c r="AD29" i="61" a="1"/>
  <c r="AD29" i="61" s="1"/>
  <c r="U29" i="61"/>
  <c r="V29" i="61" s="1"/>
  <c r="T29" i="61"/>
  <c r="O29" i="61"/>
  <c r="P29" i="61" s="1"/>
  <c r="M29" i="61"/>
  <c r="N29" i="61" s="1"/>
  <c r="L29" i="61"/>
  <c r="AF28" i="61" a="1"/>
  <c r="AF28" i="61" s="1"/>
  <c r="AE28" i="61" a="1"/>
  <c r="AE28" i="61" s="1"/>
  <c r="AD28" i="61" a="1"/>
  <c r="AD28" i="61" s="1"/>
  <c r="U28" i="61"/>
  <c r="V28" i="61" s="1"/>
  <c r="T28" i="61"/>
  <c r="O28" i="61"/>
  <c r="P28" i="61" s="1"/>
  <c r="M28" i="61"/>
  <c r="N28" i="61" s="1"/>
  <c r="L28" i="61"/>
  <c r="AF27" i="61" a="1"/>
  <c r="AF27" i="61" s="1"/>
  <c r="AE27" i="61" a="1"/>
  <c r="AE27" i="61" s="1"/>
  <c r="AD27" i="61" a="1"/>
  <c r="AD27" i="61" s="1"/>
  <c r="U27" i="61"/>
  <c r="V27" i="61" s="1"/>
  <c r="T27" i="61"/>
  <c r="O27" i="61"/>
  <c r="P27" i="61" s="1"/>
  <c r="M27" i="61"/>
  <c r="N27" i="61" s="1"/>
  <c r="L27" i="61"/>
  <c r="AF26" i="61" a="1"/>
  <c r="AF26" i="61" s="1"/>
  <c r="AE26" i="61" a="1"/>
  <c r="AE26" i="61" s="1"/>
  <c r="AD26" i="61" a="1"/>
  <c r="AD26" i="61" s="1"/>
  <c r="U26" i="61"/>
  <c r="V26" i="61" s="1"/>
  <c r="T26" i="61"/>
  <c r="O26" i="61"/>
  <c r="P26" i="61" s="1"/>
  <c r="M26" i="61"/>
  <c r="N26" i="61" s="1"/>
  <c r="L26" i="61"/>
  <c r="AF25" i="61" a="1"/>
  <c r="AF25" i="61" s="1"/>
  <c r="AE25" i="61" a="1"/>
  <c r="AE25" i="61" s="1"/>
  <c r="AD25" i="61" a="1"/>
  <c r="AD25" i="61" s="1"/>
  <c r="U25" i="61"/>
  <c r="V25" i="61" s="1"/>
  <c r="T25" i="61"/>
  <c r="O25" i="61"/>
  <c r="P25" i="61" s="1"/>
  <c r="M25" i="61"/>
  <c r="N25" i="61" s="1"/>
  <c r="L25" i="61"/>
  <c r="AF24" i="61" a="1"/>
  <c r="AF24" i="61" s="1"/>
  <c r="AE24" i="61" a="1"/>
  <c r="AE24" i="61" s="1"/>
  <c r="AD24" i="61" a="1"/>
  <c r="AD24" i="61" s="1"/>
  <c r="U24" i="61"/>
  <c r="V24" i="61" s="1"/>
  <c r="T24" i="61"/>
  <c r="O24" i="61"/>
  <c r="P24" i="61" s="1"/>
  <c r="M24" i="61"/>
  <c r="N24" i="61" s="1"/>
  <c r="L24" i="61"/>
  <c r="AF23" i="61" a="1"/>
  <c r="AF23" i="61" s="1"/>
  <c r="AE23" i="61" a="1"/>
  <c r="AE23" i="61" s="1"/>
  <c r="AD23" i="61" a="1"/>
  <c r="AD23" i="61" s="1"/>
  <c r="U23" i="61"/>
  <c r="V23" i="61" s="1"/>
  <c r="T23" i="61"/>
  <c r="R23" i="61"/>
  <c r="O23" i="61"/>
  <c r="P23" i="61" s="1"/>
  <c r="M23" i="61"/>
  <c r="N23" i="61" s="1"/>
  <c r="L23" i="61"/>
  <c r="G20" i="61"/>
  <c r="S19" i="61"/>
  <c r="R19" i="61"/>
  <c r="S18" i="61"/>
  <c r="R18" i="61"/>
  <c r="J17" i="61"/>
  <c r="I17" i="61"/>
  <c r="S16" i="61"/>
  <c r="R16" i="61"/>
  <c r="J16" i="61"/>
  <c r="I16" i="61"/>
  <c r="S15" i="61"/>
  <c r="R15" i="61"/>
  <c r="CK12" i="61" a="1"/>
  <c r="CK12" i="61" s="1"/>
  <c r="CJ12" i="61" a="1"/>
  <c r="CJ12" i="61" s="1"/>
  <c r="CI12" i="61" a="1"/>
  <c r="CI12" i="61" s="1"/>
  <c r="CH12" i="61" a="1"/>
  <c r="CH12" i="61" s="1"/>
  <c r="CG12" i="61" a="1"/>
  <c r="CG12" i="61" s="1"/>
  <c r="CF12" i="61" a="1"/>
  <c r="CF12" i="61" s="1"/>
  <c r="CE12" i="61" a="1"/>
  <c r="CE12" i="61" s="1"/>
  <c r="CD12" i="61" a="1"/>
  <c r="CD12" i="61" s="1"/>
  <c r="CC12" i="61" a="1"/>
  <c r="CC12" i="61" s="1"/>
  <c r="CB12" i="61" a="1"/>
  <c r="CB12" i="61" s="1"/>
  <c r="CA12" i="61" a="1"/>
  <c r="CA12" i="61" s="1"/>
  <c r="BZ12" i="61" a="1"/>
  <c r="BZ12" i="61" s="1"/>
  <c r="BY12" i="61" a="1"/>
  <c r="BY12" i="61" s="1"/>
  <c r="BT12" i="61" a="1"/>
  <c r="BT12" i="61" s="1"/>
  <c r="BO12" i="61" a="1"/>
  <c r="BO12" i="61" s="1"/>
  <c r="BN12" i="61" a="1"/>
  <c r="BN12" i="61" s="1"/>
  <c r="BK12" i="61" a="1"/>
  <c r="BK12" i="61" s="1"/>
  <c r="BX12" i="61" a="1"/>
  <c r="BX12" i="61" s="1"/>
  <c r="BB12" i="61" a="1"/>
  <c r="BB12" i="61" s="1"/>
  <c r="BA12" i="61" a="1"/>
  <c r="BA12" i="61" s="1"/>
  <c r="AZ12" i="61" a="1"/>
  <c r="AZ12" i="61" s="1"/>
  <c r="AY12" i="61" a="1"/>
  <c r="AY12" i="61" s="1"/>
  <c r="AU12" i="61" a="1"/>
  <c r="AU12" i="61" s="1"/>
  <c r="AT12" i="61" a="1"/>
  <c r="AT12" i="61" s="1"/>
  <c r="BV12" i="61" a="1"/>
  <c r="BV12" i="61" s="1"/>
  <c r="AR12" i="61" a="1"/>
  <c r="AR12" i="61" s="1"/>
  <c r="BU12" i="61" a="1"/>
  <c r="BU12" i="61" s="1"/>
  <c r="AQ12" i="61" a="1"/>
  <c r="AQ12" i="61" s="1"/>
  <c r="AP12" i="61" a="1"/>
  <c r="AP12" i="61" s="1"/>
  <c r="AM12" i="61" a="1"/>
  <c r="AM12" i="61" s="1"/>
  <c r="AV12" i="61" a="1"/>
  <c r="AV12" i="61" s="1"/>
  <c r="BI12" i="61" a="1"/>
  <c r="BI12" i="61" s="1"/>
  <c r="AK12" i="61" a="1"/>
  <c r="AK12" i="61" s="1"/>
  <c r="AI12" i="61" a="1"/>
  <c r="AI12" i="61" s="1"/>
  <c r="AH12" i="61" a="1"/>
  <c r="AH12" i="61" s="1"/>
  <c r="AG12" i="61" a="1"/>
  <c r="AG12" i="61" s="1"/>
  <c r="AF12" i="61" a="1"/>
  <c r="AF12" i="61" s="1"/>
  <c r="CK10" i="61" a="1"/>
  <c r="CK10" i="61" s="1"/>
  <c r="CJ10" i="61" a="1"/>
  <c r="CJ10" i="61" s="1"/>
  <c r="CI10" i="61" a="1"/>
  <c r="CI10" i="61" s="1"/>
  <c r="CH10" i="61" a="1"/>
  <c r="CH10" i="61" s="1"/>
  <c r="CG10" i="61" a="1"/>
  <c r="CG10" i="61" s="1"/>
  <c r="CF10" i="61" a="1"/>
  <c r="CF10" i="61" s="1"/>
  <c r="CE10" i="61" a="1"/>
  <c r="CE10" i="61" s="1"/>
  <c r="CD10" i="61" a="1"/>
  <c r="CD10" i="61" s="1"/>
  <c r="CC10" i="61" a="1"/>
  <c r="CC10" i="61" s="1"/>
  <c r="CB10" i="61" a="1"/>
  <c r="CB10" i="61" s="1"/>
  <c r="CA10" i="61" a="1"/>
  <c r="CA10" i="61" s="1"/>
  <c r="BZ10" i="61" a="1"/>
  <c r="BZ10" i="61" s="1"/>
  <c r="BY10" i="61" a="1"/>
  <c r="BY10" i="61" s="1"/>
  <c r="BT10" i="61" a="1"/>
  <c r="BT10" i="61" s="1"/>
  <c r="BO10" i="61" a="1"/>
  <c r="BO10" i="61" s="1"/>
  <c r="BN10" i="61" a="1"/>
  <c r="BN10" i="61" s="1"/>
  <c r="BK10" i="61" a="1"/>
  <c r="BK10" i="61" s="1"/>
  <c r="BX10" i="61" a="1"/>
  <c r="BX10" i="61" s="1"/>
  <c r="BB10" i="61" a="1"/>
  <c r="BB10" i="61" s="1"/>
  <c r="BA10" i="61" a="1"/>
  <c r="BA10" i="61" s="1"/>
  <c r="AZ10" i="61" a="1"/>
  <c r="AZ10" i="61" s="1"/>
  <c r="AY10" i="61" a="1"/>
  <c r="AY10" i="61" s="1"/>
  <c r="AU10" i="61" a="1"/>
  <c r="AU10" i="61" s="1"/>
  <c r="AT10" i="61" a="1"/>
  <c r="AT10" i="61" s="1"/>
  <c r="BV10" i="61" a="1"/>
  <c r="BV10" i="61" s="1"/>
  <c r="AR10" i="61" a="1"/>
  <c r="AR10" i="61" s="1"/>
  <c r="BU10" i="61" a="1"/>
  <c r="BU10" i="61" s="1"/>
  <c r="AQ10" i="61" a="1"/>
  <c r="AQ10" i="61" s="1"/>
  <c r="AP10" i="61" a="1"/>
  <c r="AP10" i="61" s="1"/>
  <c r="AM10" i="61" a="1"/>
  <c r="AM10" i="61" s="1"/>
  <c r="AV10" i="61" a="1"/>
  <c r="AV10" i="61" s="1"/>
  <c r="BI10" i="61" a="1"/>
  <c r="BI10" i="61" s="1"/>
  <c r="AK10" i="61" a="1"/>
  <c r="AK10" i="61" s="1"/>
  <c r="AI10" i="61" a="1"/>
  <c r="AI10" i="61" s="1"/>
  <c r="AH10" i="61" a="1"/>
  <c r="AH10" i="61" s="1"/>
  <c r="AG10" i="61" a="1"/>
  <c r="AG10" i="61" s="1"/>
  <c r="AF10" i="61" a="1"/>
  <c r="AF10" i="61" s="1"/>
  <c r="CK2" i="61" a="1"/>
  <c r="CK2" i="61" s="1"/>
  <c r="CJ2" i="61" a="1"/>
  <c r="CJ2" i="61" s="1"/>
  <c r="CI2" i="61" a="1"/>
  <c r="CI2" i="61" s="1"/>
  <c r="CH2" i="61" a="1"/>
  <c r="CH2" i="61" s="1"/>
  <c r="CG2" i="61" a="1"/>
  <c r="CG2" i="61" s="1"/>
  <c r="CF2" i="61" a="1"/>
  <c r="CF2" i="61" s="1"/>
  <c r="CE2" i="61" a="1"/>
  <c r="CE2" i="61" s="1"/>
  <c r="CD2" i="61" a="1"/>
  <c r="CD2" i="61" s="1"/>
  <c r="CC2" i="61" a="1"/>
  <c r="CC2" i="61" s="1"/>
  <c r="CB2" i="61" a="1"/>
  <c r="CB2" i="61" s="1"/>
  <c r="CA2" i="61" a="1"/>
  <c r="CA2" i="61" s="1"/>
  <c r="BZ2" i="61" a="1"/>
  <c r="BZ2" i="61" s="1"/>
  <c r="BY2" i="61" a="1"/>
  <c r="BY2" i="61" s="1"/>
  <c r="BT2" i="61" a="1"/>
  <c r="BT2" i="61" s="1"/>
  <c r="BO2" i="61" a="1"/>
  <c r="BO2" i="61" s="1"/>
  <c r="BN2" i="61" a="1"/>
  <c r="BN2" i="61" s="1"/>
  <c r="BK2" i="61" a="1"/>
  <c r="BK2" i="61" s="1"/>
  <c r="BX2" i="61" a="1"/>
  <c r="BX2" i="61" s="1"/>
  <c r="BB2" i="61" a="1"/>
  <c r="BB2" i="61" s="1"/>
  <c r="BA2" i="61" a="1"/>
  <c r="BA2" i="61" s="1"/>
  <c r="AZ2" i="61" a="1"/>
  <c r="AZ2" i="61" s="1"/>
  <c r="AY2" i="61" a="1"/>
  <c r="AY2" i="61" s="1"/>
  <c r="AU2" i="61" a="1"/>
  <c r="AU2" i="61" s="1"/>
  <c r="AT2" i="61" a="1"/>
  <c r="AT2" i="61" s="1"/>
  <c r="BV2" i="61" a="1"/>
  <c r="BV2" i="61" s="1"/>
  <c r="AR2" i="61" a="1"/>
  <c r="AR2" i="61" s="1"/>
  <c r="BU2" i="61" a="1"/>
  <c r="BU2" i="61" s="1"/>
  <c r="AQ2" i="61" a="1"/>
  <c r="AQ2" i="61" s="1"/>
  <c r="AP2" i="61" a="1"/>
  <c r="AP2" i="61" s="1"/>
  <c r="AM2" i="61" a="1"/>
  <c r="AM2" i="61" s="1"/>
  <c r="AV2" i="61" a="1"/>
  <c r="AV2" i="61" s="1"/>
  <c r="BI2" i="61" a="1"/>
  <c r="BI2" i="61" s="1"/>
  <c r="AK2" i="61" a="1"/>
  <c r="AK2" i="61" s="1"/>
  <c r="AI2" i="61" a="1"/>
  <c r="AI2" i="61" s="1"/>
  <c r="AH2" i="61" a="1"/>
  <c r="AH2" i="61" s="1"/>
  <c r="AG2" i="61" a="1"/>
  <c r="AG2" i="61" s="1"/>
  <c r="CK1" i="61"/>
  <c r="CJ1" i="61"/>
  <c r="CI1" i="61"/>
  <c r="CH1" i="61"/>
  <c r="CG1" i="61"/>
  <c r="CF1" i="61"/>
  <c r="CE1" i="61"/>
  <c r="CD1" i="61"/>
  <c r="CC1" i="61"/>
  <c r="CB1" i="61"/>
  <c r="CA1" i="61"/>
  <c r="BZ1" i="61"/>
  <c r="BY1" i="61"/>
  <c r="BT1" i="61"/>
  <c r="BO1" i="61"/>
  <c r="BN1" i="61"/>
  <c r="BK1" i="61"/>
  <c r="BX1" i="61"/>
  <c r="BB1" i="61"/>
  <c r="BA1" i="61"/>
  <c r="AZ1" i="61"/>
  <c r="AY1" i="61"/>
  <c r="AU1" i="61"/>
  <c r="AT1" i="61"/>
  <c r="BV1" i="61"/>
  <c r="AR1" i="61"/>
  <c r="BU1" i="61"/>
  <c r="AQ1" i="61"/>
  <c r="AP1" i="61"/>
  <c r="AM1" i="61"/>
  <c r="AV1" i="61"/>
  <c r="BI1" i="61"/>
  <c r="AK1" i="61"/>
  <c r="AI1" i="61"/>
  <c r="AH1" i="61"/>
  <c r="AG1" i="61"/>
  <c r="AF130" i="60" a="1"/>
  <c r="AF130" i="60" s="1"/>
  <c r="AE130" i="60" a="1"/>
  <c r="AE130" i="60" s="1"/>
  <c r="AD130" i="60" a="1"/>
  <c r="AD130" i="60" s="1"/>
  <c r="T130" i="60"/>
  <c r="R130" i="60"/>
  <c r="N130" i="60"/>
  <c r="M130" i="60"/>
  <c r="L130" i="60"/>
  <c r="F130" i="60"/>
  <c r="D130" i="60"/>
  <c r="AF129" i="60" a="1"/>
  <c r="AF129" i="60" s="1"/>
  <c r="AE129" i="60" a="1"/>
  <c r="AE129" i="60" s="1"/>
  <c r="AD129" i="60" a="1"/>
  <c r="AD129" i="60" s="1"/>
  <c r="T129" i="60"/>
  <c r="R129" i="60"/>
  <c r="N129" i="60"/>
  <c r="M129" i="60"/>
  <c r="L129" i="60"/>
  <c r="F129" i="60"/>
  <c r="D129" i="60"/>
  <c r="AF128" i="60" a="1"/>
  <c r="AF128" i="60" s="1"/>
  <c r="AE128" i="60" a="1"/>
  <c r="AE128" i="60" s="1"/>
  <c r="AD128" i="60" a="1"/>
  <c r="AD128" i="60" s="1"/>
  <c r="T128" i="60"/>
  <c r="R128" i="60"/>
  <c r="N128" i="60"/>
  <c r="M128" i="60"/>
  <c r="L128" i="60"/>
  <c r="F128" i="60"/>
  <c r="D128" i="60"/>
  <c r="AF127" i="60" a="1"/>
  <c r="AF127" i="60" s="1"/>
  <c r="AE127" i="60" a="1"/>
  <c r="AE127" i="60" s="1"/>
  <c r="AD127" i="60" a="1"/>
  <c r="AD127" i="60" s="1"/>
  <c r="T127" i="60"/>
  <c r="R127" i="60"/>
  <c r="N127" i="60"/>
  <c r="M127" i="60"/>
  <c r="L127" i="60"/>
  <c r="F127" i="60"/>
  <c r="D127" i="60"/>
  <c r="AF126" i="60" a="1"/>
  <c r="AF126" i="60" s="1"/>
  <c r="AE126" i="60" a="1"/>
  <c r="AE126" i="60" s="1"/>
  <c r="AD126" i="60" a="1"/>
  <c r="AD126" i="60" s="1"/>
  <c r="T126" i="60"/>
  <c r="R126" i="60"/>
  <c r="N126" i="60"/>
  <c r="M126" i="60"/>
  <c r="L126" i="60"/>
  <c r="F126" i="60"/>
  <c r="D126" i="60"/>
  <c r="AF125" i="60" a="1"/>
  <c r="AF125" i="60" s="1"/>
  <c r="AE125" i="60" a="1"/>
  <c r="AE125" i="60" s="1"/>
  <c r="AD125" i="60" a="1"/>
  <c r="AD125" i="60" s="1"/>
  <c r="T125" i="60"/>
  <c r="R125" i="60"/>
  <c r="N125" i="60"/>
  <c r="M125" i="60"/>
  <c r="L125" i="60"/>
  <c r="F125" i="60"/>
  <c r="D125" i="60"/>
  <c r="AF124" i="60" a="1"/>
  <c r="AF124" i="60" s="1"/>
  <c r="AE124" i="60" a="1"/>
  <c r="AE124" i="60" s="1"/>
  <c r="AD124" i="60" a="1"/>
  <c r="AD124" i="60" s="1"/>
  <c r="T124" i="60"/>
  <c r="R124" i="60"/>
  <c r="N124" i="60"/>
  <c r="M124" i="60"/>
  <c r="L124" i="60"/>
  <c r="F124" i="60"/>
  <c r="D124" i="60"/>
  <c r="AF123" i="60" a="1"/>
  <c r="AF123" i="60" s="1"/>
  <c r="AE123" i="60" a="1"/>
  <c r="AE123" i="60" s="1"/>
  <c r="AD123" i="60" a="1"/>
  <c r="AD123" i="60" s="1"/>
  <c r="T123" i="60"/>
  <c r="R123" i="60"/>
  <c r="N123" i="60"/>
  <c r="M123" i="60"/>
  <c r="L123" i="60"/>
  <c r="F123" i="60"/>
  <c r="D123" i="60"/>
  <c r="AF122" i="60" a="1"/>
  <c r="AF122" i="60" s="1"/>
  <c r="AE122" i="60" a="1"/>
  <c r="AE122" i="60" s="1"/>
  <c r="AD122" i="60" a="1"/>
  <c r="AD122" i="60" s="1"/>
  <c r="T122" i="60"/>
  <c r="R122" i="60"/>
  <c r="N122" i="60"/>
  <c r="M122" i="60"/>
  <c r="L122" i="60"/>
  <c r="F122" i="60"/>
  <c r="D122" i="60"/>
  <c r="AF121" i="60" a="1"/>
  <c r="AF121" i="60" s="1"/>
  <c r="AE121" i="60" a="1"/>
  <c r="AE121" i="60" s="1"/>
  <c r="AD121" i="60" a="1"/>
  <c r="AD121" i="60" s="1"/>
  <c r="T121" i="60"/>
  <c r="R121" i="60"/>
  <c r="N121" i="60"/>
  <c r="M121" i="60"/>
  <c r="L121" i="60"/>
  <c r="F121" i="60"/>
  <c r="D121" i="60"/>
  <c r="AF120" i="60" a="1"/>
  <c r="AF120" i="60" s="1"/>
  <c r="AE120" i="60" a="1"/>
  <c r="AE120" i="60" s="1"/>
  <c r="AD120" i="60" a="1"/>
  <c r="AD120" i="60" s="1"/>
  <c r="T120" i="60"/>
  <c r="R120" i="60"/>
  <c r="N120" i="60"/>
  <c r="M120" i="60"/>
  <c r="L120" i="60"/>
  <c r="F120" i="60"/>
  <c r="D120" i="60"/>
  <c r="AF119" i="60" a="1"/>
  <c r="AF119" i="60" s="1"/>
  <c r="AE119" i="60" a="1"/>
  <c r="AE119" i="60" s="1"/>
  <c r="AD119" i="60" a="1"/>
  <c r="AD119" i="60" s="1"/>
  <c r="T119" i="60"/>
  <c r="R119" i="60"/>
  <c r="N119" i="60"/>
  <c r="M119" i="60"/>
  <c r="L119" i="60"/>
  <c r="F119" i="60"/>
  <c r="D119" i="60"/>
  <c r="AF118" i="60" a="1"/>
  <c r="AF118" i="60" s="1"/>
  <c r="AE118" i="60" a="1"/>
  <c r="AE118" i="60" s="1"/>
  <c r="AD118" i="60" a="1"/>
  <c r="AD118" i="60" s="1"/>
  <c r="T118" i="60"/>
  <c r="R118" i="60"/>
  <c r="N118" i="60"/>
  <c r="M118" i="60"/>
  <c r="L118" i="60"/>
  <c r="F118" i="60"/>
  <c r="D118" i="60"/>
  <c r="AF117" i="60" a="1"/>
  <c r="AF117" i="60" s="1"/>
  <c r="AE117" i="60" a="1"/>
  <c r="AE117" i="60" s="1"/>
  <c r="AD117" i="60" a="1"/>
  <c r="AD117" i="60" s="1"/>
  <c r="T117" i="60"/>
  <c r="R117" i="60"/>
  <c r="N117" i="60"/>
  <c r="M117" i="60"/>
  <c r="L117" i="60"/>
  <c r="F117" i="60"/>
  <c r="D117" i="60"/>
  <c r="AF116" i="60" a="1"/>
  <c r="AF116" i="60" s="1"/>
  <c r="AE116" i="60" a="1"/>
  <c r="AE116" i="60" s="1"/>
  <c r="AD116" i="60" a="1"/>
  <c r="AD116" i="60" s="1"/>
  <c r="T116" i="60"/>
  <c r="R116" i="60"/>
  <c r="N116" i="60"/>
  <c r="M116" i="60"/>
  <c r="L116" i="60"/>
  <c r="F116" i="60"/>
  <c r="D116" i="60"/>
  <c r="AF115" i="60" a="1"/>
  <c r="AF115" i="60" s="1"/>
  <c r="AE115" i="60" a="1"/>
  <c r="AE115" i="60" s="1"/>
  <c r="AD115" i="60" a="1"/>
  <c r="AD115" i="60" s="1"/>
  <c r="T115" i="60"/>
  <c r="R115" i="60"/>
  <c r="N115" i="60"/>
  <c r="M115" i="60"/>
  <c r="L115" i="60"/>
  <c r="F115" i="60"/>
  <c r="D115" i="60"/>
  <c r="AF114" i="60" a="1"/>
  <c r="AF114" i="60" s="1"/>
  <c r="AE114" i="60" a="1"/>
  <c r="AE114" i="60" s="1"/>
  <c r="AD114" i="60" a="1"/>
  <c r="AD114" i="60" s="1"/>
  <c r="T114" i="60"/>
  <c r="R114" i="60"/>
  <c r="N114" i="60"/>
  <c r="M114" i="60"/>
  <c r="L114" i="60"/>
  <c r="F114" i="60"/>
  <c r="D114" i="60"/>
  <c r="AF113" i="60" a="1"/>
  <c r="AF113" i="60" s="1"/>
  <c r="AE113" i="60" a="1"/>
  <c r="AE113" i="60" s="1"/>
  <c r="AD113" i="60" a="1"/>
  <c r="AD113" i="60" s="1"/>
  <c r="T113" i="60"/>
  <c r="R113" i="60"/>
  <c r="N113" i="60"/>
  <c r="M113" i="60"/>
  <c r="L113" i="60"/>
  <c r="F113" i="60"/>
  <c r="D113" i="60"/>
  <c r="AF112" i="60" a="1"/>
  <c r="AF112" i="60" s="1"/>
  <c r="AE112" i="60" a="1"/>
  <c r="AE112" i="60" s="1"/>
  <c r="AD112" i="60" a="1"/>
  <c r="AD112" i="60" s="1"/>
  <c r="T112" i="60"/>
  <c r="R112" i="60"/>
  <c r="N112" i="60"/>
  <c r="M112" i="60"/>
  <c r="L112" i="60"/>
  <c r="F112" i="60"/>
  <c r="D112" i="60"/>
  <c r="AF111" i="60" a="1"/>
  <c r="AF111" i="60" s="1"/>
  <c r="AE111" i="60" a="1"/>
  <c r="AE111" i="60" s="1"/>
  <c r="AD111" i="60" a="1"/>
  <c r="AD111" i="60" s="1"/>
  <c r="T111" i="60"/>
  <c r="R111" i="60"/>
  <c r="N111" i="60"/>
  <c r="M111" i="60"/>
  <c r="L111" i="60"/>
  <c r="F111" i="60"/>
  <c r="D111" i="60"/>
  <c r="AF110" i="60" a="1"/>
  <c r="AF110" i="60" s="1"/>
  <c r="AE110" i="60" a="1"/>
  <c r="AE110" i="60" s="1"/>
  <c r="AD110" i="60" a="1"/>
  <c r="AD110" i="60" s="1"/>
  <c r="T110" i="60"/>
  <c r="R110" i="60"/>
  <c r="N110" i="60"/>
  <c r="M110" i="60"/>
  <c r="L110" i="60"/>
  <c r="F110" i="60"/>
  <c r="D110" i="60"/>
  <c r="AF109" i="60" a="1"/>
  <c r="AF109" i="60" s="1"/>
  <c r="AE109" i="60" a="1"/>
  <c r="AE109" i="60" s="1"/>
  <c r="AD109" i="60" a="1"/>
  <c r="AD109" i="60" s="1"/>
  <c r="T109" i="60"/>
  <c r="R109" i="60"/>
  <c r="N109" i="60"/>
  <c r="M109" i="60"/>
  <c r="L109" i="60"/>
  <c r="F109" i="60"/>
  <c r="D109" i="60"/>
  <c r="AF108" i="60" a="1"/>
  <c r="AF108" i="60" s="1"/>
  <c r="AE108" i="60" a="1"/>
  <c r="AE108" i="60" s="1"/>
  <c r="AD108" i="60" a="1"/>
  <c r="AD108" i="60" s="1"/>
  <c r="T108" i="60"/>
  <c r="R108" i="60"/>
  <c r="N108" i="60"/>
  <c r="M108" i="60"/>
  <c r="L108" i="60"/>
  <c r="F108" i="60"/>
  <c r="D108" i="60"/>
  <c r="AF107" i="60" a="1"/>
  <c r="AF107" i="60" s="1"/>
  <c r="AE107" i="60" a="1"/>
  <c r="AE107" i="60" s="1"/>
  <c r="AD107" i="60" a="1"/>
  <c r="AD107" i="60" s="1"/>
  <c r="T107" i="60"/>
  <c r="R107" i="60"/>
  <c r="N107" i="60"/>
  <c r="M107" i="60"/>
  <c r="L107" i="60"/>
  <c r="F107" i="60"/>
  <c r="D107" i="60"/>
  <c r="AF106" i="60" a="1"/>
  <c r="AF106" i="60" s="1"/>
  <c r="AE106" i="60" a="1"/>
  <c r="AE106" i="60" s="1"/>
  <c r="AD106" i="60" a="1"/>
  <c r="AD106" i="60" s="1"/>
  <c r="T106" i="60"/>
  <c r="R106" i="60"/>
  <c r="N106" i="60"/>
  <c r="M106" i="60"/>
  <c r="L106" i="60"/>
  <c r="F106" i="60"/>
  <c r="D106" i="60"/>
  <c r="AF105" i="60" a="1"/>
  <c r="AF105" i="60" s="1"/>
  <c r="AE105" i="60" a="1"/>
  <c r="AE105" i="60" s="1"/>
  <c r="AD105" i="60" a="1"/>
  <c r="AD105" i="60" s="1"/>
  <c r="T105" i="60"/>
  <c r="R105" i="60"/>
  <c r="N105" i="60"/>
  <c r="M105" i="60"/>
  <c r="L105" i="60"/>
  <c r="F105" i="60"/>
  <c r="D105" i="60"/>
  <c r="AF104" i="60" a="1"/>
  <c r="AF104" i="60" s="1"/>
  <c r="AE104" i="60" a="1"/>
  <c r="AE104" i="60" s="1"/>
  <c r="AD104" i="60" a="1"/>
  <c r="AD104" i="60" s="1"/>
  <c r="T104" i="60"/>
  <c r="R104" i="60"/>
  <c r="N104" i="60"/>
  <c r="M104" i="60"/>
  <c r="L104" i="60"/>
  <c r="F104" i="60"/>
  <c r="D104" i="60"/>
  <c r="AF103" i="60" a="1"/>
  <c r="AF103" i="60" s="1"/>
  <c r="AE103" i="60" a="1"/>
  <c r="AE103" i="60" s="1"/>
  <c r="AD103" i="60" a="1"/>
  <c r="AD103" i="60" s="1"/>
  <c r="T103" i="60"/>
  <c r="R103" i="60"/>
  <c r="N103" i="60"/>
  <c r="M103" i="60"/>
  <c r="L103" i="60"/>
  <c r="F103" i="60"/>
  <c r="D103" i="60"/>
  <c r="AF102" i="60" a="1"/>
  <c r="AF102" i="60" s="1"/>
  <c r="AE102" i="60" a="1"/>
  <c r="AE102" i="60" s="1"/>
  <c r="AD102" i="60" a="1"/>
  <c r="AD102" i="60" s="1"/>
  <c r="T102" i="60"/>
  <c r="R102" i="60"/>
  <c r="N102" i="60"/>
  <c r="M102" i="60"/>
  <c r="L102" i="60"/>
  <c r="F102" i="60"/>
  <c r="D102" i="60"/>
  <c r="AF101" i="60" a="1"/>
  <c r="AF101" i="60" s="1"/>
  <c r="AE101" i="60" a="1"/>
  <c r="AE101" i="60" s="1"/>
  <c r="AD101" i="60" a="1"/>
  <c r="AD101" i="60" s="1"/>
  <c r="T101" i="60"/>
  <c r="R101" i="60"/>
  <c r="N101" i="60"/>
  <c r="M101" i="60"/>
  <c r="L101" i="60"/>
  <c r="F101" i="60"/>
  <c r="D101" i="60"/>
  <c r="AF100" i="60" a="1"/>
  <c r="AF100" i="60" s="1"/>
  <c r="AE100" i="60" a="1"/>
  <c r="AE100" i="60" s="1"/>
  <c r="AD100" i="60" a="1"/>
  <c r="AD100" i="60" s="1"/>
  <c r="T100" i="60"/>
  <c r="R100" i="60"/>
  <c r="N100" i="60"/>
  <c r="M100" i="60"/>
  <c r="L100" i="60"/>
  <c r="F100" i="60"/>
  <c r="D100" i="60"/>
  <c r="AF99" i="60" a="1"/>
  <c r="AF99" i="60" s="1"/>
  <c r="AE99" i="60" a="1"/>
  <c r="AE99" i="60" s="1"/>
  <c r="AD99" i="60" a="1"/>
  <c r="AD99" i="60" s="1"/>
  <c r="T99" i="60"/>
  <c r="R99" i="60"/>
  <c r="N99" i="60"/>
  <c r="M99" i="60"/>
  <c r="L99" i="60"/>
  <c r="F99" i="60"/>
  <c r="D99" i="60"/>
  <c r="AF98" i="60" a="1"/>
  <c r="AF98" i="60" s="1"/>
  <c r="AE98" i="60" a="1"/>
  <c r="AE98" i="60" s="1"/>
  <c r="AD98" i="60" a="1"/>
  <c r="AD98" i="60" s="1"/>
  <c r="T98" i="60"/>
  <c r="R98" i="60"/>
  <c r="N98" i="60"/>
  <c r="M98" i="60"/>
  <c r="L98" i="60"/>
  <c r="F98" i="60"/>
  <c r="D98" i="60"/>
  <c r="AF97" i="60" a="1"/>
  <c r="AF97" i="60" s="1"/>
  <c r="AE97" i="60" a="1"/>
  <c r="AE97" i="60" s="1"/>
  <c r="AD97" i="60" a="1"/>
  <c r="AD97" i="60" s="1"/>
  <c r="T97" i="60"/>
  <c r="R97" i="60"/>
  <c r="N97" i="60"/>
  <c r="M97" i="60"/>
  <c r="L97" i="60"/>
  <c r="F97" i="60"/>
  <c r="D97" i="60"/>
  <c r="AF96" i="60" a="1"/>
  <c r="AF96" i="60" s="1"/>
  <c r="AE96" i="60" a="1"/>
  <c r="AE96" i="60" s="1"/>
  <c r="AD96" i="60" a="1"/>
  <c r="AD96" i="60" s="1"/>
  <c r="T96" i="60"/>
  <c r="R96" i="60"/>
  <c r="N96" i="60"/>
  <c r="M96" i="60"/>
  <c r="L96" i="60"/>
  <c r="F96" i="60"/>
  <c r="D96" i="60"/>
  <c r="AF95" i="60" a="1"/>
  <c r="AF95" i="60" s="1"/>
  <c r="AE95" i="60" a="1"/>
  <c r="AE95" i="60" s="1"/>
  <c r="AD95" i="60" a="1"/>
  <c r="AD95" i="60" s="1"/>
  <c r="T95" i="60"/>
  <c r="R95" i="60"/>
  <c r="N95" i="60"/>
  <c r="M95" i="60"/>
  <c r="L95" i="60"/>
  <c r="F95" i="60"/>
  <c r="D95" i="60"/>
  <c r="AF94" i="60" a="1"/>
  <c r="AF94" i="60" s="1"/>
  <c r="AE94" i="60" a="1"/>
  <c r="AE94" i="60" s="1"/>
  <c r="AD94" i="60" a="1"/>
  <c r="AD94" i="60" s="1"/>
  <c r="T94" i="60"/>
  <c r="R94" i="60"/>
  <c r="N94" i="60"/>
  <c r="M94" i="60"/>
  <c r="L94" i="60"/>
  <c r="F94" i="60"/>
  <c r="D94" i="60"/>
  <c r="AF93" i="60" a="1"/>
  <c r="AF93" i="60" s="1"/>
  <c r="AE93" i="60" a="1"/>
  <c r="AE93" i="60" s="1"/>
  <c r="AD93" i="60" a="1"/>
  <c r="AD93" i="60" s="1"/>
  <c r="T93" i="60"/>
  <c r="R93" i="60"/>
  <c r="N93" i="60"/>
  <c r="M93" i="60"/>
  <c r="L93" i="60"/>
  <c r="F93" i="60"/>
  <c r="D93" i="60"/>
  <c r="AF92" i="60" a="1"/>
  <c r="AF92" i="60" s="1"/>
  <c r="AE92" i="60" a="1"/>
  <c r="AE92" i="60" s="1"/>
  <c r="AD92" i="60" a="1"/>
  <c r="AD92" i="60" s="1"/>
  <c r="T92" i="60"/>
  <c r="R92" i="60"/>
  <c r="N92" i="60"/>
  <c r="M92" i="60"/>
  <c r="L92" i="60"/>
  <c r="F92" i="60"/>
  <c r="D92" i="60"/>
  <c r="AF91" i="60" a="1"/>
  <c r="AF91" i="60" s="1"/>
  <c r="AE91" i="60" a="1"/>
  <c r="AE91" i="60" s="1"/>
  <c r="AD91" i="60" a="1"/>
  <c r="AD91" i="60" s="1"/>
  <c r="T91" i="60"/>
  <c r="R91" i="60"/>
  <c r="N91" i="60"/>
  <c r="M91" i="60"/>
  <c r="L91" i="60"/>
  <c r="F91" i="60"/>
  <c r="D91" i="60"/>
  <c r="AF90" i="60" a="1"/>
  <c r="AF90" i="60" s="1"/>
  <c r="AE90" i="60" a="1"/>
  <c r="AE90" i="60" s="1"/>
  <c r="AD90" i="60" a="1"/>
  <c r="AD90" i="60" s="1"/>
  <c r="T90" i="60"/>
  <c r="R90" i="60"/>
  <c r="N90" i="60"/>
  <c r="M90" i="60"/>
  <c r="L90" i="60"/>
  <c r="F90" i="60"/>
  <c r="D90" i="60"/>
  <c r="AF89" i="60" a="1"/>
  <c r="AF89" i="60" s="1"/>
  <c r="AE89" i="60" a="1"/>
  <c r="AE89" i="60" s="1"/>
  <c r="AD89" i="60" a="1"/>
  <c r="AD89" i="60" s="1"/>
  <c r="T89" i="60"/>
  <c r="R89" i="60"/>
  <c r="N89" i="60"/>
  <c r="M89" i="60"/>
  <c r="L89" i="60"/>
  <c r="F89" i="60"/>
  <c r="D89" i="60"/>
  <c r="AF88" i="60" a="1"/>
  <c r="AF88" i="60" s="1"/>
  <c r="AE88" i="60" a="1"/>
  <c r="AE88" i="60" s="1"/>
  <c r="AD88" i="60" a="1"/>
  <c r="AD88" i="60" s="1"/>
  <c r="T88" i="60"/>
  <c r="R88" i="60"/>
  <c r="N88" i="60"/>
  <c r="M88" i="60"/>
  <c r="L88" i="60"/>
  <c r="F88" i="60"/>
  <c r="D88" i="60"/>
  <c r="AF87" i="60" a="1"/>
  <c r="AF87" i="60" s="1"/>
  <c r="AE87" i="60" a="1"/>
  <c r="AE87" i="60" s="1"/>
  <c r="AD87" i="60" a="1"/>
  <c r="AD87" i="60" s="1"/>
  <c r="T87" i="60"/>
  <c r="R87" i="60"/>
  <c r="N87" i="60"/>
  <c r="M87" i="60"/>
  <c r="L87" i="60"/>
  <c r="F87" i="60"/>
  <c r="D87" i="60"/>
  <c r="AF86" i="60" a="1"/>
  <c r="AF86" i="60" s="1"/>
  <c r="AE86" i="60" a="1"/>
  <c r="AE86" i="60" s="1"/>
  <c r="AD86" i="60" a="1"/>
  <c r="AD86" i="60" s="1"/>
  <c r="T86" i="60"/>
  <c r="R86" i="60"/>
  <c r="N86" i="60"/>
  <c r="M86" i="60"/>
  <c r="L86" i="60"/>
  <c r="F86" i="60"/>
  <c r="D86" i="60"/>
  <c r="AF85" i="60" a="1"/>
  <c r="AF85" i="60" s="1"/>
  <c r="AE85" i="60" a="1"/>
  <c r="AE85" i="60" s="1"/>
  <c r="AD85" i="60" a="1"/>
  <c r="AD85" i="60" s="1"/>
  <c r="T85" i="60"/>
  <c r="R85" i="60"/>
  <c r="N85" i="60"/>
  <c r="M85" i="60"/>
  <c r="L85" i="60"/>
  <c r="F85" i="60"/>
  <c r="D85" i="60"/>
  <c r="AF84" i="60" a="1"/>
  <c r="AF84" i="60" s="1"/>
  <c r="AE84" i="60" a="1"/>
  <c r="AE84" i="60" s="1"/>
  <c r="AD84" i="60" a="1"/>
  <c r="AD84" i="60" s="1"/>
  <c r="T84" i="60"/>
  <c r="R84" i="60"/>
  <c r="N84" i="60"/>
  <c r="M84" i="60"/>
  <c r="L84" i="60"/>
  <c r="F84" i="60"/>
  <c r="D84" i="60"/>
  <c r="AF83" i="60" a="1"/>
  <c r="AF83" i="60" s="1"/>
  <c r="AE83" i="60" a="1"/>
  <c r="AE83" i="60" s="1"/>
  <c r="AD83" i="60" a="1"/>
  <c r="AD83" i="60" s="1"/>
  <c r="T83" i="60"/>
  <c r="R83" i="60"/>
  <c r="N83" i="60"/>
  <c r="M83" i="60"/>
  <c r="L83" i="60"/>
  <c r="F83" i="60"/>
  <c r="D83" i="60"/>
  <c r="AF82" i="60" a="1"/>
  <c r="AF82" i="60" s="1"/>
  <c r="AE82" i="60" a="1"/>
  <c r="AE82" i="60" s="1"/>
  <c r="AD82" i="60" a="1"/>
  <c r="AD82" i="60" s="1"/>
  <c r="T82" i="60"/>
  <c r="R82" i="60"/>
  <c r="N82" i="60"/>
  <c r="M82" i="60"/>
  <c r="L82" i="60"/>
  <c r="F82" i="60"/>
  <c r="D82" i="60"/>
  <c r="AF81" i="60" a="1"/>
  <c r="AF81" i="60" s="1"/>
  <c r="AE81" i="60" a="1"/>
  <c r="AE81" i="60" s="1"/>
  <c r="AD81" i="60" a="1"/>
  <c r="AD81" i="60" s="1"/>
  <c r="T81" i="60"/>
  <c r="R81" i="60"/>
  <c r="N81" i="60"/>
  <c r="M81" i="60"/>
  <c r="L81" i="60"/>
  <c r="F81" i="60"/>
  <c r="D81" i="60"/>
  <c r="AF80" i="60" a="1"/>
  <c r="AF80" i="60" s="1"/>
  <c r="AE80" i="60" a="1"/>
  <c r="AE80" i="60" s="1"/>
  <c r="AD80" i="60" a="1"/>
  <c r="AD80" i="60" s="1"/>
  <c r="T80" i="60"/>
  <c r="R80" i="60"/>
  <c r="N80" i="60"/>
  <c r="M80" i="60"/>
  <c r="L80" i="60"/>
  <c r="F80" i="60"/>
  <c r="D80" i="60"/>
  <c r="AF79" i="60" a="1"/>
  <c r="AF79" i="60" s="1"/>
  <c r="AE79" i="60" a="1"/>
  <c r="AE79" i="60" s="1"/>
  <c r="AD79" i="60" a="1"/>
  <c r="AD79" i="60" s="1"/>
  <c r="T79" i="60"/>
  <c r="R79" i="60"/>
  <c r="N79" i="60"/>
  <c r="M79" i="60"/>
  <c r="L79" i="60"/>
  <c r="F79" i="60"/>
  <c r="D79" i="60"/>
  <c r="AF78" i="60" a="1"/>
  <c r="AF78" i="60" s="1"/>
  <c r="AE78" i="60" a="1"/>
  <c r="AE78" i="60" s="1"/>
  <c r="AD78" i="60" a="1"/>
  <c r="AD78" i="60" s="1"/>
  <c r="T78" i="60"/>
  <c r="R78" i="60"/>
  <c r="N78" i="60"/>
  <c r="M78" i="60"/>
  <c r="L78" i="60"/>
  <c r="F78" i="60"/>
  <c r="D78" i="60"/>
  <c r="AF77" i="60" a="1"/>
  <c r="AF77" i="60" s="1"/>
  <c r="AE77" i="60" a="1"/>
  <c r="AE77" i="60" s="1"/>
  <c r="AD77" i="60" a="1"/>
  <c r="AD77" i="60" s="1"/>
  <c r="T77" i="60"/>
  <c r="R77" i="60"/>
  <c r="N77" i="60"/>
  <c r="M77" i="60"/>
  <c r="L77" i="60"/>
  <c r="F77" i="60"/>
  <c r="D77" i="60"/>
  <c r="AF76" i="60" a="1"/>
  <c r="AF76" i="60" s="1"/>
  <c r="AE76" i="60" a="1"/>
  <c r="AE76" i="60" s="1"/>
  <c r="AD76" i="60" a="1"/>
  <c r="AD76" i="60" s="1"/>
  <c r="T76" i="60"/>
  <c r="R76" i="60"/>
  <c r="N76" i="60"/>
  <c r="M76" i="60"/>
  <c r="L76" i="60"/>
  <c r="F76" i="60"/>
  <c r="D76" i="60"/>
  <c r="AF75" i="60" a="1"/>
  <c r="AF75" i="60" s="1"/>
  <c r="AE75" i="60" a="1"/>
  <c r="AE75" i="60" s="1"/>
  <c r="AD75" i="60" a="1"/>
  <c r="AD75" i="60" s="1"/>
  <c r="T75" i="60"/>
  <c r="R75" i="60"/>
  <c r="N75" i="60"/>
  <c r="M75" i="60"/>
  <c r="L75" i="60"/>
  <c r="F75" i="60"/>
  <c r="D75" i="60"/>
  <c r="AF74" i="60" a="1"/>
  <c r="AF74" i="60" s="1"/>
  <c r="AE74" i="60" a="1"/>
  <c r="AE74" i="60" s="1"/>
  <c r="AD74" i="60" a="1"/>
  <c r="AD74" i="60" s="1"/>
  <c r="T74" i="60"/>
  <c r="R74" i="60"/>
  <c r="N74" i="60"/>
  <c r="M74" i="60"/>
  <c r="L74" i="60"/>
  <c r="F74" i="60"/>
  <c r="D74" i="60"/>
  <c r="AF73" i="60" a="1"/>
  <c r="AF73" i="60" s="1"/>
  <c r="AE73" i="60" a="1"/>
  <c r="AE73" i="60" s="1"/>
  <c r="AD73" i="60" a="1"/>
  <c r="AD73" i="60" s="1"/>
  <c r="T73" i="60"/>
  <c r="R73" i="60"/>
  <c r="N73" i="60"/>
  <c r="M73" i="60"/>
  <c r="L73" i="60"/>
  <c r="F73" i="60"/>
  <c r="D73" i="60"/>
  <c r="T69" i="60"/>
  <c r="T68" i="60"/>
  <c r="T67" i="60"/>
  <c r="T66" i="60"/>
  <c r="M66" i="60"/>
  <c r="N66" i="60" s="1"/>
  <c r="T65" i="60"/>
  <c r="M65" i="60"/>
  <c r="N65" i="60" s="1"/>
  <c r="L65" i="60"/>
  <c r="T63" i="60"/>
  <c r="M63" i="60"/>
  <c r="N63" i="60" s="1"/>
  <c r="L63" i="60"/>
  <c r="T62" i="60"/>
  <c r="M62" i="60"/>
  <c r="N62" i="60" s="1"/>
  <c r="L62" i="60"/>
  <c r="T61" i="60"/>
  <c r="M61" i="60"/>
  <c r="N61" i="60" s="1"/>
  <c r="L61" i="60"/>
  <c r="T60" i="60"/>
  <c r="M60" i="60"/>
  <c r="N60" i="60" s="1"/>
  <c r="L60" i="60"/>
  <c r="T59" i="60"/>
  <c r="M59" i="60"/>
  <c r="N59" i="60" s="1"/>
  <c r="L59" i="60"/>
  <c r="U57" i="60"/>
  <c r="V57" i="60" s="1"/>
  <c r="T57" i="60"/>
  <c r="O57" i="60"/>
  <c r="P57" i="60" s="1"/>
  <c r="M57" i="60"/>
  <c r="N57" i="60" s="1"/>
  <c r="L57" i="60"/>
  <c r="U64" i="60"/>
  <c r="V64" i="60" s="1"/>
  <c r="T64" i="60"/>
  <c r="O64" i="60"/>
  <c r="P64" i="60" s="1"/>
  <c r="M64" i="60"/>
  <c r="N64" i="60" s="1"/>
  <c r="L64" i="60"/>
  <c r="AF53" i="60" a="1"/>
  <c r="AF53" i="60" s="1"/>
  <c r="AE53" i="60" a="1"/>
  <c r="AE53" i="60" s="1"/>
  <c r="AD53" i="60" a="1"/>
  <c r="AD53" i="60" s="1"/>
  <c r="U53" i="60"/>
  <c r="V53" i="60" s="1"/>
  <c r="T53" i="60"/>
  <c r="O53" i="60"/>
  <c r="P53" i="60" s="1"/>
  <c r="M53" i="60"/>
  <c r="N53" i="60" s="1"/>
  <c r="L53" i="60"/>
  <c r="U52" i="60"/>
  <c r="V52" i="60" s="1"/>
  <c r="T52" i="60"/>
  <c r="O52" i="60"/>
  <c r="P52" i="60" s="1"/>
  <c r="M52" i="60"/>
  <c r="N52" i="60" s="1"/>
  <c r="L52" i="60"/>
  <c r="U51" i="60"/>
  <c r="V51" i="60" s="1"/>
  <c r="T51" i="60"/>
  <c r="O51" i="60"/>
  <c r="P51" i="60" s="1"/>
  <c r="M51" i="60"/>
  <c r="N51" i="60" s="1"/>
  <c r="L51" i="60"/>
  <c r="U50" i="60"/>
  <c r="V50" i="60" s="1"/>
  <c r="T50" i="60"/>
  <c r="O50" i="60"/>
  <c r="P50" i="60" s="1"/>
  <c r="M50" i="60"/>
  <c r="N50" i="60" s="1"/>
  <c r="L50" i="60"/>
  <c r="U49" i="60"/>
  <c r="V49" i="60" s="1"/>
  <c r="T49" i="60"/>
  <c r="O49" i="60"/>
  <c r="P49" i="60" s="1"/>
  <c r="M49" i="60"/>
  <c r="N49" i="60" s="1"/>
  <c r="L49" i="60"/>
  <c r="U48" i="60"/>
  <c r="V48" i="60" s="1"/>
  <c r="T48" i="60"/>
  <c r="O48" i="60"/>
  <c r="P48" i="60" s="1"/>
  <c r="M48" i="60"/>
  <c r="N48" i="60" s="1"/>
  <c r="L48" i="60"/>
  <c r="U47" i="60"/>
  <c r="V47" i="60" s="1"/>
  <c r="T47" i="60"/>
  <c r="O47" i="60"/>
  <c r="P47" i="60" s="1"/>
  <c r="M47" i="60"/>
  <c r="N47" i="60" s="1"/>
  <c r="L47" i="60"/>
  <c r="U45" i="60"/>
  <c r="V45" i="60" s="1"/>
  <c r="T45" i="60"/>
  <c r="O45" i="60"/>
  <c r="P45" i="60" s="1"/>
  <c r="M45" i="60"/>
  <c r="N45" i="60" s="1"/>
  <c r="L45" i="60"/>
  <c r="U44" i="60"/>
  <c r="V44" i="60" s="1"/>
  <c r="T44" i="60"/>
  <c r="O44" i="60"/>
  <c r="P44" i="60" s="1"/>
  <c r="M44" i="60"/>
  <c r="N44" i="60" s="1"/>
  <c r="L44" i="60"/>
  <c r="U43" i="60"/>
  <c r="V43" i="60" s="1"/>
  <c r="T43" i="60"/>
  <c r="O43" i="60"/>
  <c r="P43" i="60" s="1"/>
  <c r="M43" i="60"/>
  <c r="N43" i="60" s="1"/>
  <c r="L43" i="60"/>
  <c r="U41" i="60"/>
  <c r="V41" i="60" s="1"/>
  <c r="T41" i="60"/>
  <c r="O41" i="60"/>
  <c r="P41" i="60" s="1"/>
  <c r="M41" i="60"/>
  <c r="N41" i="60" s="1"/>
  <c r="L41" i="60"/>
  <c r="AF40" i="60" a="1"/>
  <c r="AF40" i="60" s="1"/>
  <c r="AE40" i="60" a="1"/>
  <c r="AE40" i="60" s="1"/>
  <c r="AD40" i="60" a="1"/>
  <c r="AD40" i="60" s="1"/>
  <c r="U40" i="60"/>
  <c r="V40" i="60" s="1"/>
  <c r="T40" i="60"/>
  <c r="O40" i="60"/>
  <c r="P40" i="60" s="1"/>
  <c r="M40" i="60"/>
  <c r="N40" i="60" s="1"/>
  <c r="L40" i="60"/>
  <c r="AF39" i="60" a="1"/>
  <c r="AF39" i="60" s="1"/>
  <c r="AE39" i="60" a="1"/>
  <c r="AE39" i="60" s="1"/>
  <c r="AD39" i="60" a="1"/>
  <c r="AD39" i="60" s="1"/>
  <c r="U39" i="60"/>
  <c r="V39" i="60" s="1"/>
  <c r="T39" i="60"/>
  <c r="O39" i="60"/>
  <c r="P39" i="60" s="1"/>
  <c r="M39" i="60"/>
  <c r="N39" i="60" s="1"/>
  <c r="L39" i="60"/>
  <c r="AF38" i="60" a="1"/>
  <c r="AF38" i="60" s="1"/>
  <c r="AE38" i="60" a="1"/>
  <c r="AE38" i="60" s="1"/>
  <c r="AD38" i="60" a="1"/>
  <c r="AD38" i="60" s="1"/>
  <c r="U38" i="60"/>
  <c r="V38" i="60" s="1"/>
  <c r="T38" i="60"/>
  <c r="O38" i="60"/>
  <c r="P38" i="60" s="1"/>
  <c r="M38" i="60"/>
  <c r="N38" i="60" s="1"/>
  <c r="L38" i="60"/>
  <c r="AF37" i="60" a="1"/>
  <c r="AF37" i="60" s="1"/>
  <c r="AE37" i="60" a="1"/>
  <c r="AE37" i="60" s="1"/>
  <c r="AD37" i="60" a="1"/>
  <c r="AD37" i="60" s="1"/>
  <c r="U37" i="60"/>
  <c r="V37" i="60" s="1"/>
  <c r="T37" i="60"/>
  <c r="O37" i="60"/>
  <c r="P37" i="60" s="1"/>
  <c r="M37" i="60"/>
  <c r="N37" i="60" s="1"/>
  <c r="L37" i="60"/>
  <c r="AF36" i="60" a="1"/>
  <c r="AF36" i="60" s="1"/>
  <c r="AE36" i="60" a="1"/>
  <c r="AE36" i="60" s="1"/>
  <c r="AD36" i="60" a="1"/>
  <c r="AD36" i="60" s="1"/>
  <c r="U36" i="60"/>
  <c r="V36" i="60" s="1"/>
  <c r="T36" i="60"/>
  <c r="O36" i="60"/>
  <c r="P36" i="60" s="1"/>
  <c r="M36" i="60"/>
  <c r="N36" i="60" s="1"/>
  <c r="L36" i="60"/>
  <c r="AF35" i="60" a="1"/>
  <c r="AF35" i="60" s="1"/>
  <c r="AE35" i="60" a="1"/>
  <c r="AE35" i="60" s="1"/>
  <c r="AD35" i="60" a="1"/>
  <c r="AD35" i="60" s="1"/>
  <c r="U35" i="60"/>
  <c r="V35" i="60" s="1"/>
  <c r="T35" i="60"/>
  <c r="O35" i="60"/>
  <c r="P35" i="60" s="1"/>
  <c r="M35" i="60"/>
  <c r="N35" i="60" s="1"/>
  <c r="L35" i="60"/>
  <c r="AF33" i="60" a="1"/>
  <c r="AF33" i="60" s="1"/>
  <c r="AE33" i="60" a="1"/>
  <c r="AE33" i="60" s="1"/>
  <c r="AD33" i="60" a="1"/>
  <c r="AD33" i="60" s="1"/>
  <c r="U33" i="60"/>
  <c r="V33" i="60" s="1"/>
  <c r="T33" i="60"/>
  <c r="O33" i="60"/>
  <c r="P33" i="60" s="1"/>
  <c r="M33" i="60"/>
  <c r="N33" i="60" s="1"/>
  <c r="L33" i="60"/>
  <c r="AF32" i="60" a="1"/>
  <c r="AF32" i="60" s="1"/>
  <c r="AE32" i="60" a="1"/>
  <c r="AE32" i="60" s="1"/>
  <c r="AD32" i="60" a="1"/>
  <c r="AD32" i="60" s="1"/>
  <c r="U32" i="60"/>
  <c r="V32" i="60" s="1"/>
  <c r="T32" i="60"/>
  <c r="O32" i="60"/>
  <c r="P32" i="60" s="1"/>
  <c r="M32" i="60"/>
  <c r="N32" i="60" s="1"/>
  <c r="L32" i="60"/>
  <c r="U55" i="60"/>
  <c r="V55" i="60" s="1"/>
  <c r="T55" i="60"/>
  <c r="O55" i="60"/>
  <c r="P55" i="60" s="1"/>
  <c r="M55" i="60"/>
  <c r="N55" i="60" s="1"/>
  <c r="L55" i="60"/>
  <c r="AF31" i="60" a="1"/>
  <c r="AF31" i="60" s="1"/>
  <c r="AE31" i="60" a="1"/>
  <c r="AE31" i="60" s="1"/>
  <c r="AD31" i="60" a="1"/>
  <c r="AD31" i="60" s="1"/>
  <c r="U31" i="60"/>
  <c r="V31" i="60" s="1"/>
  <c r="T31" i="60"/>
  <c r="O31" i="60"/>
  <c r="P31" i="60" s="1"/>
  <c r="M31" i="60"/>
  <c r="N31" i="60" s="1"/>
  <c r="L31" i="60"/>
  <c r="AF30" i="60" a="1"/>
  <c r="AF30" i="60" s="1"/>
  <c r="AE30" i="60" a="1"/>
  <c r="AE30" i="60" s="1"/>
  <c r="AD30" i="60" a="1"/>
  <c r="AD30" i="60" s="1"/>
  <c r="U30" i="60"/>
  <c r="V30" i="60" s="1"/>
  <c r="T30" i="60"/>
  <c r="O30" i="60"/>
  <c r="P30" i="60" s="1"/>
  <c r="M30" i="60"/>
  <c r="N30" i="60" s="1"/>
  <c r="L30" i="60"/>
  <c r="AF34" i="60" a="1"/>
  <c r="AF34" i="60" s="1"/>
  <c r="AE34" i="60" a="1"/>
  <c r="AE34" i="60" s="1"/>
  <c r="AD34" i="60" a="1"/>
  <c r="AD34" i="60" s="1"/>
  <c r="U34" i="60"/>
  <c r="V34" i="60" s="1"/>
  <c r="T34" i="60"/>
  <c r="O34" i="60"/>
  <c r="P34" i="60" s="1"/>
  <c r="M34" i="60"/>
  <c r="N34" i="60" s="1"/>
  <c r="L34" i="60"/>
  <c r="AF29" i="60" a="1"/>
  <c r="AF29" i="60" s="1"/>
  <c r="AE29" i="60" a="1"/>
  <c r="AE29" i="60" s="1"/>
  <c r="AD29" i="60" a="1"/>
  <c r="AD29" i="60" s="1"/>
  <c r="U29" i="60"/>
  <c r="V29" i="60" s="1"/>
  <c r="T29" i="60"/>
  <c r="O29" i="60"/>
  <c r="P29" i="60" s="1"/>
  <c r="M29" i="60"/>
  <c r="N29" i="60" s="1"/>
  <c r="L29" i="60"/>
  <c r="AF28" i="60" a="1"/>
  <c r="AF28" i="60" s="1"/>
  <c r="AE28" i="60" a="1"/>
  <c r="AE28" i="60" s="1"/>
  <c r="AD28" i="60" a="1"/>
  <c r="AD28" i="60" s="1"/>
  <c r="U28" i="60"/>
  <c r="V28" i="60" s="1"/>
  <c r="T28" i="60"/>
  <c r="O28" i="60"/>
  <c r="P28" i="60" s="1"/>
  <c r="M28" i="60"/>
  <c r="N28" i="60" s="1"/>
  <c r="L28" i="60"/>
  <c r="AF27" i="60" a="1"/>
  <c r="AF27" i="60" s="1"/>
  <c r="AE27" i="60" a="1"/>
  <c r="AE27" i="60" s="1"/>
  <c r="AD27" i="60" a="1"/>
  <c r="AD27" i="60" s="1"/>
  <c r="U27" i="60"/>
  <c r="V27" i="60" s="1"/>
  <c r="T27" i="60"/>
  <c r="O27" i="60"/>
  <c r="P27" i="60" s="1"/>
  <c r="M27" i="60"/>
  <c r="N27" i="60" s="1"/>
  <c r="L27" i="60"/>
  <c r="AF26" i="60" a="1"/>
  <c r="AF26" i="60" s="1"/>
  <c r="AE26" i="60" a="1"/>
  <c r="AE26" i="60" s="1"/>
  <c r="AD26" i="60" a="1"/>
  <c r="AD26" i="60" s="1"/>
  <c r="U26" i="60"/>
  <c r="V26" i="60" s="1"/>
  <c r="T26" i="60"/>
  <c r="O26" i="60"/>
  <c r="P26" i="60" s="1"/>
  <c r="M26" i="60"/>
  <c r="N26" i="60" s="1"/>
  <c r="L26" i="60"/>
  <c r="AF25" i="60" a="1"/>
  <c r="AF25" i="60" s="1"/>
  <c r="AE25" i="60" a="1"/>
  <c r="AE25" i="60" s="1"/>
  <c r="AD25" i="60" a="1"/>
  <c r="AD25" i="60" s="1"/>
  <c r="U25" i="60"/>
  <c r="V25" i="60" s="1"/>
  <c r="T25" i="60"/>
  <c r="O25" i="60"/>
  <c r="P25" i="60" s="1"/>
  <c r="M25" i="60"/>
  <c r="N25" i="60" s="1"/>
  <c r="L25" i="60"/>
  <c r="AF24" i="60" a="1"/>
  <c r="AF24" i="60" s="1"/>
  <c r="AE24" i="60" a="1"/>
  <c r="AE24" i="60" s="1"/>
  <c r="AD24" i="60" a="1"/>
  <c r="AD24" i="60" s="1"/>
  <c r="U24" i="60"/>
  <c r="V24" i="60" s="1"/>
  <c r="T24" i="60"/>
  <c r="O24" i="60"/>
  <c r="P24" i="60" s="1"/>
  <c r="M24" i="60"/>
  <c r="N24" i="60" s="1"/>
  <c r="L24" i="60"/>
  <c r="AF23" i="60" a="1"/>
  <c r="AF23" i="60" s="1"/>
  <c r="AE23" i="60" a="1"/>
  <c r="AE23" i="60" s="1"/>
  <c r="AD23" i="60" a="1"/>
  <c r="AD23" i="60" s="1"/>
  <c r="U23" i="60"/>
  <c r="V23" i="60" s="1"/>
  <c r="T23" i="60"/>
  <c r="R23" i="60"/>
  <c r="O23" i="60"/>
  <c r="P23" i="60" s="1"/>
  <c r="M23" i="60"/>
  <c r="N23" i="60" s="1"/>
  <c r="L23" i="60"/>
  <c r="G20" i="60"/>
  <c r="S19" i="60"/>
  <c r="R19" i="60"/>
  <c r="S18" i="60"/>
  <c r="R18" i="60"/>
  <c r="AL17" i="60" a="1"/>
  <c r="AL17" i="60" s="1"/>
  <c r="AJ17" i="60" a="1"/>
  <c r="AJ17" i="60" s="1"/>
  <c r="AI17" i="60" a="1"/>
  <c r="AI17" i="60" s="1"/>
  <c r="AH17" i="60" a="1"/>
  <c r="AH17" i="60" s="1"/>
  <c r="AG17" i="60" a="1"/>
  <c r="AG17" i="60" s="1"/>
  <c r="J17" i="60"/>
  <c r="I17" i="60"/>
  <c r="AL16" i="60" a="1"/>
  <c r="AL16" i="60" s="1"/>
  <c r="AJ16" i="60" a="1"/>
  <c r="AJ16" i="60" s="1"/>
  <c r="AI16" i="60" a="1"/>
  <c r="AI16" i="60" s="1"/>
  <c r="AH16" i="60" a="1"/>
  <c r="AH16" i="60" s="1"/>
  <c r="AG16" i="60" a="1"/>
  <c r="AG16" i="60" s="1"/>
  <c r="S16" i="60"/>
  <c r="R16" i="60"/>
  <c r="J16" i="60"/>
  <c r="I16" i="60"/>
  <c r="AL15" i="60" a="1"/>
  <c r="AL15" i="60" s="1"/>
  <c r="AJ15" i="60" a="1"/>
  <c r="AJ15" i="60" s="1"/>
  <c r="AI15" i="60" a="1"/>
  <c r="AI15" i="60" s="1"/>
  <c r="AH15" i="60" a="1"/>
  <c r="AH15" i="60" s="1"/>
  <c r="AG15" i="60" a="1"/>
  <c r="AG15" i="60" s="1"/>
  <c r="S15" i="60"/>
  <c r="R15" i="60"/>
  <c r="CK12" i="60" a="1"/>
  <c r="CK12" i="60" s="1"/>
  <c r="CJ12" i="60" a="1"/>
  <c r="CJ12" i="60" s="1"/>
  <c r="CI12" i="60" a="1"/>
  <c r="CI12" i="60" s="1"/>
  <c r="CH12" i="60" a="1"/>
  <c r="CH12" i="60" s="1"/>
  <c r="CG12" i="60" a="1"/>
  <c r="CG12" i="60" s="1"/>
  <c r="CF12" i="60" a="1"/>
  <c r="CF12" i="60" s="1"/>
  <c r="CE12" i="60" a="1"/>
  <c r="CE12" i="60" s="1"/>
  <c r="CD12" i="60" a="1"/>
  <c r="CD12" i="60" s="1"/>
  <c r="CC12" i="60" a="1"/>
  <c r="CC12" i="60" s="1"/>
  <c r="CB12" i="60" a="1"/>
  <c r="CB12" i="60" s="1"/>
  <c r="CA12" i="60" a="1"/>
  <c r="CA12" i="60" s="1"/>
  <c r="BZ12" i="60" a="1"/>
  <c r="BZ12" i="60" s="1"/>
  <c r="BY12" i="60" a="1"/>
  <c r="BY12" i="60" s="1"/>
  <c r="BX12" i="60" a="1"/>
  <c r="BX12" i="60" s="1"/>
  <c r="BS12" i="60" a="1"/>
  <c r="BS12" i="60" s="1"/>
  <c r="BR12" i="60" a="1"/>
  <c r="BR12" i="60" s="1"/>
  <c r="BQ12" i="60" a="1"/>
  <c r="BQ12" i="60" s="1"/>
  <c r="BO12" i="60" a="1"/>
  <c r="BO12" i="60" s="1"/>
  <c r="BG12" i="60" a="1"/>
  <c r="BG12" i="60" s="1"/>
  <c r="BF12" i="60" a="1"/>
  <c r="BF12" i="60" s="1"/>
  <c r="BE12" i="60" a="1"/>
  <c r="BE12" i="60" s="1"/>
  <c r="BB12" i="60" a="1"/>
  <c r="BB12" i="60" s="1"/>
  <c r="BC12" i="60" a="1"/>
  <c r="BC12" i="60" s="1"/>
  <c r="AX12" i="60" a="1"/>
  <c r="AX12" i="60" s="1"/>
  <c r="AV12" i="60" a="1"/>
  <c r="AV12" i="60" s="1"/>
  <c r="AS12" i="60" a="1"/>
  <c r="AS12" i="60" s="1"/>
  <c r="BD12" i="60" a="1"/>
  <c r="BD12" i="60" s="1"/>
  <c r="AQ12" i="60" a="1"/>
  <c r="AQ12" i="60" s="1"/>
  <c r="AP12" i="60" a="1"/>
  <c r="AP12" i="60" s="1"/>
  <c r="AN12" i="60" a="1"/>
  <c r="AN12" i="60" s="1"/>
  <c r="AT12" i="60" a="1"/>
  <c r="AT12" i="60" s="1"/>
  <c r="AU12" i="60" a="1"/>
  <c r="AU12" i="60" s="1"/>
  <c r="AL12" i="60" a="1"/>
  <c r="AL12" i="60" s="1"/>
  <c r="AI12" i="60" a="1"/>
  <c r="AI12" i="60" s="1"/>
  <c r="AH12" i="60" a="1"/>
  <c r="AH12" i="60" s="1"/>
  <c r="AG12" i="60" a="1"/>
  <c r="AG12" i="60" s="1"/>
  <c r="AF12" i="60" a="1"/>
  <c r="AF12" i="60" s="1"/>
  <c r="CK10" i="60" a="1"/>
  <c r="CK10" i="60" s="1"/>
  <c r="CJ10" i="60" a="1"/>
  <c r="CJ10" i="60" s="1"/>
  <c r="CI10" i="60" a="1"/>
  <c r="CI10" i="60" s="1"/>
  <c r="CH10" i="60" a="1"/>
  <c r="CH10" i="60" s="1"/>
  <c r="CG10" i="60" a="1"/>
  <c r="CG10" i="60" s="1"/>
  <c r="CF10" i="60" a="1"/>
  <c r="CF10" i="60" s="1"/>
  <c r="CE10" i="60" a="1"/>
  <c r="CE10" i="60" s="1"/>
  <c r="CD10" i="60" a="1"/>
  <c r="CD10" i="60" s="1"/>
  <c r="CC10" i="60" a="1"/>
  <c r="CC10" i="60" s="1"/>
  <c r="CB10" i="60" a="1"/>
  <c r="CB10" i="60" s="1"/>
  <c r="CA10" i="60" a="1"/>
  <c r="CA10" i="60" s="1"/>
  <c r="BZ10" i="60" a="1"/>
  <c r="BZ10" i="60" s="1"/>
  <c r="BY10" i="60" a="1"/>
  <c r="BY10" i="60" s="1"/>
  <c r="BX10" i="60" a="1"/>
  <c r="BX10" i="60" s="1"/>
  <c r="BS10" i="60" a="1"/>
  <c r="BS10" i="60" s="1"/>
  <c r="BR10" i="60" a="1"/>
  <c r="BR10" i="60" s="1"/>
  <c r="BQ10" i="60" a="1"/>
  <c r="BQ10" i="60" s="1"/>
  <c r="BO10" i="60" a="1"/>
  <c r="BO10" i="60" s="1"/>
  <c r="BG10" i="60" a="1"/>
  <c r="BG10" i="60" s="1"/>
  <c r="BF10" i="60" a="1"/>
  <c r="BF10" i="60" s="1"/>
  <c r="BE10" i="60" a="1"/>
  <c r="BE10" i="60" s="1"/>
  <c r="BB10" i="60" a="1"/>
  <c r="BB10" i="60" s="1"/>
  <c r="BC10" i="60" a="1"/>
  <c r="BC10" i="60" s="1"/>
  <c r="AX10" i="60" a="1"/>
  <c r="AX10" i="60" s="1"/>
  <c r="AV10" i="60" a="1"/>
  <c r="AV10" i="60" s="1"/>
  <c r="AS10" i="60" a="1"/>
  <c r="AS10" i="60" s="1"/>
  <c r="BD10" i="60" a="1"/>
  <c r="BD10" i="60" s="1"/>
  <c r="AQ10" i="60" a="1"/>
  <c r="AQ10" i="60" s="1"/>
  <c r="AP10" i="60" a="1"/>
  <c r="AP10" i="60" s="1"/>
  <c r="AN10" i="60" a="1"/>
  <c r="AN10" i="60" s="1"/>
  <c r="AT10" i="60" a="1"/>
  <c r="AT10" i="60" s="1"/>
  <c r="AU10" i="60" a="1"/>
  <c r="AU10" i="60" s="1"/>
  <c r="AL10" i="60" a="1"/>
  <c r="AL10" i="60" s="1"/>
  <c r="AI10" i="60" a="1"/>
  <c r="AI10" i="60" s="1"/>
  <c r="AH10" i="60" a="1"/>
  <c r="AH10" i="60" s="1"/>
  <c r="AG10" i="60" a="1"/>
  <c r="AG10" i="60" s="1"/>
  <c r="AF10" i="60" a="1"/>
  <c r="AF10" i="60" s="1"/>
  <c r="CK2" i="60" a="1"/>
  <c r="CK2" i="60" s="1"/>
  <c r="CJ2" i="60" a="1"/>
  <c r="CJ2" i="60" s="1"/>
  <c r="CI2" i="60" a="1"/>
  <c r="CI2" i="60" s="1"/>
  <c r="CH2" i="60" a="1"/>
  <c r="CH2" i="60" s="1"/>
  <c r="CG2" i="60" a="1"/>
  <c r="CG2" i="60" s="1"/>
  <c r="CF2" i="60" a="1"/>
  <c r="CF2" i="60" s="1"/>
  <c r="CE2" i="60" a="1"/>
  <c r="CE2" i="60" s="1"/>
  <c r="CD2" i="60" a="1"/>
  <c r="CD2" i="60" s="1"/>
  <c r="CC2" i="60" a="1"/>
  <c r="CC2" i="60" s="1"/>
  <c r="CB2" i="60" a="1"/>
  <c r="CB2" i="60" s="1"/>
  <c r="CA2" i="60" a="1"/>
  <c r="CA2" i="60" s="1"/>
  <c r="BZ2" i="60" a="1"/>
  <c r="BZ2" i="60" s="1"/>
  <c r="BY2" i="60" a="1"/>
  <c r="BY2" i="60" s="1"/>
  <c r="BX2" i="60" a="1"/>
  <c r="BX2" i="60" s="1"/>
  <c r="BS2" i="60" a="1"/>
  <c r="BS2" i="60" s="1"/>
  <c r="BR2" i="60" a="1"/>
  <c r="BR2" i="60" s="1"/>
  <c r="BQ2" i="60" a="1"/>
  <c r="BQ2" i="60" s="1"/>
  <c r="BO2" i="60" a="1"/>
  <c r="BO2" i="60" s="1"/>
  <c r="BG2" i="60" a="1"/>
  <c r="BG2" i="60" s="1"/>
  <c r="BF2" i="60" a="1"/>
  <c r="BF2" i="60" s="1"/>
  <c r="BE2" i="60" a="1"/>
  <c r="BE2" i="60" s="1"/>
  <c r="BB2" i="60" a="1"/>
  <c r="BB2" i="60" s="1"/>
  <c r="BC2" i="60" a="1"/>
  <c r="BC2" i="60" s="1"/>
  <c r="AX2" i="60" a="1"/>
  <c r="AX2" i="60" s="1"/>
  <c r="AV2" i="60" a="1"/>
  <c r="AV2" i="60" s="1"/>
  <c r="AS2" i="60" a="1"/>
  <c r="AS2" i="60" s="1"/>
  <c r="BD2" i="60" a="1"/>
  <c r="BD2" i="60" s="1"/>
  <c r="AQ2" i="60" a="1"/>
  <c r="AQ2" i="60" s="1"/>
  <c r="AP2" i="60" a="1"/>
  <c r="AP2" i="60" s="1"/>
  <c r="AN2" i="60" a="1"/>
  <c r="AN2" i="60" s="1"/>
  <c r="AT2" i="60" a="1"/>
  <c r="AT2" i="60" s="1"/>
  <c r="AU2" i="60" a="1"/>
  <c r="AU2" i="60" s="1"/>
  <c r="AL2" i="60" a="1"/>
  <c r="AL2" i="60" s="1"/>
  <c r="AI2" i="60" a="1"/>
  <c r="AI2" i="60" s="1"/>
  <c r="AH2" i="60" a="1"/>
  <c r="AH2" i="60" s="1"/>
  <c r="AG2" i="60" a="1"/>
  <c r="AG2" i="60" s="1"/>
  <c r="CK1" i="60"/>
  <c r="CJ1" i="60"/>
  <c r="CI1" i="60"/>
  <c r="CH1" i="60"/>
  <c r="CG1" i="60"/>
  <c r="CF1" i="60"/>
  <c r="CE1" i="60"/>
  <c r="CD1" i="60"/>
  <c r="CC1" i="60"/>
  <c r="CB1" i="60"/>
  <c r="CA1" i="60"/>
  <c r="BZ1" i="60"/>
  <c r="BY1" i="60"/>
  <c r="BX1" i="60"/>
  <c r="BS1" i="60"/>
  <c r="BR1" i="60"/>
  <c r="BQ1" i="60"/>
  <c r="BO1" i="60"/>
  <c r="BG1" i="60"/>
  <c r="BF1" i="60"/>
  <c r="BE1" i="60"/>
  <c r="BB1" i="60"/>
  <c r="BC1" i="60"/>
  <c r="AX1" i="60"/>
  <c r="AV1" i="60"/>
  <c r="AS1" i="60"/>
  <c r="BD1" i="60"/>
  <c r="AQ1" i="60"/>
  <c r="AP1" i="60"/>
  <c r="AN1" i="60"/>
  <c r="AT1" i="60"/>
  <c r="AU1" i="60"/>
  <c r="AL1" i="60"/>
  <c r="AI1" i="60"/>
  <c r="AH1" i="60"/>
  <c r="AG1" i="60"/>
  <c r="BZ8" i="67" l="1" a="1"/>
  <c r="BZ8" i="67" s="1"/>
  <c r="CJ11" i="64"/>
  <c r="BX13" i="78"/>
  <c r="CP11" i="69"/>
  <c r="AF8" i="78" a="1"/>
  <c r="AF8" i="78" s="1"/>
  <c r="AH8" i="78" a="1"/>
  <c r="AH8" i="78" s="1"/>
  <c r="AH9" i="78" s="1"/>
  <c r="BD3" i="60" a="1"/>
  <c r="BD3" i="60" s="1"/>
  <c r="CD13" i="62"/>
  <c r="CC3" i="60" a="1"/>
  <c r="CC3" i="60" s="1"/>
  <c r="AT3" i="60" a="1"/>
  <c r="AT3" i="60" s="1"/>
  <c r="BS3" i="60" a="1"/>
  <c r="BS3" i="60" s="1"/>
  <c r="BG3" i="60" a="1"/>
  <c r="BG3" i="60" s="1"/>
  <c r="BC3" i="60" a="1"/>
  <c r="BC3" i="60" s="1"/>
  <c r="AH3" i="60" a="1"/>
  <c r="AH3" i="60" s="1"/>
  <c r="CG3" i="60" a="1"/>
  <c r="CG3" i="60" s="1"/>
  <c r="CE3" i="60" a="1"/>
  <c r="CE3" i="60" s="1"/>
  <c r="AG8" i="78" a="1"/>
  <c r="AG8" i="78" s="1"/>
  <c r="AG9" i="78" s="1"/>
  <c r="AI3" i="60" a="1"/>
  <c r="AI3" i="60" s="1"/>
  <c r="AN3" i="60" a="1"/>
  <c r="AN3" i="60" s="1"/>
  <c r="AS3" i="60" a="1"/>
  <c r="AS3" i="60" s="1"/>
  <c r="BB3" i="60" a="1"/>
  <c r="BB3" i="60" s="1"/>
  <c r="BO3" i="60" a="1"/>
  <c r="BO3" i="60" s="1"/>
  <c r="BY3" i="60" a="1"/>
  <c r="BY3" i="60" s="1"/>
  <c r="CD3" i="60" a="1"/>
  <c r="CD3" i="60" s="1"/>
  <c r="AF2" i="60" a="1"/>
  <c r="AF2" i="60" s="1"/>
  <c r="BZ13" i="60"/>
  <c r="CH13" i="60"/>
  <c r="AF3" i="60" a="1"/>
  <c r="AF3" i="60" s="1"/>
  <c r="AL3" i="60" a="1"/>
  <c r="AL3" i="60" s="1"/>
  <c r="AP3" i="60" a="1"/>
  <c r="AP3" i="60" s="1"/>
  <c r="AV3" i="60" a="1"/>
  <c r="AV3" i="60" s="1"/>
  <c r="BE3" i="60" a="1"/>
  <c r="BE3" i="60" s="1"/>
  <c r="BQ3" i="60" a="1"/>
  <c r="BQ3" i="60" s="1"/>
  <c r="BZ3" i="60" a="1"/>
  <c r="BZ3" i="60" s="1"/>
  <c r="AG3" i="60" a="1"/>
  <c r="AG3" i="60" s="1"/>
  <c r="AU3" i="60" a="1"/>
  <c r="AU3" i="60" s="1"/>
  <c r="AQ3" i="60" a="1"/>
  <c r="AQ3" i="60" s="1"/>
  <c r="AX3" i="60" a="1"/>
  <c r="AX3" i="60" s="1"/>
  <c r="BF3" i="60" a="1"/>
  <c r="BF3" i="60" s="1"/>
  <c r="BR3" i="60" a="1"/>
  <c r="BR3" i="60" s="1"/>
  <c r="CA3" i="60" a="1"/>
  <c r="CA3" i="60" s="1"/>
  <c r="AG5" i="60" a="1"/>
  <c r="AG5" i="60" s="1"/>
  <c r="AX4" i="60" a="1"/>
  <c r="AX4" i="60" s="1"/>
  <c r="AL8" i="78" a="1"/>
  <c r="AL8" i="78" s="1"/>
  <c r="AL9" i="78" s="1"/>
  <c r="BG8" i="78" a="1"/>
  <c r="BG8" i="78" s="1"/>
  <c r="BG9" i="78" s="1"/>
  <c r="CJ11" i="66"/>
  <c r="CB13" i="78"/>
  <c r="CF13" i="78"/>
  <c r="CJ13" i="78"/>
  <c r="CF3" i="60" a="1"/>
  <c r="CF3" i="60" s="1"/>
  <c r="CI3" i="60" a="1"/>
  <c r="CI3" i="60" s="1"/>
  <c r="BX3" i="60" a="1"/>
  <c r="BX3" i="60" s="1"/>
  <c r="CB3" i="60" a="1"/>
  <c r="CB3" i="60" s="1"/>
  <c r="AN4" i="60" a="1"/>
  <c r="AN4" i="60" s="1"/>
  <c r="AI4" i="60" a="1"/>
  <c r="AI4" i="60" s="1"/>
  <c r="CK3" i="72" a="1"/>
  <c r="CK3" i="72" s="1"/>
  <c r="AO8" i="78" a="1"/>
  <c r="AO8" i="78" s="1"/>
  <c r="AO9" i="78" s="1"/>
  <c r="AM8" i="62" a="1"/>
  <c r="AM8" i="62" s="1"/>
  <c r="AM9" i="62" s="1"/>
  <c r="AV3" i="72" a="1"/>
  <c r="AV3" i="72" s="1"/>
  <c r="AI3" i="72" a="1"/>
  <c r="AI3" i="72" s="1"/>
  <c r="CC3" i="72" a="1"/>
  <c r="CC3" i="72" s="1"/>
  <c r="CK3" i="60" a="1"/>
  <c r="CK3" i="60" s="1"/>
  <c r="BG3" i="78" a="1"/>
  <c r="BG3" i="78" s="1"/>
  <c r="AS8" i="78" a="1"/>
  <c r="AS8" i="78" s="1"/>
  <c r="AS9" i="78" s="1"/>
  <c r="AG8" i="60" a="1"/>
  <c r="AG8" i="60" s="1"/>
  <c r="AG9" i="60" s="1"/>
  <c r="BO8" i="67" a="1"/>
  <c r="BO8" i="67" s="1"/>
  <c r="BO9" i="67" s="1"/>
  <c r="AH8" i="62" a="1"/>
  <c r="AH8" i="62" s="1"/>
  <c r="AH9" i="62" s="1"/>
  <c r="AG4" i="78" a="1"/>
  <c r="AG4" i="78" s="1"/>
  <c r="AM8" i="78" a="1"/>
  <c r="AM8" i="78" s="1"/>
  <c r="AM9" i="78" s="1"/>
  <c r="AF2" i="72" a="1"/>
  <c r="AF2" i="72" s="1"/>
  <c r="AF11" i="72" s="1"/>
  <c r="BI3" i="72" a="1"/>
  <c r="BI3" i="72" s="1"/>
  <c r="BE4" i="72" a="1"/>
  <c r="BE4" i="72" s="1"/>
  <c r="BT3" i="72" a="1"/>
  <c r="BT3" i="72" s="1"/>
  <c r="AY5" i="72" a="1"/>
  <c r="AY5" i="72" s="1"/>
  <c r="AQ3" i="72" a="1"/>
  <c r="AQ3" i="72" s="1"/>
  <c r="AH3" i="72" a="1"/>
  <c r="AH3" i="72" s="1"/>
  <c r="AU3" i="72" a="1"/>
  <c r="AU3" i="72" s="1"/>
  <c r="BF3" i="72" a="1"/>
  <c r="BF3" i="72" s="1"/>
  <c r="CF3" i="72" a="1"/>
  <c r="CF3" i="72" s="1"/>
  <c r="AG4" i="72" a="1"/>
  <c r="AG4" i="72" s="1"/>
  <c r="CE4" i="72" a="1"/>
  <c r="CE4" i="72" s="1"/>
  <c r="CG3" i="72" a="1"/>
  <c r="CG3" i="72" s="1"/>
  <c r="AH4" i="72" a="1"/>
  <c r="AH4" i="72" s="1"/>
  <c r="CN4" i="72" a="1"/>
  <c r="CN4" i="72" s="1"/>
  <c r="CN5" i="72" a="1"/>
  <c r="CN5" i="72" s="1"/>
  <c r="BV5" i="72" a="1"/>
  <c r="BV5" i="72" s="1"/>
  <c r="CO5" i="72" a="1"/>
  <c r="CO5" i="72" s="1"/>
  <c r="BI5" i="72" a="1"/>
  <c r="BI5" i="72" s="1"/>
  <c r="AT5" i="72" a="1"/>
  <c r="AT5" i="72" s="1"/>
  <c r="AO3" i="72" a="1"/>
  <c r="AO3" i="72" s="1"/>
  <c r="BA3" i="72" a="1"/>
  <c r="BA3" i="72" s="1"/>
  <c r="BX3" i="72" a="1"/>
  <c r="BX3" i="72" s="1"/>
  <c r="CJ3" i="72" a="1"/>
  <c r="CJ3" i="72" s="1"/>
  <c r="AT4" i="72" a="1"/>
  <c r="AT4" i="72" s="1"/>
  <c r="AH3" i="78" a="1"/>
  <c r="AH3" i="78" s="1"/>
  <c r="BQ3" i="78" a="1"/>
  <c r="BQ3" i="78" s="1"/>
  <c r="CI3" i="78" a="1"/>
  <c r="CI3" i="78" s="1"/>
  <c r="AR8" i="78" a="1"/>
  <c r="AR8" i="78" s="1"/>
  <c r="AR9" i="78" s="1"/>
  <c r="BS3" i="78" a="1"/>
  <c r="BS3" i="78" s="1"/>
  <c r="AZ4" i="78" a="1"/>
  <c r="AZ4" i="78" s="1"/>
  <c r="AO3" i="78" a="1"/>
  <c r="AO3" i="78" s="1"/>
  <c r="CA3" i="78" a="1"/>
  <c r="CA3" i="78" s="1"/>
  <c r="AF5" i="78" a="1"/>
  <c r="AF5" i="78" s="1"/>
  <c r="AI8" i="78" a="1"/>
  <c r="AI8" i="78" s="1"/>
  <c r="AI9" i="78" s="1"/>
  <c r="BC5" i="78" a="1"/>
  <c r="BC5" i="78" s="1"/>
  <c r="AP8" i="78" a="1"/>
  <c r="AP8" i="78" s="1"/>
  <c r="AP9" i="78" s="1"/>
  <c r="AU4" i="72" a="1"/>
  <c r="AU4" i="72" s="1"/>
  <c r="BF4" i="72" a="1"/>
  <c r="BF4" i="72" s="1"/>
  <c r="CF4" i="72" a="1"/>
  <c r="CF4" i="72" s="1"/>
  <c r="AG5" i="72" a="1"/>
  <c r="AG5" i="72" s="1"/>
  <c r="CD5" i="72" a="1"/>
  <c r="CD5" i="72" s="1"/>
  <c r="CN3" i="72" a="1"/>
  <c r="CN3" i="72" s="1"/>
  <c r="CN6" i="72" s="1"/>
  <c r="CN7" i="72" s="1"/>
  <c r="AM4" i="72" a="1"/>
  <c r="AM4" i="72" s="1"/>
  <c r="AY4" i="72" a="1"/>
  <c r="AY4" i="72" s="1"/>
  <c r="BW4" i="72" a="1"/>
  <c r="BW4" i="72" s="1"/>
  <c r="CI4" i="72" a="1"/>
  <c r="CI4" i="72" s="1"/>
  <c r="AM5" i="72" a="1"/>
  <c r="AM5" i="72" s="1"/>
  <c r="CO3" i="72" a="1"/>
  <c r="CO3" i="72" s="1"/>
  <c r="AO4" i="72" a="1"/>
  <c r="AO4" i="72" s="1"/>
  <c r="BA4" i="72" a="1"/>
  <c r="BA4" i="72" s="1"/>
  <c r="BX4" i="72" a="1"/>
  <c r="BX4" i="72" s="1"/>
  <c r="CJ4" i="72" a="1"/>
  <c r="CJ4" i="72" s="1"/>
  <c r="BN8" i="62" a="1"/>
  <c r="BN8" i="62" s="1"/>
  <c r="BN9" i="62" s="1"/>
  <c r="CM4" i="72" a="1"/>
  <c r="CM4" i="72" s="1"/>
  <c r="AF5" i="72" a="1"/>
  <c r="AF5" i="72" s="1"/>
  <c r="AL5" i="72" a="1"/>
  <c r="AL5" i="72" s="1"/>
  <c r="BO5" i="72" a="1"/>
  <c r="BO5" i="72" s="1"/>
  <c r="AW5" i="72" a="1"/>
  <c r="AW5" i="72" s="1"/>
  <c r="BD5" i="72" a="1"/>
  <c r="BD5" i="72" s="1"/>
  <c r="AH8" i="72" a="1"/>
  <c r="AH8" i="72" s="1"/>
  <c r="AH9" i="72" s="1"/>
  <c r="AF3" i="72" a="1"/>
  <c r="AF3" i="72" s="1"/>
  <c r="AL3" i="72" a="1"/>
  <c r="AL3" i="72" s="1"/>
  <c r="BO3" i="72" a="1"/>
  <c r="BO3" i="72" s="1"/>
  <c r="AW3" i="72" a="1"/>
  <c r="AW3" i="72" s="1"/>
  <c r="BD3" i="72" a="1"/>
  <c r="BD3" i="72" s="1"/>
  <c r="BV3" i="72" a="1"/>
  <c r="BV3" i="72" s="1"/>
  <c r="CD3" i="72" a="1"/>
  <c r="CD3" i="72" s="1"/>
  <c r="CH3" i="72" a="1"/>
  <c r="CH3" i="72" s="1"/>
  <c r="CL3" i="72" a="1"/>
  <c r="CL3" i="72" s="1"/>
  <c r="CP3" i="72" a="1"/>
  <c r="CP3" i="72" s="1"/>
  <c r="AI4" i="72" a="1"/>
  <c r="AI4" i="72" s="1"/>
  <c r="AQ4" i="72" a="1"/>
  <c r="AQ4" i="72" s="1"/>
  <c r="AV4" i="72" a="1"/>
  <c r="AV4" i="72" s="1"/>
  <c r="BI4" i="72" a="1"/>
  <c r="BI4" i="72" s="1"/>
  <c r="BT4" i="72" a="1"/>
  <c r="BT4" i="72" s="1"/>
  <c r="BT6" i="72" s="1"/>
  <c r="BT7" i="72" s="1"/>
  <c r="CC4" i="72" a="1"/>
  <c r="CC4" i="72" s="1"/>
  <c r="CG4" i="72" a="1"/>
  <c r="CG4" i="72" s="1"/>
  <c r="CK4" i="72" a="1"/>
  <c r="CK4" i="72" s="1"/>
  <c r="CK6" i="72" s="1"/>
  <c r="CK7" i="72" s="1"/>
  <c r="CO4" i="72" a="1"/>
  <c r="CO4" i="72" s="1"/>
  <c r="AH5" i="72" a="1"/>
  <c r="AH5" i="72" s="1"/>
  <c r="AO5" i="72" a="1"/>
  <c r="AO5" i="72" s="1"/>
  <c r="AU5" i="72" a="1"/>
  <c r="AU5" i="72" s="1"/>
  <c r="BA5" i="72" a="1"/>
  <c r="BA5" i="72" s="1"/>
  <c r="CG5" i="72" a="1"/>
  <c r="CG5" i="72" s="1"/>
  <c r="AG3" i="72" a="1"/>
  <c r="AG3" i="72" s="1"/>
  <c r="AM3" i="72" a="1"/>
  <c r="AM3" i="72" s="1"/>
  <c r="AT3" i="72" a="1"/>
  <c r="AT3" i="72" s="1"/>
  <c r="AY3" i="72" a="1"/>
  <c r="AY3" i="72" s="1"/>
  <c r="AY6" i="72" s="1"/>
  <c r="AY7" i="72" s="1"/>
  <c r="BE3" i="72" a="1"/>
  <c r="BE3" i="72" s="1"/>
  <c r="BW3" i="72" a="1"/>
  <c r="BW3" i="72" s="1"/>
  <c r="CE3" i="72" a="1"/>
  <c r="CE3" i="72" s="1"/>
  <c r="CE6" i="72" s="1"/>
  <c r="CE7" i="72" s="1"/>
  <c r="CI3" i="72" a="1"/>
  <c r="CI3" i="72" s="1"/>
  <c r="CM3" i="72" a="1"/>
  <c r="CM3" i="72" s="1"/>
  <c r="AF4" i="72" a="1"/>
  <c r="AF4" i="72" s="1"/>
  <c r="AL4" i="72" a="1"/>
  <c r="AL4" i="72" s="1"/>
  <c r="BO4" i="72" a="1"/>
  <c r="BO4" i="72" s="1"/>
  <c r="AW4" i="72" a="1"/>
  <c r="AW4" i="72" s="1"/>
  <c r="BD4" i="72" a="1"/>
  <c r="BD4" i="72" s="1"/>
  <c r="BV4" i="72" a="1"/>
  <c r="BV4" i="72" s="1"/>
  <c r="CD4" i="72" a="1"/>
  <c r="CD4" i="72" s="1"/>
  <c r="CH4" i="72" a="1"/>
  <c r="CH4" i="72" s="1"/>
  <c r="CL4" i="72" a="1"/>
  <c r="CL4" i="72" s="1"/>
  <c r="CP4" i="72" a="1"/>
  <c r="CP4" i="72" s="1"/>
  <c r="AI5" i="72" a="1"/>
  <c r="AI5" i="72" s="1"/>
  <c r="AQ5" i="72" a="1"/>
  <c r="AQ5" i="72" s="1"/>
  <c r="AV5" i="72" a="1"/>
  <c r="AV5" i="72" s="1"/>
  <c r="AW3" i="78" a="1"/>
  <c r="AW3" i="78" s="1"/>
  <c r="CE3" i="78" a="1"/>
  <c r="CE3" i="78" s="1"/>
  <c r="AS4" i="78" a="1"/>
  <c r="AS4" i="78" s="1"/>
  <c r="BZ4" i="78" a="1"/>
  <c r="BZ4" i="78" s="1"/>
  <c r="CG5" i="78" a="1"/>
  <c r="CG5" i="78" s="1"/>
  <c r="AV4" i="78" a="1"/>
  <c r="AV4" i="78" s="1"/>
  <c r="CD4" i="78" a="1"/>
  <c r="CD4" i="78" s="1"/>
  <c r="CC5" i="78" a="1"/>
  <c r="CC5" i="78" s="1"/>
  <c r="AV8" i="78" a="1"/>
  <c r="AV8" i="78" s="1"/>
  <c r="AV9" i="78" s="1"/>
  <c r="AM4" i="78" a="1"/>
  <c r="AM4" i="78" s="1"/>
  <c r="BR4" i="78" a="1"/>
  <c r="BR4" i="78" s="1"/>
  <c r="BT5" i="72" a="1"/>
  <c r="BT5" i="72" s="1"/>
  <c r="AT8" i="78" a="1"/>
  <c r="AT8" i="78" s="1"/>
  <c r="AT9" i="78" s="1"/>
  <c r="BC8" i="78" a="1"/>
  <c r="BC8" i="78" s="1"/>
  <c r="BC9" i="78" s="1"/>
  <c r="AF8" i="60" a="1"/>
  <c r="AF8" i="60" s="1"/>
  <c r="AF2" i="78" a="1"/>
  <c r="AF2" i="78" s="1"/>
  <c r="AF11" i="78" s="1"/>
  <c r="AI3" i="78" a="1"/>
  <c r="AI3" i="78" s="1"/>
  <c r="AP3" i="78" a="1"/>
  <c r="AP3" i="78" s="1"/>
  <c r="AT3" i="78" a="1"/>
  <c r="AT3" i="78" s="1"/>
  <c r="AY3" i="78" a="1"/>
  <c r="AY3" i="78" s="1"/>
  <c r="BJ3" i="78" a="1"/>
  <c r="BJ3" i="78" s="1"/>
  <c r="BX3" i="78" a="1"/>
  <c r="BX3" i="78" s="1"/>
  <c r="CB3" i="78" a="1"/>
  <c r="CB3" i="78" s="1"/>
  <c r="CF3" i="78" a="1"/>
  <c r="CF3" i="78" s="1"/>
  <c r="CJ3" i="78" a="1"/>
  <c r="CJ3" i="78" s="1"/>
  <c r="AH4" i="78" a="1"/>
  <c r="AH4" i="78" s="1"/>
  <c r="AO4" i="78" a="1"/>
  <c r="AO4" i="78" s="1"/>
  <c r="BG4" i="78" a="1"/>
  <c r="BG4" i="78" s="1"/>
  <c r="AW4" i="78" a="1"/>
  <c r="AW4" i="78" s="1"/>
  <c r="BQ4" i="78" a="1"/>
  <c r="BQ4" i="78" s="1"/>
  <c r="BS4" i="78" a="1"/>
  <c r="BS4" i="78" s="1"/>
  <c r="CA4" i="78" a="1"/>
  <c r="CA4" i="78" s="1"/>
  <c r="CE4" i="78" a="1"/>
  <c r="CE4" i="78" s="1"/>
  <c r="AL5" i="78" a="1"/>
  <c r="AL5" i="78" s="1"/>
  <c r="BO5" i="78" a="1"/>
  <c r="BO5" i="78" s="1"/>
  <c r="CK5" i="78" a="1"/>
  <c r="CK5" i="78" s="1"/>
  <c r="AF3" i="78" a="1"/>
  <c r="AF3" i="78" s="1"/>
  <c r="AL3" i="78" a="1"/>
  <c r="AL3" i="78" s="1"/>
  <c r="AR3" i="78" a="1"/>
  <c r="AR3" i="78" s="1"/>
  <c r="AU3" i="78" a="1"/>
  <c r="AU3" i="78" s="1"/>
  <c r="BC3" i="78" a="1"/>
  <c r="BC3" i="78" s="1"/>
  <c r="BO3" i="78" a="1"/>
  <c r="BO3" i="78" s="1"/>
  <c r="BY3" i="78" a="1"/>
  <c r="BY3" i="78" s="1"/>
  <c r="CC3" i="78" a="1"/>
  <c r="CC3" i="78" s="1"/>
  <c r="CG3" i="78" a="1"/>
  <c r="CG3" i="78" s="1"/>
  <c r="CK3" i="78" a="1"/>
  <c r="CK3" i="78" s="1"/>
  <c r="AI4" i="78" a="1"/>
  <c r="AI4" i="78" s="1"/>
  <c r="AP4" i="78" a="1"/>
  <c r="AP4" i="78" s="1"/>
  <c r="AT4" i="78" a="1"/>
  <c r="AT4" i="78" s="1"/>
  <c r="AY4" i="78" a="1"/>
  <c r="AY4" i="78" s="1"/>
  <c r="BJ4" i="78" a="1"/>
  <c r="BJ4" i="78" s="1"/>
  <c r="BX4" i="78" a="1"/>
  <c r="BX4" i="78" s="1"/>
  <c r="CB4" i="78" a="1"/>
  <c r="CB4" i="78" s="1"/>
  <c r="CG4" i="78" a="1"/>
  <c r="CG4" i="78" s="1"/>
  <c r="AR5" i="78" a="1"/>
  <c r="AR5" i="78" s="1"/>
  <c r="BY5" i="78" a="1"/>
  <c r="BY5" i="78" s="1"/>
  <c r="AG3" i="78" a="1"/>
  <c r="AG3" i="78" s="1"/>
  <c r="AM3" i="78" a="1"/>
  <c r="AM3" i="78" s="1"/>
  <c r="AS3" i="78" a="1"/>
  <c r="AS3" i="78" s="1"/>
  <c r="AV3" i="78" a="1"/>
  <c r="AV3" i="78" s="1"/>
  <c r="AZ3" i="78" a="1"/>
  <c r="AZ3" i="78" s="1"/>
  <c r="BR3" i="78" a="1"/>
  <c r="BR3" i="78" s="1"/>
  <c r="BZ3" i="78" a="1"/>
  <c r="BZ3" i="78" s="1"/>
  <c r="CD3" i="78" a="1"/>
  <c r="CD3" i="78" s="1"/>
  <c r="CH3" i="78" a="1"/>
  <c r="CH3" i="78" s="1"/>
  <c r="AF4" i="78" a="1"/>
  <c r="AF4" i="78" s="1"/>
  <c r="AL4" i="78" a="1"/>
  <c r="AL4" i="78" s="1"/>
  <c r="AR4" i="78" a="1"/>
  <c r="AR4" i="78" s="1"/>
  <c r="AU4" i="78" a="1"/>
  <c r="AU4" i="78" s="1"/>
  <c r="BC4" i="78" a="1"/>
  <c r="BC4" i="78" s="1"/>
  <c r="BO4" i="78" a="1"/>
  <c r="BO4" i="78" s="1"/>
  <c r="BY4" i="78" a="1"/>
  <c r="BY4" i="78" s="1"/>
  <c r="CC4" i="78" a="1"/>
  <c r="CC4" i="78" s="1"/>
  <c r="CH4" i="78" a="1"/>
  <c r="CH4" i="78" s="1"/>
  <c r="AU5" i="78" a="1"/>
  <c r="AU5" i="78" s="1"/>
  <c r="BQ8" i="78" a="1"/>
  <c r="BQ8" i="78" s="1"/>
  <c r="BQ9" i="78" s="1"/>
  <c r="CH5" i="72" a="1"/>
  <c r="CH5" i="72" s="1"/>
  <c r="CP5" i="72" a="1"/>
  <c r="CP5" i="72" s="1"/>
  <c r="CC5" i="72" a="1"/>
  <c r="CC5" i="72" s="1"/>
  <c r="CK5" i="72" a="1"/>
  <c r="CK5" i="72" s="1"/>
  <c r="CL5" i="72" a="1"/>
  <c r="CL5" i="72" s="1"/>
  <c r="BE5" i="72" a="1"/>
  <c r="BE5" i="72" s="1"/>
  <c r="BW5" i="72" a="1"/>
  <c r="BW5" i="72" s="1"/>
  <c r="CE5" i="72" a="1"/>
  <c r="CE5" i="72" s="1"/>
  <c r="CI5" i="72" a="1"/>
  <c r="CI5" i="72" s="1"/>
  <c r="CM5" i="72" a="1"/>
  <c r="CM5" i="72" s="1"/>
  <c r="BF5" i="72" a="1"/>
  <c r="BF5" i="72" s="1"/>
  <c r="BX5" i="72" a="1"/>
  <c r="BX5" i="72" s="1"/>
  <c r="CF5" i="72" a="1"/>
  <c r="CF5" i="72" s="1"/>
  <c r="CJ5" i="72" a="1"/>
  <c r="CJ5" i="72" s="1"/>
  <c r="BA8" i="72" a="1"/>
  <c r="BA8" i="72" s="1"/>
  <c r="BA9" i="72" s="1"/>
  <c r="AL3" i="64" a="1"/>
  <c r="AL3" i="64" s="1"/>
  <c r="AI8" i="72" a="1"/>
  <c r="AI8" i="72" s="1"/>
  <c r="AI9" i="72" s="1"/>
  <c r="AF8" i="72" a="1"/>
  <c r="AF8" i="72" s="1"/>
  <c r="AF9" i="72" s="1"/>
  <c r="AO8" i="72" a="1"/>
  <c r="AO8" i="72" s="1"/>
  <c r="AO9" i="72" s="1"/>
  <c r="AG8" i="72" a="1"/>
  <c r="AG8" i="72" s="1"/>
  <c r="AG9" i="72" s="1"/>
  <c r="AQ8" i="72" a="1"/>
  <c r="AQ8" i="72" s="1"/>
  <c r="AQ9" i="72" s="1"/>
  <c r="AL8" i="72" a="1"/>
  <c r="AL8" i="72" s="1"/>
  <c r="AL9" i="72" s="1"/>
  <c r="AU8" i="72" a="1"/>
  <c r="AU8" i="72" s="1"/>
  <c r="AU9" i="72" s="1"/>
  <c r="AM8" i="72" a="1"/>
  <c r="AM8" i="72" s="1"/>
  <c r="AM9" i="72" s="1"/>
  <c r="AT8" i="72" a="1"/>
  <c r="AT8" i="72" s="1"/>
  <c r="AT9" i="72" s="1"/>
  <c r="AI3" i="79" a="1"/>
  <c r="AI3" i="79" s="1"/>
  <c r="CG13" i="65"/>
  <c r="AG14" i="65"/>
  <c r="AO14" i="78"/>
  <c r="AY8" i="78" a="1"/>
  <c r="AY8" i="78" s="1"/>
  <c r="AY9" i="78" s="1"/>
  <c r="AU8" i="78" a="1"/>
  <c r="AU8" i="78" s="1"/>
  <c r="AU9" i="78" s="1"/>
  <c r="AX8" i="60" a="1"/>
  <c r="AX8" i="60" s="1"/>
  <c r="AX9" i="60" s="1"/>
  <c r="AL8" i="60" a="1"/>
  <c r="AL8" i="60" s="1"/>
  <c r="AL9" i="60" s="1"/>
  <c r="BX8" i="72" a="1"/>
  <c r="BX8" i="72" s="1"/>
  <c r="BX9" i="72" s="1"/>
  <c r="CI5" i="78" a="1"/>
  <c r="CI5" i="78" s="1"/>
  <c r="BT8" i="72" a="1"/>
  <c r="BT8" i="72" s="1"/>
  <c r="BT9" i="72" s="1"/>
  <c r="CJ5" i="67" a="1"/>
  <c r="CJ5" i="67" s="1"/>
  <c r="BB8" i="67" a="1"/>
  <c r="BB8" i="67" s="1"/>
  <c r="BB9" i="67" s="1"/>
  <c r="AO8" i="67" a="1"/>
  <c r="AO8" i="67" s="1"/>
  <c r="AO9" i="67" s="1"/>
  <c r="AV8" i="72" a="1"/>
  <c r="AV8" i="72" s="1"/>
  <c r="AV9" i="72" s="1"/>
  <c r="BI8" i="72" a="1"/>
  <c r="BI8" i="72" s="1"/>
  <c r="BI9" i="72" s="1"/>
  <c r="BO8" i="72" a="1"/>
  <c r="BO8" i="72" s="1"/>
  <c r="BO9" i="72" s="1"/>
  <c r="AW8" i="72" a="1"/>
  <c r="AW8" i="72" s="1"/>
  <c r="AW9" i="72" s="1"/>
  <c r="BD8" i="72" a="1"/>
  <c r="BD8" i="72" s="1"/>
  <c r="BD9" i="72" s="1"/>
  <c r="AY8" i="72" a="1"/>
  <c r="AY8" i="72" s="1"/>
  <c r="AY9" i="72" s="1"/>
  <c r="CC8" i="72" a="1"/>
  <c r="CC8" i="72" s="1"/>
  <c r="CC9" i="72" s="1"/>
  <c r="BQ8" i="66" a="1"/>
  <c r="BQ8" i="66" s="1"/>
  <c r="BQ9" i="66" s="1"/>
  <c r="BE8" i="72" a="1"/>
  <c r="BE8" i="72" s="1"/>
  <c r="BE9" i="72" s="1"/>
  <c r="AI8" i="67" a="1"/>
  <c r="AI8" i="67" s="1"/>
  <c r="AI9" i="67" s="1"/>
  <c r="BO8" i="78" a="1"/>
  <c r="BO8" i="78" s="1"/>
  <c r="BO9" i="78" s="1"/>
  <c r="AW8" i="78" a="1"/>
  <c r="AW8" i="78" s="1"/>
  <c r="AW9" i="78" s="1"/>
  <c r="BR8" i="78" a="1"/>
  <c r="BR8" i="78" s="1"/>
  <c r="BR9" i="78" s="1"/>
  <c r="AO8" i="64" a="1"/>
  <c r="AO8" i="64" s="1"/>
  <c r="AO9" i="64" s="1"/>
  <c r="BO4" i="60" a="1"/>
  <c r="BO4" i="60" s="1"/>
  <c r="BO6" i="60" s="1"/>
  <c r="BO7" i="60" s="1"/>
  <c r="BF8" i="60" a="1"/>
  <c r="BF8" i="60" s="1"/>
  <c r="BF9" i="60" s="1"/>
  <c r="BF8" i="72" a="1"/>
  <c r="BF8" i="72" s="1"/>
  <c r="BF9" i="72" s="1"/>
  <c r="AI8" i="70" a="1"/>
  <c r="AI8" i="70" s="1"/>
  <c r="AI9" i="70" s="1"/>
  <c r="AP3" i="62" a="1"/>
  <c r="AP3" i="62" s="1"/>
  <c r="AZ8" i="78" a="1"/>
  <c r="AZ8" i="78" s="1"/>
  <c r="AZ9" i="78" s="1"/>
  <c r="AX8" i="67" a="1"/>
  <c r="AX8" i="67" s="1"/>
  <c r="AX9" i="67" s="1"/>
  <c r="BV8" i="72" a="1"/>
  <c r="BV8" i="72" s="1"/>
  <c r="BV9" i="72" s="1"/>
  <c r="CJ3" i="60" a="1"/>
  <c r="CJ3" i="60" s="1"/>
  <c r="AH4" i="60" a="1"/>
  <c r="AH4" i="60" s="1"/>
  <c r="AT4" i="60" a="1"/>
  <c r="AT4" i="60" s="1"/>
  <c r="AS4" i="60" a="1"/>
  <c r="AS4" i="60" s="1"/>
  <c r="BY4" i="60" a="1"/>
  <c r="BY4" i="60" s="1"/>
  <c r="AQ5" i="60" a="1"/>
  <c r="AQ5" i="60" s="1"/>
  <c r="CH3" i="60" a="1"/>
  <c r="CH3" i="60" s="1"/>
  <c r="AF4" i="60" a="1"/>
  <c r="AF4" i="60" s="1"/>
  <c r="AL4" i="60" a="1"/>
  <c r="AL4" i="60" s="1"/>
  <c r="AP4" i="60" a="1"/>
  <c r="AP4" i="60" s="1"/>
  <c r="BB4" i="60" a="1"/>
  <c r="BB4" i="60" s="1"/>
  <c r="AG4" i="60" a="1"/>
  <c r="AG4" i="60" s="1"/>
  <c r="AU4" i="60" a="1"/>
  <c r="AU4" i="60" s="1"/>
  <c r="AQ4" i="60" a="1"/>
  <c r="AQ4" i="60" s="1"/>
  <c r="AG8" i="61" a="1"/>
  <c r="AG8" i="61" s="1"/>
  <c r="AG9" i="61" s="1"/>
  <c r="AG3" i="61" a="1"/>
  <c r="AG3" i="61" s="1"/>
  <c r="AO3" i="79" a="1"/>
  <c r="AO3" i="79" s="1"/>
  <c r="CI3" i="79" a="1"/>
  <c r="CI3" i="79" s="1"/>
  <c r="BF3" i="79" a="1"/>
  <c r="BF3" i="79" s="1"/>
  <c r="AI4" i="62" a="1"/>
  <c r="AI4" i="62" s="1"/>
  <c r="CK4" i="78" a="1"/>
  <c r="CK4" i="78" s="1"/>
  <c r="AI5" i="78" a="1"/>
  <c r="AI5" i="78" s="1"/>
  <c r="AP5" i="78" a="1"/>
  <c r="AP5" i="78" s="1"/>
  <c r="AT5" i="78" a="1"/>
  <c r="AT5" i="78" s="1"/>
  <c r="AY5" i="78" a="1"/>
  <c r="AY5" i="78" s="1"/>
  <c r="BJ5" i="78" a="1"/>
  <c r="BJ5" i="78" s="1"/>
  <c r="BX5" i="78" a="1"/>
  <c r="BX5" i="78" s="1"/>
  <c r="CB5" i="78" a="1"/>
  <c r="CB5" i="78" s="1"/>
  <c r="CF5" i="78" a="1"/>
  <c r="CF5" i="78" s="1"/>
  <c r="CJ5" i="78" a="1"/>
  <c r="CJ5" i="78" s="1"/>
  <c r="BY8" i="78" a="1"/>
  <c r="BY8" i="78" s="1"/>
  <c r="BY9" i="78" s="1"/>
  <c r="CI4" i="78" a="1"/>
  <c r="CI4" i="78" s="1"/>
  <c r="AG5" i="78" a="1"/>
  <c r="AG5" i="78" s="1"/>
  <c r="AM5" i="78" a="1"/>
  <c r="AM5" i="78" s="1"/>
  <c r="AS5" i="78" a="1"/>
  <c r="AS5" i="78" s="1"/>
  <c r="AV5" i="78" a="1"/>
  <c r="AV5" i="78" s="1"/>
  <c r="AZ5" i="78" a="1"/>
  <c r="AZ5" i="78" s="1"/>
  <c r="BR5" i="78" a="1"/>
  <c r="BR5" i="78" s="1"/>
  <c r="BZ5" i="78" a="1"/>
  <c r="BZ5" i="78" s="1"/>
  <c r="CD5" i="78" a="1"/>
  <c r="CD5" i="78" s="1"/>
  <c r="CH5" i="78" a="1"/>
  <c r="CH5" i="78" s="1"/>
  <c r="CF4" i="78" a="1"/>
  <c r="CF4" i="78" s="1"/>
  <c r="CJ4" i="78" a="1"/>
  <c r="CJ4" i="78" s="1"/>
  <c r="AH5" i="78" a="1"/>
  <c r="AH5" i="78" s="1"/>
  <c r="AO5" i="78" a="1"/>
  <c r="AO5" i="78" s="1"/>
  <c r="BG5" i="78" a="1"/>
  <c r="BG5" i="78" s="1"/>
  <c r="AW5" i="78" a="1"/>
  <c r="AW5" i="78" s="1"/>
  <c r="BQ5" i="78" a="1"/>
  <c r="BQ5" i="78" s="1"/>
  <c r="BS5" i="78" a="1"/>
  <c r="BS5" i="78" s="1"/>
  <c r="CA5" i="78" a="1"/>
  <c r="CA5" i="78" s="1"/>
  <c r="CE5" i="78" a="1"/>
  <c r="CE5" i="78" s="1"/>
  <c r="BM4" i="67" a="1"/>
  <c r="BM4" i="67" s="1"/>
  <c r="AG14" i="69"/>
  <c r="AF2" i="79" a="1"/>
  <c r="AF2" i="79" s="1"/>
  <c r="AF11" i="79" s="1"/>
  <c r="AJ3" i="79" a="1"/>
  <c r="AJ3" i="79" s="1"/>
  <c r="AR3" i="79" a="1"/>
  <c r="AR3" i="79" s="1"/>
  <c r="BA3" i="79" a="1"/>
  <c r="BA3" i="79" s="1"/>
  <c r="AZ8" i="79" a="1"/>
  <c r="AZ8" i="79" s="1"/>
  <c r="AZ9" i="79" s="1"/>
  <c r="AF3" i="79" a="1"/>
  <c r="AF3" i="79" s="1"/>
  <c r="AM3" i="79" a="1"/>
  <c r="AM3" i="79" s="1"/>
  <c r="AU3" i="79" a="1"/>
  <c r="AU3" i="79" s="1"/>
  <c r="AG3" i="79" a="1"/>
  <c r="AG3" i="79" s="1"/>
  <c r="BN3" i="79" a="1"/>
  <c r="BN3" i="79" s="1"/>
  <c r="AT3" i="79" a="1"/>
  <c r="AT3" i="79" s="1"/>
  <c r="BV3" i="79" a="1"/>
  <c r="BV3" i="79" s="1"/>
  <c r="AL3" i="79" a="1"/>
  <c r="AL3" i="79" s="1"/>
  <c r="AQ3" i="79" a="1"/>
  <c r="AQ3" i="79" s="1"/>
  <c r="AT4" i="79" a="1"/>
  <c r="AT4" i="79" s="1"/>
  <c r="AZ3" i="79" a="1"/>
  <c r="AZ3" i="79" s="1"/>
  <c r="BE3" i="79" a="1"/>
  <c r="BE3" i="79" s="1"/>
  <c r="BU3" i="79" a="1"/>
  <c r="BU3" i="79" s="1"/>
  <c r="CE3" i="79" a="1"/>
  <c r="CE3" i="79" s="1"/>
  <c r="BJ4" i="79" a="1"/>
  <c r="BJ4" i="79" s="1"/>
  <c r="BD3" i="79" a="1"/>
  <c r="BD3" i="79" s="1"/>
  <c r="BR3" i="79" a="1"/>
  <c r="BR3" i="79" s="1"/>
  <c r="CA3" i="79" a="1"/>
  <c r="CA3" i="79" s="1"/>
  <c r="CN3" i="79" a="1"/>
  <c r="CN3" i="79" s="1"/>
  <c r="AX3" i="79" a="1"/>
  <c r="AX3" i="79" s="1"/>
  <c r="BJ3" i="79" a="1"/>
  <c r="BJ3" i="79" s="1"/>
  <c r="BT3" i="79" a="1"/>
  <c r="BT3" i="79" s="1"/>
  <c r="CD3" i="79" a="1"/>
  <c r="CD3" i="79" s="1"/>
  <c r="CE8" i="79" a="1"/>
  <c r="CE8" i="79" s="1"/>
  <c r="CE9" i="79" s="1"/>
  <c r="BW8" i="72" a="1"/>
  <c r="BW8" i="72" s="1"/>
  <c r="BW9" i="72" s="1"/>
  <c r="BM3" i="74" a="1"/>
  <c r="BM3" i="74" s="1"/>
  <c r="BO8" i="61" a="1"/>
  <c r="BO8" i="61" s="1"/>
  <c r="BO9" i="61" s="1"/>
  <c r="BO3" i="66" a="1"/>
  <c r="BO3" i="66" s="1"/>
  <c r="AF8" i="66" a="1"/>
  <c r="AF8" i="66" s="1"/>
  <c r="BF4" i="60" a="1"/>
  <c r="BF4" i="60" s="1"/>
  <c r="BS4" i="60" a="1"/>
  <c r="BS4" i="60" s="1"/>
  <c r="CB4" i="60" a="1"/>
  <c r="CB4" i="60" s="1"/>
  <c r="BE5" i="60" a="1"/>
  <c r="BE5" i="60" s="1"/>
  <c r="AU8" i="60" a="1"/>
  <c r="AU8" i="60" s="1"/>
  <c r="AU9" i="60" s="1"/>
  <c r="BD4" i="60" a="1"/>
  <c r="BD4" i="60" s="1"/>
  <c r="BC4" i="60" a="1"/>
  <c r="BC4" i="60" s="1"/>
  <c r="BG4" i="60" a="1"/>
  <c r="BG4" i="60" s="1"/>
  <c r="BX4" i="60" a="1"/>
  <c r="BX4" i="60" s="1"/>
  <c r="CG4" i="60" a="1"/>
  <c r="CG4" i="60" s="1"/>
  <c r="AV4" i="60" a="1"/>
  <c r="AV4" i="60" s="1"/>
  <c r="AV6" i="60" s="1"/>
  <c r="AV7" i="60" s="1"/>
  <c r="BE4" i="60" a="1"/>
  <c r="BE4" i="60" s="1"/>
  <c r="BQ4" i="60" a="1"/>
  <c r="BQ4" i="60" s="1"/>
  <c r="BQ6" i="60" s="1"/>
  <c r="BQ7" i="60" s="1"/>
  <c r="CA4" i="60" a="1"/>
  <c r="CA4" i="60" s="1"/>
  <c r="BJ8" i="78" a="1"/>
  <c r="BJ8" i="78" s="1"/>
  <c r="BJ9" i="78" s="1"/>
  <c r="CA8" i="78" a="1"/>
  <c r="CA8" i="78" s="1"/>
  <c r="CA9" i="78" s="1"/>
  <c r="BS8" i="67" a="1"/>
  <c r="BS8" i="67" s="1"/>
  <c r="BS9" i="67" s="1"/>
  <c r="AI5" i="67" a="1"/>
  <c r="AI5" i="67" s="1"/>
  <c r="CB3" i="62" a="1"/>
  <c r="CB3" i="62" s="1"/>
  <c r="AQ8" i="62" a="1"/>
  <c r="AQ8" i="62" s="1"/>
  <c r="AQ9" i="62" s="1"/>
  <c r="BS4" i="70" a="1"/>
  <c r="BS4" i="70" s="1"/>
  <c r="BY8" i="70" a="1"/>
  <c r="BY8" i="70" s="1"/>
  <c r="BY9" i="70" s="1"/>
  <c r="BB3" i="64" a="1"/>
  <c r="BB3" i="64" s="1"/>
  <c r="AM8" i="64" a="1"/>
  <c r="AM8" i="64" s="1"/>
  <c r="AM9" i="64" s="1"/>
  <c r="BB8" i="70" a="1"/>
  <c r="BB8" i="70" s="1"/>
  <c r="BB9" i="70" s="1"/>
  <c r="BP8" i="70" a="1"/>
  <c r="BP8" i="70" s="1"/>
  <c r="BP9" i="70" s="1"/>
  <c r="AU8" i="70" a="1"/>
  <c r="AU8" i="70" s="1"/>
  <c r="AU9" i="70" s="1"/>
  <c r="BI8" i="61" a="1"/>
  <c r="BI8" i="61" s="1"/>
  <c r="BI9" i="61" s="1"/>
  <c r="AQ8" i="61" a="1"/>
  <c r="AQ8" i="61" s="1"/>
  <c r="AQ9" i="61" s="1"/>
  <c r="AI8" i="62" a="1"/>
  <c r="AI8" i="62" s="1"/>
  <c r="AI9" i="62" s="1"/>
  <c r="AN8" i="62" a="1"/>
  <c r="AN8" i="62" s="1"/>
  <c r="AN9" i="62" s="1"/>
  <c r="BA8" i="62" a="1"/>
  <c r="BA8" i="62" s="1"/>
  <c r="BA9" i="62" s="1"/>
  <c r="AF8" i="62" a="1"/>
  <c r="AF8" i="62" s="1"/>
  <c r="BM8" i="62" a="1"/>
  <c r="BM8" i="62" s="1"/>
  <c r="BM9" i="62" s="1"/>
  <c r="AP8" i="62" a="1"/>
  <c r="AP8" i="62" s="1"/>
  <c r="AP9" i="62" s="1"/>
  <c r="AG8" i="62" a="1"/>
  <c r="AG8" i="62" s="1"/>
  <c r="AG9" i="62" s="1"/>
  <c r="AK8" i="62" a="1"/>
  <c r="AK8" i="62" s="1"/>
  <c r="AK9" i="62" s="1"/>
  <c r="AR8" i="62" a="1"/>
  <c r="AR8" i="62" s="1"/>
  <c r="AR9" i="62" s="1"/>
  <c r="CF4" i="60" a="1"/>
  <c r="CF4" i="60" s="1"/>
  <c r="CK4" i="60" a="1"/>
  <c r="CK4" i="60" s="1"/>
  <c r="AN5" i="60" a="1"/>
  <c r="AN5" i="60" s="1"/>
  <c r="AV5" i="60" a="1"/>
  <c r="AV5" i="60" s="1"/>
  <c r="AQ8" i="60" a="1"/>
  <c r="AQ8" i="60" s="1"/>
  <c r="AQ9" i="60" s="1"/>
  <c r="CC4" i="60" a="1"/>
  <c r="CC4" i="60" s="1"/>
  <c r="CI4" i="60" a="1"/>
  <c r="CI4" i="60" s="1"/>
  <c r="AI5" i="60" a="1"/>
  <c r="AI5" i="60" s="1"/>
  <c r="AS5" i="60" a="1"/>
  <c r="AS5" i="60" s="1"/>
  <c r="BR4" i="60" a="1"/>
  <c r="BR4" i="60" s="1"/>
  <c r="BZ4" i="60" a="1"/>
  <c r="BZ4" i="60" s="1"/>
  <c r="CE4" i="60" a="1"/>
  <c r="CE4" i="60" s="1"/>
  <c r="CE6" i="60" s="1"/>
  <c r="CE7" i="60" s="1"/>
  <c r="CJ4" i="60" a="1"/>
  <c r="CJ4" i="60" s="1"/>
  <c r="AU5" i="60" a="1"/>
  <c r="AU5" i="60" s="1"/>
  <c r="CB4" i="74" a="1"/>
  <c r="CB4" i="74" s="1"/>
  <c r="AR3" i="64" a="1"/>
  <c r="AR3" i="64" s="1"/>
  <c r="AW8" i="64" a="1"/>
  <c r="AW8" i="64" s="1"/>
  <c r="AW9" i="64" s="1"/>
  <c r="BQ13" i="64"/>
  <c r="CC13" i="64"/>
  <c r="CK13" i="64"/>
  <c r="BR3" i="64" a="1"/>
  <c r="BR3" i="64" s="1"/>
  <c r="CA8" i="64" a="1"/>
  <c r="CA8" i="64" s="1"/>
  <c r="CA9" i="64" s="1"/>
  <c r="AF3" i="64" a="1"/>
  <c r="AF3" i="64" s="1"/>
  <c r="AH8" i="64" a="1"/>
  <c r="AH8" i="64" s="1"/>
  <c r="AH9" i="64" s="1"/>
  <c r="AG3" i="64" a="1"/>
  <c r="AG3" i="64" s="1"/>
  <c r="AM3" i="64" a="1"/>
  <c r="AM3" i="64" s="1"/>
  <c r="AT3" i="64" a="1"/>
  <c r="AT3" i="64" s="1"/>
  <c r="CI3" i="64" a="1"/>
  <c r="CI3" i="64" s="1"/>
  <c r="AH3" i="64" a="1"/>
  <c r="AH3" i="64" s="1"/>
  <c r="AW3" i="64" a="1"/>
  <c r="AW3" i="64" s="1"/>
  <c r="CA3" i="64" a="1"/>
  <c r="CA3" i="64" s="1"/>
  <c r="BA8" i="64" a="1"/>
  <c r="BA8" i="64" s="1"/>
  <c r="BA9" i="64" s="1"/>
  <c r="AO3" i="64" a="1"/>
  <c r="AO3" i="64" s="1"/>
  <c r="AF2" i="64" a="1"/>
  <c r="AF2" i="64" s="1"/>
  <c r="AF13" i="64" s="1"/>
  <c r="AI3" i="64" a="1"/>
  <c r="AI3" i="64" s="1"/>
  <c r="AP3" i="64" a="1"/>
  <c r="AP3" i="64" s="1"/>
  <c r="AL4" i="66" a="1"/>
  <c r="AL4" i="66" s="1"/>
  <c r="AX8" i="66" a="1"/>
  <c r="AX8" i="66" s="1"/>
  <c r="AX9" i="66" s="1"/>
  <c r="AL3" i="66" a="1"/>
  <c r="AL3" i="66" s="1"/>
  <c r="CC3" i="79" a="1"/>
  <c r="CC3" i="79" s="1"/>
  <c r="CG3" i="79" a="1"/>
  <c r="CG3" i="79" s="1"/>
  <c r="CL3" i="79" a="1"/>
  <c r="CL3" i="79" s="1"/>
  <c r="AI4" i="79" a="1"/>
  <c r="AI4" i="79" s="1"/>
  <c r="CB4" i="79" a="1"/>
  <c r="CB4" i="79" s="1"/>
  <c r="CH3" i="79" a="1"/>
  <c r="CH3" i="79" s="1"/>
  <c r="CM3" i="79" a="1"/>
  <c r="CM3" i="79" s="1"/>
  <c r="BN4" i="79" a="1"/>
  <c r="BN4" i="79" s="1"/>
  <c r="CH5" i="79" a="1"/>
  <c r="CH5" i="79" s="1"/>
  <c r="BA5" i="79" a="1"/>
  <c r="BA5" i="79" s="1"/>
  <c r="CB3" i="79" a="1"/>
  <c r="CB3" i="79" s="1"/>
  <c r="CF3" i="79" a="1"/>
  <c r="CF3" i="79" s="1"/>
  <c r="CJ3" i="79" a="1"/>
  <c r="CJ3" i="79" s="1"/>
  <c r="AG4" i="79" a="1"/>
  <c r="AG4" i="79" s="1"/>
  <c r="CD3" i="67" a="1"/>
  <c r="CD3" i="67" s="1"/>
  <c r="BO5" i="67" a="1"/>
  <c r="BO5" i="67" s="1"/>
  <c r="BY4" i="67" a="1"/>
  <c r="BY4" i="67" s="1"/>
  <c r="AV3" i="67" a="1"/>
  <c r="AV3" i="67" s="1"/>
  <c r="CH5" i="70" a="1"/>
  <c r="CH5" i="70" s="1"/>
  <c r="AP8" i="70" a="1"/>
  <c r="AP8" i="70" s="1"/>
  <c r="AP9" i="70" s="1"/>
  <c r="AU8" i="76" a="1"/>
  <c r="AU8" i="76" s="1"/>
  <c r="AU9" i="76" s="1"/>
  <c r="AU8" i="71" a="1"/>
  <c r="AU8" i="71" s="1"/>
  <c r="AU9" i="71" s="1"/>
  <c r="CG8" i="72" a="1"/>
  <c r="CG8" i="72" s="1"/>
  <c r="CG9" i="72" s="1"/>
  <c r="AY5" i="61" a="1"/>
  <c r="AY5" i="61" s="1"/>
  <c r="AU8" i="61" a="1"/>
  <c r="AU8" i="61" s="1"/>
  <c r="AU9" i="61" s="1"/>
  <c r="BN3" i="62" a="1"/>
  <c r="BN3" i="62" s="1"/>
  <c r="CJ3" i="62" a="1"/>
  <c r="CJ3" i="62" s="1"/>
  <c r="BP3" i="62" a="1"/>
  <c r="BP3" i="62" s="1"/>
  <c r="BM3" i="62" a="1"/>
  <c r="BM3" i="62" s="1"/>
  <c r="BZ8" i="60" a="1"/>
  <c r="BZ8" i="60" s="1"/>
  <c r="BZ9" i="60" s="1"/>
  <c r="BR8" i="60" a="1"/>
  <c r="BR8" i="60" s="1"/>
  <c r="BR9" i="60" s="1"/>
  <c r="AH5" i="60" a="1"/>
  <c r="AH5" i="60" s="1"/>
  <c r="AT5" i="60" a="1"/>
  <c r="AT5" i="60" s="1"/>
  <c r="BD5" i="60" a="1"/>
  <c r="BD5" i="60" s="1"/>
  <c r="BQ5" i="60" a="1"/>
  <c r="BQ5" i="60" s="1"/>
  <c r="BY5" i="60" a="1"/>
  <c r="BY5" i="60" s="1"/>
  <c r="CH5" i="60" a="1"/>
  <c r="CH5" i="60" s="1"/>
  <c r="CI5" i="60" a="1"/>
  <c r="CI5" i="60" s="1"/>
  <c r="CD4" i="60" a="1"/>
  <c r="CD4" i="60" s="1"/>
  <c r="CH4" i="60" a="1"/>
  <c r="CH4" i="60" s="1"/>
  <c r="AF5" i="60" a="1"/>
  <c r="AF5" i="60" s="1"/>
  <c r="AL5" i="60" a="1"/>
  <c r="AL5" i="60" s="1"/>
  <c r="AP5" i="60" a="1"/>
  <c r="AP5" i="60" s="1"/>
  <c r="AJ4" i="79" a="1"/>
  <c r="AJ4" i="79" s="1"/>
  <c r="AO4" i="79" a="1"/>
  <c r="AO4" i="79" s="1"/>
  <c r="AO6" i="79" s="1"/>
  <c r="AO7" i="79" s="1"/>
  <c r="AX4" i="79" a="1"/>
  <c r="AX4" i="79" s="1"/>
  <c r="AX6" i="79" s="1"/>
  <c r="AX7" i="79" s="1"/>
  <c r="BE4" i="79" a="1"/>
  <c r="BE4" i="79" s="1"/>
  <c r="CE4" i="79" a="1"/>
  <c r="CE4" i="79" s="1"/>
  <c r="CK3" i="79" a="1"/>
  <c r="CK3" i="79" s="1"/>
  <c r="AF4" i="79" a="1"/>
  <c r="AF4" i="79" s="1"/>
  <c r="AL4" i="79" a="1"/>
  <c r="AL4" i="79" s="1"/>
  <c r="AQ4" i="79" a="1"/>
  <c r="AQ4" i="79" s="1"/>
  <c r="AZ4" i="79" a="1"/>
  <c r="AZ4" i="79" s="1"/>
  <c r="BT4" i="79" a="1"/>
  <c r="BT4" i="79" s="1"/>
  <c r="CM4" i="79" a="1"/>
  <c r="CM4" i="79" s="1"/>
  <c r="CM6" i="79" s="1"/>
  <c r="CM7" i="79" s="1"/>
  <c r="AM4" i="79" a="1"/>
  <c r="AM4" i="79" s="1"/>
  <c r="AR4" i="79" a="1"/>
  <c r="AR4" i="79" s="1"/>
  <c r="BA4" i="79" a="1"/>
  <c r="BA4" i="79" s="1"/>
  <c r="BU4" i="79" a="1"/>
  <c r="BU4" i="79" s="1"/>
  <c r="BU6" i="79" s="1"/>
  <c r="BU7" i="79" s="1"/>
  <c r="CD5" i="79" a="1"/>
  <c r="CD5" i="79" s="1"/>
  <c r="AF8" i="67" a="1"/>
  <c r="AF8" i="67" s="1"/>
  <c r="AK8" i="67" a="1"/>
  <c r="AK8" i="67" s="1"/>
  <c r="AK9" i="67" s="1"/>
  <c r="BM8" i="67" a="1"/>
  <c r="BM8" i="67" s="1"/>
  <c r="BM9" i="67" s="1"/>
  <c r="AP8" i="67" a="1"/>
  <c r="AP8" i="67" s="1"/>
  <c r="AP9" i="67" s="1"/>
  <c r="AY8" i="67" a="1"/>
  <c r="AY8" i="67" s="1"/>
  <c r="AY9" i="67" s="1"/>
  <c r="BQ8" i="67" a="1"/>
  <c r="BQ8" i="67" s="1"/>
  <c r="BQ9" i="67" s="1"/>
  <c r="CA8" i="67" a="1"/>
  <c r="CA8" i="67" s="1"/>
  <c r="CA9" i="67" s="1"/>
  <c r="AG8" i="67" a="1"/>
  <c r="AG8" i="67" s="1"/>
  <c r="AG9" i="67" s="1"/>
  <c r="AL8" i="67" a="1"/>
  <c r="AL8" i="67" s="1"/>
  <c r="AL9" i="67" s="1"/>
  <c r="AU8" i="67" a="1"/>
  <c r="AU8" i="67" s="1"/>
  <c r="AU9" i="67" s="1"/>
  <c r="AV8" i="67" a="1"/>
  <c r="AV8" i="67" s="1"/>
  <c r="AV9" i="67" s="1"/>
  <c r="BC8" i="67" a="1"/>
  <c r="BC8" i="67" s="1"/>
  <c r="BC9" i="67" s="1"/>
  <c r="BR8" i="67" a="1"/>
  <c r="BR8" i="67" s="1"/>
  <c r="BR9" i="67" s="1"/>
  <c r="CC8" i="67" a="1"/>
  <c r="CC8" i="67" s="1"/>
  <c r="CC9" i="67" s="1"/>
  <c r="AH8" i="67" a="1"/>
  <c r="AH8" i="67" s="1"/>
  <c r="AH9" i="67" s="1"/>
  <c r="AN8" i="67" a="1"/>
  <c r="AN8" i="67" s="1"/>
  <c r="AN9" i="67" s="1"/>
  <c r="AZ8" i="67" a="1"/>
  <c r="AZ8" i="67" s="1"/>
  <c r="AZ9" i="67" s="1"/>
  <c r="AW8" i="67" a="1"/>
  <c r="AW8" i="67" s="1"/>
  <c r="AW9" i="67" s="1"/>
  <c r="BD8" i="67" a="1"/>
  <c r="BD8" i="67" s="1"/>
  <c r="BD9" i="67" s="1"/>
  <c r="BA3" i="61" a="1"/>
  <c r="BA3" i="61" s="1"/>
  <c r="AF4" i="61" a="1"/>
  <c r="AF4" i="61" s="1"/>
  <c r="BK4" i="61" a="1"/>
  <c r="BK4" i="61" s="1"/>
  <c r="AQ3" i="64" a="1"/>
  <c r="AQ3" i="64" s="1"/>
  <c r="BO3" i="64" a="1"/>
  <c r="BO3" i="64" s="1"/>
  <c r="BA3" i="64" a="1"/>
  <c r="BA3" i="64" s="1"/>
  <c r="BS3" i="64" a="1"/>
  <c r="BS3" i="64" s="1"/>
  <c r="AM4" i="64" a="1"/>
  <c r="AM4" i="64" s="1"/>
  <c r="BD3" i="64" a="1"/>
  <c r="BD3" i="64" s="1"/>
  <c r="BX3" i="64" a="1"/>
  <c r="BX3" i="64" s="1"/>
  <c r="BD4" i="64" a="1"/>
  <c r="BD4" i="64" s="1"/>
  <c r="BZ4" i="64" a="1"/>
  <c r="BZ4" i="64" s="1"/>
  <c r="AR8" i="64" a="1"/>
  <c r="AR8" i="64" s="1"/>
  <c r="AR9" i="64" s="1"/>
  <c r="AS3" i="64" a="1"/>
  <c r="AS3" i="64" s="1"/>
  <c r="BC3" i="64" a="1"/>
  <c r="BC3" i="64" s="1"/>
  <c r="BL3" i="64" a="1"/>
  <c r="BL3" i="64" s="1"/>
  <c r="AT3" i="70" a="1"/>
  <c r="AT3" i="70" s="1"/>
  <c r="AF5" i="70" a="1"/>
  <c r="AF5" i="70" s="1"/>
  <c r="CB3" i="70" a="1"/>
  <c r="CB3" i="70" s="1"/>
  <c r="BC5" i="70" a="1"/>
  <c r="BC5" i="70" s="1"/>
  <c r="CC8" i="70" a="1"/>
  <c r="CC8" i="70" s="1"/>
  <c r="CC9" i="70" s="1"/>
  <c r="AM4" i="70" a="1"/>
  <c r="AM4" i="70" s="1"/>
  <c r="BX3" i="62" a="1"/>
  <c r="BX3" i="62" s="1"/>
  <c r="BW4" i="62" a="1"/>
  <c r="BW4" i="62" s="1"/>
  <c r="BC8" i="62" a="1"/>
  <c r="BC8" i="62" s="1"/>
  <c r="BC9" i="62" s="1"/>
  <c r="AF3" i="62" a="1"/>
  <c r="AF3" i="62" s="1"/>
  <c r="AZ3" i="62" a="1"/>
  <c r="AZ3" i="62" s="1"/>
  <c r="BX8" i="78" a="1"/>
  <c r="BX8" i="78" s="1"/>
  <c r="BX9" i="78" s="1"/>
  <c r="AF2" i="66" a="1"/>
  <c r="AF2" i="66" s="1"/>
  <c r="AF11" i="66" s="1"/>
  <c r="AT3" i="66" a="1"/>
  <c r="AT3" i="66" s="1"/>
  <c r="CB3" i="66" a="1"/>
  <c r="CB3" i="66" s="1"/>
  <c r="AG8" i="66" a="1"/>
  <c r="AG8" i="66" s="1"/>
  <c r="AG9" i="66" s="1"/>
  <c r="CC8" i="66" a="1"/>
  <c r="CC8" i="66" s="1"/>
  <c r="CC9" i="66" s="1"/>
  <c r="AG3" i="66" a="1"/>
  <c r="AG3" i="66" s="1"/>
  <c r="AW3" i="66" a="1"/>
  <c r="AW3" i="66" s="1"/>
  <c r="CJ3" i="66" a="1"/>
  <c r="CJ3" i="66" s="1"/>
  <c r="AK8" i="66" a="1"/>
  <c r="AK8" i="66" s="1"/>
  <c r="AK9" i="66" s="1"/>
  <c r="AI3" i="66" a="1"/>
  <c r="AI3" i="66" s="1"/>
  <c r="AX3" i="66" a="1"/>
  <c r="AX3" i="66" s="1"/>
  <c r="AS4" i="66" a="1"/>
  <c r="AS4" i="66" s="1"/>
  <c r="AL8" i="66" a="1"/>
  <c r="AL8" i="66" s="1"/>
  <c r="AL9" i="66" s="1"/>
  <c r="BR3" i="66" a="1"/>
  <c r="BR3" i="66" s="1"/>
  <c r="CD3" i="66" a="1"/>
  <c r="CD3" i="66" s="1"/>
  <c r="AF4" i="66" a="1"/>
  <c r="AF4" i="66" s="1"/>
  <c r="AX4" i="66" a="1"/>
  <c r="AX4" i="66" s="1"/>
  <c r="AP3" i="66" a="1"/>
  <c r="AP3" i="66" s="1"/>
  <c r="BM3" i="66" a="1"/>
  <c r="BM3" i="66" s="1"/>
  <c r="BX3" i="66" a="1"/>
  <c r="BX3" i="66" s="1"/>
  <c r="CF3" i="66" a="1"/>
  <c r="CF3" i="66" s="1"/>
  <c r="AI4" i="66" a="1"/>
  <c r="AI4" i="66" s="1"/>
  <c r="AI6" i="66" s="1"/>
  <c r="AI7" i="66" s="1"/>
  <c r="AS8" i="66" a="1"/>
  <c r="AS8" i="66" s="1"/>
  <c r="AS9" i="66" s="1"/>
  <c r="BE3" i="66" a="1"/>
  <c r="BE3" i="66" s="1"/>
  <c r="BZ3" i="66" a="1"/>
  <c r="BZ3" i="66" s="1"/>
  <c r="CH3" i="66" a="1"/>
  <c r="CH3" i="66" s="1"/>
  <c r="AU3" i="74" a="1"/>
  <c r="AU3" i="74" s="1"/>
  <c r="AH3" i="74" a="1"/>
  <c r="AH3" i="74" s="1"/>
  <c r="BS3" i="74" a="1"/>
  <c r="BS3" i="74" s="1"/>
  <c r="AL3" i="74" a="1"/>
  <c r="AL3" i="74" s="1"/>
  <c r="AF4" i="74" a="1"/>
  <c r="AF4" i="74" s="1"/>
  <c r="AR8" i="63" a="1"/>
  <c r="AR8" i="63" s="1"/>
  <c r="AR9" i="63" s="1"/>
  <c r="BF3" i="65" a="1"/>
  <c r="BF3" i="65" s="1"/>
  <c r="AY4" i="66" a="1"/>
  <c r="AY4" i="66" s="1"/>
  <c r="AT8" i="66" a="1"/>
  <c r="AT8" i="66" s="1"/>
  <c r="AT9" i="66" s="1"/>
  <c r="CJ8" i="72" a="1"/>
  <c r="CJ8" i="72" s="1"/>
  <c r="CJ9" i="72" s="1"/>
  <c r="AF2" i="74" a="1"/>
  <c r="AF2" i="74" s="1"/>
  <c r="AF13" i="74" s="1"/>
  <c r="AI3" i="74" a="1"/>
  <c r="AI3" i="74" s="1"/>
  <c r="AM3" i="74" a="1"/>
  <c r="AM3" i="74" s="1"/>
  <c r="AQ3" i="74" a="1"/>
  <c r="AQ3" i="74" s="1"/>
  <c r="AY3" i="74" a="1"/>
  <c r="AY3" i="74" s="1"/>
  <c r="CC3" i="74" a="1"/>
  <c r="CC3" i="74" s="1"/>
  <c r="AF3" i="74" a="1"/>
  <c r="AF3" i="74" s="1"/>
  <c r="AJ3" i="74" a="1"/>
  <c r="AJ3" i="74" s="1"/>
  <c r="AN3" i="74" a="1"/>
  <c r="AN3" i="74" s="1"/>
  <c r="AS3" i="74" a="1"/>
  <c r="AS3" i="74" s="1"/>
  <c r="BA3" i="74" a="1"/>
  <c r="BA3" i="74" s="1"/>
  <c r="CH3" i="74" a="1"/>
  <c r="CH3" i="74" s="1"/>
  <c r="AG3" i="74" a="1"/>
  <c r="AG3" i="74" s="1"/>
  <c r="BU3" i="74" a="1"/>
  <c r="BU3" i="74" s="1"/>
  <c r="AP3" i="74" a="1"/>
  <c r="AP3" i="74" s="1"/>
  <c r="BB3" i="74" a="1"/>
  <c r="BB3" i="74" s="1"/>
  <c r="BQ3" i="74" a="1"/>
  <c r="BQ3" i="74" s="1"/>
  <c r="AS4" i="74" a="1"/>
  <c r="AS4" i="74" s="1"/>
  <c r="AF8" i="70" a="1"/>
  <c r="AF8" i="70" s="1"/>
  <c r="AL8" i="70" a="1"/>
  <c r="AL8" i="70" s="1"/>
  <c r="AL9" i="70" s="1"/>
  <c r="BO8" i="70" a="1"/>
  <c r="BO8" i="70" s="1"/>
  <c r="BO9" i="70" s="1"/>
  <c r="AR8" i="70" a="1"/>
  <c r="AR8" i="70" s="1"/>
  <c r="AR9" i="70" s="1"/>
  <c r="BC8" i="70" a="1"/>
  <c r="BC8" i="70" s="1"/>
  <c r="BC9" i="70" s="1"/>
  <c r="BR8" i="70" a="1"/>
  <c r="BR8" i="70" s="1"/>
  <c r="BR9" i="70" s="1"/>
  <c r="BZ8" i="70" a="1"/>
  <c r="BZ8" i="70" s="1"/>
  <c r="BZ9" i="70" s="1"/>
  <c r="AG8" i="70" a="1"/>
  <c r="AG8" i="70" s="1"/>
  <c r="AG9" i="70" s="1"/>
  <c r="AM8" i="70" a="1"/>
  <c r="AM8" i="70" s="1"/>
  <c r="AM9" i="70" s="1"/>
  <c r="AS8" i="70" a="1"/>
  <c r="AS8" i="70" s="1"/>
  <c r="AS9" i="70" s="1"/>
  <c r="AW8" i="70" a="1"/>
  <c r="AW8" i="70" s="1"/>
  <c r="AW9" i="70" s="1"/>
  <c r="BG8" i="70" a="1"/>
  <c r="BG8" i="70" s="1"/>
  <c r="BG9" i="70" s="1"/>
  <c r="BS8" i="70" a="1"/>
  <c r="BS8" i="70" s="1"/>
  <c r="BS9" i="70" s="1"/>
  <c r="CA8" i="70" a="1"/>
  <c r="CA8" i="70" s="1"/>
  <c r="CA9" i="70" s="1"/>
  <c r="AH8" i="70" a="1"/>
  <c r="AH8" i="70" s="1"/>
  <c r="AH9" i="70" s="1"/>
  <c r="AO8" i="70" a="1"/>
  <c r="AO8" i="70" s="1"/>
  <c r="AO9" i="70" s="1"/>
  <c r="AT8" i="70" a="1"/>
  <c r="AT8" i="70" s="1"/>
  <c r="AT9" i="70" s="1"/>
  <c r="BF8" i="70" a="1"/>
  <c r="BF8" i="70" s="1"/>
  <c r="BF9" i="70" s="1"/>
  <c r="BH8" i="70" a="1"/>
  <c r="BH8" i="70" s="1"/>
  <c r="BH9" i="70" s="1"/>
  <c r="BT8" i="70" a="1"/>
  <c r="BT8" i="70" s="1"/>
  <c r="BT9" i="70" s="1"/>
  <c r="CB8" i="70" a="1"/>
  <c r="CB8" i="70" s="1"/>
  <c r="CB9" i="70" s="1"/>
  <c r="BB3" i="71" a="1"/>
  <c r="BB3" i="71" s="1"/>
  <c r="BS8" i="78" a="1"/>
  <c r="BS8" i="78" s="1"/>
  <c r="BS9" i="78" s="1"/>
  <c r="AG14" i="62"/>
  <c r="AX8" i="62" a="1"/>
  <c r="AX8" i="62" s="1"/>
  <c r="AX9" i="62" s="1"/>
  <c r="CE3" i="64" a="1"/>
  <c r="CE3" i="64" s="1"/>
  <c r="AG4" i="64" a="1"/>
  <c r="AG4" i="64" s="1"/>
  <c r="AS4" i="64" a="1"/>
  <c r="AS4" i="64" s="1"/>
  <c r="CH4" i="64" a="1"/>
  <c r="CH4" i="64" s="1"/>
  <c r="CC5" i="64" a="1"/>
  <c r="CC5" i="64" s="1"/>
  <c r="BR8" i="64" a="1"/>
  <c r="BR8" i="64" s="1"/>
  <c r="BR9" i="64" s="1"/>
  <c r="AZ3" i="64" a="1"/>
  <c r="AZ3" i="64" s="1"/>
  <c r="BQ3" i="64" a="1"/>
  <c r="BQ3" i="64" s="1"/>
  <c r="BY3" i="64" a="1"/>
  <c r="BY3" i="64" s="1"/>
  <c r="CF3" i="64" a="1"/>
  <c r="CF3" i="64" s="1"/>
  <c r="AH4" i="64" a="1"/>
  <c r="AH4" i="64" s="1"/>
  <c r="BC4" i="64" a="1"/>
  <c r="BC4" i="64" s="1"/>
  <c r="AG8" i="64" a="1"/>
  <c r="AG8" i="64" s="1"/>
  <c r="AG9" i="64" s="1"/>
  <c r="CB3" i="64" a="1"/>
  <c r="CB3" i="64" s="1"/>
  <c r="CJ3" i="64" a="1"/>
  <c r="CJ3" i="64" s="1"/>
  <c r="AO4" i="64" a="1"/>
  <c r="AO4" i="64" s="1"/>
  <c r="CF8" i="72" a="1"/>
  <c r="CF8" i="72" s="1"/>
  <c r="CF9" i="72" s="1"/>
  <c r="CD8" i="72" a="1"/>
  <c r="CD8" i="72" s="1"/>
  <c r="CD9" i="72" s="1"/>
  <c r="CE8" i="72" a="1"/>
  <c r="CE8" i="72" s="1"/>
  <c r="CE9" i="72" s="1"/>
  <c r="CM8" i="72" a="1"/>
  <c r="CM8" i="72" s="1"/>
  <c r="CM9" i="72" s="1"/>
  <c r="BR4" i="66" a="1"/>
  <c r="BR4" i="66" s="1"/>
  <c r="AF3" i="66" a="1"/>
  <c r="AF3" i="66" s="1"/>
  <c r="AK3" i="66" a="1"/>
  <c r="AK3" i="66" s="1"/>
  <c r="AS3" i="66" a="1"/>
  <c r="AS3" i="66" s="1"/>
  <c r="BC3" i="66" a="1"/>
  <c r="BC3" i="66" s="1"/>
  <c r="BA3" i="66" a="1"/>
  <c r="BA3" i="66" s="1"/>
  <c r="BQ3" i="66" a="1"/>
  <c r="BQ3" i="66" s="1"/>
  <c r="BY3" i="66" a="1"/>
  <c r="BY3" i="66" s="1"/>
  <c r="CC3" i="66" a="1"/>
  <c r="CC3" i="66" s="1"/>
  <c r="CG3" i="66" a="1"/>
  <c r="CG3" i="66" s="1"/>
  <c r="CK3" i="66" a="1"/>
  <c r="CK3" i="66" s="1"/>
  <c r="AK4" i="66" a="1"/>
  <c r="AK4" i="66" s="1"/>
  <c r="AT4" i="66" a="1"/>
  <c r="AT4" i="66" s="1"/>
  <c r="AH3" i="66" a="1"/>
  <c r="AH3" i="66" s="1"/>
  <c r="AO3" i="66" a="1"/>
  <c r="AO3" i="66" s="1"/>
  <c r="AU3" i="66" a="1"/>
  <c r="AU3" i="66" s="1"/>
  <c r="AY3" i="66" a="1"/>
  <c r="AY3" i="66" s="1"/>
  <c r="BF3" i="66" a="1"/>
  <c r="BF3" i="66" s="1"/>
  <c r="BS3" i="66" a="1"/>
  <c r="BS3" i="66" s="1"/>
  <c r="CA3" i="66" a="1"/>
  <c r="CA3" i="66" s="1"/>
  <c r="CE3" i="66" a="1"/>
  <c r="CE3" i="66" s="1"/>
  <c r="CI3" i="66" a="1"/>
  <c r="CI3" i="66" s="1"/>
  <c r="AG4" i="66" a="1"/>
  <c r="AG4" i="66" s="1"/>
  <c r="AP4" i="66" a="1"/>
  <c r="AP4" i="66" s="1"/>
  <c r="AF3" i="63" a="1"/>
  <c r="AF3" i="63" s="1"/>
  <c r="AX5" i="60" a="1"/>
  <c r="AX5" i="60" s="1"/>
  <c r="BF5" i="60" a="1"/>
  <c r="BF5" i="60" s="1"/>
  <c r="BR5" i="60" a="1"/>
  <c r="BR5" i="60" s="1"/>
  <c r="CA5" i="60" a="1"/>
  <c r="CA5" i="60" s="1"/>
  <c r="BC5" i="60" a="1"/>
  <c r="BC5" i="60" s="1"/>
  <c r="BG5" i="60" a="1"/>
  <c r="BG5" i="60" s="1"/>
  <c r="BS5" i="60" a="1"/>
  <c r="BS5" i="60" s="1"/>
  <c r="CE5" i="60" a="1"/>
  <c r="CE5" i="60" s="1"/>
  <c r="BB5" i="60" a="1"/>
  <c r="BB5" i="60" s="1"/>
  <c r="BO5" i="60" a="1"/>
  <c r="BO5" i="60" s="1"/>
  <c r="BX5" i="60" a="1"/>
  <c r="BX5" i="60" s="1"/>
  <c r="BC4" i="62" a="1"/>
  <c r="BC4" i="62" s="1"/>
  <c r="CF8" i="62" a="1"/>
  <c r="CF8" i="62" s="1"/>
  <c r="CF9" i="62" s="1"/>
  <c r="AT3" i="61" a="1"/>
  <c r="AT3" i="61" s="1"/>
  <c r="CD3" i="61" a="1"/>
  <c r="CD3" i="61" s="1"/>
  <c r="CK4" i="61" a="1"/>
  <c r="CK4" i="61" s="1"/>
  <c r="BI3" i="61" a="1"/>
  <c r="BI3" i="61" s="1"/>
  <c r="BN3" i="61" a="1"/>
  <c r="BN3" i="61" s="1"/>
  <c r="AK4" i="61" a="1"/>
  <c r="AK4" i="61" s="1"/>
  <c r="AQ3" i="61" a="1"/>
  <c r="AQ3" i="61" s="1"/>
  <c r="BZ3" i="61" a="1"/>
  <c r="BZ3" i="61" s="1"/>
  <c r="AR5" i="61" a="1"/>
  <c r="AR5" i="61" s="1"/>
  <c r="BR13" i="74"/>
  <c r="CF13" i="74"/>
  <c r="AX3" i="74" a="1"/>
  <c r="AX3" i="74" s="1"/>
  <c r="BK3" i="74" a="1"/>
  <c r="BK3" i="74" s="1"/>
  <c r="BZ3" i="74" a="1"/>
  <c r="BZ3" i="74" s="1"/>
  <c r="CD3" i="74" a="1"/>
  <c r="CD3" i="74" s="1"/>
  <c r="CJ3" i="74" a="1"/>
  <c r="CJ3" i="74" s="1"/>
  <c r="AJ4" i="74" a="1"/>
  <c r="AJ4" i="74" s="1"/>
  <c r="CA3" i="74" a="1"/>
  <c r="CA3" i="74" s="1"/>
  <c r="CF3" i="74" a="1"/>
  <c r="CF3" i="74" s="1"/>
  <c r="CK3" i="74" a="1"/>
  <c r="CK3" i="74" s="1"/>
  <c r="AN4" i="74" a="1"/>
  <c r="AN4" i="74" s="1"/>
  <c r="BQ4" i="74" a="1"/>
  <c r="BQ4" i="74" s="1"/>
  <c r="AZ3" i="74" a="1"/>
  <c r="AZ3" i="74" s="1"/>
  <c r="BR3" i="74" a="1"/>
  <c r="BR3" i="74" s="1"/>
  <c r="CB3" i="74" a="1"/>
  <c r="CB3" i="74" s="1"/>
  <c r="CG3" i="74" a="1"/>
  <c r="CG3" i="74" s="1"/>
  <c r="CL3" i="74" a="1"/>
  <c r="CL3" i="74" s="1"/>
  <c r="AF2" i="65" a="1"/>
  <c r="AF2" i="65" s="1"/>
  <c r="AF11" i="65" s="1"/>
  <c r="BX8" i="67" a="1"/>
  <c r="BX8" i="67" s="1"/>
  <c r="BX9" i="67" s="1"/>
  <c r="AI5" i="79" a="1"/>
  <c r="AI5" i="79" s="1"/>
  <c r="BF5" i="79" a="1"/>
  <c r="BF5" i="79" s="1"/>
  <c r="CL5" i="79" a="1"/>
  <c r="CL5" i="79" s="1"/>
  <c r="CN5" i="79" a="1"/>
  <c r="CN5" i="79" s="1"/>
  <c r="BF4" i="79" a="1"/>
  <c r="BF4" i="79" s="1"/>
  <c r="BV4" i="79" a="1"/>
  <c r="BV4" i="79" s="1"/>
  <c r="CF4" i="79" a="1"/>
  <c r="CF4" i="79" s="1"/>
  <c r="CF6" i="79" s="1"/>
  <c r="CF7" i="79" s="1"/>
  <c r="BN5" i="79" a="1"/>
  <c r="BN5" i="79" s="1"/>
  <c r="BV5" i="79" a="1"/>
  <c r="BV5" i="79" s="1"/>
  <c r="AU4" i="79" a="1"/>
  <c r="AU4" i="79" s="1"/>
  <c r="BD4" i="79" a="1"/>
  <c r="BD4" i="79" s="1"/>
  <c r="BR4" i="79" a="1"/>
  <c r="BR4" i="79" s="1"/>
  <c r="CA4" i="79" a="1"/>
  <c r="CA4" i="79" s="1"/>
  <c r="CI4" i="79" a="1"/>
  <c r="CI4" i="79" s="1"/>
  <c r="AT5" i="79" a="1"/>
  <c r="AT5" i="79" s="1"/>
  <c r="CB8" i="60" a="1"/>
  <c r="CB8" i="60" s="1"/>
  <c r="CB9" i="60" s="1"/>
  <c r="CB5" i="60" a="1"/>
  <c r="CB5" i="60" s="1"/>
  <c r="CF5" i="60" a="1"/>
  <c r="CF5" i="60" s="1"/>
  <c r="CJ5" i="60" a="1"/>
  <c r="CJ5" i="60" s="1"/>
  <c r="CC5" i="60" a="1"/>
  <c r="CC5" i="60" s="1"/>
  <c r="CG5" i="60" a="1"/>
  <c r="CG5" i="60" s="1"/>
  <c r="CK5" i="60" a="1"/>
  <c r="CK5" i="60" s="1"/>
  <c r="BZ5" i="60" a="1"/>
  <c r="BZ5" i="60" s="1"/>
  <c r="CD5" i="60" a="1"/>
  <c r="CD5" i="60" s="1"/>
  <c r="CJ4" i="79" a="1"/>
  <c r="CJ4" i="79" s="1"/>
  <c r="CN4" i="79" a="1"/>
  <c r="CN4" i="79" s="1"/>
  <c r="AJ5" i="79" a="1"/>
  <c r="AJ5" i="79" s="1"/>
  <c r="AO5" i="79" a="1"/>
  <c r="AO5" i="79" s="1"/>
  <c r="AU5" i="79" a="1"/>
  <c r="AU5" i="79" s="1"/>
  <c r="BD5" i="79" a="1"/>
  <c r="BD5" i="79" s="1"/>
  <c r="BR5" i="79" a="1"/>
  <c r="BR5" i="79" s="1"/>
  <c r="CA5" i="79" a="1"/>
  <c r="CA5" i="79" s="1"/>
  <c r="CE5" i="79" a="1"/>
  <c r="CE5" i="79" s="1"/>
  <c r="CI5" i="79" a="1"/>
  <c r="CI5" i="79" s="1"/>
  <c r="AG8" i="79" a="1"/>
  <c r="AG8" i="79" s="1"/>
  <c r="AG9" i="79" s="1"/>
  <c r="BE8" i="79" a="1"/>
  <c r="BE8" i="79" s="1"/>
  <c r="BE9" i="79" s="1"/>
  <c r="CC4" i="79" a="1"/>
  <c r="CC4" i="79" s="1"/>
  <c r="CG4" i="79" a="1"/>
  <c r="CG4" i="79" s="1"/>
  <c r="CK4" i="79" a="1"/>
  <c r="CK4" i="79" s="1"/>
  <c r="AF5" i="79" a="1"/>
  <c r="AF5" i="79" s="1"/>
  <c r="AL5" i="79" a="1"/>
  <c r="AL5" i="79" s="1"/>
  <c r="AQ5" i="79" a="1"/>
  <c r="AQ5" i="79" s="1"/>
  <c r="AX5" i="79" a="1"/>
  <c r="AX5" i="79" s="1"/>
  <c r="BJ5" i="79" a="1"/>
  <c r="BJ5" i="79" s="1"/>
  <c r="BT5" i="79" a="1"/>
  <c r="BT5" i="79" s="1"/>
  <c r="CB5" i="79" a="1"/>
  <c r="CB5" i="79" s="1"/>
  <c r="CF5" i="79" a="1"/>
  <c r="CF5" i="79" s="1"/>
  <c r="CJ5" i="79" a="1"/>
  <c r="CJ5" i="79" s="1"/>
  <c r="AM8" i="79" a="1"/>
  <c r="AM8" i="79" s="1"/>
  <c r="AM9" i="79" s="1"/>
  <c r="CD4" i="79" a="1"/>
  <c r="CD4" i="79" s="1"/>
  <c r="CH4" i="79" a="1"/>
  <c r="CH4" i="79" s="1"/>
  <c r="CL4" i="79" a="1"/>
  <c r="CL4" i="79" s="1"/>
  <c r="AG5" i="79" a="1"/>
  <c r="AG5" i="79" s="1"/>
  <c r="AM5" i="79" a="1"/>
  <c r="AM5" i="79" s="1"/>
  <c r="AR5" i="79" a="1"/>
  <c r="AR5" i="79" s="1"/>
  <c r="AZ5" i="79" a="1"/>
  <c r="AZ5" i="79" s="1"/>
  <c r="BE5" i="79" a="1"/>
  <c r="BE5" i="79" s="1"/>
  <c r="BU5" i="79" a="1"/>
  <c r="BU5" i="79" s="1"/>
  <c r="CC5" i="79" a="1"/>
  <c r="CC5" i="79" s="1"/>
  <c r="CG5" i="79" a="1"/>
  <c r="CG5" i="79" s="1"/>
  <c r="CK5" i="79" a="1"/>
  <c r="CK5" i="79" s="1"/>
  <c r="AR8" i="79" a="1"/>
  <c r="AR8" i="79" s="1"/>
  <c r="AR9" i="79" s="1"/>
  <c r="BU8" i="79" a="1"/>
  <c r="BU8" i="79" s="1"/>
  <c r="BU9" i="79" s="1"/>
  <c r="CI8" i="79" a="1"/>
  <c r="CI8" i="79" s="1"/>
  <c r="CI9" i="79" s="1"/>
  <c r="CC8" i="79" a="1"/>
  <c r="CC8" i="79" s="1"/>
  <c r="CC9" i="79" s="1"/>
  <c r="CM5" i="79" a="1"/>
  <c r="CM5" i="79" s="1"/>
  <c r="AI8" i="79" a="1"/>
  <c r="AI8" i="79" s="1"/>
  <c r="AI9" i="79" s="1"/>
  <c r="BN8" i="79" a="1"/>
  <c r="BN8" i="79" s="1"/>
  <c r="BN9" i="79" s="1"/>
  <c r="AT8" i="79" a="1"/>
  <c r="AT8" i="79" s="1"/>
  <c r="AT9" i="79" s="1"/>
  <c r="BA8" i="79" a="1"/>
  <c r="BA8" i="79" s="1"/>
  <c r="BA9" i="79" s="1"/>
  <c r="BF8" i="79" a="1"/>
  <c r="BF8" i="79" s="1"/>
  <c r="BF9" i="79" s="1"/>
  <c r="BV8" i="79" a="1"/>
  <c r="BV8" i="79" s="1"/>
  <c r="BV9" i="79" s="1"/>
  <c r="AJ8" i="79" a="1"/>
  <c r="AJ8" i="79" s="1"/>
  <c r="AJ9" i="79" s="1"/>
  <c r="AO8" i="79" a="1"/>
  <c r="AO8" i="79" s="1"/>
  <c r="AO9" i="79" s="1"/>
  <c r="AU8" i="79" a="1"/>
  <c r="AU8" i="79" s="1"/>
  <c r="AU9" i="79" s="1"/>
  <c r="BD8" i="79" a="1"/>
  <c r="BD8" i="79" s="1"/>
  <c r="BD9" i="79" s="1"/>
  <c r="BR8" i="79" a="1"/>
  <c r="BR8" i="79" s="1"/>
  <c r="BR9" i="79" s="1"/>
  <c r="CA8" i="79" a="1"/>
  <c r="CA8" i="79" s="1"/>
  <c r="CA9" i="79" s="1"/>
  <c r="AF8" i="79" a="1"/>
  <c r="AF8" i="79" s="1"/>
  <c r="AL8" i="79" a="1"/>
  <c r="AL8" i="79" s="1"/>
  <c r="AL9" i="79" s="1"/>
  <c r="AQ8" i="79" a="1"/>
  <c r="AQ8" i="79" s="1"/>
  <c r="AQ9" i="79" s="1"/>
  <c r="AX8" i="79" a="1"/>
  <c r="AX8" i="79" s="1"/>
  <c r="AX9" i="79" s="1"/>
  <c r="BJ8" i="79" a="1"/>
  <c r="BJ8" i="79" s="1"/>
  <c r="BJ9" i="79" s="1"/>
  <c r="BT8" i="79" a="1"/>
  <c r="BT8" i="79" s="1"/>
  <c r="BT9" i="79" s="1"/>
  <c r="CB8" i="79" a="1"/>
  <c r="CB8" i="79" s="1"/>
  <c r="CB9" i="79" s="1"/>
  <c r="CH8" i="69" a="1"/>
  <c r="CH8" i="69" s="1"/>
  <c r="CH9" i="69" s="1"/>
  <c r="CH8" i="72" a="1"/>
  <c r="CH8" i="72" s="1"/>
  <c r="CH9" i="72" s="1"/>
  <c r="CH4" i="66" a="1"/>
  <c r="CH4" i="66" s="1"/>
  <c r="CH6" i="66" s="1"/>
  <c r="CH7" i="66" s="1"/>
  <c r="BZ4" i="66" a="1"/>
  <c r="BZ4" i="66" s="1"/>
  <c r="AH4" i="66" a="1"/>
  <c r="AH4" i="66" s="1"/>
  <c r="AO4" i="66" a="1"/>
  <c r="AO4" i="66" s="1"/>
  <c r="AU4" i="66" a="1"/>
  <c r="AU4" i="66" s="1"/>
  <c r="BE4" i="66" a="1"/>
  <c r="BE4" i="66" s="1"/>
  <c r="AW4" i="66" a="1"/>
  <c r="AW4" i="66" s="1"/>
  <c r="AP8" i="60" a="1"/>
  <c r="AP8" i="60" s="1"/>
  <c r="AP9" i="60" s="1"/>
  <c r="AV8" i="60" a="1"/>
  <c r="AV8" i="60" s="1"/>
  <c r="AV9" i="60" s="1"/>
  <c r="BE8" i="60" a="1"/>
  <c r="BE8" i="60" s="1"/>
  <c r="BE9" i="60" s="1"/>
  <c r="BQ8" i="60" a="1"/>
  <c r="BQ8" i="60" s="1"/>
  <c r="BQ9" i="60" s="1"/>
  <c r="BY8" i="60" a="1"/>
  <c r="BY8" i="60" s="1"/>
  <c r="BY9" i="60" s="1"/>
  <c r="AH8" i="60" a="1"/>
  <c r="AH8" i="60" s="1"/>
  <c r="AH9" i="60" s="1"/>
  <c r="AT8" i="60" a="1"/>
  <c r="AT8" i="60" s="1"/>
  <c r="AT9" i="60" s="1"/>
  <c r="BD8" i="60" a="1"/>
  <c r="BD8" i="60" s="1"/>
  <c r="BD9" i="60" s="1"/>
  <c r="BC8" i="60" a="1"/>
  <c r="BC8" i="60" s="1"/>
  <c r="BC9" i="60" s="1"/>
  <c r="BG8" i="60" a="1"/>
  <c r="BG8" i="60" s="1"/>
  <c r="BG9" i="60" s="1"/>
  <c r="BS8" i="60" a="1"/>
  <c r="BS8" i="60" s="1"/>
  <c r="BS9" i="60" s="1"/>
  <c r="CA8" i="60" a="1"/>
  <c r="CA8" i="60" s="1"/>
  <c r="CA9" i="60" s="1"/>
  <c r="AI8" i="60" a="1"/>
  <c r="AI8" i="60" s="1"/>
  <c r="AI9" i="60" s="1"/>
  <c r="AN8" i="60" a="1"/>
  <c r="AN8" i="60" s="1"/>
  <c r="AN9" i="60" s="1"/>
  <c r="AS8" i="60" a="1"/>
  <c r="AS8" i="60" s="1"/>
  <c r="AS9" i="60" s="1"/>
  <c r="BB8" i="60" a="1"/>
  <c r="BB8" i="60" s="1"/>
  <c r="BB9" i="60" s="1"/>
  <c r="BO8" i="60" a="1"/>
  <c r="BO8" i="60" s="1"/>
  <c r="BO9" i="60" s="1"/>
  <c r="BX8" i="60" a="1"/>
  <c r="BX8" i="60" s="1"/>
  <c r="BX9" i="60" s="1"/>
  <c r="AQ3" i="63" a="1"/>
  <c r="AQ3" i="63" s="1"/>
  <c r="AG8" i="63" a="1"/>
  <c r="AG8" i="63" s="1"/>
  <c r="AG9" i="63" s="1"/>
  <c r="CI8" i="72" a="1"/>
  <c r="CI8" i="72" s="1"/>
  <c r="CI9" i="72" s="1"/>
  <c r="AW4" i="64" a="1"/>
  <c r="AW4" i="64" s="1"/>
  <c r="BS4" i="64" a="1"/>
  <c r="BS4" i="64" s="1"/>
  <c r="BS6" i="64" s="1"/>
  <c r="BS7" i="64" s="1"/>
  <c r="AL5" i="64" a="1"/>
  <c r="AL5" i="64" s="1"/>
  <c r="BQ5" i="64" a="1"/>
  <c r="BQ5" i="64" s="1"/>
  <c r="BO5" i="64" a="1"/>
  <c r="BO5" i="64" s="1"/>
  <c r="BY8" i="64" a="1"/>
  <c r="BY8" i="64" s="1"/>
  <c r="BY9" i="64" s="1"/>
  <c r="AR4" i="64" a="1"/>
  <c r="AR4" i="64" s="1"/>
  <c r="BA4" i="64" a="1"/>
  <c r="BA4" i="64" s="1"/>
  <c r="CE4" i="64" a="1"/>
  <c r="CE4" i="64" s="1"/>
  <c r="BZ8" i="78" a="1"/>
  <c r="BZ8" i="78" s="1"/>
  <c r="BZ9" i="78" s="1"/>
  <c r="AG4" i="74" a="1"/>
  <c r="AG4" i="74" s="1"/>
  <c r="BU4" i="74" a="1"/>
  <c r="BU4" i="74" s="1"/>
  <c r="AP4" i="74" a="1"/>
  <c r="AP4" i="74" s="1"/>
  <c r="AX4" i="74" a="1"/>
  <c r="AX4" i="74" s="1"/>
  <c r="CI4" i="74" a="1"/>
  <c r="CI4" i="74" s="1"/>
  <c r="AH4" i="74" a="1"/>
  <c r="AH4" i="74" s="1"/>
  <c r="AL4" i="74" a="1"/>
  <c r="AL4" i="74" s="1"/>
  <c r="BM4" i="74" a="1"/>
  <c r="BM4" i="74" s="1"/>
  <c r="AY4" i="74" a="1"/>
  <c r="AY4" i="74" s="1"/>
  <c r="CC5" i="74" a="1"/>
  <c r="CC5" i="74" s="1"/>
  <c r="AN5" i="74" a="1"/>
  <c r="AN5" i="74" s="1"/>
  <c r="CE3" i="74" a="1"/>
  <c r="CE3" i="74" s="1"/>
  <c r="CI3" i="74" a="1"/>
  <c r="CI3" i="74" s="1"/>
  <c r="CI6" i="74" s="1"/>
  <c r="CI7" i="74" s="1"/>
  <c r="CM3" i="74" a="1"/>
  <c r="CM3" i="74" s="1"/>
  <c r="AI4" i="74" a="1"/>
  <c r="AI4" i="74" s="1"/>
  <c r="AM4" i="74" a="1"/>
  <c r="AM4" i="74" s="1"/>
  <c r="AQ4" i="74" a="1"/>
  <c r="AQ4" i="74" s="1"/>
  <c r="CE4" i="62" a="1"/>
  <c r="CE4" i="62" s="1"/>
  <c r="AN4" i="62" a="1"/>
  <c r="AN4" i="62" s="1"/>
  <c r="BR5" i="62" a="1"/>
  <c r="BR5" i="62" s="1"/>
  <c r="BR8" i="62" a="1"/>
  <c r="BR8" i="62" s="1"/>
  <c r="BR9" i="62" s="1"/>
  <c r="CF3" i="62" a="1"/>
  <c r="CF3" i="62" s="1"/>
  <c r="AP4" i="61" a="1"/>
  <c r="AP4" i="61" s="1"/>
  <c r="BY4" i="61" a="1"/>
  <c r="BY4" i="61" s="1"/>
  <c r="AI5" i="61" a="1"/>
  <c r="AI5" i="61" s="1"/>
  <c r="BX5" i="61" a="1"/>
  <c r="BX5" i="61" s="1"/>
  <c r="CH3" i="61" a="1"/>
  <c r="CH3" i="61" s="1"/>
  <c r="BV4" i="61" a="1"/>
  <c r="BV4" i="61" s="1"/>
  <c r="CC4" i="61" a="1"/>
  <c r="CC4" i="61" s="1"/>
  <c r="AM5" i="61" a="1"/>
  <c r="AM5" i="61" s="1"/>
  <c r="CB5" i="61" a="1"/>
  <c r="CB5" i="61" s="1"/>
  <c r="AZ4" i="61" a="1"/>
  <c r="AZ4" i="61" s="1"/>
  <c r="CG4" i="61" a="1"/>
  <c r="CG4" i="61" s="1"/>
  <c r="BT5" i="61" a="1"/>
  <c r="BT5" i="61" s="1"/>
  <c r="CE8" i="61" a="1"/>
  <c r="CE8" i="61" s="1"/>
  <c r="CE9" i="61" s="1"/>
  <c r="CF8" i="76" a="1"/>
  <c r="CF8" i="76" s="1"/>
  <c r="CF9" i="76" s="1"/>
  <c r="CD8" i="79" a="1"/>
  <c r="CD8" i="79" s="1"/>
  <c r="CD9" i="79" s="1"/>
  <c r="CD4" i="65" a="1"/>
  <c r="CD4" i="65" s="1"/>
  <c r="AO4" i="65" a="1"/>
  <c r="AO4" i="65" s="1"/>
  <c r="AG14" i="79"/>
  <c r="BA8" i="77" a="1"/>
  <c r="BA8" i="77" s="1"/>
  <c r="BA9" i="77" s="1"/>
  <c r="CN8" i="72" a="1"/>
  <c r="CN8" i="72" s="1"/>
  <c r="CN9" i="72" s="1"/>
  <c r="CK8" i="72" a="1"/>
  <c r="CK8" i="72" s="1"/>
  <c r="CK9" i="72" s="1"/>
  <c r="AV3" i="63" a="1"/>
  <c r="AV3" i="63" s="1"/>
  <c r="AM5" i="62" a="1"/>
  <c r="AM5" i="62" s="1"/>
  <c r="BN13" i="62"/>
  <c r="AZ13" i="62"/>
  <c r="BP13" i="62"/>
  <c r="AR5" i="62" a="1"/>
  <c r="AR5" i="62" s="1"/>
  <c r="AW8" i="62" a="1"/>
  <c r="AW8" i="62" s="1"/>
  <c r="AW9" i="62" s="1"/>
  <c r="AW4" i="62" a="1"/>
  <c r="AW4" i="62" s="1"/>
  <c r="CI4" i="62" a="1"/>
  <c r="CI4" i="62" s="1"/>
  <c r="BL4" i="62" a="1"/>
  <c r="BL4" i="62" s="1"/>
  <c r="AX8" i="65" a="1"/>
  <c r="AX8" i="65" s="1"/>
  <c r="AX9" i="65" s="1"/>
  <c r="CE8" i="60" a="1"/>
  <c r="CE8" i="60" s="1"/>
  <c r="CE9" i="60" s="1"/>
  <c r="CH8" i="79" a="1"/>
  <c r="CH8" i="79" s="1"/>
  <c r="CH9" i="79" s="1"/>
  <c r="AK3" i="71" a="1"/>
  <c r="AK3" i="71" s="1"/>
  <c r="AH8" i="61" a="1"/>
  <c r="AH8" i="61" s="1"/>
  <c r="AH9" i="61" s="1"/>
  <c r="AV8" i="61" a="1"/>
  <c r="AV8" i="61" s="1"/>
  <c r="AV9" i="61" s="1"/>
  <c r="BU8" i="61" a="1"/>
  <c r="BU8" i="61" s="1"/>
  <c r="BU9" i="61" s="1"/>
  <c r="AY8" i="61" a="1"/>
  <c r="AY8" i="61" s="1"/>
  <c r="AY9" i="61" s="1"/>
  <c r="CA8" i="61" a="1"/>
  <c r="CA8" i="61" s="1"/>
  <c r="CA9" i="61" s="1"/>
  <c r="AI8" i="61" a="1"/>
  <c r="AI8" i="61" s="1"/>
  <c r="AI9" i="61" s="1"/>
  <c r="AM8" i="61" a="1"/>
  <c r="AM8" i="61" s="1"/>
  <c r="AM9" i="61" s="1"/>
  <c r="AR8" i="61" a="1"/>
  <c r="AR8" i="61" s="1"/>
  <c r="AR9" i="61" s="1"/>
  <c r="BB8" i="61" a="1"/>
  <c r="BB8" i="61" s="1"/>
  <c r="BB9" i="61" s="1"/>
  <c r="CB8" i="61" a="1"/>
  <c r="CB8" i="61" s="1"/>
  <c r="CB9" i="61" s="1"/>
  <c r="CJ5" i="61" a="1"/>
  <c r="CJ5" i="61" s="1"/>
  <c r="BT8" i="61" a="1"/>
  <c r="BT8" i="61" s="1"/>
  <c r="BT9" i="61" s="1"/>
  <c r="AF8" i="61" a="1"/>
  <c r="AF8" i="61" s="1"/>
  <c r="AK8" i="61" a="1"/>
  <c r="AK8" i="61" s="1"/>
  <c r="AK9" i="61" s="1"/>
  <c r="AP8" i="61" a="1"/>
  <c r="AP8" i="61" s="1"/>
  <c r="AP9" i="61" s="1"/>
  <c r="AT8" i="61" a="1"/>
  <c r="AT8" i="61" s="1"/>
  <c r="AT9" i="61" s="1"/>
  <c r="BX8" i="61" a="1"/>
  <c r="BX8" i="61" s="1"/>
  <c r="BX9" i="61" s="1"/>
  <c r="AG8" i="77" a="1"/>
  <c r="AG8" i="77" s="1"/>
  <c r="AG9" i="77" s="1"/>
  <c r="AS8" i="64" a="1"/>
  <c r="AS8" i="64" s="1"/>
  <c r="AS9" i="64" s="1"/>
  <c r="BC8" i="64" a="1"/>
  <c r="BC8" i="64" s="1"/>
  <c r="BC9" i="64" s="1"/>
  <c r="BD8" i="64" a="1"/>
  <c r="BD8" i="64" s="1"/>
  <c r="BD9" i="64" s="1"/>
  <c r="BS8" i="64" a="1"/>
  <c r="BS8" i="64" s="1"/>
  <c r="BS9" i="64" s="1"/>
  <c r="CF8" i="64" a="1"/>
  <c r="CF8" i="64" s="1"/>
  <c r="CF9" i="64" s="1"/>
  <c r="CH5" i="64" a="1"/>
  <c r="CH5" i="64" s="1"/>
  <c r="BZ8" i="64" a="1"/>
  <c r="BZ8" i="64" s="1"/>
  <c r="BZ9" i="64" s="1"/>
  <c r="CK5" i="64" a="1"/>
  <c r="CK5" i="64" s="1"/>
  <c r="AI8" i="64" a="1"/>
  <c r="AI8" i="64" s="1"/>
  <c r="AI9" i="64" s="1"/>
  <c r="AP8" i="64" a="1"/>
  <c r="AP8" i="64" s="1"/>
  <c r="AP9" i="64" s="1"/>
  <c r="AT8" i="64" a="1"/>
  <c r="AT8" i="64" s="1"/>
  <c r="AT9" i="64" s="1"/>
  <c r="BB8" i="64" a="1"/>
  <c r="BB8" i="64" s="1"/>
  <c r="BB9" i="64" s="1"/>
  <c r="BL8" i="64" a="1"/>
  <c r="BL8" i="64" s="1"/>
  <c r="BL9" i="64" s="1"/>
  <c r="BX8" i="64" a="1"/>
  <c r="BX8" i="64" s="1"/>
  <c r="BX9" i="64" s="1"/>
  <c r="CH8" i="64" a="1"/>
  <c r="CH8" i="64" s="1"/>
  <c r="CH9" i="64" s="1"/>
  <c r="CA4" i="64" a="1"/>
  <c r="CA4" i="64" s="1"/>
  <c r="AF8" i="64" a="1"/>
  <c r="AF8" i="64" s="1"/>
  <c r="AL8" i="64" a="1"/>
  <c r="AL8" i="64" s="1"/>
  <c r="AL9" i="64" s="1"/>
  <c r="AQ8" i="64" a="1"/>
  <c r="AQ8" i="64" s="1"/>
  <c r="AQ9" i="64" s="1"/>
  <c r="BO8" i="64" a="1"/>
  <c r="BO8" i="64" s="1"/>
  <c r="BO9" i="64" s="1"/>
  <c r="AZ8" i="64" a="1"/>
  <c r="AZ8" i="64" s="1"/>
  <c r="AZ9" i="64" s="1"/>
  <c r="BQ8" i="64" a="1"/>
  <c r="BQ8" i="64" s="1"/>
  <c r="BQ9" i="64" s="1"/>
  <c r="CI4" i="64" a="1"/>
  <c r="CI4" i="64" s="1"/>
  <c r="AM5" i="64" a="1"/>
  <c r="AM5" i="64" s="1"/>
  <c r="AW5" i="64" a="1"/>
  <c r="AW5" i="64" s="1"/>
  <c r="BR5" i="64" a="1"/>
  <c r="BR5" i="64" s="1"/>
  <c r="CD5" i="64" a="1"/>
  <c r="CD5" i="64" s="1"/>
  <c r="BR4" i="64" a="1"/>
  <c r="BR4" i="64" s="1"/>
  <c r="CD4" i="64" a="1"/>
  <c r="CD4" i="64" s="1"/>
  <c r="AF5" i="64" a="1"/>
  <c r="AF5" i="64" s="1"/>
  <c r="AQ5" i="64" a="1"/>
  <c r="AQ5" i="64" s="1"/>
  <c r="AZ5" i="64" a="1"/>
  <c r="AZ5" i="64" s="1"/>
  <c r="BY5" i="64" a="1"/>
  <c r="BY5" i="64" s="1"/>
  <c r="CG5" i="64" a="1"/>
  <c r="CG5" i="64" s="1"/>
  <c r="AG5" i="64" a="1"/>
  <c r="AG5" i="64" s="1"/>
  <c r="AR5" i="64" a="1"/>
  <c r="AR5" i="64" s="1"/>
  <c r="BA5" i="64" a="1"/>
  <c r="BA5" i="64" s="1"/>
  <c r="BZ5" i="64" a="1"/>
  <c r="BZ5" i="64" s="1"/>
  <c r="CI8" i="64" a="1"/>
  <c r="CI8" i="64" s="1"/>
  <c r="CI9" i="64" s="1"/>
  <c r="BC4" i="66" a="1"/>
  <c r="BC4" i="66" s="1"/>
  <c r="BA4" i="66" a="1"/>
  <c r="BA4" i="66" s="1"/>
  <c r="BQ4" i="66" a="1"/>
  <c r="BQ4" i="66" s="1"/>
  <c r="CE4" i="66" a="1"/>
  <c r="CE4" i="66" s="1"/>
  <c r="BF4" i="66" a="1"/>
  <c r="BF4" i="66" s="1"/>
  <c r="BY4" i="66" a="1"/>
  <c r="BY4" i="66" s="1"/>
  <c r="AW5" i="66" a="1"/>
  <c r="AW5" i="66" s="1"/>
  <c r="BM4" i="66" a="1"/>
  <c r="BM4" i="66" s="1"/>
  <c r="BO4" i="66" a="1"/>
  <c r="BO4" i="66" s="1"/>
  <c r="BO6" i="66" s="1"/>
  <c r="BO7" i="66" s="1"/>
  <c r="CI4" i="66" a="1"/>
  <c r="CI4" i="66" s="1"/>
  <c r="BB4" i="74" a="1"/>
  <c r="BB4" i="74" s="1"/>
  <c r="AZ4" i="74" a="1"/>
  <c r="AZ4" i="74" s="1"/>
  <c r="BR4" i="74" a="1"/>
  <c r="BR4" i="74" s="1"/>
  <c r="CD4" i="74" a="1"/>
  <c r="CD4" i="74" s="1"/>
  <c r="CM4" i="74" a="1"/>
  <c r="CM4" i="74" s="1"/>
  <c r="AU4" i="74" a="1"/>
  <c r="AU4" i="74" s="1"/>
  <c r="BA4" i="74" a="1"/>
  <c r="BA4" i="74" s="1"/>
  <c r="BZ4" i="74" a="1"/>
  <c r="BZ4" i="74" s="1"/>
  <c r="CE4" i="74" a="1"/>
  <c r="CE4" i="74" s="1"/>
  <c r="AI5" i="74" a="1"/>
  <c r="AI5" i="74" s="1"/>
  <c r="BK4" i="74" a="1"/>
  <c r="BK4" i="74" s="1"/>
  <c r="CA4" i="74" a="1"/>
  <c r="CA4" i="74" s="1"/>
  <c r="CH4" i="74" a="1"/>
  <c r="CH4" i="74" s="1"/>
  <c r="AS5" i="74" a="1"/>
  <c r="AS5" i="74" s="1"/>
  <c r="BB8" i="74" a="1"/>
  <c r="BB8" i="74" s="1"/>
  <c r="BB9" i="74" s="1"/>
  <c r="CD8" i="70" a="1"/>
  <c r="CD8" i="70" s="1"/>
  <c r="CD9" i="70" s="1"/>
  <c r="CH8" i="70" a="1"/>
  <c r="CH8" i="70" s="1"/>
  <c r="CH9" i="70" s="1"/>
  <c r="AG14" i="78"/>
  <c r="AL14" i="78"/>
  <c r="AP14" i="78"/>
  <c r="BG14" i="78"/>
  <c r="CD8" i="78" a="1"/>
  <c r="CD8" i="78" s="1"/>
  <c r="CD9" i="78" s="1"/>
  <c r="AI3" i="65" a="1"/>
  <c r="AI3" i="65" s="1"/>
  <c r="BW3" i="65" a="1"/>
  <c r="BW3" i="65" s="1"/>
  <c r="CG5" i="65" a="1"/>
  <c r="CG5" i="65" s="1"/>
  <c r="AP3" i="65" a="1"/>
  <c r="AP3" i="65" s="1"/>
  <c r="CA3" i="65" a="1"/>
  <c r="CA3" i="65" s="1"/>
  <c r="AW3" i="65" a="1"/>
  <c r="AW3" i="65" s="1"/>
  <c r="BH5" i="65" a="1"/>
  <c r="BH5" i="65" s="1"/>
  <c r="BG8" i="65" a="1"/>
  <c r="BG8" i="65" s="1"/>
  <c r="BG9" i="65" s="1"/>
  <c r="AK8" i="65" a="1"/>
  <c r="AK8" i="65" s="1"/>
  <c r="AK9" i="65" s="1"/>
  <c r="BP8" i="65" a="1"/>
  <c r="BP8" i="65" s="1"/>
  <c r="BP9" i="65" s="1"/>
  <c r="AU8" i="65" a="1"/>
  <c r="AU8" i="65" s="1"/>
  <c r="AU9" i="65" s="1"/>
  <c r="CB8" i="65" a="1"/>
  <c r="CB8" i="65" s="1"/>
  <c r="CB9" i="65" s="1"/>
  <c r="AF8" i="65" a="1"/>
  <c r="AF8" i="65" s="1"/>
  <c r="CJ8" i="70" a="1"/>
  <c r="CJ8" i="70" s="1"/>
  <c r="CJ9" i="70" s="1"/>
  <c r="CJ3" i="76" a="1"/>
  <c r="CJ3" i="76" s="1"/>
  <c r="CE3" i="65" a="1"/>
  <c r="CE3" i="65" s="1"/>
  <c r="BE4" i="65" a="1"/>
  <c r="BE4" i="65" s="1"/>
  <c r="AG5" i="65" a="1"/>
  <c r="AG5" i="65" s="1"/>
  <c r="BN3" i="65" a="1"/>
  <c r="BN3" i="65" s="1"/>
  <c r="CI3" i="65" a="1"/>
  <c r="CI3" i="65" s="1"/>
  <c r="AR4" i="65" a="1"/>
  <c r="AR4" i="65" s="1"/>
  <c r="AV5" i="65" a="1"/>
  <c r="AV5" i="65" s="1"/>
  <c r="AH4" i="65" a="1"/>
  <c r="AH4" i="65" s="1"/>
  <c r="BR4" i="65" a="1"/>
  <c r="BR4" i="65" s="1"/>
  <c r="BY5" i="65" a="1"/>
  <c r="BY5" i="65" s="1"/>
  <c r="BX8" i="65" a="1"/>
  <c r="BX8" i="65" s="1"/>
  <c r="BX9" i="65" s="1"/>
  <c r="CB8" i="64" a="1"/>
  <c r="CB8" i="64" s="1"/>
  <c r="CB9" i="64" s="1"/>
  <c r="BX4" i="66" a="1"/>
  <c r="BX4" i="66" s="1"/>
  <c r="CD4" i="66" a="1"/>
  <c r="CD4" i="66" s="1"/>
  <c r="AH5" i="66" a="1"/>
  <c r="AH5" i="66" s="1"/>
  <c r="BS4" i="66" a="1"/>
  <c r="BS4" i="66" s="1"/>
  <c r="CA4" i="66" a="1"/>
  <c r="CA4" i="66" s="1"/>
  <c r="CA4" i="62" a="1"/>
  <c r="CA4" i="62" s="1"/>
  <c r="CH5" i="62" a="1"/>
  <c r="CH5" i="62" s="1"/>
  <c r="AZ8" i="62" a="1"/>
  <c r="AZ8" i="62" s="1"/>
  <c r="AZ9" i="62" s="1"/>
  <c r="BY8" i="67" a="1"/>
  <c r="BY8" i="67" s="1"/>
  <c r="BY9" i="67" s="1"/>
  <c r="AG3" i="63" a="1"/>
  <c r="AG3" i="63" s="1"/>
  <c r="BB3" i="63" a="1"/>
  <c r="BB3" i="63" s="1"/>
  <c r="AJ3" i="63" a="1"/>
  <c r="AJ3" i="63" s="1"/>
  <c r="CH3" i="63" a="1"/>
  <c r="CH3" i="63" s="1"/>
  <c r="BZ3" i="63" a="1"/>
  <c r="BZ3" i="63" s="1"/>
  <c r="CP5" i="69" a="1"/>
  <c r="CP5" i="69" s="1"/>
  <c r="BS4" i="74" a="1"/>
  <c r="BS4" i="74" s="1"/>
  <c r="CC4" i="74" a="1"/>
  <c r="CC4" i="74" s="1"/>
  <c r="CC6" i="74" s="1"/>
  <c r="CC7" i="74" s="1"/>
  <c r="CG4" i="74" a="1"/>
  <c r="CG4" i="74" s="1"/>
  <c r="CK4" i="74" a="1"/>
  <c r="CK4" i="74" s="1"/>
  <c r="AG5" i="74" a="1"/>
  <c r="AG5" i="74" s="1"/>
  <c r="BU5" i="74" a="1"/>
  <c r="BU5" i="74" s="1"/>
  <c r="AY5" i="74" a="1"/>
  <c r="AY5" i="74" s="1"/>
  <c r="CL4" i="74" a="1"/>
  <c r="CL4" i="74" s="1"/>
  <c r="AH5" i="74" a="1"/>
  <c r="AH5" i="74" s="1"/>
  <c r="AM5" i="74" a="1"/>
  <c r="AM5" i="74" s="1"/>
  <c r="BR5" i="74" a="1"/>
  <c r="BR5" i="74" s="1"/>
  <c r="CF5" i="74" a="1"/>
  <c r="CF5" i="74" s="1"/>
  <c r="CB8" i="74" a="1"/>
  <c r="CB8" i="74" s="1"/>
  <c r="CB9" i="74" s="1"/>
  <c r="CF4" i="74" a="1"/>
  <c r="CF4" i="74" s="1"/>
  <c r="CJ4" i="74" a="1"/>
  <c r="CJ4" i="74" s="1"/>
  <c r="AF5" i="74" a="1"/>
  <c r="AF5" i="74" s="1"/>
  <c r="AJ5" i="74" a="1"/>
  <c r="AJ5" i="74" s="1"/>
  <c r="BS3" i="71" a="1"/>
  <c r="BS3" i="71" s="1"/>
  <c r="AF3" i="71" a="1"/>
  <c r="AF3" i="71" s="1"/>
  <c r="AG8" i="71" a="1"/>
  <c r="AG8" i="71" s="1"/>
  <c r="AG9" i="71" s="1"/>
  <c r="CF5" i="61" a="1"/>
  <c r="CF5" i="61" s="1"/>
  <c r="CB8" i="78" a="1"/>
  <c r="CB8" i="78" s="1"/>
  <c r="CB9" i="78" s="1"/>
  <c r="AG8" i="74" a="1"/>
  <c r="AG8" i="74" s="1"/>
  <c r="AG9" i="74" s="1"/>
  <c r="AZ8" i="74" a="1"/>
  <c r="AZ8" i="74" s="1"/>
  <c r="AZ9" i="74" s="1"/>
  <c r="BU8" i="74" a="1"/>
  <c r="BU8" i="74" s="1"/>
  <c r="BU9" i="74" s="1"/>
  <c r="BR8" i="74" a="1"/>
  <c r="BR8" i="74" s="1"/>
  <c r="BR9" i="74" s="1"/>
  <c r="AP8" i="74" a="1"/>
  <c r="AP8" i="74" s="1"/>
  <c r="AP9" i="74" s="1"/>
  <c r="AU3" i="76" a="1"/>
  <c r="AU3" i="76" s="1"/>
  <c r="AQ5" i="74" a="1"/>
  <c r="AQ5" i="74" s="1"/>
  <c r="AX5" i="74" a="1"/>
  <c r="AX5" i="74" s="1"/>
  <c r="BK5" i="74" a="1"/>
  <c r="BK5" i="74" s="1"/>
  <c r="CB5" i="74" a="1"/>
  <c r="CB5" i="74" s="1"/>
  <c r="CJ5" i="74" a="1"/>
  <c r="CJ5" i="74" s="1"/>
  <c r="CM5" i="74" a="1"/>
  <c r="CM5" i="74" s="1"/>
  <c r="CH8" i="74" a="1"/>
  <c r="CH8" i="74" s="1"/>
  <c r="CH9" i="74" s="1"/>
  <c r="AP5" i="74" a="1"/>
  <c r="AP5" i="74" s="1"/>
  <c r="BB5" i="74" a="1"/>
  <c r="BB5" i="74" s="1"/>
  <c r="AZ5" i="74" a="1"/>
  <c r="AZ5" i="74" s="1"/>
  <c r="BS5" i="74" a="1"/>
  <c r="BS5" i="74" s="1"/>
  <c r="CD5" i="74" a="1"/>
  <c r="CD5" i="74" s="1"/>
  <c r="AL5" i="74" a="1"/>
  <c r="AL5" i="74" s="1"/>
  <c r="BM5" i="74" a="1"/>
  <c r="BM5" i="74" s="1"/>
  <c r="AU5" i="74" a="1"/>
  <c r="AU5" i="74" s="1"/>
  <c r="BA5" i="74" a="1"/>
  <c r="BA5" i="74" s="1"/>
  <c r="BZ5" i="74" a="1"/>
  <c r="BZ5" i="74" s="1"/>
  <c r="CK8" i="68" a="1"/>
  <c r="CK8" i="68" s="1"/>
  <c r="CK9" i="68" s="1"/>
  <c r="CD8" i="60" a="1"/>
  <c r="CD8" i="60" s="1"/>
  <c r="CD9" i="60" s="1"/>
  <c r="CF8" i="79" a="1"/>
  <c r="CF8" i="79" s="1"/>
  <c r="CF9" i="79" s="1"/>
  <c r="CC8" i="64" a="1"/>
  <c r="CC8" i="64" s="1"/>
  <c r="CC9" i="64" s="1"/>
  <c r="BV5" i="69" a="1"/>
  <c r="BV5" i="69" s="1"/>
  <c r="BD4" i="69" a="1"/>
  <c r="BD4" i="69" s="1"/>
  <c r="CB4" i="66" a="1"/>
  <c r="CB4" i="66" s="1"/>
  <c r="CF4" i="66" a="1"/>
  <c r="CF4" i="66" s="1"/>
  <c r="CJ4" i="66" a="1"/>
  <c r="CJ4" i="66" s="1"/>
  <c r="AK5" i="66" a="1"/>
  <c r="AK5" i="66" s="1"/>
  <c r="CC4" i="66" a="1"/>
  <c r="CC4" i="66" s="1"/>
  <c r="CG4" i="66" a="1"/>
  <c r="CG4" i="66" s="1"/>
  <c r="AF5" i="66" a="1"/>
  <c r="AF5" i="66" s="1"/>
  <c r="AL5" i="66" a="1"/>
  <c r="AL5" i="66" s="1"/>
  <c r="AG5" i="66" a="1"/>
  <c r="AG5" i="66" s="1"/>
  <c r="CA5" i="66" a="1"/>
  <c r="CA5" i="66" s="1"/>
  <c r="BC8" i="66" a="1"/>
  <c r="BC8" i="66" s="1"/>
  <c r="BC9" i="66" s="1"/>
  <c r="CF5" i="67" a="1"/>
  <c r="CF5" i="67" s="1"/>
  <c r="CH8" i="67" a="1"/>
  <c r="CH8" i="67" s="1"/>
  <c r="CH9" i="67" s="1"/>
  <c r="CK8" i="61" a="1"/>
  <c r="CK8" i="61" s="1"/>
  <c r="CK9" i="61" s="1"/>
  <c r="AG3" i="71" a="1"/>
  <c r="AG3" i="71" s="1"/>
  <c r="AL3" i="71" a="1"/>
  <c r="AL3" i="71" s="1"/>
  <c r="BF3" i="71" a="1"/>
  <c r="BF3" i="71" s="1"/>
  <c r="CB3" i="71" a="1"/>
  <c r="CB3" i="71" s="1"/>
  <c r="AH3" i="71" a="1"/>
  <c r="AH3" i="71" s="1"/>
  <c r="BM3" i="71" a="1"/>
  <c r="BM3" i="71" s="1"/>
  <c r="AU3" i="71" a="1"/>
  <c r="AU3" i="71" s="1"/>
  <c r="CK3" i="71" a="1"/>
  <c r="CK3" i="71" s="1"/>
  <c r="AF2" i="71" a="1"/>
  <c r="AF2" i="71" s="1"/>
  <c r="AF11" i="71" s="1"/>
  <c r="AI3" i="71" a="1"/>
  <c r="AI3" i="71" s="1"/>
  <c r="AR3" i="71" a="1"/>
  <c r="AR3" i="71" s="1"/>
  <c r="BZ5" i="62" a="1"/>
  <c r="BZ5" i="62" s="1"/>
  <c r="BZ8" i="62" a="1"/>
  <c r="BZ8" i="62" s="1"/>
  <c r="BZ9" i="62" s="1"/>
  <c r="AH5" i="62" a="1"/>
  <c r="AH5" i="62" s="1"/>
  <c r="AT8" i="77" a="1"/>
  <c r="AT8" i="77" s="1"/>
  <c r="AT9" i="77" s="1"/>
  <c r="AK3" i="63" a="1"/>
  <c r="AK3" i="63" s="1"/>
  <c r="AR3" i="63" a="1"/>
  <c r="AR3" i="63" s="1"/>
  <c r="AW3" i="63" a="1"/>
  <c r="AW3" i="63" s="1"/>
  <c r="BQ3" i="63" a="1"/>
  <c r="BQ3" i="63" s="1"/>
  <c r="BL3" i="63" a="1"/>
  <c r="BL3" i="63" s="1"/>
  <c r="AN3" i="63" a="1"/>
  <c r="AN3" i="63" s="1"/>
  <c r="AT3" i="63" a="1"/>
  <c r="AT3" i="63" s="1"/>
  <c r="BN3" i="63" a="1"/>
  <c r="BN3" i="63" s="1"/>
  <c r="BR3" i="63" a="1"/>
  <c r="BR3" i="63" s="1"/>
  <c r="AF4" i="63" a="1"/>
  <c r="AF4" i="63" s="1"/>
  <c r="AF2" i="63" a="1"/>
  <c r="AF2" i="63" s="1"/>
  <c r="AF11" i="63" s="1"/>
  <c r="AH3" i="63" a="1"/>
  <c r="AH3" i="63" s="1"/>
  <c r="AO3" i="63" a="1"/>
  <c r="AO3" i="63" s="1"/>
  <c r="AU3" i="63" a="1"/>
  <c r="AU3" i="63" s="1"/>
  <c r="AY3" i="63" a="1"/>
  <c r="AY3" i="63" s="1"/>
  <c r="AN4" i="65" a="1"/>
  <c r="AN4" i="65" s="1"/>
  <c r="CH4" i="65" a="1"/>
  <c r="CH4" i="65" s="1"/>
  <c r="AQ5" i="65" a="1"/>
  <c r="AQ5" i="65" s="1"/>
  <c r="CC5" i="65" a="1"/>
  <c r="CC5" i="65" s="1"/>
  <c r="BZ4" i="65" a="1"/>
  <c r="BZ4" i="65" s="1"/>
  <c r="AL5" i="65" a="1"/>
  <c r="AL5" i="65" s="1"/>
  <c r="BQ5" i="65" a="1"/>
  <c r="BQ5" i="65" s="1"/>
  <c r="CA8" i="65" a="1"/>
  <c r="CA8" i="65" s="1"/>
  <c r="CA9" i="65" s="1"/>
  <c r="CB8" i="67" a="1"/>
  <c r="CB8" i="67" s="1"/>
  <c r="CB9" i="67" s="1"/>
  <c r="BZ5" i="70" a="1"/>
  <c r="BZ5" i="70" s="1"/>
  <c r="CG5" i="74" a="1"/>
  <c r="CG5" i="74" s="1"/>
  <c r="CK5" i="74" a="1"/>
  <c r="CK5" i="74" s="1"/>
  <c r="CH5" i="74" a="1"/>
  <c r="CH5" i="74" s="1"/>
  <c r="CL5" i="74" a="1"/>
  <c r="CL5" i="74" s="1"/>
  <c r="CJ8" i="74" a="1"/>
  <c r="CJ8" i="74" s="1"/>
  <c r="CJ9" i="74" s="1"/>
  <c r="BQ5" i="74" a="1"/>
  <c r="BQ5" i="74" s="1"/>
  <c r="CA5" i="74" a="1"/>
  <c r="CA5" i="74" s="1"/>
  <c r="CE5" i="74" a="1"/>
  <c r="CE5" i="74" s="1"/>
  <c r="CI5" i="74" a="1"/>
  <c r="CI5" i="74" s="1"/>
  <c r="AW3" i="68" a="1"/>
  <c r="AW3" i="68" s="1"/>
  <c r="AH8" i="68" a="1"/>
  <c r="AH8" i="68" s="1"/>
  <c r="AH9" i="68" s="1"/>
  <c r="BI3" i="73" a="1"/>
  <c r="BI3" i="73" s="1"/>
  <c r="AZ3" i="63" a="1"/>
  <c r="AZ3" i="63" s="1"/>
  <c r="BS3" i="63" a="1"/>
  <c r="BS3" i="63" s="1"/>
  <c r="CC3" i="63" a="1"/>
  <c r="CC3" i="63" s="1"/>
  <c r="AQ4" i="63" a="1"/>
  <c r="AQ4" i="63" s="1"/>
  <c r="AX3" i="63" a="1"/>
  <c r="AX3" i="63" s="1"/>
  <c r="BO3" i="63" a="1"/>
  <c r="BO3" i="63" s="1"/>
  <c r="BY3" i="63" a="1"/>
  <c r="BY3" i="63" s="1"/>
  <c r="CD3" i="63" a="1"/>
  <c r="CD3" i="63" s="1"/>
  <c r="CJ4" i="63" a="1"/>
  <c r="CJ4" i="63" s="1"/>
  <c r="CA3" i="63" a="1"/>
  <c r="CA3" i="63" s="1"/>
  <c r="AG8" i="65" a="1"/>
  <c r="AG8" i="65" s="1"/>
  <c r="AG9" i="65" s="1"/>
  <c r="AL8" i="65" a="1"/>
  <c r="AL8" i="65" s="1"/>
  <c r="AL9" i="65" s="1"/>
  <c r="AV8" i="65" a="1"/>
  <c r="AV8" i="65" s="1"/>
  <c r="AV9" i="65" s="1"/>
  <c r="AQ8" i="65" a="1"/>
  <c r="AQ8" i="65" s="1"/>
  <c r="AQ9" i="65" s="1"/>
  <c r="BH8" i="65" a="1"/>
  <c r="BH8" i="65" s="1"/>
  <c r="BH9" i="65" s="1"/>
  <c r="BQ8" i="65" a="1"/>
  <c r="BQ8" i="65" s="1"/>
  <c r="BQ9" i="65" s="1"/>
  <c r="BY8" i="65" a="1"/>
  <c r="BY8" i="65" s="1"/>
  <c r="BY9" i="65" s="1"/>
  <c r="CC8" i="65" a="1"/>
  <c r="CC8" i="65" s="1"/>
  <c r="CC9" i="65" s="1"/>
  <c r="AH8" i="65" a="1"/>
  <c r="AH8" i="65" s="1"/>
  <c r="AH9" i="65" s="1"/>
  <c r="AO8" i="65" a="1"/>
  <c r="AO8" i="65" s="1"/>
  <c r="AO9" i="65" s="1"/>
  <c r="BE8" i="65" a="1"/>
  <c r="BE8" i="65" s="1"/>
  <c r="BE9" i="65" s="1"/>
  <c r="AR8" i="65" a="1"/>
  <c r="AR8" i="65" s="1"/>
  <c r="AR9" i="65" s="1"/>
  <c r="AN8" i="65" a="1"/>
  <c r="AN8" i="65" s="1"/>
  <c r="AN9" i="65" s="1"/>
  <c r="BR8" i="65" a="1"/>
  <c r="BR8" i="65" s="1"/>
  <c r="BR9" i="65" s="1"/>
  <c r="BZ8" i="65" a="1"/>
  <c r="BZ8" i="65" s="1"/>
  <c r="BZ9" i="65" s="1"/>
  <c r="AI8" i="65" a="1"/>
  <c r="AI8" i="65" s="1"/>
  <c r="AI9" i="65" s="1"/>
  <c r="AP8" i="65" a="1"/>
  <c r="AP8" i="65" s="1"/>
  <c r="AP9" i="65" s="1"/>
  <c r="AW8" i="65" a="1"/>
  <c r="AW8" i="65" s="1"/>
  <c r="AW9" i="65" s="1"/>
  <c r="BF8" i="65" a="1"/>
  <c r="BF8" i="65" s="1"/>
  <c r="BF9" i="65" s="1"/>
  <c r="BN8" i="65" a="1"/>
  <c r="BN8" i="65" s="1"/>
  <c r="BN9" i="65" s="1"/>
  <c r="BW8" i="65" a="1"/>
  <c r="BW8" i="65" s="1"/>
  <c r="BW9" i="65" s="1"/>
  <c r="CC8" i="60" a="1"/>
  <c r="CC8" i="60" s="1"/>
  <c r="CC9" i="60" s="1"/>
  <c r="AO5" i="66" a="1"/>
  <c r="AO5" i="66" s="1"/>
  <c r="BC5" i="66" a="1"/>
  <c r="BC5" i="66" s="1"/>
  <c r="CK4" i="66" a="1"/>
  <c r="CK4" i="66" s="1"/>
  <c r="AI5" i="66" a="1"/>
  <c r="AI5" i="66" s="1"/>
  <c r="AP5" i="66" a="1"/>
  <c r="AP5" i="66" s="1"/>
  <c r="BE5" i="66" a="1"/>
  <c r="BE5" i="66" s="1"/>
  <c r="AS5" i="66" a="1"/>
  <c r="AS5" i="66" s="1"/>
  <c r="BR5" i="66" a="1"/>
  <c r="BR5" i="66" s="1"/>
  <c r="BD5" i="62" a="1"/>
  <c r="BD5" i="62" s="1"/>
  <c r="CD5" i="62" a="1"/>
  <c r="CD5" i="62" s="1"/>
  <c r="BD8" i="62" a="1"/>
  <c r="BD8" i="62" s="1"/>
  <c r="BD9" i="62" s="1"/>
  <c r="CG8" i="79" a="1"/>
  <c r="CG8" i="79" s="1"/>
  <c r="CG9" i="79" s="1"/>
  <c r="AM3" i="69" a="1"/>
  <c r="AM3" i="69" s="1"/>
  <c r="CJ3" i="69" a="1"/>
  <c r="CJ3" i="69" s="1"/>
  <c r="BA8" i="69" a="1"/>
  <c r="BA8" i="69" s="1"/>
  <c r="BA9" i="69" s="1"/>
  <c r="AK5" i="76" a="1"/>
  <c r="AK5" i="76" s="1"/>
  <c r="BR5" i="76" a="1"/>
  <c r="BR5" i="76" s="1"/>
  <c r="CD8" i="64" a="1"/>
  <c r="CD8" i="64" s="1"/>
  <c r="CD9" i="64" s="1"/>
  <c r="CF4" i="71" a="1"/>
  <c r="CF4" i="71" s="1"/>
  <c r="AM3" i="71" a="1"/>
  <c r="AM3" i="71" s="1"/>
  <c r="BD3" i="71" a="1"/>
  <c r="BD3" i="71" s="1"/>
  <c r="BC3" i="71" a="1"/>
  <c r="BC3" i="71" s="1"/>
  <c r="BU3" i="71" a="1"/>
  <c r="BU3" i="71" s="1"/>
  <c r="BD4" i="71" a="1"/>
  <c r="BD4" i="71" s="1"/>
  <c r="AP3" i="71" a="1"/>
  <c r="AP3" i="71" s="1"/>
  <c r="BE3" i="71" a="1"/>
  <c r="BE3" i="71" s="1"/>
  <c r="BG3" i="71" a="1"/>
  <c r="BG3" i="71" s="1"/>
  <c r="BV3" i="71" a="1"/>
  <c r="BV3" i="71" s="1"/>
  <c r="BM5" i="71" a="1"/>
  <c r="BM5" i="71" s="1"/>
  <c r="CO8" i="71" a="1"/>
  <c r="CO8" i="71" s="1"/>
  <c r="AG3" i="67" a="1"/>
  <c r="AG3" i="67" s="1"/>
  <c r="BC3" i="67" a="1"/>
  <c r="BC3" i="67" s="1"/>
  <c r="CH3" i="67" a="1"/>
  <c r="CH3" i="67" s="1"/>
  <c r="AP4" i="67" a="1"/>
  <c r="AP4" i="67" s="1"/>
  <c r="CC4" i="67" a="1"/>
  <c r="CC4" i="67" s="1"/>
  <c r="AO5" i="67" a="1"/>
  <c r="AO5" i="67" s="1"/>
  <c r="BX5" i="67" a="1"/>
  <c r="BX5" i="67" s="1"/>
  <c r="AL3" i="67" a="1"/>
  <c r="AL3" i="67" s="1"/>
  <c r="BR3" i="67" a="1"/>
  <c r="BR3" i="67" s="1"/>
  <c r="AF4" i="67" a="1"/>
  <c r="AF4" i="67" s="1"/>
  <c r="AY4" i="67" a="1"/>
  <c r="AY4" i="67" s="1"/>
  <c r="CG4" i="67" a="1"/>
  <c r="CG4" i="67" s="1"/>
  <c r="BB5" i="67" a="1"/>
  <c r="BB5" i="67" s="1"/>
  <c r="CB5" i="67" a="1"/>
  <c r="CB5" i="67" s="1"/>
  <c r="AU3" i="67" a="1"/>
  <c r="AU3" i="67" s="1"/>
  <c r="BZ3" i="67" a="1"/>
  <c r="BZ3" i="67" s="1"/>
  <c r="AK4" i="67" a="1"/>
  <c r="AK4" i="67" s="1"/>
  <c r="BQ4" i="67" a="1"/>
  <c r="BQ4" i="67" s="1"/>
  <c r="CK4" i="67" a="1"/>
  <c r="CK4" i="67" s="1"/>
  <c r="AX5" i="67" a="1"/>
  <c r="AX5" i="67" s="1"/>
  <c r="CI5" i="67" a="1"/>
  <c r="CI5" i="67" s="1"/>
  <c r="AH8" i="71" a="1"/>
  <c r="AH8" i="71" s="1"/>
  <c r="AH9" i="71" s="1"/>
  <c r="BI8" i="71" a="1"/>
  <c r="BI8" i="71" s="1"/>
  <c r="BI9" i="71" s="1"/>
  <c r="BM8" i="71" a="1"/>
  <c r="BM8" i="71" s="1"/>
  <c r="BM9" i="71" s="1"/>
  <c r="BW8" i="71" a="1"/>
  <c r="BW8" i="71" s="1"/>
  <c r="BW9" i="71" s="1"/>
  <c r="BB8" i="71" a="1"/>
  <c r="BB8" i="71" s="1"/>
  <c r="BB9" i="71" s="1"/>
  <c r="AI8" i="74" a="1"/>
  <c r="AI8" i="74" s="1"/>
  <c r="AI9" i="74" s="1"/>
  <c r="AM8" i="74" a="1"/>
  <c r="AM8" i="74" s="1"/>
  <c r="AM9" i="74" s="1"/>
  <c r="AQ8" i="74" a="1"/>
  <c r="AQ8" i="74" s="1"/>
  <c r="AQ9" i="74" s="1"/>
  <c r="AX8" i="74" a="1"/>
  <c r="AX8" i="74" s="1"/>
  <c r="AX9" i="74" s="1"/>
  <c r="BK8" i="74" a="1"/>
  <c r="BK8" i="74" s="1"/>
  <c r="BK9" i="74" s="1"/>
  <c r="BZ8" i="74" a="1"/>
  <c r="BZ8" i="74" s="1"/>
  <c r="BZ9" i="74" s="1"/>
  <c r="CD8" i="74" a="1"/>
  <c r="CD8" i="74" s="1"/>
  <c r="CD9" i="74" s="1"/>
  <c r="AF8" i="74" a="1"/>
  <c r="AF8" i="74" s="1"/>
  <c r="AJ8" i="74" a="1"/>
  <c r="AJ8" i="74" s="1"/>
  <c r="AJ9" i="74" s="1"/>
  <c r="AN8" i="74" a="1"/>
  <c r="AN8" i="74" s="1"/>
  <c r="AN9" i="74" s="1"/>
  <c r="AS8" i="74" a="1"/>
  <c r="AS8" i="74" s="1"/>
  <c r="AS9" i="74" s="1"/>
  <c r="AY8" i="74" a="1"/>
  <c r="AY8" i="74" s="1"/>
  <c r="AY9" i="74" s="1"/>
  <c r="BQ8" i="74" a="1"/>
  <c r="BQ8" i="74" s="1"/>
  <c r="BQ9" i="74" s="1"/>
  <c r="CA8" i="74" a="1"/>
  <c r="CA8" i="74" s="1"/>
  <c r="CA9" i="74" s="1"/>
  <c r="CE8" i="74" a="1"/>
  <c r="CE8" i="74" s="1"/>
  <c r="CE9" i="74" s="1"/>
  <c r="CF8" i="74" a="1"/>
  <c r="CF8" i="74" s="1"/>
  <c r="CF9" i="74" s="1"/>
  <c r="AH8" i="74" a="1"/>
  <c r="AH8" i="74" s="1"/>
  <c r="AH9" i="74" s="1"/>
  <c r="AL8" i="74" a="1"/>
  <c r="AL8" i="74" s="1"/>
  <c r="AL9" i="74" s="1"/>
  <c r="BM8" i="74" a="1"/>
  <c r="BM8" i="74" s="1"/>
  <c r="BM9" i="74" s="1"/>
  <c r="AU8" i="74" a="1"/>
  <c r="AU8" i="74" s="1"/>
  <c r="AU9" i="74" s="1"/>
  <c r="BA8" i="74" a="1"/>
  <c r="BA8" i="74" s="1"/>
  <c r="BA9" i="74" s="1"/>
  <c r="BS8" i="74" a="1"/>
  <c r="BS8" i="74" s="1"/>
  <c r="BS9" i="74" s="1"/>
  <c r="CC8" i="74" a="1"/>
  <c r="CC8" i="74" s="1"/>
  <c r="CC9" i="74" s="1"/>
  <c r="AH3" i="76" a="1"/>
  <c r="AH3" i="76" s="1"/>
  <c r="BT3" i="76" a="1"/>
  <c r="BT3" i="76" s="1"/>
  <c r="AR4" i="76" a="1"/>
  <c r="AR4" i="76" s="1"/>
  <c r="CL5" i="76" a="1"/>
  <c r="CL5" i="76" s="1"/>
  <c r="BZ5" i="76" a="1"/>
  <c r="BZ5" i="76" s="1"/>
  <c r="AN3" i="76" a="1"/>
  <c r="AN3" i="76" s="1"/>
  <c r="CF3" i="76" a="1"/>
  <c r="CF3" i="76" s="1"/>
  <c r="CA4" i="76" a="1"/>
  <c r="CA4" i="76" s="1"/>
  <c r="BF3" i="76" a="1"/>
  <c r="BF3" i="76" s="1"/>
  <c r="AG4" i="76" a="1"/>
  <c r="AG4" i="76" s="1"/>
  <c r="AG14" i="76"/>
  <c r="AK14" i="76"/>
  <c r="AO14" i="76"/>
  <c r="CG8" i="78" a="1"/>
  <c r="CG8" i="78" s="1"/>
  <c r="CG9" i="78" s="1"/>
  <c r="CE3" i="63" a="1"/>
  <c r="CE3" i="63" s="1"/>
  <c r="CI3" i="63" a="1"/>
  <c r="CI3" i="63" s="1"/>
  <c r="AG4" i="63" a="1"/>
  <c r="AG4" i="63" s="1"/>
  <c r="AY4" i="63" a="1"/>
  <c r="AY4" i="63" s="1"/>
  <c r="BX3" i="63" a="1"/>
  <c r="BX3" i="63" s="1"/>
  <c r="CB3" i="63" a="1"/>
  <c r="CB3" i="63" s="1"/>
  <c r="CF3" i="63" a="1"/>
  <c r="CF3" i="63" s="1"/>
  <c r="CJ3" i="63" a="1"/>
  <c r="CJ3" i="63" s="1"/>
  <c r="BL4" i="63" a="1"/>
  <c r="BL4" i="63" s="1"/>
  <c r="BY4" i="63" a="1"/>
  <c r="BY4" i="63" s="1"/>
  <c r="CG3" i="63" a="1"/>
  <c r="CG3" i="63" s="1"/>
  <c r="CK3" i="63" a="1"/>
  <c r="CK3" i="63" s="1"/>
  <c r="AH4" i="63" a="1"/>
  <c r="AH4" i="63" s="1"/>
  <c r="BL5" i="63" a="1"/>
  <c r="BL5" i="63" s="1"/>
  <c r="BB8" i="63" a="1"/>
  <c r="BB8" i="63" s="1"/>
  <c r="BB9" i="63" s="1"/>
  <c r="AH3" i="67" a="1"/>
  <c r="AH3" i="67" s="1"/>
  <c r="AN3" i="67" a="1"/>
  <c r="AN3" i="67" s="1"/>
  <c r="AZ3" i="67" a="1"/>
  <c r="AZ3" i="67" s="1"/>
  <c r="AW3" i="67" a="1"/>
  <c r="AW3" i="67" s="1"/>
  <c r="BD3" i="67" a="1"/>
  <c r="BD3" i="67" s="1"/>
  <c r="BS3" i="67" a="1"/>
  <c r="BS3" i="67" s="1"/>
  <c r="CA3" i="67" a="1"/>
  <c r="CA3" i="67" s="1"/>
  <c r="CE3" i="67" a="1"/>
  <c r="CE3" i="67" s="1"/>
  <c r="CI3" i="67" a="1"/>
  <c r="CI3" i="67" s="1"/>
  <c r="AG4" i="67" a="1"/>
  <c r="AG4" i="67" s="1"/>
  <c r="AL4" i="67" a="1"/>
  <c r="AL4" i="67" s="1"/>
  <c r="AU4" i="67" a="1"/>
  <c r="AU4" i="67" s="1"/>
  <c r="AV4" i="67" a="1"/>
  <c r="AV4" i="67" s="1"/>
  <c r="BC4" i="67" a="1"/>
  <c r="BC4" i="67" s="1"/>
  <c r="BR4" i="67" a="1"/>
  <c r="BR4" i="67" s="1"/>
  <c r="BZ4" i="67" a="1"/>
  <c r="BZ4" i="67" s="1"/>
  <c r="CD4" i="67" a="1"/>
  <c r="CD4" i="67" s="1"/>
  <c r="CH4" i="67" a="1"/>
  <c r="CH4" i="67" s="1"/>
  <c r="AF5" i="67" a="1"/>
  <c r="AF5" i="67" s="1"/>
  <c r="AK5" i="67" a="1"/>
  <c r="AK5" i="67" s="1"/>
  <c r="BM5" i="67" a="1"/>
  <c r="BM5" i="67" s="1"/>
  <c r="AP5" i="67" a="1"/>
  <c r="AP5" i="67" s="1"/>
  <c r="AY5" i="67" a="1"/>
  <c r="AY5" i="67" s="1"/>
  <c r="BQ5" i="67" a="1"/>
  <c r="BQ5" i="67" s="1"/>
  <c r="BY5" i="67" a="1"/>
  <c r="BY5" i="67" s="1"/>
  <c r="CC5" i="67" a="1"/>
  <c r="CC5" i="67" s="1"/>
  <c r="CG5" i="67" a="1"/>
  <c r="CG5" i="67" s="1"/>
  <c r="CK5" i="67" a="1"/>
  <c r="CK5" i="67" s="1"/>
  <c r="AF2" i="67" a="1"/>
  <c r="AF2" i="67" s="1"/>
  <c r="AI3" i="67" a="1"/>
  <c r="AI3" i="67" s="1"/>
  <c r="AO3" i="67" a="1"/>
  <c r="AO3" i="67" s="1"/>
  <c r="BB3" i="67" a="1"/>
  <c r="BB3" i="67" s="1"/>
  <c r="AX3" i="67" a="1"/>
  <c r="AX3" i="67" s="1"/>
  <c r="BO3" i="67" a="1"/>
  <c r="BO3" i="67" s="1"/>
  <c r="BX3" i="67" a="1"/>
  <c r="BX3" i="67" s="1"/>
  <c r="CB3" i="67" a="1"/>
  <c r="CB3" i="67" s="1"/>
  <c r="CF3" i="67" a="1"/>
  <c r="CF3" i="67" s="1"/>
  <c r="CJ3" i="67" a="1"/>
  <c r="CJ3" i="67" s="1"/>
  <c r="AH4" i="67" a="1"/>
  <c r="AH4" i="67" s="1"/>
  <c r="AN4" i="67" a="1"/>
  <c r="AN4" i="67" s="1"/>
  <c r="AZ4" i="67" a="1"/>
  <c r="AZ4" i="67" s="1"/>
  <c r="AW4" i="67" a="1"/>
  <c r="AW4" i="67" s="1"/>
  <c r="BD4" i="67" a="1"/>
  <c r="BD4" i="67" s="1"/>
  <c r="BS4" i="67" a="1"/>
  <c r="BS4" i="67" s="1"/>
  <c r="CA4" i="67" a="1"/>
  <c r="CA4" i="67" s="1"/>
  <c r="CE4" i="67" a="1"/>
  <c r="CE4" i="67" s="1"/>
  <c r="CI4" i="67" a="1"/>
  <c r="CI4" i="67" s="1"/>
  <c r="AG5" i="67" a="1"/>
  <c r="AG5" i="67" s="1"/>
  <c r="AL5" i="67" a="1"/>
  <c r="AL5" i="67" s="1"/>
  <c r="AU5" i="67" a="1"/>
  <c r="AU5" i="67" s="1"/>
  <c r="AV5" i="67" a="1"/>
  <c r="AV5" i="67" s="1"/>
  <c r="BC5" i="67" a="1"/>
  <c r="BC5" i="67" s="1"/>
  <c r="BR5" i="67" a="1"/>
  <c r="BR5" i="67" s="1"/>
  <c r="BZ5" i="67" a="1"/>
  <c r="BZ5" i="67" s="1"/>
  <c r="CD5" i="67" a="1"/>
  <c r="CD5" i="67" s="1"/>
  <c r="CH5" i="67" a="1"/>
  <c r="CH5" i="67" s="1"/>
  <c r="AF3" i="67" a="1"/>
  <c r="AF3" i="67" s="1"/>
  <c r="AK3" i="67" a="1"/>
  <c r="AK3" i="67" s="1"/>
  <c r="BM3" i="67" a="1"/>
  <c r="BM3" i="67" s="1"/>
  <c r="AP3" i="67" a="1"/>
  <c r="AP3" i="67" s="1"/>
  <c r="AY3" i="67" a="1"/>
  <c r="AY3" i="67" s="1"/>
  <c r="BQ3" i="67" a="1"/>
  <c r="BQ3" i="67" s="1"/>
  <c r="BY3" i="67" a="1"/>
  <c r="BY3" i="67" s="1"/>
  <c r="CC3" i="67" a="1"/>
  <c r="CC3" i="67" s="1"/>
  <c r="CG3" i="67" a="1"/>
  <c r="CG3" i="67" s="1"/>
  <c r="CK3" i="67" a="1"/>
  <c r="CK3" i="67" s="1"/>
  <c r="AI4" i="67" a="1"/>
  <c r="AI4" i="67" s="1"/>
  <c r="AO4" i="67" a="1"/>
  <c r="AO4" i="67" s="1"/>
  <c r="BB4" i="67" a="1"/>
  <c r="BB4" i="67" s="1"/>
  <c r="AX4" i="67" a="1"/>
  <c r="AX4" i="67" s="1"/>
  <c r="BO4" i="67" a="1"/>
  <c r="BO4" i="67" s="1"/>
  <c r="BX4" i="67" a="1"/>
  <c r="BX4" i="67" s="1"/>
  <c r="CB4" i="67" a="1"/>
  <c r="CB4" i="67" s="1"/>
  <c r="CF4" i="67" a="1"/>
  <c r="CF4" i="67" s="1"/>
  <c r="CJ4" i="67" a="1"/>
  <c r="CJ4" i="67" s="1"/>
  <c r="AH5" i="67" a="1"/>
  <c r="AH5" i="67" s="1"/>
  <c r="AN5" i="67" a="1"/>
  <c r="AN5" i="67" s="1"/>
  <c r="AZ5" i="67" a="1"/>
  <c r="AZ5" i="67" s="1"/>
  <c r="AW5" i="67" a="1"/>
  <c r="AW5" i="67" s="1"/>
  <c r="BD5" i="67" a="1"/>
  <c r="BD5" i="67" s="1"/>
  <c r="BS5" i="67" a="1"/>
  <c r="BS5" i="67" s="1"/>
  <c r="CA5" i="67" a="1"/>
  <c r="CA5" i="67" s="1"/>
  <c r="CE5" i="67" a="1"/>
  <c r="CE5" i="67" s="1"/>
  <c r="CF8" i="67" a="1"/>
  <c r="CF8" i="67" s="1"/>
  <c r="CF9" i="67" s="1"/>
  <c r="AO3" i="70" a="1"/>
  <c r="AO3" i="70" s="1"/>
  <c r="BT3" i="70" a="1"/>
  <c r="BT3" i="70" s="1"/>
  <c r="AG4" i="70" a="1"/>
  <c r="AG4" i="70" s="1"/>
  <c r="BG4" i="70" a="1"/>
  <c r="BG4" i="70" s="1"/>
  <c r="CI4" i="70" a="1"/>
  <c r="CI4" i="70" s="1"/>
  <c r="AR5" i="70" a="1"/>
  <c r="AR5" i="70" s="1"/>
  <c r="CD5" i="70" a="1"/>
  <c r="CD5" i="70" s="1"/>
  <c r="CE8" i="70" a="1"/>
  <c r="CE8" i="70" s="1"/>
  <c r="CE9" i="70" s="1"/>
  <c r="BF3" i="70" a="1"/>
  <c r="BF3" i="70" s="1"/>
  <c r="CF3" i="70" a="1"/>
  <c r="CF3" i="70" s="1"/>
  <c r="AS4" i="70" a="1"/>
  <c r="AS4" i="70" s="1"/>
  <c r="CA4" i="70" a="1"/>
  <c r="CA4" i="70" s="1"/>
  <c r="AL5" i="70" a="1"/>
  <c r="AL5" i="70" s="1"/>
  <c r="BR5" i="70" a="1"/>
  <c r="BR5" i="70" s="1"/>
  <c r="CL5" i="70" a="1"/>
  <c r="CL5" i="70" s="1"/>
  <c r="AH3" i="70" a="1"/>
  <c r="AH3" i="70" s="1"/>
  <c r="BH3" i="70" a="1"/>
  <c r="BH3" i="70" s="1"/>
  <c r="CJ3" i="70" a="1"/>
  <c r="CJ3" i="70" s="1"/>
  <c r="AW4" i="70" a="1"/>
  <c r="AW4" i="70" s="1"/>
  <c r="CE4" i="70" a="1"/>
  <c r="CE4" i="70" s="1"/>
  <c r="BO5" i="70" a="1"/>
  <c r="BO5" i="70" s="1"/>
  <c r="CC3" i="71" a="1"/>
  <c r="CC3" i="71" s="1"/>
  <c r="AI4" i="71" a="1"/>
  <c r="AI4" i="71" s="1"/>
  <c r="BS4" i="71" a="1"/>
  <c r="BS4" i="71" s="1"/>
  <c r="BW5" i="71" a="1"/>
  <c r="BW5" i="71" s="1"/>
  <c r="CG3" i="71" a="1"/>
  <c r="CG3" i="71" s="1"/>
  <c r="AM4" i="71" a="1"/>
  <c r="AM4" i="71" s="1"/>
  <c r="CB4" i="71" a="1"/>
  <c r="CB4" i="71" s="1"/>
  <c r="CE5" i="71" a="1"/>
  <c r="CE5" i="71" s="1"/>
  <c r="CO3" i="71" a="1"/>
  <c r="CO3" i="71" s="1"/>
  <c r="BC4" i="71" a="1"/>
  <c r="BC4" i="71" s="1"/>
  <c r="AH3" i="68" a="1"/>
  <c r="AH3" i="68" s="1"/>
  <c r="CD8" i="62" a="1"/>
  <c r="CD8" i="62" s="1"/>
  <c r="CD9" i="62" s="1"/>
  <c r="AT5" i="62" a="1"/>
  <c r="AT5" i="62" s="1"/>
  <c r="AT8" i="62" a="1"/>
  <c r="AT8" i="62" s="1"/>
  <c r="AT9" i="62" s="1"/>
  <c r="CF8" i="65" a="1"/>
  <c r="CF8" i="65" s="1"/>
  <c r="CF9" i="65" s="1"/>
  <c r="AS5" i="73" a="1"/>
  <c r="AS5" i="73" s="1"/>
  <c r="CC5" i="73" a="1"/>
  <c r="CC5" i="73" s="1"/>
  <c r="CI8" i="74" a="1"/>
  <c r="CI8" i="74" s="1"/>
  <c r="CI9" i="74" s="1"/>
  <c r="BL8" i="62" a="1"/>
  <c r="BL8" i="62" s="1"/>
  <c r="BL9" i="62" s="1"/>
  <c r="BW8" i="62" a="1"/>
  <c r="BW8" i="62" s="1"/>
  <c r="BW9" i="62" s="1"/>
  <c r="CA8" i="62" a="1"/>
  <c r="CA8" i="62" s="1"/>
  <c r="CA9" i="62" s="1"/>
  <c r="BP8" i="62" a="1"/>
  <c r="BP8" i="62" s="1"/>
  <c r="BP9" i="62" s="1"/>
  <c r="BX8" i="62" a="1"/>
  <c r="BX8" i="62" s="1"/>
  <c r="BX9" i="62" s="1"/>
  <c r="CB8" i="62" a="1"/>
  <c r="CB8" i="62" s="1"/>
  <c r="CB9" i="62" s="1"/>
  <c r="BQ8" i="62" a="1"/>
  <c r="BQ8" i="62" s="1"/>
  <c r="BQ9" i="62" s="1"/>
  <c r="BY8" i="62" a="1"/>
  <c r="BY8" i="62" s="1"/>
  <c r="BY9" i="62" s="1"/>
  <c r="CD8" i="67" a="1"/>
  <c r="CD8" i="67" s="1"/>
  <c r="CD9" i="67" s="1"/>
  <c r="AK8" i="77" a="1"/>
  <c r="AK8" i="77" s="1"/>
  <c r="AK9" i="77" s="1"/>
  <c r="AQ8" i="77" a="1"/>
  <c r="AQ8" i="77" s="1"/>
  <c r="AQ9" i="77" s="1"/>
  <c r="CB8" i="77" a="1"/>
  <c r="CB8" i="77" s="1"/>
  <c r="CB9" i="77" s="1"/>
  <c r="BE4" i="76" a="1"/>
  <c r="BE4" i="76" s="1"/>
  <c r="CI4" i="76" a="1"/>
  <c r="CI4" i="76" s="1"/>
  <c r="AS5" i="76" a="1"/>
  <c r="AS5" i="76" s="1"/>
  <c r="CD5" i="76" a="1"/>
  <c r="CD5" i="76" s="1"/>
  <c r="CK5" i="76" a="1"/>
  <c r="CK5" i="76" s="1"/>
  <c r="CB8" i="76" a="1"/>
  <c r="CB8" i="76" s="1"/>
  <c r="CB9" i="76" s="1"/>
  <c r="BA3" i="76" a="1"/>
  <c r="BA3" i="76" s="1"/>
  <c r="CB3" i="76" a="1"/>
  <c r="CB3" i="76" s="1"/>
  <c r="AL4" i="76" a="1"/>
  <c r="AL4" i="76" s="1"/>
  <c r="BS4" i="76" a="1"/>
  <c r="BS4" i="76" s="1"/>
  <c r="AF5" i="76" a="1"/>
  <c r="AF5" i="76" s="1"/>
  <c r="BD5" i="76" a="1"/>
  <c r="BD5" i="76" s="1"/>
  <c r="CH5" i="76" a="1"/>
  <c r="CH5" i="76" s="1"/>
  <c r="BB4" i="76" a="1"/>
  <c r="BB4" i="76" s="1"/>
  <c r="CE4" i="76" a="1"/>
  <c r="CE4" i="76" s="1"/>
  <c r="AQ5" i="76" a="1"/>
  <c r="AQ5" i="76" s="1"/>
  <c r="BT4" i="73" a="1"/>
  <c r="BT4" i="73" s="1"/>
  <c r="BP3" i="73" a="1"/>
  <c r="BP3" i="73" s="1"/>
  <c r="CH4" i="73" a="1"/>
  <c r="CH4" i="73" s="1"/>
  <c r="BU5" i="73" a="1"/>
  <c r="BU5" i="73" s="1"/>
  <c r="CM3" i="73" a="1"/>
  <c r="CM3" i="73" s="1"/>
  <c r="O17" i="78"/>
  <c r="CI8" i="78" a="1"/>
  <c r="CI8" i="78" s="1"/>
  <c r="CI9" i="78" s="1"/>
  <c r="AJ4" i="63" a="1"/>
  <c r="AJ4" i="63" s="1"/>
  <c r="AV4" i="63" a="1"/>
  <c r="AV4" i="63" s="1"/>
  <c r="BQ4" i="63" a="1"/>
  <c r="BQ4" i="63" s="1"/>
  <c r="BQ6" i="63" s="1"/>
  <c r="BQ7" i="63" s="1"/>
  <c r="CC4" i="63" a="1"/>
  <c r="CC4" i="63" s="1"/>
  <c r="AO5" i="63" a="1"/>
  <c r="AO5" i="63" s="1"/>
  <c r="AO4" i="63" a="1"/>
  <c r="AO4" i="63" s="1"/>
  <c r="AX4" i="63" a="1"/>
  <c r="AX4" i="63" s="1"/>
  <c r="BX4" i="63" a="1"/>
  <c r="BX4" i="63" s="1"/>
  <c r="CF4" i="63" a="1"/>
  <c r="CF4" i="63" s="1"/>
  <c r="BN5" i="63" a="1"/>
  <c r="BN5" i="63" s="1"/>
  <c r="AT5" i="63" a="1"/>
  <c r="AT5" i="63" s="1"/>
  <c r="CA8" i="63" a="1"/>
  <c r="CA8" i="63" s="1"/>
  <c r="CA9" i="63" s="1"/>
  <c r="AU4" i="63" a="1"/>
  <c r="AU4" i="63" s="1"/>
  <c r="BO4" i="63" a="1"/>
  <c r="BO4" i="63" s="1"/>
  <c r="CB4" i="63" a="1"/>
  <c r="CB4" i="63" s="1"/>
  <c r="CB6" i="63" s="1"/>
  <c r="CB7" i="63" s="1"/>
  <c r="CJ8" i="79" a="1"/>
  <c r="CJ8" i="79" s="1"/>
  <c r="CJ9" i="79" s="1"/>
  <c r="CE8" i="64" a="1"/>
  <c r="CE8" i="64" s="1"/>
  <c r="CE9" i="64" s="1"/>
  <c r="AT5" i="66" a="1"/>
  <c r="AT5" i="66" s="1"/>
  <c r="AX5" i="66" a="1"/>
  <c r="AX5" i="66" s="1"/>
  <c r="BF5" i="66" a="1"/>
  <c r="BF5" i="66" s="1"/>
  <c r="AU5" i="66" a="1"/>
  <c r="AU5" i="66" s="1"/>
  <c r="AY5" i="66" a="1"/>
  <c r="AY5" i="66" s="1"/>
  <c r="BO5" i="66" a="1"/>
  <c r="BO5" i="66" s="1"/>
  <c r="BM5" i="66" a="1"/>
  <c r="BM5" i="66" s="1"/>
  <c r="CB5" i="66" a="1"/>
  <c r="CB5" i="66" s="1"/>
  <c r="CD8" i="66" a="1"/>
  <c r="CD8" i="66" s="1"/>
  <c r="CD9" i="66" s="1"/>
  <c r="AQ3" i="75" a="1"/>
  <c r="AQ3" i="75" s="1"/>
  <c r="AK3" i="68" a="1"/>
  <c r="AK3" i="68" s="1"/>
  <c r="BT3" i="68" a="1"/>
  <c r="BT3" i="68" s="1"/>
  <c r="AS3" i="68" a="1"/>
  <c r="AS3" i="68" s="1"/>
  <c r="CG8" i="60" a="1"/>
  <c r="CG8" i="60" s="1"/>
  <c r="CG9" i="60" s="1"/>
  <c r="BB3" i="69" a="1"/>
  <c r="BB3" i="69" s="1"/>
  <c r="CN3" i="69" a="1"/>
  <c r="CN3" i="69" s="1"/>
  <c r="CE4" i="69" a="1"/>
  <c r="CE4" i="69" s="1"/>
  <c r="BO3" i="69" a="1"/>
  <c r="BO3" i="69" s="1"/>
  <c r="AG4" i="69" a="1"/>
  <c r="AG4" i="69" s="1"/>
  <c r="AK5" i="69" a="1"/>
  <c r="AK5" i="69" s="1"/>
  <c r="AH3" i="69" a="1"/>
  <c r="AH3" i="69" s="1"/>
  <c r="BX3" i="69" a="1"/>
  <c r="BX3" i="69" s="1"/>
  <c r="AQ4" i="69" a="1"/>
  <c r="AQ4" i="69" s="1"/>
  <c r="CD5" i="69" a="1"/>
  <c r="CD5" i="69" s="1"/>
  <c r="CN4" i="71" a="1"/>
  <c r="CN4" i="71" s="1"/>
  <c r="AU5" i="71" a="1"/>
  <c r="AU5" i="71" s="1"/>
  <c r="CI5" i="71" a="1"/>
  <c r="CI5" i="71" s="1"/>
  <c r="AH5" i="71" a="1"/>
  <c r="AH5" i="71" s="1"/>
  <c r="BI5" i="71" a="1"/>
  <c r="BI5" i="71" s="1"/>
  <c r="CM5" i="71" a="1"/>
  <c r="CM5" i="71" s="1"/>
  <c r="CL5" i="71" a="1"/>
  <c r="CL5" i="71" s="1"/>
  <c r="CE8" i="71" a="1"/>
  <c r="CE8" i="71" s="1"/>
  <c r="CE9" i="71" s="1"/>
  <c r="CJ4" i="71" a="1"/>
  <c r="CJ4" i="71" s="1"/>
  <c r="BB5" i="71" a="1"/>
  <c r="BB5" i="71" s="1"/>
  <c r="CG5" i="62" a="1"/>
  <c r="CG5" i="62" s="1"/>
  <c r="CJ5" i="65" a="1"/>
  <c r="CJ5" i="65" s="1"/>
  <c r="CK5" i="70" a="1"/>
  <c r="CK5" i="70" s="1"/>
  <c r="CI8" i="71" a="1"/>
  <c r="CI8" i="71" s="1"/>
  <c r="CI9" i="71" s="1"/>
  <c r="BR8" i="66" a="1"/>
  <c r="BR8" i="66" s="1"/>
  <c r="BR9" i="66" s="1"/>
  <c r="AH8" i="76" a="1"/>
  <c r="AH8" i="76" s="1"/>
  <c r="AH9" i="76" s="1"/>
  <c r="BF8" i="76" a="1"/>
  <c r="BF8" i="76" s="1"/>
  <c r="BF9" i="76" s="1"/>
  <c r="AN8" i="76" a="1"/>
  <c r="AN8" i="76" s="1"/>
  <c r="AN9" i="76" s="1"/>
  <c r="BT8" i="76" a="1"/>
  <c r="BT8" i="76" s="1"/>
  <c r="BT9" i="76" s="1"/>
  <c r="BA8" i="76" a="1"/>
  <c r="BA8" i="76" s="1"/>
  <c r="BA9" i="76" s="1"/>
  <c r="BL8" i="63" a="1"/>
  <c r="BL8" i="63" s="1"/>
  <c r="BL9" i="63" s="1"/>
  <c r="AT8" i="63" a="1"/>
  <c r="AT8" i="63" s="1"/>
  <c r="AT9" i="63" s="1"/>
  <c r="AZ8" i="63" a="1"/>
  <c r="AZ8" i="63" s="1"/>
  <c r="AZ9" i="63" s="1"/>
  <c r="AK8" i="63" a="1"/>
  <c r="AK8" i="63" s="1"/>
  <c r="AK9" i="63" s="1"/>
  <c r="AW8" i="63" a="1"/>
  <c r="AW8" i="63" s="1"/>
  <c r="AW9" i="63" s="1"/>
  <c r="BR8" i="63" a="1"/>
  <c r="BR8" i="63" s="1"/>
  <c r="BR9" i="63" s="1"/>
  <c r="BS8" i="63" a="1"/>
  <c r="BS8" i="63" s="1"/>
  <c r="BS9" i="63" s="1"/>
  <c r="AN8" i="63" a="1"/>
  <c r="AN8" i="63" s="1"/>
  <c r="AN9" i="63" s="1"/>
  <c r="BN8" i="63" a="1"/>
  <c r="BN8" i="63" s="1"/>
  <c r="BN9" i="63" s="1"/>
  <c r="BZ8" i="63" a="1"/>
  <c r="BZ8" i="63" s="1"/>
  <c r="BZ9" i="63" s="1"/>
  <c r="BS5" i="63" a="1"/>
  <c r="BS5" i="63" s="1"/>
  <c r="CG4" i="63" a="1"/>
  <c r="CG4" i="63" s="1"/>
  <c r="AN5" i="63" a="1"/>
  <c r="AN5" i="63" s="1"/>
  <c r="CK4" i="63" a="1"/>
  <c r="CK4" i="63" s="1"/>
  <c r="CH8" i="60" a="1"/>
  <c r="CH8" i="60" s="1"/>
  <c r="CH9" i="60" s="1"/>
  <c r="AF3" i="65" a="1"/>
  <c r="AF3" i="65" s="1"/>
  <c r="AK3" i="65" a="1"/>
  <c r="AK3" i="65" s="1"/>
  <c r="AU3" i="65" a="1"/>
  <c r="AU3" i="65" s="1"/>
  <c r="AX3" i="65" a="1"/>
  <c r="AX3" i="65" s="1"/>
  <c r="BG3" i="65" a="1"/>
  <c r="BG3" i="65" s="1"/>
  <c r="BP3" i="65" a="1"/>
  <c r="BP3" i="65" s="1"/>
  <c r="BX3" i="65" a="1"/>
  <c r="BX3" i="65" s="1"/>
  <c r="CB3" i="65" a="1"/>
  <c r="CB3" i="65" s="1"/>
  <c r="CF3" i="65" a="1"/>
  <c r="CF3" i="65" s="1"/>
  <c r="CJ3" i="65" a="1"/>
  <c r="CJ3" i="65" s="1"/>
  <c r="AI4" i="65" a="1"/>
  <c r="AI4" i="65" s="1"/>
  <c r="AP4" i="65" a="1"/>
  <c r="AP4" i="65" s="1"/>
  <c r="AW4" i="65" a="1"/>
  <c r="AW4" i="65" s="1"/>
  <c r="BF4" i="65" a="1"/>
  <c r="BF4" i="65" s="1"/>
  <c r="BN4" i="65" a="1"/>
  <c r="BN4" i="65" s="1"/>
  <c r="BW4" i="65" a="1"/>
  <c r="BW4" i="65" s="1"/>
  <c r="BW6" i="65" s="1"/>
  <c r="BW7" i="65" s="1"/>
  <c r="CA4" i="65" a="1"/>
  <c r="CA4" i="65" s="1"/>
  <c r="CE4" i="65" a="1"/>
  <c r="CE4" i="65" s="1"/>
  <c r="CI4" i="65" a="1"/>
  <c r="CI4" i="65" s="1"/>
  <c r="AH5" i="65" a="1"/>
  <c r="AH5" i="65" s="1"/>
  <c r="AO5" i="65" a="1"/>
  <c r="AO5" i="65" s="1"/>
  <c r="BE5" i="65" a="1"/>
  <c r="BE5" i="65" s="1"/>
  <c r="AR5" i="65" a="1"/>
  <c r="AR5" i="65" s="1"/>
  <c r="AN5" i="65" a="1"/>
  <c r="AN5" i="65" s="1"/>
  <c r="BR5" i="65" a="1"/>
  <c r="BR5" i="65" s="1"/>
  <c r="BZ5" i="65" a="1"/>
  <c r="BZ5" i="65" s="1"/>
  <c r="CD5" i="65" a="1"/>
  <c r="CD5" i="65" s="1"/>
  <c r="CH5" i="65" a="1"/>
  <c r="CH5" i="65" s="1"/>
  <c r="AG3" i="65" a="1"/>
  <c r="AG3" i="65" s="1"/>
  <c r="AL3" i="65" a="1"/>
  <c r="AL3" i="65" s="1"/>
  <c r="AV3" i="65" a="1"/>
  <c r="AV3" i="65" s="1"/>
  <c r="AQ3" i="65" a="1"/>
  <c r="AQ3" i="65" s="1"/>
  <c r="BH3" i="65" a="1"/>
  <c r="BH3" i="65" s="1"/>
  <c r="BQ3" i="65" a="1"/>
  <c r="BQ3" i="65" s="1"/>
  <c r="BY3" i="65" a="1"/>
  <c r="BY3" i="65" s="1"/>
  <c r="CC3" i="65" a="1"/>
  <c r="CC3" i="65" s="1"/>
  <c r="CG3" i="65" a="1"/>
  <c r="CG3" i="65" s="1"/>
  <c r="AF4" i="65" a="1"/>
  <c r="AF4" i="65" s="1"/>
  <c r="AK4" i="65" a="1"/>
  <c r="AK4" i="65" s="1"/>
  <c r="AU4" i="65" a="1"/>
  <c r="AU4" i="65" s="1"/>
  <c r="AX4" i="65" a="1"/>
  <c r="AX4" i="65" s="1"/>
  <c r="BG4" i="65" a="1"/>
  <c r="BG4" i="65" s="1"/>
  <c r="BP4" i="65" a="1"/>
  <c r="BP4" i="65" s="1"/>
  <c r="BX4" i="65" a="1"/>
  <c r="BX4" i="65" s="1"/>
  <c r="CB4" i="65" a="1"/>
  <c r="CB4" i="65" s="1"/>
  <c r="CF4" i="65" a="1"/>
  <c r="CF4" i="65" s="1"/>
  <c r="CJ4" i="65" a="1"/>
  <c r="CJ4" i="65" s="1"/>
  <c r="AI5" i="65" a="1"/>
  <c r="AI5" i="65" s="1"/>
  <c r="AP5" i="65" a="1"/>
  <c r="AP5" i="65" s="1"/>
  <c r="AW5" i="65" a="1"/>
  <c r="AW5" i="65" s="1"/>
  <c r="BF5" i="65" a="1"/>
  <c r="BF5" i="65" s="1"/>
  <c r="BN5" i="65" a="1"/>
  <c r="BN5" i="65" s="1"/>
  <c r="BW5" i="65" a="1"/>
  <c r="BW5" i="65" s="1"/>
  <c r="CA5" i="65" a="1"/>
  <c r="CA5" i="65" s="1"/>
  <c r="CE5" i="65" a="1"/>
  <c r="CE5" i="65" s="1"/>
  <c r="CI5" i="65" a="1"/>
  <c r="CI5" i="65" s="1"/>
  <c r="AH3" i="65" a="1"/>
  <c r="AH3" i="65" s="1"/>
  <c r="AO3" i="65" a="1"/>
  <c r="AO3" i="65" s="1"/>
  <c r="BE3" i="65" a="1"/>
  <c r="BE3" i="65" s="1"/>
  <c r="AR3" i="65" a="1"/>
  <c r="AR3" i="65" s="1"/>
  <c r="AN3" i="65" a="1"/>
  <c r="AN3" i="65" s="1"/>
  <c r="BR3" i="65" a="1"/>
  <c r="BR3" i="65" s="1"/>
  <c r="BZ3" i="65" a="1"/>
  <c r="BZ3" i="65" s="1"/>
  <c r="CD3" i="65" a="1"/>
  <c r="CD3" i="65" s="1"/>
  <c r="CH3" i="65" a="1"/>
  <c r="CH3" i="65" s="1"/>
  <c r="AG4" i="65" a="1"/>
  <c r="AG4" i="65" s="1"/>
  <c r="AL4" i="65" a="1"/>
  <c r="AL4" i="65" s="1"/>
  <c r="AV4" i="65" a="1"/>
  <c r="AV4" i="65" s="1"/>
  <c r="AQ4" i="65" a="1"/>
  <c r="AQ4" i="65" s="1"/>
  <c r="BH4" i="65" a="1"/>
  <c r="BH4" i="65" s="1"/>
  <c r="BQ4" i="65" a="1"/>
  <c r="BQ4" i="65" s="1"/>
  <c r="BY4" i="65" a="1"/>
  <c r="BY4" i="65" s="1"/>
  <c r="CC4" i="65" a="1"/>
  <c r="CC4" i="65" s="1"/>
  <c r="CG4" i="65" a="1"/>
  <c r="CG4" i="65" s="1"/>
  <c r="AF5" i="65" a="1"/>
  <c r="AF5" i="65" s="1"/>
  <c r="AK5" i="65" a="1"/>
  <c r="AK5" i="65" s="1"/>
  <c r="AU5" i="65" a="1"/>
  <c r="AU5" i="65" s="1"/>
  <c r="AX5" i="65" a="1"/>
  <c r="AX5" i="65" s="1"/>
  <c r="BG5" i="65" a="1"/>
  <c r="BG5" i="65" s="1"/>
  <c r="BP5" i="65" a="1"/>
  <c r="BP5" i="65" s="1"/>
  <c r="BX5" i="65" a="1"/>
  <c r="BX5" i="65" s="1"/>
  <c r="CB5" i="65" a="1"/>
  <c r="CB5" i="65" s="1"/>
  <c r="CF5" i="65" a="1"/>
  <c r="CF5" i="65" s="1"/>
  <c r="CG8" i="65" a="1"/>
  <c r="CG8" i="65" s="1"/>
  <c r="CG9" i="65" s="1"/>
  <c r="CD3" i="71" a="1"/>
  <c r="CD3" i="71" s="1"/>
  <c r="CH3" i="71" a="1"/>
  <c r="CH3" i="71" s="1"/>
  <c r="CL3" i="71" a="1"/>
  <c r="CL3" i="71" s="1"/>
  <c r="AF4" i="71" a="1"/>
  <c r="AF4" i="71" s="1"/>
  <c r="AK4" i="71" a="1"/>
  <c r="AK4" i="71" s="1"/>
  <c r="AP4" i="71" a="1"/>
  <c r="AP4" i="71" s="1"/>
  <c r="BE4" i="71" a="1"/>
  <c r="BE4" i="71" s="1"/>
  <c r="BG4" i="71" a="1"/>
  <c r="BG4" i="71" s="1"/>
  <c r="BU4" i="71" a="1"/>
  <c r="BU4" i="71" s="1"/>
  <c r="CC4" i="71" a="1"/>
  <c r="CC4" i="71" s="1"/>
  <c r="CG4" i="71" a="1"/>
  <c r="CG4" i="71" s="1"/>
  <c r="CG6" i="71" s="1"/>
  <c r="CG7" i="71" s="1"/>
  <c r="CK4" i="71" a="1"/>
  <c r="CK4" i="71" s="1"/>
  <c r="CO4" i="71" a="1"/>
  <c r="CO4" i="71" s="1"/>
  <c r="AI5" i="71" a="1"/>
  <c r="AI5" i="71" s="1"/>
  <c r="AM5" i="71" a="1"/>
  <c r="AM5" i="71" s="1"/>
  <c r="BD5" i="71" a="1"/>
  <c r="BD5" i="71" s="1"/>
  <c r="BC5" i="71" a="1"/>
  <c r="BC5" i="71" s="1"/>
  <c r="BS5" i="71" a="1"/>
  <c r="BS5" i="71" s="1"/>
  <c r="CB5" i="71" a="1"/>
  <c r="CB5" i="71" s="1"/>
  <c r="CF5" i="71" a="1"/>
  <c r="CF5" i="71" s="1"/>
  <c r="CJ5" i="71" a="1"/>
  <c r="CJ5" i="71" s="1"/>
  <c r="CN5" i="71" a="1"/>
  <c r="CN5" i="71" s="1"/>
  <c r="BI3" i="71" a="1"/>
  <c r="BI3" i="71" s="1"/>
  <c r="BW3" i="71" a="1"/>
  <c r="BW3" i="71" s="1"/>
  <c r="CE3" i="71" a="1"/>
  <c r="CE3" i="71" s="1"/>
  <c r="CI3" i="71" a="1"/>
  <c r="CI3" i="71" s="1"/>
  <c r="CM3" i="71" a="1"/>
  <c r="CM3" i="71" s="1"/>
  <c r="AG4" i="71" a="1"/>
  <c r="AG4" i="71" s="1"/>
  <c r="AL4" i="71" a="1"/>
  <c r="AL4" i="71" s="1"/>
  <c r="AR4" i="71" a="1"/>
  <c r="AR4" i="71" s="1"/>
  <c r="BF4" i="71" a="1"/>
  <c r="BF4" i="71" s="1"/>
  <c r="BV4" i="71" a="1"/>
  <c r="BV4" i="71" s="1"/>
  <c r="CD4" i="71" a="1"/>
  <c r="CD4" i="71" s="1"/>
  <c r="CH4" i="71" a="1"/>
  <c r="CH4" i="71" s="1"/>
  <c r="CL4" i="71" a="1"/>
  <c r="CL4" i="71" s="1"/>
  <c r="AF5" i="71" a="1"/>
  <c r="AF5" i="71" s="1"/>
  <c r="AK5" i="71" a="1"/>
  <c r="AK5" i="71" s="1"/>
  <c r="AP5" i="71" a="1"/>
  <c r="AP5" i="71" s="1"/>
  <c r="BE5" i="71" a="1"/>
  <c r="BE5" i="71" s="1"/>
  <c r="BG5" i="71" a="1"/>
  <c r="BG5" i="71" s="1"/>
  <c r="BU5" i="71" a="1"/>
  <c r="BU5" i="71" s="1"/>
  <c r="CC5" i="71" a="1"/>
  <c r="CC5" i="71" s="1"/>
  <c r="CG5" i="71" a="1"/>
  <c r="CG5" i="71" s="1"/>
  <c r="CK5" i="71" a="1"/>
  <c r="CK5" i="71" s="1"/>
  <c r="CO5" i="71" a="1"/>
  <c r="CO5" i="71" s="1"/>
  <c r="CF3" i="71" a="1"/>
  <c r="CF3" i="71" s="1"/>
  <c r="CJ3" i="71" a="1"/>
  <c r="CJ3" i="71" s="1"/>
  <c r="CN3" i="71" a="1"/>
  <c r="CN3" i="71" s="1"/>
  <c r="AH4" i="71" a="1"/>
  <c r="AH4" i="71" s="1"/>
  <c r="BM4" i="71" a="1"/>
  <c r="BM4" i="71" s="1"/>
  <c r="BB4" i="71" a="1"/>
  <c r="BB4" i="71" s="1"/>
  <c r="AU4" i="71" a="1"/>
  <c r="AU4" i="71" s="1"/>
  <c r="BI4" i="71" a="1"/>
  <c r="BI4" i="71" s="1"/>
  <c r="BW4" i="71" a="1"/>
  <c r="BW4" i="71" s="1"/>
  <c r="CE4" i="71" a="1"/>
  <c r="CE4" i="71" s="1"/>
  <c r="CI4" i="71" a="1"/>
  <c r="CI4" i="71" s="1"/>
  <c r="CM4" i="71" a="1"/>
  <c r="CM4" i="71" s="1"/>
  <c r="AG5" i="71" a="1"/>
  <c r="AG5" i="71" s="1"/>
  <c r="AL5" i="71" a="1"/>
  <c r="AL5" i="71" s="1"/>
  <c r="AR5" i="71" a="1"/>
  <c r="AR5" i="71" s="1"/>
  <c r="BF5" i="71" a="1"/>
  <c r="BF5" i="71" s="1"/>
  <c r="BV5" i="71" a="1"/>
  <c r="BV5" i="71" s="1"/>
  <c r="CD5" i="71" a="1"/>
  <c r="CD5" i="71" s="1"/>
  <c r="CH5" i="71" a="1"/>
  <c r="CH5" i="71" s="1"/>
  <c r="CM8" i="71" a="1"/>
  <c r="CM8" i="71" s="1"/>
  <c r="CM9" i="71" s="1"/>
  <c r="CJ5" i="64" a="1"/>
  <c r="CJ5" i="64" s="1"/>
  <c r="CG8" i="64" a="1"/>
  <c r="CG8" i="64" s="1"/>
  <c r="CG9" i="64" s="1"/>
  <c r="AF2" i="70" a="1"/>
  <c r="AF2" i="70" s="1"/>
  <c r="AF11" i="70" s="1"/>
  <c r="AI3" i="70" a="1"/>
  <c r="AI3" i="70" s="1"/>
  <c r="AP3" i="70" a="1"/>
  <c r="AP3" i="70" s="1"/>
  <c r="AU3" i="70" a="1"/>
  <c r="AU3" i="70" s="1"/>
  <c r="BB3" i="70" a="1"/>
  <c r="BB3" i="70" s="1"/>
  <c r="BP3" i="70" a="1"/>
  <c r="BP3" i="70" s="1"/>
  <c r="BY3" i="70" a="1"/>
  <c r="BY3" i="70" s="1"/>
  <c r="CC3" i="70" a="1"/>
  <c r="CC3" i="70" s="1"/>
  <c r="CG3" i="70" a="1"/>
  <c r="CG3" i="70" s="1"/>
  <c r="CK3" i="70" a="1"/>
  <c r="CK3" i="70" s="1"/>
  <c r="AH4" i="70" a="1"/>
  <c r="AH4" i="70" s="1"/>
  <c r="AO4" i="70" a="1"/>
  <c r="AO4" i="70" s="1"/>
  <c r="AT4" i="70" a="1"/>
  <c r="AT4" i="70" s="1"/>
  <c r="BF4" i="70" a="1"/>
  <c r="BF4" i="70" s="1"/>
  <c r="BH4" i="70" a="1"/>
  <c r="BH4" i="70" s="1"/>
  <c r="BT4" i="70" a="1"/>
  <c r="BT4" i="70" s="1"/>
  <c r="CB4" i="70" a="1"/>
  <c r="CB4" i="70" s="1"/>
  <c r="CB6" i="70" s="1"/>
  <c r="CB7" i="70" s="1"/>
  <c r="CF4" i="70" a="1"/>
  <c r="CF4" i="70" s="1"/>
  <c r="CJ4" i="70" a="1"/>
  <c r="CJ4" i="70" s="1"/>
  <c r="AG5" i="70" a="1"/>
  <c r="AG5" i="70" s="1"/>
  <c r="AM5" i="70" a="1"/>
  <c r="AM5" i="70" s="1"/>
  <c r="AS5" i="70" a="1"/>
  <c r="AS5" i="70" s="1"/>
  <c r="AW5" i="70" a="1"/>
  <c r="AW5" i="70" s="1"/>
  <c r="BG5" i="70" a="1"/>
  <c r="BG5" i="70" s="1"/>
  <c r="BS5" i="70" a="1"/>
  <c r="BS5" i="70" s="1"/>
  <c r="CA5" i="70" a="1"/>
  <c r="CA5" i="70" s="1"/>
  <c r="CE5" i="70" a="1"/>
  <c r="CE5" i="70" s="1"/>
  <c r="CI5" i="70" a="1"/>
  <c r="CI5" i="70" s="1"/>
  <c r="AF3" i="70" a="1"/>
  <c r="AF3" i="70" s="1"/>
  <c r="AL3" i="70" a="1"/>
  <c r="AL3" i="70" s="1"/>
  <c r="BO3" i="70" a="1"/>
  <c r="BO3" i="70" s="1"/>
  <c r="AR3" i="70" a="1"/>
  <c r="AR3" i="70" s="1"/>
  <c r="BC3" i="70" a="1"/>
  <c r="BC3" i="70" s="1"/>
  <c r="BR3" i="70" a="1"/>
  <c r="BR3" i="70" s="1"/>
  <c r="BZ3" i="70" a="1"/>
  <c r="BZ3" i="70" s="1"/>
  <c r="CD3" i="70" a="1"/>
  <c r="CD3" i="70" s="1"/>
  <c r="CH3" i="70" a="1"/>
  <c r="CH3" i="70" s="1"/>
  <c r="CL3" i="70" a="1"/>
  <c r="CL3" i="70" s="1"/>
  <c r="AI4" i="70" a="1"/>
  <c r="AI4" i="70" s="1"/>
  <c r="AP4" i="70" a="1"/>
  <c r="AP4" i="70" s="1"/>
  <c r="AU4" i="70" a="1"/>
  <c r="AU4" i="70" s="1"/>
  <c r="BB4" i="70" a="1"/>
  <c r="BB4" i="70" s="1"/>
  <c r="BP4" i="70" a="1"/>
  <c r="BP4" i="70" s="1"/>
  <c r="BY4" i="70" a="1"/>
  <c r="BY4" i="70" s="1"/>
  <c r="CC4" i="70" a="1"/>
  <c r="CC4" i="70" s="1"/>
  <c r="CG4" i="70" a="1"/>
  <c r="CG4" i="70" s="1"/>
  <c r="CK4" i="70" a="1"/>
  <c r="CK4" i="70" s="1"/>
  <c r="AH5" i="70" a="1"/>
  <c r="AH5" i="70" s="1"/>
  <c r="AO5" i="70" a="1"/>
  <c r="AO5" i="70" s="1"/>
  <c r="AT5" i="70" a="1"/>
  <c r="AT5" i="70" s="1"/>
  <c r="BF5" i="70" a="1"/>
  <c r="BF5" i="70" s="1"/>
  <c r="BH5" i="70" a="1"/>
  <c r="BH5" i="70" s="1"/>
  <c r="BT5" i="70" a="1"/>
  <c r="BT5" i="70" s="1"/>
  <c r="CB5" i="70" a="1"/>
  <c r="CB5" i="70" s="1"/>
  <c r="CF5" i="70" a="1"/>
  <c r="CF5" i="70" s="1"/>
  <c r="CJ5" i="70" a="1"/>
  <c r="CJ5" i="70" s="1"/>
  <c r="CF8" i="70" a="1"/>
  <c r="CF8" i="70" s="1"/>
  <c r="CF9" i="70" s="1"/>
  <c r="AG3" i="70" a="1"/>
  <c r="AG3" i="70" s="1"/>
  <c r="AM3" i="70" a="1"/>
  <c r="AM3" i="70" s="1"/>
  <c r="AS3" i="70" a="1"/>
  <c r="AS3" i="70" s="1"/>
  <c r="AW3" i="70" a="1"/>
  <c r="AW3" i="70" s="1"/>
  <c r="BG3" i="70" a="1"/>
  <c r="BG3" i="70" s="1"/>
  <c r="BS3" i="70" a="1"/>
  <c r="BS3" i="70" s="1"/>
  <c r="CA3" i="70" a="1"/>
  <c r="CA3" i="70" s="1"/>
  <c r="CE3" i="70" a="1"/>
  <c r="CE3" i="70" s="1"/>
  <c r="CI3" i="70" a="1"/>
  <c r="CI3" i="70" s="1"/>
  <c r="AF4" i="70" a="1"/>
  <c r="AF4" i="70" s="1"/>
  <c r="AL4" i="70" a="1"/>
  <c r="AL4" i="70" s="1"/>
  <c r="BO4" i="70" a="1"/>
  <c r="BO4" i="70" s="1"/>
  <c r="AR4" i="70" a="1"/>
  <c r="AR4" i="70" s="1"/>
  <c r="BC4" i="70" a="1"/>
  <c r="BC4" i="70" s="1"/>
  <c r="BR4" i="70" a="1"/>
  <c r="BR4" i="70" s="1"/>
  <c r="BZ4" i="70" a="1"/>
  <c r="BZ4" i="70" s="1"/>
  <c r="CD4" i="70" a="1"/>
  <c r="CD4" i="70" s="1"/>
  <c r="CH4" i="70" a="1"/>
  <c r="CH4" i="70" s="1"/>
  <c r="CL4" i="70" a="1"/>
  <c r="CL4" i="70" s="1"/>
  <c r="AI5" i="70" a="1"/>
  <c r="AI5" i="70" s="1"/>
  <c r="AP5" i="70" a="1"/>
  <c r="AP5" i="70" s="1"/>
  <c r="AU5" i="70" a="1"/>
  <c r="AU5" i="70" s="1"/>
  <c r="BB5" i="70" a="1"/>
  <c r="BB5" i="70" s="1"/>
  <c r="BP5" i="70" a="1"/>
  <c r="BP5" i="70" s="1"/>
  <c r="BY5" i="70" a="1"/>
  <c r="BY5" i="70" s="1"/>
  <c r="CC5" i="70" a="1"/>
  <c r="CC5" i="70" s="1"/>
  <c r="CG5" i="70" a="1"/>
  <c r="CG5" i="70" s="1"/>
  <c r="BX5" i="66" a="1"/>
  <c r="BX5" i="66" s="1"/>
  <c r="CF5" i="66" a="1"/>
  <c r="CF5" i="66" s="1"/>
  <c r="CI5" i="66" a="1"/>
  <c r="CI5" i="66" s="1"/>
  <c r="BA5" i="66" a="1"/>
  <c r="BA5" i="66" s="1"/>
  <c r="BQ5" i="66" a="1"/>
  <c r="BQ5" i="66" s="1"/>
  <c r="BY5" i="66" a="1"/>
  <c r="BY5" i="66" s="1"/>
  <c r="CJ5" i="66" a="1"/>
  <c r="CJ5" i="66" s="1"/>
  <c r="BS5" i="66" a="1"/>
  <c r="BS5" i="66" s="1"/>
  <c r="AP13" i="62"/>
  <c r="CG8" i="62" a="1"/>
  <c r="CG8" i="62" s="1"/>
  <c r="CG9" i="62" s="1"/>
  <c r="AG3" i="62" a="1"/>
  <c r="AG3" i="62" s="1"/>
  <c r="AK3" i="62" a="1"/>
  <c r="AK3" i="62" s="1"/>
  <c r="AQ3" i="62" a="1"/>
  <c r="AQ3" i="62" s="1"/>
  <c r="BA3" i="62" a="1"/>
  <c r="BA3" i="62" s="1"/>
  <c r="AX3" i="62" a="1"/>
  <c r="AX3" i="62" s="1"/>
  <c r="BQ3" i="62" a="1"/>
  <c r="BQ3" i="62" s="1"/>
  <c r="BY3" i="62" a="1"/>
  <c r="BY3" i="62" s="1"/>
  <c r="CC3" i="62" a="1"/>
  <c r="CC3" i="62" s="1"/>
  <c r="CG3" i="62" a="1"/>
  <c r="CG3" i="62" s="1"/>
  <c r="AF4" i="62" a="1"/>
  <c r="AF4" i="62" s="1"/>
  <c r="BM4" i="62" a="1"/>
  <c r="BM4" i="62" s="1"/>
  <c r="AP4" i="62" a="1"/>
  <c r="AP4" i="62" s="1"/>
  <c r="BN4" i="62" a="1"/>
  <c r="BN4" i="62" s="1"/>
  <c r="AZ4" i="62" a="1"/>
  <c r="AZ4" i="62" s="1"/>
  <c r="BP4" i="62" a="1"/>
  <c r="BP4" i="62" s="1"/>
  <c r="BX4" i="62" a="1"/>
  <c r="BX4" i="62" s="1"/>
  <c r="CB4" i="62" a="1"/>
  <c r="CB4" i="62" s="1"/>
  <c r="CF4" i="62" a="1"/>
  <c r="CF4" i="62" s="1"/>
  <c r="CJ4" i="62" a="1"/>
  <c r="CJ4" i="62" s="1"/>
  <c r="CJ6" i="62" s="1"/>
  <c r="CJ7" i="62" s="1"/>
  <c r="AI5" i="62" a="1"/>
  <c r="AI5" i="62" s="1"/>
  <c r="AN5" i="62" a="1"/>
  <c r="AN5" i="62" s="1"/>
  <c r="BC5" i="62" a="1"/>
  <c r="BC5" i="62" s="1"/>
  <c r="AW5" i="62" a="1"/>
  <c r="AW5" i="62" s="1"/>
  <c r="BL5" i="62" a="1"/>
  <c r="BL5" i="62" s="1"/>
  <c r="BW5" i="62" a="1"/>
  <c r="BW5" i="62" s="1"/>
  <c r="CA5" i="62" a="1"/>
  <c r="CA5" i="62" s="1"/>
  <c r="CE5" i="62" a="1"/>
  <c r="CE5" i="62" s="1"/>
  <c r="CI5" i="62" a="1"/>
  <c r="CI5" i="62" s="1"/>
  <c r="AH3" i="62" a="1"/>
  <c r="AH3" i="62" s="1"/>
  <c r="AM3" i="62" a="1"/>
  <c r="AM3" i="62" s="1"/>
  <c r="AR3" i="62" a="1"/>
  <c r="AR3" i="62" s="1"/>
  <c r="AT3" i="62" a="1"/>
  <c r="AT3" i="62" s="1"/>
  <c r="BD3" i="62" a="1"/>
  <c r="BD3" i="62" s="1"/>
  <c r="BR3" i="62" a="1"/>
  <c r="BR3" i="62" s="1"/>
  <c r="BZ3" i="62" a="1"/>
  <c r="BZ3" i="62" s="1"/>
  <c r="CD3" i="62" a="1"/>
  <c r="CD3" i="62" s="1"/>
  <c r="CH3" i="62" a="1"/>
  <c r="CH3" i="62" s="1"/>
  <c r="AG4" i="62" a="1"/>
  <c r="AG4" i="62" s="1"/>
  <c r="AK4" i="62" a="1"/>
  <c r="AK4" i="62" s="1"/>
  <c r="AQ4" i="62" a="1"/>
  <c r="AQ4" i="62" s="1"/>
  <c r="BA4" i="62" a="1"/>
  <c r="BA4" i="62" s="1"/>
  <c r="AX4" i="62" a="1"/>
  <c r="AX4" i="62" s="1"/>
  <c r="BQ4" i="62" a="1"/>
  <c r="BQ4" i="62" s="1"/>
  <c r="BY4" i="62" a="1"/>
  <c r="BY4" i="62" s="1"/>
  <c r="CC4" i="62" a="1"/>
  <c r="CC4" i="62" s="1"/>
  <c r="CG4" i="62" a="1"/>
  <c r="CG4" i="62" s="1"/>
  <c r="AF5" i="62" a="1"/>
  <c r="AF5" i="62" s="1"/>
  <c r="BM5" i="62" a="1"/>
  <c r="BM5" i="62" s="1"/>
  <c r="AP5" i="62" a="1"/>
  <c r="AP5" i="62" s="1"/>
  <c r="BN5" i="62" a="1"/>
  <c r="BN5" i="62" s="1"/>
  <c r="AZ5" i="62" a="1"/>
  <c r="AZ5" i="62" s="1"/>
  <c r="BP5" i="62" a="1"/>
  <c r="BP5" i="62" s="1"/>
  <c r="BX5" i="62" a="1"/>
  <c r="BX5" i="62" s="1"/>
  <c r="CB5" i="62" a="1"/>
  <c r="CB5" i="62" s="1"/>
  <c r="CF5" i="62" a="1"/>
  <c r="CF5" i="62" s="1"/>
  <c r="CJ5" i="62" a="1"/>
  <c r="CJ5" i="62" s="1"/>
  <c r="AF2" i="62" a="1"/>
  <c r="AF2" i="62" s="1"/>
  <c r="AF11" i="62" s="1"/>
  <c r="AI3" i="62" a="1"/>
  <c r="AI3" i="62" s="1"/>
  <c r="AN3" i="62" a="1"/>
  <c r="AN3" i="62" s="1"/>
  <c r="BC3" i="62" a="1"/>
  <c r="BC3" i="62" s="1"/>
  <c r="AW3" i="62" a="1"/>
  <c r="AW3" i="62" s="1"/>
  <c r="BL3" i="62" a="1"/>
  <c r="BL3" i="62" s="1"/>
  <c r="BL6" i="62" s="1"/>
  <c r="BL7" i="62" s="1"/>
  <c r="BW3" i="62" a="1"/>
  <c r="BW3" i="62" s="1"/>
  <c r="BW6" i="62" s="1"/>
  <c r="BW7" i="62" s="1"/>
  <c r="CA3" i="62" a="1"/>
  <c r="CA3" i="62" s="1"/>
  <c r="CE3" i="62" a="1"/>
  <c r="CE3" i="62" s="1"/>
  <c r="CI3" i="62" a="1"/>
  <c r="CI3" i="62" s="1"/>
  <c r="AH4" i="62" a="1"/>
  <c r="AH4" i="62" s="1"/>
  <c r="AM4" i="62" a="1"/>
  <c r="AM4" i="62" s="1"/>
  <c r="AR4" i="62" a="1"/>
  <c r="AR4" i="62" s="1"/>
  <c r="AT4" i="62" a="1"/>
  <c r="AT4" i="62" s="1"/>
  <c r="BD4" i="62" a="1"/>
  <c r="BD4" i="62" s="1"/>
  <c r="BR4" i="62" a="1"/>
  <c r="BR4" i="62" s="1"/>
  <c r="BZ4" i="62" a="1"/>
  <c r="BZ4" i="62" s="1"/>
  <c r="CD4" i="62" a="1"/>
  <c r="CD4" i="62" s="1"/>
  <c r="CH4" i="62" a="1"/>
  <c r="CH4" i="62" s="1"/>
  <c r="AG5" i="62" a="1"/>
  <c r="AG5" i="62" s="1"/>
  <c r="AK5" i="62" a="1"/>
  <c r="AK5" i="62" s="1"/>
  <c r="AQ5" i="62" a="1"/>
  <c r="AQ5" i="62" s="1"/>
  <c r="BA5" i="62" a="1"/>
  <c r="BA5" i="62" s="1"/>
  <c r="AX5" i="62" a="1"/>
  <c r="AX5" i="62" s="1"/>
  <c r="BQ5" i="62" a="1"/>
  <c r="BQ5" i="62" s="1"/>
  <c r="BY5" i="62" a="1"/>
  <c r="BY5" i="62" s="1"/>
  <c r="CC5" i="62" a="1"/>
  <c r="CC5" i="62" s="1"/>
  <c r="AF2" i="75" a="1"/>
  <c r="AF2" i="75" s="1"/>
  <c r="AF11" i="75" s="1"/>
  <c r="CH8" i="75" a="1"/>
  <c r="CH8" i="75" s="1"/>
  <c r="CH9" i="75" s="1"/>
  <c r="AO3" i="73" a="1"/>
  <c r="AO3" i="73" s="1"/>
  <c r="CA3" i="73" a="1"/>
  <c r="CA3" i="73" s="1"/>
  <c r="AI4" i="73" a="1"/>
  <c r="AI4" i="73" s="1"/>
  <c r="BM4" i="73" a="1"/>
  <c r="BM4" i="73" s="1"/>
  <c r="CL4" i="73" a="1"/>
  <c r="CL4" i="73" s="1"/>
  <c r="AV5" i="73" a="1"/>
  <c r="AV5" i="73" s="1"/>
  <c r="CG5" i="73" a="1"/>
  <c r="CG5" i="73" s="1"/>
  <c r="BL3" i="73" a="1"/>
  <c r="BL3" i="73" s="1"/>
  <c r="CE3" i="73" a="1"/>
  <c r="CE3" i="73" s="1"/>
  <c r="AM4" i="73" a="1"/>
  <c r="AM4" i="73" s="1"/>
  <c r="BZ4" i="73" a="1"/>
  <c r="BZ4" i="73" s="1"/>
  <c r="AH5" i="73" a="1"/>
  <c r="AH5" i="73" s="1"/>
  <c r="BB5" i="73" a="1"/>
  <c r="BB5" i="73" s="1"/>
  <c r="CK5" i="73" a="1"/>
  <c r="CK5" i="73" s="1"/>
  <c r="AF3" i="73" a="1"/>
  <c r="AF3" i="73" s="1"/>
  <c r="AZ3" i="73" a="1"/>
  <c r="AZ3" i="73" s="1"/>
  <c r="CI3" i="73" a="1"/>
  <c r="CI3" i="73" s="1"/>
  <c r="AL4" i="73" a="1"/>
  <c r="AL4" i="73" s="1"/>
  <c r="CD4" i="73" a="1"/>
  <c r="CD4" i="73" s="1"/>
  <c r="BN5" i="73" a="1"/>
  <c r="BN5" i="73" s="1"/>
  <c r="CJ5" i="73" a="1"/>
  <c r="CJ5" i="73" s="1"/>
  <c r="CI8" i="73" a="1"/>
  <c r="CI8" i="73" s="1"/>
  <c r="CI9" i="73" s="1"/>
  <c r="AG3" i="68" a="1"/>
  <c r="AG3" i="68" s="1"/>
  <c r="AP3" i="68" a="1"/>
  <c r="AP3" i="68" s="1"/>
  <c r="CC3" i="68" a="1"/>
  <c r="CC3" i="68" s="1"/>
  <c r="AF3" i="68" a="1"/>
  <c r="AF3" i="68" s="1"/>
  <c r="AN3" i="68" a="1"/>
  <c r="AN3" i="68" s="1"/>
  <c r="BC3" i="68" a="1"/>
  <c r="BC3" i="68" s="1"/>
  <c r="AL3" i="68" a="1"/>
  <c r="AL3" i="68" s="1"/>
  <c r="BO3" i="68" a="1"/>
  <c r="BO3" i="68" s="1"/>
  <c r="BB3" i="68" a="1"/>
  <c r="BB3" i="68" s="1"/>
  <c r="AF2" i="68" a="1"/>
  <c r="AF2" i="68" s="1"/>
  <c r="AF13" i="68" s="1"/>
  <c r="AI3" i="68" a="1"/>
  <c r="AI3" i="68" s="1"/>
  <c r="AT3" i="68" a="1"/>
  <c r="AT3" i="68" s="1"/>
  <c r="AU3" i="68" a="1"/>
  <c r="AU3" i="68" s="1"/>
  <c r="CF8" i="77" a="1"/>
  <c r="CF8" i="77" s="1"/>
  <c r="CF9" i="77" s="1"/>
  <c r="AF2" i="76" a="1"/>
  <c r="AF2" i="76" s="1"/>
  <c r="AF13" i="76" s="1"/>
  <c r="AI3" i="76" a="1"/>
  <c r="AI3" i="76" s="1"/>
  <c r="AO3" i="76" a="1"/>
  <c r="AO3" i="76" s="1"/>
  <c r="BC3" i="76" a="1"/>
  <c r="BC3" i="76" s="1"/>
  <c r="AZ3" i="76" a="1"/>
  <c r="AZ3" i="76" s="1"/>
  <c r="BP3" i="76" a="1"/>
  <c r="BP3" i="76" s="1"/>
  <c r="BY3" i="76" a="1"/>
  <c r="BY3" i="76" s="1"/>
  <c r="CC3" i="76" a="1"/>
  <c r="CC3" i="76" s="1"/>
  <c r="CG3" i="76" a="1"/>
  <c r="CG3" i="76" s="1"/>
  <c r="CK3" i="76" a="1"/>
  <c r="CK3" i="76" s="1"/>
  <c r="AH4" i="76" a="1"/>
  <c r="AH4" i="76" s="1"/>
  <c r="AN4" i="76" a="1"/>
  <c r="AN4" i="76" s="1"/>
  <c r="BA4" i="76" a="1"/>
  <c r="BA4" i="76" s="1"/>
  <c r="AU4" i="76" a="1"/>
  <c r="AU4" i="76" s="1"/>
  <c r="BF4" i="76" a="1"/>
  <c r="BF4" i="76" s="1"/>
  <c r="BT4" i="76" a="1"/>
  <c r="BT4" i="76" s="1"/>
  <c r="CB4" i="76" a="1"/>
  <c r="CB4" i="76" s="1"/>
  <c r="CF4" i="76" a="1"/>
  <c r="CF4" i="76" s="1"/>
  <c r="CJ4" i="76" a="1"/>
  <c r="CJ4" i="76" s="1"/>
  <c r="AG5" i="76" a="1"/>
  <c r="AG5" i="76" s="1"/>
  <c r="AL5" i="76" a="1"/>
  <c r="AL5" i="76" s="1"/>
  <c r="AR5" i="76" a="1"/>
  <c r="AR5" i="76" s="1"/>
  <c r="BB5" i="76" a="1"/>
  <c r="BB5" i="76" s="1"/>
  <c r="BE5" i="76" a="1"/>
  <c r="BE5" i="76" s="1"/>
  <c r="BS5" i="76" a="1"/>
  <c r="BS5" i="76" s="1"/>
  <c r="CA5" i="76" a="1"/>
  <c r="CA5" i="76" s="1"/>
  <c r="CE5" i="76" a="1"/>
  <c r="CE5" i="76" s="1"/>
  <c r="CI5" i="76" a="1"/>
  <c r="CI5" i="76" s="1"/>
  <c r="AF3" i="76" a="1"/>
  <c r="AF3" i="76" s="1"/>
  <c r="AK3" i="76" a="1"/>
  <c r="AK3" i="76" s="1"/>
  <c r="AQ3" i="76" a="1"/>
  <c r="AQ3" i="76" s="1"/>
  <c r="AS3" i="76" a="1"/>
  <c r="AS3" i="76" s="1"/>
  <c r="BD3" i="76" a="1"/>
  <c r="BD3" i="76" s="1"/>
  <c r="BR3" i="76" a="1"/>
  <c r="BR3" i="76" s="1"/>
  <c r="BZ3" i="76" a="1"/>
  <c r="BZ3" i="76" s="1"/>
  <c r="CD3" i="76" a="1"/>
  <c r="CD3" i="76" s="1"/>
  <c r="CH3" i="76" a="1"/>
  <c r="CH3" i="76" s="1"/>
  <c r="CL3" i="76" a="1"/>
  <c r="CL3" i="76" s="1"/>
  <c r="AI4" i="76" a="1"/>
  <c r="AI4" i="76" s="1"/>
  <c r="AO4" i="76" a="1"/>
  <c r="AO4" i="76" s="1"/>
  <c r="BC4" i="76" a="1"/>
  <c r="BC4" i="76" s="1"/>
  <c r="AZ4" i="76" a="1"/>
  <c r="AZ4" i="76" s="1"/>
  <c r="BP4" i="76" a="1"/>
  <c r="BP4" i="76" s="1"/>
  <c r="BY4" i="76" a="1"/>
  <c r="BY4" i="76" s="1"/>
  <c r="CC4" i="76" a="1"/>
  <c r="CC4" i="76" s="1"/>
  <c r="CG4" i="76" a="1"/>
  <c r="CG4" i="76" s="1"/>
  <c r="CK4" i="76" a="1"/>
  <c r="CK4" i="76" s="1"/>
  <c r="AH5" i="76" a="1"/>
  <c r="AH5" i="76" s="1"/>
  <c r="AN5" i="76" a="1"/>
  <c r="AN5" i="76" s="1"/>
  <c r="BA5" i="76" a="1"/>
  <c r="BA5" i="76" s="1"/>
  <c r="AU5" i="76" a="1"/>
  <c r="AU5" i="76" s="1"/>
  <c r="BF5" i="76" a="1"/>
  <c r="BF5" i="76" s="1"/>
  <c r="BT5" i="76" a="1"/>
  <c r="BT5" i="76" s="1"/>
  <c r="CB5" i="76" a="1"/>
  <c r="CB5" i="76" s="1"/>
  <c r="CF5" i="76" a="1"/>
  <c r="CF5" i="76" s="1"/>
  <c r="CJ5" i="76" a="1"/>
  <c r="CJ5" i="76" s="1"/>
  <c r="CI8" i="76" a="1"/>
  <c r="CI8" i="76" s="1"/>
  <c r="CI9" i="76" s="1"/>
  <c r="AG3" i="76" a="1"/>
  <c r="AG3" i="76" s="1"/>
  <c r="AL3" i="76" a="1"/>
  <c r="AL3" i="76" s="1"/>
  <c r="AR3" i="76" a="1"/>
  <c r="AR3" i="76" s="1"/>
  <c r="BB3" i="76" a="1"/>
  <c r="BB3" i="76" s="1"/>
  <c r="BE3" i="76" a="1"/>
  <c r="BE3" i="76" s="1"/>
  <c r="BS3" i="76" a="1"/>
  <c r="BS3" i="76" s="1"/>
  <c r="CA3" i="76" a="1"/>
  <c r="CA3" i="76" s="1"/>
  <c r="CE3" i="76" a="1"/>
  <c r="CE3" i="76" s="1"/>
  <c r="CI3" i="76" a="1"/>
  <c r="CI3" i="76" s="1"/>
  <c r="AF4" i="76" a="1"/>
  <c r="AF4" i="76" s="1"/>
  <c r="AK4" i="76" a="1"/>
  <c r="AK4" i="76" s="1"/>
  <c r="AQ4" i="76" a="1"/>
  <c r="AQ4" i="76" s="1"/>
  <c r="AS4" i="76" a="1"/>
  <c r="AS4" i="76" s="1"/>
  <c r="BD4" i="76" a="1"/>
  <c r="BD4" i="76" s="1"/>
  <c r="BR4" i="76" a="1"/>
  <c r="BR4" i="76" s="1"/>
  <c r="BZ4" i="76" a="1"/>
  <c r="BZ4" i="76" s="1"/>
  <c r="CD4" i="76" a="1"/>
  <c r="CD4" i="76" s="1"/>
  <c r="CH4" i="76" a="1"/>
  <c r="CH4" i="76" s="1"/>
  <c r="CL4" i="76" a="1"/>
  <c r="CL4" i="76" s="1"/>
  <c r="AI5" i="76" a="1"/>
  <c r="AI5" i="76" s="1"/>
  <c r="AO5" i="76" a="1"/>
  <c r="AO5" i="76" s="1"/>
  <c r="BC5" i="76" a="1"/>
  <c r="BC5" i="76" s="1"/>
  <c r="AZ5" i="76" a="1"/>
  <c r="AZ5" i="76" s="1"/>
  <c r="BP5" i="76" a="1"/>
  <c r="BP5" i="76" s="1"/>
  <c r="BY5" i="76" a="1"/>
  <c r="BY5" i="76" s="1"/>
  <c r="CC5" i="76" a="1"/>
  <c r="CC5" i="76" s="1"/>
  <c r="CG5" i="76" a="1"/>
  <c r="CG5" i="76" s="1"/>
  <c r="CI5" i="61" a="1"/>
  <c r="CI5" i="61" s="1"/>
  <c r="CF8" i="61" a="1"/>
  <c r="CF8" i="61" s="1"/>
  <c r="CF9" i="61" s="1"/>
  <c r="AY13" i="78"/>
  <c r="BJ13" i="78"/>
  <c r="AT13" i="78"/>
  <c r="CJ8" i="78" a="1"/>
  <c r="CJ8" i="78" s="1"/>
  <c r="CJ9" i="78" s="1"/>
  <c r="CM8" i="79" a="1"/>
  <c r="CM8" i="79" s="1"/>
  <c r="CM9" i="79" s="1"/>
  <c r="AM13" i="74"/>
  <c r="AX13" i="74"/>
  <c r="BZ13" i="74"/>
  <c r="CH13" i="74"/>
  <c r="CM4" i="69" a="1"/>
  <c r="CM4" i="69" s="1"/>
  <c r="BA5" i="69" a="1"/>
  <c r="BA5" i="69" s="1"/>
  <c r="CH5" i="69" a="1"/>
  <c r="CH5" i="69" s="1"/>
  <c r="CO5" i="69" a="1"/>
  <c r="CO5" i="69" s="1"/>
  <c r="CM8" i="69" a="1"/>
  <c r="CM8" i="69" s="1"/>
  <c r="CM9" i="69" s="1"/>
  <c r="AS3" i="69" a="1"/>
  <c r="AS3" i="69" s="1"/>
  <c r="CF3" i="69" a="1"/>
  <c r="CF3" i="69" s="1"/>
  <c r="BQ4" i="69" a="1"/>
  <c r="BQ4" i="69" s="1"/>
  <c r="BW4" i="69" a="1"/>
  <c r="BW4" i="69" s="1"/>
  <c r="AF5" i="69" a="1"/>
  <c r="AF5" i="69" s="1"/>
  <c r="AY5" i="69" a="1"/>
  <c r="AY5" i="69" s="1"/>
  <c r="CL5" i="69" a="1"/>
  <c r="CL5" i="69" s="1"/>
  <c r="AU4" i="69" a="1"/>
  <c r="AU4" i="69" s="1"/>
  <c r="CI4" i="69" a="1"/>
  <c r="CI4" i="69" s="1"/>
  <c r="AP5" i="69" a="1"/>
  <c r="AP5" i="69" s="1"/>
  <c r="AG14" i="74"/>
  <c r="CG8" i="74" a="1"/>
  <c r="CG8" i="74" s="1"/>
  <c r="CG9" i="74" s="1"/>
  <c r="AG4" i="68" a="1"/>
  <c r="AG4" i="68" s="1"/>
  <c r="BU8" i="68" a="1"/>
  <c r="BU8" i="68" s="1"/>
  <c r="BU9" i="68" s="1"/>
  <c r="AG8" i="76" a="1"/>
  <c r="AG8" i="76" s="1"/>
  <c r="AG9" i="76" s="1"/>
  <c r="AL8" i="76" a="1"/>
  <c r="AL8" i="76" s="1"/>
  <c r="AL9" i="76" s="1"/>
  <c r="AR8" i="76" a="1"/>
  <c r="AR8" i="76" s="1"/>
  <c r="AR9" i="76" s="1"/>
  <c r="BB8" i="76" a="1"/>
  <c r="BB8" i="76" s="1"/>
  <c r="BB9" i="76" s="1"/>
  <c r="BE8" i="76" a="1"/>
  <c r="BE8" i="76" s="1"/>
  <c r="BE9" i="76" s="1"/>
  <c r="BS8" i="76" a="1"/>
  <c r="BS8" i="76" s="1"/>
  <c r="BS9" i="76" s="1"/>
  <c r="CA8" i="76" a="1"/>
  <c r="CA8" i="76" s="1"/>
  <c r="CA9" i="76" s="1"/>
  <c r="CE8" i="76" a="1"/>
  <c r="CE8" i="76" s="1"/>
  <c r="CE9" i="76" s="1"/>
  <c r="AI8" i="76" a="1"/>
  <c r="AI8" i="76" s="1"/>
  <c r="AI9" i="76" s="1"/>
  <c r="AO8" i="76" a="1"/>
  <c r="AO8" i="76" s="1"/>
  <c r="AO9" i="76" s="1"/>
  <c r="BC8" i="76" a="1"/>
  <c r="BC8" i="76" s="1"/>
  <c r="BC9" i="76" s="1"/>
  <c r="AZ8" i="76" a="1"/>
  <c r="AZ8" i="76" s="1"/>
  <c r="AZ9" i="76" s="1"/>
  <c r="BP8" i="76" a="1"/>
  <c r="BP8" i="76" s="1"/>
  <c r="BP9" i="76" s="1"/>
  <c r="BY8" i="76" a="1"/>
  <c r="BY8" i="76" s="1"/>
  <c r="BY9" i="76" s="1"/>
  <c r="CC8" i="76" a="1"/>
  <c r="CC8" i="76" s="1"/>
  <c r="CC9" i="76" s="1"/>
  <c r="CG8" i="76" a="1"/>
  <c r="CG8" i="76" s="1"/>
  <c r="CG9" i="76" s="1"/>
  <c r="AF8" i="76" a="1"/>
  <c r="AF8" i="76" s="1"/>
  <c r="AK8" i="76" a="1"/>
  <c r="AK8" i="76" s="1"/>
  <c r="AK9" i="76" s="1"/>
  <c r="AQ8" i="76" a="1"/>
  <c r="AQ8" i="76" s="1"/>
  <c r="AQ9" i="76" s="1"/>
  <c r="AS8" i="76" a="1"/>
  <c r="AS8" i="76" s="1"/>
  <c r="AS9" i="76" s="1"/>
  <c r="BD8" i="76" a="1"/>
  <c r="BD8" i="76" s="1"/>
  <c r="BD9" i="76" s="1"/>
  <c r="BR8" i="76" a="1"/>
  <c r="BR8" i="76" s="1"/>
  <c r="BR9" i="76" s="1"/>
  <c r="BZ8" i="76" a="1"/>
  <c r="BZ8" i="76" s="1"/>
  <c r="BZ9" i="76" s="1"/>
  <c r="CD8" i="76" a="1"/>
  <c r="CD8" i="76" s="1"/>
  <c r="CD9" i="76" s="1"/>
  <c r="CH8" i="76" a="1"/>
  <c r="CH8" i="76" s="1"/>
  <c r="CH9" i="76" s="1"/>
  <c r="CK8" i="74" a="1"/>
  <c r="CK8" i="74" s="1"/>
  <c r="CK9" i="74" s="1"/>
  <c r="CD8" i="65" a="1"/>
  <c r="CD8" i="65" s="1"/>
  <c r="CD9" i="65" s="1"/>
  <c r="AN8" i="68" a="1"/>
  <c r="AN8" i="68" s="1"/>
  <c r="AN9" i="68" s="1"/>
  <c r="BD8" i="68" a="1"/>
  <c r="BD8" i="68" s="1"/>
  <c r="BD9" i="68" s="1"/>
  <c r="BQ8" i="73" a="1"/>
  <c r="BQ8" i="73" s="1"/>
  <c r="BQ9" i="73" s="1"/>
  <c r="BJ8" i="73" a="1"/>
  <c r="BJ8" i="73" s="1"/>
  <c r="BJ9" i="73" s="1"/>
  <c r="CO8" i="72" a="1"/>
  <c r="CO8" i="72" s="1"/>
  <c r="CO9" i="72" s="1"/>
  <c r="CF8" i="60" a="1"/>
  <c r="CF8" i="60" s="1"/>
  <c r="CF9" i="60" s="1"/>
  <c r="CC8" i="78" a="1"/>
  <c r="CC8" i="78" s="1"/>
  <c r="CC9" i="78" s="1"/>
  <c r="CG8" i="67" a="1"/>
  <c r="CG8" i="67" s="1"/>
  <c r="CG9" i="67" s="1"/>
  <c r="CJ8" i="76" a="1"/>
  <c r="CJ8" i="76" s="1"/>
  <c r="CJ9" i="76" s="1"/>
  <c r="CC3" i="64" a="1"/>
  <c r="CC3" i="64" s="1"/>
  <c r="CG3" i="64" a="1"/>
  <c r="CG3" i="64" s="1"/>
  <c r="CK3" i="64" a="1"/>
  <c r="CK3" i="64" s="1"/>
  <c r="AI4" i="64" a="1"/>
  <c r="AI4" i="64" s="1"/>
  <c r="AP4" i="64" a="1"/>
  <c r="AP4" i="64" s="1"/>
  <c r="AT4" i="64" a="1"/>
  <c r="AT4" i="64" s="1"/>
  <c r="BB4" i="64" a="1"/>
  <c r="BB4" i="64" s="1"/>
  <c r="BL4" i="64" a="1"/>
  <c r="BL4" i="64" s="1"/>
  <c r="BX4" i="64" a="1"/>
  <c r="BX4" i="64" s="1"/>
  <c r="CB4" i="64" a="1"/>
  <c r="CB4" i="64" s="1"/>
  <c r="CF4" i="64" a="1"/>
  <c r="CF4" i="64" s="1"/>
  <c r="CJ4" i="64" a="1"/>
  <c r="CJ4" i="64" s="1"/>
  <c r="AH5" i="64" a="1"/>
  <c r="AH5" i="64" s="1"/>
  <c r="AO5" i="64" a="1"/>
  <c r="AO5" i="64" s="1"/>
  <c r="AS5" i="64" a="1"/>
  <c r="AS5" i="64" s="1"/>
  <c r="BC5" i="64" a="1"/>
  <c r="BC5" i="64" s="1"/>
  <c r="BD5" i="64" a="1"/>
  <c r="BD5" i="64" s="1"/>
  <c r="BS5" i="64" a="1"/>
  <c r="BS5" i="64" s="1"/>
  <c r="CA5" i="64" a="1"/>
  <c r="CA5" i="64" s="1"/>
  <c r="CE5" i="64" a="1"/>
  <c r="CE5" i="64" s="1"/>
  <c r="CI5" i="64" a="1"/>
  <c r="CI5" i="64" s="1"/>
  <c r="BZ3" i="64" a="1"/>
  <c r="BZ3" i="64" s="1"/>
  <c r="BZ6" i="64" s="1"/>
  <c r="BZ7" i="64" s="1"/>
  <c r="CD3" i="64" a="1"/>
  <c r="CD3" i="64" s="1"/>
  <c r="CH3" i="64" a="1"/>
  <c r="CH3" i="64" s="1"/>
  <c r="AF4" i="64" a="1"/>
  <c r="AF4" i="64" s="1"/>
  <c r="AL4" i="64" a="1"/>
  <c r="AL4" i="64" s="1"/>
  <c r="AQ4" i="64" a="1"/>
  <c r="AQ4" i="64" s="1"/>
  <c r="BO4" i="64" a="1"/>
  <c r="BO4" i="64" s="1"/>
  <c r="AZ4" i="64" a="1"/>
  <c r="AZ4" i="64" s="1"/>
  <c r="BQ4" i="64" a="1"/>
  <c r="BQ4" i="64" s="1"/>
  <c r="BY4" i="64" a="1"/>
  <c r="BY4" i="64" s="1"/>
  <c r="CC4" i="64" a="1"/>
  <c r="CC4" i="64" s="1"/>
  <c r="CG4" i="64" a="1"/>
  <c r="CG4" i="64" s="1"/>
  <c r="CK4" i="64" a="1"/>
  <c r="CK4" i="64" s="1"/>
  <c r="AI5" i="64" a="1"/>
  <c r="AI5" i="64" s="1"/>
  <c r="AP5" i="64" a="1"/>
  <c r="AP5" i="64" s="1"/>
  <c r="AT5" i="64" a="1"/>
  <c r="AT5" i="64" s="1"/>
  <c r="BB5" i="64" a="1"/>
  <c r="BB5" i="64" s="1"/>
  <c r="BL5" i="64" a="1"/>
  <c r="BL5" i="64" s="1"/>
  <c r="BX5" i="64" a="1"/>
  <c r="BX5" i="64" s="1"/>
  <c r="CB5" i="64" a="1"/>
  <c r="CB5" i="64" s="1"/>
  <c r="CF5" i="64" a="1"/>
  <c r="CF5" i="64" s="1"/>
  <c r="CK8" i="64" a="1"/>
  <c r="CK8" i="64" s="1"/>
  <c r="CK9" i="64" s="1"/>
  <c r="AF2" i="69" a="1"/>
  <c r="AF2" i="69" s="1"/>
  <c r="AF11" i="69" s="1"/>
  <c r="AI3" i="69" a="1"/>
  <c r="AI3" i="69" s="1"/>
  <c r="AN3" i="69" a="1"/>
  <c r="AN3" i="69" s="1"/>
  <c r="BP3" i="69" a="1"/>
  <c r="BP3" i="69" s="1"/>
  <c r="AX3" i="69" a="1"/>
  <c r="AX3" i="69" s="1"/>
  <c r="BT3" i="69" a="1"/>
  <c r="BT3" i="69" s="1"/>
  <c r="CC3" i="69" a="1"/>
  <c r="CC3" i="69" s="1"/>
  <c r="CG3" i="69" a="1"/>
  <c r="CG3" i="69" s="1"/>
  <c r="CK3" i="69" a="1"/>
  <c r="CK3" i="69" s="1"/>
  <c r="CO3" i="69" a="1"/>
  <c r="CO3" i="69" s="1"/>
  <c r="AH4" i="69" a="1"/>
  <c r="AH4" i="69" s="1"/>
  <c r="AM4" i="69" a="1"/>
  <c r="AM4" i="69" s="1"/>
  <c r="AS4" i="69" a="1"/>
  <c r="AS4" i="69" s="1"/>
  <c r="BB4" i="69" a="1"/>
  <c r="BB4" i="69" s="1"/>
  <c r="BO4" i="69" a="1"/>
  <c r="BO4" i="69" s="1"/>
  <c r="BX4" i="69" a="1"/>
  <c r="BX4" i="69" s="1"/>
  <c r="CF4" i="69" a="1"/>
  <c r="CF4" i="69" s="1"/>
  <c r="CJ4" i="69" a="1"/>
  <c r="CJ4" i="69" s="1"/>
  <c r="CN4" i="69" a="1"/>
  <c r="CN4" i="69" s="1"/>
  <c r="AG5" i="69" a="1"/>
  <c r="AG5" i="69" s="1"/>
  <c r="BQ5" i="69" a="1"/>
  <c r="BQ5" i="69" s="1"/>
  <c r="AQ5" i="69" a="1"/>
  <c r="AQ5" i="69" s="1"/>
  <c r="AU5" i="69" a="1"/>
  <c r="AU5" i="69" s="1"/>
  <c r="BD5" i="69" a="1"/>
  <c r="BD5" i="69" s="1"/>
  <c r="BW5" i="69" a="1"/>
  <c r="BW5" i="69" s="1"/>
  <c r="CE5" i="69" a="1"/>
  <c r="CE5" i="69" s="1"/>
  <c r="CI5" i="69" a="1"/>
  <c r="CI5" i="69" s="1"/>
  <c r="CM5" i="69" a="1"/>
  <c r="CM5" i="69" s="1"/>
  <c r="AF8" i="69" a="1"/>
  <c r="AF8" i="69" s="1"/>
  <c r="AF9" i="69" s="1"/>
  <c r="AY8" i="69" a="1"/>
  <c r="AY8" i="69" s="1"/>
  <c r="AY9" i="69" s="1"/>
  <c r="AF3" i="69" a="1"/>
  <c r="AF3" i="69" s="1"/>
  <c r="AK3" i="69" a="1"/>
  <c r="AK3" i="69" s="1"/>
  <c r="AP3" i="69" a="1"/>
  <c r="AP3" i="69" s="1"/>
  <c r="BA3" i="69" a="1"/>
  <c r="BA3" i="69" s="1"/>
  <c r="AY3" i="69" a="1"/>
  <c r="AY3" i="69" s="1"/>
  <c r="BV3" i="69" a="1"/>
  <c r="BV3" i="69" s="1"/>
  <c r="CD3" i="69" a="1"/>
  <c r="CD3" i="69" s="1"/>
  <c r="CH3" i="69" a="1"/>
  <c r="CH3" i="69" s="1"/>
  <c r="CL3" i="69" a="1"/>
  <c r="CL3" i="69" s="1"/>
  <c r="CP3" i="69" a="1"/>
  <c r="CP3" i="69" s="1"/>
  <c r="AI4" i="69" a="1"/>
  <c r="AI4" i="69" s="1"/>
  <c r="AN4" i="69" a="1"/>
  <c r="AN4" i="69" s="1"/>
  <c r="BP4" i="69" a="1"/>
  <c r="BP4" i="69" s="1"/>
  <c r="AX4" i="69" a="1"/>
  <c r="AX4" i="69" s="1"/>
  <c r="BT4" i="69" a="1"/>
  <c r="BT4" i="69" s="1"/>
  <c r="CC4" i="69" a="1"/>
  <c r="CC4" i="69" s="1"/>
  <c r="CG4" i="69" a="1"/>
  <c r="CG4" i="69" s="1"/>
  <c r="CK4" i="69" a="1"/>
  <c r="CK4" i="69" s="1"/>
  <c r="CO4" i="69" a="1"/>
  <c r="CO4" i="69" s="1"/>
  <c r="AH5" i="69" a="1"/>
  <c r="AH5" i="69" s="1"/>
  <c r="AM5" i="69" a="1"/>
  <c r="AM5" i="69" s="1"/>
  <c r="AS5" i="69" a="1"/>
  <c r="AS5" i="69" s="1"/>
  <c r="BB5" i="69" a="1"/>
  <c r="BB5" i="69" s="1"/>
  <c r="BO5" i="69" a="1"/>
  <c r="BO5" i="69" s="1"/>
  <c r="BX5" i="69" a="1"/>
  <c r="BX5" i="69" s="1"/>
  <c r="CF5" i="69" a="1"/>
  <c r="CF5" i="69" s="1"/>
  <c r="CJ5" i="69" a="1"/>
  <c r="CJ5" i="69" s="1"/>
  <c r="CN5" i="69" a="1"/>
  <c r="CN5" i="69" s="1"/>
  <c r="AK8" i="69" a="1"/>
  <c r="AK8" i="69" s="1"/>
  <c r="AK9" i="69" s="1"/>
  <c r="BV8" i="69" a="1"/>
  <c r="BV8" i="69" s="1"/>
  <c r="BV9" i="69" s="1"/>
  <c r="AG3" i="69" a="1"/>
  <c r="AG3" i="69" s="1"/>
  <c r="BQ3" i="69" a="1"/>
  <c r="BQ3" i="69" s="1"/>
  <c r="AQ3" i="69" a="1"/>
  <c r="AQ3" i="69" s="1"/>
  <c r="AU3" i="69" a="1"/>
  <c r="AU3" i="69" s="1"/>
  <c r="BD3" i="69" a="1"/>
  <c r="BD3" i="69" s="1"/>
  <c r="BW3" i="69" a="1"/>
  <c r="BW3" i="69" s="1"/>
  <c r="CE3" i="69" a="1"/>
  <c r="CE3" i="69" s="1"/>
  <c r="CI3" i="69" a="1"/>
  <c r="CI3" i="69" s="1"/>
  <c r="CI6" i="69" s="1"/>
  <c r="CI7" i="69" s="1"/>
  <c r="CM3" i="69" a="1"/>
  <c r="CM3" i="69" s="1"/>
  <c r="AF4" i="69" a="1"/>
  <c r="AF4" i="69" s="1"/>
  <c r="AK4" i="69" a="1"/>
  <c r="AK4" i="69" s="1"/>
  <c r="AP4" i="69" a="1"/>
  <c r="AP4" i="69" s="1"/>
  <c r="BA4" i="69" a="1"/>
  <c r="BA4" i="69" s="1"/>
  <c r="AY4" i="69" a="1"/>
  <c r="AY4" i="69" s="1"/>
  <c r="BV4" i="69" a="1"/>
  <c r="BV4" i="69" s="1"/>
  <c r="CD4" i="69" a="1"/>
  <c r="CD4" i="69" s="1"/>
  <c r="CH4" i="69" a="1"/>
  <c r="CH4" i="69" s="1"/>
  <c r="CL4" i="69" a="1"/>
  <c r="CL4" i="69" s="1"/>
  <c r="CP4" i="69" a="1"/>
  <c r="CP4" i="69" s="1"/>
  <c r="AI5" i="69" a="1"/>
  <c r="AI5" i="69" s="1"/>
  <c r="AN5" i="69" a="1"/>
  <c r="AN5" i="69" s="1"/>
  <c r="BP5" i="69" a="1"/>
  <c r="BP5" i="69" s="1"/>
  <c r="AX5" i="69" a="1"/>
  <c r="AX5" i="69" s="1"/>
  <c r="BT5" i="69" a="1"/>
  <c r="BT5" i="69" s="1"/>
  <c r="CC5" i="69" a="1"/>
  <c r="CC5" i="69" s="1"/>
  <c r="CG5" i="69" a="1"/>
  <c r="CG5" i="69" s="1"/>
  <c r="CK5" i="69" a="1"/>
  <c r="CK5" i="69" s="1"/>
  <c r="AP8" i="69" a="1"/>
  <c r="AP8" i="69" s="1"/>
  <c r="AP9" i="69" s="1"/>
  <c r="CD8" i="69" a="1"/>
  <c r="CD8" i="69" s="1"/>
  <c r="CD9" i="69" s="1"/>
  <c r="AG8" i="69" a="1"/>
  <c r="AG8" i="69" s="1"/>
  <c r="AG9" i="69" s="1"/>
  <c r="BQ8" i="69" a="1"/>
  <c r="BQ8" i="69" s="1"/>
  <c r="BQ9" i="69" s="1"/>
  <c r="AQ8" i="69" a="1"/>
  <c r="AQ8" i="69" s="1"/>
  <c r="AQ9" i="69" s="1"/>
  <c r="AU8" i="69" a="1"/>
  <c r="AU8" i="69" s="1"/>
  <c r="AU9" i="69" s="1"/>
  <c r="BD8" i="69" a="1"/>
  <c r="BD8" i="69" s="1"/>
  <c r="BD9" i="69" s="1"/>
  <c r="BW8" i="69" a="1"/>
  <c r="BW8" i="69" s="1"/>
  <c r="BW9" i="69" s="1"/>
  <c r="CE8" i="69" a="1"/>
  <c r="CE8" i="69" s="1"/>
  <c r="CE9" i="69" s="1"/>
  <c r="CI8" i="69" a="1"/>
  <c r="CI8" i="69" s="1"/>
  <c r="CI9" i="69" s="1"/>
  <c r="AH8" i="69" a="1"/>
  <c r="AH8" i="69" s="1"/>
  <c r="AH9" i="69" s="1"/>
  <c r="AM8" i="69" a="1"/>
  <c r="AM8" i="69" s="1"/>
  <c r="AM9" i="69" s="1"/>
  <c r="AS8" i="69" a="1"/>
  <c r="AS8" i="69" s="1"/>
  <c r="AS9" i="69" s="1"/>
  <c r="BB8" i="69" a="1"/>
  <c r="BB8" i="69" s="1"/>
  <c r="BB9" i="69" s="1"/>
  <c r="BO8" i="69" a="1"/>
  <c r="BO8" i="69" s="1"/>
  <c r="BO9" i="69" s="1"/>
  <c r="BX8" i="69" a="1"/>
  <c r="BX8" i="69" s="1"/>
  <c r="BX9" i="69" s="1"/>
  <c r="CF8" i="69" a="1"/>
  <c r="CF8" i="69" s="1"/>
  <c r="CF9" i="69" s="1"/>
  <c r="CL8" i="69" a="1"/>
  <c r="CL8" i="69" s="1"/>
  <c r="CL9" i="69" s="1"/>
  <c r="CJ8" i="69" a="1"/>
  <c r="CJ8" i="69" s="1"/>
  <c r="CJ9" i="69" s="1"/>
  <c r="AI8" i="69" a="1"/>
  <c r="AI8" i="69" s="1"/>
  <c r="AI9" i="69" s="1"/>
  <c r="AN8" i="69" a="1"/>
  <c r="AN8" i="69" s="1"/>
  <c r="AN9" i="69" s="1"/>
  <c r="BP8" i="69" a="1"/>
  <c r="BP8" i="69" s="1"/>
  <c r="BP9" i="69" s="1"/>
  <c r="AX8" i="69" a="1"/>
  <c r="AX8" i="69" s="1"/>
  <c r="AX9" i="69" s="1"/>
  <c r="BT8" i="69" a="1"/>
  <c r="BT8" i="69" s="1"/>
  <c r="BT9" i="69" s="1"/>
  <c r="CC8" i="69" a="1"/>
  <c r="CC8" i="69" s="1"/>
  <c r="CC9" i="69" s="1"/>
  <c r="CG8" i="69" a="1"/>
  <c r="CG8" i="69" s="1"/>
  <c r="CG9" i="69" s="1"/>
  <c r="CC8" i="62" a="1"/>
  <c r="CC8" i="62" s="1"/>
  <c r="CC9" i="62" s="1"/>
  <c r="AI3" i="75" a="1"/>
  <c r="AI3" i="75" s="1"/>
  <c r="AI8" i="75" a="1"/>
  <c r="AI8" i="75" s="1"/>
  <c r="AI9" i="75" s="1"/>
  <c r="BW5" i="75" a="1"/>
  <c r="BW5" i="75" s="1"/>
  <c r="BL8" i="75" a="1"/>
  <c r="BL8" i="75" s="1"/>
  <c r="BL9" i="75" s="1"/>
  <c r="AH5" i="63" a="1"/>
  <c r="AH5" i="63" s="1"/>
  <c r="AU5" i="63" a="1"/>
  <c r="AU5" i="63" s="1"/>
  <c r="BX5" i="63" a="1"/>
  <c r="BX5" i="63" s="1"/>
  <c r="AX5" i="63" a="1"/>
  <c r="AX5" i="63" s="1"/>
  <c r="CF5" i="63" a="1"/>
  <c r="CF5" i="63" s="1"/>
  <c r="CI8" i="63" a="1"/>
  <c r="CI8" i="63" s="1"/>
  <c r="CI9" i="63" s="1"/>
  <c r="AH3" i="61" a="1"/>
  <c r="AH3" i="61" s="1"/>
  <c r="AV3" i="61" a="1"/>
  <c r="AV3" i="61" s="1"/>
  <c r="BU3" i="61" a="1"/>
  <c r="BU3" i="61" s="1"/>
  <c r="AU3" i="61" a="1"/>
  <c r="AU3" i="61" s="1"/>
  <c r="BB3" i="61" a="1"/>
  <c r="BB3" i="61" s="1"/>
  <c r="BO3" i="61" a="1"/>
  <c r="BO3" i="61" s="1"/>
  <c r="CA3" i="61" a="1"/>
  <c r="CA3" i="61" s="1"/>
  <c r="CE3" i="61" a="1"/>
  <c r="CE3" i="61" s="1"/>
  <c r="CI3" i="61" a="1"/>
  <c r="CI3" i="61" s="1"/>
  <c r="AG4" i="61" a="1"/>
  <c r="AG4" i="61" s="1"/>
  <c r="BI4" i="61" a="1"/>
  <c r="BI4" i="61" s="1"/>
  <c r="AQ4" i="61" a="1"/>
  <c r="AQ4" i="61" s="1"/>
  <c r="AT4" i="61" a="1"/>
  <c r="AT4" i="61" s="1"/>
  <c r="BA4" i="61" a="1"/>
  <c r="BA4" i="61" s="1"/>
  <c r="BN4" i="61" a="1"/>
  <c r="BN4" i="61" s="1"/>
  <c r="BZ4" i="61" a="1"/>
  <c r="BZ4" i="61" s="1"/>
  <c r="CD4" i="61" a="1"/>
  <c r="CD4" i="61" s="1"/>
  <c r="CH4" i="61" a="1"/>
  <c r="CH4" i="61" s="1"/>
  <c r="AF5" i="61" a="1"/>
  <c r="AF5" i="61" s="1"/>
  <c r="AK5" i="61" a="1"/>
  <c r="AK5" i="61" s="1"/>
  <c r="AP5" i="61" a="1"/>
  <c r="AP5" i="61" s="1"/>
  <c r="BV5" i="61" a="1"/>
  <c r="BV5" i="61" s="1"/>
  <c r="AZ5" i="61" a="1"/>
  <c r="AZ5" i="61" s="1"/>
  <c r="BK5" i="61" a="1"/>
  <c r="BK5" i="61" s="1"/>
  <c r="BY5" i="61" a="1"/>
  <c r="BY5" i="61" s="1"/>
  <c r="CC5" i="61" a="1"/>
  <c r="CC5" i="61" s="1"/>
  <c r="CG5" i="61" a="1"/>
  <c r="CG5" i="61" s="1"/>
  <c r="AI3" i="61" a="1"/>
  <c r="AI3" i="61" s="1"/>
  <c r="AM3" i="61" a="1"/>
  <c r="AM3" i="61" s="1"/>
  <c r="AR3" i="61" a="1"/>
  <c r="AR3" i="61" s="1"/>
  <c r="AY3" i="61" a="1"/>
  <c r="AY3" i="61" s="1"/>
  <c r="BX3" i="61" a="1"/>
  <c r="BX3" i="61" s="1"/>
  <c r="BT3" i="61" a="1"/>
  <c r="BT3" i="61" s="1"/>
  <c r="CB3" i="61" a="1"/>
  <c r="CB3" i="61" s="1"/>
  <c r="CF3" i="61" a="1"/>
  <c r="CF3" i="61" s="1"/>
  <c r="CJ3" i="61" a="1"/>
  <c r="CJ3" i="61" s="1"/>
  <c r="AH4" i="61" a="1"/>
  <c r="AH4" i="61" s="1"/>
  <c r="AH6" i="61" s="1"/>
  <c r="AH7" i="61" s="1"/>
  <c r="AV4" i="61" a="1"/>
  <c r="AV4" i="61" s="1"/>
  <c r="BU4" i="61" a="1"/>
  <c r="BU4" i="61" s="1"/>
  <c r="AU4" i="61" a="1"/>
  <c r="AU4" i="61" s="1"/>
  <c r="BB4" i="61" a="1"/>
  <c r="BB4" i="61" s="1"/>
  <c r="BB6" i="61" s="1"/>
  <c r="BB7" i="61" s="1"/>
  <c r="BO4" i="61" a="1"/>
  <c r="BO4" i="61" s="1"/>
  <c r="CA4" i="61" a="1"/>
  <c r="CA4" i="61" s="1"/>
  <c r="CE4" i="61" a="1"/>
  <c r="CE4" i="61" s="1"/>
  <c r="CE6" i="61" s="1"/>
  <c r="CE7" i="61" s="1"/>
  <c r="CI4" i="61" a="1"/>
  <c r="CI4" i="61" s="1"/>
  <c r="CI6" i="61" s="1"/>
  <c r="CI7" i="61" s="1"/>
  <c r="AG5" i="61" a="1"/>
  <c r="AG5" i="61" s="1"/>
  <c r="BI5" i="61" a="1"/>
  <c r="BI5" i="61" s="1"/>
  <c r="AQ5" i="61" a="1"/>
  <c r="AQ5" i="61" s="1"/>
  <c r="AT5" i="61" a="1"/>
  <c r="AT5" i="61" s="1"/>
  <c r="BA5" i="61" a="1"/>
  <c r="BA5" i="61" s="1"/>
  <c r="BN5" i="61" a="1"/>
  <c r="BN5" i="61" s="1"/>
  <c r="BZ5" i="61" a="1"/>
  <c r="BZ5" i="61" s="1"/>
  <c r="CD5" i="61" a="1"/>
  <c r="CD5" i="61" s="1"/>
  <c r="CH5" i="61" a="1"/>
  <c r="CH5" i="61" s="1"/>
  <c r="AF2" i="61" a="1"/>
  <c r="AF2" i="61" s="1"/>
  <c r="AF11" i="61" s="1"/>
  <c r="AF3" i="61" a="1"/>
  <c r="AF3" i="61" s="1"/>
  <c r="AK3" i="61" a="1"/>
  <c r="AK3" i="61" s="1"/>
  <c r="AP3" i="61" a="1"/>
  <c r="AP3" i="61" s="1"/>
  <c r="BV3" i="61" a="1"/>
  <c r="BV3" i="61" s="1"/>
  <c r="BV6" i="61" s="1"/>
  <c r="BV7" i="61" s="1"/>
  <c r="AZ3" i="61" a="1"/>
  <c r="AZ3" i="61" s="1"/>
  <c r="BK3" i="61" a="1"/>
  <c r="BK3" i="61" s="1"/>
  <c r="BY3" i="61" a="1"/>
  <c r="BY3" i="61" s="1"/>
  <c r="BY6" i="61" s="1"/>
  <c r="BY7" i="61" s="1"/>
  <c r="CC3" i="61" a="1"/>
  <c r="CC3" i="61" s="1"/>
  <c r="CG3" i="61" a="1"/>
  <c r="CG3" i="61" s="1"/>
  <c r="CK3" i="61" a="1"/>
  <c r="CK3" i="61" s="1"/>
  <c r="AI4" i="61" a="1"/>
  <c r="AI4" i="61" s="1"/>
  <c r="AM4" i="61" a="1"/>
  <c r="AM4" i="61" s="1"/>
  <c r="AR4" i="61" a="1"/>
  <c r="AR4" i="61" s="1"/>
  <c r="AY4" i="61" a="1"/>
  <c r="AY4" i="61" s="1"/>
  <c r="BX4" i="61" a="1"/>
  <c r="BX4" i="61" s="1"/>
  <c r="BT4" i="61" a="1"/>
  <c r="BT4" i="61" s="1"/>
  <c r="CB4" i="61" a="1"/>
  <c r="CB4" i="61" s="1"/>
  <c r="CF4" i="61" a="1"/>
  <c r="CF4" i="61" s="1"/>
  <c r="CJ4" i="61" a="1"/>
  <c r="CJ4" i="61" s="1"/>
  <c r="AH5" i="61" a="1"/>
  <c r="AH5" i="61" s="1"/>
  <c r="AV5" i="61" a="1"/>
  <c r="AV5" i="61" s="1"/>
  <c r="BU5" i="61" a="1"/>
  <c r="BU5" i="61" s="1"/>
  <c r="AU5" i="61" a="1"/>
  <c r="AU5" i="61" s="1"/>
  <c r="BB5" i="61" a="1"/>
  <c r="BB5" i="61" s="1"/>
  <c r="BO5" i="61" a="1"/>
  <c r="BO5" i="61" s="1"/>
  <c r="CA5" i="61" a="1"/>
  <c r="CA5" i="61" s="1"/>
  <c r="CE5" i="61" a="1"/>
  <c r="CE5" i="61" s="1"/>
  <c r="AL8" i="71" a="1"/>
  <c r="AL8" i="71" s="1"/>
  <c r="AL9" i="71" s="1"/>
  <c r="AR8" i="71" a="1"/>
  <c r="AR8" i="71" s="1"/>
  <c r="AR9" i="71" s="1"/>
  <c r="BF8" i="71" a="1"/>
  <c r="BF8" i="71" s="1"/>
  <c r="BF9" i="71" s="1"/>
  <c r="BV8" i="71" a="1"/>
  <c r="BV8" i="71" s="1"/>
  <c r="BV9" i="71" s="1"/>
  <c r="CD8" i="71" a="1"/>
  <c r="CD8" i="71" s="1"/>
  <c r="CD9" i="71" s="1"/>
  <c r="CH8" i="71" a="1"/>
  <c r="CH8" i="71" s="1"/>
  <c r="CH9" i="71" s="1"/>
  <c r="CN8" i="71" a="1"/>
  <c r="CN8" i="71" s="1"/>
  <c r="CN9" i="71" s="1"/>
  <c r="AI8" i="71" a="1"/>
  <c r="AI8" i="71" s="1"/>
  <c r="AI9" i="71" s="1"/>
  <c r="AM8" i="71" a="1"/>
  <c r="AM8" i="71" s="1"/>
  <c r="AM9" i="71" s="1"/>
  <c r="BD8" i="71" a="1"/>
  <c r="BD8" i="71" s="1"/>
  <c r="BD9" i="71" s="1"/>
  <c r="BC8" i="71" a="1"/>
  <c r="BC8" i="71" s="1"/>
  <c r="BC9" i="71" s="1"/>
  <c r="BS8" i="71" a="1"/>
  <c r="BS8" i="71" s="1"/>
  <c r="BS9" i="71" s="1"/>
  <c r="CB8" i="71" a="1"/>
  <c r="CB8" i="71" s="1"/>
  <c r="CB9" i="71" s="1"/>
  <c r="CF8" i="71" a="1"/>
  <c r="CF8" i="71" s="1"/>
  <c r="CF9" i="71" s="1"/>
  <c r="CJ8" i="71" a="1"/>
  <c r="CJ8" i="71" s="1"/>
  <c r="CJ9" i="71" s="1"/>
  <c r="AF8" i="71" a="1"/>
  <c r="AF8" i="71" s="1"/>
  <c r="AK8" i="71" a="1"/>
  <c r="AK8" i="71" s="1"/>
  <c r="AK9" i="71" s="1"/>
  <c r="AP8" i="71" a="1"/>
  <c r="AP8" i="71" s="1"/>
  <c r="AP9" i="71" s="1"/>
  <c r="BE8" i="71" a="1"/>
  <c r="BE8" i="71" s="1"/>
  <c r="BE9" i="71" s="1"/>
  <c r="BG8" i="71" a="1"/>
  <c r="BG8" i="71" s="1"/>
  <c r="BG9" i="71" s="1"/>
  <c r="BU8" i="71" a="1"/>
  <c r="BU8" i="71" s="1"/>
  <c r="BU9" i="71" s="1"/>
  <c r="CC8" i="71" a="1"/>
  <c r="CC8" i="71" s="1"/>
  <c r="CC9" i="71" s="1"/>
  <c r="CG8" i="71" a="1"/>
  <c r="CG8" i="71" s="1"/>
  <c r="CG9" i="71" s="1"/>
  <c r="AQ3" i="68" a="1"/>
  <c r="AQ3" i="68" s="1"/>
  <c r="AX3" i="68" a="1"/>
  <c r="AX3" i="68" s="1"/>
  <c r="BD3" i="68" a="1"/>
  <c r="BD3" i="68" s="1"/>
  <c r="BU3" i="68" a="1"/>
  <c r="BU3" i="68" s="1"/>
  <c r="CF3" i="68" a="1"/>
  <c r="CF3" i="68" s="1"/>
  <c r="BA3" i="68" a="1"/>
  <c r="BA3" i="68" s="1"/>
  <c r="BQ3" i="68" a="1"/>
  <c r="BQ3" i="68" s="1"/>
  <c r="CA3" i="68" a="1"/>
  <c r="CA3" i="68" s="1"/>
  <c r="CJ3" i="68" a="1"/>
  <c r="CJ3" i="68" s="1"/>
  <c r="BS3" i="68" a="1"/>
  <c r="BS3" i="68" s="1"/>
  <c r="CB3" i="68" a="1"/>
  <c r="CB3" i="68" s="1"/>
  <c r="AT5" i="68" a="1"/>
  <c r="AT5" i="68" s="1"/>
  <c r="AQ8" i="68" a="1"/>
  <c r="AQ8" i="68" s="1"/>
  <c r="AQ9" i="68" s="1"/>
  <c r="AG3" i="73" a="1"/>
  <c r="AG3" i="73" s="1"/>
  <c r="BQ3" i="73" a="1"/>
  <c r="BQ3" i="73" s="1"/>
  <c r="AP3" i="73" a="1"/>
  <c r="AP3" i="73" s="1"/>
  <c r="AU3" i="73" a="1"/>
  <c r="AU3" i="73" s="1"/>
  <c r="BR3" i="73" a="1"/>
  <c r="BR3" i="73" s="1"/>
  <c r="BJ3" i="73" a="1"/>
  <c r="BJ3" i="73" s="1"/>
  <c r="CB3" i="73" a="1"/>
  <c r="CB3" i="73" s="1"/>
  <c r="CF3" i="73" a="1"/>
  <c r="CF3" i="73" s="1"/>
  <c r="CJ3" i="73" a="1"/>
  <c r="CJ3" i="73" s="1"/>
  <c r="AF4" i="73" a="1"/>
  <c r="AF4" i="73" s="1"/>
  <c r="BP4" i="73" a="1"/>
  <c r="BP4" i="73" s="1"/>
  <c r="AO4" i="73" a="1"/>
  <c r="AO4" i="73" s="1"/>
  <c r="BL4" i="73" a="1"/>
  <c r="BL4" i="73" s="1"/>
  <c r="AZ4" i="73" a="1"/>
  <c r="AZ4" i="73" s="1"/>
  <c r="BI4" i="73" a="1"/>
  <c r="BI4" i="73" s="1"/>
  <c r="CA4" i="73" a="1"/>
  <c r="CA4" i="73" s="1"/>
  <c r="CE4" i="73" a="1"/>
  <c r="CE4" i="73" s="1"/>
  <c r="CI4" i="73" a="1"/>
  <c r="CI4" i="73" s="1"/>
  <c r="CM4" i="73" a="1"/>
  <c r="CM4" i="73" s="1"/>
  <c r="AI5" i="73" a="1"/>
  <c r="AI5" i="73" s="1"/>
  <c r="AM5" i="73" a="1"/>
  <c r="AM5" i="73" s="1"/>
  <c r="AL5" i="73" a="1"/>
  <c r="AL5" i="73" s="1"/>
  <c r="BT5" i="73" a="1"/>
  <c r="BT5" i="73" s="1"/>
  <c r="BM5" i="73" a="1"/>
  <c r="BM5" i="73" s="1"/>
  <c r="BZ5" i="73" a="1"/>
  <c r="BZ5" i="73" s="1"/>
  <c r="CD5" i="73" a="1"/>
  <c r="CD5" i="73" s="1"/>
  <c r="CH5" i="73" a="1"/>
  <c r="CH5" i="73" s="1"/>
  <c r="CL5" i="73" a="1"/>
  <c r="CL5" i="73" s="1"/>
  <c r="AP8" i="73" a="1"/>
  <c r="AP8" i="73" s="1"/>
  <c r="AP9" i="73" s="1"/>
  <c r="CB8" i="73" a="1"/>
  <c r="CB8" i="73" s="1"/>
  <c r="CB9" i="73" s="1"/>
  <c r="AH3" i="73" a="1"/>
  <c r="AH3" i="73" s="1"/>
  <c r="BN3" i="73" a="1"/>
  <c r="BN3" i="73" s="1"/>
  <c r="AS3" i="73" a="1"/>
  <c r="AS3" i="73" s="1"/>
  <c r="AV3" i="73" a="1"/>
  <c r="AV3" i="73" s="1"/>
  <c r="BB3" i="73" a="1"/>
  <c r="BB3" i="73" s="1"/>
  <c r="BU3" i="73" a="1"/>
  <c r="BU3" i="73" s="1"/>
  <c r="CC3" i="73" a="1"/>
  <c r="CC3" i="73" s="1"/>
  <c r="CG3" i="73" a="1"/>
  <c r="CG3" i="73" s="1"/>
  <c r="CK3" i="73" a="1"/>
  <c r="CK3" i="73" s="1"/>
  <c r="AG4" i="73" a="1"/>
  <c r="AG4" i="73" s="1"/>
  <c r="BQ4" i="73" a="1"/>
  <c r="BQ4" i="73" s="1"/>
  <c r="AP4" i="73" a="1"/>
  <c r="AP4" i="73" s="1"/>
  <c r="AU4" i="73" a="1"/>
  <c r="AU4" i="73" s="1"/>
  <c r="BR4" i="73" a="1"/>
  <c r="BR4" i="73" s="1"/>
  <c r="BJ4" i="73" a="1"/>
  <c r="BJ4" i="73" s="1"/>
  <c r="CB4" i="73" a="1"/>
  <c r="CB4" i="73" s="1"/>
  <c r="CF4" i="73" a="1"/>
  <c r="CF4" i="73" s="1"/>
  <c r="CJ4" i="73" a="1"/>
  <c r="CJ4" i="73" s="1"/>
  <c r="AF5" i="73" a="1"/>
  <c r="AF5" i="73" s="1"/>
  <c r="BP5" i="73" a="1"/>
  <c r="BP5" i="73" s="1"/>
  <c r="AO5" i="73" a="1"/>
  <c r="AO5" i="73" s="1"/>
  <c r="BL5" i="73" a="1"/>
  <c r="BL5" i="73" s="1"/>
  <c r="AZ5" i="73" a="1"/>
  <c r="AZ5" i="73" s="1"/>
  <c r="BI5" i="73" a="1"/>
  <c r="BI5" i="73" s="1"/>
  <c r="CA5" i="73" a="1"/>
  <c r="CA5" i="73" s="1"/>
  <c r="CE5" i="73" a="1"/>
  <c r="CE5" i="73" s="1"/>
  <c r="CI5" i="73" a="1"/>
  <c r="CI5" i="73" s="1"/>
  <c r="CM5" i="73" a="1"/>
  <c r="CM5" i="73" s="1"/>
  <c r="AU8" i="73" a="1"/>
  <c r="AU8" i="73" s="1"/>
  <c r="AU9" i="73" s="1"/>
  <c r="CF8" i="73" a="1"/>
  <c r="CF8" i="73" s="1"/>
  <c r="CF9" i="73" s="1"/>
  <c r="AF2" i="73" a="1"/>
  <c r="AF2" i="73" s="1"/>
  <c r="AF13" i="73" s="1"/>
  <c r="AI3" i="73" a="1"/>
  <c r="AI3" i="73" s="1"/>
  <c r="AM3" i="73" a="1"/>
  <c r="AM3" i="73" s="1"/>
  <c r="AL3" i="73" a="1"/>
  <c r="AL3" i="73" s="1"/>
  <c r="BT3" i="73" a="1"/>
  <c r="BT3" i="73" s="1"/>
  <c r="BM3" i="73" a="1"/>
  <c r="BM3" i="73" s="1"/>
  <c r="BZ3" i="73" a="1"/>
  <c r="BZ3" i="73" s="1"/>
  <c r="CD3" i="73" a="1"/>
  <c r="CD3" i="73" s="1"/>
  <c r="CH3" i="73" a="1"/>
  <c r="CH3" i="73" s="1"/>
  <c r="CH6" i="73" s="1"/>
  <c r="CH7" i="73" s="1"/>
  <c r="CL3" i="73" a="1"/>
  <c r="CL3" i="73" s="1"/>
  <c r="AH4" i="73" a="1"/>
  <c r="AH4" i="73" s="1"/>
  <c r="BN4" i="73" a="1"/>
  <c r="BN4" i="73" s="1"/>
  <c r="BN6" i="73" s="1"/>
  <c r="BN7" i="73" s="1"/>
  <c r="AS4" i="73" a="1"/>
  <c r="AS4" i="73" s="1"/>
  <c r="AV4" i="73" a="1"/>
  <c r="AV4" i="73" s="1"/>
  <c r="BB4" i="73" a="1"/>
  <c r="BB4" i="73" s="1"/>
  <c r="BU4" i="73" a="1"/>
  <c r="BU4" i="73" s="1"/>
  <c r="BU6" i="73" s="1"/>
  <c r="BU7" i="73" s="1"/>
  <c r="CC4" i="73" a="1"/>
  <c r="CC4" i="73" s="1"/>
  <c r="CG4" i="73" a="1"/>
  <c r="CG4" i="73" s="1"/>
  <c r="CK4" i="73" a="1"/>
  <c r="CK4" i="73" s="1"/>
  <c r="CK6" i="73" s="1"/>
  <c r="CK7" i="73" s="1"/>
  <c r="AG5" i="73" a="1"/>
  <c r="AG5" i="73" s="1"/>
  <c r="BQ5" i="73" a="1"/>
  <c r="BQ5" i="73" s="1"/>
  <c r="AP5" i="73" a="1"/>
  <c r="AP5" i="73" s="1"/>
  <c r="AU5" i="73" a="1"/>
  <c r="AU5" i="73" s="1"/>
  <c r="BR5" i="73" a="1"/>
  <c r="BR5" i="73" s="1"/>
  <c r="BJ5" i="73" a="1"/>
  <c r="BJ5" i="73" s="1"/>
  <c r="CB5" i="73" a="1"/>
  <c r="CB5" i="73" s="1"/>
  <c r="CF5" i="73" a="1"/>
  <c r="CF5" i="73" s="1"/>
  <c r="AG8" i="73" a="1"/>
  <c r="AG8" i="73" s="1"/>
  <c r="AG9" i="73" s="1"/>
  <c r="BR8" i="73" a="1"/>
  <c r="BR8" i="73" s="1"/>
  <c r="BR9" i="73" s="1"/>
  <c r="CJ8" i="73" a="1"/>
  <c r="CJ8" i="73" s="1"/>
  <c r="CJ9" i="73" s="1"/>
  <c r="AH8" i="73" a="1"/>
  <c r="AH8" i="73" s="1"/>
  <c r="AH9" i="73" s="1"/>
  <c r="BN8" i="73" a="1"/>
  <c r="BN8" i="73" s="1"/>
  <c r="BN9" i="73" s="1"/>
  <c r="AS8" i="73" a="1"/>
  <c r="AS8" i="73" s="1"/>
  <c r="AS9" i="73" s="1"/>
  <c r="AV8" i="73" a="1"/>
  <c r="AV8" i="73" s="1"/>
  <c r="AV9" i="73" s="1"/>
  <c r="BB8" i="73" a="1"/>
  <c r="BB8" i="73" s="1"/>
  <c r="BB9" i="73" s="1"/>
  <c r="BU8" i="73" a="1"/>
  <c r="BU8" i="73" s="1"/>
  <c r="BU9" i="73" s="1"/>
  <c r="CC8" i="73" a="1"/>
  <c r="CC8" i="73" s="1"/>
  <c r="CC9" i="73" s="1"/>
  <c r="CG8" i="73" a="1"/>
  <c r="CG8" i="73" s="1"/>
  <c r="CG9" i="73" s="1"/>
  <c r="CK8" i="73" a="1"/>
  <c r="CK8" i="73" s="1"/>
  <c r="CK9" i="73" s="1"/>
  <c r="AI8" i="73" a="1"/>
  <c r="AI8" i="73" s="1"/>
  <c r="AI9" i="73" s="1"/>
  <c r="AM8" i="73" a="1"/>
  <c r="AM8" i="73" s="1"/>
  <c r="AM9" i="73" s="1"/>
  <c r="AL8" i="73" a="1"/>
  <c r="AL8" i="73" s="1"/>
  <c r="AL9" i="73" s="1"/>
  <c r="BT8" i="73" a="1"/>
  <c r="BT8" i="73" s="1"/>
  <c r="BT9" i="73" s="1"/>
  <c r="BM8" i="73" a="1"/>
  <c r="BM8" i="73" s="1"/>
  <c r="BM9" i="73" s="1"/>
  <c r="BZ8" i="73" a="1"/>
  <c r="BZ8" i="73" s="1"/>
  <c r="BZ9" i="73" s="1"/>
  <c r="CD8" i="73" a="1"/>
  <c r="CD8" i="73" s="1"/>
  <c r="CD9" i="73" s="1"/>
  <c r="CH8" i="73" a="1"/>
  <c r="CH8" i="73" s="1"/>
  <c r="CH9" i="73" s="1"/>
  <c r="CM8" i="73" a="1"/>
  <c r="CM8" i="73" s="1"/>
  <c r="CM9" i="73" s="1"/>
  <c r="AF8" i="73" a="1"/>
  <c r="AF8" i="73" s="1"/>
  <c r="AF9" i="73" s="1"/>
  <c r="BP8" i="73" a="1"/>
  <c r="BP8" i="73" s="1"/>
  <c r="BP9" i="73" s="1"/>
  <c r="AO8" i="73" a="1"/>
  <c r="AO8" i="73" s="1"/>
  <c r="AO9" i="73" s="1"/>
  <c r="BL8" i="73" a="1"/>
  <c r="BL8" i="73" s="1"/>
  <c r="BL9" i="73" s="1"/>
  <c r="AZ8" i="73" a="1"/>
  <c r="AZ8" i="73" s="1"/>
  <c r="AZ9" i="73" s="1"/>
  <c r="BI8" i="73" a="1"/>
  <c r="BI8" i="73" s="1"/>
  <c r="BI9" i="73" s="1"/>
  <c r="CA8" i="73" a="1"/>
  <c r="CA8" i="73" s="1"/>
  <c r="CA9" i="73" s="1"/>
  <c r="CE8" i="73" a="1"/>
  <c r="CE8" i="73" s="1"/>
  <c r="CE9" i="73" s="1"/>
  <c r="CL8" i="70" a="1"/>
  <c r="CL8" i="70" s="1"/>
  <c r="CL9" i="70" s="1"/>
  <c r="CC5" i="66" a="1"/>
  <c r="CC5" i="66" s="1"/>
  <c r="CG5" i="66" a="1"/>
  <c r="CG5" i="66" s="1"/>
  <c r="CK5" i="66" a="1"/>
  <c r="CK5" i="66" s="1"/>
  <c r="BZ5" i="66" a="1"/>
  <c r="BZ5" i="66" s="1"/>
  <c r="CD5" i="66" a="1"/>
  <c r="CD5" i="66" s="1"/>
  <c r="CH5" i="66" a="1"/>
  <c r="CH5" i="66" s="1"/>
  <c r="CE5" i="66" a="1"/>
  <c r="CE5" i="66" s="1"/>
  <c r="CF8" i="66" a="1"/>
  <c r="CF8" i="66" s="1"/>
  <c r="CF9" i="66" s="1"/>
  <c r="AM14" i="76"/>
  <c r="AG14" i="73"/>
  <c r="AH8" i="66" a="1"/>
  <c r="AH8" i="66" s="1"/>
  <c r="AH9" i="66" s="1"/>
  <c r="AO8" i="66" a="1"/>
  <c r="AO8" i="66" s="1"/>
  <c r="AO9" i="66" s="1"/>
  <c r="AU8" i="66" a="1"/>
  <c r="AU8" i="66" s="1"/>
  <c r="AU9" i="66" s="1"/>
  <c r="BA8" i="66" a="1"/>
  <c r="BA8" i="66" s="1"/>
  <c r="BA9" i="66" s="1"/>
  <c r="BY8" i="66" a="1"/>
  <c r="BY8" i="66" s="1"/>
  <c r="BY9" i="66" s="1"/>
  <c r="CG8" i="66" a="1"/>
  <c r="CG8" i="66" s="1"/>
  <c r="CG9" i="66" s="1"/>
  <c r="AI8" i="66" a="1"/>
  <c r="AI8" i="66" s="1"/>
  <c r="AI9" i="66" s="1"/>
  <c r="AP8" i="66" a="1"/>
  <c r="AP8" i="66" s="1"/>
  <c r="AP9" i="66" s="1"/>
  <c r="AW8" i="66" a="1"/>
  <c r="AW8" i="66" s="1"/>
  <c r="AW9" i="66" s="1"/>
  <c r="BE8" i="66" a="1"/>
  <c r="BE8" i="66" s="1"/>
  <c r="BE9" i="66" s="1"/>
  <c r="BZ8" i="66" a="1"/>
  <c r="BZ8" i="66" s="1"/>
  <c r="BZ9" i="66" s="1"/>
  <c r="CH8" i="66" a="1"/>
  <c r="CH8" i="66" s="1"/>
  <c r="CH9" i="66" s="1"/>
  <c r="O17" i="63"/>
  <c r="AZ5" i="63" a="1"/>
  <c r="AZ5" i="63" s="1"/>
  <c r="CE5" i="63" a="1"/>
  <c r="CE5" i="63" s="1"/>
  <c r="CH8" i="63" a="1"/>
  <c r="CH8" i="63" s="1"/>
  <c r="BO5" i="63" a="1"/>
  <c r="BO5" i="63" s="1"/>
  <c r="O16" i="62"/>
  <c r="CJ8" i="62" a="1"/>
  <c r="CJ8" i="62" s="1"/>
  <c r="CJ9" i="62" s="1"/>
  <c r="CJ8" i="60" a="1"/>
  <c r="CJ8" i="60" s="1"/>
  <c r="CJ9" i="60" s="1"/>
  <c r="AG3" i="77" a="1"/>
  <c r="AG3" i="77" s="1"/>
  <c r="BT8" i="77" a="1"/>
  <c r="BT8" i="77" s="1"/>
  <c r="BT9" i="77" s="1"/>
  <c r="AY8" i="66" a="1"/>
  <c r="AY8" i="66" s="1"/>
  <c r="AY9" i="66" s="1"/>
  <c r="BF8" i="66" a="1"/>
  <c r="BF8" i="66" s="1"/>
  <c r="BF9" i="66" s="1"/>
  <c r="BS8" i="66" a="1"/>
  <c r="BS8" i="66" s="1"/>
  <c r="BS9" i="66" s="1"/>
  <c r="CA8" i="66" a="1"/>
  <c r="CA8" i="66" s="1"/>
  <c r="CA9" i="66" s="1"/>
  <c r="CE8" i="66" a="1"/>
  <c r="CE8" i="66" s="1"/>
  <c r="CE9" i="66" s="1"/>
  <c r="CI8" i="66" a="1"/>
  <c r="CI8" i="66" s="1"/>
  <c r="CI9" i="66" s="1"/>
  <c r="BM8" i="66" a="1"/>
  <c r="BM8" i="66" s="1"/>
  <c r="BM9" i="66" s="1"/>
  <c r="BO8" i="66" a="1"/>
  <c r="BO8" i="66" s="1"/>
  <c r="BO9" i="66" s="1"/>
  <c r="BX8" i="66" a="1"/>
  <c r="BX8" i="66" s="1"/>
  <c r="BX9" i="66" s="1"/>
  <c r="CB8" i="66" a="1"/>
  <c r="CB8" i="66" s="1"/>
  <c r="CB9" i="66" s="1"/>
  <c r="CK8" i="66" a="1"/>
  <c r="CK8" i="66" s="1"/>
  <c r="CK9" i="66" s="1"/>
  <c r="CN8" i="79" a="1"/>
  <c r="CN8" i="79" s="1"/>
  <c r="CN9" i="79" s="1"/>
  <c r="L17" i="73"/>
  <c r="CL8" i="73" a="1"/>
  <c r="CL8" i="73" s="1"/>
  <c r="CL9" i="73" s="1"/>
  <c r="O17" i="71"/>
  <c r="CK8" i="71" a="1"/>
  <c r="CK8" i="71" s="1"/>
  <c r="CK9" i="71" s="1"/>
  <c r="CE8" i="78" a="1"/>
  <c r="CE8" i="78" s="1"/>
  <c r="CE9" i="78" s="1"/>
  <c r="AG3" i="75" a="1"/>
  <c r="AG3" i="75" s="1"/>
  <c r="AS3" i="75" a="1"/>
  <c r="AS3" i="75" s="1"/>
  <c r="CC3" i="75" a="1"/>
  <c r="CC3" i="75" s="1"/>
  <c r="AH3" i="75" a="1"/>
  <c r="AH3" i="75" s="1"/>
  <c r="AR3" i="75" a="1"/>
  <c r="AR3" i="75" s="1"/>
  <c r="AO4" i="75" a="1"/>
  <c r="AO4" i="75" s="1"/>
  <c r="AF3" i="75" a="1"/>
  <c r="AF3" i="75" s="1"/>
  <c r="AK3" i="75" a="1"/>
  <c r="AK3" i="75" s="1"/>
  <c r="AZ3" i="75" a="1"/>
  <c r="AZ3" i="75" s="1"/>
  <c r="N17" i="76"/>
  <c r="CK5" i="61" a="1"/>
  <c r="CK5" i="61" s="1"/>
  <c r="CP8" i="69" a="1"/>
  <c r="CP8" i="69" s="1"/>
  <c r="CP9" i="69" s="1"/>
  <c r="N16" i="64"/>
  <c r="CJ8" i="64" a="1"/>
  <c r="CJ8" i="64" s="1"/>
  <c r="CJ9" i="64" s="1"/>
  <c r="CE3" i="68" a="1"/>
  <c r="CE3" i="68" s="1"/>
  <c r="CI3" i="68" a="1"/>
  <c r="CI3" i="68" s="1"/>
  <c r="CM3" i="68" a="1"/>
  <c r="CM3" i="68" s="1"/>
  <c r="CE4" i="68" a="1"/>
  <c r="CE4" i="68" s="1"/>
  <c r="CG3" i="68" a="1"/>
  <c r="CG3" i="68" s="1"/>
  <c r="CK3" i="68" a="1"/>
  <c r="CK3" i="68" s="1"/>
  <c r="AN4" i="68" a="1"/>
  <c r="AN4" i="68" s="1"/>
  <c r="BZ3" i="68" a="1"/>
  <c r="BZ3" i="68" s="1"/>
  <c r="CD3" i="68" a="1"/>
  <c r="CD3" i="68" s="1"/>
  <c r="CH3" i="68" a="1"/>
  <c r="CH3" i="68" s="1"/>
  <c r="CL3" i="68" a="1"/>
  <c r="CL3" i="68" s="1"/>
  <c r="AW4" i="68" a="1"/>
  <c r="AW4" i="68" s="1"/>
  <c r="O17" i="65"/>
  <c r="CE8" i="65" a="1"/>
  <c r="CE8" i="65" s="1"/>
  <c r="CE9" i="65" s="1"/>
  <c r="CI8" i="65" a="1"/>
  <c r="CI8" i="65" s="1"/>
  <c r="CI9" i="65" s="1"/>
  <c r="CL8" i="74" a="1"/>
  <c r="CL8" i="74" s="1"/>
  <c r="CL9" i="74" s="1"/>
  <c r="O16" i="70"/>
  <c r="CG8" i="70" a="1"/>
  <c r="CG8" i="70" s="1"/>
  <c r="CG9" i="70" s="1"/>
  <c r="CL8" i="76" a="1"/>
  <c r="CL8" i="76" s="1"/>
  <c r="CL9" i="76" s="1"/>
  <c r="AH14" i="76"/>
  <c r="CP8" i="72" a="1"/>
  <c r="CP8" i="72" s="1"/>
  <c r="CP9" i="72" s="1"/>
  <c r="BT13" i="77"/>
  <c r="CB13" i="77"/>
  <c r="CF13" i="77"/>
  <c r="CJ13" i="77"/>
  <c r="BA3" i="77" a="1"/>
  <c r="BA3" i="77" s="1"/>
  <c r="CA4" i="77" a="1"/>
  <c r="CA4" i="77" s="1"/>
  <c r="AO4" i="77" a="1"/>
  <c r="AO4" i="77" s="1"/>
  <c r="CJ8" i="77" a="1"/>
  <c r="CJ8" i="77" s="1"/>
  <c r="CJ9" i="77" s="1"/>
  <c r="CH8" i="65" a="1"/>
  <c r="CH8" i="65" s="1"/>
  <c r="CH9" i="65" s="1"/>
  <c r="O17" i="67"/>
  <c r="CI8" i="67" a="1"/>
  <c r="CI8" i="67" s="1"/>
  <c r="CI9" i="67" s="1"/>
  <c r="CL8" i="71" a="1"/>
  <c r="CL8" i="71" s="1"/>
  <c r="CL9" i="71" s="1"/>
  <c r="AR14" i="78"/>
  <c r="CF8" i="78" a="1"/>
  <c r="CF8" i="78" s="1"/>
  <c r="CF9" i="78" s="1"/>
  <c r="L17" i="78"/>
  <c r="O16" i="64"/>
  <c r="N17" i="64"/>
  <c r="L17" i="64"/>
  <c r="CI5" i="63" a="1"/>
  <c r="CI5" i="63" s="1"/>
  <c r="CK8" i="63" a="1"/>
  <c r="CK8" i="63" s="1"/>
  <c r="CK9" i="63" s="1"/>
  <c r="CE8" i="62" a="1"/>
  <c r="CE8" i="62" s="1"/>
  <c r="CE9" i="62" s="1"/>
  <c r="CK8" i="70" a="1"/>
  <c r="CK8" i="70" s="1"/>
  <c r="CK9" i="70" s="1"/>
  <c r="AL3" i="75" a="1"/>
  <c r="AL3" i="75" s="1"/>
  <c r="AP3" i="75" a="1"/>
  <c r="AP3" i="75" s="1"/>
  <c r="AW3" i="75" a="1"/>
  <c r="AW3" i="75" s="1"/>
  <c r="BN3" i="75" a="1"/>
  <c r="BN3" i="75" s="1"/>
  <c r="BX4" i="75" a="1"/>
  <c r="BX4" i="75" s="1"/>
  <c r="AM3" i="75" a="1"/>
  <c r="AM3" i="75" s="1"/>
  <c r="BJ3" i="75" a="1"/>
  <c r="BJ3" i="75" s="1"/>
  <c r="AY3" i="75" a="1"/>
  <c r="AY3" i="75" s="1"/>
  <c r="BY3" i="75" a="1"/>
  <c r="BY3" i="75" s="1"/>
  <c r="AK5" i="75" a="1"/>
  <c r="AK5" i="75" s="1"/>
  <c r="CI5" i="75" a="1"/>
  <c r="CI5" i="75" s="1"/>
  <c r="AO3" i="75" a="1"/>
  <c r="AO3" i="75" s="1"/>
  <c r="AV3" i="75" a="1"/>
  <c r="AV3" i="75" s="1"/>
  <c r="BK3" i="75" a="1"/>
  <c r="BK3" i="75" s="1"/>
  <c r="O17" i="66"/>
  <c r="CJ8" i="61" a="1"/>
  <c r="CJ8" i="61" s="1"/>
  <c r="CJ9" i="61" s="1"/>
  <c r="AH4" i="68" a="1"/>
  <c r="AH4" i="68" s="1"/>
  <c r="AT4" i="68" a="1"/>
  <c r="AT4" i="68" s="1"/>
  <c r="BB4" i="68" a="1"/>
  <c r="BB4" i="68" s="1"/>
  <c r="AI4" i="68" a="1"/>
  <c r="AI4" i="68" s="1"/>
  <c r="AP4" i="68" a="1"/>
  <c r="AP4" i="68" s="1"/>
  <c r="BS4" i="68" a="1"/>
  <c r="BS4" i="68" s="1"/>
  <c r="AF4" i="68" a="1"/>
  <c r="AF4" i="68" s="1"/>
  <c r="AK4" i="68" a="1"/>
  <c r="AK4" i="68" s="1"/>
  <c r="AS4" i="68" a="1"/>
  <c r="AS4" i="68" s="1"/>
  <c r="BZ5" i="68" a="1"/>
  <c r="BZ5" i="68" s="1"/>
  <c r="AX8" i="68" a="1"/>
  <c r="AX8" i="68" s="1"/>
  <c r="AX9" i="68" s="1"/>
  <c r="M16" i="73"/>
  <c r="O17" i="73"/>
  <c r="M17" i="73"/>
  <c r="N16" i="73"/>
  <c r="N17" i="73"/>
  <c r="L16" i="73"/>
  <c r="O16" i="60"/>
  <c r="N17" i="60"/>
  <c r="CI8" i="60" a="1"/>
  <c r="CI8" i="60" s="1"/>
  <c r="CI9" i="60" s="1"/>
  <c r="O17" i="74"/>
  <c r="AL14" i="60"/>
  <c r="BU13" i="74"/>
  <c r="BB13" i="74"/>
  <c r="CK8" i="60" a="1"/>
  <c r="CK8" i="60" s="1"/>
  <c r="CK9" i="60" s="1"/>
  <c r="AI14" i="78"/>
  <c r="AN14" i="78"/>
  <c r="N17" i="78"/>
  <c r="AU4" i="68" a="1"/>
  <c r="AU4" i="68" s="1"/>
  <c r="BC4" i="68" a="1"/>
  <c r="BC4" i="68" s="1"/>
  <c r="CI4" i="68" a="1"/>
  <c r="CI4" i="68" s="1"/>
  <c r="AS5" i="68" a="1"/>
  <c r="AS5" i="68" s="1"/>
  <c r="CM4" i="68" a="1"/>
  <c r="CM4" i="68" s="1"/>
  <c r="BA5" i="68" a="1"/>
  <c r="BA5" i="68" s="1"/>
  <c r="N16" i="68"/>
  <c r="CH5" i="68" a="1"/>
  <c r="CH5" i="68" s="1"/>
  <c r="CG8" i="68" a="1"/>
  <c r="CG8" i="68" s="1"/>
  <c r="CG9" i="68" s="1"/>
  <c r="AL4" i="68" a="1"/>
  <c r="AL4" i="68" s="1"/>
  <c r="BO4" i="68" a="1"/>
  <c r="BO4" i="68" s="1"/>
  <c r="BA4" i="68" a="1"/>
  <c r="BA4" i="68" s="1"/>
  <c r="CA4" i="68" a="1"/>
  <c r="CA4" i="68" s="1"/>
  <c r="AI5" i="68" a="1"/>
  <c r="AI5" i="68" s="1"/>
  <c r="L17" i="66"/>
  <c r="CJ8" i="66" a="1"/>
  <c r="CJ8" i="66" s="1"/>
  <c r="CJ9" i="66" s="1"/>
  <c r="O16" i="67"/>
  <c r="N17" i="67"/>
  <c r="CJ8" i="67" a="1"/>
  <c r="CJ8" i="67" s="1"/>
  <c r="CJ9" i="67" s="1"/>
  <c r="CE8" i="67" a="1"/>
  <c r="CE8" i="67" s="1"/>
  <c r="CE9" i="67" s="1"/>
  <c r="O16" i="77"/>
  <c r="O17" i="77"/>
  <c r="AK3" i="77" a="1"/>
  <c r="AK3" i="77" s="1"/>
  <c r="CB3" i="77" a="1"/>
  <c r="CB3" i="77" s="1"/>
  <c r="AI5" i="77" a="1"/>
  <c r="AI5" i="77" s="1"/>
  <c r="AQ3" i="77" a="1"/>
  <c r="AQ3" i="77" s="1"/>
  <c r="CF3" i="77" a="1"/>
  <c r="CF3" i="77" s="1"/>
  <c r="BQ5" i="77" a="1"/>
  <c r="BQ5" i="77" s="1"/>
  <c r="L17" i="77"/>
  <c r="AT3" i="77" a="1"/>
  <c r="AT3" i="77" s="1"/>
  <c r="O17" i="72"/>
  <c r="CL8" i="72" a="1"/>
  <c r="CL8" i="72" s="1"/>
  <c r="CL9" i="72" s="1"/>
  <c r="N16" i="72"/>
  <c r="O16" i="75"/>
  <c r="O17" i="75"/>
  <c r="BQ3" i="75" a="1"/>
  <c r="BQ3" i="75" s="1"/>
  <c r="AG4" i="75" a="1"/>
  <c r="AG4" i="75" s="1"/>
  <c r="AZ4" i="75" a="1"/>
  <c r="AZ4" i="75" s="1"/>
  <c r="CF4" i="75" a="1"/>
  <c r="CF4" i="75" s="1"/>
  <c r="AQ5" i="75" a="1"/>
  <c r="AQ5" i="75" s="1"/>
  <c r="AS4" i="75" a="1"/>
  <c r="AS4" i="75" s="1"/>
  <c r="BO4" i="75" a="1"/>
  <c r="BO4" i="75" s="1"/>
  <c r="AF5" i="75" a="1"/>
  <c r="AF5" i="75" s="1"/>
  <c r="BN5" i="75" a="1"/>
  <c r="BN5" i="75" s="1"/>
  <c r="CA5" i="75" a="1"/>
  <c r="CA5" i="75" s="1"/>
  <c r="BV8" i="75" a="1"/>
  <c r="BV8" i="75" s="1"/>
  <c r="BV9" i="75" s="1"/>
  <c r="BO3" i="75" a="1"/>
  <c r="BO3" i="75" s="1"/>
  <c r="CG3" i="75" a="1"/>
  <c r="CG3" i="75" s="1"/>
  <c r="AV4" i="75" a="1"/>
  <c r="AV4" i="75" s="1"/>
  <c r="CB4" i="75" a="1"/>
  <c r="CB4" i="75" s="1"/>
  <c r="AR5" i="75" a="1"/>
  <c r="AR5" i="75" s="1"/>
  <c r="L17" i="62"/>
  <c r="CI8" i="62" a="1"/>
  <c r="CI8" i="62" s="1"/>
  <c r="CI9" i="62" s="1"/>
  <c r="L17" i="71"/>
  <c r="CB5" i="63" a="1"/>
  <c r="CB5" i="63" s="1"/>
  <c r="CJ5" i="63" a="1"/>
  <c r="CJ5" i="63" s="1"/>
  <c r="CE8" i="63" a="1"/>
  <c r="CE8" i="63" s="1"/>
  <c r="CE9" i="63" s="1"/>
  <c r="L16" i="63"/>
  <c r="CA5" i="63" a="1"/>
  <c r="CA5" i="63" s="1"/>
  <c r="CD8" i="63" a="1"/>
  <c r="CD8" i="63" s="1"/>
  <c r="CD9" i="63" s="1"/>
  <c r="M17" i="60"/>
  <c r="AH14" i="60"/>
  <c r="O17" i="64"/>
  <c r="O16" i="61"/>
  <c r="O17" i="61"/>
  <c r="BV8" i="61" a="1"/>
  <c r="BV8" i="61" s="1"/>
  <c r="BV9" i="61" s="1"/>
  <c r="AZ8" i="61" a="1"/>
  <c r="AZ8" i="61" s="1"/>
  <c r="AZ9" i="61" s="1"/>
  <c r="BK8" i="61" a="1"/>
  <c r="BK8" i="61" s="1"/>
  <c r="BK9" i="61" s="1"/>
  <c r="BY8" i="61" a="1"/>
  <c r="BY8" i="61" s="1"/>
  <c r="BY9" i="61" s="1"/>
  <c r="CC8" i="61" a="1"/>
  <c r="CC8" i="61" s="1"/>
  <c r="CC9" i="61" s="1"/>
  <c r="CG8" i="61" a="1"/>
  <c r="CG8" i="61" s="1"/>
  <c r="CG9" i="61" s="1"/>
  <c r="BA8" i="61" a="1"/>
  <c r="BA8" i="61" s="1"/>
  <c r="BA9" i="61" s="1"/>
  <c r="BN8" i="61" a="1"/>
  <c r="BN8" i="61" s="1"/>
  <c r="BN9" i="61" s="1"/>
  <c r="BZ8" i="61" a="1"/>
  <c r="BZ8" i="61" s="1"/>
  <c r="BZ9" i="61" s="1"/>
  <c r="CD8" i="61" a="1"/>
  <c r="CD8" i="61" s="1"/>
  <c r="CD9" i="61" s="1"/>
  <c r="CI8" i="61" a="1"/>
  <c r="CI8" i="61" s="1"/>
  <c r="CI9" i="61" s="1"/>
  <c r="O17" i="79"/>
  <c r="N17" i="79"/>
  <c r="CK8" i="79" a="1"/>
  <c r="CK8" i="79" s="1"/>
  <c r="CK9" i="79" s="1"/>
  <c r="O16" i="74"/>
  <c r="L17" i="74"/>
  <c r="CM8" i="74" a="1"/>
  <c r="CM8" i="74" s="1"/>
  <c r="CM9" i="74" s="1"/>
  <c r="O16" i="65"/>
  <c r="N17" i="65"/>
  <c r="N16" i="69"/>
  <c r="CO8" i="69" a="1"/>
  <c r="CO8" i="69" s="1"/>
  <c r="CO9" i="69" s="1"/>
  <c r="L17" i="70"/>
  <c r="CI8" i="70" a="1"/>
  <c r="CI8" i="70" s="1"/>
  <c r="CI9" i="70" s="1"/>
  <c r="CK8" i="78" a="1"/>
  <c r="CK8" i="78" s="1"/>
  <c r="CK9" i="78" s="1"/>
  <c r="CH8" i="78" a="1"/>
  <c r="CH8" i="78" s="1"/>
  <c r="CH9" i="78" s="1"/>
  <c r="CC8" i="68" a="1"/>
  <c r="CC8" i="68" s="1"/>
  <c r="CC9" i="68" s="1"/>
  <c r="AG14" i="70"/>
  <c r="M17" i="70"/>
  <c r="O16" i="63"/>
  <c r="L16" i="69"/>
  <c r="O17" i="69"/>
  <c r="L17" i="69"/>
  <c r="M16" i="69"/>
  <c r="N17" i="69"/>
  <c r="CN8" i="69" a="1"/>
  <c r="CN8" i="69" s="1"/>
  <c r="CN9" i="69" s="1"/>
  <c r="CK8" i="69" a="1"/>
  <c r="CK8" i="69" s="1"/>
  <c r="CK9" i="69" s="1"/>
  <c r="O16" i="66"/>
  <c r="L16" i="66"/>
  <c r="N17" i="66"/>
  <c r="AG14" i="66"/>
  <c r="AY5" i="75" a="1"/>
  <c r="AY5" i="75" s="1"/>
  <c r="CE5" i="75" a="1"/>
  <c r="CE5" i="75" s="1"/>
  <c r="BJ8" i="75" a="1"/>
  <c r="BJ8" i="75" s="1"/>
  <c r="BJ9" i="75" s="1"/>
  <c r="BZ8" i="75" a="1"/>
  <c r="BZ8" i="75" s="1"/>
  <c r="BZ9" i="75" s="1"/>
  <c r="BB8" i="75" a="1"/>
  <c r="BB8" i="75" s="1"/>
  <c r="BB9" i="75" s="1"/>
  <c r="CD8" i="75" a="1"/>
  <c r="CD8" i="75" s="1"/>
  <c r="CD9" i="75" s="1"/>
  <c r="AM8" i="75" a="1"/>
  <c r="AM8" i="75" s="1"/>
  <c r="AM9" i="75" s="1"/>
  <c r="N17" i="75"/>
  <c r="CG8" i="75" a="1"/>
  <c r="CG8" i="75" s="1"/>
  <c r="CG9" i="75" s="1"/>
  <c r="CJ8" i="65" a="1"/>
  <c r="CJ8" i="65" s="1"/>
  <c r="CJ9" i="65" s="1"/>
  <c r="N16" i="65"/>
  <c r="L17" i="65"/>
  <c r="O16" i="78"/>
  <c r="N16" i="78"/>
  <c r="L16" i="78"/>
  <c r="M16" i="67"/>
  <c r="M17" i="67"/>
  <c r="CK8" i="67" a="1"/>
  <c r="CK8" i="67" s="1"/>
  <c r="CK9" i="67" s="1"/>
  <c r="L16" i="67"/>
  <c r="L17" i="67"/>
  <c r="N16" i="67"/>
  <c r="M16" i="62"/>
  <c r="O17" i="62"/>
  <c r="M17" i="62"/>
  <c r="N16" i="62"/>
  <c r="N17" i="62"/>
  <c r="CH8" i="62" a="1"/>
  <c r="CH8" i="62" s="1"/>
  <c r="CH9" i="62" s="1"/>
  <c r="L16" i="62"/>
  <c r="M17" i="74"/>
  <c r="M16" i="74"/>
  <c r="N16" i="74"/>
  <c r="N17" i="74"/>
  <c r="L16" i="74"/>
  <c r="O17" i="68"/>
  <c r="BQ5" i="68" a="1"/>
  <c r="BQ5" i="68" s="1"/>
  <c r="CL5" i="68" a="1"/>
  <c r="CL5" i="68" s="1"/>
  <c r="CD5" i="68" a="1"/>
  <c r="CD5" i="68" s="1"/>
  <c r="N17" i="68"/>
  <c r="CJ8" i="68" a="1"/>
  <c r="CJ8" i="68" s="1"/>
  <c r="CJ9" i="68" s="1"/>
  <c r="O16" i="72"/>
  <c r="CH8" i="61" a="1"/>
  <c r="CH8" i="61" s="1"/>
  <c r="CH9" i="61" s="1"/>
  <c r="L17" i="61"/>
  <c r="O16" i="71"/>
  <c r="L16" i="71"/>
  <c r="N16" i="71"/>
  <c r="AI14" i="60"/>
  <c r="O17" i="60"/>
  <c r="L16" i="60"/>
  <c r="M16" i="60"/>
  <c r="L17" i="60"/>
  <c r="N16" i="60"/>
  <c r="O16" i="73"/>
  <c r="BT3" i="77" a="1"/>
  <c r="BT3" i="77" s="1"/>
  <c r="AF4" i="77" a="1"/>
  <c r="AF4" i="77" s="1"/>
  <c r="AY4" i="77" a="1"/>
  <c r="AY4" i="77" s="1"/>
  <c r="CI4" i="77" a="1"/>
  <c r="CI4" i="77" s="1"/>
  <c r="BF5" i="77" a="1"/>
  <c r="BF5" i="77" s="1"/>
  <c r="CD5" i="77" a="1"/>
  <c r="CD5" i="77" s="1"/>
  <c r="AJ4" i="77" a="1"/>
  <c r="AJ4" i="77" s="1"/>
  <c r="BS4" i="77" a="1"/>
  <c r="BS4" i="77" s="1"/>
  <c r="CM4" i="77" a="1"/>
  <c r="CM4" i="77" s="1"/>
  <c r="AX5" i="77" a="1"/>
  <c r="AX5" i="77" s="1"/>
  <c r="CK5" i="77" a="1"/>
  <c r="CK5" i="77" s="1"/>
  <c r="CM8" i="77" a="1"/>
  <c r="CM8" i="77" s="1"/>
  <c r="CM9" i="77" s="1"/>
  <c r="M16" i="77"/>
  <c r="CJ3" i="77" a="1"/>
  <c r="CJ3" i="77" s="1"/>
  <c r="AS4" i="77" a="1"/>
  <c r="AS4" i="77" s="1"/>
  <c r="CE4" i="77" a="1"/>
  <c r="CE4" i="77" s="1"/>
  <c r="BO5" i="77" a="1"/>
  <c r="BO5" i="77" s="1"/>
  <c r="BZ5" i="77" a="1"/>
  <c r="BZ5" i="77" s="1"/>
  <c r="M17" i="77"/>
  <c r="M16" i="79"/>
  <c r="O16" i="79"/>
  <c r="M17" i="79"/>
  <c r="CL8" i="79" a="1"/>
  <c r="CL8" i="79" s="1"/>
  <c r="CL9" i="79" s="1"/>
  <c r="L16" i="79"/>
  <c r="L17" i="79"/>
  <c r="N16" i="79"/>
  <c r="O16" i="76"/>
  <c r="AM14" i="64"/>
  <c r="BO13" i="64"/>
  <c r="BN14" i="64"/>
  <c r="AH14" i="64"/>
  <c r="AK14" i="64"/>
  <c r="AO14" i="64"/>
  <c r="AI14" i="64"/>
  <c r="AN14" i="64"/>
  <c r="AP14" i="64"/>
  <c r="L16" i="72"/>
  <c r="L17" i="72"/>
  <c r="M16" i="72"/>
  <c r="M17" i="72"/>
  <c r="N17" i="72"/>
  <c r="AG14" i="64"/>
  <c r="AL14" i="64"/>
  <c r="AI14" i="76"/>
  <c r="AJ14" i="76"/>
  <c r="AN14" i="76"/>
  <c r="M17" i="76"/>
  <c r="M16" i="76"/>
  <c r="CK8" i="76" a="1"/>
  <c r="CK8" i="76" s="1"/>
  <c r="CK9" i="76" s="1"/>
  <c r="L16" i="76"/>
  <c r="L17" i="76"/>
  <c r="N16" i="76"/>
  <c r="M16" i="65"/>
  <c r="M17" i="65"/>
  <c r="L16" i="65"/>
  <c r="M16" i="64"/>
  <c r="M17" i="64"/>
  <c r="L16" i="64"/>
  <c r="AK4" i="63" a="1"/>
  <c r="AK4" i="63" s="1"/>
  <c r="AR4" i="63" a="1"/>
  <c r="AR4" i="63" s="1"/>
  <c r="AW4" i="63" a="1"/>
  <c r="AW4" i="63" s="1"/>
  <c r="BB4" i="63" a="1"/>
  <c r="BB4" i="63" s="1"/>
  <c r="BR4" i="63" a="1"/>
  <c r="BR4" i="63" s="1"/>
  <c r="BZ4" i="63" a="1"/>
  <c r="BZ4" i="63" s="1"/>
  <c r="CD4" i="63" a="1"/>
  <c r="CD4" i="63" s="1"/>
  <c r="CH4" i="63" a="1"/>
  <c r="CH4" i="63" s="1"/>
  <c r="CH6" i="63" s="1"/>
  <c r="CH7" i="63" s="1"/>
  <c r="AF5" i="63" a="1"/>
  <c r="AF5" i="63" s="1"/>
  <c r="AJ5" i="63" a="1"/>
  <c r="AJ5" i="63" s="1"/>
  <c r="AQ5" i="63" a="1"/>
  <c r="AQ5" i="63" s="1"/>
  <c r="AV5" i="63" a="1"/>
  <c r="AV5" i="63" s="1"/>
  <c r="AY5" i="63" a="1"/>
  <c r="AY5" i="63" s="1"/>
  <c r="BQ5" i="63" a="1"/>
  <c r="BQ5" i="63" s="1"/>
  <c r="BY5" i="63" a="1"/>
  <c r="BY5" i="63" s="1"/>
  <c r="CC5" i="63" a="1"/>
  <c r="CC5" i="63" s="1"/>
  <c r="CG5" i="63" a="1"/>
  <c r="CG5" i="63" s="1"/>
  <c r="CK5" i="63" a="1"/>
  <c r="CK5" i="63" s="1"/>
  <c r="AH8" i="63" a="1"/>
  <c r="AH8" i="63" s="1"/>
  <c r="AH9" i="63" s="1"/>
  <c r="AO8" i="63" a="1"/>
  <c r="AO8" i="63" s="1"/>
  <c r="AO9" i="63" s="1"/>
  <c r="AU8" i="63" a="1"/>
  <c r="AU8" i="63" s="1"/>
  <c r="AU9" i="63" s="1"/>
  <c r="AX8" i="63" a="1"/>
  <c r="AX8" i="63" s="1"/>
  <c r="AX9" i="63" s="1"/>
  <c r="BO8" i="63" a="1"/>
  <c r="BO8" i="63" s="1"/>
  <c r="BO9" i="63" s="1"/>
  <c r="BX8" i="63" a="1"/>
  <c r="BX8" i="63" s="1"/>
  <c r="BX9" i="63" s="1"/>
  <c r="CB8" i="63" a="1"/>
  <c r="CB8" i="63" s="1"/>
  <c r="CB9" i="63" s="1"/>
  <c r="CF8" i="63" a="1"/>
  <c r="CF8" i="63" s="1"/>
  <c r="CF9" i="63" s="1"/>
  <c r="CJ8" i="63" a="1"/>
  <c r="CJ8" i="63" s="1"/>
  <c r="CJ9" i="63" s="1"/>
  <c r="AN4" i="63" a="1"/>
  <c r="AN4" i="63" s="1"/>
  <c r="AT4" i="63" a="1"/>
  <c r="AT4" i="63" s="1"/>
  <c r="BN4" i="63" a="1"/>
  <c r="BN4" i="63" s="1"/>
  <c r="AZ4" i="63" a="1"/>
  <c r="AZ4" i="63" s="1"/>
  <c r="BS4" i="63" a="1"/>
  <c r="BS4" i="63" s="1"/>
  <c r="CA4" i="63" a="1"/>
  <c r="CA4" i="63" s="1"/>
  <c r="CE4" i="63" a="1"/>
  <c r="CE4" i="63" s="1"/>
  <c r="CI4" i="63" a="1"/>
  <c r="CI4" i="63" s="1"/>
  <c r="CI6" i="63" s="1"/>
  <c r="CI7" i="63" s="1"/>
  <c r="AG5" i="63" a="1"/>
  <c r="AG5" i="63" s="1"/>
  <c r="AK5" i="63" a="1"/>
  <c r="AK5" i="63" s="1"/>
  <c r="AR5" i="63" a="1"/>
  <c r="AR5" i="63" s="1"/>
  <c r="AW5" i="63" a="1"/>
  <c r="AW5" i="63" s="1"/>
  <c r="BB5" i="63" a="1"/>
  <c r="BB5" i="63" s="1"/>
  <c r="BR5" i="63" a="1"/>
  <c r="BR5" i="63" s="1"/>
  <c r="BZ5" i="63" a="1"/>
  <c r="BZ5" i="63" s="1"/>
  <c r="CD5" i="63" a="1"/>
  <c r="CD5" i="63" s="1"/>
  <c r="CH5" i="63" a="1"/>
  <c r="CH5" i="63" s="1"/>
  <c r="AF8" i="63" a="1"/>
  <c r="AF8" i="63" s="1"/>
  <c r="AJ8" i="63" a="1"/>
  <c r="AJ8" i="63" s="1"/>
  <c r="AJ9" i="63" s="1"/>
  <c r="AQ8" i="63" a="1"/>
  <c r="AQ8" i="63" s="1"/>
  <c r="AQ9" i="63" s="1"/>
  <c r="AV8" i="63" a="1"/>
  <c r="AV8" i="63" s="1"/>
  <c r="AV9" i="63" s="1"/>
  <c r="AY8" i="63" a="1"/>
  <c r="AY8" i="63" s="1"/>
  <c r="AY9" i="63" s="1"/>
  <c r="BQ8" i="63" a="1"/>
  <c r="BQ8" i="63" s="1"/>
  <c r="BQ9" i="63" s="1"/>
  <c r="BY8" i="63" a="1"/>
  <c r="BY8" i="63" s="1"/>
  <c r="BY9" i="63" s="1"/>
  <c r="CC8" i="63" a="1"/>
  <c r="CC8" i="63" s="1"/>
  <c r="CC9" i="63" s="1"/>
  <c r="CG8" i="63" a="1"/>
  <c r="CG8" i="63" s="1"/>
  <c r="CG9" i="63" s="1"/>
  <c r="N17" i="63"/>
  <c r="L16" i="61"/>
  <c r="M16" i="66"/>
  <c r="M17" i="66"/>
  <c r="N16" i="66"/>
  <c r="N17" i="71"/>
  <c r="BT4" i="68" a="1"/>
  <c r="BT4" i="68" s="1"/>
  <c r="CB4" i="68" a="1"/>
  <c r="CB4" i="68" s="1"/>
  <c r="CF4" i="68" a="1"/>
  <c r="CF4" i="68" s="1"/>
  <c r="CJ4" i="68" a="1"/>
  <c r="CJ4" i="68" s="1"/>
  <c r="AF5" i="68" a="1"/>
  <c r="AF5" i="68" s="1"/>
  <c r="AK5" i="68" a="1"/>
  <c r="AK5" i="68" s="1"/>
  <c r="AP5" i="68" a="1"/>
  <c r="AP5" i="68" s="1"/>
  <c r="AU5" i="68" a="1"/>
  <c r="AU5" i="68" s="1"/>
  <c r="BB5" i="68" a="1"/>
  <c r="BB5" i="68" s="1"/>
  <c r="BS5" i="68" a="1"/>
  <c r="BS5" i="68" s="1"/>
  <c r="CA5" i="68" a="1"/>
  <c r="CA5" i="68" s="1"/>
  <c r="CE5" i="68" a="1"/>
  <c r="CE5" i="68" s="1"/>
  <c r="CI5" i="68" a="1"/>
  <c r="CI5" i="68" s="1"/>
  <c r="CM5" i="68" a="1"/>
  <c r="CM5" i="68" s="1"/>
  <c r="AI8" i="68" a="1"/>
  <c r="AI8" i="68" s="1"/>
  <c r="AI9" i="68" s="1"/>
  <c r="AT8" i="68" a="1"/>
  <c r="AT8" i="68" s="1"/>
  <c r="AT9" i="68" s="1"/>
  <c r="AS8" i="68" a="1"/>
  <c r="AS8" i="68" s="1"/>
  <c r="AS9" i="68" s="1"/>
  <c r="BA8" i="68" a="1"/>
  <c r="BA8" i="68" s="1"/>
  <c r="BA9" i="68" s="1"/>
  <c r="BQ8" i="68" a="1"/>
  <c r="BQ8" i="68" s="1"/>
  <c r="BQ9" i="68" s="1"/>
  <c r="BZ8" i="68" a="1"/>
  <c r="BZ8" i="68" s="1"/>
  <c r="BZ9" i="68" s="1"/>
  <c r="CD8" i="68" a="1"/>
  <c r="CD8" i="68" s="1"/>
  <c r="CD9" i="68" s="1"/>
  <c r="CH8" i="68" a="1"/>
  <c r="CH8" i="68" s="1"/>
  <c r="CH9" i="68" s="1"/>
  <c r="CL8" i="68" a="1"/>
  <c r="CL8" i="68" s="1"/>
  <c r="CL9" i="68" s="1"/>
  <c r="AQ4" i="68" a="1"/>
  <c r="AQ4" i="68" s="1"/>
  <c r="AX4" i="68" a="1"/>
  <c r="AX4" i="68" s="1"/>
  <c r="BD4" i="68" a="1"/>
  <c r="BD4" i="68" s="1"/>
  <c r="BU4" i="68" a="1"/>
  <c r="BU4" i="68" s="1"/>
  <c r="CC4" i="68" a="1"/>
  <c r="CC4" i="68" s="1"/>
  <c r="CG4" i="68" a="1"/>
  <c r="CG4" i="68" s="1"/>
  <c r="CK4" i="68" a="1"/>
  <c r="CK4" i="68" s="1"/>
  <c r="AG5" i="68" a="1"/>
  <c r="AG5" i="68" s="1"/>
  <c r="AL5" i="68" a="1"/>
  <c r="AL5" i="68" s="1"/>
  <c r="BO5" i="68" a="1"/>
  <c r="BO5" i="68" s="1"/>
  <c r="AW5" i="68" a="1"/>
  <c r="AW5" i="68" s="1"/>
  <c r="BC5" i="68" a="1"/>
  <c r="BC5" i="68" s="1"/>
  <c r="BT5" i="68" a="1"/>
  <c r="BT5" i="68" s="1"/>
  <c r="CB5" i="68" a="1"/>
  <c r="CB5" i="68" s="1"/>
  <c r="CF5" i="68" a="1"/>
  <c r="CF5" i="68" s="1"/>
  <c r="CJ5" i="68" a="1"/>
  <c r="CJ5" i="68" s="1"/>
  <c r="AF8" i="68" a="1"/>
  <c r="AF8" i="68" s="1"/>
  <c r="AK8" i="68" a="1"/>
  <c r="AK8" i="68" s="1"/>
  <c r="AK9" i="68" s="1"/>
  <c r="AP8" i="68" a="1"/>
  <c r="AP8" i="68" s="1"/>
  <c r="AP9" i="68" s="1"/>
  <c r="AU8" i="68" a="1"/>
  <c r="AU8" i="68" s="1"/>
  <c r="AU9" i="68" s="1"/>
  <c r="BB8" i="68" a="1"/>
  <c r="BB8" i="68" s="1"/>
  <c r="BB9" i="68" s="1"/>
  <c r="BS8" i="68" a="1"/>
  <c r="BS8" i="68" s="1"/>
  <c r="BS9" i="68" s="1"/>
  <c r="CA8" i="68" a="1"/>
  <c r="CA8" i="68" s="1"/>
  <c r="CA9" i="68" s="1"/>
  <c r="CE8" i="68" a="1"/>
  <c r="CE8" i="68" s="1"/>
  <c r="CE9" i="68" s="1"/>
  <c r="CI8" i="68" a="1"/>
  <c r="CI8" i="68" s="1"/>
  <c r="CI9" i="68" s="1"/>
  <c r="CM8" i="68" a="1"/>
  <c r="CM8" i="68" s="1"/>
  <c r="CM9" i="68" s="1"/>
  <c r="L16" i="68"/>
  <c r="L17" i="68"/>
  <c r="BQ4" i="68" a="1"/>
  <c r="BQ4" i="68" s="1"/>
  <c r="BZ4" i="68" a="1"/>
  <c r="BZ4" i="68" s="1"/>
  <c r="CD4" i="68" a="1"/>
  <c r="CD4" i="68" s="1"/>
  <c r="CH4" i="68" a="1"/>
  <c r="CH4" i="68" s="1"/>
  <c r="CL4" i="68" a="1"/>
  <c r="CL4" i="68" s="1"/>
  <c r="AH5" i="68" a="1"/>
  <c r="AH5" i="68" s="1"/>
  <c r="AN5" i="68" a="1"/>
  <c r="AN5" i="68" s="1"/>
  <c r="AQ5" i="68" a="1"/>
  <c r="AQ5" i="68" s="1"/>
  <c r="AX5" i="68" a="1"/>
  <c r="AX5" i="68" s="1"/>
  <c r="BD5" i="68" a="1"/>
  <c r="BD5" i="68" s="1"/>
  <c r="BU5" i="68" a="1"/>
  <c r="BU5" i="68" s="1"/>
  <c r="CC5" i="68" a="1"/>
  <c r="CC5" i="68" s="1"/>
  <c r="CG5" i="68" a="1"/>
  <c r="CG5" i="68" s="1"/>
  <c r="CK5" i="68" a="1"/>
  <c r="CK5" i="68" s="1"/>
  <c r="AG8" i="68" a="1"/>
  <c r="AG8" i="68" s="1"/>
  <c r="AG9" i="68" s="1"/>
  <c r="AL8" i="68" a="1"/>
  <c r="AL8" i="68" s="1"/>
  <c r="AL9" i="68" s="1"/>
  <c r="BO8" i="68" a="1"/>
  <c r="BO8" i="68" s="1"/>
  <c r="BO9" i="68" s="1"/>
  <c r="AW8" i="68" a="1"/>
  <c r="AW8" i="68" s="1"/>
  <c r="AW9" i="68" s="1"/>
  <c r="BC8" i="68" a="1"/>
  <c r="BC8" i="68" s="1"/>
  <c r="BC9" i="68" s="1"/>
  <c r="BT8" i="68" a="1"/>
  <c r="BT8" i="68" s="1"/>
  <c r="BT9" i="68" s="1"/>
  <c r="CB8" i="68" a="1"/>
  <c r="CB8" i="68" s="1"/>
  <c r="CB9" i="68" s="1"/>
  <c r="CF8" i="68" a="1"/>
  <c r="CF8" i="68" s="1"/>
  <c r="CF9" i="68" s="1"/>
  <c r="M16" i="68"/>
  <c r="BX6" i="63"/>
  <c r="BX7" i="63" s="1"/>
  <c r="L17" i="63"/>
  <c r="N17" i="61"/>
  <c r="M16" i="61"/>
  <c r="M17" i="61"/>
  <c r="N16" i="61"/>
  <c r="CJ11" i="61"/>
  <c r="BZ13" i="77"/>
  <c r="CH13" i="77"/>
  <c r="AH3" i="77" a="1"/>
  <c r="AH3" i="77" s="1"/>
  <c r="AM3" i="77" a="1"/>
  <c r="AM3" i="77" s="1"/>
  <c r="AR3" i="77" a="1"/>
  <c r="AR3" i="77" s="1"/>
  <c r="AU3" i="77" a="1"/>
  <c r="AU3" i="77" s="1"/>
  <c r="BB3" i="77" a="1"/>
  <c r="BB3" i="77" s="1"/>
  <c r="BU3" i="77" a="1"/>
  <c r="BU3" i="77" s="1"/>
  <c r="CC3" i="77" a="1"/>
  <c r="CC3" i="77" s="1"/>
  <c r="CG3" i="77" a="1"/>
  <c r="CG3" i="77" s="1"/>
  <c r="CK3" i="77" a="1"/>
  <c r="CK3" i="77" s="1"/>
  <c r="AG4" i="77" a="1"/>
  <c r="AG4" i="77" s="1"/>
  <c r="AK4" i="77" a="1"/>
  <c r="AK4" i="77" s="1"/>
  <c r="AQ4" i="77" a="1"/>
  <c r="AQ4" i="77" s="1"/>
  <c r="AT4" i="77" a="1"/>
  <c r="AT4" i="77" s="1"/>
  <c r="BA4" i="77" a="1"/>
  <c r="BA4" i="77" s="1"/>
  <c r="BT4" i="77" a="1"/>
  <c r="BT4" i="77" s="1"/>
  <c r="CB4" i="77" a="1"/>
  <c r="CB4" i="77" s="1"/>
  <c r="CF4" i="77" a="1"/>
  <c r="CF4" i="77" s="1"/>
  <c r="CJ4" i="77" a="1"/>
  <c r="CJ4" i="77" s="1"/>
  <c r="AF5" i="77" a="1"/>
  <c r="AF5" i="77" s="1"/>
  <c r="AJ5" i="77" a="1"/>
  <c r="AJ5" i="77" s="1"/>
  <c r="AO5" i="77" a="1"/>
  <c r="AO5" i="77" s="1"/>
  <c r="AS5" i="77" a="1"/>
  <c r="AS5" i="77" s="1"/>
  <c r="AY5" i="77" a="1"/>
  <c r="AY5" i="77" s="1"/>
  <c r="BS5" i="77" a="1"/>
  <c r="BS5" i="77" s="1"/>
  <c r="CA5" i="77" a="1"/>
  <c r="CA5" i="77" s="1"/>
  <c r="CE5" i="77" a="1"/>
  <c r="CE5" i="77" s="1"/>
  <c r="CH5" i="77" a="1"/>
  <c r="CH5" i="77" s="1"/>
  <c r="CL5" i="77" a="1"/>
  <c r="CL5" i="77" s="1"/>
  <c r="AH8" i="77" a="1"/>
  <c r="AH8" i="77" s="1"/>
  <c r="AH9" i="77" s="1"/>
  <c r="AM8" i="77" a="1"/>
  <c r="AM8" i="77" s="1"/>
  <c r="AM9" i="77" s="1"/>
  <c r="AR8" i="77" a="1"/>
  <c r="AR8" i="77" s="1"/>
  <c r="AR9" i="77" s="1"/>
  <c r="AU8" i="77" a="1"/>
  <c r="AU8" i="77" s="1"/>
  <c r="AU9" i="77" s="1"/>
  <c r="BB8" i="77" a="1"/>
  <c r="BB8" i="77" s="1"/>
  <c r="BB9" i="77" s="1"/>
  <c r="BU8" i="77" a="1"/>
  <c r="BU8" i="77" s="1"/>
  <c r="BU9" i="77" s="1"/>
  <c r="CC8" i="77" a="1"/>
  <c r="CC8" i="77" s="1"/>
  <c r="CC9" i="77" s="1"/>
  <c r="CG8" i="77" a="1"/>
  <c r="CG8" i="77" s="1"/>
  <c r="CG9" i="77" s="1"/>
  <c r="CK8" i="77" a="1"/>
  <c r="CK8" i="77" s="1"/>
  <c r="CK9" i="77" s="1"/>
  <c r="N16" i="77"/>
  <c r="N17" i="77"/>
  <c r="AF2" i="77" a="1"/>
  <c r="AF2" i="77" s="1"/>
  <c r="AF13" i="77" s="1"/>
  <c r="AI3" i="77" a="1"/>
  <c r="AI3" i="77" s="1"/>
  <c r="BO3" i="77" a="1"/>
  <c r="BO3" i="77" s="1"/>
  <c r="BF3" i="77" a="1"/>
  <c r="BF3" i="77" s="1"/>
  <c r="AX3" i="77" a="1"/>
  <c r="AX3" i="77" s="1"/>
  <c r="BQ3" i="77" a="1"/>
  <c r="BQ3" i="77" s="1"/>
  <c r="BZ3" i="77" a="1"/>
  <c r="BZ3" i="77" s="1"/>
  <c r="CD3" i="77" a="1"/>
  <c r="CD3" i="77" s="1"/>
  <c r="CH3" i="77" a="1"/>
  <c r="CH3" i="77" s="1"/>
  <c r="CL3" i="77" a="1"/>
  <c r="CL3" i="77" s="1"/>
  <c r="AH4" i="77" a="1"/>
  <c r="AH4" i="77" s="1"/>
  <c r="AM4" i="77" a="1"/>
  <c r="AM4" i="77" s="1"/>
  <c r="AR4" i="77" a="1"/>
  <c r="AR4" i="77" s="1"/>
  <c r="AU4" i="77" a="1"/>
  <c r="AU4" i="77" s="1"/>
  <c r="BB4" i="77" a="1"/>
  <c r="BB4" i="77" s="1"/>
  <c r="BU4" i="77" a="1"/>
  <c r="BU4" i="77" s="1"/>
  <c r="CC4" i="77" a="1"/>
  <c r="CC4" i="77" s="1"/>
  <c r="CG4" i="77" a="1"/>
  <c r="CG4" i="77" s="1"/>
  <c r="CK4" i="77" a="1"/>
  <c r="CK4" i="77" s="1"/>
  <c r="AG5" i="77" a="1"/>
  <c r="AG5" i="77" s="1"/>
  <c r="AK5" i="77" a="1"/>
  <c r="AK5" i="77" s="1"/>
  <c r="AQ5" i="77" a="1"/>
  <c r="AQ5" i="77" s="1"/>
  <c r="AT5" i="77" a="1"/>
  <c r="AT5" i="77" s="1"/>
  <c r="BA5" i="77" a="1"/>
  <c r="BA5" i="77" s="1"/>
  <c r="BT5" i="77" a="1"/>
  <c r="BT5" i="77" s="1"/>
  <c r="CB5" i="77" a="1"/>
  <c r="CB5" i="77" s="1"/>
  <c r="CF5" i="77" a="1"/>
  <c r="CF5" i="77" s="1"/>
  <c r="CI5" i="77" a="1"/>
  <c r="CI5" i="77" s="1"/>
  <c r="CM5" i="77" a="1"/>
  <c r="CM5" i="77" s="1"/>
  <c r="AI8" i="77" a="1"/>
  <c r="AI8" i="77" s="1"/>
  <c r="AI9" i="77" s="1"/>
  <c r="BO8" i="77" a="1"/>
  <c r="BO8" i="77" s="1"/>
  <c r="BO9" i="77" s="1"/>
  <c r="BF8" i="77" a="1"/>
  <c r="BF8" i="77" s="1"/>
  <c r="BF9" i="77" s="1"/>
  <c r="AX8" i="77" a="1"/>
  <c r="AX8" i="77" s="1"/>
  <c r="AX9" i="77" s="1"/>
  <c r="BQ8" i="77" a="1"/>
  <c r="BQ8" i="77" s="1"/>
  <c r="BQ9" i="77" s="1"/>
  <c r="BZ8" i="77" a="1"/>
  <c r="BZ8" i="77" s="1"/>
  <c r="BZ9" i="77" s="1"/>
  <c r="CD8" i="77" a="1"/>
  <c r="CD8" i="77" s="1"/>
  <c r="CD9" i="77" s="1"/>
  <c r="CH8" i="77" a="1"/>
  <c r="CH8" i="77" s="1"/>
  <c r="CH9" i="77" s="1"/>
  <c r="CL8" i="77" a="1"/>
  <c r="CL8" i="77" s="1"/>
  <c r="CL9" i="77" s="1"/>
  <c r="AF3" i="77" a="1"/>
  <c r="AF3" i="77" s="1"/>
  <c r="AJ3" i="77" a="1"/>
  <c r="AJ3" i="77" s="1"/>
  <c r="AO3" i="77" a="1"/>
  <c r="AO3" i="77" s="1"/>
  <c r="AS3" i="77" a="1"/>
  <c r="AS3" i="77" s="1"/>
  <c r="AY3" i="77" a="1"/>
  <c r="AY3" i="77" s="1"/>
  <c r="BS3" i="77" a="1"/>
  <c r="BS3" i="77" s="1"/>
  <c r="CA3" i="77" a="1"/>
  <c r="CA3" i="77" s="1"/>
  <c r="CE3" i="77" a="1"/>
  <c r="CE3" i="77" s="1"/>
  <c r="CI3" i="77" a="1"/>
  <c r="CI3" i="77" s="1"/>
  <c r="CM3" i="77" a="1"/>
  <c r="CM3" i="77" s="1"/>
  <c r="AI4" i="77" a="1"/>
  <c r="AI4" i="77" s="1"/>
  <c r="BO4" i="77" a="1"/>
  <c r="BO4" i="77" s="1"/>
  <c r="BF4" i="77" a="1"/>
  <c r="BF4" i="77" s="1"/>
  <c r="AX4" i="77" a="1"/>
  <c r="AX4" i="77" s="1"/>
  <c r="BQ4" i="77" a="1"/>
  <c r="BQ4" i="77" s="1"/>
  <c r="BZ4" i="77" a="1"/>
  <c r="BZ4" i="77" s="1"/>
  <c r="CD4" i="77" a="1"/>
  <c r="CD4" i="77" s="1"/>
  <c r="CH4" i="77" a="1"/>
  <c r="CH4" i="77" s="1"/>
  <c r="CL4" i="77" a="1"/>
  <c r="CL4" i="77" s="1"/>
  <c r="AH5" i="77" a="1"/>
  <c r="AH5" i="77" s="1"/>
  <c r="AM5" i="77" a="1"/>
  <c r="AM5" i="77" s="1"/>
  <c r="AR5" i="77" a="1"/>
  <c r="AR5" i="77" s="1"/>
  <c r="AU5" i="77" a="1"/>
  <c r="AU5" i="77" s="1"/>
  <c r="BB5" i="77" a="1"/>
  <c r="BB5" i="77" s="1"/>
  <c r="BU5" i="77" a="1"/>
  <c r="BU5" i="77" s="1"/>
  <c r="CC5" i="77" a="1"/>
  <c r="CC5" i="77" s="1"/>
  <c r="CG5" i="77" a="1"/>
  <c r="CG5" i="77" s="1"/>
  <c r="CJ5" i="77" a="1"/>
  <c r="CJ5" i="77" s="1"/>
  <c r="AF8" i="77" a="1"/>
  <c r="AF8" i="77" s="1"/>
  <c r="AJ8" i="77" a="1"/>
  <c r="AJ8" i="77" s="1"/>
  <c r="AJ9" i="77" s="1"/>
  <c r="AO8" i="77" a="1"/>
  <c r="AO8" i="77" s="1"/>
  <c r="AO9" i="77" s="1"/>
  <c r="AS8" i="77" a="1"/>
  <c r="AS8" i="77" s="1"/>
  <c r="AS9" i="77" s="1"/>
  <c r="AY8" i="77" a="1"/>
  <c r="AY8" i="77" s="1"/>
  <c r="AY9" i="77" s="1"/>
  <c r="BS8" i="77" a="1"/>
  <c r="BS8" i="77" s="1"/>
  <c r="BS9" i="77" s="1"/>
  <c r="CA8" i="77" a="1"/>
  <c r="CA8" i="77" s="1"/>
  <c r="CA9" i="77" s="1"/>
  <c r="CE8" i="77" a="1"/>
  <c r="CE8" i="77" s="1"/>
  <c r="CE9" i="77" s="1"/>
  <c r="CI8" i="77" a="1"/>
  <c r="CI8" i="77" s="1"/>
  <c r="CI9" i="77" s="1"/>
  <c r="L16" i="77"/>
  <c r="BB3" i="75" a="1"/>
  <c r="BB3" i="75" s="1"/>
  <c r="BL3" i="75" a="1"/>
  <c r="BL3" i="75" s="1"/>
  <c r="BV3" i="75" a="1"/>
  <c r="BV3" i="75" s="1"/>
  <c r="BZ3" i="75" a="1"/>
  <c r="BZ3" i="75" s="1"/>
  <c r="CD3" i="75" a="1"/>
  <c r="CD3" i="75" s="1"/>
  <c r="CH3" i="75" a="1"/>
  <c r="CH3" i="75" s="1"/>
  <c r="AH4" i="75" a="1"/>
  <c r="AH4" i="75" s="1"/>
  <c r="AL4" i="75" a="1"/>
  <c r="AL4" i="75" s="1"/>
  <c r="AP4" i="75" a="1"/>
  <c r="AP4" i="75" s="1"/>
  <c r="AW4" i="75" a="1"/>
  <c r="AW4" i="75" s="1"/>
  <c r="BK4" i="75" a="1"/>
  <c r="BK4" i="75" s="1"/>
  <c r="BQ4" i="75" a="1"/>
  <c r="BQ4" i="75" s="1"/>
  <c r="BY4" i="75" a="1"/>
  <c r="BY4" i="75" s="1"/>
  <c r="CC4" i="75" a="1"/>
  <c r="CC4" i="75" s="1"/>
  <c r="CG4" i="75" a="1"/>
  <c r="CG4" i="75" s="1"/>
  <c r="AG5" i="75" a="1"/>
  <c r="AG5" i="75" s="1"/>
  <c r="AS5" i="75" a="1"/>
  <c r="AS5" i="75" s="1"/>
  <c r="AO5" i="75" a="1"/>
  <c r="AO5" i="75" s="1"/>
  <c r="AV5" i="75" a="1"/>
  <c r="AV5" i="75" s="1"/>
  <c r="AZ5" i="75" a="1"/>
  <c r="AZ5" i="75" s="1"/>
  <c r="BO5" i="75" a="1"/>
  <c r="BO5" i="75" s="1"/>
  <c r="BX5" i="75" a="1"/>
  <c r="BX5" i="75" s="1"/>
  <c r="CB5" i="75" a="1"/>
  <c r="CB5" i="75" s="1"/>
  <c r="CF5" i="75" a="1"/>
  <c r="CF5" i="75" s="1"/>
  <c r="AF8" i="75" a="1"/>
  <c r="AF8" i="75" s="1"/>
  <c r="AK8" i="75" a="1"/>
  <c r="AK8" i="75" s="1"/>
  <c r="AK9" i="75" s="1"/>
  <c r="AR8" i="75" a="1"/>
  <c r="AR8" i="75" s="1"/>
  <c r="AR9" i="75" s="1"/>
  <c r="AQ8" i="75" a="1"/>
  <c r="AQ8" i="75" s="1"/>
  <c r="AQ9" i="75" s="1"/>
  <c r="AY8" i="75" a="1"/>
  <c r="AY8" i="75" s="1"/>
  <c r="AY9" i="75" s="1"/>
  <c r="BN8" i="75" a="1"/>
  <c r="BN8" i="75" s="1"/>
  <c r="BN9" i="75" s="1"/>
  <c r="BW8" i="75" a="1"/>
  <c r="BW8" i="75" s="1"/>
  <c r="BW9" i="75" s="1"/>
  <c r="CA8" i="75" a="1"/>
  <c r="CA8" i="75" s="1"/>
  <c r="CA9" i="75" s="1"/>
  <c r="CE8" i="75" a="1"/>
  <c r="CE8" i="75" s="1"/>
  <c r="CE9" i="75" s="1"/>
  <c r="CI8" i="75" a="1"/>
  <c r="CI8" i="75" s="1"/>
  <c r="CI9" i="75" s="1"/>
  <c r="L16" i="75"/>
  <c r="L17" i="75"/>
  <c r="BW3" i="75" a="1"/>
  <c r="BW3" i="75" s="1"/>
  <c r="CA3" i="75" a="1"/>
  <c r="CA3" i="75" s="1"/>
  <c r="CE3" i="75" a="1"/>
  <c r="CE3" i="75" s="1"/>
  <c r="CI3" i="75" a="1"/>
  <c r="CI3" i="75" s="1"/>
  <c r="AI4" i="75" a="1"/>
  <c r="AI4" i="75" s="1"/>
  <c r="AM4" i="75" a="1"/>
  <c r="AM4" i="75" s="1"/>
  <c r="BJ4" i="75" a="1"/>
  <c r="BJ4" i="75" s="1"/>
  <c r="BB4" i="75" a="1"/>
  <c r="BB4" i="75" s="1"/>
  <c r="BL4" i="75" a="1"/>
  <c r="BL4" i="75" s="1"/>
  <c r="BV4" i="75" a="1"/>
  <c r="BV4" i="75" s="1"/>
  <c r="BZ4" i="75" a="1"/>
  <c r="BZ4" i="75" s="1"/>
  <c r="CD4" i="75" a="1"/>
  <c r="CD4" i="75" s="1"/>
  <c r="CH4" i="75" a="1"/>
  <c r="CH4" i="75" s="1"/>
  <c r="AH5" i="75" a="1"/>
  <c r="AH5" i="75" s="1"/>
  <c r="AL5" i="75" a="1"/>
  <c r="AL5" i="75" s="1"/>
  <c r="AP5" i="75" a="1"/>
  <c r="AP5" i="75" s="1"/>
  <c r="AW5" i="75" a="1"/>
  <c r="AW5" i="75" s="1"/>
  <c r="BK5" i="75" a="1"/>
  <c r="BK5" i="75" s="1"/>
  <c r="BQ5" i="75" a="1"/>
  <c r="BQ5" i="75" s="1"/>
  <c r="BY5" i="75" a="1"/>
  <c r="BY5" i="75" s="1"/>
  <c r="CC5" i="75" a="1"/>
  <c r="CC5" i="75" s="1"/>
  <c r="CG5" i="75" a="1"/>
  <c r="CG5" i="75" s="1"/>
  <c r="AG8" i="75" a="1"/>
  <c r="AG8" i="75" s="1"/>
  <c r="AG9" i="75" s="1"/>
  <c r="AS8" i="75" a="1"/>
  <c r="AS8" i="75" s="1"/>
  <c r="AS9" i="75" s="1"/>
  <c r="AO8" i="75" a="1"/>
  <c r="AO8" i="75" s="1"/>
  <c r="AO9" i="75" s="1"/>
  <c r="AV8" i="75" a="1"/>
  <c r="AV8" i="75" s="1"/>
  <c r="AV9" i="75" s="1"/>
  <c r="AZ8" i="75" a="1"/>
  <c r="AZ8" i="75" s="1"/>
  <c r="AZ9" i="75" s="1"/>
  <c r="BO8" i="75" a="1"/>
  <c r="BO8" i="75" s="1"/>
  <c r="BO9" i="75" s="1"/>
  <c r="BX8" i="75" a="1"/>
  <c r="BX8" i="75" s="1"/>
  <c r="BX9" i="75" s="1"/>
  <c r="CB8" i="75" a="1"/>
  <c r="CB8" i="75" s="1"/>
  <c r="CB9" i="75" s="1"/>
  <c r="CF8" i="75" a="1"/>
  <c r="CF8" i="75" s="1"/>
  <c r="CF9" i="75" s="1"/>
  <c r="M16" i="75"/>
  <c r="M17" i="75"/>
  <c r="BX3" i="75" a="1"/>
  <c r="BX3" i="75" s="1"/>
  <c r="CB3" i="75" a="1"/>
  <c r="CB3" i="75" s="1"/>
  <c r="CF3" i="75" a="1"/>
  <c r="CF3" i="75" s="1"/>
  <c r="AF4" i="75" a="1"/>
  <c r="AF4" i="75" s="1"/>
  <c r="AK4" i="75" a="1"/>
  <c r="AK4" i="75" s="1"/>
  <c r="AR4" i="75" a="1"/>
  <c r="AR4" i="75" s="1"/>
  <c r="AQ4" i="75" a="1"/>
  <c r="AQ4" i="75" s="1"/>
  <c r="AY4" i="75" a="1"/>
  <c r="AY4" i="75" s="1"/>
  <c r="BN4" i="75" a="1"/>
  <c r="BN4" i="75" s="1"/>
  <c r="BW4" i="75" a="1"/>
  <c r="BW4" i="75" s="1"/>
  <c r="CA4" i="75" a="1"/>
  <c r="CA4" i="75" s="1"/>
  <c r="CE4" i="75" a="1"/>
  <c r="CE4" i="75" s="1"/>
  <c r="CI4" i="75" a="1"/>
  <c r="CI4" i="75" s="1"/>
  <c r="AI5" i="75" a="1"/>
  <c r="AI5" i="75" s="1"/>
  <c r="AM5" i="75" a="1"/>
  <c r="AM5" i="75" s="1"/>
  <c r="BJ5" i="75" a="1"/>
  <c r="BJ5" i="75" s="1"/>
  <c r="BB5" i="75" a="1"/>
  <c r="BB5" i="75" s="1"/>
  <c r="BL5" i="75" a="1"/>
  <c r="BL5" i="75" s="1"/>
  <c r="BV5" i="75" a="1"/>
  <c r="BV5" i="75" s="1"/>
  <c r="BZ5" i="75" a="1"/>
  <c r="BZ5" i="75" s="1"/>
  <c r="CD5" i="75" a="1"/>
  <c r="CD5" i="75" s="1"/>
  <c r="CH5" i="75" a="1"/>
  <c r="CH5" i="75" s="1"/>
  <c r="AH8" i="75" a="1"/>
  <c r="AH8" i="75" s="1"/>
  <c r="AH9" i="75" s="1"/>
  <c r="AL8" i="75" a="1"/>
  <c r="AL8" i="75" s="1"/>
  <c r="AL9" i="75" s="1"/>
  <c r="AP8" i="75" a="1"/>
  <c r="AP8" i="75" s="1"/>
  <c r="AP9" i="75" s="1"/>
  <c r="AW8" i="75" a="1"/>
  <c r="AW8" i="75" s="1"/>
  <c r="AW9" i="75" s="1"/>
  <c r="BK8" i="75" a="1"/>
  <c r="BK8" i="75" s="1"/>
  <c r="BK9" i="75" s="1"/>
  <c r="BQ8" i="75" a="1"/>
  <c r="BQ8" i="75" s="1"/>
  <c r="BQ9" i="75" s="1"/>
  <c r="BY8" i="75" a="1"/>
  <c r="BY8" i="75" s="1"/>
  <c r="BY9" i="75" s="1"/>
  <c r="CC8" i="75" a="1"/>
  <c r="CC8" i="75" s="1"/>
  <c r="CC9" i="75" s="1"/>
  <c r="N16" i="75"/>
  <c r="AH14" i="78"/>
  <c r="AM14" i="78"/>
  <c r="AQ14" i="78"/>
  <c r="AS14" i="78"/>
  <c r="AG13" i="70"/>
  <c r="M16" i="70"/>
  <c r="N16" i="70"/>
  <c r="N17" i="70"/>
  <c r="L16" i="70"/>
  <c r="M17" i="69"/>
  <c r="CG13" i="64"/>
  <c r="AG14" i="63"/>
  <c r="M16" i="63"/>
  <c r="M17" i="63"/>
  <c r="N16" i="63"/>
  <c r="BY6" i="63"/>
  <c r="BY7" i="63" s="1"/>
  <c r="AJ14" i="60"/>
  <c r="AG14" i="60"/>
  <c r="AQ13" i="60"/>
  <c r="CF11" i="61"/>
  <c r="CH9" i="63"/>
  <c r="AQ13" i="64"/>
  <c r="AZ13" i="64"/>
  <c r="BY13" i="64"/>
  <c r="AO13" i="65"/>
  <c r="AM13" i="70"/>
  <c r="BD13" i="79"/>
  <c r="BR13" i="79"/>
  <c r="CK13" i="79"/>
  <c r="CM11" i="79"/>
  <c r="AR13" i="79"/>
  <c r="CA13" i="79"/>
  <c r="CE13" i="79"/>
  <c r="CN11" i="79"/>
  <c r="AJ13" i="79"/>
  <c r="BE13" i="79"/>
  <c r="CI13" i="79"/>
  <c r="CM13" i="79"/>
  <c r="AG11" i="79"/>
  <c r="AM11" i="79"/>
  <c r="AR11" i="79"/>
  <c r="AZ11" i="79"/>
  <c r="AO13" i="79"/>
  <c r="AU13" i="79"/>
  <c r="CC13" i="79"/>
  <c r="AI11" i="79"/>
  <c r="BN11" i="79"/>
  <c r="AT11" i="79"/>
  <c r="BA11" i="79"/>
  <c r="BF11" i="79"/>
  <c r="BV11" i="79"/>
  <c r="CD11" i="79"/>
  <c r="CH11" i="79"/>
  <c r="CL11" i="79"/>
  <c r="AM13" i="79"/>
  <c r="AQ13" i="79"/>
  <c r="AZ13" i="79"/>
  <c r="BJ13" i="79"/>
  <c r="BU13" i="79"/>
  <c r="CB13" i="79"/>
  <c r="CG13" i="79"/>
  <c r="CJ13" i="79"/>
  <c r="AJ11" i="79"/>
  <c r="AO11" i="79"/>
  <c r="AU11" i="79"/>
  <c r="BD11" i="79"/>
  <c r="BR11" i="79"/>
  <c r="CA11" i="79"/>
  <c r="CE11" i="79"/>
  <c r="CI11" i="79"/>
  <c r="BN13" i="79"/>
  <c r="BA13" i="79"/>
  <c r="BV13" i="79"/>
  <c r="CH13" i="79"/>
  <c r="AL11" i="79"/>
  <c r="AQ11" i="79"/>
  <c r="AX11" i="79"/>
  <c r="BJ11" i="79"/>
  <c r="BT11" i="79"/>
  <c r="CB11" i="79"/>
  <c r="CF11" i="79"/>
  <c r="CJ11" i="79"/>
  <c r="AG13" i="79"/>
  <c r="AL13" i="79"/>
  <c r="AX13" i="79"/>
  <c r="BT13" i="79"/>
  <c r="CF13" i="79"/>
  <c r="CN13" i="79"/>
  <c r="BE11" i="79"/>
  <c r="BU11" i="79"/>
  <c r="CC11" i="79"/>
  <c r="CG11" i="79"/>
  <c r="CK11" i="79"/>
  <c r="AI13" i="79"/>
  <c r="AT13" i="79"/>
  <c r="BF13" i="79"/>
  <c r="CD13" i="79"/>
  <c r="CL13" i="79"/>
  <c r="K16" i="79"/>
  <c r="K17" i="79"/>
  <c r="AG11" i="78"/>
  <c r="AV13" i="78"/>
  <c r="AZ13" i="78"/>
  <c r="BR13" i="78"/>
  <c r="CJ11" i="78"/>
  <c r="CD13" i="78"/>
  <c r="CK13" i="78"/>
  <c r="AM11" i="78"/>
  <c r="AS11" i="78"/>
  <c r="AV11" i="78"/>
  <c r="AZ11" i="78"/>
  <c r="BR11" i="78"/>
  <c r="BZ11" i="78"/>
  <c r="CD11" i="78"/>
  <c r="CH11" i="78"/>
  <c r="CK11" i="78"/>
  <c r="AI13" i="78"/>
  <c r="AP13" i="78"/>
  <c r="BC13" i="78"/>
  <c r="BY13" i="78"/>
  <c r="CG13" i="78"/>
  <c r="AH11" i="78"/>
  <c r="AO11" i="78"/>
  <c r="BG11" i="78"/>
  <c r="AW11" i="78"/>
  <c r="BQ11" i="78"/>
  <c r="BS11" i="78"/>
  <c r="CA11" i="78"/>
  <c r="CE11" i="78"/>
  <c r="CI11" i="78"/>
  <c r="AL13" i="78"/>
  <c r="AR13" i="78"/>
  <c r="AW13" i="78"/>
  <c r="BS13" i="78"/>
  <c r="CE13" i="78"/>
  <c r="AI11" i="78"/>
  <c r="AP11" i="78"/>
  <c r="AT11" i="78"/>
  <c r="AY11" i="78"/>
  <c r="BJ11" i="78"/>
  <c r="BX11" i="78"/>
  <c r="CB11" i="78"/>
  <c r="CF11" i="78"/>
  <c r="AG13" i="78"/>
  <c r="AM13" i="78"/>
  <c r="AS13" i="78"/>
  <c r="AU13" i="78"/>
  <c r="BO13" i="78"/>
  <c r="BZ13" i="78"/>
  <c r="CC13" i="78"/>
  <c r="CH13" i="78"/>
  <c r="AL11" i="78"/>
  <c r="AR11" i="78"/>
  <c r="AU11" i="78"/>
  <c r="BC11" i="78"/>
  <c r="BO11" i="78"/>
  <c r="BY11" i="78"/>
  <c r="CC11" i="78"/>
  <c r="CG11" i="78"/>
  <c r="AH13" i="78"/>
  <c r="AO13" i="78"/>
  <c r="BG13" i="78"/>
  <c r="BQ13" i="78"/>
  <c r="CA13" i="78"/>
  <c r="CI13" i="78"/>
  <c r="M16" i="78"/>
  <c r="M17" i="78"/>
  <c r="K16" i="78"/>
  <c r="K17" i="78"/>
  <c r="AH11" i="77"/>
  <c r="CG11" i="77"/>
  <c r="CD11" i="77"/>
  <c r="CI11" i="77"/>
  <c r="AG11" i="77"/>
  <c r="BQ13" i="77"/>
  <c r="CD13" i="77"/>
  <c r="CL13" i="77"/>
  <c r="AK11" i="77"/>
  <c r="AQ11" i="77"/>
  <c r="AT11" i="77"/>
  <c r="BA11" i="77"/>
  <c r="BT11" i="77"/>
  <c r="CB11" i="77"/>
  <c r="CE11" i="77"/>
  <c r="CH11" i="77"/>
  <c r="CK11" i="77"/>
  <c r="AI13" i="77"/>
  <c r="BF13" i="77"/>
  <c r="AM11" i="77"/>
  <c r="AR11" i="77"/>
  <c r="AU11" i="77"/>
  <c r="BB11" i="77"/>
  <c r="BU11" i="77"/>
  <c r="CC11" i="77"/>
  <c r="CL11" i="77"/>
  <c r="AG13" i="77"/>
  <c r="AQ13" i="77"/>
  <c r="BA13" i="77"/>
  <c r="AI11" i="77"/>
  <c r="BO11" i="77"/>
  <c r="BF11" i="77"/>
  <c r="AX11" i="77"/>
  <c r="BQ11" i="77"/>
  <c r="BZ11" i="77"/>
  <c r="CM11" i="77"/>
  <c r="BO13" i="77"/>
  <c r="AX13" i="77"/>
  <c r="K17" i="77"/>
  <c r="AJ11" i="77"/>
  <c r="AO11" i="77"/>
  <c r="AS11" i="77"/>
  <c r="AY11" i="77"/>
  <c r="BS11" i="77"/>
  <c r="CA11" i="77"/>
  <c r="AK13" i="77"/>
  <c r="AT13" i="77"/>
  <c r="CJ11" i="77"/>
  <c r="CF11" i="77"/>
  <c r="AH13" i="77"/>
  <c r="AJ13" i="77"/>
  <c r="AM13" i="77"/>
  <c r="AO13" i="77"/>
  <c r="AR13" i="77"/>
  <c r="AS13" i="77"/>
  <c r="AU13" i="77"/>
  <c r="AY13" i="77"/>
  <c r="BB13" i="77"/>
  <c r="BS13" i="77"/>
  <c r="BU13" i="77"/>
  <c r="CA13" i="77"/>
  <c r="CC13" i="77"/>
  <c r="CE13" i="77"/>
  <c r="CG13" i="77"/>
  <c r="CI13" i="77"/>
  <c r="CK13" i="77"/>
  <c r="CM13" i="77"/>
  <c r="K16" i="77"/>
  <c r="AL13" i="76"/>
  <c r="BS13" i="76"/>
  <c r="BB13" i="76"/>
  <c r="CE13" i="76"/>
  <c r="AI11" i="76"/>
  <c r="AO11" i="76"/>
  <c r="BA11" i="76"/>
  <c r="AU11" i="76"/>
  <c r="BE11" i="76"/>
  <c r="BS11" i="76"/>
  <c r="CD11" i="76"/>
  <c r="CH11" i="76"/>
  <c r="CK11" i="76"/>
  <c r="AF11" i="76"/>
  <c r="AK11" i="76"/>
  <c r="AQ11" i="76"/>
  <c r="BC11" i="76"/>
  <c r="AZ11" i="76"/>
  <c r="BF11" i="76"/>
  <c r="BT11" i="76"/>
  <c r="CA11" i="76"/>
  <c r="CE11" i="76"/>
  <c r="CL11" i="76"/>
  <c r="AG13" i="76"/>
  <c r="AI13" i="76"/>
  <c r="AO13" i="76"/>
  <c r="AR13" i="76"/>
  <c r="BC13" i="76"/>
  <c r="AZ13" i="76"/>
  <c r="BE13" i="76"/>
  <c r="BP13" i="76"/>
  <c r="BY13" i="76"/>
  <c r="CA13" i="76"/>
  <c r="CC13" i="76"/>
  <c r="CG13" i="76"/>
  <c r="CI13" i="76"/>
  <c r="CK13" i="76"/>
  <c r="AG11" i="76"/>
  <c r="AL11" i="76"/>
  <c r="AS11" i="76"/>
  <c r="BD11" i="76"/>
  <c r="BP11" i="76"/>
  <c r="BY11" i="76"/>
  <c r="CB11" i="76"/>
  <c r="CF11" i="76"/>
  <c r="CI11" i="76"/>
  <c r="AH11" i="76"/>
  <c r="AN11" i="76"/>
  <c r="AR11" i="76"/>
  <c r="BB11" i="76"/>
  <c r="BR11" i="76"/>
  <c r="BZ11" i="76"/>
  <c r="CC11" i="76"/>
  <c r="CG11" i="76"/>
  <c r="CJ11" i="76"/>
  <c r="AH13" i="76"/>
  <c r="AK13" i="76"/>
  <c r="AN13" i="76"/>
  <c r="AQ13" i="76"/>
  <c r="BA13" i="76"/>
  <c r="AS13" i="76"/>
  <c r="AU13" i="76"/>
  <c r="BD13" i="76"/>
  <c r="BF13" i="76"/>
  <c r="BR13" i="76"/>
  <c r="BT13" i="76"/>
  <c r="BZ13" i="76"/>
  <c r="CB13" i="76"/>
  <c r="CD13" i="76"/>
  <c r="CF13" i="76"/>
  <c r="CH13" i="76"/>
  <c r="CJ13" i="76"/>
  <c r="CL13" i="76"/>
  <c r="K16" i="76"/>
  <c r="O17" i="76"/>
  <c r="K17" i="76"/>
  <c r="CH11" i="75"/>
  <c r="AK11" i="75"/>
  <c r="CF11" i="75"/>
  <c r="AV11" i="75"/>
  <c r="AZ11" i="75"/>
  <c r="BO11" i="75"/>
  <c r="BX11" i="75"/>
  <c r="CB11" i="75"/>
  <c r="AH13" i="75"/>
  <c r="AL13" i="75"/>
  <c r="AP13" i="75"/>
  <c r="AW13" i="75"/>
  <c r="BK13" i="75"/>
  <c r="BQ13" i="75"/>
  <c r="BY13" i="75"/>
  <c r="CC13" i="75"/>
  <c r="CG13" i="75"/>
  <c r="AH11" i="75"/>
  <c r="AL11" i="75"/>
  <c r="AP11" i="75"/>
  <c r="AW11" i="75"/>
  <c r="BK11" i="75"/>
  <c r="BQ11" i="75"/>
  <c r="BY11" i="75"/>
  <c r="CC11" i="75"/>
  <c r="CI11" i="75"/>
  <c r="BJ13" i="75"/>
  <c r="BB13" i="75"/>
  <c r="BL13" i="75"/>
  <c r="BV13" i="75"/>
  <c r="BZ13" i="75"/>
  <c r="CD13" i="75"/>
  <c r="CH13" i="75"/>
  <c r="BJ11" i="75"/>
  <c r="BB11" i="75"/>
  <c r="BL11" i="75"/>
  <c r="BV11" i="75"/>
  <c r="BZ11" i="75"/>
  <c r="CD11" i="75"/>
  <c r="CG11" i="75"/>
  <c r="AK13" i="75"/>
  <c r="AR13" i="75"/>
  <c r="AQ13" i="75"/>
  <c r="AY13" i="75"/>
  <c r="BN13" i="75"/>
  <c r="BW13" i="75"/>
  <c r="CA13" i="75"/>
  <c r="CE13" i="75"/>
  <c r="AR11" i="75"/>
  <c r="AQ11" i="75"/>
  <c r="AY11" i="75"/>
  <c r="BN11" i="75"/>
  <c r="BW11" i="75"/>
  <c r="CA11" i="75"/>
  <c r="CE11" i="75"/>
  <c r="AV13" i="75"/>
  <c r="AZ13" i="75"/>
  <c r="BO13" i="75"/>
  <c r="BX13" i="75"/>
  <c r="CB13" i="75"/>
  <c r="CF13" i="75"/>
  <c r="AG11" i="75"/>
  <c r="AS11" i="75"/>
  <c r="AO11" i="75"/>
  <c r="AI13" i="75"/>
  <c r="AM13" i="75"/>
  <c r="AI11" i="75"/>
  <c r="AM11" i="75"/>
  <c r="AG13" i="75"/>
  <c r="AS13" i="75"/>
  <c r="AO13" i="75"/>
  <c r="CI13" i="75"/>
  <c r="K16" i="75"/>
  <c r="K17" i="75"/>
  <c r="AG11" i="74"/>
  <c r="BU11" i="74"/>
  <c r="AP11" i="74"/>
  <c r="BB11" i="74"/>
  <c r="AZ11" i="74"/>
  <c r="BR11" i="74"/>
  <c r="CB11" i="74"/>
  <c r="CF11" i="74"/>
  <c r="CJ11" i="74"/>
  <c r="K16" i="74"/>
  <c r="AI11" i="74"/>
  <c r="AM11" i="74"/>
  <c r="AQ11" i="74"/>
  <c r="AX11" i="74"/>
  <c r="BK11" i="74"/>
  <c r="BZ11" i="74"/>
  <c r="CD11" i="74"/>
  <c r="CH11" i="74"/>
  <c r="CL11" i="74"/>
  <c r="AG13" i="74"/>
  <c r="AI13" i="74"/>
  <c r="AP13" i="74"/>
  <c r="AQ13" i="74"/>
  <c r="AZ13" i="74"/>
  <c r="BK13" i="74"/>
  <c r="CB13" i="74"/>
  <c r="CD13" i="74"/>
  <c r="CJ13" i="74"/>
  <c r="CL13" i="74"/>
  <c r="AJ11" i="74"/>
  <c r="AN11" i="74"/>
  <c r="AS11" i="74"/>
  <c r="AY11" i="74"/>
  <c r="BQ11" i="74"/>
  <c r="CA11" i="74"/>
  <c r="CE11" i="74"/>
  <c r="CI11" i="74"/>
  <c r="CM11" i="74"/>
  <c r="AH11" i="74"/>
  <c r="AL11" i="74"/>
  <c r="BM11" i="74"/>
  <c r="AU11" i="74"/>
  <c r="BA11" i="74"/>
  <c r="BS11" i="74"/>
  <c r="CC11" i="74"/>
  <c r="CG11" i="74"/>
  <c r="CK11" i="74"/>
  <c r="AH13" i="74"/>
  <c r="AJ13" i="74"/>
  <c r="AL13" i="74"/>
  <c r="AN13" i="74"/>
  <c r="BM13" i="74"/>
  <c r="AS13" i="74"/>
  <c r="AU13" i="74"/>
  <c r="AY13" i="74"/>
  <c r="BA13" i="74"/>
  <c r="BQ13" i="74"/>
  <c r="BS13" i="74"/>
  <c r="CA13" i="74"/>
  <c r="CC13" i="74"/>
  <c r="CE13" i="74"/>
  <c r="CG13" i="74"/>
  <c r="CI13" i="74"/>
  <c r="CK13" i="74"/>
  <c r="CM13" i="74"/>
  <c r="K17" i="74"/>
  <c r="BP11" i="73"/>
  <c r="AO11" i="73"/>
  <c r="BL11" i="73"/>
  <c r="CL11" i="73"/>
  <c r="AH11" i="73"/>
  <c r="AZ11" i="73"/>
  <c r="BI11" i="73"/>
  <c r="CA11" i="73"/>
  <c r="CE11" i="73"/>
  <c r="CI11" i="73"/>
  <c r="AP13" i="73"/>
  <c r="AU13" i="73"/>
  <c r="BR13" i="73"/>
  <c r="BJ13" i="73"/>
  <c r="CB13" i="73"/>
  <c r="CF13" i="73"/>
  <c r="CJ13" i="73"/>
  <c r="BQ11" i="73"/>
  <c r="AP11" i="73"/>
  <c r="AU11" i="73"/>
  <c r="BR11" i="73"/>
  <c r="BJ11" i="73"/>
  <c r="CB11" i="73"/>
  <c r="CF11" i="73"/>
  <c r="AH13" i="73"/>
  <c r="BN13" i="73"/>
  <c r="AS13" i="73"/>
  <c r="AV13" i="73"/>
  <c r="BB13" i="73"/>
  <c r="BU13" i="73"/>
  <c r="CC13" i="73"/>
  <c r="CG13" i="73"/>
  <c r="CK13" i="73"/>
  <c r="BN11" i="73"/>
  <c r="AS11" i="73"/>
  <c r="AV11" i="73"/>
  <c r="BB11" i="73"/>
  <c r="BU11" i="73"/>
  <c r="CC11" i="73"/>
  <c r="CG11" i="73"/>
  <c r="CJ11" i="73"/>
  <c r="CM11" i="73"/>
  <c r="AL13" i="73"/>
  <c r="BT13" i="73"/>
  <c r="BM13" i="73"/>
  <c r="BZ13" i="73"/>
  <c r="CD13" i="73"/>
  <c r="CH13" i="73"/>
  <c r="CL13" i="73"/>
  <c r="AL11" i="73"/>
  <c r="BT11" i="73"/>
  <c r="BM11" i="73"/>
  <c r="BZ11" i="73"/>
  <c r="CD11" i="73"/>
  <c r="CH11" i="73"/>
  <c r="CK11" i="73"/>
  <c r="BP13" i="73"/>
  <c r="AO13" i="73"/>
  <c r="BL13" i="73"/>
  <c r="AZ13" i="73"/>
  <c r="BI13" i="73"/>
  <c r="CA13" i="73"/>
  <c r="CE13" i="73"/>
  <c r="CI13" i="73"/>
  <c r="CM13" i="73"/>
  <c r="AG13" i="73"/>
  <c r="BQ13" i="73"/>
  <c r="AG11" i="73"/>
  <c r="AI13" i="73"/>
  <c r="AM13" i="73"/>
  <c r="AI11" i="73"/>
  <c r="AM11" i="73"/>
  <c r="K16" i="73"/>
  <c r="K17" i="73"/>
  <c r="K17" i="72"/>
  <c r="AG11" i="72"/>
  <c r="AL11" i="72"/>
  <c r="BO11" i="72"/>
  <c r="BX11" i="72"/>
  <c r="CF11" i="72"/>
  <c r="AH11" i="72"/>
  <c r="AW11" i="72"/>
  <c r="BD11" i="72"/>
  <c r="CJ11" i="72"/>
  <c r="CN11" i="72"/>
  <c r="AI11" i="72"/>
  <c r="AO11" i="72"/>
  <c r="AU11" i="72"/>
  <c r="BV11" i="72"/>
  <c r="CD11" i="72"/>
  <c r="BA11" i="72"/>
  <c r="BF11" i="72"/>
  <c r="CH11" i="72"/>
  <c r="CL11" i="72"/>
  <c r="AG13" i="72"/>
  <c r="AI13" i="72"/>
  <c r="AM13" i="72"/>
  <c r="AQ13" i="72"/>
  <c r="AT13" i="72"/>
  <c r="AV13" i="72"/>
  <c r="AY13" i="72"/>
  <c r="BI13" i="72"/>
  <c r="BE13" i="72"/>
  <c r="BT13" i="72"/>
  <c r="BW13" i="72"/>
  <c r="CC13" i="72"/>
  <c r="CE13" i="72"/>
  <c r="CG13" i="72"/>
  <c r="CI13" i="72"/>
  <c r="CK13" i="72"/>
  <c r="CM13" i="72"/>
  <c r="CO13" i="72"/>
  <c r="AM11" i="72"/>
  <c r="AY11" i="72"/>
  <c r="BW11" i="72"/>
  <c r="CI11" i="72"/>
  <c r="AV11" i="72"/>
  <c r="BT11" i="72"/>
  <c r="CG11" i="72"/>
  <c r="CM11" i="72"/>
  <c r="AH13" i="72"/>
  <c r="AL13" i="72"/>
  <c r="AO13" i="72"/>
  <c r="BO13" i="72"/>
  <c r="AU13" i="72"/>
  <c r="AW13" i="72"/>
  <c r="BA13" i="72"/>
  <c r="BD13" i="72"/>
  <c r="BF13" i="72"/>
  <c r="BV13" i="72"/>
  <c r="BX13" i="72"/>
  <c r="CD13" i="72"/>
  <c r="CF13" i="72"/>
  <c r="CH13" i="72"/>
  <c r="CJ13" i="72"/>
  <c r="CL13" i="72"/>
  <c r="CN13" i="72"/>
  <c r="CP13" i="72"/>
  <c r="AT11" i="72"/>
  <c r="BE11" i="72"/>
  <c r="CE11" i="72"/>
  <c r="AQ11" i="72"/>
  <c r="BI11" i="72"/>
  <c r="CC11" i="72"/>
  <c r="CK11" i="72"/>
  <c r="CO11" i="72"/>
  <c r="K16" i="72"/>
  <c r="AH11" i="71"/>
  <c r="BM11" i="71"/>
  <c r="CO9" i="71"/>
  <c r="AK11" i="71"/>
  <c r="AP11" i="71"/>
  <c r="BE11" i="71"/>
  <c r="BG11" i="71"/>
  <c r="BU11" i="71"/>
  <c r="CC11" i="71"/>
  <c r="CG11" i="71"/>
  <c r="CK11" i="71"/>
  <c r="AK13" i="71"/>
  <c r="AP13" i="71"/>
  <c r="BE13" i="71"/>
  <c r="BG13" i="71"/>
  <c r="BU13" i="71"/>
  <c r="CC13" i="71"/>
  <c r="CG13" i="71"/>
  <c r="CK13" i="71"/>
  <c r="CO13" i="71"/>
  <c r="AG11" i="71"/>
  <c r="BB11" i="71"/>
  <c r="AU11" i="71"/>
  <c r="BI11" i="71"/>
  <c r="BW11" i="71"/>
  <c r="CE11" i="71"/>
  <c r="CI11" i="71"/>
  <c r="AH13" i="71"/>
  <c r="BM13" i="71"/>
  <c r="BB13" i="71"/>
  <c r="AU13" i="71"/>
  <c r="BI13" i="71"/>
  <c r="BW13" i="71"/>
  <c r="CE13" i="71"/>
  <c r="CI13" i="71"/>
  <c r="CM13" i="71"/>
  <c r="AL11" i="71"/>
  <c r="AR11" i="71"/>
  <c r="BF11" i="71"/>
  <c r="BV11" i="71"/>
  <c r="CD11" i="71"/>
  <c r="CH11" i="71"/>
  <c r="CL11" i="71"/>
  <c r="AG13" i="71"/>
  <c r="AL13" i="71"/>
  <c r="AR13" i="71"/>
  <c r="BF13" i="71"/>
  <c r="BV13" i="71"/>
  <c r="CD13" i="71"/>
  <c r="CH13" i="71"/>
  <c r="CL13" i="71"/>
  <c r="AI11" i="71"/>
  <c r="AM11" i="71"/>
  <c r="BD11" i="71"/>
  <c r="BC11" i="71"/>
  <c r="BS11" i="71"/>
  <c r="CB11" i="71"/>
  <c r="CF11" i="71"/>
  <c r="CJ11" i="71"/>
  <c r="CM11" i="71"/>
  <c r="CO11" i="71"/>
  <c r="AI13" i="71"/>
  <c r="AM13" i="71"/>
  <c r="BD13" i="71"/>
  <c r="BC13" i="71"/>
  <c r="BS13" i="71"/>
  <c r="CB13" i="71"/>
  <c r="CF13" i="71"/>
  <c r="CJ13" i="71"/>
  <c r="CN13" i="71"/>
  <c r="M16" i="71"/>
  <c r="M17" i="71"/>
  <c r="K16" i="71"/>
  <c r="K17" i="71"/>
  <c r="AS13" i="70"/>
  <c r="BY13" i="70"/>
  <c r="CE13" i="70"/>
  <c r="AW13" i="70"/>
  <c r="BG13" i="70"/>
  <c r="CI13" i="70"/>
  <c r="AP13" i="70"/>
  <c r="BS13" i="70"/>
  <c r="CG13" i="70"/>
  <c r="K16" i="70"/>
  <c r="BB13" i="70"/>
  <c r="CA13" i="70"/>
  <c r="AI11" i="70"/>
  <c r="AP11" i="70"/>
  <c r="AT11" i="70"/>
  <c r="BF11" i="70"/>
  <c r="BG11" i="70"/>
  <c r="BS11" i="70"/>
  <c r="CA11" i="70"/>
  <c r="CE11" i="70"/>
  <c r="CI11" i="70"/>
  <c r="AF13" i="70"/>
  <c r="AL11" i="70"/>
  <c r="BO11" i="70"/>
  <c r="AU11" i="70"/>
  <c r="BB11" i="70"/>
  <c r="BH11" i="70"/>
  <c r="BT11" i="70"/>
  <c r="CB11" i="70"/>
  <c r="CF11" i="70"/>
  <c r="CJ11" i="70"/>
  <c r="AI13" i="70"/>
  <c r="AO13" i="70"/>
  <c r="AG11" i="70"/>
  <c r="AM11" i="70"/>
  <c r="AR11" i="70"/>
  <c r="BC11" i="70"/>
  <c r="BP11" i="70"/>
  <c r="BY11" i="70"/>
  <c r="CC11" i="70"/>
  <c r="CG11" i="70"/>
  <c r="CK11" i="70"/>
  <c r="AL13" i="70"/>
  <c r="AH11" i="70"/>
  <c r="AO11" i="70"/>
  <c r="AS11" i="70"/>
  <c r="AW11" i="70"/>
  <c r="BR11" i="70"/>
  <c r="BZ11" i="70"/>
  <c r="CD11" i="70"/>
  <c r="CH11" i="70"/>
  <c r="CL11" i="70"/>
  <c r="AH13" i="70"/>
  <c r="AU13" i="70"/>
  <c r="BP13" i="70"/>
  <c r="CC13" i="70"/>
  <c r="CK13" i="70"/>
  <c r="BO13" i="70"/>
  <c r="AT13" i="70"/>
  <c r="AR13" i="70"/>
  <c r="BF13" i="70"/>
  <c r="BC13" i="70"/>
  <c r="BH13" i="70"/>
  <c r="BR13" i="70"/>
  <c r="BT13" i="70"/>
  <c r="BZ13" i="70"/>
  <c r="CB13" i="70"/>
  <c r="CD13" i="70"/>
  <c r="CF13" i="70"/>
  <c r="CH13" i="70"/>
  <c r="CJ13" i="70"/>
  <c r="CL13" i="70"/>
  <c r="O17" i="70"/>
  <c r="K17" i="70"/>
  <c r="AI11" i="69"/>
  <c r="AN11" i="69"/>
  <c r="AG11" i="69"/>
  <c r="BQ11" i="69"/>
  <c r="K17" i="69"/>
  <c r="BP11" i="69"/>
  <c r="AX11" i="69"/>
  <c r="BT11" i="69"/>
  <c r="CC11" i="69"/>
  <c r="CG11" i="69"/>
  <c r="CK11" i="69"/>
  <c r="CO11" i="69"/>
  <c r="AI13" i="69"/>
  <c r="AM13" i="69"/>
  <c r="BP13" i="69"/>
  <c r="BB13" i="69"/>
  <c r="BT13" i="69"/>
  <c r="BX13" i="69"/>
  <c r="CG13" i="69"/>
  <c r="CJ13" i="69"/>
  <c r="CO13" i="69"/>
  <c r="AK11" i="69"/>
  <c r="AP11" i="69"/>
  <c r="BA11" i="69"/>
  <c r="AY11" i="69"/>
  <c r="BV11" i="69"/>
  <c r="CD11" i="69"/>
  <c r="CH11" i="69"/>
  <c r="CL11" i="69"/>
  <c r="AG13" i="69"/>
  <c r="AK13" i="69"/>
  <c r="AQ13" i="69"/>
  <c r="BA13" i="69"/>
  <c r="BD13" i="69"/>
  <c r="BV13" i="69"/>
  <c r="CE13" i="69"/>
  <c r="CH13" i="69"/>
  <c r="CM13" i="69"/>
  <c r="CP13" i="69"/>
  <c r="AQ11" i="69"/>
  <c r="AU11" i="69"/>
  <c r="BD11" i="69"/>
  <c r="BW11" i="69"/>
  <c r="CE11" i="69"/>
  <c r="CI11" i="69"/>
  <c r="CM11" i="69"/>
  <c r="AH13" i="69"/>
  <c r="AN13" i="69"/>
  <c r="AS13" i="69"/>
  <c r="AX13" i="69"/>
  <c r="BO13" i="69"/>
  <c r="CC13" i="69"/>
  <c r="CF13" i="69"/>
  <c r="CK13" i="69"/>
  <c r="CN13" i="69"/>
  <c r="AH11" i="69"/>
  <c r="AM11" i="69"/>
  <c r="AS11" i="69"/>
  <c r="BB11" i="69"/>
  <c r="BO11" i="69"/>
  <c r="BX11" i="69"/>
  <c r="CF11" i="69"/>
  <c r="CJ11" i="69"/>
  <c r="CN11" i="69"/>
  <c r="BQ13" i="69"/>
  <c r="AP13" i="69"/>
  <c r="AU13" i="69"/>
  <c r="AY13" i="69"/>
  <c r="BW13" i="69"/>
  <c r="CD13" i="69"/>
  <c r="CI13" i="69"/>
  <c r="CL13" i="69"/>
  <c r="O16" i="69"/>
  <c r="K16" i="69"/>
  <c r="K17" i="68"/>
  <c r="CM11" i="68"/>
  <c r="AP11" i="68"/>
  <c r="AU11" i="68"/>
  <c r="BB11" i="68"/>
  <c r="BS11" i="68"/>
  <c r="CA11" i="68"/>
  <c r="CE11" i="68"/>
  <c r="CI11" i="68"/>
  <c r="AG13" i="68"/>
  <c r="AK13" i="68"/>
  <c r="BO13" i="68"/>
  <c r="AU13" i="68"/>
  <c r="BC13" i="68"/>
  <c r="BS13" i="68"/>
  <c r="CB13" i="68"/>
  <c r="CE13" i="68"/>
  <c r="CJ13" i="68"/>
  <c r="CM13" i="68"/>
  <c r="AK11" i="68"/>
  <c r="AG11" i="68"/>
  <c r="AL11" i="68"/>
  <c r="BO11" i="68"/>
  <c r="AW11" i="68"/>
  <c r="BC11" i="68"/>
  <c r="BT11" i="68"/>
  <c r="CB11" i="68"/>
  <c r="CF11" i="68"/>
  <c r="CJ11" i="68"/>
  <c r="AH13" i="68"/>
  <c r="AT13" i="68"/>
  <c r="AQ13" i="68"/>
  <c r="BA13" i="68"/>
  <c r="BD13" i="68"/>
  <c r="BZ13" i="68"/>
  <c r="CC13" i="68"/>
  <c r="CH13" i="68"/>
  <c r="CK13" i="68"/>
  <c r="AH11" i="68"/>
  <c r="AN11" i="68"/>
  <c r="AQ11" i="68"/>
  <c r="AX11" i="68"/>
  <c r="BD11" i="68"/>
  <c r="BU11" i="68"/>
  <c r="CC11" i="68"/>
  <c r="CG11" i="68"/>
  <c r="CK11" i="68"/>
  <c r="AL13" i="68"/>
  <c r="AP13" i="68"/>
  <c r="AW13" i="68"/>
  <c r="BB13" i="68"/>
  <c r="BT13" i="68"/>
  <c r="CA13" i="68"/>
  <c r="CF13" i="68"/>
  <c r="CI13" i="68"/>
  <c r="AI11" i="68"/>
  <c r="AT11" i="68"/>
  <c r="AS11" i="68"/>
  <c r="BA11" i="68"/>
  <c r="BQ11" i="68"/>
  <c r="BZ11" i="68"/>
  <c r="CD11" i="68"/>
  <c r="CH11" i="68"/>
  <c r="CL11" i="68"/>
  <c r="AI13" i="68"/>
  <c r="AN13" i="68"/>
  <c r="AS13" i="68"/>
  <c r="AX13" i="68"/>
  <c r="BQ13" i="68"/>
  <c r="BU13" i="68"/>
  <c r="CD13" i="68"/>
  <c r="CG13" i="68"/>
  <c r="CL13" i="68"/>
  <c r="M17" i="68"/>
  <c r="O16" i="68"/>
  <c r="K16" i="68"/>
  <c r="BZ9" i="67"/>
  <c r="CK11" i="67"/>
  <c r="AG11" i="67"/>
  <c r="AL11" i="67"/>
  <c r="AI11" i="67"/>
  <c r="AO11" i="67"/>
  <c r="BB11" i="67"/>
  <c r="AX11" i="67"/>
  <c r="BO11" i="67"/>
  <c r="BX11" i="67"/>
  <c r="CB11" i="67"/>
  <c r="CF11" i="67"/>
  <c r="AK13" i="67"/>
  <c r="BM13" i="67"/>
  <c r="AP13" i="67"/>
  <c r="AY13" i="67"/>
  <c r="BO13" i="67"/>
  <c r="CB13" i="67"/>
  <c r="K16" i="67"/>
  <c r="AK11" i="67"/>
  <c r="BM11" i="67"/>
  <c r="AP11" i="67"/>
  <c r="AY11" i="67"/>
  <c r="BQ11" i="67"/>
  <c r="BY11" i="67"/>
  <c r="CC11" i="67"/>
  <c r="CG11" i="67"/>
  <c r="AG13" i="67"/>
  <c r="AL13" i="67"/>
  <c r="AU13" i="67"/>
  <c r="AV13" i="67"/>
  <c r="BC13" i="67"/>
  <c r="BZ13" i="67"/>
  <c r="CH13" i="67"/>
  <c r="CJ13" i="67"/>
  <c r="AU11" i="67"/>
  <c r="AV11" i="67"/>
  <c r="BC11" i="67"/>
  <c r="BR11" i="67"/>
  <c r="BZ11" i="67"/>
  <c r="CD11" i="67"/>
  <c r="CH11" i="67"/>
  <c r="AH13" i="67"/>
  <c r="AN13" i="67"/>
  <c r="AZ13" i="67"/>
  <c r="AW13" i="67"/>
  <c r="BX13" i="67"/>
  <c r="CF13" i="67"/>
  <c r="AH11" i="67"/>
  <c r="AN11" i="67"/>
  <c r="AZ11" i="67"/>
  <c r="AW11" i="67"/>
  <c r="BD11" i="67"/>
  <c r="BS11" i="67"/>
  <c r="CA11" i="67"/>
  <c r="CE11" i="67"/>
  <c r="CI11" i="67"/>
  <c r="AI13" i="67"/>
  <c r="AO13" i="67"/>
  <c r="BB13" i="67"/>
  <c r="AX13" i="67"/>
  <c r="BR13" i="67"/>
  <c r="CD13" i="67"/>
  <c r="BD13" i="67"/>
  <c r="BQ13" i="67"/>
  <c r="BS13" i="67"/>
  <c r="BY13" i="67"/>
  <c r="CA13" i="67"/>
  <c r="CC13" i="67"/>
  <c r="CE13" i="67"/>
  <c r="CG13" i="67"/>
  <c r="CI13" i="67"/>
  <c r="CK13" i="67"/>
  <c r="CJ11" i="67"/>
  <c r="K17" i="67"/>
  <c r="AG11" i="66"/>
  <c r="AL11" i="66"/>
  <c r="AT11" i="66"/>
  <c r="AX11" i="66"/>
  <c r="BE11" i="66"/>
  <c r="BR11" i="66"/>
  <c r="BZ11" i="66"/>
  <c r="CD11" i="66"/>
  <c r="CH11" i="66"/>
  <c r="AG13" i="66"/>
  <c r="AO13" i="66"/>
  <c r="AT13" i="66"/>
  <c r="AY13" i="66"/>
  <c r="BE13" i="66"/>
  <c r="BS13" i="66"/>
  <c r="BZ13" i="66"/>
  <c r="CE13" i="66"/>
  <c r="CH13" i="66"/>
  <c r="AH11" i="66"/>
  <c r="AO11" i="66"/>
  <c r="AU11" i="66"/>
  <c r="AY11" i="66"/>
  <c r="BF11" i="66"/>
  <c r="BS11" i="66"/>
  <c r="CA11" i="66"/>
  <c r="CE11" i="66"/>
  <c r="CI11" i="66"/>
  <c r="CK11" i="66"/>
  <c r="AK13" i="66"/>
  <c r="AP13" i="66"/>
  <c r="BC13" i="66"/>
  <c r="BM13" i="66"/>
  <c r="BQ13" i="66"/>
  <c r="BX13" i="66"/>
  <c r="CF13" i="66"/>
  <c r="AI11" i="66"/>
  <c r="AP11" i="66"/>
  <c r="AW11" i="66"/>
  <c r="BM11" i="66"/>
  <c r="BO11" i="66"/>
  <c r="BX11" i="66"/>
  <c r="CB11" i="66"/>
  <c r="CF11" i="66"/>
  <c r="AH13" i="66"/>
  <c r="AL13" i="66"/>
  <c r="AU13" i="66"/>
  <c r="AX13" i="66"/>
  <c r="BF13" i="66"/>
  <c r="BR13" i="66"/>
  <c r="CA13" i="66"/>
  <c r="CD13" i="66"/>
  <c r="CI13" i="66"/>
  <c r="AK11" i="66"/>
  <c r="AS11" i="66"/>
  <c r="BC11" i="66"/>
  <c r="BA11" i="66"/>
  <c r="BQ11" i="66"/>
  <c r="BY11" i="66"/>
  <c r="CC11" i="66"/>
  <c r="CG11" i="66"/>
  <c r="AI13" i="66"/>
  <c r="AS13" i="66"/>
  <c r="AW13" i="66"/>
  <c r="BA13" i="66"/>
  <c r="BO13" i="66"/>
  <c r="CB13" i="66"/>
  <c r="CJ13" i="66"/>
  <c r="BY13" i="66"/>
  <c r="CC13" i="66"/>
  <c r="CG13" i="66"/>
  <c r="CK13" i="66"/>
  <c r="K17" i="66"/>
  <c r="K16" i="66"/>
  <c r="AH11" i="65"/>
  <c r="K16" i="65"/>
  <c r="AG11" i="65"/>
  <c r="AL11" i="65"/>
  <c r="AV11" i="65"/>
  <c r="AQ11" i="65"/>
  <c r="BH11" i="65"/>
  <c r="BQ11" i="65"/>
  <c r="BY11" i="65"/>
  <c r="CC11" i="65"/>
  <c r="CG11" i="65"/>
  <c r="AH13" i="65"/>
  <c r="AW13" i="65"/>
  <c r="BN13" i="65"/>
  <c r="CA13" i="65"/>
  <c r="AO11" i="65"/>
  <c r="BE11" i="65"/>
  <c r="AR11" i="65"/>
  <c r="AN11" i="65"/>
  <c r="BR11" i="65"/>
  <c r="BZ11" i="65"/>
  <c r="CD11" i="65"/>
  <c r="CH11" i="65"/>
  <c r="CJ11" i="65"/>
  <c r="AI13" i="65"/>
  <c r="AV13" i="65"/>
  <c r="AR13" i="65"/>
  <c r="BH13" i="65"/>
  <c r="BY13" i="65"/>
  <c r="AI11" i="65"/>
  <c r="AP11" i="65"/>
  <c r="AW11" i="65"/>
  <c r="BF11" i="65"/>
  <c r="BN11" i="65"/>
  <c r="BW11" i="65"/>
  <c r="CA11" i="65"/>
  <c r="CE11" i="65"/>
  <c r="AK13" i="65"/>
  <c r="AP13" i="65"/>
  <c r="BF13" i="65"/>
  <c r="BW13" i="65"/>
  <c r="CE13" i="65"/>
  <c r="CI13" i="65"/>
  <c r="AK11" i="65"/>
  <c r="AU11" i="65"/>
  <c r="AX11" i="65"/>
  <c r="BG11" i="65"/>
  <c r="BP11" i="65"/>
  <c r="BX11" i="65"/>
  <c r="CB11" i="65"/>
  <c r="CF11" i="65"/>
  <c r="AG13" i="65"/>
  <c r="AL13" i="65"/>
  <c r="BE13" i="65"/>
  <c r="AQ13" i="65"/>
  <c r="BQ13" i="65"/>
  <c r="CC13" i="65"/>
  <c r="AU13" i="65"/>
  <c r="AX13" i="65"/>
  <c r="BG13" i="65"/>
  <c r="AN13" i="65"/>
  <c r="BP13" i="65"/>
  <c r="BR13" i="65"/>
  <c r="BX13" i="65"/>
  <c r="BZ13" i="65"/>
  <c r="CB13" i="65"/>
  <c r="CD13" i="65"/>
  <c r="CF13" i="65"/>
  <c r="CH13" i="65"/>
  <c r="CJ13" i="65"/>
  <c r="K17" i="65"/>
  <c r="AL11" i="64"/>
  <c r="AH11" i="64"/>
  <c r="AQ11" i="64"/>
  <c r="BO11" i="64"/>
  <c r="AZ11" i="64"/>
  <c r="BQ11" i="64"/>
  <c r="BY11" i="64"/>
  <c r="CC11" i="64"/>
  <c r="CG11" i="64"/>
  <c r="AG13" i="64"/>
  <c r="AM13" i="64"/>
  <c r="AT13" i="64"/>
  <c r="BL13" i="64"/>
  <c r="CB13" i="64"/>
  <c r="CJ13" i="64"/>
  <c r="AG11" i="64"/>
  <c r="AM11" i="64"/>
  <c r="AR11" i="64"/>
  <c r="AW11" i="64"/>
  <c r="BA11" i="64"/>
  <c r="BR11" i="64"/>
  <c r="BZ11" i="64"/>
  <c r="CD11" i="64"/>
  <c r="CH11" i="64"/>
  <c r="AH13" i="64"/>
  <c r="AO13" i="64"/>
  <c r="AR13" i="64"/>
  <c r="BC13" i="64"/>
  <c r="BA13" i="64"/>
  <c r="BS13" i="64"/>
  <c r="BZ13" i="64"/>
  <c r="CE13" i="64"/>
  <c r="CH13" i="64"/>
  <c r="AO11" i="64"/>
  <c r="AS11" i="64"/>
  <c r="BC11" i="64"/>
  <c r="BD11" i="64"/>
  <c r="BS11" i="64"/>
  <c r="CA11" i="64"/>
  <c r="CE11" i="64"/>
  <c r="CI11" i="64"/>
  <c r="CK11" i="64"/>
  <c r="AI13" i="64"/>
  <c r="AP13" i="64"/>
  <c r="BB13" i="64"/>
  <c r="BX13" i="64"/>
  <c r="CF13" i="64"/>
  <c r="AI11" i="64"/>
  <c r="AP11" i="64"/>
  <c r="AT11" i="64"/>
  <c r="BB11" i="64"/>
  <c r="BL11" i="64"/>
  <c r="BX11" i="64"/>
  <c r="CB11" i="64"/>
  <c r="CF11" i="64"/>
  <c r="AL13" i="64"/>
  <c r="AS13" i="64"/>
  <c r="AW13" i="64"/>
  <c r="BD13" i="64"/>
  <c r="BR13" i="64"/>
  <c r="CA13" i="64"/>
  <c r="CD13" i="64"/>
  <c r="CI13" i="64"/>
  <c r="K16" i="64"/>
  <c r="K17" i="64"/>
  <c r="CC6" i="63"/>
  <c r="CC7" i="63" s="1"/>
  <c r="K17" i="63"/>
  <c r="AG11" i="63"/>
  <c r="AQ11" i="63"/>
  <c r="AV11" i="63"/>
  <c r="CA11" i="63"/>
  <c r="CE11" i="63"/>
  <c r="BL11" i="63"/>
  <c r="AN11" i="63"/>
  <c r="AY11" i="63"/>
  <c r="BQ11" i="63"/>
  <c r="CI11" i="63"/>
  <c r="AH11" i="63"/>
  <c r="AT11" i="63"/>
  <c r="BN11" i="63"/>
  <c r="BY11" i="63"/>
  <c r="CC11" i="63"/>
  <c r="AJ11" i="63"/>
  <c r="AZ11" i="63"/>
  <c r="BS11" i="63"/>
  <c r="CG11" i="63"/>
  <c r="CK11" i="63"/>
  <c r="AG13" i="63"/>
  <c r="AH13" i="63"/>
  <c r="AK13" i="63"/>
  <c r="AO13" i="63"/>
  <c r="AR13" i="63"/>
  <c r="AU13" i="63"/>
  <c r="AW13" i="63"/>
  <c r="AX13" i="63"/>
  <c r="BB13" i="63"/>
  <c r="BO13" i="63"/>
  <c r="BR13" i="63"/>
  <c r="BX13" i="63"/>
  <c r="BZ13" i="63"/>
  <c r="CB13" i="63"/>
  <c r="CD13" i="63"/>
  <c r="CF13" i="63"/>
  <c r="CH13" i="63"/>
  <c r="CJ13" i="63"/>
  <c r="AR11" i="63"/>
  <c r="BB11" i="63"/>
  <c r="BZ11" i="63"/>
  <c r="CH11" i="63"/>
  <c r="AO11" i="63"/>
  <c r="AX11" i="63"/>
  <c r="BX11" i="63"/>
  <c r="CF11" i="63"/>
  <c r="BL13" i="63"/>
  <c r="AJ13" i="63"/>
  <c r="AN13" i="63"/>
  <c r="AQ13" i="63"/>
  <c r="AT13" i="63"/>
  <c r="AV13" i="63"/>
  <c r="BN13" i="63"/>
  <c r="AY13" i="63"/>
  <c r="AZ13" i="63"/>
  <c r="BQ13" i="63"/>
  <c r="BS13" i="63"/>
  <c r="BY13" i="63"/>
  <c r="CA13" i="63"/>
  <c r="CC13" i="63"/>
  <c r="CE13" i="63"/>
  <c r="CG13" i="63"/>
  <c r="CI13" i="63"/>
  <c r="CK13" i="63"/>
  <c r="AK11" i="63"/>
  <c r="AW11" i="63"/>
  <c r="BR11" i="63"/>
  <c r="CD11" i="63"/>
  <c r="AU11" i="63"/>
  <c r="BO11" i="63"/>
  <c r="CB11" i="63"/>
  <c r="CJ11" i="63"/>
  <c r="K16" i="63"/>
  <c r="CI11" i="62"/>
  <c r="AG11" i="62"/>
  <c r="AK11" i="62"/>
  <c r="AQ11" i="62"/>
  <c r="BA11" i="62"/>
  <c r="AX11" i="62"/>
  <c r="BQ11" i="62"/>
  <c r="BY11" i="62"/>
  <c r="CC11" i="62"/>
  <c r="CH11" i="62"/>
  <c r="CJ11" i="62"/>
  <c r="AI13" i="62"/>
  <c r="AN13" i="62"/>
  <c r="AW13" i="62"/>
  <c r="BW13" i="62"/>
  <c r="CE13" i="62"/>
  <c r="AH11" i="62"/>
  <c r="AM11" i="62"/>
  <c r="AR11" i="62"/>
  <c r="AT11" i="62"/>
  <c r="BD11" i="62"/>
  <c r="BR11" i="62"/>
  <c r="BZ11" i="62"/>
  <c r="CF11" i="62"/>
  <c r="BM13" i="62"/>
  <c r="AR13" i="62"/>
  <c r="BA13" i="62"/>
  <c r="BD13" i="62"/>
  <c r="BQ13" i="62"/>
  <c r="BZ13" i="62"/>
  <c r="CC13" i="62"/>
  <c r="CH13" i="62"/>
  <c r="AI11" i="62"/>
  <c r="AN11" i="62"/>
  <c r="BC11" i="62"/>
  <c r="AW11" i="62"/>
  <c r="BL11" i="62"/>
  <c r="BW11" i="62"/>
  <c r="CA11" i="62"/>
  <c r="CD11" i="62"/>
  <c r="CG11" i="62"/>
  <c r="AG13" i="62"/>
  <c r="AK13" i="62"/>
  <c r="BC13" i="62"/>
  <c r="BL13" i="62"/>
  <c r="CA13" i="62"/>
  <c r="CI13" i="62"/>
  <c r="BM11" i="62"/>
  <c r="AP11" i="62"/>
  <c r="BN11" i="62"/>
  <c r="AZ11" i="62"/>
  <c r="BP11" i="62"/>
  <c r="BX11" i="62"/>
  <c r="CB11" i="62"/>
  <c r="CE11" i="62"/>
  <c r="AH13" i="62"/>
  <c r="AM13" i="62"/>
  <c r="AQ13" i="62"/>
  <c r="AT13" i="62"/>
  <c r="AX13" i="62"/>
  <c r="BR13" i="62"/>
  <c r="BY13" i="62"/>
  <c r="CG13" i="62"/>
  <c r="BX13" i="62"/>
  <c r="CB13" i="62"/>
  <c r="CF13" i="62"/>
  <c r="CJ13" i="62"/>
  <c r="K17" i="62"/>
  <c r="K16" i="62"/>
  <c r="AH11" i="61"/>
  <c r="AV11" i="61"/>
  <c r="BU11" i="61"/>
  <c r="CH11" i="61"/>
  <c r="CI11" i="61"/>
  <c r="AK11" i="61"/>
  <c r="AG11" i="61"/>
  <c r="BI11" i="61"/>
  <c r="CK11" i="61"/>
  <c r="AI11" i="61"/>
  <c r="AM11" i="61"/>
  <c r="AR11" i="61"/>
  <c r="AY11" i="61"/>
  <c r="BX11" i="61"/>
  <c r="BT11" i="61"/>
  <c r="CB11" i="61"/>
  <c r="AG13" i="61"/>
  <c r="BI13" i="61"/>
  <c r="AQ13" i="61"/>
  <c r="AT13" i="61"/>
  <c r="BA13" i="61"/>
  <c r="BN13" i="61"/>
  <c r="BZ13" i="61"/>
  <c r="CD13" i="61"/>
  <c r="CH13" i="61"/>
  <c r="AP11" i="61"/>
  <c r="BV11" i="61"/>
  <c r="AZ11" i="61"/>
  <c r="BK11" i="61"/>
  <c r="BY11" i="61"/>
  <c r="CC11" i="61"/>
  <c r="AH13" i="61"/>
  <c r="AV13" i="61"/>
  <c r="BU13" i="61"/>
  <c r="AU13" i="61"/>
  <c r="BB13" i="61"/>
  <c r="BO13" i="61"/>
  <c r="CA13" i="61"/>
  <c r="CE13" i="61"/>
  <c r="CI13" i="61"/>
  <c r="AQ11" i="61"/>
  <c r="AT11" i="61"/>
  <c r="BA11" i="61"/>
  <c r="BN11" i="61"/>
  <c r="BZ11" i="61"/>
  <c r="CD11" i="61"/>
  <c r="CG11" i="61"/>
  <c r="AI13" i="61"/>
  <c r="AM13" i="61"/>
  <c r="AR13" i="61"/>
  <c r="AY13" i="61"/>
  <c r="BX13" i="61"/>
  <c r="BT13" i="61"/>
  <c r="CB13" i="61"/>
  <c r="CF13" i="61"/>
  <c r="CJ13" i="61"/>
  <c r="AU11" i="61"/>
  <c r="BB11" i="61"/>
  <c r="BO11" i="61"/>
  <c r="CA11" i="61"/>
  <c r="CE11" i="61"/>
  <c r="AK13" i="61"/>
  <c r="AP13" i="61"/>
  <c r="BV13" i="61"/>
  <c r="AZ13" i="61"/>
  <c r="BK13" i="61"/>
  <c r="BY13" i="61"/>
  <c r="CC13" i="61"/>
  <c r="CG13" i="61"/>
  <c r="CK13" i="61"/>
  <c r="K17" i="61"/>
  <c r="K16" i="61"/>
  <c r="BB13" i="60"/>
  <c r="AH11" i="60"/>
  <c r="AI11" i="60"/>
  <c r="CJ11" i="60"/>
  <c r="AP13" i="60"/>
  <c r="BE13" i="60"/>
  <c r="BY13" i="60"/>
  <c r="AV13" i="60"/>
  <c r="BQ13" i="60"/>
  <c r="AN11" i="60"/>
  <c r="AS11" i="60"/>
  <c r="BB11" i="60"/>
  <c r="BO11" i="60"/>
  <c r="BX11" i="60"/>
  <c r="CB11" i="60"/>
  <c r="CF11" i="60"/>
  <c r="AG13" i="60"/>
  <c r="AL13" i="60"/>
  <c r="AN13" i="60"/>
  <c r="AS13" i="60"/>
  <c r="AX13" i="60"/>
  <c r="BF13" i="60"/>
  <c r="BO13" i="60"/>
  <c r="BR13" i="60"/>
  <c r="BX13" i="60"/>
  <c r="CB13" i="60"/>
  <c r="CD13" i="60"/>
  <c r="CF13" i="60"/>
  <c r="CJ13" i="60"/>
  <c r="AF11" i="60"/>
  <c r="AL11" i="60"/>
  <c r="AP11" i="60"/>
  <c r="AV11" i="60"/>
  <c r="BE11" i="60"/>
  <c r="BQ11" i="60"/>
  <c r="BY11" i="60"/>
  <c r="CC11" i="60"/>
  <c r="CG11" i="60"/>
  <c r="AH13" i="60"/>
  <c r="AU13" i="60"/>
  <c r="AG11" i="60"/>
  <c r="AU11" i="60"/>
  <c r="AQ11" i="60"/>
  <c r="AX11" i="60"/>
  <c r="BF11" i="60"/>
  <c r="BR11" i="60"/>
  <c r="BZ11" i="60"/>
  <c r="CD11" i="60"/>
  <c r="CH11" i="60"/>
  <c r="CK11" i="60"/>
  <c r="AI13" i="60"/>
  <c r="AT11" i="60"/>
  <c r="BD11" i="60"/>
  <c r="BC11" i="60"/>
  <c r="BG11" i="60"/>
  <c r="BS11" i="60"/>
  <c r="CA11" i="60"/>
  <c r="CE11" i="60"/>
  <c r="CI11" i="60"/>
  <c r="AF13" i="60"/>
  <c r="AT13" i="60"/>
  <c r="BD13" i="60"/>
  <c r="BC13" i="60"/>
  <c r="BG13" i="60"/>
  <c r="BS13" i="60"/>
  <c r="CA13" i="60"/>
  <c r="CC13" i="60"/>
  <c r="CE13" i="60"/>
  <c r="CG13" i="60"/>
  <c r="CI13" i="60"/>
  <c r="CK13" i="60"/>
  <c r="K16" i="60"/>
  <c r="K17" i="60"/>
  <c r="AF132" i="59" a="1"/>
  <c r="AF132" i="59" s="1"/>
  <c r="AE132" i="59" a="1"/>
  <c r="AE132" i="59" s="1"/>
  <c r="AD132" i="59" a="1"/>
  <c r="AD132" i="59" s="1"/>
  <c r="T132" i="59"/>
  <c r="R132" i="59"/>
  <c r="N132" i="59"/>
  <c r="M132" i="59"/>
  <c r="L132" i="59"/>
  <c r="F132" i="59"/>
  <c r="D132" i="59"/>
  <c r="AF131" i="59" a="1"/>
  <c r="AF131" i="59" s="1"/>
  <c r="AE131" i="59" a="1"/>
  <c r="AE131" i="59" s="1"/>
  <c r="AD131" i="59" a="1"/>
  <c r="AD131" i="59" s="1"/>
  <c r="T131" i="59"/>
  <c r="R131" i="59"/>
  <c r="N131" i="59"/>
  <c r="M131" i="59"/>
  <c r="L131" i="59"/>
  <c r="F131" i="59"/>
  <c r="D131" i="59"/>
  <c r="AF130" i="59" a="1"/>
  <c r="AF130" i="59" s="1"/>
  <c r="AE130" i="59" a="1"/>
  <c r="AE130" i="59" s="1"/>
  <c r="AD130" i="59" a="1"/>
  <c r="AD130" i="59" s="1"/>
  <c r="T130" i="59"/>
  <c r="R130" i="59"/>
  <c r="N130" i="59"/>
  <c r="M130" i="59"/>
  <c r="L130" i="59"/>
  <c r="F130" i="59"/>
  <c r="D130" i="59"/>
  <c r="AF129" i="59" a="1"/>
  <c r="AF129" i="59" s="1"/>
  <c r="AE129" i="59" a="1"/>
  <c r="AE129" i="59" s="1"/>
  <c r="AD129" i="59" a="1"/>
  <c r="AD129" i="59" s="1"/>
  <c r="T129" i="59"/>
  <c r="R129" i="59"/>
  <c r="N129" i="59"/>
  <c r="M129" i="59"/>
  <c r="L129" i="59"/>
  <c r="F129" i="59"/>
  <c r="D129" i="59"/>
  <c r="AF128" i="59" a="1"/>
  <c r="AF128" i="59" s="1"/>
  <c r="AE128" i="59" a="1"/>
  <c r="AE128" i="59" s="1"/>
  <c r="AD128" i="59" a="1"/>
  <c r="AD128" i="59" s="1"/>
  <c r="T128" i="59"/>
  <c r="R128" i="59"/>
  <c r="N128" i="59"/>
  <c r="M128" i="59"/>
  <c r="L128" i="59"/>
  <c r="F128" i="59"/>
  <c r="D128" i="59"/>
  <c r="AF127" i="59" a="1"/>
  <c r="AF127" i="59" s="1"/>
  <c r="AE127" i="59" a="1"/>
  <c r="AE127" i="59" s="1"/>
  <c r="AD127" i="59" a="1"/>
  <c r="AD127" i="59" s="1"/>
  <c r="T127" i="59"/>
  <c r="R127" i="59"/>
  <c r="N127" i="59"/>
  <c r="M127" i="59"/>
  <c r="L127" i="59"/>
  <c r="F127" i="59"/>
  <c r="D127" i="59"/>
  <c r="AF126" i="59" a="1"/>
  <c r="AF126" i="59" s="1"/>
  <c r="AE126" i="59" a="1"/>
  <c r="AE126" i="59" s="1"/>
  <c r="AD126" i="59" a="1"/>
  <c r="AD126" i="59" s="1"/>
  <c r="T126" i="59"/>
  <c r="R126" i="59"/>
  <c r="N126" i="59"/>
  <c r="M126" i="59"/>
  <c r="L126" i="59"/>
  <c r="F126" i="59"/>
  <c r="D126" i="59"/>
  <c r="AF125" i="59" a="1"/>
  <c r="AF125" i="59" s="1"/>
  <c r="AE125" i="59" a="1"/>
  <c r="AE125" i="59" s="1"/>
  <c r="AD125" i="59" a="1"/>
  <c r="AD125" i="59" s="1"/>
  <c r="T125" i="59"/>
  <c r="R125" i="59"/>
  <c r="N125" i="59"/>
  <c r="M125" i="59"/>
  <c r="L125" i="59"/>
  <c r="F125" i="59"/>
  <c r="D125" i="59"/>
  <c r="AF124" i="59" a="1"/>
  <c r="AF124" i="59" s="1"/>
  <c r="AE124" i="59" a="1"/>
  <c r="AE124" i="59" s="1"/>
  <c r="AD124" i="59" a="1"/>
  <c r="AD124" i="59" s="1"/>
  <c r="T124" i="59"/>
  <c r="R124" i="59"/>
  <c r="N124" i="59"/>
  <c r="M124" i="59"/>
  <c r="L124" i="59"/>
  <c r="F124" i="59"/>
  <c r="D124" i="59"/>
  <c r="AF123" i="59" a="1"/>
  <c r="AF123" i="59" s="1"/>
  <c r="AE123" i="59" a="1"/>
  <c r="AE123" i="59" s="1"/>
  <c r="AD123" i="59" a="1"/>
  <c r="AD123" i="59" s="1"/>
  <c r="T123" i="59"/>
  <c r="R123" i="59"/>
  <c r="N123" i="59"/>
  <c r="M123" i="59"/>
  <c r="L123" i="59"/>
  <c r="F123" i="59"/>
  <c r="D123" i="59"/>
  <c r="AF122" i="59" a="1"/>
  <c r="AF122" i="59" s="1"/>
  <c r="AE122" i="59" a="1"/>
  <c r="AE122" i="59" s="1"/>
  <c r="AD122" i="59" a="1"/>
  <c r="AD122" i="59" s="1"/>
  <c r="T122" i="59"/>
  <c r="R122" i="59"/>
  <c r="N122" i="59"/>
  <c r="M122" i="59"/>
  <c r="L122" i="59"/>
  <c r="F122" i="59"/>
  <c r="D122" i="59"/>
  <c r="AF121" i="59" a="1"/>
  <c r="AF121" i="59" s="1"/>
  <c r="AE121" i="59" a="1"/>
  <c r="AE121" i="59" s="1"/>
  <c r="AD121" i="59" a="1"/>
  <c r="AD121" i="59" s="1"/>
  <c r="T121" i="59"/>
  <c r="R121" i="59"/>
  <c r="N121" i="59"/>
  <c r="M121" i="59"/>
  <c r="L121" i="59"/>
  <c r="F121" i="59"/>
  <c r="D121" i="59"/>
  <c r="AF120" i="59" a="1"/>
  <c r="AF120" i="59" s="1"/>
  <c r="AE120" i="59" a="1"/>
  <c r="AE120" i="59" s="1"/>
  <c r="AD120" i="59" a="1"/>
  <c r="AD120" i="59" s="1"/>
  <c r="T120" i="59"/>
  <c r="R120" i="59"/>
  <c r="N120" i="59"/>
  <c r="M120" i="59"/>
  <c r="L120" i="59"/>
  <c r="F120" i="59"/>
  <c r="D120" i="59"/>
  <c r="AF119" i="59" a="1"/>
  <c r="AF119" i="59" s="1"/>
  <c r="AE119" i="59" a="1"/>
  <c r="AE119" i="59" s="1"/>
  <c r="AD119" i="59" a="1"/>
  <c r="AD119" i="59" s="1"/>
  <c r="T119" i="59"/>
  <c r="R119" i="59"/>
  <c r="N119" i="59"/>
  <c r="M119" i="59"/>
  <c r="L119" i="59"/>
  <c r="F119" i="59"/>
  <c r="D119" i="59"/>
  <c r="AF118" i="59" a="1"/>
  <c r="AF118" i="59" s="1"/>
  <c r="AE118" i="59" a="1"/>
  <c r="AE118" i="59" s="1"/>
  <c r="AD118" i="59" a="1"/>
  <c r="AD118" i="59" s="1"/>
  <c r="T118" i="59"/>
  <c r="R118" i="59"/>
  <c r="N118" i="59"/>
  <c r="M118" i="59"/>
  <c r="L118" i="59"/>
  <c r="F118" i="59"/>
  <c r="D118" i="59"/>
  <c r="AF117" i="59" a="1"/>
  <c r="AF117" i="59" s="1"/>
  <c r="AE117" i="59" a="1"/>
  <c r="AE117" i="59" s="1"/>
  <c r="AD117" i="59" a="1"/>
  <c r="AD117" i="59" s="1"/>
  <c r="T117" i="59"/>
  <c r="R117" i="59"/>
  <c r="N117" i="59"/>
  <c r="M117" i="59"/>
  <c r="L117" i="59"/>
  <c r="F117" i="59"/>
  <c r="D117" i="59"/>
  <c r="AF116" i="59" a="1"/>
  <c r="AF116" i="59" s="1"/>
  <c r="AE116" i="59" a="1"/>
  <c r="AE116" i="59" s="1"/>
  <c r="AD116" i="59" a="1"/>
  <c r="AD116" i="59" s="1"/>
  <c r="T116" i="59"/>
  <c r="R116" i="59"/>
  <c r="N116" i="59"/>
  <c r="M116" i="59"/>
  <c r="L116" i="59"/>
  <c r="F116" i="59"/>
  <c r="D116" i="59"/>
  <c r="AF115" i="59" a="1"/>
  <c r="AF115" i="59" s="1"/>
  <c r="AE115" i="59" a="1"/>
  <c r="AE115" i="59" s="1"/>
  <c r="AD115" i="59" a="1"/>
  <c r="AD115" i="59" s="1"/>
  <c r="T115" i="59"/>
  <c r="R115" i="59"/>
  <c r="N115" i="59"/>
  <c r="M115" i="59"/>
  <c r="L115" i="59"/>
  <c r="F115" i="59"/>
  <c r="D115" i="59"/>
  <c r="AF114" i="59" a="1"/>
  <c r="AF114" i="59" s="1"/>
  <c r="AE114" i="59" a="1"/>
  <c r="AE114" i="59" s="1"/>
  <c r="AD114" i="59" a="1"/>
  <c r="AD114" i="59" s="1"/>
  <c r="T114" i="59"/>
  <c r="R114" i="59"/>
  <c r="N114" i="59"/>
  <c r="M114" i="59"/>
  <c r="L114" i="59"/>
  <c r="F114" i="59"/>
  <c r="D114" i="59"/>
  <c r="AF113" i="59" a="1"/>
  <c r="AF113" i="59" s="1"/>
  <c r="AE113" i="59" a="1"/>
  <c r="AE113" i="59" s="1"/>
  <c r="AD113" i="59" a="1"/>
  <c r="AD113" i="59" s="1"/>
  <c r="T113" i="59"/>
  <c r="R113" i="59"/>
  <c r="N113" i="59"/>
  <c r="M113" i="59"/>
  <c r="L113" i="59"/>
  <c r="F113" i="59"/>
  <c r="D113" i="59"/>
  <c r="AF112" i="59" a="1"/>
  <c r="AF112" i="59" s="1"/>
  <c r="AE112" i="59" a="1"/>
  <c r="AE112" i="59" s="1"/>
  <c r="AD112" i="59" a="1"/>
  <c r="AD112" i="59" s="1"/>
  <c r="T112" i="59"/>
  <c r="R112" i="59"/>
  <c r="N112" i="59"/>
  <c r="M112" i="59"/>
  <c r="L112" i="59"/>
  <c r="F112" i="59"/>
  <c r="D112" i="59"/>
  <c r="AF111" i="59" a="1"/>
  <c r="AF111" i="59" s="1"/>
  <c r="AE111" i="59" a="1"/>
  <c r="AE111" i="59" s="1"/>
  <c r="AD111" i="59" a="1"/>
  <c r="AD111" i="59" s="1"/>
  <c r="T111" i="59"/>
  <c r="R111" i="59"/>
  <c r="N111" i="59"/>
  <c r="M111" i="59"/>
  <c r="L111" i="59"/>
  <c r="F111" i="59"/>
  <c r="D111" i="59"/>
  <c r="AF110" i="59" a="1"/>
  <c r="AF110" i="59" s="1"/>
  <c r="AE110" i="59" a="1"/>
  <c r="AE110" i="59" s="1"/>
  <c r="AD110" i="59" a="1"/>
  <c r="AD110" i="59" s="1"/>
  <c r="T110" i="59"/>
  <c r="R110" i="59"/>
  <c r="N110" i="59"/>
  <c r="M110" i="59"/>
  <c r="L110" i="59"/>
  <c r="F110" i="59"/>
  <c r="D110" i="59"/>
  <c r="AF109" i="59" a="1"/>
  <c r="AF109" i="59" s="1"/>
  <c r="AE109" i="59" a="1"/>
  <c r="AE109" i="59" s="1"/>
  <c r="AD109" i="59" a="1"/>
  <c r="AD109" i="59" s="1"/>
  <c r="T109" i="59"/>
  <c r="R109" i="59"/>
  <c r="N109" i="59"/>
  <c r="M109" i="59"/>
  <c r="L109" i="59"/>
  <c r="F109" i="59"/>
  <c r="D109" i="59"/>
  <c r="AF108" i="59" a="1"/>
  <c r="AF108" i="59" s="1"/>
  <c r="AE108" i="59" a="1"/>
  <c r="AE108" i="59" s="1"/>
  <c r="AD108" i="59" a="1"/>
  <c r="AD108" i="59" s="1"/>
  <c r="T108" i="59"/>
  <c r="R108" i="59"/>
  <c r="N108" i="59"/>
  <c r="M108" i="59"/>
  <c r="L108" i="59"/>
  <c r="F108" i="59"/>
  <c r="D108" i="59"/>
  <c r="AF107" i="59" a="1"/>
  <c r="AF107" i="59" s="1"/>
  <c r="AE107" i="59" a="1"/>
  <c r="AE107" i="59" s="1"/>
  <c r="AD107" i="59" a="1"/>
  <c r="AD107" i="59" s="1"/>
  <c r="T107" i="59"/>
  <c r="R107" i="59"/>
  <c r="N107" i="59"/>
  <c r="M107" i="59"/>
  <c r="L107" i="59"/>
  <c r="F107" i="59"/>
  <c r="D107" i="59"/>
  <c r="AF106" i="59" a="1"/>
  <c r="AF106" i="59" s="1"/>
  <c r="AE106" i="59" a="1"/>
  <c r="AE106" i="59" s="1"/>
  <c r="AD106" i="59" a="1"/>
  <c r="AD106" i="59" s="1"/>
  <c r="T106" i="59"/>
  <c r="R106" i="59"/>
  <c r="N106" i="59"/>
  <c r="M106" i="59"/>
  <c r="L106" i="59"/>
  <c r="F106" i="59"/>
  <c r="D106" i="59"/>
  <c r="AF105" i="59" a="1"/>
  <c r="AF105" i="59" s="1"/>
  <c r="AE105" i="59" a="1"/>
  <c r="AE105" i="59" s="1"/>
  <c r="AD105" i="59" a="1"/>
  <c r="AD105" i="59" s="1"/>
  <c r="T105" i="59"/>
  <c r="R105" i="59"/>
  <c r="N105" i="59"/>
  <c r="M105" i="59"/>
  <c r="L105" i="59"/>
  <c r="F105" i="59"/>
  <c r="D105" i="59"/>
  <c r="AF104" i="59" a="1"/>
  <c r="AF104" i="59" s="1"/>
  <c r="AE104" i="59" a="1"/>
  <c r="AE104" i="59" s="1"/>
  <c r="AD104" i="59" a="1"/>
  <c r="AD104" i="59" s="1"/>
  <c r="T104" i="59"/>
  <c r="R104" i="59"/>
  <c r="N104" i="59"/>
  <c r="M104" i="59"/>
  <c r="L104" i="59"/>
  <c r="F104" i="59"/>
  <c r="D104" i="59"/>
  <c r="AF103" i="59" a="1"/>
  <c r="AF103" i="59" s="1"/>
  <c r="AE103" i="59" a="1"/>
  <c r="AE103" i="59" s="1"/>
  <c r="AD103" i="59" a="1"/>
  <c r="AD103" i="59" s="1"/>
  <c r="T103" i="59"/>
  <c r="R103" i="59"/>
  <c r="N103" i="59"/>
  <c r="M103" i="59"/>
  <c r="L103" i="59"/>
  <c r="F103" i="59"/>
  <c r="D103" i="59"/>
  <c r="AF102" i="59" a="1"/>
  <c r="AF102" i="59" s="1"/>
  <c r="AE102" i="59" a="1"/>
  <c r="AE102" i="59" s="1"/>
  <c r="AD102" i="59" a="1"/>
  <c r="AD102" i="59" s="1"/>
  <c r="T102" i="59"/>
  <c r="R102" i="59"/>
  <c r="N102" i="59"/>
  <c r="M102" i="59"/>
  <c r="L102" i="59"/>
  <c r="F102" i="59"/>
  <c r="D102" i="59"/>
  <c r="AF101" i="59" a="1"/>
  <c r="AF101" i="59" s="1"/>
  <c r="AE101" i="59" a="1"/>
  <c r="AE101" i="59" s="1"/>
  <c r="AD101" i="59" a="1"/>
  <c r="AD101" i="59" s="1"/>
  <c r="T101" i="59"/>
  <c r="R101" i="59"/>
  <c r="N101" i="59"/>
  <c r="M101" i="59"/>
  <c r="L101" i="59"/>
  <c r="F101" i="59"/>
  <c r="D101" i="59"/>
  <c r="AF100" i="59" a="1"/>
  <c r="AF100" i="59" s="1"/>
  <c r="AE100" i="59" a="1"/>
  <c r="AE100" i="59" s="1"/>
  <c r="AD100" i="59" a="1"/>
  <c r="AD100" i="59" s="1"/>
  <c r="T100" i="59"/>
  <c r="R100" i="59"/>
  <c r="N100" i="59"/>
  <c r="M100" i="59"/>
  <c r="L100" i="59"/>
  <c r="F100" i="59"/>
  <c r="D100" i="59"/>
  <c r="AF99" i="59" a="1"/>
  <c r="AF99" i="59" s="1"/>
  <c r="AE99" i="59" a="1"/>
  <c r="AE99" i="59" s="1"/>
  <c r="AD99" i="59" a="1"/>
  <c r="AD99" i="59" s="1"/>
  <c r="T99" i="59"/>
  <c r="R99" i="59"/>
  <c r="N99" i="59"/>
  <c r="M99" i="59"/>
  <c r="L99" i="59"/>
  <c r="F99" i="59"/>
  <c r="D99" i="59"/>
  <c r="AF98" i="59" a="1"/>
  <c r="AF98" i="59" s="1"/>
  <c r="AE98" i="59" a="1"/>
  <c r="AE98" i="59" s="1"/>
  <c r="AD98" i="59" a="1"/>
  <c r="AD98" i="59" s="1"/>
  <c r="T98" i="59"/>
  <c r="R98" i="59"/>
  <c r="N98" i="59"/>
  <c r="M98" i="59"/>
  <c r="L98" i="59"/>
  <c r="F98" i="59"/>
  <c r="D98" i="59"/>
  <c r="AF97" i="59" a="1"/>
  <c r="AF97" i="59" s="1"/>
  <c r="AE97" i="59" a="1"/>
  <c r="AE97" i="59" s="1"/>
  <c r="AD97" i="59" a="1"/>
  <c r="AD97" i="59" s="1"/>
  <c r="T97" i="59"/>
  <c r="R97" i="59"/>
  <c r="N97" i="59"/>
  <c r="M97" i="59"/>
  <c r="L97" i="59"/>
  <c r="F97" i="59"/>
  <c r="D97" i="59"/>
  <c r="AF96" i="59" a="1"/>
  <c r="AF96" i="59" s="1"/>
  <c r="AE96" i="59" a="1"/>
  <c r="AE96" i="59" s="1"/>
  <c r="AD96" i="59" a="1"/>
  <c r="AD96" i="59" s="1"/>
  <c r="T96" i="59"/>
  <c r="R96" i="59"/>
  <c r="N96" i="59"/>
  <c r="M96" i="59"/>
  <c r="L96" i="59"/>
  <c r="F96" i="59"/>
  <c r="D96" i="59"/>
  <c r="AF95" i="59" a="1"/>
  <c r="AF95" i="59" s="1"/>
  <c r="AE95" i="59" a="1"/>
  <c r="AE95" i="59" s="1"/>
  <c r="AD95" i="59" a="1"/>
  <c r="AD95" i="59" s="1"/>
  <c r="T95" i="59"/>
  <c r="R95" i="59"/>
  <c r="N95" i="59"/>
  <c r="M95" i="59"/>
  <c r="L95" i="59"/>
  <c r="F95" i="59"/>
  <c r="D95" i="59"/>
  <c r="AF94" i="59" a="1"/>
  <c r="AF94" i="59" s="1"/>
  <c r="AE94" i="59" a="1"/>
  <c r="AE94" i="59" s="1"/>
  <c r="AD94" i="59" a="1"/>
  <c r="AD94" i="59" s="1"/>
  <c r="T94" i="59"/>
  <c r="R94" i="59"/>
  <c r="N94" i="59"/>
  <c r="M94" i="59"/>
  <c r="L94" i="59"/>
  <c r="F94" i="59"/>
  <c r="D94" i="59"/>
  <c r="AF93" i="59" a="1"/>
  <c r="AF93" i="59" s="1"/>
  <c r="AE93" i="59" a="1"/>
  <c r="AE93" i="59" s="1"/>
  <c r="AD93" i="59" a="1"/>
  <c r="AD93" i="59" s="1"/>
  <c r="T93" i="59"/>
  <c r="R93" i="59"/>
  <c r="N93" i="59"/>
  <c r="M93" i="59"/>
  <c r="L93" i="59"/>
  <c r="F93" i="59"/>
  <c r="D93" i="59"/>
  <c r="AF92" i="59" a="1"/>
  <c r="AF92" i="59" s="1"/>
  <c r="AE92" i="59" a="1"/>
  <c r="AE92" i="59" s="1"/>
  <c r="AD92" i="59" a="1"/>
  <c r="AD92" i="59" s="1"/>
  <c r="T92" i="59"/>
  <c r="R92" i="59"/>
  <c r="N92" i="59"/>
  <c r="M92" i="59"/>
  <c r="L92" i="59"/>
  <c r="F92" i="59"/>
  <c r="D92" i="59"/>
  <c r="AF91" i="59" a="1"/>
  <c r="AF91" i="59" s="1"/>
  <c r="AE91" i="59" a="1"/>
  <c r="AE91" i="59" s="1"/>
  <c r="AD91" i="59" a="1"/>
  <c r="AD91" i="59" s="1"/>
  <c r="T91" i="59"/>
  <c r="R91" i="59"/>
  <c r="N91" i="59"/>
  <c r="M91" i="59"/>
  <c r="L91" i="59"/>
  <c r="F91" i="59"/>
  <c r="D91" i="59"/>
  <c r="AF90" i="59" a="1"/>
  <c r="AF90" i="59" s="1"/>
  <c r="AE90" i="59" a="1"/>
  <c r="AE90" i="59" s="1"/>
  <c r="AD90" i="59" a="1"/>
  <c r="AD90" i="59" s="1"/>
  <c r="T90" i="59"/>
  <c r="R90" i="59"/>
  <c r="N90" i="59"/>
  <c r="M90" i="59"/>
  <c r="L90" i="59"/>
  <c r="F90" i="59"/>
  <c r="D90" i="59"/>
  <c r="AF89" i="59" a="1"/>
  <c r="AF89" i="59" s="1"/>
  <c r="AE89" i="59" a="1"/>
  <c r="AE89" i="59" s="1"/>
  <c r="AD89" i="59" a="1"/>
  <c r="AD89" i="59" s="1"/>
  <c r="T89" i="59"/>
  <c r="R89" i="59"/>
  <c r="N89" i="59"/>
  <c r="M89" i="59"/>
  <c r="L89" i="59"/>
  <c r="F89" i="59"/>
  <c r="D89" i="59"/>
  <c r="AF88" i="59" a="1"/>
  <c r="AF88" i="59" s="1"/>
  <c r="AE88" i="59" a="1"/>
  <c r="AE88" i="59" s="1"/>
  <c r="AD88" i="59" a="1"/>
  <c r="AD88" i="59" s="1"/>
  <c r="T88" i="59"/>
  <c r="R88" i="59"/>
  <c r="N88" i="59"/>
  <c r="M88" i="59"/>
  <c r="L88" i="59"/>
  <c r="F88" i="59"/>
  <c r="D88" i="59"/>
  <c r="AF87" i="59" a="1"/>
  <c r="AF87" i="59" s="1"/>
  <c r="AE87" i="59" a="1"/>
  <c r="AE87" i="59" s="1"/>
  <c r="AD87" i="59" a="1"/>
  <c r="AD87" i="59" s="1"/>
  <c r="T87" i="59"/>
  <c r="R87" i="59"/>
  <c r="N87" i="59"/>
  <c r="M87" i="59"/>
  <c r="L87" i="59"/>
  <c r="F87" i="59"/>
  <c r="D87" i="59"/>
  <c r="AF86" i="59" a="1"/>
  <c r="AF86" i="59" s="1"/>
  <c r="AE86" i="59" a="1"/>
  <c r="AE86" i="59" s="1"/>
  <c r="AD86" i="59" a="1"/>
  <c r="AD86" i="59" s="1"/>
  <c r="T86" i="59"/>
  <c r="R86" i="59"/>
  <c r="N86" i="59"/>
  <c r="M86" i="59"/>
  <c r="L86" i="59"/>
  <c r="F86" i="59"/>
  <c r="D86" i="59"/>
  <c r="AF85" i="59" a="1"/>
  <c r="AF85" i="59" s="1"/>
  <c r="AE85" i="59" a="1"/>
  <c r="AE85" i="59" s="1"/>
  <c r="AD85" i="59" a="1"/>
  <c r="AD85" i="59" s="1"/>
  <c r="T85" i="59"/>
  <c r="R85" i="59"/>
  <c r="N85" i="59"/>
  <c r="M85" i="59"/>
  <c r="L85" i="59"/>
  <c r="F85" i="59"/>
  <c r="D85" i="59"/>
  <c r="AF84" i="59" a="1"/>
  <c r="AF84" i="59" s="1"/>
  <c r="AE84" i="59" a="1"/>
  <c r="AE84" i="59" s="1"/>
  <c r="AD84" i="59" a="1"/>
  <c r="AD84" i="59" s="1"/>
  <c r="T84" i="59"/>
  <c r="R84" i="59"/>
  <c r="N84" i="59"/>
  <c r="M84" i="59"/>
  <c r="L84" i="59"/>
  <c r="F84" i="59"/>
  <c r="D84" i="59"/>
  <c r="AF83" i="59" a="1"/>
  <c r="AF83" i="59" s="1"/>
  <c r="AE83" i="59" a="1"/>
  <c r="AE83" i="59" s="1"/>
  <c r="AD83" i="59" a="1"/>
  <c r="AD83" i="59" s="1"/>
  <c r="T83" i="59"/>
  <c r="R83" i="59"/>
  <c r="N83" i="59"/>
  <c r="M83" i="59"/>
  <c r="L83" i="59"/>
  <c r="F83" i="59"/>
  <c r="D83" i="59"/>
  <c r="AF82" i="59" a="1"/>
  <c r="AF82" i="59" s="1"/>
  <c r="AE82" i="59" a="1"/>
  <c r="AE82" i="59" s="1"/>
  <c r="AD82" i="59" a="1"/>
  <c r="AD82" i="59" s="1"/>
  <c r="T82" i="59"/>
  <c r="R82" i="59"/>
  <c r="N82" i="59"/>
  <c r="M82" i="59"/>
  <c r="L82" i="59"/>
  <c r="F82" i="59"/>
  <c r="D82" i="59"/>
  <c r="AF81" i="59" a="1"/>
  <c r="AF81" i="59" s="1"/>
  <c r="AE81" i="59" a="1"/>
  <c r="AE81" i="59" s="1"/>
  <c r="AD81" i="59" a="1"/>
  <c r="AD81" i="59" s="1"/>
  <c r="T81" i="59"/>
  <c r="R81" i="59"/>
  <c r="N81" i="59"/>
  <c r="M81" i="59"/>
  <c r="L81" i="59"/>
  <c r="F81" i="59"/>
  <c r="D81" i="59"/>
  <c r="AF80" i="59" a="1"/>
  <c r="AF80" i="59" s="1"/>
  <c r="AE80" i="59" a="1"/>
  <c r="AE80" i="59" s="1"/>
  <c r="AD80" i="59" a="1"/>
  <c r="AD80" i="59" s="1"/>
  <c r="T80" i="59"/>
  <c r="R80" i="59"/>
  <c r="N80" i="59"/>
  <c r="M80" i="59"/>
  <c r="L80" i="59"/>
  <c r="F80" i="59"/>
  <c r="D80" i="59"/>
  <c r="AF79" i="59" a="1"/>
  <c r="AF79" i="59" s="1"/>
  <c r="AE79" i="59" a="1"/>
  <c r="AE79" i="59" s="1"/>
  <c r="AD79" i="59" a="1"/>
  <c r="AD79" i="59" s="1"/>
  <c r="T79" i="59"/>
  <c r="R79" i="59"/>
  <c r="N79" i="59"/>
  <c r="M79" i="59"/>
  <c r="L79" i="59"/>
  <c r="F79" i="59"/>
  <c r="D79" i="59"/>
  <c r="AF78" i="59" a="1"/>
  <c r="AF78" i="59" s="1"/>
  <c r="AE78" i="59" a="1"/>
  <c r="AE78" i="59" s="1"/>
  <c r="AD78" i="59" a="1"/>
  <c r="AD78" i="59" s="1"/>
  <c r="T78" i="59"/>
  <c r="R78" i="59"/>
  <c r="N78" i="59"/>
  <c r="M78" i="59"/>
  <c r="L78" i="59"/>
  <c r="F78" i="59"/>
  <c r="D78" i="59"/>
  <c r="AF77" i="59" a="1"/>
  <c r="AF77" i="59" s="1"/>
  <c r="AE77" i="59" a="1"/>
  <c r="AE77" i="59" s="1"/>
  <c r="AD77" i="59" a="1"/>
  <c r="AD77" i="59" s="1"/>
  <c r="T77" i="59"/>
  <c r="R77" i="59"/>
  <c r="N77" i="59"/>
  <c r="M77" i="59"/>
  <c r="L77" i="59"/>
  <c r="F77" i="59"/>
  <c r="D77" i="59"/>
  <c r="AF76" i="59" a="1"/>
  <c r="AF76" i="59" s="1"/>
  <c r="AE76" i="59" a="1"/>
  <c r="AE76" i="59" s="1"/>
  <c r="AD76" i="59" a="1"/>
  <c r="AD76" i="59" s="1"/>
  <c r="T76" i="59"/>
  <c r="R76" i="59"/>
  <c r="N76" i="59"/>
  <c r="M76" i="59"/>
  <c r="L76" i="59"/>
  <c r="F76" i="59"/>
  <c r="D76" i="59"/>
  <c r="AF75" i="59" a="1"/>
  <c r="AF75" i="59" s="1"/>
  <c r="AE75" i="59" a="1"/>
  <c r="AE75" i="59" s="1"/>
  <c r="AD75" i="59" a="1"/>
  <c r="AD75" i="59" s="1"/>
  <c r="T75" i="59"/>
  <c r="R75" i="59"/>
  <c r="N75" i="59"/>
  <c r="M75" i="59"/>
  <c r="L75" i="59"/>
  <c r="F75" i="59"/>
  <c r="D75" i="59"/>
  <c r="AF71" i="59" a="1"/>
  <c r="AF71" i="59" s="1"/>
  <c r="AE71" i="59" a="1"/>
  <c r="AE71" i="59" s="1"/>
  <c r="AD71" i="59" a="1"/>
  <c r="AD71" i="59" s="1"/>
  <c r="T71" i="59"/>
  <c r="AF70" i="59" a="1"/>
  <c r="AF70" i="59" s="1"/>
  <c r="AE70" i="59" a="1"/>
  <c r="AE70" i="59" s="1"/>
  <c r="AD70" i="59" a="1"/>
  <c r="AD70" i="59" s="1"/>
  <c r="T70" i="59"/>
  <c r="AF69" i="59" a="1"/>
  <c r="AF69" i="59" s="1"/>
  <c r="AE69" i="59" a="1"/>
  <c r="AE69" i="59" s="1"/>
  <c r="AD69" i="59" a="1"/>
  <c r="AD69" i="59" s="1"/>
  <c r="T69" i="59"/>
  <c r="AF68" i="59" a="1"/>
  <c r="AF68" i="59" s="1"/>
  <c r="AE68" i="59" a="1"/>
  <c r="AE68" i="59" s="1"/>
  <c r="AD68" i="59" a="1"/>
  <c r="AD68" i="59" s="1"/>
  <c r="T68" i="59"/>
  <c r="AF67" i="59" a="1"/>
  <c r="AF67" i="59" s="1"/>
  <c r="AE67" i="59" a="1"/>
  <c r="AE67" i="59" s="1"/>
  <c r="AD67" i="59" a="1"/>
  <c r="AD67" i="59" s="1"/>
  <c r="T67" i="59"/>
  <c r="AF66" i="59" a="1"/>
  <c r="AF66" i="59" s="1"/>
  <c r="AE66" i="59" a="1"/>
  <c r="AE66" i="59" s="1"/>
  <c r="AD66" i="59" a="1"/>
  <c r="AD66" i="59" s="1"/>
  <c r="T66" i="59"/>
  <c r="M66" i="59"/>
  <c r="N66" i="59" s="1"/>
  <c r="L66" i="59"/>
  <c r="AF65" i="59" a="1"/>
  <c r="AF65" i="59" s="1"/>
  <c r="AE65" i="59" a="1"/>
  <c r="AE65" i="59" s="1"/>
  <c r="AD65" i="59" a="1"/>
  <c r="AD65" i="59" s="1"/>
  <c r="T65" i="59"/>
  <c r="M65" i="59"/>
  <c r="N65" i="59" s="1"/>
  <c r="L65" i="59"/>
  <c r="AF64" i="59" a="1"/>
  <c r="AF64" i="59" s="1"/>
  <c r="AE64" i="59" a="1"/>
  <c r="AE64" i="59" s="1"/>
  <c r="AD64" i="59" a="1"/>
  <c r="AD64" i="59" s="1"/>
  <c r="T64" i="59"/>
  <c r="M64" i="59"/>
  <c r="N64" i="59" s="1"/>
  <c r="AF63" i="59" a="1"/>
  <c r="AF63" i="59" s="1"/>
  <c r="AE63" i="59" a="1"/>
  <c r="AE63" i="59" s="1"/>
  <c r="AD63" i="59" a="1"/>
  <c r="AD63" i="59" s="1"/>
  <c r="T63" i="59"/>
  <c r="M63" i="59"/>
  <c r="N63" i="59" s="1"/>
  <c r="L63" i="59"/>
  <c r="AF62" i="59" a="1"/>
  <c r="AF62" i="59" s="1"/>
  <c r="AE62" i="59" a="1"/>
  <c r="AE62" i="59" s="1"/>
  <c r="AD62" i="59" a="1"/>
  <c r="AD62" i="59" s="1"/>
  <c r="T62" i="59"/>
  <c r="M62" i="59"/>
  <c r="N62" i="59" s="1"/>
  <c r="L62" i="59"/>
  <c r="AF61" i="59" a="1"/>
  <c r="AF61" i="59" s="1"/>
  <c r="AE61" i="59" a="1"/>
  <c r="AE61" i="59" s="1"/>
  <c r="AD61" i="59" a="1"/>
  <c r="AD61" i="59" s="1"/>
  <c r="U61" i="59"/>
  <c r="V61" i="59" s="1"/>
  <c r="T61" i="59"/>
  <c r="O61" i="59"/>
  <c r="P61" i="59" s="1"/>
  <c r="M61" i="59"/>
  <c r="N61" i="59" s="1"/>
  <c r="L61" i="59"/>
  <c r="AF60" i="59" a="1"/>
  <c r="AF60" i="59" s="1"/>
  <c r="AE60" i="59" a="1"/>
  <c r="AE60" i="59" s="1"/>
  <c r="AD60" i="59" a="1"/>
  <c r="AD60" i="59" s="1"/>
  <c r="U60" i="59"/>
  <c r="V60" i="59" s="1"/>
  <c r="T60" i="59"/>
  <c r="O60" i="59"/>
  <c r="P60" i="59" s="1"/>
  <c r="M60" i="59"/>
  <c r="N60" i="59" s="1"/>
  <c r="L60" i="59"/>
  <c r="AF56" i="59" a="1"/>
  <c r="AF56" i="59" s="1"/>
  <c r="AE56" i="59" a="1"/>
  <c r="AE56" i="59" s="1"/>
  <c r="AD56" i="59" a="1"/>
  <c r="AD56" i="59" s="1"/>
  <c r="U56" i="59"/>
  <c r="V56" i="59" s="1"/>
  <c r="T56" i="59"/>
  <c r="O56" i="59"/>
  <c r="P56" i="59" s="1"/>
  <c r="M56" i="59"/>
  <c r="N56" i="59" s="1"/>
  <c r="L56" i="59"/>
  <c r="AF55" i="59" a="1"/>
  <c r="AF55" i="59" s="1"/>
  <c r="AE55" i="59" a="1"/>
  <c r="AE55" i="59" s="1"/>
  <c r="AD55" i="59" a="1"/>
  <c r="AD55" i="59" s="1"/>
  <c r="U55" i="59"/>
  <c r="V55" i="59" s="1"/>
  <c r="T55" i="59"/>
  <c r="O55" i="59"/>
  <c r="P55" i="59" s="1"/>
  <c r="M55" i="59"/>
  <c r="N55" i="59" s="1"/>
  <c r="L55" i="59"/>
  <c r="AF54" i="59" a="1"/>
  <c r="AF54" i="59" s="1"/>
  <c r="AE54" i="59" a="1"/>
  <c r="AE54" i="59" s="1"/>
  <c r="AD54" i="59" a="1"/>
  <c r="AD54" i="59" s="1"/>
  <c r="U54" i="59"/>
  <c r="V54" i="59" s="1"/>
  <c r="T54" i="59"/>
  <c r="O54" i="59"/>
  <c r="P54" i="59" s="1"/>
  <c r="M54" i="59"/>
  <c r="N54" i="59" s="1"/>
  <c r="L54" i="59"/>
  <c r="AF53" i="59" a="1"/>
  <c r="AF53" i="59" s="1"/>
  <c r="AE53" i="59" a="1"/>
  <c r="AE53" i="59" s="1"/>
  <c r="AD53" i="59" a="1"/>
  <c r="AD53" i="59" s="1"/>
  <c r="U53" i="59"/>
  <c r="V53" i="59" s="1"/>
  <c r="T53" i="59"/>
  <c r="O53" i="59"/>
  <c r="P53" i="59" s="1"/>
  <c r="M53" i="59"/>
  <c r="N53" i="59" s="1"/>
  <c r="L53" i="59"/>
  <c r="AF52" i="59" a="1"/>
  <c r="AF52" i="59" s="1"/>
  <c r="AE52" i="59" a="1"/>
  <c r="AE52" i="59" s="1"/>
  <c r="AD52" i="59" a="1"/>
  <c r="AD52" i="59" s="1"/>
  <c r="U52" i="59"/>
  <c r="V52" i="59" s="1"/>
  <c r="T52" i="59"/>
  <c r="O52" i="59"/>
  <c r="P52" i="59" s="1"/>
  <c r="M52" i="59"/>
  <c r="N52" i="59" s="1"/>
  <c r="L52" i="59"/>
  <c r="AF51" i="59" a="1"/>
  <c r="AF51" i="59" s="1"/>
  <c r="AE51" i="59" a="1"/>
  <c r="AE51" i="59" s="1"/>
  <c r="AD51" i="59" a="1"/>
  <c r="AD51" i="59" s="1"/>
  <c r="U51" i="59"/>
  <c r="V51" i="59" s="1"/>
  <c r="T51" i="59"/>
  <c r="O51" i="59"/>
  <c r="P51" i="59" s="1"/>
  <c r="M51" i="59"/>
  <c r="N51" i="59" s="1"/>
  <c r="L51" i="59"/>
  <c r="AF50" i="59" a="1"/>
  <c r="AF50" i="59" s="1"/>
  <c r="AE50" i="59" a="1"/>
  <c r="AE50" i="59" s="1"/>
  <c r="AD50" i="59" a="1"/>
  <c r="AD50" i="59" s="1"/>
  <c r="U50" i="59"/>
  <c r="V50" i="59" s="1"/>
  <c r="T50" i="59"/>
  <c r="O50" i="59"/>
  <c r="P50" i="59" s="1"/>
  <c r="M50" i="59"/>
  <c r="N50" i="59" s="1"/>
  <c r="L50" i="59"/>
  <c r="AF49" i="59" a="1"/>
  <c r="AF49" i="59" s="1"/>
  <c r="AE49" i="59" a="1"/>
  <c r="AE49" i="59" s="1"/>
  <c r="AD49" i="59" a="1"/>
  <c r="AD49" i="59" s="1"/>
  <c r="U49" i="59"/>
  <c r="V49" i="59" s="1"/>
  <c r="T49" i="59"/>
  <c r="O49" i="59"/>
  <c r="P49" i="59" s="1"/>
  <c r="M49" i="59"/>
  <c r="N49" i="59" s="1"/>
  <c r="L49" i="59"/>
  <c r="U48" i="59"/>
  <c r="V48" i="59" s="1"/>
  <c r="T48" i="59"/>
  <c r="O48" i="59"/>
  <c r="P48" i="59" s="1"/>
  <c r="M48" i="59"/>
  <c r="N48" i="59" s="1"/>
  <c r="L48" i="59"/>
  <c r="U47" i="59"/>
  <c r="V47" i="59" s="1"/>
  <c r="T47" i="59"/>
  <c r="O47" i="59"/>
  <c r="P47" i="59" s="1"/>
  <c r="M47" i="59"/>
  <c r="N47" i="59" s="1"/>
  <c r="L47" i="59"/>
  <c r="U45" i="59"/>
  <c r="V45" i="59" s="1"/>
  <c r="T45" i="59"/>
  <c r="O45" i="59"/>
  <c r="P45" i="59" s="1"/>
  <c r="M45" i="59"/>
  <c r="N45" i="59" s="1"/>
  <c r="L45" i="59"/>
  <c r="U44" i="59"/>
  <c r="V44" i="59" s="1"/>
  <c r="T44" i="59"/>
  <c r="O44" i="59"/>
  <c r="P44" i="59" s="1"/>
  <c r="M44" i="59"/>
  <c r="N44" i="59" s="1"/>
  <c r="L44" i="59"/>
  <c r="U43" i="59"/>
  <c r="V43" i="59" s="1"/>
  <c r="T43" i="59"/>
  <c r="O43" i="59"/>
  <c r="P43" i="59" s="1"/>
  <c r="M43" i="59"/>
  <c r="N43" i="59" s="1"/>
  <c r="L43" i="59"/>
  <c r="AF41" i="59" a="1"/>
  <c r="AF41" i="59" s="1"/>
  <c r="AE41" i="59" a="1"/>
  <c r="AE41" i="59" s="1"/>
  <c r="AD41" i="59" a="1"/>
  <c r="AD41" i="59" s="1"/>
  <c r="U41" i="59"/>
  <c r="V41" i="59" s="1"/>
  <c r="T41" i="59"/>
  <c r="O41" i="59"/>
  <c r="P41" i="59" s="1"/>
  <c r="M41" i="59"/>
  <c r="N41" i="59" s="1"/>
  <c r="L41" i="59"/>
  <c r="AF40" i="59" a="1"/>
  <c r="AF40" i="59" s="1"/>
  <c r="AE40" i="59" a="1"/>
  <c r="AE40" i="59" s="1"/>
  <c r="AD40" i="59" a="1"/>
  <c r="AD40" i="59" s="1"/>
  <c r="U40" i="59"/>
  <c r="V40" i="59" s="1"/>
  <c r="T40" i="59"/>
  <c r="O40" i="59"/>
  <c r="P40" i="59" s="1"/>
  <c r="M40" i="59"/>
  <c r="N40" i="59" s="1"/>
  <c r="L40" i="59"/>
  <c r="AF39" i="59" a="1"/>
  <c r="AF39" i="59" s="1"/>
  <c r="AE39" i="59" a="1"/>
  <c r="AE39" i="59" s="1"/>
  <c r="AD39" i="59" a="1"/>
  <c r="AD39" i="59" s="1"/>
  <c r="U39" i="59"/>
  <c r="V39" i="59" s="1"/>
  <c r="T39" i="59"/>
  <c r="O39" i="59"/>
  <c r="P39" i="59" s="1"/>
  <c r="M39" i="59"/>
  <c r="N39" i="59" s="1"/>
  <c r="L39" i="59"/>
  <c r="AF38" i="59" a="1"/>
  <c r="AF38" i="59" s="1"/>
  <c r="AE38" i="59" a="1"/>
  <c r="AE38" i="59" s="1"/>
  <c r="AD38" i="59" a="1"/>
  <c r="AD38" i="59" s="1"/>
  <c r="U38" i="59"/>
  <c r="V38" i="59" s="1"/>
  <c r="T38" i="59"/>
  <c r="O38" i="59"/>
  <c r="P38" i="59" s="1"/>
  <c r="M38" i="59"/>
  <c r="N38" i="59" s="1"/>
  <c r="L38" i="59"/>
  <c r="AF37" i="59" a="1"/>
  <c r="AF37" i="59" s="1"/>
  <c r="AE37" i="59" a="1"/>
  <c r="AE37" i="59" s="1"/>
  <c r="AD37" i="59" a="1"/>
  <c r="AD37" i="59" s="1"/>
  <c r="U37" i="59"/>
  <c r="V37" i="59" s="1"/>
  <c r="T37" i="59"/>
  <c r="O37" i="59"/>
  <c r="P37" i="59" s="1"/>
  <c r="M37" i="59"/>
  <c r="N37" i="59" s="1"/>
  <c r="L37" i="59"/>
  <c r="AF57" i="59" a="1"/>
  <c r="AF57" i="59" s="1"/>
  <c r="AE57" i="59" a="1"/>
  <c r="AE57" i="59" s="1"/>
  <c r="AD57" i="59" a="1"/>
  <c r="AD57" i="59" s="1"/>
  <c r="U57" i="59"/>
  <c r="V57" i="59" s="1"/>
  <c r="T57" i="59"/>
  <c r="P57" i="59"/>
  <c r="M57" i="59"/>
  <c r="N57" i="59" s="1"/>
  <c r="L57" i="59"/>
  <c r="AF36" i="59" a="1"/>
  <c r="AF36" i="59" s="1"/>
  <c r="AE36" i="59" a="1"/>
  <c r="AE36" i="59" s="1"/>
  <c r="AD36" i="59" a="1"/>
  <c r="AD36" i="59" s="1"/>
  <c r="U36" i="59"/>
  <c r="V36" i="59" s="1"/>
  <c r="T36" i="59"/>
  <c r="O36" i="59"/>
  <c r="P36" i="59" s="1"/>
  <c r="M36" i="59"/>
  <c r="N36" i="59" s="1"/>
  <c r="L36" i="59"/>
  <c r="AF35" i="59" a="1"/>
  <c r="AF35" i="59" s="1"/>
  <c r="AE35" i="59" a="1"/>
  <c r="AE35" i="59" s="1"/>
  <c r="AD35" i="59" a="1"/>
  <c r="AD35" i="59" s="1"/>
  <c r="U35" i="59"/>
  <c r="V35" i="59" s="1"/>
  <c r="T35" i="59"/>
  <c r="O35" i="59"/>
  <c r="P35" i="59" s="1"/>
  <c r="M35" i="59"/>
  <c r="N35" i="59" s="1"/>
  <c r="L35" i="59"/>
  <c r="AF34" i="59" a="1"/>
  <c r="AF34" i="59" s="1"/>
  <c r="AE34" i="59" a="1"/>
  <c r="AE34" i="59" s="1"/>
  <c r="AD34" i="59" a="1"/>
  <c r="AD34" i="59" s="1"/>
  <c r="U34" i="59"/>
  <c r="V34" i="59" s="1"/>
  <c r="T34" i="59"/>
  <c r="O34" i="59"/>
  <c r="P34" i="59" s="1"/>
  <c r="M34" i="59"/>
  <c r="N34" i="59" s="1"/>
  <c r="L34" i="59"/>
  <c r="AF33" i="59" a="1"/>
  <c r="AF33" i="59" s="1"/>
  <c r="AE33" i="59" a="1"/>
  <c r="AE33" i="59" s="1"/>
  <c r="AD33" i="59" a="1"/>
  <c r="AD33" i="59" s="1"/>
  <c r="U33" i="59"/>
  <c r="V33" i="59" s="1"/>
  <c r="T33" i="59"/>
  <c r="O33" i="59"/>
  <c r="P33" i="59" s="1"/>
  <c r="M33" i="59"/>
  <c r="N33" i="59" s="1"/>
  <c r="L33" i="59"/>
  <c r="AF32" i="59" a="1"/>
  <c r="AF32" i="59" s="1"/>
  <c r="AE32" i="59" a="1"/>
  <c r="AE32" i="59" s="1"/>
  <c r="AD32" i="59" a="1"/>
  <c r="AD32" i="59" s="1"/>
  <c r="U32" i="59"/>
  <c r="V32" i="59" s="1"/>
  <c r="T32" i="59"/>
  <c r="O32" i="59"/>
  <c r="P32" i="59" s="1"/>
  <c r="M32" i="59"/>
  <c r="N32" i="59" s="1"/>
  <c r="L32" i="59"/>
  <c r="AF31" i="59" a="1"/>
  <c r="AF31" i="59" s="1"/>
  <c r="AE31" i="59" a="1"/>
  <c r="AE31" i="59" s="1"/>
  <c r="AD31" i="59" a="1"/>
  <c r="AD31" i="59" s="1"/>
  <c r="U31" i="59"/>
  <c r="V31" i="59" s="1"/>
  <c r="T31" i="59"/>
  <c r="O31" i="59"/>
  <c r="P31" i="59" s="1"/>
  <c r="M31" i="59"/>
  <c r="N31" i="59" s="1"/>
  <c r="L31" i="59"/>
  <c r="AF30" i="59" a="1"/>
  <c r="AF30" i="59" s="1"/>
  <c r="AE30" i="59" a="1"/>
  <c r="AE30" i="59" s="1"/>
  <c r="AD30" i="59" a="1"/>
  <c r="AD30" i="59" s="1"/>
  <c r="U30" i="59"/>
  <c r="V30" i="59" s="1"/>
  <c r="T30" i="59"/>
  <c r="O30" i="59"/>
  <c r="P30" i="59" s="1"/>
  <c r="M30" i="59"/>
  <c r="N30" i="59" s="1"/>
  <c r="L30" i="59"/>
  <c r="AF29" i="59" a="1"/>
  <c r="AF29" i="59" s="1"/>
  <c r="AE29" i="59" a="1"/>
  <c r="AE29" i="59" s="1"/>
  <c r="AD29" i="59" a="1"/>
  <c r="AD29" i="59" s="1"/>
  <c r="U29" i="59"/>
  <c r="V29" i="59" s="1"/>
  <c r="T29" i="59"/>
  <c r="O29" i="59"/>
  <c r="P29" i="59" s="1"/>
  <c r="M29" i="59"/>
  <c r="N29" i="59" s="1"/>
  <c r="L29" i="59"/>
  <c r="AF28" i="59" a="1"/>
  <c r="AF28" i="59" s="1"/>
  <c r="AE28" i="59" a="1"/>
  <c r="AE28" i="59" s="1"/>
  <c r="AD28" i="59" a="1"/>
  <c r="AD28" i="59" s="1"/>
  <c r="U28" i="59"/>
  <c r="V28" i="59" s="1"/>
  <c r="T28" i="59"/>
  <c r="O28" i="59"/>
  <c r="P28" i="59" s="1"/>
  <c r="M28" i="59"/>
  <c r="N28" i="59" s="1"/>
  <c r="L28" i="59"/>
  <c r="AF27" i="59" a="1"/>
  <c r="AF27" i="59" s="1"/>
  <c r="AE27" i="59" a="1"/>
  <c r="AE27" i="59" s="1"/>
  <c r="AD27" i="59" a="1"/>
  <c r="AD27" i="59" s="1"/>
  <c r="U27" i="59"/>
  <c r="V27" i="59" s="1"/>
  <c r="T27" i="59"/>
  <c r="O27" i="59"/>
  <c r="P27" i="59" s="1"/>
  <c r="M27" i="59"/>
  <c r="N27" i="59" s="1"/>
  <c r="L27" i="59"/>
  <c r="AF23" i="59" a="1"/>
  <c r="AF23" i="59" s="1"/>
  <c r="AE23" i="59" a="1"/>
  <c r="AE23" i="59" s="1"/>
  <c r="AD23" i="59" a="1"/>
  <c r="AD23" i="59" s="1"/>
  <c r="U23" i="59"/>
  <c r="V23" i="59" s="1"/>
  <c r="T23" i="59"/>
  <c r="R23" i="59"/>
  <c r="O23" i="59"/>
  <c r="P23" i="59" s="1"/>
  <c r="M23" i="59"/>
  <c r="N23" i="59" s="1"/>
  <c r="L23" i="59"/>
  <c r="S19" i="59"/>
  <c r="R19" i="59"/>
  <c r="S18" i="59"/>
  <c r="R18" i="59"/>
  <c r="AR17" i="59" a="1"/>
  <c r="AR17" i="59" s="1"/>
  <c r="AQ17" i="59" a="1"/>
  <c r="AQ17" i="59" s="1"/>
  <c r="AP17" i="59" a="1"/>
  <c r="AP17" i="59" s="1"/>
  <c r="AO17" i="59" a="1"/>
  <c r="AO17" i="59" s="1"/>
  <c r="AN17" i="59" a="1"/>
  <c r="AN17" i="59" s="1"/>
  <c r="AM17" i="59" a="1"/>
  <c r="AM17" i="59" s="1"/>
  <c r="AL17" i="59" a="1"/>
  <c r="AL17" i="59" s="1"/>
  <c r="AK17" i="59" a="1"/>
  <c r="AK17" i="59" s="1"/>
  <c r="AH17" i="59" a="1"/>
  <c r="AH17" i="59" s="1"/>
  <c r="AG17" i="59" a="1"/>
  <c r="AG17" i="59" s="1"/>
  <c r="J17" i="59"/>
  <c r="I17" i="59"/>
  <c r="AR16" i="59" a="1"/>
  <c r="AR16" i="59" s="1"/>
  <c r="AQ16" i="59" a="1"/>
  <c r="AQ16" i="59" s="1"/>
  <c r="AP16" i="59" a="1"/>
  <c r="AP16" i="59" s="1"/>
  <c r="AO16" i="59" a="1"/>
  <c r="AO16" i="59" s="1"/>
  <c r="AN16" i="59" a="1"/>
  <c r="AN16" i="59" s="1"/>
  <c r="AM16" i="59" a="1"/>
  <c r="AM16" i="59" s="1"/>
  <c r="AL16" i="59" a="1"/>
  <c r="AL16" i="59" s="1"/>
  <c r="AK16" i="59" a="1"/>
  <c r="AK16" i="59" s="1"/>
  <c r="AH16" i="59" a="1"/>
  <c r="AH16" i="59" s="1"/>
  <c r="AG16" i="59" a="1"/>
  <c r="AG16" i="59" s="1"/>
  <c r="S16" i="59"/>
  <c r="R16" i="59"/>
  <c r="J16" i="59"/>
  <c r="I16" i="59"/>
  <c r="AR15" i="59" a="1"/>
  <c r="AR15" i="59" s="1"/>
  <c r="AQ15" i="59" a="1"/>
  <c r="AQ15" i="59" s="1"/>
  <c r="AP15" i="59" a="1"/>
  <c r="AP15" i="59" s="1"/>
  <c r="AO15" i="59" a="1"/>
  <c r="AO15" i="59" s="1"/>
  <c r="AN15" i="59" a="1"/>
  <c r="AN15" i="59" s="1"/>
  <c r="AM15" i="59" a="1"/>
  <c r="AM15" i="59" s="1"/>
  <c r="AL15" i="59" a="1"/>
  <c r="AL15" i="59" s="1"/>
  <c r="AK15" i="59" a="1"/>
  <c r="AK15" i="59" s="1"/>
  <c r="AH15" i="59" a="1"/>
  <c r="AH15" i="59" s="1"/>
  <c r="AG15" i="59" a="1"/>
  <c r="AG15" i="59" s="1"/>
  <c r="S15" i="59"/>
  <c r="R15" i="59"/>
  <c r="CK12" i="59" a="1"/>
  <c r="CK12" i="59" s="1"/>
  <c r="CJ12" i="59" a="1"/>
  <c r="CJ12" i="59" s="1"/>
  <c r="CI12" i="59" a="1"/>
  <c r="CI12" i="59" s="1"/>
  <c r="CH12" i="59" a="1"/>
  <c r="CH12" i="59" s="1"/>
  <c r="CG12" i="59" a="1"/>
  <c r="CG12" i="59" s="1"/>
  <c r="CF12" i="59" a="1"/>
  <c r="CF12" i="59" s="1"/>
  <c r="BE12" i="59" a="1"/>
  <c r="BE12" i="59" s="1"/>
  <c r="BN12" i="59" a="1"/>
  <c r="BN12" i="59" s="1"/>
  <c r="BB12" i="59" a="1"/>
  <c r="BB12" i="59" s="1"/>
  <c r="BK12" i="59" a="1"/>
  <c r="BK12" i="59" s="1"/>
  <c r="BM12" i="59" a="1"/>
  <c r="BM12" i="59" s="1"/>
  <c r="AZ12" i="59" a="1"/>
  <c r="AZ12" i="59" s="1"/>
  <c r="AW12" i="59" a="1"/>
  <c r="AW12" i="59" s="1"/>
  <c r="AV12" i="59" a="1"/>
  <c r="AV12" i="59" s="1"/>
  <c r="AR12" i="59" a="1"/>
  <c r="AR12" i="59" s="1"/>
  <c r="AQ12" i="59" a="1"/>
  <c r="AQ12" i="59" s="1"/>
  <c r="AO12" i="59" a="1"/>
  <c r="AO12" i="59" s="1"/>
  <c r="AN12" i="59" a="1"/>
  <c r="AN12" i="59" s="1"/>
  <c r="AX12" i="59" a="1"/>
  <c r="AX12" i="59" s="1"/>
  <c r="AL12" i="59" a="1"/>
  <c r="AL12" i="59" s="1"/>
  <c r="AI12" i="59" a="1"/>
  <c r="AI12" i="59" s="1"/>
  <c r="AH12" i="59" a="1"/>
  <c r="AH12" i="59" s="1"/>
  <c r="AG12" i="59" a="1"/>
  <c r="AG12" i="59" s="1"/>
  <c r="AF12" i="59" a="1"/>
  <c r="AF12" i="59" s="1"/>
  <c r="CK10" i="59" a="1"/>
  <c r="CK10" i="59" s="1"/>
  <c r="CJ10" i="59" a="1"/>
  <c r="CJ10" i="59" s="1"/>
  <c r="CI10" i="59" a="1"/>
  <c r="CI10" i="59" s="1"/>
  <c r="CH10" i="59" a="1"/>
  <c r="CH10" i="59" s="1"/>
  <c r="CG10" i="59" a="1"/>
  <c r="CG10" i="59" s="1"/>
  <c r="CF10" i="59" a="1"/>
  <c r="CF10" i="59" s="1"/>
  <c r="BE10" i="59" a="1"/>
  <c r="BE10" i="59" s="1"/>
  <c r="BN10" i="59" a="1"/>
  <c r="BN10" i="59" s="1"/>
  <c r="BB10" i="59" a="1"/>
  <c r="BB10" i="59" s="1"/>
  <c r="BK10" i="59" a="1"/>
  <c r="BK10" i="59" s="1"/>
  <c r="BM10" i="59" a="1"/>
  <c r="BM10" i="59" s="1"/>
  <c r="AZ10" i="59" a="1"/>
  <c r="AZ10" i="59" s="1"/>
  <c r="AW10" i="59" a="1"/>
  <c r="AW10" i="59" s="1"/>
  <c r="AV10" i="59" a="1"/>
  <c r="AV10" i="59" s="1"/>
  <c r="AR10" i="59" a="1"/>
  <c r="AR10" i="59" s="1"/>
  <c r="AQ10" i="59" a="1"/>
  <c r="AQ10" i="59" s="1"/>
  <c r="AO10" i="59" a="1"/>
  <c r="AO10" i="59" s="1"/>
  <c r="AN10" i="59" a="1"/>
  <c r="AN10" i="59" s="1"/>
  <c r="AX10" i="59" a="1"/>
  <c r="AX10" i="59" s="1"/>
  <c r="AL10" i="59" a="1"/>
  <c r="AL10" i="59" s="1"/>
  <c r="AI10" i="59" a="1"/>
  <c r="AI10" i="59" s="1"/>
  <c r="AH10" i="59" a="1"/>
  <c r="AH10" i="59" s="1"/>
  <c r="AG10" i="59" a="1"/>
  <c r="AG10" i="59" s="1"/>
  <c r="AF10" i="59" a="1"/>
  <c r="AF10" i="59" s="1"/>
  <c r="CK2" i="59" a="1"/>
  <c r="CK2" i="59" s="1"/>
  <c r="CJ2" i="59" a="1"/>
  <c r="CJ2" i="59" s="1"/>
  <c r="CI2" i="59" a="1"/>
  <c r="CI2" i="59" s="1"/>
  <c r="CH2" i="59" a="1"/>
  <c r="CH2" i="59" s="1"/>
  <c r="CG2" i="59" a="1"/>
  <c r="CG2" i="59" s="1"/>
  <c r="CF2" i="59" a="1"/>
  <c r="CF2" i="59" s="1"/>
  <c r="BE2" i="59" a="1"/>
  <c r="BE2" i="59" s="1"/>
  <c r="BN2" i="59" a="1"/>
  <c r="BN2" i="59" s="1"/>
  <c r="BB2" i="59" a="1"/>
  <c r="BB2" i="59" s="1"/>
  <c r="BK2" i="59" a="1"/>
  <c r="BK2" i="59" s="1"/>
  <c r="BM2" i="59" a="1"/>
  <c r="BM2" i="59" s="1"/>
  <c r="AZ2" i="59" a="1"/>
  <c r="AZ2" i="59" s="1"/>
  <c r="AW2" i="59" a="1"/>
  <c r="AW2" i="59" s="1"/>
  <c r="AV2" i="59" a="1"/>
  <c r="AV2" i="59" s="1"/>
  <c r="AR2" i="59" a="1"/>
  <c r="AR2" i="59" s="1"/>
  <c r="AQ2" i="59" a="1"/>
  <c r="AQ2" i="59" s="1"/>
  <c r="AO2" i="59" a="1"/>
  <c r="AO2" i="59" s="1"/>
  <c r="AN2" i="59" a="1"/>
  <c r="AN2" i="59" s="1"/>
  <c r="AX2" i="59" a="1"/>
  <c r="AX2" i="59" s="1"/>
  <c r="AL2" i="59" a="1"/>
  <c r="AL2" i="59" s="1"/>
  <c r="AI2" i="59" a="1"/>
  <c r="AI2" i="59" s="1"/>
  <c r="AH2" i="59" a="1"/>
  <c r="AH2" i="59" s="1"/>
  <c r="AG2" i="59" a="1"/>
  <c r="AG2" i="59" s="1"/>
  <c r="CK1" i="59"/>
  <c r="CJ1" i="59"/>
  <c r="CI1" i="59"/>
  <c r="CH1" i="59"/>
  <c r="CG1" i="59"/>
  <c r="CF1" i="59"/>
  <c r="BE1" i="59"/>
  <c r="BN1" i="59"/>
  <c r="BB1" i="59"/>
  <c r="BK1" i="59"/>
  <c r="BM1" i="59"/>
  <c r="AZ1" i="59"/>
  <c r="AW1" i="59"/>
  <c r="AV1" i="59"/>
  <c r="AR1" i="59"/>
  <c r="AQ1" i="59"/>
  <c r="AO1" i="59"/>
  <c r="AN1" i="59"/>
  <c r="AX1" i="59"/>
  <c r="AL1" i="59"/>
  <c r="AI1" i="59"/>
  <c r="AH1" i="59"/>
  <c r="AG1" i="59"/>
  <c r="BX6" i="75" l="1"/>
  <c r="BX7" i="75" s="1"/>
  <c r="CB6" i="76"/>
  <c r="CB7" i="76" s="1"/>
  <c r="BT6" i="76"/>
  <c r="BT7" i="76" s="1"/>
  <c r="BS6" i="76"/>
  <c r="BS7" i="76" s="1"/>
  <c r="CI6" i="76"/>
  <c r="CI7" i="76" s="1"/>
  <c r="CC6" i="68"/>
  <c r="CC7" i="68" s="1"/>
  <c r="CG6" i="61"/>
  <c r="CG7" i="61" s="1"/>
  <c r="CK6" i="61"/>
  <c r="CK7" i="61" s="1"/>
  <c r="BX6" i="65"/>
  <c r="BX7" i="65" s="1"/>
  <c r="AF9" i="65"/>
  <c r="CC6" i="60"/>
  <c r="CC7" i="60" s="1"/>
  <c r="AF9" i="60"/>
  <c r="BN6" i="65"/>
  <c r="BN7" i="65" s="1"/>
  <c r="CB6" i="74"/>
  <c r="CB7" i="74" s="1"/>
  <c r="BC6" i="62"/>
  <c r="BC7" i="62" s="1"/>
  <c r="CA6" i="73"/>
  <c r="CA7" i="73" s="1"/>
  <c r="BM6" i="67"/>
  <c r="BM7" i="67" s="1"/>
  <c r="CG6" i="63"/>
  <c r="CG7" i="63" s="1"/>
  <c r="AF13" i="63"/>
  <c r="BS6" i="63"/>
  <c r="BS7" i="63" s="1"/>
  <c r="CE6" i="63"/>
  <c r="CE7" i="63" s="1"/>
  <c r="AF9" i="63"/>
  <c r="CA6" i="63"/>
  <c r="CA7" i="63" s="1"/>
  <c r="CA6" i="79"/>
  <c r="CA7" i="79" s="1"/>
  <c r="CE6" i="79"/>
  <c r="CE7" i="79" s="1"/>
  <c r="BM6" i="62"/>
  <c r="BM7" i="62" s="1"/>
  <c r="AF13" i="72"/>
  <c r="BK6" i="74"/>
  <c r="BK7" i="74" s="1"/>
  <c r="AU6" i="60"/>
  <c r="AU7" i="60" s="1"/>
  <c r="BF6" i="66"/>
  <c r="BF7" i="66" s="1"/>
  <c r="AF6" i="63"/>
  <c r="AF7" i="63" s="1"/>
  <c r="AF13" i="71"/>
  <c r="AU6" i="61"/>
  <c r="AU7" i="61" s="1"/>
  <c r="CC6" i="75"/>
  <c r="CC7" i="75" s="1"/>
  <c r="BZ6" i="63"/>
  <c r="BZ7" i="63" s="1"/>
  <c r="AH6" i="63"/>
  <c r="AH7" i="63" s="1"/>
  <c r="CL6" i="73"/>
  <c r="CL7" i="73" s="1"/>
  <c r="CH6" i="64"/>
  <c r="CH7" i="64" s="1"/>
  <c r="AF6" i="74"/>
  <c r="AF7" i="74" s="1"/>
  <c r="BO6" i="63"/>
  <c r="BO7" i="63" s="1"/>
  <c r="AF6" i="77"/>
  <c r="CF6" i="60"/>
  <c r="CF7" i="60" s="1"/>
  <c r="BZ6" i="60"/>
  <c r="BZ7" i="60" s="1"/>
  <c r="CK6" i="60"/>
  <c r="CK7" i="60" s="1"/>
  <c r="CA6" i="68"/>
  <c r="CA7" i="68" s="1"/>
  <c r="BU6" i="68"/>
  <c r="BU7" i="68" s="1"/>
  <c r="AF9" i="71"/>
  <c r="CE6" i="69"/>
  <c r="CE7" i="69" s="1"/>
  <c r="AI6" i="60"/>
  <c r="AI7" i="60" s="1"/>
  <c r="CK6" i="74"/>
  <c r="CK7" i="74" s="1"/>
  <c r="CJ6" i="74"/>
  <c r="CJ7" i="74" s="1"/>
  <c r="AF11" i="74"/>
  <c r="AF9" i="74"/>
  <c r="CH6" i="62"/>
  <c r="CH7" i="62" s="1"/>
  <c r="BQ6" i="64"/>
  <c r="BQ7" i="64" s="1"/>
  <c r="CE6" i="78"/>
  <c r="CE7" i="78" s="1"/>
  <c r="CA6" i="78"/>
  <c r="CA7" i="78" s="1"/>
  <c r="AX6" i="60"/>
  <c r="AX7" i="60" s="1"/>
  <c r="CI6" i="60"/>
  <c r="CI7" i="60" s="1"/>
  <c r="CG6" i="60"/>
  <c r="CG7" i="60" s="1"/>
  <c r="BS6" i="60"/>
  <c r="BS7" i="60" s="1"/>
  <c r="BY6" i="60"/>
  <c r="BY7" i="60" s="1"/>
  <c r="AY6" i="74"/>
  <c r="AY7" i="74" s="1"/>
  <c r="BD6" i="60"/>
  <c r="BD7" i="60" s="1"/>
  <c r="AN6" i="60"/>
  <c r="AN7" i="60" s="1"/>
  <c r="AG6" i="60"/>
  <c r="AG7" i="60" s="1"/>
  <c r="AZ6" i="61"/>
  <c r="AZ7" i="61" s="1"/>
  <c r="CG6" i="76"/>
  <c r="CG7" i="76" s="1"/>
  <c r="BU6" i="71"/>
  <c r="BU7" i="71" s="1"/>
  <c r="CC6" i="66"/>
  <c r="CC7" i="66" s="1"/>
  <c r="AV6" i="78"/>
  <c r="AV7" i="78" s="1"/>
  <c r="CD6" i="67"/>
  <c r="CD7" i="67" s="1"/>
  <c r="AO6" i="63"/>
  <c r="AO7" i="63" s="1"/>
  <c r="AF13" i="69"/>
  <c r="BF6" i="72"/>
  <c r="BF7" i="72" s="1"/>
  <c r="CM6" i="74"/>
  <c r="CM7" i="74" s="1"/>
  <c r="CB6" i="77"/>
  <c r="CB7" i="77" s="1"/>
  <c r="AN6" i="74"/>
  <c r="AN7" i="74" s="1"/>
  <c r="CJ6" i="68"/>
  <c r="CJ7" i="68" s="1"/>
  <c r="CH6" i="67"/>
  <c r="CH7" i="67" s="1"/>
  <c r="CC6" i="65"/>
  <c r="CC7" i="65" s="1"/>
  <c r="CB6" i="65"/>
  <c r="CB7" i="65" s="1"/>
  <c r="AF6" i="68"/>
  <c r="AF7" i="68" s="1"/>
  <c r="AF6" i="72"/>
  <c r="AF7" i="72" s="1"/>
  <c r="CG6" i="72"/>
  <c r="CG7" i="72" s="1"/>
  <c r="AT6" i="72"/>
  <c r="AT7" i="72" s="1"/>
  <c r="AM6" i="70"/>
  <c r="AM7" i="70" s="1"/>
  <c r="CJ6" i="63"/>
  <c r="CJ7" i="63" s="1"/>
  <c r="AF6" i="62"/>
  <c r="AF7" i="62" s="1"/>
  <c r="CA6" i="61"/>
  <c r="CA7" i="61" s="1"/>
  <c r="BX6" i="60"/>
  <c r="BX7" i="60" s="1"/>
  <c r="BZ6" i="75"/>
  <c r="BZ7" i="75" s="1"/>
  <c r="CM6" i="72"/>
  <c r="CM7" i="72" s="1"/>
  <c r="AN6" i="63"/>
  <c r="AN7" i="63" s="1"/>
  <c r="BB6" i="63"/>
  <c r="BB7" i="63" s="1"/>
  <c r="BN6" i="63"/>
  <c r="BN7" i="63" s="1"/>
  <c r="BS6" i="66"/>
  <c r="BS7" i="66" s="1"/>
  <c r="CK6" i="79"/>
  <c r="CK7" i="79" s="1"/>
  <c r="CC6" i="69"/>
  <c r="CC7" i="69" s="1"/>
  <c r="CO6" i="69"/>
  <c r="CO7" i="69" s="1"/>
  <c r="BT6" i="69"/>
  <c r="BT7" i="69" s="1"/>
  <c r="BP6" i="62"/>
  <c r="BP7" i="62" s="1"/>
  <c r="CF6" i="75"/>
  <c r="CF7" i="75" s="1"/>
  <c r="BP6" i="76"/>
  <c r="BP7" i="76" s="1"/>
  <c r="BY6" i="65"/>
  <c r="BY7" i="65" s="1"/>
  <c r="H17" i="77"/>
  <c r="BT6" i="77"/>
  <c r="BT7" i="77" s="1"/>
  <c r="CB6" i="64"/>
  <c r="CB7" i="64" s="1"/>
  <c r="BX6" i="64"/>
  <c r="BX7" i="64" s="1"/>
  <c r="BG6" i="60"/>
  <c r="BG7" i="60" s="1"/>
  <c r="CF6" i="68"/>
  <c r="CF7" i="68" s="1"/>
  <c r="CH6" i="72"/>
  <c r="CH7" i="72" s="1"/>
  <c r="CO6" i="72"/>
  <c r="CO7" i="72" s="1"/>
  <c r="CD6" i="66"/>
  <c r="CD7" i="66" s="1"/>
  <c r="CL6" i="72"/>
  <c r="CL7" i="72" s="1"/>
  <c r="BW6" i="72"/>
  <c r="BW7" i="72" s="1"/>
  <c r="AO6" i="64"/>
  <c r="AO7" i="64" s="1"/>
  <c r="CD6" i="64"/>
  <c r="CD7" i="64" s="1"/>
  <c r="CI6" i="64"/>
  <c r="CI7" i="64" s="1"/>
  <c r="BR6" i="64"/>
  <c r="BR7" i="64" s="1"/>
  <c r="AG6" i="70"/>
  <c r="AG7" i="70" s="1"/>
  <c r="AH6" i="74"/>
  <c r="AH7" i="74" s="1"/>
  <c r="BF6" i="60"/>
  <c r="BF7" i="60" s="1"/>
  <c r="AO6" i="78"/>
  <c r="AO7" i="78" s="1"/>
  <c r="AT6" i="60"/>
  <c r="AT7" i="60" s="1"/>
  <c r="BC6" i="60"/>
  <c r="BC7" i="60" s="1"/>
  <c r="AQ6" i="60"/>
  <c r="AQ7" i="60" s="1"/>
  <c r="AP6" i="60"/>
  <c r="AP7" i="60" s="1"/>
  <c r="AH6" i="60"/>
  <c r="AH7" i="60" s="1"/>
  <c r="AF9" i="76"/>
  <c r="AF6" i="76"/>
  <c r="AF7" i="76" s="1"/>
  <c r="BT6" i="73"/>
  <c r="BT7" i="73" s="1"/>
  <c r="CM6" i="73"/>
  <c r="CM7" i="73" s="1"/>
  <c r="BI6" i="73"/>
  <c r="BI7" i="73" s="1"/>
  <c r="CL6" i="76"/>
  <c r="CL7" i="76" s="1"/>
  <c r="BR6" i="76"/>
  <c r="BR7" i="76" s="1"/>
  <c r="CK6" i="76"/>
  <c r="CK7" i="76" s="1"/>
  <c r="CI6" i="72"/>
  <c r="CI7" i="72" s="1"/>
  <c r="CC6" i="71"/>
  <c r="CC7" i="71" s="1"/>
  <c r="CI6" i="71"/>
  <c r="CI7" i="71" s="1"/>
  <c r="CK6" i="71"/>
  <c r="CK7" i="71" s="1"/>
  <c r="CH6" i="65"/>
  <c r="CH7" i="65" s="1"/>
  <c r="CA6" i="65"/>
  <c r="CA7" i="65" s="1"/>
  <c r="CD6" i="65"/>
  <c r="CD7" i="65" s="1"/>
  <c r="CC6" i="64"/>
  <c r="CC7" i="64" s="1"/>
  <c r="BL6" i="63"/>
  <c r="BL7" i="63" s="1"/>
  <c r="AW6" i="78"/>
  <c r="AW7" i="78" s="1"/>
  <c r="CJ6" i="78"/>
  <c r="CJ7" i="78" s="1"/>
  <c r="CC6" i="78"/>
  <c r="CC7" i="78" s="1"/>
  <c r="CI6" i="78"/>
  <c r="CI7" i="78" s="1"/>
  <c r="AV6" i="63"/>
  <c r="AV7" i="63" s="1"/>
  <c r="CP6" i="72"/>
  <c r="CP7" i="72" s="1"/>
  <c r="BV6" i="72"/>
  <c r="BV7" i="72" s="1"/>
  <c r="BX6" i="72"/>
  <c r="BX7" i="72" s="1"/>
  <c r="AG6" i="72"/>
  <c r="AG7" i="72" s="1"/>
  <c r="AH6" i="72"/>
  <c r="AH7" i="72" s="1"/>
  <c r="AL6" i="72"/>
  <c r="AL7" i="72" s="1"/>
  <c r="BU6" i="74"/>
  <c r="BU7" i="74" s="1"/>
  <c r="AI6" i="74"/>
  <c r="AI7" i="74" s="1"/>
  <c r="CD6" i="79"/>
  <c r="CD7" i="79" s="1"/>
  <c r="CN6" i="79"/>
  <c r="CN7" i="79" s="1"/>
  <c r="BV6" i="79"/>
  <c r="BV7" i="79" s="1"/>
  <c r="CC6" i="79"/>
  <c r="CC7" i="79" s="1"/>
  <c r="CJ6" i="79"/>
  <c r="CJ7" i="79" s="1"/>
  <c r="AM6" i="73"/>
  <c r="AM7" i="73" s="1"/>
  <c r="AU6" i="78"/>
  <c r="AU7" i="78" s="1"/>
  <c r="AF6" i="60"/>
  <c r="AF7" i="60" s="1"/>
  <c r="AS6" i="60"/>
  <c r="AS7" i="60" s="1"/>
  <c r="CD6" i="60"/>
  <c r="CD7" i="60" s="1"/>
  <c r="BR6" i="60"/>
  <c r="BR7" i="60" s="1"/>
  <c r="BE6" i="60"/>
  <c r="BE7" i="60" s="1"/>
  <c r="CJ6" i="60"/>
  <c r="CJ7" i="60" s="1"/>
  <c r="CA6" i="60"/>
  <c r="CA7" i="60" s="1"/>
  <c r="AL6" i="74"/>
  <c r="AL7" i="74" s="1"/>
  <c r="AG6" i="66"/>
  <c r="AG7" i="66" s="1"/>
  <c r="BO6" i="78"/>
  <c r="BO7" i="78" s="1"/>
  <c r="CD6" i="78"/>
  <c r="CD7" i="78" s="1"/>
  <c r="BS6" i="78"/>
  <c r="BS7" i="78" s="1"/>
  <c r="AZ6" i="63"/>
  <c r="AZ7" i="63" s="1"/>
  <c r="AR6" i="63"/>
  <c r="AR7" i="63" s="1"/>
  <c r="AU6" i="63"/>
  <c r="AU7" i="63" s="1"/>
  <c r="AL6" i="60"/>
  <c r="AL7" i="60" s="1"/>
  <c r="BB6" i="60"/>
  <c r="BB7" i="60" s="1"/>
  <c r="BS6" i="71"/>
  <c r="BS7" i="71" s="1"/>
  <c r="CF6" i="71"/>
  <c r="CF7" i="71" s="1"/>
  <c r="AQ6" i="61"/>
  <c r="AQ7" i="61" s="1"/>
  <c r="CJ6" i="64"/>
  <c r="CJ7" i="64" s="1"/>
  <c r="CJ6" i="70"/>
  <c r="CJ7" i="70" s="1"/>
  <c r="CG6" i="73"/>
  <c r="CG7" i="73" s="1"/>
  <c r="CJ6" i="73"/>
  <c r="CJ7" i="73" s="1"/>
  <c r="CE6" i="73"/>
  <c r="CE7" i="73" s="1"/>
  <c r="AO6" i="73"/>
  <c r="AO7" i="73" s="1"/>
  <c r="AF6" i="66"/>
  <c r="AF7" i="66" s="1"/>
  <c r="BX6" i="66"/>
  <c r="BX7" i="66" s="1"/>
  <c r="CJ6" i="66"/>
  <c r="CJ7" i="66" s="1"/>
  <c r="CM6" i="68"/>
  <c r="CM7" i="68" s="1"/>
  <c r="CL6" i="68"/>
  <c r="CL7" i="68" s="1"/>
  <c r="AL6" i="78"/>
  <c r="AL7" i="78" s="1"/>
  <c r="CB6" i="78"/>
  <c r="CB7" i="78" s="1"/>
  <c r="AH6" i="78"/>
  <c r="AH7" i="78" s="1"/>
  <c r="CK6" i="78"/>
  <c r="CK7" i="78" s="1"/>
  <c r="AS6" i="78"/>
  <c r="AS7" i="78" s="1"/>
  <c r="CH6" i="78"/>
  <c r="CH7" i="78" s="1"/>
  <c r="BR6" i="78"/>
  <c r="BR7" i="78" s="1"/>
  <c r="BG6" i="78"/>
  <c r="BG7" i="78" s="1"/>
  <c r="AZ6" i="78"/>
  <c r="AZ7" i="78" s="1"/>
  <c r="BQ6" i="78"/>
  <c r="BQ7" i="78" s="1"/>
  <c r="AG6" i="78"/>
  <c r="AG7" i="78" s="1"/>
  <c r="AN6" i="76"/>
  <c r="AN7" i="76" s="1"/>
  <c r="BZ6" i="76"/>
  <c r="BZ7" i="76" s="1"/>
  <c r="CF6" i="76"/>
  <c r="CF7" i="76" s="1"/>
  <c r="BS6" i="74"/>
  <c r="BS7" i="74" s="1"/>
  <c r="BM6" i="74"/>
  <c r="BM7" i="74" s="1"/>
  <c r="BY6" i="76"/>
  <c r="BY7" i="76" s="1"/>
  <c r="CD6" i="72"/>
  <c r="CD7" i="72" s="1"/>
  <c r="AM6" i="72"/>
  <c r="AM7" i="72" s="1"/>
  <c r="CC6" i="72"/>
  <c r="CC7" i="72" s="1"/>
  <c r="CF6" i="69"/>
  <c r="CF7" i="69" s="1"/>
  <c r="BX6" i="69"/>
  <c r="BX7" i="69" s="1"/>
  <c r="BT6" i="70"/>
  <c r="BT7" i="70" s="1"/>
  <c r="CF6" i="70"/>
  <c r="CF7" i="70" s="1"/>
  <c r="CH6" i="61"/>
  <c r="CH7" i="61" s="1"/>
  <c r="CF6" i="73"/>
  <c r="CF7" i="73" s="1"/>
  <c r="CJ6" i="76"/>
  <c r="CJ7" i="76" s="1"/>
  <c r="AQ6" i="72"/>
  <c r="AQ7" i="72" s="1"/>
  <c r="AI6" i="72"/>
  <c r="AI7" i="72" s="1"/>
  <c r="CF6" i="72"/>
  <c r="CF7" i="72" s="1"/>
  <c r="AG6" i="77"/>
  <c r="AG7" i="77" s="1"/>
  <c r="CB6" i="60"/>
  <c r="CB7" i="60" s="1"/>
  <c r="BE6" i="72"/>
  <c r="BE7" i="72" s="1"/>
  <c r="AW6" i="72"/>
  <c r="AW7" i="72" s="1"/>
  <c r="BD6" i="72"/>
  <c r="BD7" i="72" s="1"/>
  <c r="BA6" i="72"/>
  <c r="BA7" i="72" s="1"/>
  <c r="AV6" i="72"/>
  <c r="AV7" i="72" s="1"/>
  <c r="BC6" i="66"/>
  <c r="BC7" i="66" s="1"/>
  <c r="AQ6" i="68"/>
  <c r="AQ7" i="68" s="1"/>
  <c r="AL6" i="68"/>
  <c r="AL7" i="68" s="1"/>
  <c r="BA6" i="77"/>
  <c r="BA7" i="77" s="1"/>
  <c r="CE6" i="76"/>
  <c r="CE7" i="76" s="1"/>
  <c r="AG6" i="74"/>
  <c r="AG7" i="74" s="1"/>
  <c r="BI6" i="72"/>
  <c r="BI7" i="72" s="1"/>
  <c r="AT6" i="64"/>
  <c r="AT7" i="64" s="1"/>
  <c r="AU6" i="69"/>
  <c r="AU7" i="69" s="1"/>
  <c r="BB6" i="64"/>
  <c r="BB7" i="64" s="1"/>
  <c r="CJ6" i="72"/>
  <c r="CJ7" i="72" s="1"/>
  <c r="AO6" i="65"/>
  <c r="AO7" i="65" s="1"/>
  <c r="AW6" i="65"/>
  <c r="AW7" i="65" s="1"/>
  <c r="AP6" i="61"/>
  <c r="AP7" i="61" s="1"/>
  <c r="AF13" i="66"/>
  <c r="CF6" i="66"/>
  <c r="CF7" i="66" s="1"/>
  <c r="AY6" i="77"/>
  <c r="AY7" i="77" s="1"/>
  <c r="BO6" i="72"/>
  <c r="BO7" i="72" s="1"/>
  <c r="CH6" i="71"/>
  <c r="CH7" i="71" s="1"/>
  <c r="AQ6" i="63"/>
  <c r="AQ7" i="63" s="1"/>
  <c r="AW6" i="63"/>
  <c r="AW7" i="63" s="1"/>
  <c r="CJ6" i="77"/>
  <c r="CJ7" i="77" s="1"/>
  <c r="AI6" i="62"/>
  <c r="AI7" i="62" s="1"/>
  <c r="CF6" i="62"/>
  <c r="CF7" i="62" s="1"/>
  <c r="BJ6" i="78"/>
  <c r="BJ7" i="78" s="1"/>
  <c r="AP6" i="78"/>
  <c r="AP7" i="78" s="1"/>
  <c r="CH6" i="76"/>
  <c r="CH7" i="76" s="1"/>
  <c r="AU6" i="72"/>
  <c r="AU7" i="72" s="1"/>
  <c r="AO6" i="72"/>
  <c r="AO7" i="72" s="1"/>
  <c r="CN6" i="69"/>
  <c r="CN7" i="69" s="1"/>
  <c r="CK6" i="69"/>
  <c r="CK7" i="69" s="1"/>
  <c r="BY6" i="70"/>
  <c r="BY7" i="70" s="1"/>
  <c r="AM6" i="78"/>
  <c r="AM7" i="78" s="1"/>
  <c r="AF9" i="70"/>
  <c r="CJ6" i="65"/>
  <c r="CJ7" i="65" s="1"/>
  <c r="H17" i="68"/>
  <c r="AS6" i="64"/>
  <c r="AS7" i="64" s="1"/>
  <c r="BZ6" i="78"/>
  <c r="BZ7" i="78" s="1"/>
  <c r="AI6" i="78"/>
  <c r="AI7" i="78" s="1"/>
  <c r="AL6" i="64"/>
  <c r="AL7" i="64" s="1"/>
  <c r="BA6" i="76"/>
  <c r="BA7" i="76" s="1"/>
  <c r="CA6" i="77"/>
  <c r="CA7" i="77" s="1"/>
  <c r="CD6" i="77"/>
  <c r="CD7" i="77" s="1"/>
  <c r="CE6" i="77"/>
  <c r="CE7" i="77" s="1"/>
  <c r="AP6" i="74"/>
  <c r="AP7" i="74" s="1"/>
  <c r="BC6" i="64"/>
  <c r="BC7" i="64" s="1"/>
  <c r="BY6" i="78"/>
  <c r="BY7" i="78" s="1"/>
  <c r="AY6" i="78"/>
  <c r="AY7" i="78" s="1"/>
  <c r="AF6" i="71"/>
  <c r="AF7" i="71" s="1"/>
  <c r="CH6" i="60"/>
  <c r="CH7" i="60" s="1"/>
  <c r="BP6" i="65"/>
  <c r="BP7" i="65" s="1"/>
  <c r="AF13" i="78"/>
  <c r="AF9" i="78"/>
  <c r="CF6" i="78"/>
  <c r="CF7" i="78" s="1"/>
  <c r="AG6" i="64"/>
  <c r="AG7" i="64" s="1"/>
  <c r="AH6" i="64"/>
  <c r="AH7" i="64" s="1"/>
  <c r="CD6" i="61"/>
  <c r="CD7" i="61" s="1"/>
  <c r="CB6" i="61"/>
  <c r="CB7" i="61" s="1"/>
  <c r="CG6" i="78"/>
  <c r="CG7" i="78" s="1"/>
  <c r="BC6" i="78"/>
  <c r="BC7" i="78" s="1"/>
  <c r="AF6" i="78"/>
  <c r="AF7" i="78" s="1"/>
  <c r="BX6" i="78"/>
  <c r="BX7" i="78" s="1"/>
  <c r="BZ6" i="61"/>
  <c r="BZ7" i="61" s="1"/>
  <c r="BZ6" i="67"/>
  <c r="BZ7" i="67" s="1"/>
  <c r="CG6" i="67"/>
  <c r="CG7" i="67" s="1"/>
  <c r="BX6" i="62"/>
  <c r="BX7" i="62" s="1"/>
  <c r="CB6" i="62"/>
  <c r="CB7" i="62" s="1"/>
  <c r="CA6" i="76"/>
  <c r="CA7" i="76" s="1"/>
  <c r="CC6" i="76"/>
  <c r="CC7" i="76" s="1"/>
  <c r="AY6" i="63"/>
  <c r="AY7" i="63" s="1"/>
  <c r="BA6" i="64"/>
  <c r="BA7" i="64" s="1"/>
  <c r="AT6" i="78"/>
  <c r="AT7" i="78" s="1"/>
  <c r="AR6" i="78"/>
  <c r="AR7" i="78" s="1"/>
  <c r="AF9" i="66"/>
  <c r="AU6" i="73"/>
  <c r="AU7" i="73" s="1"/>
  <c r="CC6" i="61"/>
  <c r="CC7" i="61" s="1"/>
  <c r="BS6" i="70"/>
  <c r="BS7" i="70" s="1"/>
  <c r="CI6" i="70"/>
  <c r="CI7" i="70" s="1"/>
  <c r="AT6" i="70"/>
  <c r="AT7" i="70" s="1"/>
  <c r="AF6" i="79"/>
  <c r="AF7" i="79" s="1"/>
  <c r="AJ6" i="79"/>
  <c r="AJ7" i="79" s="1"/>
  <c r="BN6" i="79"/>
  <c r="BN7" i="79" s="1"/>
  <c r="BF6" i="79"/>
  <c r="BF7" i="79" s="1"/>
  <c r="AZ6" i="64"/>
  <c r="AZ7" i="64" s="1"/>
  <c r="AP6" i="64"/>
  <c r="AP7" i="64" s="1"/>
  <c r="AR6" i="64"/>
  <c r="AR7" i="64" s="1"/>
  <c r="AF6" i="64"/>
  <c r="AF7" i="64" s="1"/>
  <c r="AP6" i="67"/>
  <c r="AP7" i="67" s="1"/>
  <c r="AY6" i="67"/>
  <c r="AY7" i="67" s="1"/>
  <c r="BS6" i="67"/>
  <c r="BS7" i="67" s="1"/>
  <c r="CJ6" i="67"/>
  <c r="CJ7" i="67" s="1"/>
  <c r="BO6" i="67"/>
  <c r="BO7" i="67" s="1"/>
  <c r="AI6" i="67"/>
  <c r="AI7" i="67" s="1"/>
  <c r="BY6" i="67"/>
  <c r="BY7" i="67" s="1"/>
  <c r="AR6" i="76"/>
  <c r="AR7" i="76" s="1"/>
  <c r="CD6" i="76"/>
  <c r="CD7" i="76" s="1"/>
  <c r="CD6" i="68"/>
  <c r="CD7" i="68" s="1"/>
  <c r="BR6" i="63"/>
  <c r="BR7" i="63" s="1"/>
  <c r="CD6" i="63"/>
  <c r="CD7" i="63" s="1"/>
  <c r="AJ6" i="63"/>
  <c r="AJ7" i="63" s="1"/>
  <c r="AT6" i="63"/>
  <c r="AT7" i="63" s="1"/>
  <c r="AH6" i="66"/>
  <c r="AH7" i="66" s="1"/>
  <c r="CG6" i="66"/>
  <c r="CG7" i="66" s="1"/>
  <c r="CK6" i="66"/>
  <c r="CK7" i="66" s="1"/>
  <c r="BQ6" i="66"/>
  <c r="BQ7" i="66" s="1"/>
  <c r="BR6" i="66"/>
  <c r="BR7" i="66" s="1"/>
  <c r="AT6" i="66"/>
  <c r="AT7" i="66" s="1"/>
  <c r="CI6" i="66"/>
  <c r="CI7" i="66" s="1"/>
  <c r="BA6" i="66"/>
  <c r="BA7" i="66" s="1"/>
  <c r="BZ6" i="66"/>
  <c r="BZ7" i="66" s="1"/>
  <c r="AK6" i="66"/>
  <c r="AK7" i="66" s="1"/>
  <c r="CG6" i="75"/>
  <c r="CG7" i="75" s="1"/>
  <c r="BQ6" i="75"/>
  <c r="BQ7" i="75" s="1"/>
  <c r="AM6" i="75"/>
  <c r="AM7" i="75" s="1"/>
  <c r="AI6" i="75"/>
  <c r="AI7" i="75" s="1"/>
  <c r="AP6" i="75"/>
  <c r="AP7" i="75" s="1"/>
  <c r="CH6" i="75"/>
  <c r="CH7" i="75" s="1"/>
  <c r="AG6" i="75"/>
  <c r="AG7" i="75" s="1"/>
  <c r="BZ6" i="65"/>
  <c r="BZ7" i="65" s="1"/>
  <c r="CF6" i="65"/>
  <c r="CF7" i="65" s="1"/>
  <c r="AF6" i="65"/>
  <c r="AF7" i="65" s="1"/>
  <c r="AF13" i="65"/>
  <c r="CI6" i="65"/>
  <c r="CI7" i="65" s="1"/>
  <c r="AI6" i="65"/>
  <c r="AI7" i="65" s="1"/>
  <c r="AR6" i="65"/>
  <c r="AR7" i="65" s="1"/>
  <c r="BR6" i="65"/>
  <c r="BR7" i="65" s="1"/>
  <c r="CE6" i="65"/>
  <c r="CE7" i="65" s="1"/>
  <c r="AN6" i="65"/>
  <c r="AN7" i="65" s="1"/>
  <c r="AX6" i="65"/>
  <c r="AX7" i="65" s="1"/>
  <c r="BB6" i="74"/>
  <c r="BB7" i="74" s="1"/>
  <c r="BZ6" i="62"/>
  <c r="BZ7" i="62" s="1"/>
  <c r="CE6" i="62"/>
  <c r="CE7" i="62" s="1"/>
  <c r="BN6" i="62"/>
  <c r="BN7" i="62" s="1"/>
  <c r="CI6" i="62"/>
  <c r="CI7" i="62" s="1"/>
  <c r="CA6" i="62"/>
  <c r="CA7" i="62" s="1"/>
  <c r="AP6" i="62"/>
  <c r="AP7" i="62" s="1"/>
  <c r="AZ6" i="62"/>
  <c r="AZ7" i="62" s="1"/>
  <c r="BA6" i="79"/>
  <c r="BA7" i="79" s="1"/>
  <c r="AI6" i="79"/>
  <c r="AI7" i="79" s="1"/>
  <c r="AT6" i="79"/>
  <c r="AT7" i="79" s="1"/>
  <c r="AM6" i="79"/>
  <c r="AM7" i="79" s="1"/>
  <c r="AU6" i="79"/>
  <c r="AU7" i="79" s="1"/>
  <c r="AU6" i="74"/>
  <c r="AU7" i="74" s="1"/>
  <c r="AS6" i="76"/>
  <c r="AS7" i="76" s="1"/>
  <c r="BQ6" i="74"/>
  <c r="BQ7" i="74" s="1"/>
  <c r="BR6" i="74"/>
  <c r="BR7" i="74" s="1"/>
  <c r="BA6" i="62"/>
  <c r="BA7" i="62" s="1"/>
  <c r="CB6" i="79"/>
  <c r="CB7" i="79" s="1"/>
  <c r="BT6" i="79"/>
  <c r="BT7" i="79" s="1"/>
  <c r="AO6" i="76"/>
  <c r="AO7" i="76" s="1"/>
  <c r="BB6" i="76"/>
  <c r="BB7" i="76" s="1"/>
  <c r="BF6" i="71"/>
  <c r="BF7" i="71" s="1"/>
  <c r="AP6" i="65"/>
  <c r="AP7" i="65" s="1"/>
  <c r="BF6" i="65"/>
  <c r="BF7" i="65" s="1"/>
  <c r="AR6" i="79"/>
  <c r="AR7" i="79" s="1"/>
  <c r="AH6" i="76"/>
  <c r="AH7" i="76" s="1"/>
  <c r="AQ6" i="69"/>
  <c r="AQ7" i="69" s="1"/>
  <c r="AL6" i="75"/>
  <c r="AL7" i="75" s="1"/>
  <c r="AU8" i="59" a="1"/>
  <c r="AU8" i="59" s="1"/>
  <c r="AU9" i="59" s="1"/>
  <c r="AU4" i="59" a="1"/>
  <c r="AU4" i="59" s="1"/>
  <c r="AU3" i="59" a="1"/>
  <c r="AU3" i="59" s="1"/>
  <c r="AU5" i="59" a="1"/>
  <c r="AU5" i="59" s="1"/>
  <c r="AG6" i="61"/>
  <c r="AG7" i="61" s="1"/>
  <c r="BA6" i="74"/>
  <c r="BA7" i="74" s="1"/>
  <c r="BI6" i="61"/>
  <c r="BI7" i="61" s="1"/>
  <c r="BA6" i="61"/>
  <c r="BA7" i="61" s="1"/>
  <c r="BF6" i="76"/>
  <c r="BF7" i="76" s="1"/>
  <c r="CH6" i="79"/>
  <c r="CH7" i="79" s="1"/>
  <c r="AF11" i="73"/>
  <c r="CE6" i="64"/>
  <c r="CE7" i="64" s="1"/>
  <c r="AM6" i="74"/>
  <c r="AM7" i="74" s="1"/>
  <c r="BJ6" i="79"/>
  <c r="BJ7" i="79" s="1"/>
  <c r="AU6" i="71"/>
  <c r="AU7" i="71" s="1"/>
  <c r="AR6" i="71"/>
  <c r="AR7" i="71" s="1"/>
  <c r="AF9" i="79"/>
  <c r="BD6" i="79"/>
  <c r="BD7" i="79" s="1"/>
  <c r="AG6" i="79"/>
  <c r="AG7" i="79" s="1"/>
  <c r="AF13" i="79"/>
  <c r="CG6" i="79"/>
  <c r="CG7" i="79" s="1"/>
  <c r="CI6" i="79"/>
  <c r="CI7" i="79" s="1"/>
  <c r="AL6" i="79"/>
  <c r="AL7" i="79" s="1"/>
  <c r="BE6" i="79"/>
  <c r="BE7" i="79" s="1"/>
  <c r="AR6" i="75"/>
  <c r="AR7" i="75" s="1"/>
  <c r="AX6" i="74"/>
  <c r="AX7" i="74" s="1"/>
  <c r="CE6" i="74"/>
  <c r="CE7" i="74" s="1"/>
  <c r="CL6" i="74"/>
  <c r="CL7" i="74" s="1"/>
  <c r="CF6" i="74"/>
  <c r="CF7" i="74" s="1"/>
  <c r="CD6" i="74"/>
  <c r="CD7" i="74" s="1"/>
  <c r="CH6" i="74"/>
  <c r="CH7" i="74" s="1"/>
  <c r="AJ6" i="74"/>
  <c r="AJ7" i="74" s="1"/>
  <c r="AQ6" i="74"/>
  <c r="AQ7" i="74" s="1"/>
  <c r="AZ6" i="74"/>
  <c r="AZ7" i="74" s="1"/>
  <c r="BZ6" i="77"/>
  <c r="BZ7" i="77" s="1"/>
  <c r="CF6" i="77"/>
  <c r="CF7" i="77" s="1"/>
  <c r="H16" i="77"/>
  <c r="CM6" i="77"/>
  <c r="CM7" i="77" s="1"/>
  <c r="AW6" i="64"/>
  <c r="AW7" i="64" s="1"/>
  <c r="CE6" i="67"/>
  <c r="CE7" i="67" s="1"/>
  <c r="AL6" i="76"/>
  <c r="AL7" i="76" s="1"/>
  <c r="CI13" i="59"/>
  <c r="AS6" i="74"/>
  <c r="AS7" i="74" s="1"/>
  <c r="AV6" i="61"/>
  <c r="AV7" i="61" s="1"/>
  <c r="AL6" i="66"/>
  <c r="AL7" i="66" s="1"/>
  <c r="AU6" i="76"/>
  <c r="AU7" i="76" s="1"/>
  <c r="AZ6" i="76"/>
  <c r="AZ7" i="76" s="1"/>
  <c r="AM6" i="64"/>
  <c r="AM7" i="64" s="1"/>
  <c r="AF11" i="64"/>
  <c r="BY6" i="64"/>
  <c r="BY7" i="64" s="1"/>
  <c r="AQ6" i="64"/>
  <c r="AQ7" i="64" s="1"/>
  <c r="AF9" i="64"/>
  <c r="BL6" i="64"/>
  <c r="BL7" i="64" s="1"/>
  <c r="AL6" i="73"/>
  <c r="AL7" i="73" s="1"/>
  <c r="BJ6" i="73"/>
  <c r="BJ7" i="73" s="1"/>
  <c r="AN6" i="67"/>
  <c r="AN7" i="67" s="1"/>
  <c r="AF6" i="67"/>
  <c r="AF7" i="67" s="1"/>
  <c r="AV6" i="67"/>
  <c r="AV7" i="67" s="1"/>
  <c r="BQ6" i="67"/>
  <c r="BQ7" i="67" s="1"/>
  <c r="AY6" i="69"/>
  <c r="AY7" i="69" s="1"/>
  <c r="BQ6" i="69"/>
  <c r="BQ7" i="69" s="1"/>
  <c r="AN6" i="69"/>
  <c r="AN7" i="69" s="1"/>
  <c r="BB6" i="69"/>
  <c r="BB7" i="69" s="1"/>
  <c r="AG6" i="69"/>
  <c r="AG7" i="69" s="1"/>
  <c r="BB6" i="71"/>
  <c r="BB7" i="71" s="1"/>
  <c r="AK6" i="71"/>
  <c r="AK7" i="71" s="1"/>
  <c r="AF9" i="67"/>
  <c r="BR6" i="79"/>
  <c r="BR7" i="79" s="1"/>
  <c r="AQ6" i="79"/>
  <c r="AQ7" i="79" s="1"/>
  <c r="CL6" i="79"/>
  <c r="CL7" i="79" s="1"/>
  <c r="AZ6" i="79"/>
  <c r="AZ7" i="79" s="1"/>
  <c r="BU6" i="61"/>
  <c r="BU7" i="61" s="1"/>
  <c r="BM6" i="66"/>
  <c r="BM7" i="66" s="1"/>
  <c r="AT6" i="68"/>
  <c r="AT7" i="68" s="1"/>
  <c r="CF6" i="64"/>
  <c r="CF7" i="64" s="1"/>
  <c r="CA6" i="64"/>
  <c r="CA7" i="64" s="1"/>
  <c r="AY6" i="61"/>
  <c r="AY7" i="61" s="1"/>
  <c r="BK6" i="61"/>
  <c r="BK7" i="61" s="1"/>
  <c r="AK6" i="61"/>
  <c r="AK7" i="61" s="1"/>
  <c r="BC6" i="67"/>
  <c r="BC7" i="67" s="1"/>
  <c r="BD6" i="64"/>
  <c r="BD7" i="64" s="1"/>
  <c r="CG6" i="64"/>
  <c r="CG7" i="64" s="1"/>
  <c r="BO6" i="64"/>
  <c r="BO7" i="64" s="1"/>
  <c r="AI6" i="64"/>
  <c r="AI7" i="64" s="1"/>
  <c r="AO6" i="66"/>
  <c r="AO7" i="66" s="1"/>
  <c r="BE6" i="66"/>
  <c r="BE7" i="66" s="1"/>
  <c r="CA6" i="66"/>
  <c r="CA7" i="66" s="1"/>
  <c r="BG6" i="65"/>
  <c r="BG7" i="65" s="1"/>
  <c r="AH6" i="65"/>
  <c r="AH7" i="65" s="1"/>
  <c r="CE6" i="75"/>
  <c r="CE7" i="75" s="1"/>
  <c r="BO6" i="75"/>
  <c r="BO7" i="75" s="1"/>
  <c r="AV6" i="75"/>
  <c r="AV7" i="75" s="1"/>
  <c r="BY6" i="75"/>
  <c r="BY7" i="75" s="1"/>
  <c r="CB6" i="67"/>
  <c r="CB7" i="67" s="1"/>
  <c r="BT6" i="68"/>
  <c r="BT7" i="68" s="1"/>
  <c r="BS6" i="68"/>
  <c r="BS7" i="68" s="1"/>
  <c r="CC6" i="70"/>
  <c r="CC7" i="70" s="1"/>
  <c r="AO6" i="70"/>
  <c r="AO7" i="70" s="1"/>
  <c r="CJ6" i="61"/>
  <c r="CJ7" i="61" s="1"/>
  <c r="BX6" i="61"/>
  <c r="BX7" i="61" s="1"/>
  <c r="AI6" i="61"/>
  <c r="AI7" i="61" s="1"/>
  <c r="AP6" i="66"/>
  <c r="AP7" i="66" s="1"/>
  <c r="AS6" i="66"/>
  <c r="AS7" i="66" s="1"/>
  <c r="AV6" i="73"/>
  <c r="AV7" i="73" s="1"/>
  <c r="AI6" i="68"/>
  <c r="AI7" i="68" s="1"/>
  <c r="BE6" i="76"/>
  <c r="BE7" i="76" s="1"/>
  <c r="AN6" i="68"/>
  <c r="AN7" i="68" s="1"/>
  <c r="AU6" i="66"/>
  <c r="AU7" i="66" s="1"/>
  <c r="AX6" i="66"/>
  <c r="AX7" i="66" s="1"/>
  <c r="AW6" i="66"/>
  <c r="AW7" i="66" s="1"/>
  <c r="CH6" i="68"/>
  <c r="CH7" i="68" s="1"/>
  <c r="CI6" i="68"/>
  <c r="CI7" i="68" s="1"/>
  <c r="CB6" i="68"/>
  <c r="CB7" i="68" s="1"/>
  <c r="CG6" i="68"/>
  <c r="CG7" i="68" s="1"/>
  <c r="CE6" i="68"/>
  <c r="CE7" i="68" s="1"/>
  <c r="AF11" i="68"/>
  <c r="H16" i="68"/>
  <c r="CK6" i="68"/>
  <c r="CK7" i="68" s="1"/>
  <c r="BQ6" i="68"/>
  <c r="BQ7" i="68" s="1"/>
  <c r="AS6" i="68"/>
  <c r="AS7" i="68" s="1"/>
  <c r="AH6" i="68"/>
  <c r="AH7" i="68" s="1"/>
  <c r="BX6" i="67"/>
  <c r="BX7" i="67" s="1"/>
  <c r="BR6" i="67"/>
  <c r="BR7" i="67" s="1"/>
  <c r="CC6" i="67"/>
  <c r="CC7" i="67" s="1"/>
  <c r="CA6" i="67"/>
  <c r="CA7" i="67" s="1"/>
  <c r="AT6" i="61"/>
  <c r="AT7" i="61" s="1"/>
  <c r="AF6" i="61"/>
  <c r="AF7" i="61" s="1"/>
  <c r="BN6" i="61"/>
  <c r="BN7" i="61" s="1"/>
  <c r="BR6" i="62"/>
  <c r="BR7" i="62" s="1"/>
  <c r="BY6" i="66"/>
  <c r="BY7" i="66" s="1"/>
  <c r="AY6" i="66"/>
  <c r="AY7" i="66" s="1"/>
  <c r="CB6" i="66"/>
  <c r="CB7" i="66" s="1"/>
  <c r="AG6" i="63"/>
  <c r="AG7" i="63" s="1"/>
  <c r="AF6" i="75"/>
  <c r="AF7" i="75" s="1"/>
  <c r="BV6" i="75"/>
  <c r="BV7" i="75" s="1"/>
  <c r="AF13" i="75"/>
  <c r="AQ6" i="75"/>
  <c r="AQ7" i="75" s="1"/>
  <c r="AF9" i="75"/>
  <c r="CB6" i="75"/>
  <c r="CB7" i="75" s="1"/>
  <c r="CJ6" i="69"/>
  <c r="CJ7" i="69" s="1"/>
  <c r="BW6" i="69"/>
  <c r="BW7" i="69" s="1"/>
  <c r="CM6" i="69"/>
  <c r="CM7" i="69" s="1"/>
  <c r="AG6" i="67"/>
  <c r="AG7" i="67" s="1"/>
  <c r="AK6" i="67"/>
  <c r="AK7" i="67" s="1"/>
  <c r="AZ6" i="67"/>
  <c r="AZ7" i="67" s="1"/>
  <c r="AO6" i="67"/>
  <c r="AO7" i="67" s="1"/>
  <c r="BK6" i="75"/>
  <c r="BK7" i="75" s="1"/>
  <c r="BD6" i="69"/>
  <c r="BD7" i="69" s="1"/>
  <c r="BO6" i="69"/>
  <c r="BO7" i="69" s="1"/>
  <c r="CO6" i="71"/>
  <c r="CO7" i="71" s="1"/>
  <c r="AP6" i="71"/>
  <c r="AP7" i="71" s="1"/>
  <c r="AG6" i="71"/>
  <c r="AG7" i="71" s="1"/>
  <c r="AH6" i="71"/>
  <c r="AH7" i="71" s="1"/>
  <c r="AH6" i="73"/>
  <c r="AH7" i="73" s="1"/>
  <c r="AR6" i="62"/>
  <c r="AR7" i="62" s="1"/>
  <c r="AN6" i="62"/>
  <c r="AN7" i="62" s="1"/>
  <c r="CE6" i="66"/>
  <c r="CE7" i="66" s="1"/>
  <c r="CG6" i="74"/>
  <c r="CG7" i="74" s="1"/>
  <c r="CA6" i="74"/>
  <c r="CA7" i="74" s="1"/>
  <c r="BZ6" i="74"/>
  <c r="BZ7" i="74" s="1"/>
  <c r="AO4" i="59" a="1"/>
  <c r="AO4" i="59" s="1"/>
  <c r="CF6" i="63"/>
  <c r="CF7" i="63" s="1"/>
  <c r="AU6" i="67"/>
  <c r="AU7" i="67" s="1"/>
  <c r="AG6" i="76"/>
  <c r="AG7" i="76" s="1"/>
  <c r="BQ6" i="65"/>
  <c r="BQ7" i="65" s="1"/>
  <c r="AK6" i="63"/>
  <c r="AK7" i="63" s="1"/>
  <c r="AW6" i="70"/>
  <c r="AW7" i="70" s="1"/>
  <c r="CC6" i="73"/>
  <c r="CC7" i="73" s="1"/>
  <c r="BR6" i="73"/>
  <c r="BR7" i="73" s="1"/>
  <c r="CD6" i="73"/>
  <c r="CD7" i="73" s="1"/>
  <c r="AF6" i="73"/>
  <c r="AF7" i="73" s="1"/>
  <c r="BZ6" i="73"/>
  <c r="BZ7" i="73" s="1"/>
  <c r="AI6" i="73"/>
  <c r="AI7" i="73" s="1"/>
  <c r="AW6" i="62"/>
  <c r="AW7" i="62" s="1"/>
  <c r="CD6" i="62"/>
  <c r="CD7" i="62" s="1"/>
  <c r="AM6" i="62"/>
  <c r="AM7" i="62" s="1"/>
  <c r="CB6" i="73"/>
  <c r="CB7" i="73" s="1"/>
  <c r="CI6" i="73"/>
  <c r="CI7" i="73" s="1"/>
  <c r="BM6" i="71"/>
  <c r="BM7" i="71" s="1"/>
  <c r="AL6" i="71"/>
  <c r="AL7" i="71" s="1"/>
  <c r="AR6" i="61"/>
  <c r="AR7" i="61" s="1"/>
  <c r="BO6" i="61"/>
  <c r="BO7" i="61" s="1"/>
  <c r="AW6" i="68"/>
  <c r="AW7" i="68" s="1"/>
  <c r="AQ6" i="76"/>
  <c r="AQ7" i="76" s="1"/>
  <c r="BC6" i="76"/>
  <c r="BC7" i="76" s="1"/>
  <c r="BF6" i="70"/>
  <c r="BF7" i="70" s="1"/>
  <c r="BC6" i="71"/>
  <c r="BC7" i="71" s="1"/>
  <c r="AI6" i="71"/>
  <c r="AI7" i="71" s="1"/>
  <c r="BE6" i="71"/>
  <c r="BE7" i="71" s="1"/>
  <c r="AV6" i="65"/>
  <c r="AV7" i="65" s="1"/>
  <c r="AS6" i="69"/>
  <c r="AS7" i="69" s="1"/>
  <c r="AH6" i="69"/>
  <c r="AH7" i="69" s="1"/>
  <c r="AM6" i="69"/>
  <c r="AM7" i="69" s="1"/>
  <c r="AH6" i="70"/>
  <c r="AH7" i="70" s="1"/>
  <c r="AP6" i="70"/>
  <c r="AP7" i="70" s="1"/>
  <c r="BG6" i="70"/>
  <c r="BG7" i="70" s="1"/>
  <c r="AI6" i="76"/>
  <c r="AI7" i="76" s="1"/>
  <c r="BE6" i="65"/>
  <c r="BE7" i="65" s="1"/>
  <c r="BB6" i="73"/>
  <c r="BB7" i="73" s="1"/>
  <c r="BM6" i="73"/>
  <c r="BM7" i="73" s="1"/>
  <c r="AW6" i="67"/>
  <c r="AW7" i="67" s="1"/>
  <c r="BB6" i="67"/>
  <c r="BB7" i="67" s="1"/>
  <c r="BA6" i="69"/>
  <c r="BA7" i="69" s="1"/>
  <c r="AI6" i="69"/>
  <c r="AI7" i="69" s="1"/>
  <c r="AS6" i="70"/>
  <c r="AS7" i="70" s="1"/>
  <c r="BO6" i="70"/>
  <c r="BO7" i="70" s="1"/>
  <c r="BH6" i="70"/>
  <c r="BH7" i="70" s="1"/>
  <c r="BD6" i="76"/>
  <c r="BD7" i="76" s="1"/>
  <c r="AX6" i="63"/>
  <c r="AX7" i="63" s="1"/>
  <c r="BD6" i="71"/>
  <c r="BD7" i="71" s="1"/>
  <c r="CM6" i="71"/>
  <c r="CM7" i="71" s="1"/>
  <c r="AM6" i="71"/>
  <c r="AM7" i="71" s="1"/>
  <c r="BV6" i="71"/>
  <c r="BV7" i="71" s="1"/>
  <c r="CB6" i="71"/>
  <c r="CB7" i="71" s="1"/>
  <c r="BG6" i="71"/>
  <c r="BG7" i="71" s="1"/>
  <c r="AK6" i="62"/>
  <c r="AK7" i="62" s="1"/>
  <c r="BD6" i="62"/>
  <c r="BD7" i="62" s="1"/>
  <c r="AH6" i="62"/>
  <c r="AH7" i="62" s="1"/>
  <c r="AX6" i="62"/>
  <c r="AX7" i="62" s="1"/>
  <c r="AG6" i="62"/>
  <c r="AG7" i="62" s="1"/>
  <c r="AX6" i="77"/>
  <c r="AX7" i="77" s="1"/>
  <c r="AL6" i="67"/>
  <c r="AL7" i="67" s="1"/>
  <c r="AF6" i="70"/>
  <c r="AF7" i="70" s="1"/>
  <c r="BZ6" i="68"/>
  <c r="BZ7" i="68" s="1"/>
  <c r="AP6" i="68"/>
  <c r="AP7" i="68" s="1"/>
  <c r="AG6" i="68"/>
  <c r="AG7" i="68" s="1"/>
  <c r="AP6" i="73"/>
  <c r="AP7" i="73" s="1"/>
  <c r="AZ6" i="73"/>
  <c r="AZ7" i="73" s="1"/>
  <c r="CK6" i="63"/>
  <c r="CK7" i="63" s="1"/>
  <c r="AF9" i="62"/>
  <c r="AF13" i="62"/>
  <c r="CE6" i="71"/>
  <c r="CE7" i="71" s="1"/>
  <c r="CD6" i="71"/>
  <c r="CD7" i="71" s="1"/>
  <c r="BW6" i="71"/>
  <c r="BW7" i="71" s="1"/>
  <c r="CJ6" i="71"/>
  <c r="CJ7" i="71" s="1"/>
  <c r="CI6" i="67"/>
  <c r="CI7" i="67" s="1"/>
  <c r="BD6" i="67"/>
  <c r="BD7" i="67" s="1"/>
  <c r="AH6" i="67"/>
  <c r="AH7" i="67" s="1"/>
  <c r="AF11" i="67"/>
  <c r="CF6" i="67"/>
  <c r="CF7" i="67" s="1"/>
  <c r="AX6" i="67"/>
  <c r="AX7" i="67" s="1"/>
  <c r="CK6" i="67"/>
  <c r="CK7" i="67" s="1"/>
  <c r="AF13" i="67"/>
  <c r="AU6" i="70"/>
  <c r="AU7" i="70" s="1"/>
  <c r="BC6" i="70"/>
  <c r="BC7" i="70" s="1"/>
  <c r="AU6" i="68"/>
  <c r="AU7" i="68" s="1"/>
  <c r="BB6" i="68"/>
  <c r="BB7" i="68" s="1"/>
  <c r="AK6" i="68"/>
  <c r="AK7" i="68" s="1"/>
  <c r="AQ6" i="65"/>
  <c r="AQ7" i="65" s="1"/>
  <c r="AZ6" i="75"/>
  <c r="AZ7" i="75" s="1"/>
  <c r="BD6" i="68"/>
  <c r="BD7" i="68" s="1"/>
  <c r="AT6" i="62"/>
  <c r="AT7" i="62" s="1"/>
  <c r="AK6" i="76"/>
  <c r="AK7" i="76" s="1"/>
  <c r="CK6" i="64"/>
  <c r="CK7" i="64" s="1"/>
  <c r="CG6" i="70"/>
  <c r="CG7" i="70" s="1"/>
  <c r="BB6" i="70"/>
  <c r="BB7" i="70" s="1"/>
  <c r="AR6" i="70"/>
  <c r="AR7" i="70" s="1"/>
  <c r="CA6" i="70"/>
  <c r="CA7" i="70" s="1"/>
  <c r="CE6" i="70"/>
  <c r="CE7" i="70" s="1"/>
  <c r="CN6" i="71"/>
  <c r="CN7" i="71" s="1"/>
  <c r="BI6" i="71"/>
  <c r="BI7" i="71" s="1"/>
  <c r="AF9" i="68"/>
  <c r="BC6" i="68"/>
  <c r="BC7" i="68" s="1"/>
  <c r="AL6" i="65"/>
  <c r="AL7" i="65" s="1"/>
  <c r="H17" i="73"/>
  <c r="BP6" i="73"/>
  <c r="BP7" i="73" s="1"/>
  <c r="AG6" i="73"/>
  <c r="AG7" i="73" s="1"/>
  <c r="BL6" i="73"/>
  <c r="BL7" i="73" s="1"/>
  <c r="AK6" i="65"/>
  <c r="AK7" i="65" s="1"/>
  <c r="BO6" i="77"/>
  <c r="BO7" i="77" s="1"/>
  <c r="AS6" i="77"/>
  <c r="AS7" i="77" s="1"/>
  <c r="AT6" i="77"/>
  <c r="AT7" i="77" s="1"/>
  <c r="AQ6" i="77"/>
  <c r="AQ7" i="77" s="1"/>
  <c r="AJ6" i="77"/>
  <c r="AJ7" i="77" s="1"/>
  <c r="BT6" i="61"/>
  <c r="BT7" i="61" s="1"/>
  <c r="AI4" i="59" a="1"/>
  <c r="AI4" i="59" s="1"/>
  <c r="BQ6" i="73"/>
  <c r="BQ7" i="73" s="1"/>
  <c r="BN6" i="75"/>
  <c r="BN7" i="75" s="1"/>
  <c r="CD6" i="75"/>
  <c r="CD7" i="75" s="1"/>
  <c r="BA6" i="68"/>
  <c r="BA7" i="68" s="1"/>
  <c r="AX6" i="68"/>
  <c r="AX7" i="68" s="1"/>
  <c r="BO6" i="68"/>
  <c r="BO7" i="68" s="1"/>
  <c r="CP6" i="69"/>
  <c r="CP7" i="69" s="1"/>
  <c r="CG6" i="69"/>
  <c r="CG7" i="69" s="1"/>
  <c r="H17" i="69"/>
  <c r="CL6" i="71"/>
  <c r="CL7" i="71" s="1"/>
  <c r="AU6" i="65"/>
  <c r="AU7" i="65" s="1"/>
  <c r="BH6" i="65"/>
  <c r="BH7" i="65" s="1"/>
  <c r="AG6" i="65"/>
  <c r="AG7" i="65" s="1"/>
  <c r="CG6" i="65"/>
  <c r="CG7" i="65" s="1"/>
  <c r="CL6" i="70"/>
  <c r="CL7" i="70" s="1"/>
  <c r="BR6" i="70"/>
  <c r="BR7" i="70" s="1"/>
  <c r="AL6" i="70"/>
  <c r="AL7" i="70" s="1"/>
  <c r="CK6" i="70"/>
  <c r="CK7" i="70" s="1"/>
  <c r="BP6" i="70"/>
  <c r="BP7" i="70" s="1"/>
  <c r="AI6" i="70"/>
  <c r="AI7" i="70" s="1"/>
  <c r="CD6" i="70"/>
  <c r="CD7" i="70" s="1"/>
  <c r="BZ6" i="70"/>
  <c r="BZ7" i="70" s="1"/>
  <c r="CH6" i="70"/>
  <c r="CH7" i="70" s="1"/>
  <c r="BY6" i="62"/>
  <c r="BY7" i="62" s="1"/>
  <c r="AQ6" i="62"/>
  <c r="AQ7" i="62" s="1"/>
  <c r="CC6" i="62"/>
  <c r="CC7" i="62" s="1"/>
  <c r="BQ6" i="62"/>
  <c r="BQ7" i="62" s="1"/>
  <c r="CG6" i="62"/>
  <c r="CG7" i="62" s="1"/>
  <c r="AO6" i="75"/>
  <c r="AO7" i="75" s="1"/>
  <c r="AY6" i="75"/>
  <c r="AY7" i="75" s="1"/>
  <c r="AK6" i="75"/>
  <c r="AK7" i="75" s="1"/>
  <c r="BW6" i="75"/>
  <c r="BW7" i="75" s="1"/>
  <c r="BB6" i="75"/>
  <c r="BB7" i="75" s="1"/>
  <c r="CI6" i="75"/>
  <c r="CI7" i="75" s="1"/>
  <c r="AW6" i="75"/>
  <c r="AW7" i="75" s="1"/>
  <c r="AH6" i="75"/>
  <c r="AH7" i="75" s="1"/>
  <c r="BJ6" i="75"/>
  <c r="BJ7" i="75" s="1"/>
  <c r="AS6" i="73"/>
  <c r="AS7" i="73" s="1"/>
  <c r="AM6" i="61"/>
  <c r="AM7" i="61" s="1"/>
  <c r="H17" i="76"/>
  <c r="CF6" i="61"/>
  <c r="CF7" i="61" s="1"/>
  <c r="AF13" i="61"/>
  <c r="AF9" i="61"/>
  <c r="AF3" i="59" a="1"/>
  <c r="AF3" i="59" s="1"/>
  <c r="BM5" i="59" a="1"/>
  <c r="BM5" i="59" s="1"/>
  <c r="BB3" i="59" a="1"/>
  <c r="BB3" i="59" s="1"/>
  <c r="CH5" i="59" a="1"/>
  <c r="CH5" i="59" s="1"/>
  <c r="BE8" i="59" a="1"/>
  <c r="BE8" i="59" s="1"/>
  <c r="BE9" i="59" s="1"/>
  <c r="H17" i="67"/>
  <c r="H17" i="74"/>
  <c r="AP6" i="69"/>
  <c r="AP7" i="69" s="1"/>
  <c r="AX6" i="69"/>
  <c r="AX7" i="69" s="1"/>
  <c r="AK6" i="69"/>
  <c r="AK7" i="69" s="1"/>
  <c r="BP6" i="69"/>
  <c r="BP7" i="69" s="1"/>
  <c r="H16" i="74"/>
  <c r="H17" i="64"/>
  <c r="BV6" i="69"/>
  <c r="BV7" i="69" s="1"/>
  <c r="CL6" i="69"/>
  <c r="CL7" i="69" s="1"/>
  <c r="AF6" i="69"/>
  <c r="AF7" i="69" s="1"/>
  <c r="CH6" i="69"/>
  <c r="CH7" i="69" s="1"/>
  <c r="CD6" i="69"/>
  <c r="CD7" i="69" s="1"/>
  <c r="H16" i="69"/>
  <c r="H16" i="75"/>
  <c r="AS6" i="75"/>
  <c r="AS7" i="75" s="1"/>
  <c r="H16" i="63"/>
  <c r="H16" i="71"/>
  <c r="H16" i="73"/>
  <c r="H17" i="70"/>
  <c r="AW3" i="59" a="1"/>
  <c r="AW3" i="59" s="1"/>
  <c r="CF4" i="59" a="1"/>
  <c r="CF4" i="59" s="1"/>
  <c r="AN8" i="59" a="1"/>
  <c r="AN8" i="59" s="1"/>
  <c r="AN9" i="59" s="1"/>
  <c r="CJ4" i="59" a="1"/>
  <c r="CJ4" i="59" s="1"/>
  <c r="AL3" i="59" a="1"/>
  <c r="AL3" i="59" s="1"/>
  <c r="CG3" i="59" a="1"/>
  <c r="CG3" i="59" s="1"/>
  <c r="AV4" i="59" a="1"/>
  <c r="AV4" i="59" s="1"/>
  <c r="AH5" i="59" a="1"/>
  <c r="AH5" i="59" s="1"/>
  <c r="CF5" i="59" a="1"/>
  <c r="CF5" i="59" s="1"/>
  <c r="BM8" i="59" a="1"/>
  <c r="BM8" i="59" s="1"/>
  <c r="BM9" i="59" s="1"/>
  <c r="AQ3" i="59" a="1"/>
  <c r="AQ3" i="59" s="1"/>
  <c r="CK3" i="59" a="1"/>
  <c r="CK3" i="59" s="1"/>
  <c r="BK4" i="59" a="1"/>
  <c r="BK4" i="59" s="1"/>
  <c r="AN5" i="59" a="1"/>
  <c r="AN5" i="59" s="1"/>
  <c r="AH8" i="59" a="1"/>
  <c r="AH8" i="59" s="1"/>
  <c r="AH9" i="59" s="1"/>
  <c r="CF8" i="59" a="1"/>
  <c r="CF8" i="59" s="1"/>
  <c r="CF9" i="59" s="1"/>
  <c r="AG3" i="59" a="1"/>
  <c r="AG3" i="59" s="1"/>
  <c r="AX3" i="59" a="1"/>
  <c r="AX3" i="59" s="1"/>
  <c r="AR3" i="59" a="1"/>
  <c r="AR3" i="59" s="1"/>
  <c r="AZ3" i="59" a="1"/>
  <c r="AZ3" i="59" s="1"/>
  <c r="BN3" i="59" a="1"/>
  <c r="BN3" i="59" s="1"/>
  <c r="CH3" i="59" a="1"/>
  <c r="CH3" i="59" s="1"/>
  <c r="AF4" i="59" a="1"/>
  <c r="AF4" i="59" s="1"/>
  <c r="AL4" i="59" a="1"/>
  <c r="AL4" i="59" s="1"/>
  <c r="AQ4" i="59" a="1"/>
  <c r="AQ4" i="59" s="1"/>
  <c r="AW4" i="59" a="1"/>
  <c r="AW4" i="59" s="1"/>
  <c r="BB4" i="59" a="1"/>
  <c r="BB4" i="59" s="1"/>
  <c r="CG4" i="59" a="1"/>
  <c r="CG4" i="59" s="1"/>
  <c r="CK4" i="59" a="1"/>
  <c r="CK4" i="59" s="1"/>
  <c r="AI5" i="59" a="1"/>
  <c r="AI5" i="59" s="1"/>
  <c r="AO5" i="59" a="1"/>
  <c r="AO5" i="59" s="1"/>
  <c r="AV5" i="59" a="1"/>
  <c r="AV5" i="59" s="1"/>
  <c r="BK5" i="59" a="1"/>
  <c r="BK5" i="59" s="1"/>
  <c r="CI5" i="59" a="1"/>
  <c r="CI5" i="59" s="1"/>
  <c r="AI8" i="59" a="1"/>
  <c r="AI8" i="59" s="1"/>
  <c r="AI9" i="59" s="1"/>
  <c r="AO8" i="59" a="1"/>
  <c r="AO8" i="59" s="1"/>
  <c r="AO9" i="59" s="1"/>
  <c r="AV8" i="59" a="1"/>
  <c r="AV8" i="59" s="1"/>
  <c r="AV9" i="59" s="1"/>
  <c r="BK8" i="59" a="1"/>
  <c r="BK8" i="59" s="1"/>
  <c r="BK9" i="59" s="1"/>
  <c r="CI8" i="59" a="1"/>
  <c r="CI8" i="59" s="1"/>
  <c r="CI9" i="59" s="1"/>
  <c r="AH3" i="59" a="1"/>
  <c r="AH3" i="59" s="1"/>
  <c r="AN3" i="59" a="1"/>
  <c r="AN3" i="59" s="1"/>
  <c r="BM3" i="59" a="1"/>
  <c r="BM3" i="59" s="1"/>
  <c r="BE3" i="59" a="1"/>
  <c r="BE3" i="59" s="1"/>
  <c r="CI3" i="59" a="1"/>
  <c r="CI3" i="59" s="1"/>
  <c r="AG4" i="59" a="1"/>
  <c r="AG4" i="59" s="1"/>
  <c r="AX4" i="59" a="1"/>
  <c r="AX4" i="59" s="1"/>
  <c r="AR4" i="59" a="1"/>
  <c r="AR4" i="59" s="1"/>
  <c r="AZ4" i="59" a="1"/>
  <c r="AZ4" i="59" s="1"/>
  <c r="BN4" i="59" a="1"/>
  <c r="BN4" i="59" s="1"/>
  <c r="CH4" i="59" a="1"/>
  <c r="CH4" i="59" s="1"/>
  <c r="AF5" i="59" a="1"/>
  <c r="AF5" i="59" s="1"/>
  <c r="AL5" i="59" a="1"/>
  <c r="AL5" i="59" s="1"/>
  <c r="AQ5" i="59" a="1"/>
  <c r="AQ5" i="59" s="1"/>
  <c r="AW5" i="59" a="1"/>
  <c r="AW5" i="59" s="1"/>
  <c r="BN5" i="59" a="1"/>
  <c r="BN5" i="59" s="1"/>
  <c r="AF8" i="59" a="1"/>
  <c r="AF8" i="59" s="1"/>
  <c r="AL8" i="59" a="1"/>
  <c r="AL8" i="59" s="1"/>
  <c r="AL9" i="59" s="1"/>
  <c r="AQ8" i="59" a="1"/>
  <c r="AQ8" i="59" s="1"/>
  <c r="AQ9" i="59" s="1"/>
  <c r="AW8" i="59" a="1"/>
  <c r="AW8" i="59" s="1"/>
  <c r="AW9" i="59" s="1"/>
  <c r="BB8" i="59" a="1"/>
  <c r="BB8" i="59" s="1"/>
  <c r="BB9" i="59" s="1"/>
  <c r="CK8" i="59" a="1"/>
  <c r="CK8" i="59" s="1"/>
  <c r="CK9" i="59" s="1"/>
  <c r="AF2" i="59" a="1"/>
  <c r="AF2" i="59" s="1"/>
  <c r="AI3" i="59" a="1"/>
  <c r="AI3" i="59" s="1"/>
  <c r="AO3" i="59" a="1"/>
  <c r="AO3" i="59" s="1"/>
  <c r="AV3" i="59" a="1"/>
  <c r="AV3" i="59" s="1"/>
  <c r="BK3" i="59" a="1"/>
  <c r="BK3" i="59" s="1"/>
  <c r="CF3" i="59" a="1"/>
  <c r="CF3" i="59" s="1"/>
  <c r="CJ3" i="59" a="1"/>
  <c r="CJ3" i="59" s="1"/>
  <c r="AH4" i="59" a="1"/>
  <c r="AH4" i="59" s="1"/>
  <c r="AN4" i="59" a="1"/>
  <c r="AN4" i="59" s="1"/>
  <c r="BM4" i="59" a="1"/>
  <c r="BM4" i="59" s="1"/>
  <c r="BE4" i="59" a="1"/>
  <c r="BE4" i="59" s="1"/>
  <c r="CI4" i="59" a="1"/>
  <c r="CI4" i="59" s="1"/>
  <c r="AG5" i="59" a="1"/>
  <c r="AG5" i="59" s="1"/>
  <c r="AX5" i="59" a="1"/>
  <c r="AX5" i="59" s="1"/>
  <c r="AR5" i="59" a="1"/>
  <c r="AR5" i="59" s="1"/>
  <c r="AZ5" i="59" a="1"/>
  <c r="AZ5" i="59" s="1"/>
  <c r="BE5" i="59" a="1"/>
  <c r="BE5" i="59" s="1"/>
  <c r="AG8" i="59" a="1"/>
  <c r="AG8" i="59" s="1"/>
  <c r="AG9" i="59" s="1"/>
  <c r="AX8" i="59" a="1"/>
  <c r="AX8" i="59" s="1"/>
  <c r="AX9" i="59" s="1"/>
  <c r="AR8" i="59" a="1"/>
  <c r="AR8" i="59" s="1"/>
  <c r="AR9" i="59" s="1"/>
  <c r="AZ8" i="59" a="1"/>
  <c r="AZ8" i="59" s="1"/>
  <c r="AZ9" i="59" s="1"/>
  <c r="BN8" i="59" a="1"/>
  <c r="BN8" i="59" s="1"/>
  <c r="BN9" i="59" s="1"/>
  <c r="H16" i="62"/>
  <c r="BF6" i="77"/>
  <c r="BF7" i="77" s="1"/>
  <c r="AK6" i="77"/>
  <c r="AK7" i="77" s="1"/>
  <c r="CG5" i="59" a="1"/>
  <c r="CG5" i="59" s="1"/>
  <c r="CH8" i="59" a="1"/>
  <c r="CH8" i="59" s="1"/>
  <c r="CH9" i="59" s="1"/>
  <c r="H17" i="71"/>
  <c r="O16" i="59"/>
  <c r="AO6" i="77"/>
  <c r="AO7" i="77" s="1"/>
  <c r="H17" i="65"/>
  <c r="H17" i="78"/>
  <c r="CJ5" i="59" a="1"/>
  <c r="CJ5" i="59" s="1"/>
  <c r="BB5" i="59" a="1"/>
  <c r="BB5" i="59" s="1"/>
  <c r="CK5" i="59" a="1"/>
  <c r="CK5" i="59" s="1"/>
  <c r="CJ8" i="59" a="1"/>
  <c r="CJ8" i="59" s="1"/>
  <c r="CJ9" i="59" s="1"/>
  <c r="AR14" i="59"/>
  <c r="H16" i="78"/>
  <c r="H17" i="66"/>
  <c r="H16" i="67"/>
  <c r="CL6" i="77"/>
  <c r="CL7" i="77" s="1"/>
  <c r="CG8" i="59" a="1"/>
  <c r="CG8" i="59" s="1"/>
  <c r="CG9" i="59" s="1"/>
  <c r="M16" i="59"/>
  <c r="N17" i="59"/>
  <c r="AK14" i="59"/>
  <c r="H17" i="62"/>
  <c r="H17" i="63"/>
  <c r="H17" i="60"/>
  <c r="H16" i="60"/>
  <c r="H17" i="79"/>
  <c r="H16" i="79"/>
  <c r="H16" i="66"/>
  <c r="CA6" i="75"/>
  <c r="CA7" i="75" s="1"/>
  <c r="BL6" i="75"/>
  <c r="BL7" i="75" s="1"/>
  <c r="H16" i="65"/>
  <c r="BS6" i="77"/>
  <c r="BS7" i="77" s="1"/>
  <c r="CI6" i="77"/>
  <c r="CI7" i="77" s="1"/>
  <c r="CH6" i="77"/>
  <c r="CH7" i="77" s="1"/>
  <c r="AF7" i="77"/>
  <c r="CG6" i="77"/>
  <c r="CG7" i="77" s="1"/>
  <c r="H17" i="72"/>
  <c r="H16" i="72"/>
  <c r="H16" i="64"/>
  <c r="O17" i="59"/>
  <c r="N16" i="59"/>
  <c r="L17" i="59"/>
  <c r="M17" i="59"/>
  <c r="L16" i="59"/>
  <c r="AN14" i="59"/>
  <c r="AP14" i="59"/>
  <c r="AG14" i="59"/>
  <c r="AL14" i="59"/>
  <c r="AO14" i="59"/>
  <c r="AM14" i="59"/>
  <c r="AQ14" i="59"/>
  <c r="H16" i="76"/>
  <c r="BQ6" i="77"/>
  <c r="BQ7" i="77" s="1"/>
  <c r="AI6" i="77"/>
  <c r="AI7" i="77" s="1"/>
  <c r="AU6" i="77"/>
  <c r="AU7" i="77" s="1"/>
  <c r="H17" i="61"/>
  <c r="H16" i="61"/>
  <c r="AF11" i="77"/>
  <c r="AF9" i="77"/>
  <c r="CK6" i="77"/>
  <c r="CK7" i="77" s="1"/>
  <c r="BB6" i="77"/>
  <c r="BB7" i="77" s="1"/>
  <c r="AH6" i="77"/>
  <c r="AH7" i="77" s="1"/>
  <c r="CC6" i="77"/>
  <c r="CC7" i="77" s="1"/>
  <c r="AR6" i="77"/>
  <c r="AR7" i="77" s="1"/>
  <c r="BU6" i="77"/>
  <c r="BU7" i="77" s="1"/>
  <c r="AM6" i="77"/>
  <c r="AM7" i="77" s="1"/>
  <c r="H17" i="75"/>
  <c r="H16" i="70"/>
  <c r="AH14" i="59"/>
  <c r="CK11" i="59"/>
  <c r="AH11" i="59"/>
  <c r="CJ13" i="59"/>
  <c r="CI11" i="59"/>
  <c r="CH11" i="59"/>
  <c r="AH13" i="59"/>
  <c r="AN13" i="59"/>
  <c r="BM13" i="59"/>
  <c r="BE13" i="59"/>
  <c r="AL11" i="59"/>
  <c r="AQ11" i="59"/>
  <c r="AW11" i="59"/>
  <c r="BB11" i="59"/>
  <c r="CF11" i="59"/>
  <c r="CH13" i="59"/>
  <c r="AF13" i="59"/>
  <c r="AL13" i="59"/>
  <c r="AQ13" i="59"/>
  <c r="AW13" i="59"/>
  <c r="BB13" i="59"/>
  <c r="CF13" i="59"/>
  <c r="AN11" i="59"/>
  <c r="BM11" i="59"/>
  <c r="BE11" i="59"/>
  <c r="CG11" i="59"/>
  <c r="CJ11" i="59"/>
  <c r="AX13" i="59"/>
  <c r="AZ13" i="59"/>
  <c r="K16" i="59"/>
  <c r="AI11" i="59"/>
  <c r="AO11" i="59"/>
  <c r="AV11" i="59"/>
  <c r="BK11" i="59"/>
  <c r="AI13" i="59"/>
  <c r="AO13" i="59"/>
  <c r="AV13" i="59"/>
  <c r="BK13" i="59"/>
  <c r="AG13" i="59"/>
  <c r="AR13" i="59"/>
  <c r="BN13" i="59"/>
  <c r="AG11" i="59"/>
  <c r="AX11" i="59"/>
  <c r="AR11" i="59"/>
  <c r="AZ11" i="59"/>
  <c r="BN11" i="59"/>
  <c r="CG13" i="59"/>
  <c r="CK13" i="59"/>
  <c r="K17" i="59"/>
  <c r="AO6" i="59" l="1"/>
  <c r="AO7" i="59" s="1"/>
  <c r="CF6" i="59"/>
  <c r="CF7" i="59" s="1"/>
  <c r="CI6" i="59"/>
  <c r="CI7" i="59" s="1"/>
  <c r="AL6" i="59"/>
  <c r="AL7" i="59" s="1"/>
  <c r="BK6" i="59"/>
  <c r="BK7" i="59" s="1"/>
  <c r="AN6" i="59"/>
  <c r="AN7" i="59" s="1"/>
  <c r="AU6" i="59"/>
  <c r="AU7" i="59" s="1"/>
  <c r="CK6" i="59"/>
  <c r="CK7" i="59" s="1"/>
  <c r="AZ6" i="59"/>
  <c r="AZ7" i="59" s="1"/>
  <c r="BN6" i="59"/>
  <c r="BN7" i="59" s="1"/>
  <c r="AG6" i="59"/>
  <c r="AG7" i="59" s="1"/>
  <c r="AF9" i="59"/>
  <c r="AW6" i="59"/>
  <c r="AW7" i="59" s="1"/>
  <c r="BB6" i="59"/>
  <c r="BB7" i="59" s="1"/>
  <c r="AI6" i="59"/>
  <c r="AI7" i="59" s="1"/>
  <c r="AF6" i="59"/>
  <c r="AF7" i="59" s="1"/>
  <c r="AV6" i="59"/>
  <c r="AV7" i="59" s="1"/>
  <c r="CH6" i="59"/>
  <c r="CH7" i="59" s="1"/>
  <c r="CG6" i="59"/>
  <c r="CG7" i="59" s="1"/>
  <c r="CJ6" i="59"/>
  <c r="CJ7" i="59" s="1"/>
  <c r="AX6" i="59"/>
  <c r="AX7" i="59" s="1"/>
  <c r="BM6" i="59"/>
  <c r="BM7" i="59" s="1"/>
  <c r="AQ6" i="59"/>
  <c r="AQ7" i="59" s="1"/>
  <c r="AF11" i="59"/>
  <c r="AR6" i="59"/>
  <c r="AR7" i="59" s="1"/>
  <c r="BE6" i="59"/>
  <c r="BE7" i="59" s="1"/>
  <c r="AH6" i="59"/>
  <c r="AH7" i="59" s="1"/>
  <c r="H17" i="59"/>
  <c r="H16" i="59"/>
  <c r="H680" i="33" l="1" a="1"/>
  <c r="H680" i="33" s="1"/>
  <c r="F680" i="33" a="1"/>
  <c r="F680" i="33" s="1"/>
  <c r="H679" i="33" a="1"/>
  <c r="H679" i="33" s="1"/>
  <c r="F679" i="33" a="1"/>
  <c r="F679" i="33" s="1"/>
  <c r="H678" i="33" a="1"/>
  <c r="H678" i="33" s="1"/>
  <c r="F678" i="33" a="1"/>
  <c r="F678" i="33" s="1"/>
  <c r="H677" i="33" a="1"/>
  <c r="H677" i="33" s="1"/>
  <c r="F677" i="33" a="1"/>
  <c r="F677" i="33" s="1"/>
  <c r="H676" i="33" a="1"/>
  <c r="H676" i="33" s="1"/>
  <c r="F676" i="33" a="1"/>
  <c r="F676" i="33" s="1"/>
  <c r="H675" i="33" a="1"/>
  <c r="H675" i="33" s="1"/>
  <c r="F675" i="33" a="1"/>
  <c r="F675" i="33" s="1"/>
  <c r="H674" i="33" a="1"/>
  <c r="H674" i="33" s="1"/>
  <c r="F674" i="33" a="1"/>
  <c r="F674" i="33" s="1"/>
  <c r="H673" i="33" a="1"/>
  <c r="H673" i="33" s="1"/>
  <c r="F673" i="33" a="1"/>
  <c r="F673" i="33" s="1"/>
  <c r="H672" i="33" a="1"/>
  <c r="H672" i="33" s="1"/>
  <c r="F672" i="33" a="1"/>
  <c r="F672" i="33" s="1"/>
  <c r="H671" i="33" a="1"/>
  <c r="H671" i="33" s="1"/>
  <c r="F671" i="33" a="1"/>
  <c r="F671" i="33" s="1"/>
  <c r="H670" i="33" a="1"/>
  <c r="H670" i="33" s="1"/>
  <c r="F670" i="33" a="1"/>
  <c r="F670" i="33" s="1"/>
  <c r="H669" i="33" a="1"/>
  <c r="H669" i="33" s="1"/>
  <c r="F669" i="33" a="1"/>
  <c r="F669" i="33" s="1"/>
  <c r="H668" i="33" a="1"/>
  <c r="H668" i="33" s="1"/>
  <c r="F668" i="33" a="1"/>
  <c r="F668" i="33" s="1"/>
  <c r="H667" i="33" a="1"/>
  <c r="H667" i="33" s="1"/>
  <c r="F667" i="33" a="1"/>
  <c r="F667" i="33" s="1"/>
  <c r="H666" i="33" a="1"/>
  <c r="H666" i="33" s="1"/>
  <c r="F666" i="33" a="1"/>
  <c r="F666" i="33" s="1"/>
  <c r="H665" i="33" a="1"/>
  <c r="H665" i="33" s="1"/>
  <c r="F665" i="33" a="1"/>
  <c r="F665" i="33" s="1"/>
  <c r="H664" i="33" a="1"/>
  <c r="H664" i="33" s="1"/>
  <c r="F664" i="33" a="1"/>
  <c r="F664" i="33" s="1"/>
  <c r="H663" i="33" a="1"/>
  <c r="H663" i="33" s="1"/>
  <c r="F663" i="33" a="1"/>
  <c r="F663" i="33" s="1"/>
  <c r="H662" i="33" a="1"/>
  <c r="H662" i="33" s="1"/>
  <c r="F662" i="33" a="1"/>
  <c r="F662" i="33" s="1"/>
  <c r="H661" i="33" a="1"/>
  <c r="H661" i="33" s="1"/>
  <c r="F661" i="33" a="1"/>
  <c r="F661" i="33" s="1"/>
  <c r="H660" i="33" a="1"/>
  <c r="H660" i="33" s="1"/>
  <c r="F660" i="33" a="1"/>
  <c r="F660" i="33" s="1"/>
  <c r="H659" i="33" a="1"/>
  <c r="H659" i="33" s="1"/>
  <c r="F659" i="33" a="1"/>
  <c r="F659" i="33" s="1"/>
  <c r="H658" i="33" a="1"/>
  <c r="H658" i="33" s="1"/>
  <c r="F658" i="33" a="1"/>
  <c r="F658" i="33" s="1"/>
  <c r="H653" i="33" a="1"/>
  <c r="H653" i="33" s="1"/>
  <c r="F653" i="33" a="1"/>
  <c r="F653" i="33" s="1"/>
  <c r="H652" i="33" a="1"/>
  <c r="H652" i="33" s="1"/>
  <c r="F652" i="33" a="1"/>
  <c r="F652" i="33" s="1"/>
  <c r="H651" i="33" a="1"/>
  <c r="H651" i="33" s="1"/>
  <c r="F651" i="33" a="1"/>
  <c r="F651" i="33" s="1"/>
  <c r="H650" i="33" a="1"/>
  <c r="H650" i="33" s="1"/>
  <c r="F650" i="33" a="1"/>
  <c r="F650" i="33" s="1"/>
  <c r="H649" i="33" a="1"/>
  <c r="H649" i="33" s="1"/>
  <c r="F649" i="33" a="1"/>
  <c r="F649" i="33" s="1"/>
  <c r="H648" i="33" a="1"/>
  <c r="H648" i="33" s="1"/>
  <c r="F648" i="33" a="1"/>
  <c r="F648" i="33" s="1"/>
  <c r="H647" i="33" a="1"/>
  <c r="H647" i="33" s="1"/>
  <c r="F647" i="33" a="1"/>
  <c r="F647" i="33" s="1"/>
  <c r="H646" i="33" a="1"/>
  <c r="H646" i="33" s="1"/>
  <c r="F646" i="33" a="1"/>
  <c r="F646" i="33" s="1"/>
  <c r="H645" i="33" a="1"/>
  <c r="H645" i="33" s="1"/>
  <c r="F645" i="33" a="1"/>
  <c r="F645" i="33" s="1"/>
  <c r="H644" i="33" a="1"/>
  <c r="H644" i="33" s="1"/>
  <c r="F644" i="33" a="1"/>
  <c r="F644" i="33" s="1"/>
  <c r="H643" i="33" a="1"/>
  <c r="H643" i="33" s="1"/>
  <c r="F643" i="33" a="1"/>
  <c r="F643" i="33" s="1"/>
  <c r="H642" i="33" a="1"/>
  <c r="H642" i="33" s="1"/>
  <c r="F642" i="33" a="1"/>
  <c r="F642" i="33" s="1"/>
  <c r="H641" i="33" a="1"/>
  <c r="H641" i="33" s="1"/>
  <c r="F641" i="33" a="1"/>
  <c r="F641" i="33" s="1"/>
  <c r="H640" i="33" a="1"/>
  <c r="H640" i="33" s="1"/>
  <c r="F640" i="33" a="1"/>
  <c r="F640" i="33" s="1"/>
  <c r="H639" i="33" a="1"/>
  <c r="H639" i="33" s="1"/>
  <c r="F639" i="33" a="1"/>
  <c r="F639" i="33" s="1"/>
  <c r="H638" i="33" a="1"/>
  <c r="H638" i="33" s="1"/>
  <c r="F638" i="33" a="1"/>
  <c r="F638" i="33" s="1"/>
  <c r="H637" i="33" a="1"/>
  <c r="H637" i="33" s="1"/>
  <c r="F637" i="33" a="1"/>
  <c r="F637" i="33" s="1"/>
  <c r="H636" i="33" a="1"/>
  <c r="H636" i="33" s="1"/>
  <c r="F636" i="33" a="1"/>
  <c r="F636" i="33" s="1"/>
  <c r="H635" i="33" a="1"/>
  <c r="H635" i="33" s="1"/>
  <c r="F635" i="33" a="1"/>
  <c r="F635" i="33" s="1"/>
  <c r="H634" i="33" a="1"/>
  <c r="H634" i="33" s="1"/>
  <c r="F634" i="33" a="1"/>
  <c r="F634" i="33" s="1"/>
  <c r="H633" i="33" a="1"/>
  <c r="H633" i="33" s="1"/>
  <c r="F633" i="33" a="1"/>
  <c r="F633" i="33" s="1"/>
  <c r="H632" i="33" a="1"/>
  <c r="H632" i="33" s="1"/>
  <c r="F632" i="33" a="1"/>
  <c r="F632" i="33" s="1"/>
  <c r="H631" i="33" a="1"/>
  <c r="H631" i="33" s="1"/>
  <c r="F631" i="33" a="1"/>
  <c r="F631" i="33" s="1"/>
  <c r="H626" i="33" a="1"/>
  <c r="H626" i="33" s="1"/>
  <c r="F626" i="33" a="1"/>
  <c r="F626" i="33" s="1"/>
  <c r="H625" i="33" a="1"/>
  <c r="H625" i="33" s="1"/>
  <c r="F625" i="33" a="1"/>
  <c r="F625" i="33" s="1"/>
  <c r="H624" i="33" a="1"/>
  <c r="H624" i="33" s="1"/>
  <c r="F624" i="33" a="1"/>
  <c r="F624" i="33" s="1"/>
  <c r="H623" i="33" a="1"/>
  <c r="H623" i="33" s="1"/>
  <c r="F623" i="33" a="1"/>
  <c r="F623" i="33" s="1"/>
  <c r="H622" i="33" a="1"/>
  <c r="H622" i="33" s="1"/>
  <c r="F622" i="33" a="1"/>
  <c r="F622" i="33" s="1"/>
  <c r="H621" i="33" a="1"/>
  <c r="H621" i="33" s="1"/>
  <c r="F621" i="33" a="1"/>
  <c r="F621" i="33" s="1"/>
  <c r="H620" i="33" a="1"/>
  <c r="H620" i="33" s="1"/>
  <c r="F620" i="33" a="1"/>
  <c r="F620" i="33" s="1"/>
  <c r="H619" i="33" a="1"/>
  <c r="H619" i="33" s="1"/>
  <c r="F619" i="33" a="1"/>
  <c r="F619" i="33" s="1"/>
  <c r="H618" i="33" a="1"/>
  <c r="H618" i="33" s="1"/>
  <c r="F618" i="33" a="1"/>
  <c r="F618" i="33" s="1"/>
  <c r="H617" i="33" a="1"/>
  <c r="H617" i="33" s="1"/>
  <c r="F617" i="33" a="1"/>
  <c r="F617" i="33" s="1"/>
  <c r="H616" i="33" a="1"/>
  <c r="H616" i="33" s="1"/>
  <c r="F616" i="33" a="1"/>
  <c r="F616" i="33" s="1"/>
  <c r="H615" i="33" a="1"/>
  <c r="H615" i="33" s="1"/>
  <c r="F615" i="33" a="1"/>
  <c r="F615" i="33" s="1"/>
  <c r="H614" i="33" a="1"/>
  <c r="H614" i="33" s="1"/>
  <c r="F614" i="33" a="1"/>
  <c r="F614" i="33" s="1"/>
  <c r="H613" i="33" a="1"/>
  <c r="H613" i="33" s="1"/>
  <c r="F613" i="33" a="1"/>
  <c r="F613" i="33" s="1"/>
  <c r="H612" i="33" a="1"/>
  <c r="H612" i="33" s="1"/>
  <c r="F612" i="33" a="1"/>
  <c r="F612" i="33" s="1"/>
  <c r="H611" i="33" a="1"/>
  <c r="H611" i="33" s="1"/>
  <c r="F611" i="33" a="1"/>
  <c r="F611" i="33" s="1"/>
  <c r="H610" i="33" a="1"/>
  <c r="H610" i="33" s="1"/>
  <c r="F610" i="33" a="1"/>
  <c r="F610" i="33" s="1"/>
  <c r="H609" i="33" a="1"/>
  <c r="H609" i="33" s="1"/>
  <c r="F609" i="33" a="1"/>
  <c r="F609" i="33" s="1"/>
  <c r="H608" i="33" a="1"/>
  <c r="H608" i="33" s="1"/>
  <c r="F608" i="33" a="1"/>
  <c r="F608" i="33" s="1"/>
  <c r="H607" i="33" a="1"/>
  <c r="H607" i="33" s="1"/>
  <c r="F607" i="33" a="1"/>
  <c r="F607" i="33" s="1"/>
  <c r="H606" i="33" a="1"/>
  <c r="H606" i="33" s="1"/>
  <c r="F606" i="33" a="1"/>
  <c r="F606" i="33" s="1"/>
  <c r="H605" i="33" a="1"/>
  <c r="H605" i="33" s="1"/>
  <c r="F605" i="33" a="1"/>
  <c r="F605" i="33" s="1"/>
  <c r="H604" i="33" a="1"/>
  <c r="H604" i="33" s="1"/>
  <c r="F604" i="33" a="1"/>
  <c r="F604" i="33" s="1"/>
  <c r="H599" i="33" a="1"/>
  <c r="H599" i="33" s="1"/>
  <c r="F599" i="33" a="1"/>
  <c r="F599" i="33" s="1"/>
  <c r="H598" i="33" a="1"/>
  <c r="H598" i="33" s="1"/>
  <c r="F598" i="33" a="1"/>
  <c r="F598" i="33" s="1"/>
  <c r="H597" i="33" a="1"/>
  <c r="H597" i="33" s="1"/>
  <c r="F597" i="33" a="1"/>
  <c r="F597" i="33" s="1"/>
  <c r="H596" i="33" a="1"/>
  <c r="H596" i="33" s="1"/>
  <c r="F596" i="33" a="1"/>
  <c r="F596" i="33" s="1"/>
  <c r="H595" i="33" a="1"/>
  <c r="H595" i="33" s="1"/>
  <c r="F595" i="33" a="1"/>
  <c r="F595" i="33" s="1"/>
  <c r="H594" i="33" a="1"/>
  <c r="H594" i="33" s="1"/>
  <c r="F594" i="33" a="1"/>
  <c r="F594" i="33" s="1"/>
  <c r="H593" i="33" a="1"/>
  <c r="H593" i="33" s="1"/>
  <c r="F593" i="33" a="1"/>
  <c r="F593" i="33" s="1"/>
  <c r="H592" i="33" a="1"/>
  <c r="H592" i="33" s="1"/>
  <c r="F592" i="33" a="1"/>
  <c r="F592" i="33" s="1"/>
  <c r="H591" i="33" a="1"/>
  <c r="H591" i="33" s="1"/>
  <c r="F591" i="33" a="1"/>
  <c r="F591" i="33" s="1"/>
  <c r="H590" i="33" a="1"/>
  <c r="H590" i="33" s="1"/>
  <c r="F590" i="33" a="1"/>
  <c r="F590" i="33" s="1"/>
  <c r="H589" i="33" a="1"/>
  <c r="H589" i="33" s="1"/>
  <c r="F589" i="33" a="1"/>
  <c r="F589" i="33" s="1"/>
  <c r="H588" i="33" a="1"/>
  <c r="H588" i="33" s="1"/>
  <c r="F588" i="33" a="1"/>
  <c r="F588" i="33" s="1"/>
  <c r="H587" i="33" a="1"/>
  <c r="H587" i="33" s="1"/>
  <c r="F587" i="33" a="1"/>
  <c r="F587" i="33" s="1"/>
  <c r="H586" i="33" a="1"/>
  <c r="H586" i="33" s="1"/>
  <c r="F586" i="33" a="1"/>
  <c r="F586" i="33" s="1"/>
  <c r="H585" i="33" a="1"/>
  <c r="H585" i="33" s="1"/>
  <c r="F585" i="33" a="1"/>
  <c r="F585" i="33" s="1"/>
  <c r="H584" i="33" a="1"/>
  <c r="H584" i="33" s="1"/>
  <c r="F584" i="33" a="1"/>
  <c r="F584" i="33" s="1"/>
  <c r="H583" i="33" a="1"/>
  <c r="H583" i="33" s="1"/>
  <c r="F583" i="33" a="1"/>
  <c r="F583" i="33" s="1"/>
  <c r="H582" i="33" a="1"/>
  <c r="H582" i="33" s="1"/>
  <c r="F582" i="33" a="1"/>
  <c r="F582" i="33" s="1"/>
  <c r="H581" i="33" a="1"/>
  <c r="H581" i="33" s="1"/>
  <c r="F581" i="33" a="1"/>
  <c r="F581" i="33" s="1"/>
  <c r="H580" i="33" a="1"/>
  <c r="H580" i="33" s="1"/>
  <c r="F580" i="33" a="1"/>
  <c r="F580" i="33" s="1"/>
  <c r="H579" i="33" a="1"/>
  <c r="H579" i="33" s="1"/>
  <c r="F579" i="33" a="1"/>
  <c r="F579" i="33" s="1"/>
  <c r="H578" i="33" a="1"/>
  <c r="H578" i="33" s="1"/>
  <c r="F578" i="33" a="1"/>
  <c r="F578" i="33" s="1"/>
  <c r="H577" i="33" a="1"/>
  <c r="H577" i="33" s="1"/>
  <c r="F577" i="33" a="1"/>
  <c r="F577" i="33" s="1"/>
  <c r="E52" i="30" a="1"/>
  <c r="E54" i="30" a="1"/>
  <c r="E51" i="30" a="1"/>
  <c r="O52" i="30" a="1"/>
  <c r="Z39" i="30" a="1"/>
  <c r="P47" i="30" a="1"/>
  <c r="P50" i="30" a="1"/>
  <c r="E55" i="30" a="1"/>
  <c r="F39" i="30" a="1"/>
  <c r="F49" i="30" a="1"/>
  <c r="Y44" i="30" a="1"/>
  <c r="F52" i="30" a="1"/>
  <c r="AA39" i="30" a="1"/>
  <c r="AA46" i="30" a="1"/>
  <c r="W42" i="30" a="1"/>
  <c r="X43" i="30" a="1"/>
  <c r="Z53" i="30" a="1"/>
  <c r="O54" i="30" a="1"/>
  <c r="Z41" i="30" a="1"/>
  <c r="F47" i="30" a="1"/>
  <c r="Z50" i="30" a="1"/>
  <c r="F43" i="30" a="1"/>
  <c r="Y46" i="30" a="1"/>
  <c r="N44" i="30" a="1"/>
  <c r="N40" i="30" a="1"/>
  <c r="W59" i="30" a="1"/>
  <c r="F59" i="30" a="1"/>
  <c r="P59" i="30" a="1"/>
  <c r="AA48" i="30" a="1"/>
  <c r="P40" i="30" a="1"/>
  <c r="G40" i="30" a="1"/>
  <c r="O42" i="30" a="1"/>
  <c r="X51" i="30" a="1"/>
  <c r="Y43" i="30" a="1"/>
  <c r="Y52" i="30" a="1"/>
  <c r="X58" i="30" a="1"/>
  <c r="X45" i="30" a="1"/>
  <c r="O40" i="30" a="1"/>
  <c r="N46" i="30" a="1"/>
  <c r="G52" i="30" a="1"/>
  <c r="W40" i="30" a="1"/>
  <c r="W46" i="30" a="1"/>
  <c r="N42" i="30" a="1"/>
  <c r="P57" i="30" a="1"/>
  <c r="E46" i="30" a="1"/>
  <c r="W48" i="30" a="1"/>
  <c r="E53" i="30" a="1"/>
  <c r="X46" i="30" a="1"/>
  <c r="Z55" i="30" a="1"/>
  <c r="X55" i="30" a="1"/>
  <c r="P39" i="30" a="1"/>
  <c r="Z47" i="30" a="1"/>
  <c r="AA42" i="30" a="1"/>
  <c r="P51" i="30" a="1"/>
  <c r="N49" i="30" a="1"/>
  <c r="Z42" i="30" a="1"/>
  <c r="F53" i="30" a="1"/>
  <c r="AA41" i="30" a="1"/>
  <c r="G56" i="30" a="1"/>
  <c r="AA59" i="30" a="1"/>
  <c r="AA58" i="30" a="1"/>
  <c r="Y55" i="30" a="1"/>
  <c r="AA51" i="30" a="1"/>
  <c r="G45" i="30" a="1"/>
  <c r="P56" i="30" a="1"/>
  <c r="AA50" i="30" a="1"/>
  <c r="E41" i="30" a="1"/>
  <c r="Z56" i="30" a="1"/>
  <c r="N53" i="30" a="1"/>
  <c r="AA52" i="30" a="1"/>
  <c r="X42" i="30" a="1"/>
  <c r="AA40" i="30" a="1"/>
  <c r="F58" i="30" a="1"/>
  <c r="P42" i="30" a="1"/>
  <c r="Y58" i="30" a="1"/>
  <c r="Y39" i="30" a="1"/>
  <c r="G44" i="30" a="1"/>
  <c r="W55" i="30" a="1"/>
  <c r="Y56" i="30" a="1"/>
  <c r="E57" i="30" a="1"/>
  <c r="Y57" i="30" a="1"/>
  <c r="X50" i="30" a="1"/>
  <c r="N54" i="30" a="1"/>
  <c r="Y47" i="30" a="1"/>
  <c r="W50" i="30" a="1"/>
  <c r="Y40" i="30" a="1"/>
  <c r="AA53" i="30" a="1"/>
  <c r="O43" i="30" a="1"/>
  <c r="O46" i="30" a="1"/>
  <c r="W39" i="30" a="1"/>
  <c r="G48" i="30" a="1"/>
  <c r="E39" i="30" a="1"/>
  <c r="W44" i="30" a="1"/>
  <c r="X39" i="30" a="1"/>
  <c r="F57" i="30" a="1"/>
  <c r="G50" i="30" a="1"/>
  <c r="F54" i="30" a="1"/>
  <c r="F55" i="30" a="1"/>
  <c r="E50" i="30" a="1"/>
  <c r="B57" i="30"/>
  <c r="F45" i="30" a="1"/>
  <c r="O53" i="30" a="1"/>
  <c r="B56" i="30"/>
  <c r="N55" i="30" a="1"/>
  <c r="B54" i="30"/>
  <c r="E43" i="30" a="1"/>
  <c r="E40" i="30" a="1"/>
  <c r="G43" i="30" a="1"/>
  <c r="G49" i="30" a="1"/>
  <c r="N59" i="30" a="1"/>
  <c r="X54" i="30" a="1"/>
  <c r="W49" i="30" a="1"/>
  <c r="W52" i="30" a="1"/>
  <c r="X41" i="30" a="1"/>
  <c r="X56" i="30" a="1"/>
  <c r="G55" i="30" a="1"/>
  <c r="F51" i="30" a="1"/>
  <c r="E47" i="30" a="1"/>
  <c r="N43" i="30" a="1"/>
  <c r="Z46" i="30" a="1"/>
  <c r="X47" i="30" a="1"/>
  <c r="G54" i="30" a="1"/>
  <c r="Z57" i="30" a="1"/>
  <c r="W47" i="30" a="1"/>
  <c r="AA54" i="30" a="1"/>
  <c r="Y51" i="30" a="1"/>
  <c r="F41" i="30" a="1"/>
  <c r="X49" i="30" a="1"/>
  <c r="W53" i="30" a="1"/>
  <c r="W56" i="30" a="1"/>
  <c r="Y53" i="30" a="1"/>
  <c r="G42" i="30" a="1"/>
  <c r="O44" i="30" a="1"/>
  <c r="Y48" i="30" a="1"/>
  <c r="P54" i="30" a="1"/>
  <c r="O57" i="30" a="1"/>
  <c r="N45" i="30" a="1"/>
  <c r="Z51" i="30" a="1"/>
  <c r="O45" i="30" a="1"/>
  <c r="X48" i="30" a="1"/>
  <c r="Y59" i="30" a="1"/>
  <c r="Z43" i="30" a="1"/>
  <c r="N50" i="30" a="1"/>
  <c r="G57" i="30" a="1"/>
  <c r="Y50" i="30" a="1"/>
  <c r="N52" i="30" a="1"/>
  <c r="Y54" i="30" a="1"/>
  <c r="X57" i="30" a="1"/>
  <c r="E59" i="30" a="1"/>
  <c r="AA55" i="30" a="1"/>
  <c r="Z40" i="30" a="1"/>
  <c r="P41" i="30" a="1"/>
  <c r="E44" i="30" a="1"/>
  <c r="P49" i="30" a="1"/>
  <c r="O39" i="30" a="1"/>
  <c r="F44" i="30" a="1"/>
  <c r="N41" i="30" a="1"/>
  <c r="N56" i="30" a="1"/>
  <c r="E48" i="30" a="1"/>
  <c r="W54" i="30" a="1"/>
  <c r="O49" i="30" a="1"/>
  <c r="W58" i="30" a="1"/>
  <c r="Z58" i="30" a="1"/>
  <c r="F56" i="30" a="1"/>
  <c r="P52" i="30" a="1"/>
  <c r="G53" i="30" a="1"/>
  <c r="Y41" i="30" a="1"/>
  <c r="Z48" i="30" a="1"/>
  <c r="AA57" i="30" a="1"/>
  <c r="W51" i="30" a="1"/>
  <c r="O50" i="30" a="1"/>
  <c r="X40" i="30" a="1"/>
  <c r="W41" i="30" a="1"/>
  <c r="F42" i="30" a="1"/>
  <c r="O56" i="30" a="1"/>
  <c r="Z52" i="30" a="1"/>
  <c r="W57" i="30" a="1"/>
  <c r="O59" i="30" a="1"/>
  <c r="Y45" i="30" a="1"/>
  <c r="P58" i="30" a="1"/>
  <c r="Z44" i="30" a="1"/>
  <c r="AA49" i="30" a="1"/>
  <c r="G41" i="30" a="1"/>
  <c r="N57" i="30" a="1"/>
  <c r="G39" i="30" a="1"/>
  <c r="F50" i="30" a="1"/>
  <c r="O58" i="30" a="1"/>
  <c r="B55" i="30"/>
  <c r="W43" i="30" a="1"/>
  <c r="X59" i="30" a="1"/>
  <c r="G59" i="30" a="1"/>
  <c r="X44" i="30" a="1"/>
  <c r="Y42" i="30" a="1"/>
  <c r="W45" i="30" a="1"/>
  <c r="P48" i="30" a="1"/>
  <c r="E49" i="30" a="1"/>
  <c r="F46" i="30" a="1"/>
  <c r="AA56" i="30" a="1"/>
  <c r="P43" i="30" a="1"/>
  <c r="P46" i="30" a="1"/>
  <c r="X52" i="30" a="1"/>
  <c r="P53" i="30" a="1"/>
  <c r="N58" i="30" a="1"/>
  <c r="O55" i="30" a="1"/>
  <c r="AA44" i="30" a="1"/>
  <c r="P45" i="30" a="1"/>
  <c r="G51" i="30" a="1"/>
  <c r="N48" i="30" a="1"/>
  <c r="G47" i="30" a="1"/>
  <c r="O41" i="30" a="1"/>
  <c r="G46" i="30" a="1"/>
  <c r="G58" i="30" a="1"/>
  <c r="O48" i="30" a="1"/>
  <c r="AA45" i="30" a="1"/>
  <c r="X53" i="30" a="1"/>
  <c r="E45" i="30" a="1"/>
  <c r="E58" i="30" a="1"/>
  <c r="N39" i="30" a="1"/>
  <c r="F40" i="30" a="1"/>
  <c r="E42" i="30" a="1"/>
  <c r="AA47" i="30" a="1"/>
  <c r="Z45" i="30" a="1"/>
  <c r="O47" i="30" a="1"/>
  <c r="P44" i="30" a="1"/>
  <c r="P55" i="30" a="1"/>
  <c r="AA43" i="30" a="1"/>
  <c r="N47" i="30" a="1"/>
  <c r="N51" i="30" a="1"/>
  <c r="Z49" i="30" a="1"/>
  <c r="Y49" i="30" a="1"/>
  <c r="E56" i="30" a="1"/>
  <c r="Z59" i="30" a="1"/>
  <c r="F48" i="30" a="1"/>
  <c r="B58" i="30"/>
  <c r="O51" i="30" a="1"/>
  <c r="Z54" i="30" a="1"/>
  <c r="B59" i="30"/>
  <c r="O39" i="30" l="1"/>
  <c r="Y42" i="30"/>
  <c r="N48" i="30"/>
  <c r="W55" i="30"/>
  <c r="Y46" i="30"/>
  <c r="O44" i="30"/>
  <c r="F39" i="30"/>
  <c r="Z39" i="30"/>
  <c r="G52" i="30"/>
  <c r="AA50" i="30"/>
  <c r="P47" i="30"/>
  <c r="Y41" i="30"/>
  <c r="N42" i="30"/>
  <c r="AA39" i="30"/>
  <c r="X47" i="30"/>
  <c r="Y51" i="30"/>
  <c r="W41" i="30"/>
  <c r="X42" i="30"/>
  <c r="N43" i="30"/>
  <c r="G51" i="30"/>
  <c r="X50" i="30"/>
  <c r="O45" i="30"/>
  <c r="N55" i="30"/>
  <c r="G45" i="30"/>
  <c r="Z40" i="30"/>
  <c r="Y50" i="30"/>
  <c r="F42" i="30"/>
  <c r="N53" i="30"/>
  <c r="Y39" i="30"/>
  <c r="W47" i="30"/>
  <c r="N41" i="30"/>
  <c r="Z42" i="30"/>
  <c r="P55" i="30"/>
  <c r="G46" i="30"/>
  <c r="X44" i="30"/>
  <c r="Z47" i="30"/>
  <c r="P41" i="30"/>
  <c r="F43" i="30"/>
  <c r="N47" i="30"/>
  <c r="P51" i="30"/>
  <c r="Z57" i="30"/>
  <c r="F53" i="30"/>
  <c r="X59" i="30"/>
  <c r="O46" i="30"/>
  <c r="O52" i="30"/>
  <c r="AA45" i="30"/>
  <c r="N44" i="30"/>
  <c r="G40" i="30"/>
  <c r="F45" i="30"/>
  <c r="X54" i="30"/>
  <c r="O58" i="30"/>
  <c r="N40" i="30"/>
  <c r="Z44" i="30"/>
  <c r="G58" i="30"/>
  <c r="W49" i="30"/>
  <c r="Y44" i="30"/>
  <c r="N56" i="30"/>
  <c r="Z41" i="30"/>
  <c r="W46" i="30"/>
  <c r="W48" i="30"/>
  <c r="F40" i="30"/>
  <c r="X39" i="30"/>
  <c r="X56" i="30"/>
  <c r="F55" i="30"/>
  <c r="AA52" i="30"/>
  <c r="P49" i="30"/>
  <c r="E47" i="30"/>
  <c r="O48" i="30"/>
  <c r="E55" i="30"/>
  <c r="Y45" i="30"/>
  <c r="E41" i="30"/>
  <c r="Z58" i="30"/>
  <c r="E58" i="30"/>
  <c r="F44" i="30"/>
  <c r="X49" i="30"/>
  <c r="X46" i="30"/>
  <c r="O49" i="30"/>
  <c r="G50" i="30"/>
  <c r="AA47" i="30"/>
  <c r="F59" i="30"/>
  <c r="O41" i="30"/>
  <c r="W58" i="30"/>
  <c r="Z48" i="30"/>
  <c r="N59" i="30"/>
  <c r="Y59" i="30"/>
  <c r="O47" i="30"/>
  <c r="Z54" i="30"/>
  <c r="P53" i="30"/>
  <c r="E49" i="30"/>
  <c r="X58" i="30"/>
  <c r="Y43" i="30"/>
  <c r="P45" i="30"/>
  <c r="G39" i="30"/>
  <c r="W52" i="30"/>
  <c r="F49" i="30"/>
  <c r="O57" i="30"/>
  <c r="P59" i="30"/>
  <c r="AA41" i="30"/>
  <c r="F54" i="30"/>
  <c r="P54" i="30"/>
  <c r="O50" i="30"/>
  <c r="F51" i="30"/>
  <c r="N39" i="30"/>
  <c r="X41" i="30"/>
  <c r="Y40" i="30"/>
  <c r="Z49" i="30"/>
  <c r="G47" i="30"/>
  <c r="E51" i="30"/>
  <c r="E57" i="30"/>
  <c r="O56" i="30"/>
  <c r="G42" i="30"/>
  <c r="F58" i="30"/>
  <c r="Y52" i="30"/>
  <c r="O43" i="30"/>
  <c r="AA40" i="30"/>
  <c r="X52" i="30"/>
  <c r="G56" i="30"/>
  <c r="F57" i="30"/>
  <c r="P39" i="30"/>
  <c r="W45" i="30"/>
  <c r="AA46" i="30"/>
  <c r="Y49" i="30"/>
  <c r="G54" i="30"/>
  <c r="P57" i="30"/>
  <c r="X51" i="30"/>
  <c r="F56" i="30"/>
  <c r="G48" i="30"/>
  <c r="F47" i="30"/>
  <c r="N52" i="30"/>
  <c r="X53" i="30"/>
  <c r="W53" i="30"/>
  <c r="W44" i="30"/>
  <c r="P58" i="30"/>
  <c r="N50" i="30"/>
  <c r="P44" i="30"/>
  <c r="AA43" i="30"/>
  <c r="E44" i="30"/>
  <c r="X43" i="30"/>
  <c r="N45" i="30"/>
  <c r="P48" i="30"/>
  <c r="O55" i="30"/>
  <c r="W42" i="30"/>
  <c r="AC42" i="30" s="1"/>
  <c r="W51" i="30"/>
  <c r="X40" i="30"/>
  <c r="E59" i="30"/>
  <c r="G43" i="30"/>
  <c r="Z43" i="30"/>
  <c r="O40" i="30"/>
  <c r="E43" i="30"/>
  <c r="G59" i="30"/>
  <c r="P43" i="30"/>
  <c r="O53" i="30"/>
  <c r="O51" i="30"/>
  <c r="AA48" i="30"/>
  <c r="F41" i="30"/>
  <c r="O54" i="30"/>
  <c r="W40" i="30"/>
  <c r="Z59" i="30"/>
  <c r="O59" i="30"/>
  <c r="AA44" i="30"/>
  <c r="P50" i="30"/>
  <c r="Y54" i="30"/>
  <c r="N58" i="30"/>
  <c r="Z53" i="30"/>
  <c r="N54" i="30"/>
  <c r="Z52" i="30"/>
  <c r="Z56" i="30"/>
  <c r="Y55" i="30"/>
  <c r="AA56" i="30"/>
  <c r="G57" i="30"/>
  <c r="E42" i="30"/>
  <c r="F50" i="30"/>
  <c r="Z51" i="30"/>
  <c r="E54" i="30"/>
  <c r="Z50" i="30"/>
  <c r="F46" i="30"/>
  <c r="P42" i="30"/>
  <c r="W54" i="30"/>
  <c r="X48" i="30"/>
  <c r="F52" i="30"/>
  <c r="AA42" i="30"/>
  <c r="N46" i="30"/>
  <c r="AA59" i="30"/>
  <c r="N57" i="30"/>
  <c r="E50" i="30"/>
  <c r="E45" i="30"/>
  <c r="E46" i="30"/>
  <c r="E56" i="30"/>
  <c r="AA57" i="30"/>
  <c r="Y57" i="30"/>
  <c r="G41" i="30"/>
  <c r="AA58" i="30"/>
  <c r="G53" i="30"/>
  <c r="AA54" i="30"/>
  <c r="F48" i="30"/>
  <c r="E53" i="30"/>
  <c r="Y58" i="30"/>
  <c r="AA49" i="30"/>
  <c r="W56" i="30"/>
  <c r="X45" i="30"/>
  <c r="Y53" i="30"/>
  <c r="P56" i="30"/>
  <c r="Y47" i="30"/>
  <c r="G44" i="30"/>
  <c r="G49" i="30"/>
  <c r="Y56" i="30"/>
  <c r="P52" i="30"/>
  <c r="W39" i="30"/>
  <c r="X55" i="30"/>
  <c r="W57" i="30"/>
  <c r="AA55" i="30"/>
  <c r="AA53" i="30"/>
  <c r="Y48" i="30"/>
  <c r="Z45" i="30"/>
  <c r="AB45" i="30" s="1"/>
  <c r="P46" i="30"/>
  <c r="Z46" i="30"/>
  <c r="N49" i="30"/>
  <c r="E48" i="30"/>
  <c r="Z55" i="30"/>
  <c r="W59" i="30"/>
  <c r="N51" i="30"/>
  <c r="W50" i="30"/>
  <c r="E39" i="30"/>
  <c r="X57" i="30"/>
  <c r="AA51" i="30"/>
  <c r="G55" i="30"/>
  <c r="P40" i="30"/>
  <c r="W43" i="30"/>
  <c r="O42" i="30"/>
  <c r="E40" i="30"/>
  <c r="E52" i="30"/>
  <c r="U24" i="11"/>
  <c r="V24" i="11" s="1"/>
  <c r="U25" i="11"/>
  <c r="V25" i="11" s="1"/>
  <c r="U26" i="11"/>
  <c r="V26" i="11" s="1"/>
  <c r="U27" i="11"/>
  <c r="V27" i="11" s="1"/>
  <c r="U28" i="11"/>
  <c r="V28" i="11" s="1"/>
  <c r="U29" i="11"/>
  <c r="V29" i="11" s="1"/>
  <c r="U30" i="11"/>
  <c r="V30" i="11" s="1"/>
  <c r="U31" i="11"/>
  <c r="V31" i="11" s="1"/>
  <c r="U32" i="11"/>
  <c r="V32" i="11" s="1"/>
  <c r="U33" i="11"/>
  <c r="V33" i="11" s="1"/>
  <c r="U34" i="11"/>
  <c r="V34" i="11" s="1"/>
  <c r="U35" i="11"/>
  <c r="V35" i="11" s="1"/>
  <c r="U36" i="11"/>
  <c r="V36" i="11" s="1"/>
  <c r="U37" i="11"/>
  <c r="V37" i="11" s="1"/>
  <c r="U38" i="11"/>
  <c r="V38" i="11" s="1"/>
  <c r="U39" i="11"/>
  <c r="V39" i="11" s="1"/>
  <c r="U40" i="11"/>
  <c r="V40" i="11" s="1"/>
  <c r="U41" i="11"/>
  <c r="V41" i="11" s="1"/>
  <c r="U43" i="11"/>
  <c r="V43" i="11" s="1"/>
  <c r="U44" i="11"/>
  <c r="V44" i="11" s="1"/>
  <c r="U45" i="11"/>
  <c r="V45" i="11" s="1"/>
  <c r="U47" i="11"/>
  <c r="V47" i="11" s="1"/>
  <c r="U48" i="11"/>
  <c r="V48" i="11" s="1"/>
  <c r="U49" i="11"/>
  <c r="V49" i="11" s="1"/>
  <c r="U50" i="11"/>
  <c r="V50" i="11" s="1"/>
  <c r="U51" i="11"/>
  <c r="V51" i="11" s="1"/>
  <c r="U52" i="11"/>
  <c r="V52" i="11" s="1"/>
  <c r="U54" i="11"/>
  <c r="V54" i="11" s="1"/>
  <c r="U57" i="11"/>
  <c r="V57" i="11" s="1"/>
  <c r="U58" i="11"/>
  <c r="V58" i="11" s="1"/>
  <c r="U23" i="11"/>
  <c r="V23" i="11" s="1"/>
  <c r="M57" i="30" l="1"/>
  <c r="AC56" i="30"/>
  <c r="AC54" i="30"/>
  <c r="AC50" i="30"/>
  <c r="AB50" i="30"/>
  <c r="AB56" i="30"/>
  <c r="M58" i="30"/>
  <c r="AC51" i="30"/>
  <c r="AC53" i="30"/>
  <c r="AB48" i="30"/>
  <c r="M47" i="30"/>
  <c r="AB54" i="30"/>
  <c r="M41" i="30"/>
  <c r="M55" i="30"/>
  <c r="AB52" i="30"/>
  <c r="AB55" i="30"/>
  <c r="M49" i="30"/>
  <c r="AC43" i="30"/>
  <c r="AC59" i="30"/>
  <c r="AB46" i="30"/>
  <c r="AC39" i="30"/>
  <c r="AC44" i="30"/>
  <c r="M59" i="30"/>
  <c r="AC48" i="30"/>
  <c r="AB47" i="30"/>
  <c r="AB42" i="30"/>
  <c r="AB39" i="30"/>
  <c r="AC55" i="30"/>
  <c r="D53" i="30"/>
  <c r="K53" i="30"/>
  <c r="D56" i="30"/>
  <c r="K56" i="30"/>
  <c r="AC45" i="30"/>
  <c r="D51" i="30"/>
  <c r="K51" i="30"/>
  <c r="AB58" i="30"/>
  <c r="M53" i="30"/>
  <c r="D46" i="30"/>
  <c r="K46" i="30"/>
  <c r="M45" i="30"/>
  <c r="M39" i="30"/>
  <c r="AC46" i="30"/>
  <c r="M48" i="30"/>
  <c r="D40" i="30"/>
  <c r="K40" i="30"/>
  <c r="D48" i="30"/>
  <c r="K48" i="30"/>
  <c r="AC57" i="30"/>
  <c r="K45" i="30"/>
  <c r="D45" i="30"/>
  <c r="M46" i="30"/>
  <c r="K54" i="30"/>
  <c r="D54" i="30"/>
  <c r="AB59" i="30"/>
  <c r="M50" i="30"/>
  <c r="AB49" i="30"/>
  <c r="AC52" i="30"/>
  <c r="AC58" i="30"/>
  <c r="AB41" i="30"/>
  <c r="AC47" i="30"/>
  <c r="AB53" i="30"/>
  <c r="M40" i="30"/>
  <c r="K52" i="30"/>
  <c r="D52" i="30"/>
  <c r="K39" i="30"/>
  <c r="D39" i="30"/>
  <c r="D42" i="30"/>
  <c r="K42" i="30"/>
  <c r="AB43" i="30"/>
  <c r="K41" i="30"/>
  <c r="D41" i="30"/>
  <c r="D47" i="30"/>
  <c r="K47" i="30"/>
  <c r="AC49" i="30"/>
  <c r="M44" i="30"/>
  <c r="M43" i="30"/>
  <c r="M51" i="30"/>
  <c r="K50" i="30"/>
  <c r="D50" i="30"/>
  <c r="AB51" i="30"/>
  <c r="M54" i="30"/>
  <c r="AC40" i="30"/>
  <c r="K43" i="30"/>
  <c r="D43" i="30"/>
  <c r="K59" i="30"/>
  <c r="D59" i="30"/>
  <c r="K44" i="30"/>
  <c r="D44" i="30"/>
  <c r="M52" i="30"/>
  <c r="K57" i="30"/>
  <c r="D57" i="30"/>
  <c r="D49" i="30"/>
  <c r="K49" i="30"/>
  <c r="K58" i="30"/>
  <c r="D58" i="30"/>
  <c r="D55" i="30"/>
  <c r="K55" i="30"/>
  <c r="M56" i="30"/>
  <c r="AB44" i="30"/>
  <c r="AB57" i="30"/>
  <c r="AB40" i="30"/>
  <c r="AC41" i="30"/>
  <c r="M42" i="30"/>
  <c r="S19" i="11"/>
  <c r="R19" i="11"/>
  <c r="S18" i="11"/>
  <c r="R18" i="11"/>
  <c r="V58" i="30" l="1"/>
  <c r="V57" i="30"/>
  <c r="V53" i="30"/>
  <c r="V54" i="30"/>
  <c r="V55" i="30"/>
  <c r="V41" i="30"/>
  <c r="V47" i="30"/>
  <c r="V59" i="30"/>
  <c r="V56" i="30"/>
  <c r="V49" i="30"/>
  <c r="V44" i="30"/>
  <c r="V48" i="30"/>
  <c r="V52" i="30"/>
  <c r="V40" i="30"/>
  <c r="V46" i="30"/>
  <c r="V51" i="30"/>
  <c r="V43" i="30"/>
  <c r="V50" i="30"/>
  <c r="V39" i="30"/>
  <c r="V42" i="30"/>
  <c r="V45" i="30"/>
  <c r="S16" i="11"/>
  <c r="R16" i="11"/>
  <c r="S15" i="11"/>
  <c r="R15" i="11"/>
  <c r="J17" i="11"/>
  <c r="I17" i="11"/>
  <c r="J16" i="11"/>
  <c r="I16" i="11"/>
  <c r="AG15" i="11" a="1"/>
  <c r="AG15" i="11" s="1"/>
  <c r="AG16" i="11" a="1"/>
  <c r="AG16" i="11" s="1"/>
  <c r="AG17" i="11" a="1"/>
  <c r="AG17" i="11" s="1"/>
  <c r="O16" i="11" l="1"/>
  <c r="O17" i="11"/>
  <c r="AG14" i="11"/>
  <c r="K16" i="11"/>
  <c r="K17" i="11"/>
  <c r="O24" i="11" l="1"/>
  <c r="P24" i="11" s="1"/>
  <c r="O25" i="11"/>
  <c r="P25" i="11" s="1"/>
  <c r="O26" i="11"/>
  <c r="P26" i="11" s="1"/>
  <c r="O27" i="11"/>
  <c r="P27" i="11" s="1"/>
  <c r="O28" i="11"/>
  <c r="P28" i="11" s="1"/>
  <c r="O29" i="11"/>
  <c r="P29" i="11" s="1"/>
  <c r="O30" i="11"/>
  <c r="P30" i="11" s="1"/>
  <c r="O31" i="11"/>
  <c r="P31" i="11" s="1"/>
  <c r="O32" i="11"/>
  <c r="P32" i="11" s="1"/>
  <c r="O33" i="11"/>
  <c r="P33" i="11" s="1"/>
  <c r="O34" i="11"/>
  <c r="P34" i="11" s="1"/>
  <c r="O35" i="11"/>
  <c r="P35" i="11" s="1"/>
  <c r="O36" i="11"/>
  <c r="P36" i="11" s="1"/>
  <c r="O37" i="11"/>
  <c r="P37" i="11" s="1"/>
  <c r="O38" i="11"/>
  <c r="P38" i="11" s="1"/>
  <c r="O39" i="11"/>
  <c r="P39" i="11" s="1"/>
  <c r="O40" i="11"/>
  <c r="P40" i="11" s="1"/>
  <c r="O41" i="11"/>
  <c r="P41" i="11" s="1"/>
  <c r="O43" i="11"/>
  <c r="P43" i="11" s="1"/>
  <c r="O44" i="11"/>
  <c r="P44" i="11" s="1"/>
  <c r="O45" i="11"/>
  <c r="P45" i="11" s="1"/>
  <c r="O47" i="11"/>
  <c r="P47" i="11" s="1"/>
  <c r="O48" i="11"/>
  <c r="P48" i="11" s="1"/>
  <c r="O49" i="11"/>
  <c r="P49" i="11" s="1"/>
  <c r="O50" i="11"/>
  <c r="P50" i="11" s="1"/>
  <c r="O51" i="11"/>
  <c r="P51" i="11" s="1"/>
  <c r="O52" i="11"/>
  <c r="P52" i="11" s="1"/>
  <c r="O54" i="11"/>
  <c r="P54" i="11" s="1"/>
  <c r="O57" i="11"/>
  <c r="P57" i="11" s="1"/>
  <c r="O58" i="11"/>
  <c r="P58" i="11" s="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3" i="11"/>
  <c r="T44" i="11"/>
  <c r="T45" i="11"/>
  <c r="T47" i="11"/>
  <c r="T48" i="11"/>
  <c r="T49" i="11"/>
  <c r="T50" i="11"/>
  <c r="T51" i="11"/>
  <c r="T52" i="11"/>
  <c r="T54" i="11"/>
  <c r="T57" i="11"/>
  <c r="AD37" i="11" l="1" a="1"/>
  <c r="AD37" i="11" s="1"/>
  <c r="AE37" i="11" a="1"/>
  <c r="AE37" i="11" s="1"/>
  <c r="AF37" i="11" a="1"/>
  <c r="AF37" i="11" s="1"/>
  <c r="L37" i="11"/>
  <c r="M37" i="11"/>
  <c r="N37" i="11" s="1"/>
  <c r="AD34" i="11" l="1" a="1"/>
  <c r="AD34" i="11" s="1"/>
  <c r="AE34" i="11" a="1"/>
  <c r="AE34" i="11" s="1"/>
  <c r="AF34" i="11" a="1"/>
  <c r="AF34" i="11" s="1"/>
  <c r="L34" i="11"/>
  <c r="M34" i="11"/>
  <c r="N34" i="11"/>
  <c r="AD24" i="11" l="1" a="1"/>
  <c r="AD24" i="11" s="1"/>
  <c r="AE24" i="11" a="1"/>
  <c r="AE24" i="11" s="1"/>
  <c r="AF24" i="11" a="1"/>
  <c r="AF24" i="11" s="1"/>
  <c r="AD25" i="11" a="1"/>
  <c r="AD25" i="11" s="1"/>
  <c r="AE25" i="11" a="1"/>
  <c r="AE25" i="11" s="1"/>
  <c r="AF25" i="11" a="1"/>
  <c r="AF25" i="11" s="1"/>
  <c r="AD26" i="11" a="1"/>
  <c r="AD26" i="11" s="1"/>
  <c r="AE26" i="11" a="1"/>
  <c r="AE26" i="11" s="1"/>
  <c r="AF26" i="11" a="1"/>
  <c r="AF26" i="11" s="1"/>
  <c r="AD27" i="11" a="1"/>
  <c r="AD27" i="11" s="1"/>
  <c r="AE27" i="11" a="1"/>
  <c r="AE27" i="11" s="1"/>
  <c r="AF27" i="11" a="1"/>
  <c r="AF27" i="11" s="1"/>
  <c r="AD28" i="11" a="1"/>
  <c r="AD28" i="11" s="1"/>
  <c r="AE28" i="11" a="1"/>
  <c r="AE28" i="11" s="1"/>
  <c r="AF28" i="11" a="1"/>
  <c r="AF28" i="11" s="1"/>
  <c r="AD29" i="11" a="1"/>
  <c r="AD29" i="11" s="1"/>
  <c r="AE29" i="11" a="1"/>
  <c r="AE29" i="11" s="1"/>
  <c r="AF29" i="11" a="1"/>
  <c r="AF29" i="11" s="1"/>
  <c r="AD30" i="11" a="1"/>
  <c r="AD30" i="11" s="1"/>
  <c r="AE30" i="11" a="1"/>
  <c r="AE30" i="11" s="1"/>
  <c r="AF30" i="11" a="1"/>
  <c r="AF30" i="11" s="1"/>
  <c r="AD31" i="11" a="1"/>
  <c r="AD31" i="11" s="1"/>
  <c r="AE31" i="11" a="1"/>
  <c r="AE31" i="11" s="1"/>
  <c r="AF31" i="11" a="1"/>
  <c r="AF31" i="11" s="1"/>
  <c r="AD32" i="11" a="1"/>
  <c r="AD32" i="11" s="1"/>
  <c r="AE32" i="11" a="1"/>
  <c r="AE32" i="11" s="1"/>
  <c r="AF32" i="11" a="1"/>
  <c r="AF32" i="11" s="1"/>
  <c r="AD33" i="11" a="1"/>
  <c r="AD33" i="11" s="1"/>
  <c r="AE33" i="11" a="1"/>
  <c r="AE33" i="11" s="1"/>
  <c r="AF33" i="11" a="1"/>
  <c r="AF33" i="11" s="1"/>
  <c r="AD35" i="11" a="1"/>
  <c r="AD35" i="11" s="1"/>
  <c r="AE35" i="11" a="1"/>
  <c r="AE35" i="11" s="1"/>
  <c r="AF35" i="11" a="1"/>
  <c r="AF35" i="11" s="1"/>
  <c r="AD36" i="11" a="1"/>
  <c r="AD36" i="11" s="1"/>
  <c r="AE36" i="11" a="1"/>
  <c r="AE36" i="11" s="1"/>
  <c r="AF36" i="11" a="1"/>
  <c r="AF36" i="11" s="1"/>
  <c r="AD38" i="11" a="1"/>
  <c r="AD38" i="11" s="1"/>
  <c r="AE38" i="11" a="1"/>
  <c r="AE38" i="11" s="1"/>
  <c r="AF38" i="11" a="1"/>
  <c r="AF38" i="11" s="1"/>
  <c r="AD39" i="11" a="1"/>
  <c r="AD39" i="11" s="1"/>
  <c r="AE39" i="11" a="1"/>
  <c r="AE39" i="11" s="1"/>
  <c r="AF39" i="11" a="1"/>
  <c r="AF39" i="11" s="1"/>
  <c r="AD40" i="11" a="1"/>
  <c r="AD40" i="11" s="1"/>
  <c r="AE40" i="11" a="1"/>
  <c r="AE40" i="11" s="1"/>
  <c r="AF40" i="11" a="1"/>
  <c r="AF40" i="11" s="1"/>
  <c r="AD41" i="11" a="1"/>
  <c r="AD41" i="11" s="1"/>
  <c r="AE41" i="11" a="1"/>
  <c r="AE41" i="11" s="1"/>
  <c r="AF41" i="11" a="1"/>
  <c r="AF41" i="11" s="1"/>
  <c r="AD45" i="11" a="1"/>
  <c r="AD45" i="11" s="1"/>
  <c r="AE45" i="11" a="1"/>
  <c r="AE45" i="11" s="1"/>
  <c r="AF45" i="11" a="1"/>
  <c r="AF45" i="11" s="1"/>
  <c r="AD47" i="11" a="1"/>
  <c r="AD47" i="11" s="1"/>
  <c r="AE47" i="11" a="1"/>
  <c r="AE47" i="11" s="1"/>
  <c r="AF47" i="11" a="1"/>
  <c r="AF47" i="11" s="1"/>
  <c r="AD48" i="11" a="1"/>
  <c r="AD48" i="11" s="1"/>
  <c r="AE48" i="11" a="1"/>
  <c r="AE48" i="11" s="1"/>
  <c r="AF48" i="11" a="1"/>
  <c r="AF48" i="11" s="1"/>
  <c r="AD49" i="11" a="1"/>
  <c r="AD49" i="11" s="1"/>
  <c r="AE49" i="11" a="1"/>
  <c r="AE49" i="11" s="1"/>
  <c r="AF49" i="11" a="1"/>
  <c r="AF49" i="11" s="1"/>
  <c r="AD50" i="11" a="1"/>
  <c r="AD50" i="11" s="1"/>
  <c r="AE50" i="11" a="1"/>
  <c r="AE50" i="11" s="1"/>
  <c r="AF50" i="11" a="1"/>
  <c r="AF50" i="11" s="1"/>
  <c r="AD51" i="11" a="1"/>
  <c r="AD51" i="11" s="1"/>
  <c r="AE51" i="11" a="1"/>
  <c r="AE51" i="11" s="1"/>
  <c r="AF51" i="11" a="1"/>
  <c r="AF51" i="11" s="1"/>
  <c r="AD52" i="11" a="1"/>
  <c r="AD52" i="11" s="1"/>
  <c r="AE52" i="11" a="1"/>
  <c r="AE52" i="11" s="1"/>
  <c r="AF52" i="11" a="1"/>
  <c r="AF52" i="11" s="1"/>
  <c r="AD54" i="11" a="1"/>
  <c r="AD54" i="11" s="1"/>
  <c r="AE54" i="11" a="1"/>
  <c r="AE54" i="11" s="1"/>
  <c r="AF54" i="11" a="1"/>
  <c r="AF54" i="11" s="1"/>
  <c r="AD57" i="11" a="1"/>
  <c r="AD57" i="11" s="1"/>
  <c r="AE57" i="11" a="1"/>
  <c r="AE57" i="11" s="1"/>
  <c r="AF57" i="11" a="1"/>
  <c r="AF57" i="11" s="1"/>
  <c r="AD58" i="11" a="1"/>
  <c r="AD58" i="11" s="1"/>
  <c r="AE58" i="11" a="1"/>
  <c r="AE58" i="11" s="1"/>
  <c r="AF58" i="11" a="1"/>
  <c r="AF58" i="11" s="1"/>
  <c r="AF23" i="11" a="1"/>
  <c r="AF23" i="11" s="1"/>
  <c r="AE23" i="11" a="1"/>
  <c r="AE23" i="11" s="1"/>
  <c r="AD23" i="11" a="1"/>
  <c r="AD23" i="11" s="1"/>
  <c r="O2" i="58" l="1"/>
  <c r="D150" i="58" s="1"/>
  <c r="N2" i="58"/>
  <c r="M2" i="58"/>
  <c r="D140" i="58" s="1"/>
  <c r="L2" i="58"/>
  <c r="D135" i="58" s="1"/>
  <c r="K2" i="58"/>
  <c r="D130" i="58" s="1"/>
  <c r="J2" i="58"/>
  <c r="D125" i="58" s="1"/>
  <c r="I2" i="58"/>
  <c r="D120" i="58" s="1"/>
  <c r="H2" i="58"/>
  <c r="D115" i="58" s="1"/>
  <c r="G2" i="58"/>
  <c r="D110" i="58" s="1"/>
  <c r="F2" i="58"/>
  <c r="D105" i="58" s="1"/>
  <c r="E2" i="58"/>
  <c r="D100" i="58" s="1"/>
  <c r="D2" i="58"/>
  <c r="D95" i="58" s="1"/>
  <c r="A2" i="58"/>
  <c r="O1" i="58"/>
  <c r="D90" i="58" s="1"/>
  <c r="N1" i="58"/>
  <c r="D85" i="58" s="1"/>
  <c r="M1" i="58"/>
  <c r="D80" i="58" s="1"/>
  <c r="L1" i="58"/>
  <c r="K1" i="58"/>
  <c r="D70" i="58" s="1"/>
  <c r="J1" i="58"/>
  <c r="I1" i="58"/>
  <c r="D60" i="58" s="1"/>
  <c r="H1" i="58"/>
  <c r="G1" i="58"/>
  <c r="D50" i="58" s="1"/>
  <c r="F1" i="58"/>
  <c r="E1" i="58"/>
  <c r="D40" i="58" s="1"/>
  <c r="D1" i="58"/>
  <c r="D35" i="58" s="1"/>
  <c r="D145" i="58"/>
  <c r="D75" i="58"/>
  <c r="D65" i="58"/>
  <c r="D55" i="58"/>
  <c r="D45" i="58"/>
  <c r="O2" i="57"/>
  <c r="D150" i="57" s="1"/>
  <c r="N2" i="57"/>
  <c r="D145" i="57" s="1"/>
  <c r="M2" i="57"/>
  <c r="D140" i="57" s="1"/>
  <c r="L2" i="57"/>
  <c r="D135" i="57" s="1"/>
  <c r="K2" i="57"/>
  <c r="D130" i="57" s="1"/>
  <c r="J2" i="57"/>
  <c r="D125" i="57" s="1"/>
  <c r="I2" i="57"/>
  <c r="H2" i="57"/>
  <c r="D115" i="57" s="1"/>
  <c r="G2" i="57"/>
  <c r="D110" i="57" s="1"/>
  <c r="F2" i="57"/>
  <c r="D105" i="57" s="1"/>
  <c r="E2" i="57"/>
  <c r="D100" i="57" s="1"/>
  <c r="D2" i="57"/>
  <c r="D95" i="57" s="1"/>
  <c r="A2" i="57"/>
  <c r="O1" i="57"/>
  <c r="D90" i="57" s="1"/>
  <c r="N1" i="57"/>
  <c r="M1" i="57"/>
  <c r="D80" i="57" s="1"/>
  <c r="L1" i="57"/>
  <c r="D75" i="57" s="1"/>
  <c r="K1" i="57"/>
  <c r="D70" i="57" s="1"/>
  <c r="J1" i="57"/>
  <c r="I1" i="57"/>
  <c r="D60" i="57" s="1"/>
  <c r="H1" i="57"/>
  <c r="D55" i="57" s="1"/>
  <c r="G1" i="57"/>
  <c r="D50" i="57" s="1"/>
  <c r="F1" i="57"/>
  <c r="E1" i="57"/>
  <c r="D40" i="57" s="1"/>
  <c r="D1" i="57"/>
  <c r="D35" i="57" s="1"/>
  <c r="D120" i="57"/>
  <c r="D85" i="57"/>
  <c r="D65" i="57"/>
  <c r="D45" i="57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AD60" i="11" a="1"/>
  <c r="AD60" i="11" s="1"/>
  <c r="AE60" i="11" a="1"/>
  <c r="AE60" i="11" s="1"/>
  <c r="AF60" i="11" a="1"/>
  <c r="AF60" i="11" s="1"/>
  <c r="AD61" i="11" a="1"/>
  <c r="AD61" i="11" s="1"/>
  <c r="AE61" i="11" a="1"/>
  <c r="AE61" i="11" s="1"/>
  <c r="AF61" i="11" a="1"/>
  <c r="AF61" i="11" s="1"/>
  <c r="AD62" i="11" a="1"/>
  <c r="AD62" i="11" s="1"/>
  <c r="AE62" i="11" a="1"/>
  <c r="AE62" i="11" s="1"/>
  <c r="AF62" i="11" a="1"/>
  <c r="AF62" i="11" s="1"/>
  <c r="AD63" i="11" a="1"/>
  <c r="AD63" i="11" s="1"/>
  <c r="AE63" i="11" a="1"/>
  <c r="AE63" i="11" s="1"/>
  <c r="AF63" i="11" a="1"/>
  <c r="AF63" i="11" s="1"/>
  <c r="AD64" i="11" a="1"/>
  <c r="AD64" i="11" s="1"/>
  <c r="AE64" i="11" a="1"/>
  <c r="AE64" i="11" s="1"/>
  <c r="AF64" i="11" a="1"/>
  <c r="AF64" i="11" s="1"/>
  <c r="AD65" i="11" a="1"/>
  <c r="AD65" i="11" s="1"/>
  <c r="AE65" i="11" a="1"/>
  <c r="AE65" i="11" s="1"/>
  <c r="AF65" i="11" a="1"/>
  <c r="AF65" i="11" s="1"/>
  <c r="AD66" i="11" a="1"/>
  <c r="AD66" i="11" s="1"/>
  <c r="AE66" i="11" a="1"/>
  <c r="AE66" i="11" s="1"/>
  <c r="AF66" i="11" a="1"/>
  <c r="AF66" i="11" s="1"/>
  <c r="AD69" i="11" a="1"/>
  <c r="AD69" i="11" s="1"/>
  <c r="AE69" i="11" a="1"/>
  <c r="AE69" i="11" s="1"/>
  <c r="AF69" i="11" a="1"/>
  <c r="AF69" i="11" s="1"/>
  <c r="AD70" i="11" a="1"/>
  <c r="AD70" i="11" s="1"/>
  <c r="AE70" i="11" a="1"/>
  <c r="AE70" i="11" s="1"/>
  <c r="AF70" i="11" a="1"/>
  <c r="AF70" i="11" s="1"/>
  <c r="AD77" i="11" a="1"/>
  <c r="AD77" i="11" s="1"/>
  <c r="AE77" i="11" a="1"/>
  <c r="AE77" i="11" s="1"/>
  <c r="AF77" i="11" a="1"/>
  <c r="AF77" i="11" s="1"/>
  <c r="AD78" i="11" a="1"/>
  <c r="AD78" i="11" s="1"/>
  <c r="AE78" i="11" a="1"/>
  <c r="AE78" i="11" s="1"/>
  <c r="AF78" i="11" a="1"/>
  <c r="AF78" i="11" s="1"/>
  <c r="AD79" i="11" a="1"/>
  <c r="AD79" i="11" s="1"/>
  <c r="AE79" i="11" a="1"/>
  <c r="AE79" i="11" s="1"/>
  <c r="AF79" i="11" a="1"/>
  <c r="AF79" i="11" s="1"/>
  <c r="AD80" i="11" a="1"/>
  <c r="AD80" i="11" s="1"/>
  <c r="AE80" i="11" a="1"/>
  <c r="AE80" i="11" s="1"/>
  <c r="AF80" i="11" a="1"/>
  <c r="AF80" i="11" s="1"/>
  <c r="AD81" i="11" a="1"/>
  <c r="AD81" i="11" s="1"/>
  <c r="AE81" i="11" a="1"/>
  <c r="AE81" i="11" s="1"/>
  <c r="AF81" i="11" a="1"/>
  <c r="AF81" i="11" s="1"/>
  <c r="AD82" i="11" a="1"/>
  <c r="AD82" i="11" s="1"/>
  <c r="AE82" i="11" a="1"/>
  <c r="AE82" i="11" s="1"/>
  <c r="AF82" i="11" a="1"/>
  <c r="AF82" i="11" s="1"/>
  <c r="AD83" i="11" a="1"/>
  <c r="AD83" i="11" s="1"/>
  <c r="AE83" i="11" a="1"/>
  <c r="AE83" i="11" s="1"/>
  <c r="AF83" i="11" a="1"/>
  <c r="AF83" i="11" s="1"/>
  <c r="AD84" i="11" a="1"/>
  <c r="AD84" i="11" s="1"/>
  <c r="AE84" i="11" a="1"/>
  <c r="AE84" i="11" s="1"/>
  <c r="AF84" i="11" a="1"/>
  <c r="AF84" i="11" s="1"/>
  <c r="AD85" i="11" a="1"/>
  <c r="AD85" i="11" s="1"/>
  <c r="AE85" i="11" a="1"/>
  <c r="AE85" i="11" s="1"/>
  <c r="AF85" i="11" a="1"/>
  <c r="AF85" i="11" s="1"/>
  <c r="AD86" i="11" a="1"/>
  <c r="AD86" i="11" s="1"/>
  <c r="AE86" i="11" a="1"/>
  <c r="AE86" i="11" s="1"/>
  <c r="AF86" i="11" a="1"/>
  <c r="AF86" i="11" s="1"/>
  <c r="AD87" i="11" a="1"/>
  <c r="AD87" i="11" s="1"/>
  <c r="AE87" i="11" a="1"/>
  <c r="AE87" i="11" s="1"/>
  <c r="AF87" i="11" a="1"/>
  <c r="AF87" i="11" s="1"/>
  <c r="AD88" i="11" a="1"/>
  <c r="AD88" i="11" s="1"/>
  <c r="AE88" i="11" a="1"/>
  <c r="AE88" i="11" s="1"/>
  <c r="AF88" i="11" a="1"/>
  <c r="AF88" i="11" s="1"/>
  <c r="AD89" i="11" a="1"/>
  <c r="AD89" i="11" s="1"/>
  <c r="AE89" i="11" a="1"/>
  <c r="AE89" i="11" s="1"/>
  <c r="AF89" i="11" a="1"/>
  <c r="AF89" i="11" s="1"/>
  <c r="AD90" i="11" a="1"/>
  <c r="AD90" i="11" s="1"/>
  <c r="AE90" i="11" a="1"/>
  <c r="AE90" i="11" s="1"/>
  <c r="AF90" i="11" a="1"/>
  <c r="AF90" i="11" s="1"/>
  <c r="AD91" i="11" a="1"/>
  <c r="AD91" i="11" s="1"/>
  <c r="AE91" i="11" a="1"/>
  <c r="AE91" i="11" s="1"/>
  <c r="AF91" i="11" a="1"/>
  <c r="AF91" i="11" s="1"/>
  <c r="AD92" i="11" a="1"/>
  <c r="AD92" i="11" s="1"/>
  <c r="AE92" i="11" a="1"/>
  <c r="AE92" i="11" s="1"/>
  <c r="AF92" i="11" a="1"/>
  <c r="AF92" i="11" s="1"/>
  <c r="AD93" i="11" a="1"/>
  <c r="AD93" i="11" s="1"/>
  <c r="AE93" i="11" a="1"/>
  <c r="AE93" i="11" s="1"/>
  <c r="AF93" i="11" a="1"/>
  <c r="AF93" i="11" s="1"/>
  <c r="AD94" i="11" a="1"/>
  <c r="AD94" i="11" s="1"/>
  <c r="AE94" i="11" a="1"/>
  <c r="AE94" i="11" s="1"/>
  <c r="AF94" i="11" a="1"/>
  <c r="AF94" i="11" s="1"/>
  <c r="AD95" i="11" a="1"/>
  <c r="AD95" i="11" s="1"/>
  <c r="AE95" i="11" a="1"/>
  <c r="AE95" i="11" s="1"/>
  <c r="AF95" i="11" a="1"/>
  <c r="AF95" i="11" s="1"/>
  <c r="AD96" i="11" a="1"/>
  <c r="AD96" i="11" s="1"/>
  <c r="AE96" i="11" a="1"/>
  <c r="AE96" i="11" s="1"/>
  <c r="AF96" i="11" a="1"/>
  <c r="AF96" i="11" s="1"/>
  <c r="AD97" i="11" a="1"/>
  <c r="AD97" i="11" s="1"/>
  <c r="AE97" i="11" a="1"/>
  <c r="AE97" i="11" s="1"/>
  <c r="AF97" i="11" a="1"/>
  <c r="AF97" i="11" s="1"/>
  <c r="AD98" i="11" a="1"/>
  <c r="AD98" i="11" s="1"/>
  <c r="AE98" i="11" a="1"/>
  <c r="AE98" i="11" s="1"/>
  <c r="AF98" i="11" a="1"/>
  <c r="AF98" i="11" s="1"/>
  <c r="AD99" i="11" a="1"/>
  <c r="AD99" i="11" s="1"/>
  <c r="AE99" i="11" a="1"/>
  <c r="AE99" i="11" s="1"/>
  <c r="AF99" i="11" a="1"/>
  <c r="AF99" i="11" s="1"/>
  <c r="AD100" i="11" a="1"/>
  <c r="AD100" i="11" s="1"/>
  <c r="AE100" i="11" a="1"/>
  <c r="AE100" i="11" s="1"/>
  <c r="AF100" i="11" a="1"/>
  <c r="AF100" i="11" s="1"/>
  <c r="AD101" i="11" a="1"/>
  <c r="AD101" i="11" s="1"/>
  <c r="AE101" i="11" a="1"/>
  <c r="AE101" i="11" s="1"/>
  <c r="AF101" i="11" a="1"/>
  <c r="AF101" i="11" s="1"/>
  <c r="AD102" i="11" a="1"/>
  <c r="AD102" i="11" s="1"/>
  <c r="AE102" i="11" a="1"/>
  <c r="AE102" i="11" s="1"/>
  <c r="AF102" i="11" a="1"/>
  <c r="AF102" i="11" s="1"/>
  <c r="AD103" i="11" a="1"/>
  <c r="AD103" i="11" s="1"/>
  <c r="AE103" i="11" a="1"/>
  <c r="AE103" i="11" s="1"/>
  <c r="AF103" i="11" a="1"/>
  <c r="AF103" i="11" s="1"/>
  <c r="AD104" i="11" a="1"/>
  <c r="AD104" i="11" s="1"/>
  <c r="AE104" i="11" a="1"/>
  <c r="AE104" i="11" s="1"/>
  <c r="AF104" i="11" a="1"/>
  <c r="AF104" i="11" s="1"/>
  <c r="AD105" i="11" a="1"/>
  <c r="AD105" i="11" s="1"/>
  <c r="AE105" i="11" a="1"/>
  <c r="AE105" i="11" s="1"/>
  <c r="AF105" i="11" a="1"/>
  <c r="AF105" i="11" s="1"/>
  <c r="AD106" i="11" a="1"/>
  <c r="AD106" i="11" s="1"/>
  <c r="AE106" i="11" a="1"/>
  <c r="AE106" i="11" s="1"/>
  <c r="AF106" i="11" a="1"/>
  <c r="AF106" i="11" s="1"/>
  <c r="AD107" i="11" a="1"/>
  <c r="AD107" i="11" s="1"/>
  <c r="AE107" i="11" a="1"/>
  <c r="AE107" i="11" s="1"/>
  <c r="AF107" i="11" a="1"/>
  <c r="AF107" i="11" s="1"/>
  <c r="AD108" i="11" a="1"/>
  <c r="AD108" i="11" s="1"/>
  <c r="AE108" i="11" a="1"/>
  <c r="AE108" i="11" s="1"/>
  <c r="AF108" i="11" a="1"/>
  <c r="AF108" i="11" s="1"/>
  <c r="AD109" i="11" a="1"/>
  <c r="AD109" i="11" s="1"/>
  <c r="AE109" i="11" a="1"/>
  <c r="AE109" i="11" s="1"/>
  <c r="AF109" i="11" a="1"/>
  <c r="AF109" i="11" s="1"/>
  <c r="AD110" i="11" a="1"/>
  <c r="AD110" i="11" s="1"/>
  <c r="AE110" i="11" a="1"/>
  <c r="AE110" i="11" s="1"/>
  <c r="AF110" i="11" a="1"/>
  <c r="AF110" i="11" s="1"/>
  <c r="AD111" i="11" a="1"/>
  <c r="AD111" i="11" s="1"/>
  <c r="AE111" i="11" a="1"/>
  <c r="AE111" i="11" s="1"/>
  <c r="AF111" i="11" a="1"/>
  <c r="AF111" i="11" s="1"/>
  <c r="AD112" i="11" a="1"/>
  <c r="AD112" i="11" s="1"/>
  <c r="AE112" i="11" a="1"/>
  <c r="AE112" i="11" s="1"/>
  <c r="AF112" i="11" a="1"/>
  <c r="AF112" i="11" s="1"/>
  <c r="AD113" i="11" a="1"/>
  <c r="AD113" i="11" s="1"/>
  <c r="AE113" i="11" a="1"/>
  <c r="AE113" i="11" s="1"/>
  <c r="AF113" i="11" a="1"/>
  <c r="AF113" i="11" s="1"/>
  <c r="AD114" i="11" a="1"/>
  <c r="AD114" i="11" s="1"/>
  <c r="AE114" i="11" a="1"/>
  <c r="AE114" i="11" s="1"/>
  <c r="AF114" i="11" a="1"/>
  <c r="AF114" i="11" s="1"/>
  <c r="AD115" i="11" a="1"/>
  <c r="AD115" i="11" s="1"/>
  <c r="AE115" i="11" a="1"/>
  <c r="AE115" i="11" s="1"/>
  <c r="AF115" i="11" a="1"/>
  <c r="AF115" i="11" s="1"/>
  <c r="AD116" i="11" a="1"/>
  <c r="AD116" i="11" s="1"/>
  <c r="AE116" i="11" a="1"/>
  <c r="AE116" i="11" s="1"/>
  <c r="AF116" i="11" a="1"/>
  <c r="AF116" i="11" s="1"/>
  <c r="AD117" i="11" a="1"/>
  <c r="AD117" i="11" s="1"/>
  <c r="AE117" i="11" a="1"/>
  <c r="AE117" i="11" s="1"/>
  <c r="AF117" i="11" a="1"/>
  <c r="AF117" i="11" s="1"/>
  <c r="AD118" i="11" a="1"/>
  <c r="AD118" i="11" s="1"/>
  <c r="AE118" i="11" a="1"/>
  <c r="AE118" i="11" s="1"/>
  <c r="AF118" i="11" a="1"/>
  <c r="AF118" i="11" s="1"/>
  <c r="AD119" i="11" a="1"/>
  <c r="AD119" i="11" s="1"/>
  <c r="AE119" i="11" a="1"/>
  <c r="AE119" i="11" s="1"/>
  <c r="AF119" i="11" a="1"/>
  <c r="AF119" i="11" s="1"/>
  <c r="AD120" i="11" a="1"/>
  <c r="AD120" i="11" s="1"/>
  <c r="AE120" i="11" a="1"/>
  <c r="AE120" i="11" s="1"/>
  <c r="AF120" i="11" a="1"/>
  <c r="AF120" i="11" s="1"/>
  <c r="AD121" i="11" a="1"/>
  <c r="AD121" i="11" s="1"/>
  <c r="AE121" i="11" a="1"/>
  <c r="AE121" i="11" s="1"/>
  <c r="AF121" i="11" a="1"/>
  <c r="AF121" i="11" s="1"/>
  <c r="AD122" i="11" a="1"/>
  <c r="AD122" i="11" s="1"/>
  <c r="AE122" i="11" a="1"/>
  <c r="AE122" i="11" s="1"/>
  <c r="AF122" i="11" a="1"/>
  <c r="AF122" i="11" s="1"/>
  <c r="AD123" i="11" a="1"/>
  <c r="AD123" i="11" s="1"/>
  <c r="AE123" i="11" a="1"/>
  <c r="AE123" i="11" s="1"/>
  <c r="AF123" i="11" a="1"/>
  <c r="AF123" i="11" s="1"/>
  <c r="AD124" i="11" a="1"/>
  <c r="AD124" i="11" s="1"/>
  <c r="AE124" i="11" a="1"/>
  <c r="AE124" i="11" s="1"/>
  <c r="AF124" i="11" a="1"/>
  <c r="AF124" i="11" s="1"/>
  <c r="AD125" i="11" a="1"/>
  <c r="AD125" i="11" s="1"/>
  <c r="AE125" i="11" a="1"/>
  <c r="AE125" i="11" s="1"/>
  <c r="AF125" i="11" a="1"/>
  <c r="AF125" i="11" s="1"/>
  <c r="AD126" i="11" a="1"/>
  <c r="AD126" i="11" s="1"/>
  <c r="AE126" i="11" a="1"/>
  <c r="AE126" i="11" s="1"/>
  <c r="AF126" i="11" a="1"/>
  <c r="AF126" i="11" s="1"/>
  <c r="AD127" i="11" a="1"/>
  <c r="AD127" i="11" s="1"/>
  <c r="AE127" i="11" a="1"/>
  <c r="AE127" i="11" s="1"/>
  <c r="AF127" i="11" a="1"/>
  <c r="AF127" i="11" s="1"/>
  <c r="AD128" i="11" a="1"/>
  <c r="AD128" i="11" s="1"/>
  <c r="AE128" i="11" a="1"/>
  <c r="AE128" i="11" s="1"/>
  <c r="AF128" i="11" a="1"/>
  <c r="AF128" i="11" s="1"/>
  <c r="AD129" i="11" a="1"/>
  <c r="AD129" i="11" s="1"/>
  <c r="AE129" i="11" a="1"/>
  <c r="AE129" i="11" s="1"/>
  <c r="AF129" i="11" a="1"/>
  <c r="AF129" i="11" s="1"/>
  <c r="AD130" i="11" a="1"/>
  <c r="AD130" i="11" s="1"/>
  <c r="AE130" i="11" a="1"/>
  <c r="AE130" i="11" s="1"/>
  <c r="AF130" i="11" a="1"/>
  <c r="AF130" i="11" s="1"/>
  <c r="AD131" i="11" a="1"/>
  <c r="AD131" i="11" s="1"/>
  <c r="AE131" i="11" a="1"/>
  <c r="AE131" i="11" s="1"/>
  <c r="AF131" i="11" a="1"/>
  <c r="AF131" i="11" s="1"/>
  <c r="AD132" i="11" a="1"/>
  <c r="AD132" i="11" s="1"/>
  <c r="AE132" i="11" a="1"/>
  <c r="AE132" i="11" s="1"/>
  <c r="AF132" i="11" a="1"/>
  <c r="AF132" i="11" s="1"/>
  <c r="AD133" i="11" a="1"/>
  <c r="AD133" i="11" s="1"/>
  <c r="AE133" i="11" a="1"/>
  <c r="AE133" i="11" s="1"/>
  <c r="AF133" i="11" a="1"/>
  <c r="AF133" i="11" s="1"/>
  <c r="AD134" i="11" a="1"/>
  <c r="AD134" i="11" s="1"/>
  <c r="AE134" i="11" a="1"/>
  <c r="AE134" i="11" s="1"/>
  <c r="AF134" i="11" a="1"/>
  <c r="AF134" i="11" s="1"/>
  <c r="T60" i="11"/>
  <c r="T61" i="11"/>
  <c r="T62" i="11"/>
  <c r="T63" i="11"/>
  <c r="T64" i="11"/>
  <c r="T65" i="11"/>
  <c r="T66" i="11"/>
  <c r="T69" i="11"/>
  <c r="T70" i="11"/>
  <c r="T71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R2" i="37"/>
  <c r="R3" i="37"/>
  <c r="R4" i="37"/>
  <c r="R5" i="37"/>
  <c r="R6" i="37"/>
  <c r="R7" i="37"/>
  <c r="R8" i="37"/>
  <c r="R9" i="37"/>
  <c r="R10" i="37"/>
  <c r="R11" i="37"/>
  <c r="R12" i="37"/>
  <c r="R13" i="37"/>
  <c r="R14" i="37"/>
  <c r="R15" i="37"/>
  <c r="R16" i="37"/>
  <c r="R17" i="37"/>
  <c r="R18" i="37"/>
  <c r="R19" i="37"/>
  <c r="R20" i="37"/>
  <c r="R21" i="37"/>
  <c r="R22" i="37"/>
  <c r="R23" i="37"/>
  <c r="R24" i="37"/>
  <c r="R25" i="37"/>
  <c r="R26" i="37"/>
  <c r="R27" i="37"/>
  <c r="R28" i="37"/>
  <c r="R29" i="37"/>
  <c r="R30" i="37"/>
  <c r="R31" i="37"/>
  <c r="R32" i="37"/>
  <c r="R33" i="37"/>
  <c r="R34" i="37"/>
  <c r="R35" i="37"/>
  <c r="R36" i="37"/>
  <c r="R37" i="37"/>
  <c r="R38" i="37"/>
  <c r="R39" i="37"/>
  <c r="R40" i="37"/>
  <c r="R41" i="37"/>
  <c r="R42" i="37"/>
  <c r="R43" i="37"/>
  <c r="R44" i="37"/>
  <c r="R45" i="37"/>
  <c r="R46" i="37"/>
  <c r="R47" i="37"/>
  <c r="R48" i="37"/>
  <c r="R49" i="37"/>
  <c r="R50" i="37"/>
  <c r="R1" i="37"/>
  <c r="X51" i="37"/>
  <c r="Y51" i="37"/>
  <c r="X52" i="37"/>
  <c r="Y52" i="37"/>
  <c r="X53" i="37"/>
  <c r="Y53" i="37"/>
  <c r="X54" i="37"/>
  <c r="Y54" i="37"/>
  <c r="X55" i="37"/>
  <c r="Y55" i="37"/>
  <c r="C38" i="58" l="1"/>
  <c r="B37" i="58"/>
  <c r="C48" i="58"/>
  <c r="B47" i="58"/>
  <c r="C58" i="58"/>
  <c r="B57" i="58"/>
  <c r="C68" i="58"/>
  <c r="B67" i="58"/>
  <c r="C78" i="58"/>
  <c r="B77" i="58"/>
  <c r="C88" i="58"/>
  <c r="B87" i="58"/>
  <c r="B102" i="58"/>
  <c r="C103" i="58"/>
  <c r="B112" i="58"/>
  <c r="C113" i="58"/>
  <c r="B122" i="58"/>
  <c r="C123" i="58"/>
  <c r="B132" i="58"/>
  <c r="C133" i="58"/>
  <c r="B142" i="58"/>
  <c r="C143" i="58"/>
  <c r="B152" i="58"/>
  <c r="C153" i="58"/>
  <c r="B42" i="58"/>
  <c r="C43" i="58"/>
  <c r="B52" i="58"/>
  <c r="C53" i="58"/>
  <c r="B62" i="58"/>
  <c r="C63" i="58"/>
  <c r="B72" i="58"/>
  <c r="C73" i="58"/>
  <c r="B82" i="58"/>
  <c r="C83" i="58"/>
  <c r="B92" i="58"/>
  <c r="C93" i="58"/>
  <c r="C98" i="58"/>
  <c r="B97" i="58"/>
  <c r="C108" i="58"/>
  <c r="B107" i="58"/>
  <c r="C118" i="58"/>
  <c r="B117" i="58"/>
  <c r="C128" i="58"/>
  <c r="B127" i="58"/>
  <c r="C138" i="58"/>
  <c r="B137" i="58"/>
  <c r="C148" i="58"/>
  <c r="B147" i="58"/>
  <c r="C38" i="57"/>
  <c r="B37" i="57"/>
  <c r="C48" i="57"/>
  <c r="B47" i="57"/>
  <c r="C58" i="57"/>
  <c r="B57" i="57"/>
  <c r="C68" i="57"/>
  <c r="B67" i="57"/>
  <c r="C78" i="57"/>
  <c r="B77" i="57"/>
  <c r="C88" i="57"/>
  <c r="B87" i="57"/>
  <c r="B102" i="57"/>
  <c r="C103" i="57"/>
  <c r="B112" i="57"/>
  <c r="C113" i="57"/>
  <c r="B122" i="57"/>
  <c r="C123" i="57"/>
  <c r="B132" i="57"/>
  <c r="C133" i="57"/>
  <c r="B142" i="57"/>
  <c r="C143" i="57"/>
  <c r="B152" i="57"/>
  <c r="C153" i="57"/>
  <c r="B42" i="57"/>
  <c r="C43" i="57"/>
  <c r="B52" i="57"/>
  <c r="C53" i="57"/>
  <c r="B62" i="57"/>
  <c r="C63" i="57"/>
  <c r="B72" i="57"/>
  <c r="C73" i="57"/>
  <c r="B82" i="57"/>
  <c r="C83" i="57"/>
  <c r="B92" i="57"/>
  <c r="C93" i="57"/>
  <c r="C98" i="57"/>
  <c r="B97" i="57"/>
  <c r="C108" i="57"/>
  <c r="B107" i="57"/>
  <c r="C118" i="57"/>
  <c r="B117" i="57"/>
  <c r="C128" i="57"/>
  <c r="B127" i="57"/>
  <c r="C138" i="57"/>
  <c r="B137" i="57"/>
  <c r="C148" i="57"/>
  <c r="B147" i="57"/>
  <c r="G152" i="57" l="1" a="1"/>
  <c r="G152" i="57" s="1"/>
  <c r="G153" i="57" s="1"/>
  <c r="E152" i="57" a="1"/>
  <c r="E152" i="57" s="1"/>
  <c r="E153" i="57" s="1"/>
  <c r="F152" i="57" a="1"/>
  <c r="F152" i="57" s="1"/>
  <c r="F153" i="57" s="1"/>
  <c r="H152" i="57" a="1"/>
  <c r="H152" i="57" s="1"/>
  <c r="H153" i="57" s="1"/>
  <c r="H152" i="58" a="1"/>
  <c r="H152" i="58" s="1"/>
  <c r="H153" i="58" s="1"/>
  <c r="F152" i="58" a="1"/>
  <c r="F152" i="58" s="1"/>
  <c r="F153" i="58" s="1"/>
  <c r="G152" i="58" a="1"/>
  <c r="G152" i="58" s="1"/>
  <c r="G153" i="58" s="1"/>
  <c r="E152" i="58" a="1"/>
  <c r="E152" i="58" s="1"/>
  <c r="E153" i="58" s="1"/>
  <c r="G147" i="57" a="1"/>
  <c r="G147" i="57" s="1"/>
  <c r="G148" i="57" s="1"/>
  <c r="E147" i="57" a="1"/>
  <c r="E147" i="57" s="1"/>
  <c r="E148" i="57" s="1"/>
  <c r="F147" i="57" a="1"/>
  <c r="F147" i="57" s="1"/>
  <c r="F148" i="57" s="1"/>
  <c r="H147" i="57" a="1"/>
  <c r="H147" i="57" s="1"/>
  <c r="H148" i="57" s="1"/>
  <c r="H147" i="58" a="1"/>
  <c r="H147" i="58" s="1"/>
  <c r="H148" i="58" s="1"/>
  <c r="F147" i="58" a="1"/>
  <c r="F147" i="58" s="1"/>
  <c r="F148" i="58" s="1"/>
  <c r="G147" i="58" a="1"/>
  <c r="G147" i="58" s="1"/>
  <c r="G148" i="58" s="1"/>
  <c r="E147" i="58" a="1"/>
  <c r="E147" i="58" s="1"/>
  <c r="E148" i="58" s="1"/>
  <c r="I152" i="58"/>
  <c r="I147" i="58"/>
  <c r="I147" i="57"/>
  <c r="I152" i="57"/>
  <c r="H117" i="58" a="1"/>
  <c r="F142" i="57" a="1"/>
  <c r="F137" i="58" a="1"/>
  <c r="G142" i="57" a="1"/>
  <c r="H117" i="57" a="1"/>
  <c r="E122" i="57" a="1"/>
  <c r="H132" i="57" a="1"/>
  <c r="G137" i="57" a="1"/>
  <c r="G122" i="58" a="1"/>
  <c r="H127" i="58" a="1"/>
  <c r="G117" i="58" a="1"/>
  <c r="E132" i="57" a="1"/>
  <c r="H142" i="57" a="1"/>
  <c r="G132" i="58" a="1"/>
  <c r="H142" i="58" a="1"/>
  <c r="F117" i="57" a="1"/>
  <c r="G127" i="58" a="1"/>
  <c r="E127" i="58" a="1"/>
  <c r="F132" i="58" a="1"/>
  <c r="E132" i="58" a="1"/>
  <c r="E127" i="57" a="1"/>
  <c r="G117" i="57" a="1"/>
  <c r="E122" i="58" a="1"/>
  <c r="E142" i="57" a="1"/>
  <c r="H132" i="58" a="1"/>
  <c r="G137" i="58" a="1"/>
  <c r="H122" i="58" a="1"/>
  <c r="F132" i="57" a="1"/>
  <c r="H122" i="57" a="1"/>
  <c r="E137" i="58" a="1"/>
  <c r="F127" i="58" a="1"/>
  <c r="F137" i="57" a="1"/>
  <c r="H127" i="57" a="1"/>
  <c r="G132" i="57" a="1"/>
  <c r="H137" i="58" a="1"/>
  <c r="E117" i="58" a="1"/>
  <c r="F142" i="58" a="1"/>
  <c r="F117" i="58" a="1"/>
  <c r="E142" i="58" a="1"/>
  <c r="F122" i="57" a="1"/>
  <c r="E117" i="57" a="1"/>
  <c r="H137" i="57" a="1"/>
  <c r="F122" i="58" a="1"/>
  <c r="E137" i="57" a="1"/>
  <c r="G122" i="57" a="1"/>
  <c r="G142" i="58" a="1"/>
  <c r="F127" i="57" a="1"/>
  <c r="G127" i="57" a="1"/>
  <c r="F117" i="58" l="1"/>
  <c r="F118" i="58" s="1"/>
  <c r="F127" i="58"/>
  <c r="F128" i="58" s="1"/>
  <c r="E137" i="58"/>
  <c r="E138" i="58" s="1"/>
  <c r="H117" i="57"/>
  <c r="H118" i="57" s="1"/>
  <c r="H127" i="57"/>
  <c r="H128" i="57" s="1"/>
  <c r="H137" i="57"/>
  <c r="H138" i="57" s="1"/>
  <c r="F122" i="58"/>
  <c r="F123" i="58" s="1"/>
  <c r="E142" i="58"/>
  <c r="E143" i="58" s="1"/>
  <c r="H132" i="57"/>
  <c r="H133" i="57" s="1"/>
  <c r="F132" i="58"/>
  <c r="F133" i="58" s="1"/>
  <c r="H122" i="57"/>
  <c r="H123" i="57" s="1"/>
  <c r="H142" i="57"/>
  <c r="H143" i="57" s="1"/>
  <c r="H117" i="58"/>
  <c r="H118" i="58" s="1"/>
  <c r="H127" i="58"/>
  <c r="H128" i="58" s="1"/>
  <c r="G137" i="58"/>
  <c r="F117" i="57"/>
  <c r="F118" i="57" s="1"/>
  <c r="F127" i="57"/>
  <c r="F128" i="57" s="1"/>
  <c r="F137" i="57"/>
  <c r="F138" i="57" s="1"/>
  <c r="H122" i="58"/>
  <c r="H123" i="58" s="1"/>
  <c r="G142" i="58"/>
  <c r="F132" i="57"/>
  <c r="F133" i="57" s="1"/>
  <c r="E132" i="58"/>
  <c r="E133" i="58" s="1"/>
  <c r="F122" i="57"/>
  <c r="F123" i="57" s="1"/>
  <c r="F142" i="57"/>
  <c r="F143" i="57" s="1"/>
  <c r="E117" i="58"/>
  <c r="E118" i="58" s="1"/>
  <c r="E127" i="58"/>
  <c r="E128" i="58" s="1"/>
  <c r="F137" i="58"/>
  <c r="F138" i="58" s="1"/>
  <c r="E117" i="57"/>
  <c r="E118" i="57" s="1"/>
  <c r="E127" i="57"/>
  <c r="E128" i="57" s="1"/>
  <c r="E137" i="57"/>
  <c r="E138" i="57" s="1"/>
  <c r="E122" i="58"/>
  <c r="E123" i="58" s="1"/>
  <c r="F142" i="58"/>
  <c r="F143" i="58" s="1"/>
  <c r="E132" i="57"/>
  <c r="E133" i="57" s="1"/>
  <c r="G132" i="58"/>
  <c r="E122" i="57"/>
  <c r="E123" i="57" s="1"/>
  <c r="E142" i="57"/>
  <c r="E143" i="57" s="1"/>
  <c r="G117" i="58"/>
  <c r="G127" i="58"/>
  <c r="H137" i="58"/>
  <c r="H138" i="58" s="1"/>
  <c r="G117" i="57"/>
  <c r="G127" i="57"/>
  <c r="G137" i="57"/>
  <c r="G122" i="58"/>
  <c r="H142" i="58"/>
  <c r="H143" i="58" s="1"/>
  <c r="G132" i="57"/>
  <c r="H132" i="58"/>
  <c r="H133" i="58" s="1"/>
  <c r="G122" i="57"/>
  <c r="G142" i="57"/>
  <c r="I148" i="58"/>
  <c r="J147" i="58"/>
  <c r="J148" i="58" s="1"/>
  <c r="I153" i="58"/>
  <c r="J152" i="58"/>
  <c r="J153" i="58" s="1"/>
  <c r="I153" i="57"/>
  <c r="J152" i="57"/>
  <c r="J153" i="57" s="1"/>
  <c r="I148" i="57"/>
  <c r="J147" i="57"/>
  <c r="J148" i="57" s="1"/>
  <c r="G128" i="57" l="1"/>
  <c r="I127" i="57"/>
  <c r="G143" i="57"/>
  <c r="I142" i="57"/>
  <c r="G143" i="58"/>
  <c r="I142" i="58"/>
  <c r="G133" i="57"/>
  <c r="I132" i="57"/>
  <c r="G138" i="58"/>
  <c r="I137" i="58"/>
  <c r="G138" i="57"/>
  <c r="I137" i="57"/>
  <c r="G128" i="58"/>
  <c r="I127" i="58"/>
  <c r="G133" i="58"/>
  <c r="I132" i="58"/>
  <c r="G123" i="58"/>
  <c r="I122" i="58"/>
  <c r="G118" i="58"/>
  <c r="I117" i="58"/>
  <c r="G118" i="57"/>
  <c r="I117" i="57"/>
  <c r="G123" i="57"/>
  <c r="I122" i="57"/>
  <c r="I128" i="58" l="1"/>
  <c r="J127" i="58"/>
  <c r="J128" i="58" s="1"/>
  <c r="I138" i="58"/>
  <c r="J137" i="58"/>
  <c r="J138" i="58" s="1"/>
  <c r="J142" i="58"/>
  <c r="J143" i="58" s="1"/>
  <c r="I143" i="58"/>
  <c r="J127" i="57"/>
  <c r="J128" i="57" s="1"/>
  <c r="I128" i="57"/>
  <c r="I133" i="58"/>
  <c r="J132" i="58"/>
  <c r="J133" i="58" s="1"/>
  <c r="I138" i="57"/>
  <c r="J137" i="57"/>
  <c r="J138" i="57" s="1"/>
  <c r="J132" i="57"/>
  <c r="J133" i="57" s="1"/>
  <c r="I133" i="57"/>
  <c r="J142" i="57"/>
  <c r="J143" i="57" s="1"/>
  <c r="I143" i="57"/>
  <c r="I118" i="58"/>
  <c r="J117" i="58"/>
  <c r="J118" i="58" s="1"/>
  <c r="I123" i="58"/>
  <c r="J122" i="58"/>
  <c r="J123" i="58" s="1"/>
  <c r="I123" i="57"/>
  <c r="J122" i="57"/>
  <c r="J123" i="57" s="1"/>
  <c r="I118" i="57"/>
  <c r="J117" i="57"/>
  <c r="J118" i="57" s="1"/>
  <c r="L43" i="11" l="1"/>
  <c r="M43" i="11"/>
  <c r="N43" i="11" s="1"/>
  <c r="L40" i="11" l="1"/>
  <c r="M40" i="11"/>
  <c r="N40" i="11" s="1"/>
  <c r="L38" i="11" l="1"/>
  <c r="M38" i="11"/>
  <c r="N38" i="11" s="1"/>
  <c r="AS1" i="11"/>
  <c r="AS2" i="11" a="1"/>
  <c r="AS2" i="11" s="1"/>
  <c r="AS10" i="11" a="1"/>
  <c r="AS10" i="11" s="1"/>
  <c r="AS12" i="11" a="1"/>
  <c r="AS12" i="11" s="1"/>
  <c r="AS13" i="11" l="1"/>
  <c r="AS11" i="11"/>
  <c r="N60" i="31" l="1" a="1"/>
  <c r="N60" i="31" s="1"/>
  <c r="N61" i="31" a="1"/>
  <c r="N61" i="31" s="1"/>
  <c r="L60" i="31" a="1"/>
  <c r="L60" i="31" s="1"/>
  <c r="L61" i="31" a="1"/>
  <c r="L61" i="31" s="1"/>
  <c r="F60" i="31" a="1"/>
  <c r="F60" i="31" s="1"/>
  <c r="F61" i="31" a="1"/>
  <c r="F61" i="31" s="1"/>
  <c r="D60" i="31" a="1"/>
  <c r="D60" i="31" s="1"/>
  <c r="D61" i="31" a="1"/>
  <c r="D61" i="31" s="1"/>
  <c r="AJ57" i="30" l="1"/>
  <c r="AK59" i="30"/>
  <c r="AK55" i="30"/>
  <c r="AJ56" i="30"/>
  <c r="AK58" i="30"/>
  <c r="AK54" i="30"/>
  <c r="AJ58" i="30" l="1"/>
  <c r="AK57" i="30"/>
  <c r="AJ55" i="30"/>
  <c r="AK56" i="30"/>
  <c r="AJ59" i="30"/>
  <c r="AJ54" i="30"/>
  <c r="AI56" i="30"/>
  <c r="AI59" i="30"/>
  <c r="AI55" i="30"/>
  <c r="AI58" i="30"/>
  <c r="AI54" i="30"/>
  <c r="AI57" i="30"/>
  <c r="AH56" i="30" l="1"/>
  <c r="AH59" i="30"/>
  <c r="AH55" i="30"/>
  <c r="AH58" i="30"/>
  <c r="AH54" i="30"/>
  <c r="AH57" i="30"/>
  <c r="E58" i="37"/>
  <c r="W62" i="37"/>
  <c r="X62" i="37"/>
  <c r="Y62" i="37"/>
  <c r="Z62" i="37"/>
  <c r="AA62" i="37"/>
  <c r="AB62" i="37"/>
  <c r="AC62" i="37"/>
  <c r="AD62" i="37"/>
  <c r="AE62" i="37"/>
  <c r="AF62" i="37"/>
  <c r="R62" i="37"/>
  <c r="AG59" i="30" l="1"/>
  <c r="AF59" i="30" s="1"/>
  <c r="AG54" i="30"/>
  <c r="AF54" i="30" s="1"/>
  <c r="AG57" i="30"/>
  <c r="AF57" i="30" s="1"/>
  <c r="AG58" i="30"/>
  <c r="AF58" i="30" s="1"/>
  <c r="AG56" i="30"/>
  <c r="AF56" i="30" s="1"/>
  <c r="AG55" i="30"/>
  <c r="AF55" i="30" s="1"/>
  <c r="T23" i="11"/>
  <c r="AT8" i="11" s="1" a="1"/>
  <c r="AT8" i="11" s="1"/>
  <c r="AT9" i="11" s="1"/>
  <c r="R23" i="11"/>
  <c r="L65" i="11"/>
  <c r="L36" i="11"/>
  <c r="M36" i="11"/>
  <c r="N36" i="11" s="1"/>
  <c r="N134" i="11"/>
  <c r="M134" i="11"/>
  <c r="L134" i="11"/>
  <c r="N133" i="11"/>
  <c r="M133" i="11"/>
  <c r="L133" i="11"/>
  <c r="N132" i="11"/>
  <c r="M132" i="11"/>
  <c r="L132" i="11"/>
  <c r="N131" i="11"/>
  <c r="M131" i="11"/>
  <c r="L131" i="11"/>
  <c r="N130" i="11"/>
  <c r="M130" i="11"/>
  <c r="L130" i="11"/>
  <c r="N129" i="11"/>
  <c r="M129" i="11"/>
  <c r="L129" i="11"/>
  <c r="N128" i="11"/>
  <c r="M128" i="11"/>
  <c r="L128" i="11"/>
  <c r="N127" i="11"/>
  <c r="M127" i="11"/>
  <c r="L127" i="11"/>
  <c r="N126" i="11"/>
  <c r="M126" i="11"/>
  <c r="L126" i="11"/>
  <c r="N125" i="11"/>
  <c r="M125" i="11"/>
  <c r="L125" i="11"/>
  <c r="N124" i="11"/>
  <c r="M124" i="11"/>
  <c r="L124" i="11"/>
  <c r="N123" i="11"/>
  <c r="M123" i="11"/>
  <c r="L123" i="11"/>
  <c r="N122" i="11"/>
  <c r="M122" i="11"/>
  <c r="L122" i="11"/>
  <c r="N121" i="11"/>
  <c r="M121" i="11"/>
  <c r="L121" i="11"/>
  <c r="N120" i="11"/>
  <c r="M120" i="11"/>
  <c r="L120" i="11"/>
  <c r="N119" i="11"/>
  <c r="M119" i="11"/>
  <c r="L119" i="11"/>
  <c r="N118" i="11"/>
  <c r="M118" i="11"/>
  <c r="L118" i="11"/>
  <c r="N117" i="11"/>
  <c r="M117" i="11"/>
  <c r="L117" i="11"/>
  <c r="N116" i="11"/>
  <c r="M116" i="11"/>
  <c r="L116" i="11"/>
  <c r="N115" i="11"/>
  <c r="M115" i="11"/>
  <c r="L115" i="11"/>
  <c r="N114" i="11"/>
  <c r="M114" i="11"/>
  <c r="L114" i="11"/>
  <c r="N113" i="11"/>
  <c r="M113" i="11"/>
  <c r="L113" i="11"/>
  <c r="N112" i="11"/>
  <c r="M112" i="11"/>
  <c r="L112" i="11"/>
  <c r="N111" i="11"/>
  <c r="M111" i="11"/>
  <c r="L111" i="11"/>
  <c r="N110" i="11"/>
  <c r="M110" i="11"/>
  <c r="L110" i="11"/>
  <c r="N109" i="11"/>
  <c r="M109" i="11"/>
  <c r="L109" i="11"/>
  <c r="N108" i="11"/>
  <c r="M108" i="11"/>
  <c r="L108" i="11"/>
  <c r="N107" i="11"/>
  <c r="M107" i="11"/>
  <c r="L107" i="11"/>
  <c r="N106" i="11"/>
  <c r="M106" i="11"/>
  <c r="L106" i="11"/>
  <c r="N105" i="11"/>
  <c r="M105" i="11"/>
  <c r="L105" i="11"/>
  <c r="N104" i="11"/>
  <c r="M104" i="11"/>
  <c r="L104" i="11"/>
  <c r="N103" i="11"/>
  <c r="M103" i="11"/>
  <c r="L103" i="11"/>
  <c r="N102" i="11"/>
  <c r="M102" i="11"/>
  <c r="L102" i="11"/>
  <c r="N101" i="11"/>
  <c r="M101" i="11"/>
  <c r="L101" i="11"/>
  <c r="N100" i="11"/>
  <c r="M100" i="11"/>
  <c r="L100" i="11"/>
  <c r="N99" i="11"/>
  <c r="M99" i="11"/>
  <c r="L99" i="11"/>
  <c r="N98" i="11"/>
  <c r="M98" i="11"/>
  <c r="L98" i="11"/>
  <c r="N97" i="11"/>
  <c r="M97" i="11"/>
  <c r="L97" i="11"/>
  <c r="N96" i="11"/>
  <c r="M96" i="11"/>
  <c r="L96" i="11"/>
  <c r="N95" i="11"/>
  <c r="M95" i="11"/>
  <c r="L95" i="11"/>
  <c r="N94" i="11"/>
  <c r="M94" i="11"/>
  <c r="L94" i="11"/>
  <c r="N93" i="11"/>
  <c r="M93" i="11"/>
  <c r="L93" i="11"/>
  <c r="N92" i="11"/>
  <c r="M92" i="11"/>
  <c r="L92" i="11"/>
  <c r="N91" i="11"/>
  <c r="M91" i="11"/>
  <c r="L91" i="11"/>
  <c r="N90" i="11"/>
  <c r="M90" i="11"/>
  <c r="L90" i="11"/>
  <c r="N89" i="11"/>
  <c r="M89" i="11"/>
  <c r="L89" i="11"/>
  <c r="N88" i="11"/>
  <c r="M88" i="11"/>
  <c r="L88" i="11"/>
  <c r="N87" i="11"/>
  <c r="M87" i="11"/>
  <c r="L87" i="11"/>
  <c r="N86" i="11"/>
  <c r="M86" i="11"/>
  <c r="L86" i="11"/>
  <c r="N85" i="11"/>
  <c r="M85" i="11"/>
  <c r="L85" i="11"/>
  <c r="N84" i="11"/>
  <c r="M84" i="11"/>
  <c r="L84" i="11"/>
  <c r="N83" i="11"/>
  <c r="M83" i="11"/>
  <c r="L83" i="11"/>
  <c r="N82" i="11"/>
  <c r="M82" i="11"/>
  <c r="L82" i="11"/>
  <c r="N81" i="11"/>
  <c r="M81" i="11"/>
  <c r="L81" i="11"/>
  <c r="N80" i="11"/>
  <c r="M80" i="11"/>
  <c r="L80" i="11"/>
  <c r="N79" i="11"/>
  <c r="M79" i="11"/>
  <c r="L79" i="11"/>
  <c r="N78" i="11"/>
  <c r="M78" i="11"/>
  <c r="L78" i="11"/>
  <c r="N77" i="11"/>
  <c r="M77" i="11"/>
  <c r="L77" i="11"/>
  <c r="N76" i="11"/>
  <c r="M76" i="11"/>
  <c r="L76" i="11"/>
  <c r="N75" i="11"/>
  <c r="M75" i="11"/>
  <c r="L75" i="11"/>
  <c r="N74" i="11"/>
  <c r="M74" i="11"/>
  <c r="L74" i="11"/>
  <c r="M66" i="11"/>
  <c r="N66" i="11" s="1"/>
  <c r="L66" i="11"/>
  <c r="M65" i="11"/>
  <c r="N65" i="11" s="1"/>
  <c r="M64" i="11"/>
  <c r="N64" i="11" s="1"/>
  <c r="L64" i="11"/>
  <c r="M63" i="11"/>
  <c r="N63" i="11" s="1"/>
  <c r="L63" i="11"/>
  <c r="M62" i="11"/>
  <c r="N62" i="11" s="1"/>
  <c r="L62" i="11"/>
  <c r="M61" i="11"/>
  <c r="N61" i="11" s="1"/>
  <c r="L61" i="11"/>
  <c r="M60" i="11"/>
  <c r="N60" i="11" s="1"/>
  <c r="L60" i="11"/>
  <c r="M58" i="11"/>
  <c r="N58" i="11" s="1"/>
  <c r="L58" i="11"/>
  <c r="M57" i="11"/>
  <c r="N57" i="11" s="1"/>
  <c r="L57" i="11"/>
  <c r="M54" i="11"/>
  <c r="N54" i="11" s="1"/>
  <c r="L54" i="11"/>
  <c r="M52" i="11"/>
  <c r="N52" i="11" s="1"/>
  <c r="L52" i="11"/>
  <c r="M51" i="11"/>
  <c r="N51" i="11" s="1"/>
  <c r="L51" i="11"/>
  <c r="M41" i="11"/>
  <c r="N41" i="11" s="1"/>
  <c r="L41" i="11"/>
  <c r="M39" i="11"/>
  <c r="N39" i="11" s="1"/>
  <c r="L39" i="11"/>
  <c r="M35" i="11"/>
  <c r="N35" i="11" s="1"/>
  <c r="L35" i="11"/>
  <c r="M33" i="11"/>
  <c r="N33" i="11" s="1"/>
  <c r="L33" i="11"/>
  <c r="M32" i="11"/>
  <c r="N32" i="11" s="1"/>
  <c r="L32" i="11"/>
  <c r="M31" i="11"/>
  <c r="N31" i="11" s="1"/>
  <c r="L31" i="11"/>
  <c r="M30" i="11"/>
  <c r="N30" i="11" s="1"/>
  <c r="L30" i="11"/>
  <c r="M29" i="11"/>
  <c r="N29" i="11" s="1"/>
  <c r="L29" i="11"/>
  <c r="M28" i="11"/>
  <c r="N28" i="11" s="1"/>
  <c r="L28" i="11"/>
  <c r="M27" i="11"/>
  <c r="N27" i="11" s="1"/>
  <c r="L27" i="11"/>
  <c r="M26" i="11"/>
  <c r="N26" i="11" s="1"/>
  <c r="L26" i="11"/>
  <c r="M25" i="11"/>
  <c r="N25" i="11" s="1"/>
  <c r="L25" i="11"/>
  <c r="M24" i="11"/>
  <c r="N24" i="11" s="1"/>
  <c r="L24" i="11"/>
  <c r="M23" i="11"/>
  <c r="N23" i="11" s="1"/>
  <c r="L23" i="11"/>
  <c r="CO12" i="11" a="1"/>
  <c r="CO12" i="11" s="1"/>
  <c r="CN12" i="11" a="1"/>
  <c r="CN12" i="11" s="1"/>
  <c r="CM12" i="11" a="1"/>
  <c r="CM12" i="11" s="1"/>
  <c r="CL12" i="11" a="1"/>
  <c r="CL12" i="11" s="1"/>
  <c r="CK12" i="11" a="1"/>
  <c r="CK12" i="11" s="1"/>
  <c r="CJ12" i="11" a="1"/>
  <c r="CJ12" i="11" s="1"/>
  <c r="CI12" i="11" a="1"/>
  <c r="CI12" i="11" s="1"/>
  <c r="BS12" i="11" a="1"/>
  <c r="BS12" i="11" s="1"/>
  <c r="BM12" i="11" a="1"/>
  <c r="BM12" i="11" s="1"/>
  <c r="AW12" i="11" a="1"/>
  <c r="AW12" i="11" s="1"/>
  <c r="BZ12" i="11" a="1"/>
  <c r="BZ12" i="11" s="1"/>
  <c r="BC12" i="11" a="1"/>
  <c r="BC12" i="11" s="1"/>
  <c r="BN12" i="11" a="1"/>
  <c r="BN12" i="11" s="1"/>
  <c r="BI12" i="11" a="1"/>
  <c r="BI12" i="11" s="1"/>
  <c r="CH12" i="11" a="1"/>
  <c r="CH12" i="11" s="1"/>
  <c r="AR12" i="11" a="1"/>
  <c r="AR12" i="11" s="1"/>
  <c r="CG12" i="11" a="1"/>
  <c r="CG12" i="11" s="1"/>
  <c r="AP12" i="11" a="1"/>
  <c r="AP12" i="11" s="1"/>
  <c r="AQ12" i="11" a="1"/>
  <c r="AQ12" i="11" s="1"/>
  <c r="CF12" i="11" a="1"/>
  <c r="CF12" i="11" s="1"/>
  <c r="AO12" i="11" a="1"/>
  <c r="AO12" i="11" s="1"/>
  <c r="BD12" i="11" a="1"/>
  <c r="BD12" i="11" s="1"/>
  <c r="BP12" i="11" a="1"/>
  <c r="BP12" i="11" s="1"/>
  <c r="CE12" i="11" a="1"/>
  <c r="CE12" i="11" s="1"/>
  <c r="AM12" i="11" a="1"/>
  <c r="AM12" i="11" s="1"/>
  <c r="BB12" i="11" a="1"/>
  <c r="BB12" i="11" s="1"/>
  <c r="AL12" i="11" a="1"/>
  <c r="AL12" i="11" s="1"/>
  <c r="CD12" i="11" a="1"/>
  <c r="CD12" i="11" s="1"/>
  <c r="BY12" i="11" a="1"/>
  <c r="BY12" i="11" s="1"/>
  <c r="AI12" i="11" a="1"/>
  <c r="AI12" i="11" s="1"/>
  <c r="BX12" i="11" a="1"/>
  <c r="BX12" i="11" s="1"/>
  <c r="AH12" i="11" a="1"/>
  <c r="AH12" i="11" s="1"/>
  <c r="AX12" i="11" a="1"/>
  <c r="AX12" i="11" s="1"/>
  <c r="AG12" i="11" a="1"/>
  <c r="AG12" i="11" s="1"/>
  <c r="CA12" i="11" a="1"/>
  <c r="CA12" i="11" s="1"/>
  <c r="AF12" i="11" a="1"/>
  <c r="AF12" i="11" s="1"/>
  <c r="CO10" i="11" a="1"/>
  <c r="CO10" i="11" s="1"/>
  <c r="CN10" i="11" a="1"/>
  <c r="CN10" i="11" s="1"/>
  <c r="CM10" i="11" a="1"/>
  <c r="CM10" i="11" s="1"/>
  <c r="CL10" i="11" a="1"/>
  <c r="CL10" i="11" s="1"/>
  <c r="CK10" i="11" a="1"/>
  <c r="CK10" i="11" s="1"/>
  <c r="CJ10" i="11" a="1"/>
  <c r="CJ10" i="11" s="1"/>
  <c r="CI10" i="11" a="1"/>
  <c r="CI10" i="11" s="1"/>
  <c r="BS10" i="11" a="1"/>
  <c r="BS10" i="11" s="1"/>
  <c r="BM10" i="11" a="1"/>
  <c r="BM10" i="11" s="1"/>
  <c r="AW10" i="11" a="1"/>
  <c r="AW10" i="11" s="1"/>
  <c r="BZ10" i="11" a="1"/>
  <c r="BZ10" i="11" s="1"/>
  <c r="BC10" i="11" a="1"/>
  <c r="BC10" i="11" s="1"/>
  <c r="BN10" i="11" a="1"/>
  <c r="BN10" i="11" s="1"/>
  <c r="BI10" i="11" a="1"/>
  <c r="BI10" i="11" s="1"/>
  <c r="CH10" i="11" a="1"/>
  <c r="CH10" i="11" s="1"/>
  <c r="AR10" i="11" a="1"/>
  <c r="AR10" i="11" s="1"/>
  <c r="CG10" i="11" a="1"/>
  <c r="CG10" i="11" s="1"/>
  <c r="AP10" i="11" a="1"/>
  <c r="AP10" i="11" s="1"/>
  <c r="AQ10" i="11" a="1"/>
  <c r="AQ10" i="11" s="1"/>
  <c r="CF10" i="11" a="1"/>
  <c r="CF10" i="11" s="1"/>
  <c r="AO10" i="11" a="1"/>
  <c r="AO10" i="11" s="1"/>
  <c r="BD10" i="11" a="1"/>
  <c r="BD10" i="11" s="1"/>
  <c r="BP10" i="11" a="1"/>
  <c r="BP10" i="11" s="1"/>
  <c r="CE10" i="11" a="1"/>
  <c r="CE10" i="11" s="1"/>
  <c r="AM10" i="11" a="1"/>
  <c r="AM10" i="11" s="1"/>
  <c r="BB10" i="11" a="1"/>
  <c r="BB10" i="11" s="1"/>
  <c r="AL10" i="11" a="1"/>
  <c r="AL10" i="11" s="1"/>
  <c r="CD10" i="11" a="1"/>
  <c r="CD10" i="11" s="1"/>
  <c r="BY10" i="11" a="1"/>
  <c r="BY10" i="11" s="1"/>
  <c r="AI10" i="11" a="1"/>
  <c r="AI10" i="11" s="1"/>
  <c r="BX10" i="11" a="1"/>
  <c r="BX10" i="11" s="1"/>
  <c r="AH10" i="11" a="1"/>
  <c r="AH10" i="11" s="1"/>
  <c r="AX10" i="11" a="1"/>
  <c r="AX10" i="11" s="1"/>
  <c r="AG10" i="11" a="1"/>
  <c r="AG10" i="11" s="1"/>
  <c r="CA10" i="11" a="1"/>
  <c r="CA10" i="11" s="1"/>
  <c r="AF10" i="11" a="1"/>
  <c r="AF10" i="11" s="1"/>
  <c r="CL8" i="11" a="1"/>
  <c r="CL8" i="11" s="1"/>
  <c r="BN8" i="11" a="1"/>
  <c r="BN8" i="11" s="1"/>
  <c r="AO8" i="11" a="1"/>
  <c r="AO8" i="11" s="1"/>
  <c r="AI8" i="11" a="1"/>
  <c r="AI8" i="11" s="1"/>
  <c r="AG8" i="11" a="1"/>
  <c r="AG8" i="11" s="1"/>
  <c r="BZ3" i="11" a="1"/>
  <c r="BZ3" i="11" s="1"/>
  <c r="CO2" i="11" a="1"/>
  <c r="CO2" i="11" s="1"/>
  <c r="CN2" i="11" a="1"/>
  <c r="CN2" i="11" s="1"/>
  <c r="CM2" i="11" a="1"/>
  <c r="CM2" i="11" s="1"/>
  <c r="CL2" i="11" a="1"/>
  <c r="CL2" i="11" s="1"/>
  <c r="CK2" i="11" a="1"/>
  <c r="CK2" i="11" s="1"/>
  <c r="CJ2" i="11" a="1"/>
  <c r="CJ2" i="11" s="1"/>
  <c r="CI2" i="11" a="1"/>
  <c r="CI2" i="11" s="1"/>
  <c r="BS2" i="11" a="1"/>
  <c r="BS2" i="11" s="1"/>
  <c r="BM2" i="11" a="1"/>
  <c r="BM2" i="11" s="1"/>
  <c r="AW2" i="11" a="1"/>
  <c r="AW2" i="11" s="1"/>
  <c r="BZ2" i="11" a="1"/>
  <c r="BZ2" i="11" s="1"/>
  <c r="BC2" i="11" a="1"/>
  <c r="BC2" i="11" s="1"/>
  <c r="BN2" i="11" a="1"/>
  <c r="BN2" i="11" s="1"/>
  <c r="BI2" i="11" a="1"/>
  <c r="BI2" i="11" s="1"/>
  <c r="CH2" i="11" a="1"/>
  <c r="CH2" i="11" s="1"/>
  <c r="AR2" i="11" a="1"/>
  <c r="AR2" i="11" s="1"/>
  <c r="CG2" i="11" a="1"/>
  <c r="CG2" i="11" s="1"/>
  <c r="AP2" i="11" a="1"/>
  <c r="AP2" i="11" s="1"/>
  <c r="AQ2" i="11" a="1"/>
  <c r="AQ2" i="11" s="1"/>
  <c r="CF2" i="11" a="1"/>
  <c r="CF2" i="11" s="1"/>
  <c r="AO2" i="11" a="1"/>
  <c r="AO2" i="11" s="1"/>
  <c r="BD2" i="11" a="1"/>
  <c r="BD2" i="11" s="1"/>
  <c r="BP2" i="11" a="1"/>
  <c r="BP2" i="11" s="1"/>
  <c r="CE2" i="11" a="1"/>
  <c r="CE2" i="11" s="1"/>
  <c r="AM2" i="11" a="1"/>
  <c r="AM2" i="11" s="1"/>
  <c r="BB2" i="11" a="1"/>
  <c r="BB2" i="11" s="1"/>
  <c r="AL2" i="11" a="1"/>
  <c r="AL2" i="11" s="1"/>
  <c r="CD2" i="11" a="1"/>
  <c r="CD2" i="11" s="1"/>
  <c r="BY2" i="11" a="1"/>
  <c r="BY2" i="11" s="1"/>
  <c r="AI2" i="11" a="1"/>
  <c r="AI2" i="11" s="1"/>
  <c r="BX2" i="11" a="1"/>
  <c r="BX2" i="11" s="1"/>
  <c r="AH2" i="11" a="1"/>
  <c r="AH2" i="11" s="1"/>
  <c r="AX2" i="11" a="1"/>
  <c r="AX2" i="11" s="1"/>
  <c r="AG2" i="11" a="1"/>
  <c r="AG2" i="11" s="1"/>
  <c r="CA2" i="11" a="1"/>
  <c r="CA2" i="11" s="1"/>
  <c r="CO1" i="11"/>
  <c r="CN1" i="11"/>
  <c r="CM1" i="11"/>
  <c r="CL1" i="11"/>
  <c r="CK1" i="11"/>
  <c r="CJ1" i="11"/>
  <c r="CI1" i="11"/>
  <c r="BS1" i="11"/>
  <c r="BM1" i="11"/>
  <c r="AW1" i="11"/>
  <c r="BZ1" i="11"/>
  <c r="BC1" i="11"/>
  <c r="BN1" i="11"/>
  <c r="BI1" i="11"/>
  <c r="CH1" i="11"/>
  <c r="AR1" i="11"/>
  <c r="CG1" i="11"/>
  <c r="AP1" i="11"/>
  <c r="AQ1" i="11"/>
  <c r="CF1" i="11"/>
  <c r="AO1" i="11"/>
  <c r="BD1" i="11"/>
  <c r="BP1" i="11"/>
  <c r="CE1" i="11"/>
  <c r="AM1" i="11"/>
  <c r="BB1" i="11"/>
  <c r="AL1" i="11"/>
  <c r="CD1" i="11"/>
  <c r="BY1" i="11"/>
  <c r="AI1" i="11"/>
  <c r="BX1" i="11"/>
  <c r="AH1" i="11"/>
  <c r="AX1" i="11"/>
  <c r="AG1" i="11"/>
  <c r="CA1" i="11"/>
  <c r="AT4" i="11" l="1" a="1"/>
  <c r="AT4" i="11" s="1"/>
  <c r="AT5" i="11" a="1"/>
  <c r="AT5" i="11" s="1"/>
  <c r="AT3" i="11" a="1"/>
  <c r="AT3" i="11" s="1"/>
  <c r="CH3" i="11" a="1"/>
  <c r="CH3" i="11" s="1"/>
  <c r="AH5" i="11" a="1"/>
  <c r="AH5" i="11" s="1"/>
  <c r="CD3" i="11" a="1"/>
  <c r="CD3" i="11" s="1"/>
  <c r="M17" i="11"/>
  <c r="N16" i="11"/>
  <c r="N17" i="11"/>
  <c r="L17" i="11"/>
  <c r="M16" i="11"/>
  <c r="L16" i="11"/>
  <c r="BP5" i="11" a="1"/>
  <c r="BP5" i="11" s="1"/>
  <c r="BP3" i="11" a="1"/>
  <c r="BP3" i="11" s="1"/>
  <c r="CL4" i="11" a="1"/>
  <c r="CL4" i="11" s="1"/>
  <c r="BN4" i="11" a="1"/>
  <c r="BN4" i="11" s="1"/>
  <c r="AO4" i="11" a="1"/>
  <c r="AO4" i="11" s="1"/>
  <c r="AF2" i="11" a="1"/>
  <c r="AF2" i="11" s="1"/>
  <c r="AF11" i="11" s="1"/>
  <c r="AQ3" i="11" a="1"/>
  <c r="AQ3" i="11" s="1"/>
  <c r="CJ5" i="11" a="1"/>
  <c r="CJ5" i="11" s="1"/>
  <c r="AH3" i="11" a="1"/>
  <c r="AH3" i="11" s="1"/>
  <c r="AI4" i="11" a="1"/>
  <c r="AI4" i="11" s="1"/>
  <c r="AG3" i="11" a="1"/>
  <c r="AG3" i="11" s="1"/>
  <c r="CN3" i="11" a="1"/>
  <c r="CN3" i="11" s="1"/>
  <c r="CH5" i="11" a="1"/>
  <c r="CH5" i="11" s="1"/>
  <c r="AF3" i="11" a="1"/>
  <c r="AF3" i="11" s="1"/>
  <c r="CN5" i="11" a="1"/>
  <c r="CN5" i="11" s="1"/>
  <c r="AI3" i="11" a="1"/>
  <c r="AI3" i="11" s="1"/>
  <c r="BB3" i="11" a="1"/>
  <c r="BB3" i="11" s="1"/>
  <c r="AO3" i="11" a="1"/>
  <c r="AO3" i="11" s="1"/>
  <c r="CG3" i="11" a="1"/>
  <c r="CG3" i="11" s="1"/>
  <c r="BN3" i="11" a="1"/>
  <c r="BN3" i="11" s="1"/>
  <c r="CJ3" i="11" a="1"/>
  <c r="CJ3" i="11" s="1"/>
  <c r="AG4" i="11" a="1"/>
  <c r="AG4" i="11" s="1"/>
  <c r="BB4" i="11" a="1"/>
  <c r="BB4" i="11" s="1"/>
  <c r="CG4" i="11" a="1"/>
  <c r="CG4" i="11" s="1"/>
  <c r="BM4" i="11" a="1"/>
  <c r="BM4" i="11" s="1"/>
  <c r="AF5" i="11" a="1"/>
  <c r="AF5" i="11" s="1"/>
  <c r="CD5" i="11" a="1"/>
  <c r="CD5" i="11" s="1"/>
  <c r="AQ5" i="11" a="1"/>
  <c r="AQ5" i="11" s="1"/>
  <c r="BZ5" i="11" a="1"/>
  <c r="BZ5" i="11" s="1"/>
  <c r="O23" i="11"/>
  <c r="AS8" i="11" a="1"/>
  <c r="AS8" i="11" s="1"/>
  <c r="AS9" i="11" s="1"/>
  <c r="AS3" i="11" a="1"/>
  <c r="AS3" i="11" s="1"/>
  <c r="AS5" i="11" a="1"/>
  <c r="AS5" i="11" s="1"/>
  <c r="AS4" i="11" a="1"/>
  <c r="AS4" i="11" s="1"/>
  <c r="CL5" i="11" a="1"/>
  <c r="CL5" i="11" s="1"/>
  <c r="BM3" i="11" a="1"/>
  <c r="BM3" i="11" s="1"/>
  <c r="CL3" i="11" a="1"/>
  <c r="CL3" i="11" s="1"/>
  <c r="AF4" i="11" a="1"/>
  <c r="AF4" i="11" s="1"/>
  <c r="AH4" i="11" a="1"/>
  <c r="AH4" i="11" s="1"/>
  <c r="CD4" i="11" a="1"/>
  <c r="CD4" i="11" s="1"/>
  <c r="BP4" i="11" a="1"/>
  <c r="BP4" i="11" s="1"/>
  <c r="AQ4" i="11" a="1"/>
  <c r="AQ4" i="11" s="1"/>
  <c r="CH4" i="11" a="1"/>
  <c r="CH4" i="11" s="1"/>
  <c r="BZ4" i="11" a="1"/>
  <c r="BZ4" i="11" s="1"/>
  <c r="BZ6" i="11" s="1"/>
  <c r="BZ7" i="11" s="1"/>
  <c r="CJ4" i="11" a="1"/>
  <c r="CJ4" i="11" s="1"/>
  <c r="CN4" i="11" a="1"/>
  <c r="CN4" i="11" s="1"/>
  <c r="AG5" i="11" a="1"/>
  <c r="AG5" i="11" s="1"/>
  <c r="AI5" i="11" a="1"/>
  <c r="AI5" i="11" s="1"/>
  <c r="BB5" i="11" a="1"/>
  <c r="BB5" i="11" s="1"/>
  <c r="AO5" i="11" a="1"/>
  <c r="AO5" i="11" s="1"/>
  <c r="CG5" i="11" a="1"/>
  <c r="CG5" i="11" s="1"/>
  <c r="BN5" i="11" a="1"/>
  <c r="BN5" i="11" s="1"/>
  <c r="BM5" i="11" a="1"/>
  <c r="BM5" i="11" s="1"/>
  <c r="AF8" i="11" a="1"/>
  <c r="AF8" i="11" s="1"/>
  <c r="AH8" i="11" a="1"/>
  <c r="AH8" i="11" s="1"/>
  <c r="AH9" i="11" s="1"/>
  <c r="BB8" i="11" a="1"/>
  <c r="BB8" i="11" s="1"/>
  <c r="BB9" i="11" s="1"/>
  <c r="CG8" i="11" a="1"/>
  <c r="CG8" i="11" s="1"/>
  <c r="CG9" i="11" s="1"/>
  <c r="BM8" i="11" a="1"/>
  <c r="BM8" i="11" s="1"/>
  <c r="BM9" i="11" s="1"/>
  <c r="CO8" i="11" a="1"/>
  <c r="CO8" i="11" s="1"/>
  <c r="CO9" i="11" s="1"/>
  <c r="CO5" i="11" a="1"/>
  <c r="CO5" i="11" s="1"/>
  <c r="CD8" i="11" a="1"/>
  <c r="CD8" i="11" s="1"/>
  <c r="CD9" i="11" s="1"/>
  <c r="BP8" i="11" a="1"/>
  <c r="BP8" i="11" s="1"/>
  <c r="BP9" i="11" s="1"/>
  <c r="AQ8" i="11" a="1"/>
  <c r="AQ8" i="11" s="1"/>
  <c r="AQ9" i="11" s="1"/>
  <c r="CH8" i="11" a="1"/>
  <c r="CH8" i="11" s="1"/>
  <c r="CH9" i="11" s="1"/>
  <c r="BZ8" i="11" a="1"/>
  <c r="BZ8" i="11" s="1"/>
  <c r="BZ9" i="11" s="1"/>
  <c r="CJ8" i="11" a="1"/>
  <c r="CJ8" i="11" s="1"/>
  <c r="CJ9" i="11" s="1"/>
  <c r="CN8" i="11" a="1"/>
  <c r="CN8" i="11" s="1"/>
  <c r="CN9" i="11" s="1"/>
  <c r="CA3" i="11" a="1"/>
  <c r="CA3" i="11" s="1"/>
  <c r="AX3" i="11" a="1"/>
  <c r="AX3" i="11" s="1"/>
  <c r="BX3" i="11" a="1"/>
  <c r="BX3" i="11" s="1"/>
  <c r="BY3" i="11" a="1"/>
  <c r="BY3" i="11" s="1"/>
  <c r="AL3" i="11" a="1"/>
  <c r="AL3" i="11" s="1"/>
  <c r="AM3" i="11" a="1"/>
  <c r="AM3" i="11" s="1"/>
  <c r="CE3" i="11" a="1"/>
  <c r="CE3" i="11" s="1"/>
  <c r="BD3" i="11" a="1"/>
  <c r="BD3" i="11" s="1"/>
  <c r="CF3" i="11" a="1"/>
  <c r="CF3" i="11" s="1"/>
  <c r="AP3" i="11" a="1"/>
  <c r="AP3" i="11" s="1"/>
  <c r="AR3" i="11" a="1"/>
  <c r="AR3" i="11" s="1"/>
  <c r="BI3" i="11" a="1"/>
  <c r="BI3" i="11" s="1"/>
  <c r="BC3" i="11" a="1"/>
  <c r="BC3" i="11" s="1"/>
  <c r="AW3" i="11" a="1"/>
  <c r="AW3" i="11" s="1"/>
  <c r="BS3" i="11" a="1"/>
  <c r="BS3" i="11" s="1"/>
  <c r="CI3" i="11" a="1"/>
  <c r="CI3" i="11" s="1"/>
  <c r="CK3" i="11" a="1"/>
  <c r="CK3" i="11" s="1"/>
  <c r="CM3" i="11" a="1"/>
  <c r="CM3" i="11" s="1"/>
  <c r="CO3" i="11" a="1"/>
  <c r="CO3" i="11" s="1"/>
  <c r="CA4" i="11" a="1"/>
  <c r="CA4" i="11" s="1"/>
  <c r="AX4" i="11" a="1"/>
  <c r="AX4" i="11" s="1"/>
  <c r="BX4" i="11" a="1"/>
  <c r="BX4" i="11" s="1"/>
  <c r="BY4" i="11" a="1"/>
  <c r="BY4" i="11" s="1"/>
  <c r="AL4" i="11" a="1"/>
  <c r="AL4" i="11" s="1"/>
  <c r="AM4" i="11" a="1"/>
  <c r="AM4" i="11" s="1"/>
  <c r="CE4" i="11" a="1"/>
  <c r="CE4" i="11" s="1"/>
  <c r="BD4" i="11" a="1"/>
  <c r="BD4" i="11" s="1"/>
  <c r="CF4" i="11" a="1"/>
  <c r="CF4" i="11" s="1"/>
  <c r="AP4" i="11" a="1"/>
  <c r="AP4" i="11" s="1"/>
  <c r="AR4" i="11" a="1"/>
  <c r="AR4" i="11" s="1"/>
  <c r="BI4" i="11" a="1"/>
  <c r="BI4" i="11" s="1"/>
  <c r="BC4" i="11" a="1"/>
  <c r="BC4" i="11" s="1"/>
  <c r="AW4" i="11" a="1"/>
  <c r="AW4" i="11" s="1"/>
  <c r="BS4" i="11" a="1"/>
  <c r="BS4" i="11" s="1"/>
  <c r="CI4" i="11" a="1"/>
  <c r="CI4" i="11" s="1"/>
  <c r="CK4" i="11" a="1"/>
  <c r="CK4" i="11" s="1"/>
  <c r="CM4" i="11" a="1"/>
  <c r="CM4" i="11" s="1"/>
  <c r="CO4" i="11" a="1"/>
  <c r="CO4" i="11" s="1"/>
  <c r="CA5" i="11" a="1"/>
  <c r="CA5" i="11" s="1"/>
  <c r="AX5" i="11" a="1"/>
  <c r="AX5" i="11" s="1"/>
  <c r="BX5" i="11" a="1"/>
  <c r="BX5" i="11" s="1"/>
  <c r="BY5" i="11" a="1"/>
  <c r="BY5" i="11" s="1"/>
  <c r="AL5" i="11" a="1"/>
  <c r="AL5" i="11" s="1"/>
  <c r="AM5" i="11" a="1"/>
  <c r="AM5" i="11" s="1"/>
  <c r="CE5" i="11" a="1"/>
  <c r="CE5" i="11" s="1"/>
  <c r="BD5" i="11" a="1"/>
  <c r="BD5" i="11" s="1"/>
  <c r="CF5" i="11" a="1"/>
  <c r="CF5" i="11" s="1"/>
  <c r="AP5" i="11" a="1"/>
  <c r="AP5" i="11" s="1"/>
  <c r="AR5" i="11" a="1"/>
  <c r="AR5" i="11" s="1"/>
  <c r="BI5" i="11" a="1"/>
  <c r="BI5" i="11" s="1"/>
  <c r="BC5" i="11" a="1"/>
  <c r="BC5" i="11" s="1"/>
  <c r="AW5" i="11" a="1"/>
  <c r="AW5" i="11" s="1"/>
  <c r="BS5" i="11" a="1"/>
  <c r="BS5" i="11" s="1"/>
  <c r="CI5" i="11" a="1"/>
  <c r="CI5" i="11" s="1"/>
  <c r="CK5" i="11" a="1"/>
  <c r="CK5" i="11" s="1"/>
  <c r="CM5" i="11" a="1"/>
  <c r="CM5" i="11" s="1"/>
  <c r="CA8" i="11" a="1"/>
  <c r="CA8" i="11" s="1"/>
  <c r="CA9" i="11" s="1"/>
  <c r="AX8" i="11" a="1"/>
  <c r="AX8" i="11" s="1"/>
  <c r="AX9" i="11" s="1"/>
  <c r="BX8" i="11" a="1"/>
  <c r="BX8" i="11" s="1"/>
  <c r="BX9" i="11" s="1"/>
  <c r="BY8" i="11" a="1"/>
  <c r="BY8" i="11" s="1"/>
  <c r="BY9" i="11" s="1"/>
  <c r="AL8" i="11" a="1"/>
  <c r="AL8" i="11" s="1"/>
  <c r="AL9" i="11" s="1"/>
  <c r="AM8" i="11" a="1"/>
  <c r="AM8" i="11" s="1"/>
  <c r="AM9" i="11" s="1"/>
  <c r="CE8" i="11" a="1"/>
  <c r="CE8" i="11" s="1"/>
  <c r="CE9" i="11" s="1"/>
  <c r="BD8" i="11" a="1"/>
  <c r="BD8" i="11" s="1"/>
  <c r="BD9" i="11" s="1"/>
  <c r="CF8" i="11" a="1"/>
  <c r="CF8" i="11" s="1"/>
  <c r="CF9" i="11" s="1"/>
  <c r="AP8" i="11" a="1"/>
  <c r="AP8" i="11" s="1"/>
  <c r="AP9" i="11" s="1"/>
  <c r="AR8" i="11" a="1"/>
  <c r="AR8" i="11" s="1"/>
  <c r="AR9" i="11" s="1"/>
  <c r="BI8" i="11" a="1"/>
  <c r="BI8" i="11" s="1"/>
  <c r="BI9" i="11" s="1"/>
  <c r="BC8" i="11" a="1"/>
  <c r="BC8" i="11" s="1"/>
  <c r="BC9" i="11" s="1"/>
  <c r="AW8" i="11" a="1"/>
  <c r="AW8" i="11" s="1"/>
  <c r="AW9" i="11" s="1"/>
  <c r="BS8" i="11" a="1"/>
  <c r="BS8" i="11" s="1"/>
  <c r="BS9" i="11" s="1"/>
  <c r="CI8" i="11" a="1"/>
  <c r="CI8" i="11" s="1"/>
  <c r="CI9" i="11" s="1"/>
  <c r="CK8" i="11" a="1"/>
  <c r="CK8" i="11" s="1"/>
  <c r="CK9" i="11" s="1"/>
  <c r="CM8" i="11" a="1"/>
  <c r="CM8" i="11" s="1"/>
  <c r="CM9" i="11" s="1"/>
  <c r="AG9" i="11"/>
  <c r="AI9" i="11"/>
  <c r="AO9" i="11"/>
  <c r="BN9" i="11"/>
  <c r="CL9" i="11"/>
  <c r="AG11" i="11"/>
  <c r="AH11" i="11"/>
  <c r="AI11" i="11"/>
  <c r="CD11" i="11"/>
  <c r="BB11" i="11"/>
  <c r="BP11" i="11"/>
  <c r="AO11" i="11"/>
  <c r="AQ11" i="11"/>
  <c r="CG11" i="11"/>
  <c r="CH11" i="11"/>
  <c r="BN11" i="11"/>
  <c r="BZ11" i="11"/>
  <c r="BM11" i="11"/>
  <c r="CJ11" i="11"/>
  <c r="CL11" i="11"/>
  <c r="CN11" i="11"/>
  <c r="CA11" i="11"/>
  <c r="AX11" i="11"/>
  <c r="BX11" i="11"/>
  <c r="BY11" i="11"/>
  <c r="AL11" i="11"/>
  <c r="AM11" i="11"/>
  <c r="CE11" i="11"/>
  <c r="BD11" i="11"/>
  <c r="CF11" i="11"/>
  <c r="AP11" i="11"/>
  <c r="AR11" i="11"/>
  <c r="BI11" i="11"/>
  <c r="BC11" i="11"/>
  <c r="AW11" i="11"/>
  <c r="BS11" i="11"/>
  <c r="CI11" i="11"/>
  <c r="CK11" i="11"/>
  <c r="CM11" i="11"/>
  <c r="CO11" i="11"/>
  <c r="AG13" i="11"/>
  <c r="AH13" i="11"/>
  <c r="AI13" i="11"/>
  <c r="CD13" i="11"/>
  <c r="BB13" i="11"/>
  <c r="BP13" i="11"/>
  <c r="AO13" i="11"/>
  <c r="AQ13" i="11"/>
  <c r="CG13" i="11"/>
  <c r="CH13" i="11"/>
  <c r="BN13" i="11"/>
  <c r="BC13" i="11"/>
  <c r="BZ13" i="11"/>
  <c r="AW13" i="11"/>
  <c r="BM13" i="11"/>
  <c r="BS13" i="11"/>
  <c r="CI13" i="11"/>
  <c r="CJ13" i="11"/>
  <c r="CK13" i="11"/>
  <c r="CL13" i="11"/>
  <c r="CM13" i="11"/>
  <c r="CN13" i="11"/>
  <c r="CO13" i="11"/>
  <c r="CA13" i="11"/>
  <c r="AX13" i="11"/>
  <c r="BX13" i="11"/>
  <c r="BY13" i="11"/>
  <c r="AL13" i="11"/>
  <c r="AM13" i="11"/>
  <c r="CE13" i="11"/>
  <c r="BD13" i="11"/>
  <c r="CF13" i="11"/>
  <c r="AP13" i="11"/>
  <c r="AR13" i="11"/>
  <c r="BI13" i="11"/>
  <c r="AT6" i="11" l="1"/>
  <c r="AT7" i="11" s="1"/>
  <c r="CH6" i="11"/>
  <c r="CH7" i="11" s="1"/>
  <c r="CD6" i="11"/>
  <c r="CD7" i="11" s="1"/>
  <c r="P23" i="11"/>
  <c r="H16" i="11"/>
  <c r="BM6" i="11"/>
  <c r="BM7" i="11" s="1"/>
  <c r="H17" i="11"/>
  <c r="CK6" i="11"/>
  <c r="CK7" i="11" s="1"/>
  <c r="AO6" i="11"/>
  <c r="AO7" i="11" s="1"/>
  <c r="AI6" i="11"/>
  <c r="AI7" i="11" s="1"/>
  <c r="BN6" i="11"/>
  <c r="BN7" i="11" s="1"/>
  <c r="CI6" i="11"/>
  <c r="CI7" i="11" s="1"/>
  <c r="BS6" i="11"/>
  <c r="BS7" i="11" s="1"/>
  <c r="AR6" i="11"/>
  <c r="AR7" i="11" s="1"/>
  <c r="AF6" i="11"/>
  <c r="AF7" i="11" s="1"/>
  <c r="BI6" i="11"/>
  <c r="BI7" i="11" s="1"/>
  <c r="AH6" i="11"/>
  <c r="AH7" i="11" s="1"/>
  <c r="BB6" i="11"/>
  <c r="BB7" i="11" s="1"/>
  <c r="AG6" i="11"/>
  <c r="AG7" i="11" s="1"/>
  <c r="BP6" i="11"/>
  <c r="BP7" i="11" s="1"/>
  <c r="AF9" i="11"/>
  <c r="CL6" i="11"/>
  <c r="CL7" i="11" s="1"/>
  <c r="AF13" i="11"/>
  <c r="CJ6" i="11"/>
  <c r="CJ7" i="11" s="1"/>
  <c r="CN6" i="11"/>
  <c r="CN7" i="11" s="1"/>
  <c r="CO6" i="11"/>
  <c r="CO7" i="11" s="1"/>
  <c r="AQ6" i="11"/>
  <c r="AQ7" i="11" s="1"/>
  <c r="CG6" i="11"/>
  <c r="CG7" i="11" s="1"/>
  <c r="AS6" i="11"/>
  <c r="AS7" i="11" s="1"/>
  <c r="CM6" i="11"/>
  <c r="CM7" i="11" s="1"/>
  <c r="BC6" i="11"/>
  <c r="BC7" i="11" s="1"/>
  <c r="AW6" i="11"/>
  <c r="AW7" i="11" s="1"/>
  <c r="AP6" i="11"/>
  <c r="AP7" i="11" s="1"/>
  <c r="CF6" i="11"/>
  <c r="CF7" i="11" s="1"/>
  <c r="CE6" i="11"/>
  <c r="CE7" i="11" s="1"/>
  <c r="AL6" i="11"/>
  <c r="AL7" i="11" s="1"/>
  <c r="BX6" i="11"/>
  <c r="BX7" i="11" s="1"/>
  <c r="CA6" i="11"/>
  <c r="CA7" i="11" s="1"/>
  <c r="BD6" i="11"/>
  <c r="BD7" i="11" s="1"/>
  <c r="AM6" i="11"/>
  <c r="AM7" i="11" s="1"/>
  <c r="BY6" i="11"/>
  <c r="BY7" i="11" s="1"/>
  <c r="AX6" i="11"/>
  <c r="AX7" i="11" s="1"/>
  <c r="A46" i="28" l="1"/>
  <c r="A43" i="28"/>
  <c r="A40" i="28"/>
  <c r="A37" i="28"/>
  <c r="A34" i="28"/>
  <c r="A31" i="28"/>
  <c r="A28" i="28"/>
  <c r="A25" i="28"/>
  <c r="A22" i="28"/>
  <c r="A19" i="28"/>
  <c r="A16" i="28"/>
  <c r="A13" i="28"/>
  <c r="A10" i="28"/>
  <c r="A7" i="28"/>
  <c r="A4" i="28"/>
  <c r="A1" i="28"/>
  <c r="A2" i="28" l="1"/>
  <c r="A3" i="28"/>
  <c r="C2" i="34" l="1"/>
  <c r="AB98" i="34"/>
  <c r="B32" i="34"/>
  <c r="C32" i="34" s="1"/>
  <c r="A40" i="34"/>
  <c r="A70" i="34"/>
  <c r="A32" i="34" l="1"/>
  <c r="C136" i="34"/>
  <c r="C131" i="34"/>
  <c r="B37" i="34"/>
  <c r="A37" i="34" s="1"/>
  <c r="C37" i="34"/>
  <c r="AC3" i="34"/>
  <c r="AC102" i="34" s="1"/>
  <c r="AC1" i="34"/>
  <c r="B5" i="36"/>
  <c r="D5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17" i="35"/>
  <c r="P2" i="35"/>
  <c r="Q2" i="35"/>
  <c r="P1" i="35"/>
  <c r="Q1" i="35"/>
  <c r="B15" i="35"/>
  <c r="B3" i="36"/>
  <c r="B2" i="36"/>
  <c r="B1" i="36"/>
  <c r="A1" i="34"/>
  <c r="C94" i="34" l="1"/>
  <c r="AC94" i="34" s="1"/>
  <c r="C64" i="34"/>
  <c r="X2" i="34"/>
  <c r="X3" i="34"/>
  <c r="C96" i="34"/>
  <c r="AC96" i="34" s="1"/>
  <c r="C66" i="34"/>
  <c r="Z2" i="34"/>
  <c r="Z3" i="34"/>
  <c r="C97" i="34"/>
  <c r="AC97" i="34" s="1"/>
  <c r="C67" i="34"/>
  <c r="AA2" i="34"/>
  <c r="AA3" i="34"/>
  <c r="C95" i="34"/>
  <c r="AC95" i="34" s="1"/>
  <c r="C65" i="34"/>
  <c r="Y2" i="34"/>
  <c r="Y3" i="34"/>
  <c r="Y98" i="34" l="1"/>
  <c r="Y73" i="34"/>
  <c r="Y43" i="34"/>
  <c r="AA98" i="34"/>
  <c r="AA73" i="34"/>
  <c r="AA43" i="34"/>
  <c r="Z98" i="34"/>
  <c r="Z73" i="34"/>
  <c r="Z43" i="34"/>
  <c r="X98" i="34"/>
  <c r="X73" i="34"/>
  <c r="X43" i="34"/>
  <c r="D1" i="36" l="1"/>
  <c r="AH32" i="36"/>
  <c r="AG32" i="36"/>
  <c r="AF32" i="36"/>
  <c r="AE32" i="36"/>
  <c r="AD32" i="36"/>
  <c r="AC32" i="36"/>
  <c r="AB32" i="36"/>
  <c r="AA32" i="36"/>
  <c r="Z32" i="36"/>
  <c r="Y32" i="36"/>
  <c r="X32" i="36"/>
  <c r="W32" i="36"/>
  <c r="V32" i="36"/>
  <c r="U32" i="36"/>
  <c r="T32" i="36"/>
  <c r="S32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K2" i="33"/>
  <c r="K2" i="35" s="1"/>
  <c r="D216" i="35" s="1"/>
  <c r="J2" i="33"/>
  <c r="I2" i="33"/>
  <c r="I2" i="35" s="1"/>
  <c r="D198" i="35" s="1"/>
  <c r="H2" i="33"/>
  <c r="G2" i="33"/>
  <c r="G2" i="35" s="1"/>
  <c r="D180" i="35" s="1"/>
  <c r="F2" i="33"/>
  <c r="E2" i="33"/>
  <c r="E2" i="35" s="1"/>
  <c r="D162" i="35" s="1"/>
  <c r="D2" i="33"/>
  <c r="O1" i="33"/>
  <c r="O1" i="35" s="1"/>
  <c r="D144" i="35" s="1"/>
  <c r="N1" i="33"/>
  <c r="N1" i="35" s="1"/>
  <c r="D135" i="35" s="1"/>
  <c r="M1" i="33"/>
  <c r="M1" i="35" s="1"/>
  <c r="D126" i="35" s="1"/>
  <c r="L1" i="33"/>
  <c r="L1" i="35" s="1"/>
  <c r="D117" i="35" s="1"/>
  <c r="K1" i="33"/>
  <c r="K1" i="35" s="1"/>
  <c r="D108" i="35" s="1"/>
  <c r="J1" i="33"/>
  <c r="J1" i="35" s="1"/>
  <c r="D99" i="35" s="1"/>
  <c r="I1" i="33"/>
  <c r="I1" i="35" s="1"/>
  <c r="D90" i="35" s="1"/>
  <c r="H1" i="33"/>
  <c r="H1" i="35" s="1"/>
  <c r="D81" i="35" s="1"/>
  <c r="G1" i="33"/>
  <c r="G1" i="35" s="1"/>
  <c r="D72" i="35" s="1"/>
  <c r="F1" i="33"/>
  <c r="F1" i="35" s="1"/>
  <c r="D63" i="35" s="1"/>
  <c r="E1" i="33"/>
  <c r="E1" i="35" s="1"/>
  <c r="D54" i="35" s="1"/>
  <c r="D1" i="33"/>
  <c r="D1" i="35" s="1"/>
  <c r="D45" i="35" s="1"/>
  <c r="A2" i="33"/>
  <c r="D197" i="33"/>
  <c r="D2" i="32"/>
  <c r="B2" i="32"/>
  <c r="B4" i="32"/>
  <c r="D386" i="33" l="1"/>
  <c r="B388" i="33" s="1"/>
  <c r="D89" i="33"/>
  <c r="D305" i="33"/>
  <c r="B307" i="33" s="1"/>
  <c r="D494" i="33"/>
  <c r="B496" i="33" s="1"/>
  <c r="D35" i="33"/>
  <c r="C60" i="33" s="1"/>
  <c r="D143" i="33"/>
  <c r="C168" i="33" s="1"/>
  <c r="D251" i="33"/>
  <c r="C276" i="33" s="1"/>
  <c r="D62" i="33"/>
  <c r="C87" i="33" s="1"/>
  <c r="D116" i="33"/>
  <c r="C141" i="33" s="1"/>
  <c r="D170" i="33"/>
  <c r="C195" i="33" s="1"/>
  <c r="D224" i="33"/>
  <c r="B226" i="33" s="1"/>
  <c r="D278" i="33"/>
  <c r="C303" i="33" s="1"/>
  <c r="D332" i="33"/>
  <c r="B334" i="33" s="1"/>
  <c r="D440" i="33"/>
  <c r="C465" i="33" s="1"/>
  <c r="D548" i="33"/>
  <c r="C573" i="33" s="1"/>
  <c r="C47" i="35"/>
  <c r="B52" i="35"/>
  <c r="C65" i="35"/>
  <c r="B70" i="35"/>
  <c r="C83" i="35"/>
  <c r="B88" i="35"/>
  <c r="C101" i="35"/>
  <c r="B106" i="35"/>
  <c r="C119" i="35"/>
  <c r="B124" i="35"/>
  <c r="C137" i="35"/>
  <c r="B142" i="35"/>
  <c r="D359" i="33"/>
  <c r="B361" i="33" s="1"/>
  <c r="D2" i="35"/>
  <c r="D153" i="35" s="1"/>
  <c r="D413" i="33"/>
  <c r="B415" i="33" s="1"/>
  <c r="F2" i="35"/>
  <c r="D171" i="35" s="1"/>
  <c r="D467" i="33"/>
  <c r="B469" i="33" s="1"/>
  <c r="H2" i="35"/>
  <c r="D189" i="35" s="1"/>
  <c r="D521" i="33"/>
  <c r="B523" i="33" s="1"/>
  <c r="J2" i="35"/>
  <c r="D207" i="35" s="1"/>
  <c r="C56" i="35"/>
  <c r="B61" i="35"/>
  <c r="C74" i="35"/>
  <c r="B79" i="35"/>
  <c r="C92" i="35"/>
  <c r="B97" i="35"/>
  <c r="C110" i="35"/>
  <c r="B115" i="35"/>
  <c r="C128" i="35"/>
  <c r="B133" i="35"/>
  <c r="C146" i="35"/>
  <c r="B151" i="35"/>
  <c r="C164" i="35"/>
  <c r="B169" i="35"/>
  <c r="C182" i="35"/>
  <c r="B187" i="35"/>
  <c r="C200" i="35"/>
  <c r="B205" i="35"/>
  <c r="C218" i="35"/>
  <c r="B223" i="35"/>
  <c r="D575" i="33"/>
  <c r="L2" i="35"/>
  <c r="D225" i="35" s="1"/>
  <c r="D629" i="33"/>
  <c r="N2" i="35"/>
  <c r="D243" i="35" s="1"/>
  <c r="D602" i="33"/>
  <c r="B604" i="33" s="1"/>
  <c r="M2" i="35"/>
  <c r="D234" i="35" s="1"/>
  <c r="D656" i="33"/>
  <c r="C681" i="33" s="1"/>
  <c r="O2" i="35"/>
  <c r="D252" i="35" s="1"/>
  <c r="C114" i="33"/>
  <c r="B91" i="33"/>
  <c r="B145" i="33"/>
  <c r="C222" i="33"/>
  <c r="B199" i="33"/>
  <c r="B64" i="33"/>
  <c r="C330" i="33"/>
  <c r="C411" i="33"/>
  <c r="C519" i="33"/>
  <c r="C627" i="33"/>
  <c r="B658" i="33"/>
  <c r="B280" i="33"/>
  <c r="C384" i="33"/>
  <c r="C600" i="33"/>
  <c r="B577" i="33"/>
  <c r="C654" i="33"/>
  <c r="B631" i="33"/>
  <c r="B442" i="33" l="1"/>
  <c r="B443" i="33" s="1"/>
  <c r="B172" i="33"/>
  <c r="C492" i="33"/>
  <c r="G658" i="33" a="1"/>
  <c r="G658" i="33" s="1"/>
  <c r="E658" i="33" a="1"/>
  <c r="E658" i="33" s="1"/>
  <c r="E604" i="33" a="1"/>
  <c r="E604" i="33" s="1"/>
  <c r="G604" i="33" a="1"/>
  <c r="G604" i="33" s="1"/>
  <c r="E631" i="33" a="1"/>
  <c r="E631" i="33" s="1"/>
  <c r="G631" i="33" a="1"/>
  <c r="G631" i="33" s="1"/>
  <c r="E577" i="33" a="1"/>
  <c r="E577" i="33" s="1"/>
  <c r="G577" i="33" a="1"/>
  <c r="G577" i="33" s="1"/>
  <c r="C357" i="33"/>
  <c r="B550" i="33"/>
  <c r="B551" i="33" s="1"/>
  <c r="C249" i="33"/>
  <c r="B118" i="33"/>
  <c r="B253" i="33"/>
  <c r="B37" i="33"/>
  <c r="B38" i="33" s="1"/>
  <c r="C546" i="33"/>
  <c r="C438" i="33"/>
  <c r="C219" i="35"/>
  <c r="C201" i="35"/>
  <c r="C183" i="35"/>
  <c r="C165" i="35"/>
  <c r="C147" i="35"/>
  <c r="C129" i="35"/>
  <c r="C111" i="35"/>
  <c r="C93" i="35"/>
  <c r="C75" i="35"/>
  <c r="C57" i="35"/>
  <c r="C138" i="35"/>
  <c r="C120" i="35"/>
  <c r="C102" i="35"/>
  <c r="C84" i="35"/>
  <c r="C66" i="35"/>
  <c r="C48" i="35"/>
  <c r="C209" i="35"/>
  <c r="B214" i="35"/>
  <c r="C191" i="35"/>
  <c r="B196" i="35"/>
  <c r="C173" i="35"/>
  <c r="B178" i="35"/>
  <c r="C155" i="35"/>
  <c r="B160" i="35"/>
  <c r="C254" i="35"/>
  <c r="B259" i="35"/>
  <c r="C236" i="35"/>
  <c r="B241" i="35"/>
  <c r="C245" i="35"/>
  <c r="B250" i="35"/>
  <c r="C227" i="35"/>
  <c r="B232" i="35"/>
  <c r="B632" i="33"/>
  <c r="I631" i="33"/>
  <c r="B578" i="33"/>
  <c r="I577" i="33"/>
  <c r="B524" i="33"/>
  <c r="B470" i="33"/>
  <c r="B416" i="33"/>
  <c r="B362" i="33"/>
  <c r="B659" i="33"/>
  <c r="I658" i="33"/>
  <c r="B497" i="33"/>
  <c r="B389" i="33"/>
  <c r="B227" i="33"/>
  <c r="B173" i="33"/>
  <c r="B65" i="33"/>
  <c r="B335" i="33"/>
  <c r="B281" i="33"/>
  <c r="B605" i="33"/>
  <c r="I604" i="33"/>
  <c r="B308" i="33"/>
  <c r="B254" i="33"/>
  <c r="B200" i="33"/>
  <c r="B146" i="33"/>
  <c r="B92" i="33"/>
  <c r="N200" i="35" a="1"/>
  <c r="G200" i="35" a="1"/>
  <c r="N218" i="35" a="1"/>
  <c r="I200" i="35" a="1"/>
  <c r="I218" i="35" a="1"/>
  <c r="F469" i="33" a="1"/>
  <c r="H496" i="33" a="1"/>
  <c r="F523" i="33" a="1"/>
  <c r="L218" i="35" a="1"/>
  <c r="G218" i="35" a="1"/>
  <c r="E496" i="33" a="1"/>
  <c r="E200" i="35" a="1"/>
  <c r="G496" i="33" a="1"/>
  <c r="P200" i="35" a="1"/>
  <c r="E218" i="35" a="1"/>
  <c r="F496" i="33" a="1"/>
  <c r="P218" i="35" a="1"/>
  <c r="E469" i="33" a="1"/>
  <c r="H469" i="33" a="1"/>
  <c r="H523" i="33" a="1"/>
  <c r="G469" i="33" a="1"/>
  <c r="G523" i="33" a="1"/>
  <c r="L200" i="35" a="1"/>
  <c r="E523" i="33" a="1"/>
  <c r="E469" i="33" l="1"/>
  <c r="E496" i="33"/>
  <c r="E523" i="33"/>
  <c r="L200" i="35"/>
  <c r="M200" i="35" s="1"/>
  <c r="I218" i="35"/>
  <c r="J218" i="35" s="1"/>
  <c r="L218" i="35"/>
  <c r="M218" i="35" s="1"/>
  <c r="F496" i="33"/>
  <c r="G496" i="33"/>
  <c r="G523" i="33"/>
  <c r="E200" i="35"/>
  <c r="F200" i="35" s="1"/>
  <c r="E218" i="35"/>
  <c r="F218" i="35" s="1"/>
  <c r="P218" i="35"/>
  <c r="H496" i="33"/>
  <c r="G200" i="35"/>
  <c r="I200" i="35"/>
  <c r="N218" i="35"/>
  <c r="O218" i="35" s="1"/>
  <c r="F523" i="33"/>
  <c r="F469" i="33"/>
  <c r="G469" i="33"/>
  <c r="P200" i="35"/>
  <c r="Q200" i="35" s="1"/>
  <c r="N200" i="35"/>
  <c r="O200" i="35" s="1"/>
  <c r="G218" i="35"/>
  <c r="H218" i="35" s="1"/>
  <c r="H523" i="33"/>
  <c r="H469" i="33"/>
  <c r="E605" i="33" a="1"/>
  <c r="E605" i="33" s="1"/>
  <c r="G605" i="33" a="1"/>
  <c r="G605" i="33" s="1"/>
  <c r="B119" i="33"/>
  <c r="G659" i="33" a="1"/>
  <c r="G659" i="33" s="1"/>
  <c r="E659" i="33" a="1"/>
  <c r="E659" i="33" s="1"/>
  <c r="E578" i="33" a="1"/>
  <c r="E578" i="33" s="1"/>
  <c r="G578" i="33" a="1"/>
  <c r="G578" i="33" s="1"/>
  <c r="E632" i="33" a="1"/>
  <c r="E632" i="33" s="1"/>
  <c r="G632" i="33" a="1"/>
  <c r="G632" i="33" s="1"/>
  <c r="P227" i="35" a="1"/>
  <c r="P227" i="35" s="1"/>
  <c r="L227" i="35" a="1"/>
  <c r="L227" i="35" s="1"/>
  <c r="G227" i="35" a="1"/>
  <c r="G227" i="35" s="1"/>
  <c r="I227" i="35" a="1"/>
  <c r="I227" i="35" s="1"/>
  <c r="N227" i="35" a="1"/>
  <c r="N227" i="35" s="1"/>
  <c r="E227" i="35" a="1"/>
  <c r="E227" i="35" s="1"/>
  <c r="P245" i="35" a="1"/>
  <c r="P245" i="35" s="1"/>
  <c r="L245" i="35" a="1"/>
  <c r="L245" i="35" s="1"/>
  <c r="G245" i="35" a="1"/>
  <c r="G245" i="35" s="1"/>
  <c r="I245" i="35" a="1"/>
  <c r="I245" i="35" s="1"/>
  <c r="E245" i="35" a="1"/>
  <c r="E245" i="35" s="1"/>
  <c r="N245" i="35" a="1"/>
  <c r="N245" i="35" s="1"/>
  <c r="P236" i="35" a="1"/>
  <c r="P236" i="35" s="1"/>
  <c r="L236" i="35" a="1"/>
  <c r="L236" i="35" s="1"/>
  <c r="G236" i="35" a="1"/>
  <c r="G236" i="35" s="1"/>
  <c r="N236" i="35" a="1"/>
  <c r="N236" i="35" s="1"/>
  <c r="E236" i="35" a="1"/>
  <c r="E236" i="35" s="1"/>
  <c r="I236" i="35" a="1"/>
  <c r="I236" i="35" s="1"/>
  <c r="P254" i="35" a="1"/>
  <c r="P254" i="35" s="1"/>
  <c r="L254" i="35" a="1"/>
  <c r="L254" i="35" s="1"/>
  <c r="G254" i="35" a="1"/>
  <c r="G254" i="35" s="1"/>
  <c r="N254" i="35" a="1"/>
  <c r="N254" i="35" s="1"/>
  <c r="E254" i="35" a="1"/>
  <c r="E254" i="35" s="1"/>
  <c r="I254" i="35" a="1"/>
  <c r="I254" i="35" s="1"/>
  <c r="C156" i="35"/>
  <c r="C174" i="35"/>
  <c r="C192" i="35"/>
  <c r="C210" i="35"/>
  <c r="C67" i="35"/>
  <c r="C103" i="35"/>
  <c r="C139" i="35"/>
  <c r="C76" i="35"/>
  <c r="C112" i="35"/>
  <c r="C148" i="35"/>
  <c r="C184" i="35"/>
  <c r="C220" i="35"/>
  <c r="C49" i="35"/>
  <c r="C85" i="35"/>
  <c r="C121" i="35"/>
  <c r="C58" i="35"/>
  <c r="C94" i="35"/>
  <c r="C130" i="35"/>
  <c r="C166" i="35"/>
  <c r="C202" i="35"/>
  <c r="W227" i="35"/>
  <c r="S227" i="35"/>
  <c r="R227" i="35"/>
  <c r="K227" i="35"/>
  <c r="Y227" i="35"/>
  <c r="U227" i="35"/>
  <c r="C228" i="35"/>
  <c r="Y245" i="35"/>
  <c r="U245" i="35"/>
  <c r="C246" i="35"/>
  <c r="W245" i="35"/>
  <c r="S245" i="35"/>
  <c r="R245" i="35"/>
  <c r="K245" i="35"/>
  <c r="R236" i="35"/>
  <c r="K236" i="35"/>
  <c r="Y236" i="35"/>
  <c r="U236" i="35"/>
  <c r="C237" i="35"/>
  <c r="W236" i="35"/>
  <c r="S236" i="35"/>
  <c r="C255" i="35"/>
  <c r="W254" i="35"/>
  <c r="S254" i="35"/>
  <c r="R254" i="35"/>
  <c r="K254" i="35"/>
  <c r="Y254" i="35"/>
  <c r="U254" i="35"/>
  <c r="B93" i="33"/>
  <c r="B147" i="33"/>
  <c r="B201" i="33"/>
  <c r="B255" i="33"/>
  <c r="B309" i="33"/>
  <c r="B606" i="33"/>
  <c r="I605" i="33"/>
  <c r="J605" i="33" s="1"/>
  <c r="B282" i="33"/>
  <c r="B336" i="33"/>
  <c r="B66" i="33"/>
  <c r="B120" i="33"/>
  <c r="B174" i="33"/>
  <c r="B228" i="33"/>
  <c r="B390" i="33"/>
  <c r="B444" i="33"/>
  <c r="B498" i="33"/>
  <c r="B552" i="33"/>
  <c r="B660" i="33"/>
  <c r="I659" i="33"/>
  <c r="J659" i="33" s="1"/>
  <c r="B363" i="33"/>
  <c r="B417" i="33"/>
  <c r="B471" i="33"/>
  <c r="B525" i="33"/>
  <c r="B579" i="33"/>
  <c r="I578" i="33"/>
  <c r="J578" i="33" s="1"/>
  <c r="B633" i="33"/>
  <c r="I632" i="33"/>
  <c r="J632" i="33" s="1"/>
  <c r="B39" i="33"/>
  <c r="J604" i="33"/>
  <c r="J658" i="33"/>
  <c r="J577" i="33"/>
  <c r="J631" i="33"/>
  <c r="L191" i="35" a="1"/>
  <c r="E219" i="35" a="1"/>
  <c r="G470" i="33" a="1"/>
  <c r="L209" i="35" a="1"/>
  <c r="I201" i="35" a="1"/>
  <c r="E524" i="33" a="1"/>
  <c r="G201" i="35" a="1"/>
  <c r="P201" i="35" a="1"/>
  <c r="E497" i="33" a="1"/>
  <c r="F497" i="33" a="1"/>
  <c r="I191" i="35" a="1"/>
  <c r="E551" i="33" a="1"/>
  <c r="F470" i="33" a="1"/>
  <c r="H470" i="33" a="1"/>
  <c r="P191" i="35" a="1"/>
  <c r="E209" i="35" a="1"/>
  <c r="G551" i="33" a="1"/>
  <c r="H551" i="33" a="1"/>
  <c r="H550" i="33" a="1"/>
  <c r="P219" i="35" a="1"/>
  <c r="I219" i="35" a="1"/>
  <c r="E550" i="33" a="1"/>
  <c r="G219" i="35" a="1"/>
  <c r="N191" i="35" a="1"/>
  <c r="G524" i="33" a="1"/>
  <c r="P209" i="35" a="1"/>
  <c r="G209" i="35" a="1"/>
  <c r="F524" i="33" a="1"/>
  <c r="I209" i="35" a="1"/>
  <c r="N219" i="35" a="1"/>
  <c r="E470" i="33" a="1"/>
  <c r="N201" i="35" a="1"/>
  <c r="G550" i="33" a="1"/>
  <c r="H524" i="33" a="1"/>
  <c r="H497" i="33" a="1"/>
  <c r="F551" i="33" a="1"/>
  <c r="L219" i="35" a="1"/>
  <c r="F550" i="33" a="1"/>
  <c r="E201" i="35" a="1"/>
  <c r="E191" i="35" a="1"/>
  <c r="L201" i="35" a="1"/>
  <c r="N209" i="35" a="1"/>
  <c r="G497" i="33" a="1"/>
  <c r="G191" i="35" a="1"/>
  <c r="W200" i="35" l="1"/>
  <c r="X200" i="35" s="1"/>
  <c r="W218" i="35"/>
  <c r="R200" i="35"/>
  <c r="U200" i="35"/>
  <c r="V200" i="35" s="1"/>
  <c r="H200" i="35"/>
  <c r="R218" i="35"/>
  <c r="Q218" i="35" s="1"/>
  <c r="J200" i="35"/>
  <c r="U218" i="35"/>
  <c r="V218" i="35" s="1"/>
  <c r="S200" i="35"/>
  <c r="T200" i="35" s="1"/>
  <c r="S218" i="35"/>
  <c r="T218" i="35" s="1"/>
  <c r="K200" i="35"/>
  <c r="K218" i="35"/>
  <c r="E219" i="35"/>
  <c r="L219" i="35"/>
  <c r="L191" i="35"/>
  <c r="I191" i="35"/>
  <c r="N219" i="35"/>
  <c r="P219" i="35"/>
  <c r="Q219" i="35" s="1"/>
  <c r="E209" i="35"/>
  <c r="G191" i="35"/>
  <c r="N191" i="35"/>
  <c r="G550" i="33"/>
  <c r="P201" i="35"/>
  <c r="E470" i="33"/>
  <c r="F550" i="33"/>
  <c r="F497" i="33"/>
  <c r="I219" i="35"/>
  <c r="L209" i="35"/>
  <c r="I209" i="35"/>
  <c r="J209" i="35" s="1"/>
  <c r="P191" i="35"/>
  <c r="E524" i="33"/>
  <c r="E551" i="33"/>
  <c r="E201" i="35"/>
  <c r="G470" i="33"/>
  <c r="H550" i="33"/>
  <c r="H497" i="33"/>
  <c r="G219" i="35"/>
  <c r="G209" i="35"/>
  <c r="H209" i="35" s="1"/>
  <c r="N209" i="35"/>
  <c r="O209" i="35" s="1"/>
  <c r="E191" i="35"/>
  <c r="G524" i="33"/>
  <c r="G551" i="33"/>
  <c r="L201" i="35"/>
  <c r="I201" i="35"/>
  <c r="E497" i="33"/>
  <c r="F524" i="33"/>
  <c r="F470" i="33"/>
  <c r="F551" i="33"/>
  <c r="P209" i="35"/>
  <c r="E550" i="33"/>
  <c r="G201" i="35"/>
  <c r="N201" i="35"/>
  <c r="O201" i="35" s="1"/>
  <c r="G497" i="33"/>
  <c r="H524" i="33"/>
  <c r="H470" i="33"/>
  <c r="H551" i="33"/>
  <c r="P237" i="35" a="1"/>
  <c r="P237" i="35" s="1"/>
  <c r="Q237" i="35" s="1"/>
  <c r="L237" i="35" a="1"/>
  <c r="L237" i="35" s="1"/>
  <c r="M237" i="35" s="1"/>
  <c r="G237" i="35" a="1"/>
  <c r="G237" i="35" s="1"/>
  <c r="H237" i="35" s="1"/>
  <c r="I237" i="35" a="1"/>
  <c r="I237" i="35" s="1"/>
  <c r="J237" i="35" s="1"/>
  <c r="E237" i="35" a="1"/>
  <c r="E237" i="35" s="1"/>
  <c r="F237" i="35" s="1"/>
  <c r="N237" i="35" a="1"/>
  <c r="N237" i="35" s="1"/>
  <c r="O237" i="35" s="1"/>
  <c r="P228" i="35" a="1"/>
  <c r="P228" i="35" s="1"/>
  <c r="L228" i="35" a="1"/>
  <c r="L228" i="35" s="1"/>
  <c r="G228" i="35" a="1"/>
  <c r="G228" i="35" s="1"/>
  <c r="N228" i="35" a="1"/>
  <c r="N228" i="35" s="1"/>
  <c r="E228" i="35" a="1"/>
  <c r="E228" i="35" s="1"/>
  <c r="I228" i="35" a="1"/>
  <c r="I228" i="35" s="1"/>
  <c r="E633" i="33" a="1"/>
  <c r="E633" i="33" s="1"/>
  <c r="G633" i="33" a="1"/>
  <c r="G633" i="33" s="1"/>
  <c r="E579" i="33" a="1"/>
  <c r="E579" i="33" s="1"/>
  <c r="G579" i="33" a="1"/>
  <c r="G579" i="33" s="1"/>
  <c r="G660" i="33" a="1"/>
  <c r="G660" i="33" s="1"/>
  <c r="E660" i="33" a="1"/>
  <c r="E660" i="33" s="1"/>
  <c r="E606" i="33" a="1"/>
  <c r="E606" i="33" s="1"/>
  <c r="G606" i="33" a="1"/>
  <c r="G606" i="33" s="1"/>
  <c r="P255" i="35" a="1"/>
  <c r="P255" i="35" s="1"/>
  <c r="Q255" i="35" s="1"/>
  <c r="L255" i="35" a="1"/>
  <c r="L255" i="35" s="1"/>
  <c r="M255" i="35" s="1"/>
  <c r="G255" i="35" a="1"/>
  <c r="G255" i="35" s="1"/>
  <c r="H255" i="35" s="1"/>
  <c r="I255" i="35" a="1"/>
  <c r="I255" i="35" s="1"/>
  <c r="J255" i="35" s="1"/>
  <c r="N255" i="35" a="1"/>
  <c r="N255" i="35" s="1"/>
  <c r="O255" i="35" s="1"/>
  <c r="E255" i="35" a="1"/>
  <c r="E255" i="35" s="1"/>
  <c r="F255" i="35" s="1"/>
  <c r="P246" i="35" a="1"/>
  <c r="P246" i="35" s="1"/>
  <c r="Q246" i="35" s="1"/>
  <c r="L246" i="35" a="1"/>
  <c r="L246" i="35" s="1"/>
  <c r="M246" i="35" s="1"/>
  <c r="G246" i="35" a="1"/>
  <c r="G246" i="35" s="1"/>
  <c r="H246" i="35" s="1"/>
  <c r="N246" i="35" a="1"/>
  <c r="N246" i="35" s="1"/>
  <c r="O246" i="35" s="1"/>
  <c r="E246" i="35" a="1"/>
  <c r="E246" i="35" s="1"/>
  <c r="F246" i="35" s="1"/>
  <c r="I246" i="35" a="1"/>
  <c r="I246" i="35" s="1"/>
  <c r="J246" i="35" s="1"/>
  <c r="C203" i="35"/>
  <c r="C59" i="35"/>
  <c r="C86" i="35"/>
  <c r="C221" i="35"/>
  <c r="C77" i="35"/>
  <c r="C140" i="35"/>
  <c r="C68" i="35"/>
  <c r="C193" i="35"/>
  <c r="C157" i="35"/>
  <c r="C167" i="35"/>
  <c r="C131" i="35"/>
  <c r="C95" i="35"/>
  <c r="C122" i="35"/>
  <c r="C50" i="35"/>
  <c r="C185" i="35"/>
  <c r="C149" i="35"/>
  <c r="C113" i="35"/>
  <c r="C104" i="35"/>
  <c r="C211" i="35"/>
  <c r="C175" i="35"/>
  <c r="Q254" i="35"/>
  <c r="M254" i="35"/>
  <c r="X254" i="35"/>
  <c r="O254" i="35"/>
  <c r="F236" i="35"/>
  <c r="T236" i="35"/>
  <c r="H236" i="35"/>
  <c r="C238" i="35"/>
  <c r="W237" i="35"/>
  <c r="X237" i="35" s="1"/>
  <c r="S237" i="35"/>
  <c r="T237" i="35" s="1"/>
  <c r="R237" i="35"/>
  <c r="K237" i="35"/>
  <c r="Y237" i="35"/>
  <c r="U237" i="35"/>
  <c r="V237" i="35" s="1"/>
  <c r="Q236" i="35"/>
  <c r="M245" i="35"/>
  <c r="X245" i="35"/>
  <c r="O245" i="35"/>
  <c r="J245" i="35"/>
  <c r="V245" i="35"/>
  <c r="H227" i="35"/>
  <c r="W228" i="35"/>
  <c r="S228" i="35"/>
  <c r="R228" i="35"/>
  <c r="K228" i="35"/>
  <c r="Y228" i="35"/>
  <c r="U228" i="35"/>
  <c r="C229" i="35"/>
  <c r="Q227" i="35"/>
  <c r="M227" i="35"/>
  <c r="X227" i="35"/>
  <c r="J254" i="35"/>
  <c r="V254" i="35"/>
  <c r="F254" i="35"/>
  <c r="T254" i="35"/>
  <c r="H254" i="35"/>
  <c r="C256" i="35"/>
  <c r="W255" i="35"/>
  <c r="X255" i="35" s="1"/>
  <c r="S255" i="35"/>
  <c r="T255" i="35" s="1"/>
  <c r="R255" i="35"/>
  <c r="K255" i="35"/>
  <c r="Y255" i="35"/>
  <c r="U255" i="35"/>
  <c r="V255" i="35" s="1"/>
  <c r="M236" i="35"/>
  <c r="X236" i="35"/>
  <c r="O236" i="35"/>
  <c r="J236" i="35"/>
  <c r="V236" i="35"/>
  <c r="F245" i="35"/>
  <c r="T245" i="35"/>
  <c r="H245" i="35"/>
  <c r="Y246" i="35"/>
  <c r="U246" i="35"/>
  <c r="V246" i="35" s="1"/>
  <c r="C247" i="35"/>
  <c r="W246" i="35"/>
  <c r="X246" i="35" s="1"/>
  <c r="S246" i="35"/>
  <c r="T246" i="35" s="1"/>
  <c r="R246" i="35"/>
  <c r="K246" i="35"/>
  <c r="Q245" i="35"/>
  <c r="O227" i="35"/>
  <c r="J227" i="35"/>
  <c r="V227" i="35"/>
  <c r="F227" i="35"/>
  <c r="T227" i="35"/>
  <c r="B40" i="33"/>
  <c r="B634" i="33"/>
  <c r="I633" i="33"/>
  <c r="B580" i="33"/>
  <c r="I579" i="33"/>
  <c r="B526" i="33"/>
  <c r="B472" i="33"/>
  <c r="B418" i="33"/>
  <c r="B364" i="33"/>
  <c r="B661" i="33"/>
  <c r="I660" i="33"/>
  <c r="B553" i="33"/>
  <c r="B499" i="33"/>
  <c r="B445" i="33"/>
  <c r="B391" i="33"/>
  <c r="B229" i="33"/>
  <c r="B175" i="33"/>
  <c r="B121" i="33"/>
  <c r="B67" i="33"/>
  <c r="B337" i="33"/>
  <c r="B283" i="33"/>
  <c r="B607" i="33"/>
  <c r="I606" i="33"/>
  <c r="B310" i="33"/>
  <c r="B256" i="33"/>
  <c r="B202" i="33"/>
  <c r="B148" i="33"/>
  <c r="B94" i="33"/>
  <c r="I523" i="33"/>
  <c r="I496" i="33"/>
  <c r="E552" i="33" a="1"/>
  <c r="N210" i="35" a="1"/>
  <c r="L220" i="35" a="1"/>
  <c r="H552" i="33" a="1"/>
  <c r="F525" i="33" a="1"/>
  <c r="H498" i="33" a="1"/>
  <c r="P210" i="35" a="1"/>
  <c r="P202" i="35" a="1"/>
  <c r="N192" i="35" a="1"/>
  <c r="I220" i="35" a="1"/>
  <c r="G471" i="33" a="1"/>
  <c r="H525" i="33" a="1"/>
  <c r="F552" i="33" a="1"/>
  <c r="G202" i="35" a="1"/>
  <c r="L192" i="35" a="1"/>
  <c r="E210" i="35" a="1"/>
  <c r="G552" i="33" a="1"/>
  <c r="H471" i="33" a="1"/>
  <c r="E525" i="33" a="1"/>
  <c r="E498" i="33" a="1"/>
  <c r="E471" i="33" a="1"/>
  <c r="F498" i="33" a="1"/>
  <c r="P192" i="35" a="1"/>
  <c r="I192" i="35" a="1"/>
  <c r="G220" i="35" a="1"/>
  <c r="E220" i="35" a="1"/>
  <c r="P220" i="35" a="1"/>
  <c r="G192" i="35" a="1"/>
  <c r="N220" i="35" a="1"/>
  <c r="N202" i="35" a="1"/>
  <c r="G210" i="35" a="1"/>
  <c r="G525" i="33" a="1"/>
  <c r="E202" i="35" a="1"/>
  <c r="I210" i="35" a="1"/>
  <c r="G498" i="33" a="1"/>
  <c r="I202" i="35" a="1"/>
  <c r="E192" i="35" a="1"/>
  <c r="L202" i="35" a="1"/>
  <c r="L210" i="35" a="1"/>
  <c r="F471" i="33" a="1"/>
  <c r="Y200" i="35" l="1"/>
  <c r="W209" i="35"/>
  <c r="X209" i="35" s="1"/>
  <c r="S209" i="35"/>
  <c r="T209" i="35" s="1"/>
  <c r="K209" i="35"/>
  <c r="F209" i="35"/>
  <c r="Q209" i="35"/>
  <c r="U209" i="35"/>
  <c r="V209" i="35" s="1"/>
  <c r="R209" i="35"/>
  <c r="Y218" i="35"/>
  <c r="X218" i="35" s="1"/>
  <c r="I550" i="33"/>
  <c r="U219" i="35"/>
  <c r="R219" i="35"/>
  <c r="O219" i="35" s="1"/>
  <c r="M209" i="35"/>
  <c r="K201" i="35"/>
  <c r="F201" i="35" s="1"/>
  <c r="S201" i="35"/>
  <c r="S219" i="35"/>
  <c r="K219" i="35"/>
  <c r="H219" i="35" s="1"/>
  <c r="E192" i="35"/>
  <c r="N202" i="35"/>
  <c r="G192" i="35"/>
  <c r="I192" i="35"/>
  <c r="L202" i="35"/>
  <c r="G210" i="35"/>
  <c r="N210" i="35"/>
  <c r="N220" i="35"/>
  <c r="E552" i="33"/>
  <c r="F498" i="33"/>
  <c r="F471" i="33"/>
  <c r="P192" i="35"/>
  <c r="N192" i="35"/>
  <c r="E202" i="35"/>
  <c r="L210" i="35"/>
  <c r="M210" i="35" s="1"/>
  <c r="P210" i="35"/>
  <c r="G220" i="35"/>
  <c r="G552" i="33"/>
  <c r="H498" i="33"/>
  <c r="H471" i="33"/>
  <c r="L192" i="35"/>
  <c r="G202" i="35"/>
  <c r="I202" i="35"/>
  <c r="E498" i="33"/>
  <c r="E471" i="33"/>
  <c r="E210" i="35"/>
  <c r="I220" i="35"/>
  <c r="L220" i="35"/>
  <c r="E525" i="33"/>
  <c r="F552" i="33"/>
  <c r="F525" i="33"/>
  <c r="P202" i="35"/>
  <c r="G498" i="33"/>
  <c r="G471" i="33"/>
  <c r="I210" i="35"/>
  <c r="E220" i="35"/>
  <c r="P220" i="35"/>
  <c r="G525" i="33"/>
  <c r="H552" i="33"/>
  <c r="H525" i="33"/>
  <c r="W219" i="35"/>
  <c r="P256" i="35" a="1"/>
  <c r="P256" i="35" s="1"/>
  <c r="Q256" i="35" s="1"/>
  <c r="L256" i="35" a="1"/>
  <c r="L256" i="35" s="1"/>
  <c r="M256" i="35" s="1"/>
  <c r="G256" i="35" a="1"/>
  <c r="G256" i="35" s="1"/>
  <c r="N256" i="35" a="1"/>
  <c r="N256" i="35" s="1"/>
  <c r="O256" i="35" s="1"/>
  <c r="E256" i="35" a="1"/>
  <c r="E256" i="35" s="1"/>
  <c r="I256" i="35" a="1"/>
  <c r="I256" i="35" s="1"/>
  <c r="E607" i="33" a="1"/>
  <c r="E607" i="33" s="1"/>
  <c r="G607" i="33" a="1"/>
  <c r="G607" i="33" s="1"/>
  <c r="G661" i="33" a="1"/>
  <c r="G661" i="33" s="1"/>
  <c r="E661" i="33" a="1"/>
  <c r="E661" i="33" s="1"/>
  <c r="E580" i="33" a="1"/>
  <c r="E580" i="33" s="1"/>
  <c r="G580" i="33" a="1"/>
  <c r="G580" i="33" s="1"/>
  <c r="E634" i="33" a="1"/>
  <c r="E634" i="33" s="1"/>
  <c r="G634" i="33" a="1"/>
  <c r="G634" i="33" s="1"/>
  <c r="P247" i="35" a="1"/>
  <c r="P247" i="35" s="1"/>
  <c r="L247" i="35" a="1"/>
  <c r="L247" i="35" s="1"/>
  <c r="M247" i="35" s="1"/>
  <c r="G247" i="35" a="1"/>
  <c r="G247" i="35" s="1"/>
  <c r="H247" i="35" s="1"/>
  <c r="I247" i="35" a="1"/>
  <c r="I247" i="35" s="1"/>
  <c r="J247" i="35" s="1"/>
  <c r="N247" i="35" a="1"/>
  <c r="N247" i="35" s="1"/>
  <c r="O247" i="35" s="1"/>
  <c r="E247" i="35" a="1"/>
  <c r="E247" i="35" s="1"/>
  <c r="F247" i="35" s="1"/>
  <c r="P229" i="35" a="1"/>
  <c r="P229" i="35" s="1"/>
  <c r="L229" i="35" a="1"/>
  <c r="L229" i="35" s="1"/>
  <c r="G229" i="35" a="1"/>
  <c r="G229" i="35" s="1"/>
  <c r="I229" i="35" a="1"/>
  <c r="I229" i="35" s="1"/>
  <c r="E229" i="35" a="1"/>
  <c r="E229" i="35" s="1"/>
  <c r="N229" i="35" a="1"/>
  <c r="N229" i="35" s="1"/>
  <c r="P238" i="35" a="1"/>
  <c r="P238" i="35" s="1"/>
  <c r="L238" i="35" a="1"/>
  <c r="L238" i="35" s="1"/>
  <c r="G238" i="35" a="1"/>
  <c r="G238" i="35" s="1"/>
  <c r="H238" i="35" s="1"/>
  <c r="N238" i="35" a="1"/>
  <c r="N238" i="35" s="1"/>
  <c r="E238" i="35" a="1"/>
  <c r="E238" i="35" s="1"/>
  <c r="F238" i="35" s="1"/>
  <c r="I238" i="35" a="1"/>
  <c r="I238" i="35" s="1"/>
  <c r="R201" i="35"/>
  <c r="M201" i="35" s="1"/>
  <c r="U201" i="35"/>
  <c r="W201" i="35"/>
  <c r="C176" i="35"/>
  <c r="C212" i="35"/>
  <c r="C105" i="35"/>
  <c r="C114" i="35"/>
  <c r="C150" i="35"/>
  <c r="C186" i="35"/>
  <c r="C51" i="35"/>
  <c r="C123" i="35"/>
  <c r="C96" i="35"/>
  <c r="C132" i="35"/>
  <c r="C168" i="35"/>
  <c r="C158" i="35"/>
  <c r="C194" i="35"/>
  <c r="C69" i="35"/>
  <c r="C141" i="35"/>
  <c r="C78" i="35"/>
  <c r="C222" i="35"/>
  <c r="C87" i="35"/>
  <c r="C60" i="35"/>
  <c r="C204" i="35"/>
  <c r="C257" i="35"/>
  <c r="W256" i="35"/>
  <c r="X256" i="35" s="1"/>
  <c r="S256" i="35"/>
  <c r="R256" i="35"/>
  <c r="K256" i="35"/>
  <c r="Y256" i="35"/>
  <c r="U256" i="35"/>
  <c r="H228" i="35"/>
  <c r="Y229" i="35"/>
  <c r="U229" i="35"/>
  <c r="C230" i="35"/>
  <c r="W229" i="35"/>
  <c r="S229" i="35"/>
  <c r="R229" i="35"/>
  <c r="K229" i="35"/>
  <c r="Q228" i="35"/>
  <c r="M228" i="35"/>
  <c r="X228" i="35"/>
  <c r="R238" i="35"/>
  <c r="K238" i="35"/>
  <c r="Y238" i="35"/>
  <c r="U238" i="35"/>
  <c r="C239" i="35"/>
  <c r="W238" i="35"/>
  <c r="S238" i="35"/>
  <c r="T238" i="35" s="1"/>
  <c r="W247" i="35"/>
  <c r="X247" i="35" s="1"/>
  <c r="S247" i="35"/>
  <c r="T247" i="35" s="1"/>
  <c r="R247" i="35"/>
  <c r="K247" i="35"/>
  <c r="Y247" i="35"/>
  <c r="U247" i="35"/>
  <c r="V247" i="35" s="1"/>
  <c r="C248" i="35"/>
  <c r="O228" i="35"/>
  <c r="J228" i="35"/>
  <c r="V228" i="35"/>
  <c r="F228" i="35"/>
  <c r="T228" i="35"/>
  <c r="I497" i="33"/>
  <c r="I551" i="33"/>
  <c r="I524" i="33"/>
  <c r="B95" i="33"/>
  <c r="B149" i="33"/>
  <c r="B203" i="33"/>
  <c r="B257" i="33"/>
  <c r="B311" i="33"/>
  <c r="B608" i="33"/>
  <c r="I607" i="33"/>
  <c r="J607" i="33" s="1"/>
  <c r="B284" i="33"/>
  <c r="B338" i="33"/>
  <c r="B68" i="33"/>
  <c r="B122" i="33"/>
  <c r="B176" i="33"/>
  <c r="B230" i="33"/>
  <c r="B392" i="33"/>
  <c r="B446" i="33"/>
  <c r="B500" i="33"/>
  <c r="B554" i="33"/>
  <c r="B662" i="33"/>
  <c r="I661" i="33"/>
  <c r="J661" i="33" s="1"/>
  <c r="B365" i="33"/>
  <c r="B419" i="33"/>
  <c r="B473" i="33"/>
  <c r="B527" i="33"/>
  <c r="B581" i="33"/>
  <c r="I580" i="33"/>
  <c r="J580" i="33" s="1"/>
  <c r="B635" i="33"/>
  <c r="I634" i="33"/>
  <c r="J634" i="33" s="1"/>
  <c r="B41" i="33"/>
  <c r="J606" i="33"/>
  <c r="J660" i="33"/>
  <c r="J579" i="33"/>
  <c r="J633" i="33"/>
  <c r="I203" i="35" a="1"/>
  <c r="G193" i="35" a="1"/>
  <c r="N203" i="35" a="1"/>
  <c r="G211" i="35" a="1"/>
  <c r="E472" i="33" a="1"/>
  <c r="N193" i="35" a="1"/>
  <c r="I221" i="35" a="1"/>
  <c r="F499" i="33" a="1"/>
  <c r="E553" i="33" a="1"/>
  <c r="F553" i="33" a="1"/>
  <c r="F526" i="33" a="1"/>
  <c r="E193" i="35" a="1"/>
  <c r="E203" i="35" a="1"/>
  <c r="N221" i="35" a="1"/>
  <c r="L221" i="35" a="1"/>
  <c r="I193" i="35" a="1"/>
  <c r="G553" i="33" a="1"/>
  <c r="L211" i="35" a="1"/>
  <c r="G499" i="33" a="1"/>
  <c r="G203" i="35" a="1"/>
  <c r="P203" i="35" a="1"/>
  <c r="L193" i="35" a="1"/>
  <c r="N211" i="35" a="1"/>
  <c r="P211" i="35" a="1"/>
  <c r="H472" i="33" a="1"/>
  <c r="G472" i="33" a="1"/>
  <c r="H526" i="33" a="1"/>
  <c r="G526" i="33" a="1"/>
  <c r="G221" i="35" a="1"/>
  <c r="P221" i="35" a="1"/>
  <c r="F472" i="33" a="1"/>
  <c r="P193" i="35" a="1"/>
  <c r="E499" i="33" a="1"/>
  <c r="E211" i="35" a="1"/>
  <c r="E221" i="35" a="1"/>
  <c r="E526" i="33" a="1"/>
  <c r="I211" i="35" a="1"/>
  <c r="L203" i="35" a="1"/>
  <c r="H553" i="33" a="1"/>
  <c r="H499" i="33" a="1"/>
  <c r="M219" i="35" l="1"/>
  <c r="Q201" i="35"/>
  <c r="H201" i="35"/>
  <c r="F219" i="35"/>
  <c r="J201" i="35"/>
  <c r="J219" i="35"/>
  <c r="S202" i="35"/>
  <c r="Y209" i="35"/>
  <c r="U210" i="35"/>
  <c r="Y219" i="35"/>
  <c r="X219" i="35" s="1"/>
  <c r="K210" i="35"/>
  <c r="F210" i="35" s="1"/>
  <c r="S210" i="35"/>
  <c r="K202" i="35"/>
  <c r="H202" i="35" s="1"/>
  <c r="W202" i="35"/>
  <c r="R220" i="35"/>
  <c r="M220" i="35" s="1"/>
  <c r="Y201" i="35"/>
  <c r="X201" i="35" s="1"/>
  <c r="U220" i="35"/>
  <c r="U202" i="35"/>
  <c r="S220" i="35"/>
  <c r="R202" i="35"/>
  <c r="O202" i="35" s="1"/>
  <c r="W210" i="35"/>
  <c r="N221" i="35"/>
  <c r="P193" i="35"/>
  <c r="E221" i="35"/>
  <c r="F221" i="35" s="1"/>
  <c r="P221" i="35"/>
  <c r="E193" i="35"/>
  <c r="N211" i="35"/>
  <c r="P211" i="35"/>
  <c r="G526" i="33"/>
  <c r="G553" i="33"/>
  <c r="G203" i="35"/>
  <c r="N203" i="35"/>
  <c r="G472" i="33"/>
  <c r="H553" i="33"/>
  <c r="F526" i="33"/>
  <c r="I221" i="35"/>
  <c r="J221" i="35" s="1"/>
  <c r="L193" i="35"/>
  <c r="I193" i="35"/>
  <c r="I211" i="35"/>
  <c r="P203" i="35"/>
  <c r="E499" i="33"/>
  <c r="H526" i="33"/>
  <c r="G221" i="35"/>
  <c r="H221" i="35" s="1"/>
  <c r="G193" i="35"/>
  <c r="N193" i="35"/>
  <c r="G211" i="35"/>
  <c r="E203" i="35"/>
  <c r="G499" i="33"/>
  <c r="F499" i="33"/>
  <c r="F472" i="33"/>
  <c r="L221" i="35"/>
  <c r="E211" i="35"/>
  <c r="L211" i="35"/>
  <c r="E526" i="33"/>
  <c r="E553" i="33"/>
  <c r="L203" i="35"/>
  <c r="I203" i="35"/>
  <c r="J203" i="35" s="1"/>
  <c r="E472" i="33"/>
  <c r="F553" i="33"/>
  <c r="H499" i="33"/>
  <c r="H472" i="33"/>
  <c r="R210" i="35"/>
  <c r="Q210" i="35" s="1"/>
  <c r="P257" i="35" a="1"/>
  <c r="P257" i="35" s="1"/>
  <c r="L257" i="35" a="1"/>
  <c r="L257" i="35" s="1"/>
  <c r="G257" i="35" a="1"/>
  <c r="G257" i="35" s="1"/>
  <c r="H257" i="35" s="1"/>
  <c r="I257" i="35" a="1"/>
  <c r="I257" i="35" s="1"/>
  <c r="J257" i="35" s="1"/>
  <c r="E257" i="35" a="1"/>
  <c r="E257" i="35" s="1"/>
  <c r="F257" i="35" s="1"/>
  <c r="N257" i="35" a="1"/>
  <c r="N257" i="35" s="1"/>
  <c r="E635" i="33" a="1"/>
  <c r="E635" i="33" s="1"/>
  <c r="G635" i="33" a="1"/>
  <c r="G635" i="33" s="1"/>
  <c r="E581" i="33" a="1"/>
  <c r="E581" i="33" s="1"/>
  <c r="G581" i="33" a="1"/>
  <c r="G581" i="33" s="1"/>
  <c r="G662" i="33" a="1"/>
  <c r="G662" i="33" s="1"/>
  <c r="E662" i="33" a="1"/>
  <c r="E662" i="33" s="1"/>
  <c r="E608" i="33" a="1"/>
  <c r="E608" i="33" s="1"/>
  <c r="G608" i="33" a="1"/>
  <c r="G608" i="33" s="1"/>
  <c r="P248" i="35" a="1"/>
  <c r="P248" i="35" s="1"/>
  <c r="Q248" i="35" s="1"/>
  <c r="L248" i="35" a="1"/>
  <c r="L248" i="35" s="1"/>
  <c r="G248" i="35" a="1"/>
  <c r="G248" i="35" s="1"/>
  <c r="N248" i="35" a="1"/>
  <c r="N248" i="35" s="1"/>
  <c r="O248" i="35" s="1"/>
  <c r="E248" i="35" a="1"/>
  <c r="E248" i="35" s="1"/>
  <c r="F248" i="35" s="1"/>
  <c r="I248" i="35" a="1"/>
  <c r="I248" i="35" s="1"/>
  <c r="J248" i="35" s="1"/>
  <c r="P239" i="35" a="1"/>
  <c r="P239" i="35" s="1"/>
  <c r="Q239" i="35" s="1"/>
  <c r="L239" i="35" a="1"/>
  <c r="L239" i="35" s="1"/>
  <c r="M239" i="35" s="1"/>
  <c r="G239" i="35" a="1"/>
  <c r="G239" i="35" s="1"/>
  <c r="I239" i="35" a="1"/>
  <c r="I239" i="35" s="1"/>
  <c r="J239" i="35" s="1"/>
  <c r="N239" i="35" a="1"/>
  <c r="N239" i="35" s="1"/>
  <c r="O239" i="35" s="1"/>
  <c r="E239" i="35" a="1"/>
  <c r="E239" i="35" s="1"/>
  <c r="P230" i="35" a="1"/>
  <c r="P230" i="35" s="1"/>
  <c r="L230" i="35" a="1"/>
  <c r="L230" i="35" s="1"/>
  <c r="G230" i="35" a="1"/>
  <c r="G230" i="35" s="1"/>
  <c r="N230" i="35" a="1"/>
  <c r="N230" i="35" s="1"/>
  <c r="E230" i="35" a="1"/>
  <c r="E230" i="35" s="1"/>
  <c r="I230" i="35" a="1"/>
  <c r="I230" i="35" s="1"/>
  <c r="K220" i="35"/>
  <c r="H220" i="35" s="1"/>
  <c r="W220" i="35"/>
  <c r="C195" i="35"/>
  <c r="C159" i="35"/>
  <c r="C213" i="35"/>
  <c r="C177" i="35"/>
  <c r="Y248" i="35"/>
  <c r="U248" i="35"/>
  <c r="V248" i="35" s="1"/>
  <c r="C249" i="35"/>
  <c r="W248" i="35"/>
  <c r="X248" i="35" s="1"/>
  <c r="S248" i="35"/>
  <c r="T248" i="35" s="1"/>
  <c r="R248" i="35"/>
  <c r="K248" i="35"/>
  <c r="Q247" i="35"/>
  <c r="R239" i="35"/>
  <c r="K239" i="35"/>
  <c r="Y239" i="35"/>
  <c r="U239" i="35"/>
  <c r="V239" i="35" s="1"/>
  <c r="C240" i="35"/>
  <c r="W239" i="35"/>
  <c r="X239" i="35" s="1"/>
  <c r="S239" i="35"/>
  <c r="Q238" i="35"/>
  <c r="M229" i="35"/>
  <c r="X229" i="35"/>
  <c r="O229" i="35"/>
  <c r="J229" i="35"/>
  <c r="V229" i="35"/>
  <c r="J256" i="35"/>
  <c r="V256" i="35"/>
  <c r="F256" i="35"/>
  <c r="T256" i="35"/>
  <c r="H256" i="35"/>
  <c r="C258" i="35"/>
  <c r="W257" i="35"/>
  <c r="S257" i="35"/>
  <c r="T257" i="35" s="1"/>
  <c r="R257" i="35"/>
  <c r="K257" i="35"/>
  <c r="Y257" i="35"/>
  <c r="U257" i="35"/>
  <c r="V257" i="35" s="1"/>
  <c r="M238" i="35"/>
  <c r="X238" i="35"/>
  <c r="O238" i="35"/>
  <c r="J238" i="35"/>
  <c r="V238" i="35"/>
  <c r="F229" i="35"/>
  <c r="T229" i="35"/>
  <c r="H229" i="35"/>
  <c r="W230" i="35"/>
  <c r="S230" i="35"/>
  <c r="R230" i="35"/>
  <c r="K230" i="35"/>
  <c r="Y230" i="35"/>
  <c r="U230" i="35"/>
  <c r="C231" i="35"/>
  <c r="Q229" i="35"/>
  <c r="B42" i="33"/>
  <c r="B636" i="33"/>
  <c r="I635" i="33"/>
  <c r="B582" i="33"/>
  <c r="I581" i="33"/>
  <c r="B528" i="33"/>
  <c r="B474" i="33"/>
  <c r="B420" i="33"/>
  <c r="B366" i="33"/>
  <c r="B663" i="33"/>
  <c r="I662" i="33"/>
  <c r="B555" i="33"/>
  <c r="B501" i="33"/>
  <c r="B447" i="33"/>
  <c r="B393" i="33"/>
  <c r="B231" i="33"/>
  <c r="B177" i="33"/>
  <c r="B123" i="33"/>
  <c r="B69" i="33"/>
  <c r="B339" i="33"/>
  <c r="B285" i="33"/>
  <c r="B609" i="33"/>
  <c r="I608" i="33"/>
  <c r="B312" i="33"/>
  <c r="B258" i="33"/>
  <c r="B204" i="33"/>
  <c r="B150" i="33"/>
  <c r="B96" i="33"/>
  <c r="I525" i="33"/>
  <c r="I498" i="33"/>
  <c r="I552" i="33"/>
  <c r="G204" i="35" a="1"/>
  <c r="H554" i="33" a="1"/>
  <c r="E527" i="33" a="1"/>
  <c r="E473" i="33" a="1"/>
  <c r="I194" i="35" a="1"/>
  <c r="L212" i="35" a="1"/>
  <c r="E204" i="35" a="1"/>
  <c r="E212" i="35" a="1"/>
  <c r="P212" i="35" a="1"/>
  <c r="E222" i="35" a="1"/>
  <c r="H473" i="33" a="1"/>
  <c r="G527" i="33" a="1"/>
  <c r="G212" i="35" a="1"/>
  <c r="G222" i="35" a="1"/>
  <c r="L204" i="35" a="1"/>
  <c r="F527" i="33" a="1"/>
  <c r="I222" i="35" a="1"/>
  <c r="N194" i="35" a="1"/>
  <c r="P222" i="35" a="1"/>
  <c r="N204" i="35" a="1"/>
  <c r="E554" i="33" a="1"/>
  <c r="F500" i="33" a="1"/>
  <c r="F473" i="33" a="1"/>
  <c r="N222" i="35" a="1"/>
  <c r="G554" i="33" a="1"/>
  <c r="P194" i="35" a="1"/>
  <c r="E500" i="33" a="1"/>
  <c r="F554" i="33" a="1"/>
  <c r="I212" i="35" a="1"/>
  <c r="G473" i="33" a="1"/>
  <c r="N212" i="35" a="1"/>
  <c r="L222" i="35" a="1"/>
  <c r="H500" i="33" a="1"/>
  <c r="G500" i="33" a="1"/>
  <c r="G194" i="35" a="1"/>
  <c r="L194" i="35" a="1"/>
  <c r="I204" i="35" a="1"/>
  <c r="E194" i="35" a="1"/>
  <c r="P204" i="35" a="1"/>
  <c r="H527" i="33" a="1"/>
  <c r="O210" i="35" l="1"/>
  <c r="V219" i="35"/>
  <c r="V201" i="35"/>
  <c r="J210" i="35"/>
  <c r="T201" i="35"/>
  <c r="T219" i="35"/>
  <c r="H210" i="35"/>
  <c r="F202" i="35"/>
  <c r="Q220" i="35"/>
  <c r="M202" i="35"/>
  <c r="Q202" i="35"/>
  <c r="O220" i="35"/>
  <c r="J202" i="35"/>
  <c r="F220" i="35"/>
  <c r="J220" i="35"/>
  <c r="Y202" i="35"/>
  <c r="X202" i="35" s="1"/>
  <c r="S211" i="35"/>
  <c r="K221" i="35"/>
  <c r="Y210" i="35"/>
  <c r="X210" i="35" s="1"/>
  <c r="U211" i="35"/>
  <c r="W203" i="35"/>
  <c r="X203" i="35" s="1"/>
  <c r="W221" i="35"/>
  <c r="W211" i="35"/>
  <c r="S221" i="35"/>
  <c r="U221" i="35"/>
  <c r="K211" i="35"/>
  <c r="F211" i="35" s="1"/>
  <c r="U203" i="35"/>
  <c r="R211" i="35"/>
  <c r="O211" i="35" s="1"/>
  <c r="R221" i="35"/>
  <c r="O221" i="35" s="1"/>
  <c r="G212" i="35"/>
  <c r="N204" i="35"/>
  <c r="L212" i="35"/>
  <c r="L204" i="35"/>
  <c r="L205" i="35" s="1"/>
  <c r="E500" i="33"/>
  <c r="L194" i="35"/>
  <c r="E212" i="35"/>
  <c r="P212" i="35"/>
  <c r="E204" i="35"/>
  <c r="E205" i="35" s="1"/>
  <c r="G500" i="33"/>
  <c r="G473" i="33"/>
  <c r="E194" i="35"/>
  <c r="E222" i="35"/>
  <c r="P222" i="35"/>
  <c r="G554" i="33"/>
  <c r="H473" i="33"/>
  <c r="F554" i="33"/>
  <c r="N212" i="35"/>
  <c r="G204" i="35"/>
  <c r="I204" i="35"/>
  <c r="G194" i="35"/>
  <c r="I194" i="35"/>
  <c r="N222" i="35"/>
  <c r="N223" i="35" s="1"/>
  <c r="E527" i="33"/>
  <c r="H554" i="33"/>
  <c r="P194" i="35"/>
  <c r="N194" i="35"/>
  <c r="G222" i="35"/>
  <c r="G527" i="33"/>
  <c r="F500" i="33"/>
  <c r="F527" i="33"/>
  <c r="P204" i="35"/>
  <c r="Q204" i="35" s="1"/>
  <c r="I212" i="35"/>
  <c r="E473" i="33"/>
  <c r="I222" i="35"/>
  <c r="L222" i="35"/>
  <c r="L223" i="35" s="1"/>
  <c r="E554" i="33"/>
  <c r="F473" i="33"/>
  <c r="H500" i="33"/>
  <c r="H527" i="33"/>
  <c r="Y220" i="35"/>
  <c r="X220" i="35" s="1"/>
  <c r="E609" i="33" a="1"/>
  <c r="E609" i="33" s="1"/>
  <c r="G609" i="33" a="1"/>
  <c r="G609" i="33" s="1"/>
  <c r="G663" i="33" a="1"/>
  <c r="G663" i="33" s="1"/>
  <c r="E663" i="33" a="1"/>
  <c r="E663" i="33" s="1"/>
  <c r="E582" i="33" a="1"/>
  <c r="E582" i="33" s="1"/>
  <c r="G582" i="33" a="1"/>
  <c r="G582" i="33" s="1"/>
  <c r="E636" i="33" a="1"/>
  <c r="E636" i="33" s="1"/>
  <c r="G636" i="33" a="1"/>
  <c r="G636" i="33" s="1"/>
  <c r="P231" i="35" a="1"/>
  <c r="P231" i="35" s="1"/>
  <c r="L231" i="35" a="1"/>
  <c r="L231" i="35" s="1"/>
  <c r="L232" i="35" s="1"/>
  <c r="M232" i="35" s="1"/>
  <c r="G231" i="35" a="1"/>
  <c r="G231" i="35" s="1"/>
  <c r="I231" i="35" a="1"/>
  <c r="I231" i="35" s="1"/>
  <c r="I232" i="35" s="1"/>
  <c r="J232" i="35" s="1"/>
  <c r="N231" i="35" a="1"/>
  <c r="N231" i="35" s="1"/>
  <c r="N232" i="35" s="1"/>
  <c r="O232" i="35" s="1"/>
  <c r="E231" i="35" a="1"/>
  <c r="E231" i="35" s="1"/>
  <c r="E232" i="35" s="1"/>
  <c r="F232" i="35" s="1"/>
  <c r="P258" i="35" a="1"/>
  <c r="P258" i="35" s="1"/>
  <c r="Q258" i="35" s="1"/>
  <c r="L258" i="35" a="1"/>
  <c r="L258" i="35" s="1"/>
  <c r="M258" i="35" s="1"/>
  <c r="G258" i="35" a="1"/>
  <c r="G258" i="35" s="1"/>
  <c r="H258" i="35" s="1"/>
  <c r="N258" i="35" a="1"/>
  <c r="N258" i="35" s="1"/>
  <c r="O258" i="35" s="1"/>
  <c r="E258" i="35" a="1"/>
  <c r="E258" i="35" s="1"/>
  <c r="F258" i="35" s="1"/>
  <c r="I258" i="35" a="1"/>
  <c r="I258" i="35" s="1"/>
  <c r="J258" i="35" s="1"/>
  <c r="P240" i="35" a="1"/>
  <c r="P240" i="35" s="1"/>
  <c r="L240" i="35" a="1"/>
  <c r="L240" i="35" s="1"/>
  <c r="G240" i="35" a="1"/>
  <c r="G240" i="35" s="1"/>
  <c r="H240" i="35" s="1"/>
  <c r="N240" i="35" a="1"/>
  <c r="N240" i="35" s="1"/>
  <c r="E240" i="35" a="1"/>
  <c r="E240" i="35" s="1"/>
  <c r="F240" i="35" s="1"/>
  <c r="I240" i="35" a="1"/>
  <c r="I240" i="35" s="1"/>
  <c r="P249" i="35" a="1"/>
  <c r="P249" i="35" s="1"/>
  <c r="L249" i="35" a="1"/>
  <c r="L249" i="35" s="1"/>
  <c r="M249" i="35" s="1"/>
  <c r="G249" i="35" a="1"/>
  <c r="G249" i="35" s="1"/>
  <c r="H249" i="35" s="1"/>
  <c r="I249" i="35" a="1"/>
  <c r="I249" i="35" s="1"/>
  <c r="E249" i="35" a="1"/>
  <c r="E249" i="35" s="1"/>
  <c r="N249" i="35" a="1"/>
  <c r="N249" i="35" s="1"/>
  <c r="S203" i="35"/>
  <c r="Q203" i="35"/>
  <c r="R203" i="35"/>
  <c r="M203" i="35" s="1"/>
  <c r="K203" i="35"/>
  <c r="F203" i="35" s="1"/>
  <c r="O230" i="35"/>
  <c r="J230" i="35"/>
  <c r="V230" i="35"/>
  <c r="F230" i="35"/>
  <c r="T230" i="35"/>
  <c r="H230" i="35"/>
  <c r="W231" i="35"/>
  <c r="S231" i="35"/>
  <c r="S232" i="35" s="1"/>
  <c r="T232" i="35" s="1"/>
  <c r="Y231" i="35"/>
  <c r="Y232" i="35" s="1"/>
  <c r="U231" i="35"/>
  <c r="U232" i="35" s="1"/>
  <c r="V232" i="35" s="1"/>
  <c r="R231" i="35"/>
  <c r="R232" i="35" s="1"/>
  <c r="K231" i="35"/>
  <c r="K232" i="35" s="1"/>
  <c r="Q230" i="35"/>
  <c r="M230" i="35"/>
  <c r="X230" i="35"/>
  <c r="Q257" i="35"/>
  <c r="M257" i="35"/>
  <c r="X257" i="35"/>
  <c r="O257" i="35"/>
  <c r="H248" i="35"/>
  <c r="W249" i="35"/>
  <c r="S249" i="35"/>
  <c r="Y249" i="35"/>
  <c r="Y250" i="35" s="1"/>
  <c r="U249" i="35"/>
  <c r="R249" i="35"/>
  <c r="R250" i="35" s="1"/>
  <c r="K249" i="35"/>
  <c r="K250" i="35" s="1"/>
  <c r="R258" i="35"/>
  <c r="R259" i="35" s="1"/>
  <c r="K258" i="35"/>
  <c r="K259" i="35" s="1"/>
  <c r="Y258" i="35"/>
  <c r="Y259" i="35" s="1"/>
  <c r="U258" i="35"/>
  <c r="V258" i="35" s="1"/>
  <c r="W258" i="35"/>
  <c r="X258" i="35" s="1"/>
  <c r="S258" i="35"/>
  <c r="T258" i="35" s="1"/>
  <c r="F239" i="35"/>
  <c r="T239" i="35"/>
  <c r="H239" i="35"/>
  <c r="W240" i="35"/>
  <c r="S240" i="35"/>
  <c r="T240" i="35" s="1"/>
  <c r="R240" i="35"/>
  <c r="R241" i="35" s="1"/>
  <c r="K240" i="35"/>
  <c r="K241" i="35" s="1"/>
  <c r="Y240" i="35"/>
  <c r="Y241" i="35" s="1"/>
  <c r="U240" i="35"/>
  <c r="M248" i="35"/>
  <c r="W232" i="35"/>
  <c r="X232" i="35" s="1"/>
  <c r="I499" i="33"/>
  <c r="I553" i="33"/>
  <c r="I526" i="33"/>
  <c r="B97" i="33"/>
  <c r="B151" i="33"/>
  <c r="B205" i="33"/>
  <c r="B259" i="33"/>
  <c r="B313" i="33"/>
  <c r="B610" i="33"/>
  <c r="I609" i="33"/>
  <c r="J609" i="33" s="1"/>
  <c r="B286" i="33"/>
  <c r="B340" i="33"/>
  <c r="B70" i="33"/>
  <c r="B124" i="33"/>
  <c r="B178" i="33"/>
  <c r="B232" i="33"/>
  <c r="B394" i="33"/>
  <c r="B448" i="33"/>
  <c r="B502" i="33"/>
  <c r="B556" i="33"/>
  <c r="B664" i="33"/>
  <c r="I663" i="33"/>
  <c r="J663" i="33" s="1"/>
  <c r="B367" i="33"/>
  <c r="B421" i="33"/>
  <c r="B475" i="33"/>
  <c r="B529" i="33"/>
  <c r="B583" i="33"/>
  <c r="I582" i="33"/>
  <c r="J582" i="33" s="1"/>
  <c r="B637" i="33"/>
  <c r="I636" i="33"/>
  <c r="J636" i="33" s="1"/>
  <c r="B43" i="33"/>
  <c r="J608" i="33"/>
  <c r="J662" i="33"/>
  <c r="J581" i="33"/>
  <c r="J635" i="33"/>
  <c r="E474" i="33" a="1"/>
  <c r="G555" i="33" a="1"/>
  <c r="H528" i="33" a="1"/>
  <c r="E555" i="33" a="1"/>
  <c r="N195" i="35" a="1"/>
  <c r="G195" i="35" a="1"/>
  <c r="I195" i="35" a="1"/>
  <c r="G501" i="33" a="1"/>
  <c r="N213" i="35" a="1"/>
  <c r="G474" i="33" a="1"/>
  <c r="L195" i="35" a="1"/>
  <c r="G213" i="35" a="1"/>
  <c r="E528" i="33" a="1"/>
  <c r="H501" i="33" a="1"/>
  <c r="P195" i="35" a="1"/>
  <c r="E501" i="33" a="1"/>
  <c r="L213" i="35" a="1"/>
  <c r="F474" i="33" a="1"/>
  <c r="I213" i="35" a="1"/>
  <c r="E195" i="35" a="1"/>
  <c r="H474" i="33" a="1"/>
  <c r="G528" i="33" a="1"/>
  <c r="F501" i="33" a="1"/>
  <c r="E213" i="35" a="1"/>
  <c r="H555" i="33" a="1"/>
  <c r="F528" i="33" a="1"/>
  <c r="P213" i="35" a="1"/>
  <c r="F555" i="33" a="1"/>
  <c r="M221" i="35" l="1"/>
  <c r="T210" i="35"/>
  <c r="M211" i="35"/>
  <c r="H203" i="35"/>
  <c r="Q221" i="35"/>
  <c r="V210" i="35"/>
  <c r="Q211" i="35"/>
  <c r="H211" i="35"/>
  <c r="J211" i="35"/>
  <c r="T202" i="35"/>
  <c r="V202" i="35"/>
  <c r="O203" i="35"/>
  <c r="V220" i="35"/>
  <c r="T220" i="35"/>
  <c r="G223" i="35"/>
  <c r="N205" i="35"/>
  <c r="P205" i="35"/>
  <c r="I205" i="35"/>
  <c r="G205" i="35"/>
  <c r="S212" i="35"/>
  <c r="R212" i="35"/>
  <c r="Q212" i="35" s="1"/>
  <c r="Y221" i="35"/>
  <c r="X221" i="35" s="1"/>
  <c r="Y211" i="35"/>
  <c r="T211" i="35" s="1"/>
  <c r="U212" i="35"/>
  <c r="U222" i="35"/>
  <c r="W204" i="35"/>
  <c r="W212" i="35"/>
  <c r="S204" i="35"/>
  <c r="S205" i="35" s="1"/>
  <c r="R204" i="35"/>
  <c r="R205" i="35" s="1"/>
  <c r="M205" i="35" s="1"/>
  <c r="K212" i="35"/>
  <c r="J212" i="35" s="1"/>
  <c r="U204" i="35"/>
  <c r="K204" i="35"/>
  <c r="F204" i="35" s="1"/>
  <c r="N195" i="35"/>
  <c r="G213" i="35"/>
  <c r="G214" i="35" s="1"/>
  <c r="P195" i="35"/>
  <c r="N213" i="35"/>
  <c r="L213" i="35"/>
  <c r="E501" i="33"/>
  <c r="H474" i="33"/>
  <c r="F528" i="33"/>
  <c r="E195" i="35"/>
  <c r="E213" i="35"/>
  <c r="E214" i="35" s="1"/>
  <c r="P213" i="35"/>
  <c r="P214" i="35" s="1"/>
  <c r="G501" i="33"/>
  <c r="H528" i="33"/>
  <c r="L195" i="35"/>
  <c r="I195" i="35"/>
  <c r="I213" i="35"/>
  <c r="E474" i="33"/>
  <c r="E528" i="33"/>
  <c r="E555" i="33"/>
  <c r="F501" i="33"/>
  <c r="F555" i="33"/>
  <c r="G195" i="35"/>
  <c r="G474" i="33"/>
  <c r="G528" i="33"/>
  <c r="G555" i="33"/>
  <c r="F474" i="33"/>
  <c r="H501" i="33"/>
  <c r="H555" i="33"/>
  <c r="E637" i="33" a="1"/>
  <c r="E637" i="33" s="1"/>
  <c r="G637" i="33" a="1"/>
  <c r="G637" i="33" s="1"/>
  <c r="E583" i="33" a="1"/>
  <c r="E583" i="33" s="1"/>
  <c r="G583" i="33" a="1"/>
  <c r="G583" i="33" s="1"/>
  <c r="G664" i="33" a="1"/>
  <c r="G664" i="33" s="1"/>
  <c r="E664" i="33" a="1"/>
  <c r="E664" i="33" s="1"/>
  <c r="E610" i="33" a="1"/>
  <c r="E610" i="33" s="1"/>
  <c r="G610" i="33" a="1"/>
  <c r="G610" i="33" s="1"/>
  <c r="E223" i="35"/>
  <c r="S222" i="35"/>
  <c r="R222" i="35"/>
  <c r="R223" i="35" s="1"/>
  <c r="O223" i="35" s="1"/>
  <c r="P223" i="35"/>
  <c r="I223" i="35"/>
  <c r="W222" i="35"/>
  <c r="K222" i="35"/>
  <c r="K223" i="35" s="1"/>
  <c r="Y203" i="35"/>
  <c r="T203" i="35" s="1"/>
  <c r="G259" i="35"/>
  <c r="H259" i="35" s="1"/>
  <c r="L250" i="35"/>
  <c r="M250" i="35" s="1"/>
  <c r="I259" i="35"/>
  <c r="J259" i="35" s="1"/>
  <c r="J240" i="35"/>
  <c r="I241" i="35"/>
  <c r="J241" i="35" s="1"/>
  <c r="Q240" i="35"/>
  <c r="P241" i="35"/>
  <c r="Q241" i="35" s="1"/>
  <c r="M240" i="35"/>
  <c r="L241" i="35"/>
  <c r="M241" i="35" s="1"/>
  <c r="X240" i="35"/>
  <c r="W241" i="35"/>
  <c r="X241" i="35" s="1"/>
  <c r="O240" i="35"/>
  <c r="N241" i="35"/>
  <c r="O241" i="35" s="1"/>
  <c r="J249" i="35"/>
  <c r="I250" i="35"/>
  <c r="J250" i="35" s="1"/>
  <c r="V249" i="35"/>
  <c r="U250" i="35"/>
  <c r="V250" i="35" s="1"/>
  <c r="F249" i="35"/>
  <c r="E250" i="35"/>
  <c r="F250" i="35" s="1"/>
  <c r="T249" i="35"/>
  <c r="S250" i="35"/>
  <c r="T250" i="35" s="1"/>
  <c r="J231" i="35"/>
  <c r="V231" i="35"/>
  <c r="H231" i="35"/>
  <c r="F231" i="35"/>
  <c r="T231" i="35"/>
  <c r="G241" i="35"/>
  <c r="H241" i="35" s="1"/>
  <c r="U259" i="35"/>
  <c r="V259" i="35" s="1"/>
  <c r="S259" i="35"/>
  <c r="T259" i="35" s="1"/>
  <c r="G250" i="35"/>
  <c r="H250" i="35" s="1"/>
  <c r="N259" i="35"/>
  <c r="O259" i="35" s="1"/>
  <c r="W259" i="35"/>
  <c r="X259" i="35" s="1"/>
  <c r="L259" i="35"/>
  <c r="M259" i="35" s="1"/>
  <c r="P259" i="35"/>
  <c r="Q259" i="35" s="1"/>
  <c r="G232" i="35"/>
  <c r="H232" i="35" s="1"/>
  <c r="V240" i="35"/>
  <c r="U241" i="35"/>
  <c r="V241" i="35" s="1"/>
  <c r="Q249" i="35"/>
  <c r="P250" i="35"/>
  <c r="Q250" i="35" s="1"/>
  <c r="O249" i="35"/>
  <c r="N250" i="35"/>
  <c r="O250" i="35" s="1"/>
  <c r="X249" i="35"/>
  <c r="W250" i="35"/>
  <c r="X250" i="35" s="1"/>
  <c r="Q231" i="35"/>
  <c r="P232" i="35"/>
  <c r="Q232" i="35" s="1"/>
  <c r="O231" i="35"/>
  <c r="M231" i="35"/>
  <c r="X231" i="35"/>
  <c r="S241" i="35"/>
  <c r="T241" i="35" s="1"/>
  <c r="E241" i="35"/>
  <c r="F241" i="35" s="1"/>
  <c r="E259" i="35"/>
  <c r="F259" i="35" s="1"/>
  <c r="B44" i="33"/>
  <c r="B638" i="33"/>
  <c r="I637" i="33"/>
  <c r="B584" i="33"/>
  <c r="I583" i="33"/>
  <c r="B530" i="33"/>
  <c r="B476" i="33"/>
  <c r="B422" i="33"/>
  <c r="B368" i="33"/>
  <c r="B665" i="33"/>
  <c r="I664" i="33"/>
  <c r="B557" i="33"/>
  <c r="B503" i="33"/>
  <c r="B449" i="33"/>
  <c r="B395" i="33"/>
  <c r="B233" i="33"/>
  <c r="B179" i="33"/>
  <c r="B125" i="33"/>
  <c r="B71" i="33"/>
  <c r="B341" i="33"/>
  <c r="B287" i="33"/>
  <c r="B611" i="33"/>
  <c r="I610" i="33"/>
  <c r="B314" i="33"/>
  <c r="B260" i="33"/>
  <c r="B206" i="33"/>
  <c r="B152" i="33"/>
  <c r="B98" i="33"/>
  <c r="I527" i="33"/>
  <c r="I500" i="33"/>
  <c r="I554" i="33"/>
  <c r="E475" i="33" a="1"/>
  <c r="H556" i="33" a="1"/>
  <c r="F475" i="33" a="1"/>
  <c r="H529" i="33" a="1"/>
  <c r="G556" i="33" a="1"/>
  <c r="F556" i="33" a="1"/>
  <c r="H475" i="33" a="1"/>
  <c r="E529" i="33" a="1"/>
  <c r="F502" i="33" a="1"/>
  <c r="E556" i="33" a="1"/>
  <c r="E502" i="33" a="1"/>
  <c r="F529" i="33" a="1"/>
  <c r="G529" i="33" a="1"/>
  <c r="G475" i="33" a="1"/>
  <c r="H502" i="33" a="1"/>
  <c r="G502" i="33" a="1"/>
  <c r="T221" i="35" l="1"/>
  <c r="H212" i="35"/>
  <c r="Q222" i="35"/>
  <c r="O222" i="35"/>
  <c r="O212" i="35"/>
  <c r="V221" i="35"/>
  <c r="M212" i="35"/>
  <c r="F212" i="35"/>
  <c r="J204" i="35"/>
  <c r="Q223" i="35"/>
  <c r="V211" i="35"/>
  <c r="H204" i="35"/>
  <c r="H222" i="35"/>
  <c r="H223" i="35"/>
  <c r="Q205" i="35"/>
  <c r="X211" i="35"/>
  <c r="J222" i="35"/>
  <c r="J223" i="35"/>
  <c r="V203" i="35"/>
  <c r="O205" i="35"/>
  <c r="O204" i="35"/>
  <c r="U223" i="35"/>
  <c r="N214" i="35"/>
  <c r="M223" i="35"/>
  <c r="M222" i="35"/>
  <c r="F223" i="35"/>
  <c r="F222" i="35"/>
  <c r="L214" i="35"/>
  <c r="U205" i="35"/>
  <c r="M204" i="35"/>
  <c r="W205" i="35"/>
  <c r="K205" i="35"/>
  <c r="F205" i="35" s="1"/>
  <c r="Y212" i="35"/>
  <c r="T212" i="35" s="1"/>
  <c r="S213" i="35"/>
  <c r="S214" i="35" s="1"/>
  <c r="Y204" i="35"/>
  <c r="T204" i="35" s="1"/>
  <c r="E556" i="33"/>
  <c r="F556" i="33"/>
  <c r="F502" i="33"/>
  <c r="G556" i="33"/>
  <c r="H556" i="33"/>
  <c r="H502" i="33"/>
  <c r="E502" i="33"/>
  <c r="E475" i="33"/>
  <c r="E529" i="33"/>
  <c r="F529" i="33"/>
  <c r="F475" i="33"/>
  <c r="G502" i="33"/>
  <c r="G475" i="33"/>
  <c r="G529" i="33"/>
  <c r="H529" i="33"/>
  <c r="H475" i="33"/>
  <c r="E611" i="33" a="1"/>
  <c r="E611" i="33" s="1"/>
  <c r="G611" i="33" a="1"/>
  <c r="G611" i="33" s="1"/>
  <c r="G665" i="33" a="1"/>
  <c r="G665" i="33" s="1"/>
  <c r="E665" i="33" a="1"/>
  <c r="E665" i="33" s="1"/>
  <c r="E584" i="33" a="1"/>
  <c r="E584" i="33" s="1"/>
  <c r="G584" i="33" a="1"/>
  <c r="G584" i="33" s="1"/>
  <c r="E638" i="33" a="1"/>
  <c r="E638" i="33" s="1"/>
  <c r="G638" i="33" a="1"/>
  <c r="G638" i="33" s="1"/>
  <c r="S223" i="35"/>
  <c r="W223" i="35"/>
  <c r="R213" i="35"/>
  <c r="R214" i="35" s="1"/>
  <c r="Q214" i="35" s="1"/>
  <c r="W213" i="35"/>
  <c r="U213" i="35"/>
  <c r="K213" i="35"/>
  <c r="K214" i="35" s="1"/>
  <c r="F214" i="35" s="1"/>
  <c r="I214" i="35"/>
  <c r="Y222" i="35"/>
  <c r="Y223" i="35" s="1"/>
  <c r="I501" i="33"/>
  <c r="I555" i="33"/>
  <c r="I528" i="33"/>
  <c r="B99" i="33"/>
  <c r="B153" i="33"/>
  <c r="B207" i="33"/>
  <c r="B261" i="33"/>
  <c r="B315" i="33"/>
  <c r="B612" i="33"/>
  <c r="I611" i="33"/>
  <c r="J611" i="33" s="1"/>
  <c r="B288" i="33"/>
  <c r="B342" i="33"/>
  <c r="B72" i="33"/>
  <c r="B126" i="33"/>
  <c r="B180" i="33"/>
  <c r="B234" i="33"/>
  <c r="B396" i="33"/>
  <c r="B450" i="33"/>
  <c r="B504" i="33"/>
  <c r="B558" i="33"/>
  <c r="B666" i="33"/>
  <c r="I665" i="33"/>
  <c r="J665" i="33" s="1"/>
  <c r="B369" i="33"/>
  <c r="B423" i="33"/>
  <c r="B477" i="33"/>
  <c r="B531" i="33"/>
  <c r="B585" i="33"/>
  <c r="I584" i="33"/>
  <c r="J584" i="33" s="1"/>
  <c r="B639" i="33"/>
  <c r="I638" i="33"/>
  <c r="J638" i="33" s="1"/>
  <c r="B45" i="33"/>
  <c r="J610" i="33"/>
  <c r="J664" i="33"/>
  <c r="J583" i="33"/>
  <c r="J637" i="33"/>
  <c r="H530" i="33" a="1"/>
  <c r="H557" i="33" a="1"/>
  <c r="F476" i="33" a="1"/>
  <c r="E476" i="33" a="1"/>
  <c r="H476" i="33" a="1"/>
  <c r="G557" i="33" a="1"/>
  <c r="E557" i="33" a="1"/>
  <c r="F530" i="33" a="1"/>
  <c r="E530" i="33" a="1"/>
  <c r="E503" i="33" a="1"/>
  <c r="G503" i="33" a="1"/>
  <c r="H503" i="33" a="1"/>
  <c r="G530" i="33" a="1"/>
  <c r="G476" i="33" a="1"/>
  <c r="F557" i="33" a="1"/>
  <c r="F503" i="33" a="1"/>
  <c r="Q213" i="35" l="1"/>
  <c r="H213" i="35"/>
  <c r="V212" i="35"/>
  <c r="O213" i="35"/>
  <c r="X212" i="35"/>
  <c r="X204" i="35"/>
  <c r="J213" i="35"/>
  <c r="H214" i="35"/>
  <c r="O214" i="35"/>
  <c r="J214" i="35"/>
  <c r="V222" i="35"/>
  <c r="V223" i="35"/>
  <c r="H205" i="35"/>
  <c r="J205" i="35"/>
  <c r="X223" i="35"/>
  <c r="X222" i="35"/>
  <c r="V204" i="35"/>
  <c r="T222" i="35"/>
  <c r="M213" i="35"/>
  <c r="T223" i="35"/>
  <c r="M214" i="35"/>
  <c r="F213" i="35"/>
  <c r="Y205" i="35"/>
  <c r="T205" i="35" s="1"/>
  <c r="G476" i="33"/>
  <c r="E503" i="33"/>
  <c r="F476" i="33"/>
  <c r="G503" i="33"/>
  <c r="H476" i="33"/>
  <c r="H503" i="33"/>
  <c r="E476" i="33"/>
  <c r="E530" i="33"/>
  <c r="E557" i="33"/>
  <c r="F530" i="33"/>
  <c r="F557" i="33"/>
  <c r="G530" i="33"/>
  <c r="G557" i="33"/>
  <c r="H530" i="33"/>
  <c r="H557" i="33"/>
  <c r="F503" i="33"/>
  <c r="E639" i="33" a="1"/>
  <c r="E639" i="33" s="1"/>
  <c r="G639" i="33" a="1"/>
  <c r="G639" i="33" s="1"/>
  <c r="E585" i="33" a="1"/>
  <c r="E585" i="33" s="1"/>
  <c r="G585" i="33" a="1"/>
  <c r="G585" i="33" s="1"/>
  <c r="G666" i="33" a="1"/>
  <c r="G666" i="33" s="1"/>
  <c r="E666" i="33" a="1"/>
  <c r="E666" i="33" s="1"/>
  <c r="E612" i="33" a="1"/>
  <c r="E612" i="33" s="1"/>
  <c r="G612" i="33" a="1"/>
  <c r="G612" i="33" s="1"/>
  <c r="W214" i="35"/>
  <c r="U214" i="35"/>
  <c r="Y213" i="35"/>
  <c r="Y214" i="35" s="1"/>
  <c r="T214" i="35" s="1"/>
  <c r="I556" i="33"/>
  <c r="B46" i="33"/>
  <c r="B640" i="33"/>
  <c r="I639" i="33"/>
  <c r="B586" i="33"/>
  <c r="I585" i="33"/>
  <c r="B532" i="33"/>
  <c r="B478" i="33"/>
  <c r="B424" i="33"/>
  <c r="B370" i="33"/>
  <c r="B667" i="33"/>
  <c r="I666" i="33"/>
  <c r="B559" i="33"/>
  <c r="B505" i="33"/>
  <c r="B451" i="33"/>
  <c r="B397" i="33"/>
  <c r="B235" i="33"/>
  <c r="B181" i="33"/>
  <c r="B127" i="33"/>
  <c r="B73" i="33"/>
  <c r="B343" i="33"/>
  <c r="B289" i="33"/>
  <c r="B613" i="33"/>
  <c r="I612" i="33"/>
  <c r="B316" i="33"/>
  <c r="B262" i="33"/>
  <c r="B208" i="33"/>
  <c r="B154" i="33"/>
  <c r="B100" i="33"/>
  <c r="I529" i="33"/>
  <c r="I502" i="33"/>
  <c r="E531" i="33" a="1"/>
  <c r="E558" i="33" a="1"/>
  <c r="F531" i="33" a="1"/>
  <c r="G531" i="33" a="1"/>
  <c r="G558" i="33" a="1"/>
  <c r="H531" i="33" a="1"/>
  <c r="H477" i="33" a="1"/>
  <c r="H558" i="33" a="1"/>
  <c r="F504" i="33" a="1"/>
  <c r="E504" i="33" a="1"/>
  <c r="H504" i="33" a="1"/>
  <c r="F558" i="33" a="1"/>
  <c r="G477" i="33" a="1"/>
  <c r="G504" i="33" a="1"/>
  <c r="E477" i="33" a="1"/>
  <c r="F477" i="33" a="1"/>
  <c r="V213" i="35" l="1"/>
  <c r="X213" i="35"/>
  <c r="V214" i="35"/>
  <c r="V205" i="35"/>
  <c r="X205" i="35"/>
  <c r="X214" i="35"/>
  <c r="T213" i="35"/>
  <c r="G531" i="33"/>
  <c r="G477" i="33"/>
  <c r="E558" i="33"/>
  <c r="F558" i="33"/>
  <c r="F531" i="33"/>
  <c r="G504" i="33"/>
  <c r="G558" i="33"/>
  <c r="H558" i="33"/>
  <c r="H531" i="33"/>
  <c r="E531" i="33"/>
  <c r="E504" i="33"/>
  <c r="E477" i="33"/>
  <c r="F477" i="33"/>
  <c r="F504" i="33"/>
  <c r="H477" i="33"/>
  <c r="H504" i="33"/>
  <c r="E613" i="33" a="1"/>
  <c r="E613" i="33" s="1"/>
  <c r="G613" i="33" a="1"/>
  <c r="G613" i="33" s="1"/>
  <c r="G667" i="33" a="1"/>
  <c r="G667" i="33" s="1"/>
  <c r="E667" i="33" a="1"/>
  <c r="E667" i="33" s="1"/>
  <c r="E586" i="33" a="1"/>
  <c r="E586" i="33" s="1"/>
  <c r="G586" i="33" a="1"/>
  <c r="G586" i="33" s="1"/>
  <c r="E640" i="33" a="1"/>
  <c r="E640" i="33" s="1"/>
  <c r="G640" i="33" a="1"/>
  <c r="G640" i="33" s="1"/>
  <c r="I503" i="33"/>
  <c r="I557" i="33"/>
  <c r="I530" i="33"/>
  <c r="B101" i="33"/>
  <c r="B155" i="33"/>
  <c r="B209" i="33"/>
  <c r="B263" i="33"/>
  <c r="B317" i="33"/>
  <c r="B614" i="33"/>
  <c r="I613" i="33"/>
  <c r="J613" i="33" s="1"/>
  <c r="B290" i="33"/>
  <c r="B344" i="33"/>
  <c r="B74" i="33"/>
  <c r="B128" i="33"/>
  <c r="B182" i="33"/>
  <c r="B236" i="33"/>
  <c r="B398" i="33"/>
  <c r="B452" i="33"/>
  <c r="B506" i="33"/>
  <c r="B560" i="33"/>
  <c r="B668" i="33"/>
  <c r="I667" i="33"/>
  <c r="J667" i="33" s="1"/>
  <c r="B371" i="33"/>
  <c r="B425" i="33"/>
  <c r="B479" i="33"/>
  <c r="B533" i="33"/>
  <c r="B587" i="33"/>
  <c r="I586" i="33"/>
  <c r="J586" i="33" s="1"/>
  <c r="B641" i="33"/>
  <c r="I640" i="33"/>
  <c r="J640" i="33" s="1"/>
  <c r="B47" i="33"/>
  <c r="J612" i="33"/>
  <c r="J666" i="33"/>
  <c r="J585" i="33"/>
  <c r="J639" i="33"/>
  <c r="E532" i="33" a="1"/>
  <c r="E559" i="33" a="1"/>
  <c r="F532" i="33" a="1"/>
  <c r="G478" i="33" a="1"/>
  <c r="H505" i="33" a="1"/>
  <c r="F559" i="33" a="1"/>
  <c r="H559" i="33" a="1"/>
  <c r="G559" i="33" a="1"/>
  <c r="F505" i="33" a="1"/>
  <c r="G505" i="33" a="1"/>
  <c r="E478" i="33" a="1"/>
  <c r="G532" i="33" a="1"/>
  <c r="F478" i="33" a="1"/>
  <c r="E505" i="33" a="1"/>
  <c r="H532" i="33" a="1"/>
  <c r="H478" i="33" a="1"/>
  <c r="G478" i="33" l="1"/>
  <c r="G532" i="33"/>
  <c r="H532" i="33"/>
  <c r="E505" i="33"/>
  <c r="F478" i="33"/>
  <c r="G505" i="33"/>
  <c r="H478" i="33"/>
  <c r="H559" i="33"/>
  <c r="E478" i="33"/>
  <c r="E532" i="33"/>
  <c r="E559" i="33"/>
  <c r="F532" i="33"/>
  <c r="F505" i="33"/>
  <c r="G559" i="33"/>
  <c r="H505" i="33"/>
  <c r="F559" i="33"/>
  <c r="E641" i="33" a="1"/>
  <c r="E641" i="33" s="1"/>
  <c r="G641" i="33" a="1"/>
  <c r="G641" i="33" s="1"/>
  <c r="E587" i="33" a="1"/>
  <c r="E587" i="33" s="1"/>
  <c r="G587" i="33" a="1"/>
  <c r="G587" i="33" s="1"/>
  <c r="G668" i="33" a="1"/>
  <c r="G668" i="33" s="1"/>
  <c r="E668" i="33" a="1"/>
  <c r="E668" i="33" s="1"/>
  <c r="E614" i="33" a="1"/>
  <c r="E614" i="33" s="1"/>
  <c r="G614" i="33" a="1"/>
  <c r="G614" i="33" s="1"/>
  <c r="I558" i="33"/>
  <c r="B48" i="33"/>
  <c r="B642" i="33"/>
  <c r="I641" i="33"/>
  <c r="J641" i="33" s="1"/>
  <c r="B588" i="33"/>
  <c r="I587" i="33"/>
  <c r="J587" i="33" s="1"/>
  <c r="B534" i="33"/>
  <c r="B480" i="33"/>
  <c r="B426" i="33"/>
  <c r="B372" i="33"/>
  <c r="B669" i="33"/>
  <c r="I668" i="33"/>
  <c r="J668" i="33" s="1"/>
  <c r="B561" i="33"/>
  <c r="B507" i="33"/>
  <c r="B453" i="33"/>
  <c r="B399" i="33"/>
  <c r="B237" i="33"/>
  <c r="B183" i="33"/>
  <c r="B129" i="33"/>
  <c r="B75" i="33"/>
  <c r="B345" i="33"/>
  <c r="B291" i="33"/>
  <c r="B615" i="33"/>
  <c r="I614" i="33"/>
  <c r="J614" i="33" s="1"/>
  <c r="B318" i="33"/>
  <c r="B264" i="33"/>
  <c r="B210" i="33"/>
  <c r="B156" i="33"/>
  <c r="B102" i="33"/>
  <c r="I531" i="33"/>
  <c r="I504" i="33"/>
  <c r="F506" i="33" a="1"/>
  <c r="G560" i="33" a="1"/>
  <c r="F479" i="33" a="1"/>
  <c r="H533" i="33" a="1"/>
  <c r="E560" i="33" a="1"/>
  <c r="F533" i="33" a="1"/>
  <c r="H560" i="33" a="1"/>
  <c r="H479" i="33" a="1"/>
  <c r="H506" i="33" a="1"/>
  <c r="G479" i="33" a="1"/>
  <c r="E533" i="33" a="1"/>
  <c r="E479" i="33" a="1"/>
  <c r="G506" i="33" a="1"/>
  <c r="G533" i="33" a="1"/>
  <c r="F560" i="33" a="1"/>
  <c r="E506" i="33" a="1"/>
  <c r="G560" i="33" l="1"/>
  <c r="H506" i="33"/>
  <c r="E506" i="33"/>
  <c r="E533" i="33"/>
  <c r="F560" i="33"/>
  <c r="F533" i="33"/>
  <c r="G506" i="33"/>
  <c r="G479" i="33"/>
  <c r="G533" i="33"/>
  <c r="H560" i="33"/>
  <c r="H533" i="33"/>
  <c r="E560" i="33"/>
  <c r="F506" i="33"/>
  <c r="F479" i="33"/>
  <c r="H479" i="33"/>
  <c r="E479" i="33"/>
  <c r="E615" i="33" a="1"/>
  <c r="E615" i="33" s="1"/>
  <c r="G615" i="33" a="1"/>
  <c r="G615" i="33" s="1"/>
  <c r="G669" i="33" a="1"/>
  <c r="G669" i="33" s="1"/>
  <c r="E669" i="33" a="1"/>
  <c r="E669" i="33" s="1"/>
  <c r="E588" i="33" a="1"/>
  <c r="E588" i="33" s="1"/>
  <c r="G588" i="33" a="1"/>
  <c r="G588" i="33" s="1"/>
  <c r="G642" i="33" a="1"/>
  <c r="G642" i="33" s="1"/>
  <c r="E642" i="33" a="1"/>
  <c r="E642" i="33" s="1"/>
  <c r="I505" i="33"/>
  <c r="I559" i="33"/>
  <c r="I532" i="33"/>
  <c r="B103" i="33"/>
  <c r="B157" i="33"/>
  <c r="B211" i="33"/>
  <c r="B265" i="33"/>
  <c r="B319" i="33"/>
  <c r="B616" i="33"/>
  <c r="I615" i="33"/>
  <c r="J615" i="33" s="1"/>
  <c r="B292" i="33"/>
  <c r="B346" i="33"/>
  <c r="B76" i="33"/>
  <c r="B130" i="33"/>
  <c r="B184" i="33"/>
  <c r="B238" i="33"/>
  <c r="B400" i="33"/>
  <c r="B454" i="33"/>
  <c r="B508" i="33"/>
  <c r="B562" i="33"/>
  <c r="B670" i="33"/>
  <c r="I669" i="33"/>
  <c r="J669" i="33" s="1"/>
  <c r="B373" i="33"/>
  <c r="B427" i="33"/>
  <c r="B481" i="33"/>
  <c r="B535" i="33"/>
  <c r="B589" i="33"/>
  <c r="I588" i="33"/>
  <c r="J588" i="33" s="1"/>
  <c r="B643" i="33"/>
  <c r="I642" i="33"/>
  <c r="J642" i="33" s="1"/>
  <c r="B49" i="33"/>
  <c r="G534" i="33" a="1"/>
  <c r="G561" i="33" a="1"/>
  <c r="G507" i="33" a="1"/>
  <c r="E507" i="33" a="1"/>
  <c r="E480" i="33" a="1"/>
  <c r="H480" i="33" a="1"/>
  <c r="F480" i="33" a="1"/>
  <c r="F561" i="33" a="1"/>
  <c r="E534" i="33" a="1"/>
  <c r="E561" i="33" a="1"/>
  <c r="G480" i="33" a="1"/>
  <c r="H534" i="33" a="1"/>
  <c r="H507" i="33" a="1"/>
  <c r="F534" i="33" a="1"/>
  <c r="H561" i="33" a="1"/>
  <c r="F507" i="33" a="1"/>
  <c r="G480" i="33" l="1"/>
  <c r="H534" i="33"/>
  <c r="F480" i="33"/>
  <c r="F507" i="33"/>
  <c r="G507" i="33"/>
  <c r="H480" i="33"/>
  <c r="H507" i="33"/>
  <c r="E534" i="33"/>
  <c r="E561" i="33"/>
  <c r="E480" i="33"/>
  <c r="F534" i="33"/>
  <c r="F561" i="33"/>
  <c r="G534" i="33"/>
  <c r="H561" i="33"/>
  <c r="G561" i="33"/>
  <c r="E507" i="33"/>
  <c r="G643" i="33" a="1"/>
  <c r="G643" i="33" s="1"/>
  <c r="E643" i="33" a="1"/>
  <c r="E643" i="33" s="1"/>
  <c r="E589" i="33" a="1"/>
  <c r="E589" i="33" s="1"/>
  <c r="G589" i="33" a="1"/>
  <c r="G589" i="33" s="1"/>
  <c r="G670" i="33" a="1"/>
  <c r="G670" i="33" s="1"/>
  <c r="E670" i="33" a="1"/>
  <c r="E670" i="33" s="1"/>
  <c r="E616" i="33" a="1"/>
  <c r="E616" i="33" s="1"/>
  <c r="G616" i="33" a="1"/>
  <c r="G616" i="33" s="1"/>
  <c r="I533" i="33"/>
  <c r="I560" i="33"/>
  <c r="I506" i="33"/>
  <c r="B50" i="33"/>
  <c r="B644" i="33"/>
  <c r="I643" i="33"/>
  <c r="J643" i="33" s="1"/>
  <c r="B590" i="33"/>
  <c r="I589" i="33"/>
  <c r="J589" i="33" s="1"/>
  <c r="B536" i="33"/>
  <c r="B482" i="33"/>
  <c r="B428" i="33"/>
  <c r="B374" i="33"/>
  <c r="B671" i="33"/>
  <c r="I670" i="33"/>
  <c r="J670" i="33" s="1"/>
  <c r="B563" i="33"/>
  <c r="B509" i="33"/>
  <c r="B455" i="33"/>
  <c r="B401" i="33"/>
  <c r="B239" i="33"/>
  <c r="B185" i="33"/>
  <c r="B131" i="33"/>
  <c r="B77" i="33"/>
  <c r="B347" i="33"/>
  <c r="B293" i="33"/>
  <c r="B617" i="33"/>
  <c r="I616" i="33"/>
  <c r="J616" i="33" s="1"/>
  <c r="B320" i="33"/>
  <c r="B266" i="33"/>
  <c r="B212" i="33"/>
  <c r="B158" i="33"/>
  <c r="B104" i="33"/>
  <c r="E481" i="33" a="1"/>
  <c r="F562" i="33" a="1"/>
  <c r="E535" i="33" a="1"/>
  <c r="E562" i="33" a="1"/>
  <c r="G481" i="33" a="1"/>
  <c r="G535" i="33" a="1"/>
  <c r="H481" i="33" a="1"/>
  <c r="H535" i="33" a="1"/>
  <c r="F508" i="33" a="1"/>
  <c r="F481" i="33" a="1"/>
  <c r="H562" i="33" a="1"/>
  <c r="G562" i="33" a="1"/>
  <c r="G508" i="33" a="1"/>
  <c r="H508" i="33" a="1"/>
  <c r="F535" i="33" a="1"/>
  <c r="E508" i="33" a="1"/>
  <c r="G562" i="33" l="1"/>
  <c r="H562" i="33"/>
  <c r="E508" i="33"/>
  <c r="E481" i="33"/>
  <c r="F481" i="33"/>
  <c r="F508" i="33"/>
  <c r="G508" i="33"/>
  <c r="G481" i="33"/>
  <c r="G535" i="33"/>
  <c r="H481" i="33"/>
  <c r="H508" i="33"/>
  <c r="E562" i="33"/>
  <c r="F562" i="33"/>
  <c r="F535" i="33"/>
  <c r="H535" i="33"/>
  <c r="E535" i="33"/>
  <c r="E617" i="33" a="1"/>
  <c r="E617" i="33" s="1"/>
  <c r="G617" i="33" a="1"/>
  <c r="G617" i="33" s="1"/>
  <c r="G671" i="33" a="1"/>
  <c r="G671" i="33" s="1"/>
  <c r="E671" i="33" a="1"/>
  <c r="E671" i="33" s="1"/>
  <c r="E590" i="33" a="1"/>
  <c r="E590" i="33" s="1"/>
  <c r="G590" i="33" a="1"/>
  <c r="G590" i="33" s="1"/>
  <c r="G644" i="33" a="1"/>
  <c r="G644" i="33" s="1"/>
  <c r="E644" i="33" a="1"/>
  <c r="E644" i="33" s="1"/>
  <c r="I507" i="33"/>
  <c r="I561" i="33"/>
  <c r="I534" i="33"/>
  <c r="B105" i="33"/>
  <c r="B159" i="33"/>
  <c r="B213" i="33"/>
  <c r="B267" i="33"/>
  <c r="B321" i="33"/>
  <c r="B618" i="33"/>
  <c r="I617" i="33"/>
  <c r="J617" i="33" s="1"/>
  <c r="B294" i="33"/>
  <c r="B348" i="33"/>
  <c r="B78" i="33"/>
  <c r="B132" i="33"/>
  <c r="B186" i="33"/>
  <c r="B240" i="33"/>
  <c r="B402" i="33"/>
  <c r="B456" i="33"/>
  <c r="B510" i="33"/>
  <c r="B564" i="33"/>
  <c r="B672" i="33"/>
  <c r="I671" i="33"/>
  <c r="J671" i="33" s="1"/>
  <c r="B375" i="33"/>
  <c r="B429" i="33"/>
  <c r="B483" i="33"/>
  <c r="B537" i="33"/>
  <c r="B591" i="33"/>
  <c r="I590" i="33"/>
  <c r="J590" i="33" s="1"/>
  <c r="B645" i="33"/>
  <c r="I644" i="33"/>
  <c r="J644" i="33" s="1"/>
  <c r="B51" i="33"/>
  <c r="F482" i="33" a="1"/>
  <c r="H563" i="33" a="1"/>
  <c r="G563" i="33" a="1"/>
  <c r="G482" i="33" a="1"/>
  <c r="G509" i="33" a="1"/>
  <c r="E563" i="33" a="1"/>
  <c r="F536" i="33" a="1"/>
  <c r="E509" i="33" a="1"/>
  <c r="H482" i="33" a="1"/>
  <c r="F563" i="33" a="1"/>
  <c r="H536" i="33" a="1"/>
  <c r="E482" i="33" a="1"/>
  <c r="H509" i="33" a="1"/>
  <c r="E536" i="33" a="1"/>
  <c r="F509" i="33" a="1"/>
  <c r="G536" i="33" a="1"/>
  <c r="H482" i="33" l="1"/>
  <c r="E509" i="33"/>
  <c r="F563" i="33"/>
  <c r="G509" i="33"/>
  <c r="H509" i="33"/>
  <c r="H563" i="33"/>
  <c r="E482" i="33"/>
  <c r="E536" i="33"/>
  <c r="E563" i="33"/>
  <c r="F482" i="33"/>
  <c r="F536" i="33"/>
  <c r="G482" i="33"/>
  <c r="G536" i="33"/>
  <c r="H536" i="33"/>
  <c r="G563" i="33"/>
  <c r="F509" i="33"/>
  <c r="G645" i="33" a="1"/>
  <c r="G645" i="33" s="1"/>
  <c r="E645" i="33" a="1"/>
  <c r="E645" i="33" s="1"/>
  <c r="E591" i="33" a="1"/>
  <c r="E591" i="33" s="1"/>
  <c r="G591" i="33" a="1"/>
  <c r="G591" i="33" s="1"/>
  <c r="G672" i="33" a="1"/>
  <c r="G672" i="33" s="1"/>
  <c r="E672" i="33" a="1"/>
  <c r="E672" i="33" s="1"/>
  <c r="E618" i="33" a="1"/>
  <c r="E618" i="33" s="1"/>
  <c r="G618" i="33" a="1"/>
  <c r="G618" i="33" s="1"/>
  <c r="I535" i="33"/>
  <c r="I562" i="33"/>
  <c r="I508" i="33"/>
  <c r="B52" i="33"/>
  <c r="B646" i="33"/>
  <c r="I645" i="33"/>
  <c r="J645" i="33" s="1"/>
  <c r="B592" i="33"/>
  <c r="I591" i="33"/>
  <c r="J591" i="33" s="1"/>
  <c r="B538" i="33"/>
  <c r="B484" i="33"/>
  <c r="B430" i="33"/>
  <c r="B376" i="33"/>
  <c r="B673" i="33"/>
  <c r="I672" i="33"/>
  <c r="J672" i="33" s="1"/>
  <c r="B565" i="33"/>
  <c r="B511" i="33"/>
  <c r="B457" i="33"/>
  <c r="B403" i="33"/>
  <c r="B241" i="33"/>
  <c r="B187" i="33"/>
  <c r="B133" i="33"/>
  <c r="B79" i="33"/>
  <c r="B349" i="33"/>
  <c r="B295" i="33"/>
  <c r="B619" i="33"/>
  <c r="I618" i="33"/>
  <c r="J618" i="33" s="1"/>
  <c r="B322" i="33"/>
  <c r="B268" i="33"/>
  <c r="B214" i="33"/>
  <c r="B160" i="33"/>
  <c r="B106" i="33"/>
  <c r="E537" i="33" a="1"/>
  <c r="F510" i="33" a="1"/>
  <c r="H483" i="33" a="1"/>
  <c r="G483" i="33" a="1"/>
  <c r="F564" i="33" a="1"/>
  <c r="G510" i="33" a="1"/>
  <c r="E510" i="33" a="1"/>
  <c r="G537" i="33" a="1"/>
  <c r="H564" i="33" a="1"/>
  <c r="G564" i="33" a="1"/>
  <c r="E483" i="33" a="1"/>
  <c r="F537" i="33" a="1"/>
  <c r="H510" i="33" a="1"/>
  <c r="E564" i="33" a="1"/>
  <c r="H537" i="33" a="1"/>
  <c r="F483" i="33" a="1"/>
  <c r="E510" i="33" l="1"/>
  <c r="E483" i="33"/>
  <c r="F483" i="33"/>
  <c r="G510" i="33"/>
  <c r="G483" i="33"/>
  <c r="G537" i="33"/>
  <c r="H483" i="33"/>
  <c r="H510" i="33"/>
  <c r="E564" i="33"/>
  <c r="F564" i="33"/>
  <c r="F537" i="33"/>
  <c r="H564" i="33"/>
  <c r="H537" i="33"/>
  <c r="F510" i="33"/>
  <c r="G564" i="33"/>
  <c r="E537" i="33"/>
  <c r="E619" i="33" a="1"/>
  <c r="E619" i="33" s="1"/>
  <c r="G619" i="33" a="1"/>
  <c r="G619" i="33" s="1"/>
  <c r="G673" i="33" a="1"/>
  <c r="G673" i="33" s="1"/>
  <c r="E673" i="33" a="1"/>
  <c r="E673" i="33" s="1"/>
  <c r="E592" i="33" a="1"/>
  <c r="E592" i="33" s="1"/>
  <c r="G592" i="33" a="1"/>
  <c r="G592" i="33" s="1"/>
  <c r="G646" i="33" a="1"/>
  <c r="G646" i="33" s="1"/>
  <c r="E646" i="33" a="1"/>
  <c r="E646" i="33" s="1"/>
  <c r="I509" i="33"/>
  <c r="I563" i="33"/>
  <c r="I536" i="33"/>
  <c r="B107" i="33"/>
  <c r="B161" i="33"/>
  <c r="B215" i="33"/>
  <c r="B269" i="33"/>
  <c r="B323" i="33"/>
  <c r="B620" i="33"/>
  <c r="I619" i="33"/>
  <c r="J619" i="33" s="1"/>
  <c r="B296" i="33"/>
  <c r="B350" i="33"/>
  <c r="B80" i="33"/>
  <c r="B134" i="33"/>
  <c r="B188" i="33"/>
  <c r="B242" i="33"/>
  <c r="B404" i="33"/>
  <c r="B458" i="33"/>
  <c r="B512" i="33"/>
  <c r="B566" i="33"/>
  <c r="B674" i="33"/>
  <c r="I673" i="33"/>
  <c r="J673" i="33" s="1"/>
  <c r="B377" i="33"/>
  <c r="B431" i="33"/>
  <c r="B485" i="33"/>
  <c r="B539" i="33"/>
  <c r="B593" i="33"/>
  <c r="I592" i="33"/>
  <c r="J592" i="33" s="1"/>
  <c r="B647" i="33"/>
  <c r="I646" i="33"/>
  <c r="J646" i="33" s="1"/>
  <c r="B53" i="33"/>
  <c r="H484" i="33" a="1"/>
  <c r="E565" i="33" a="1"/>
  <c r="H565" i="33" a="1"/>
  <c r="G538" i="33" a="1"/>
  <c r="G565" i="33" a="1"/>
  <c r="H538" i="33" a="1"/>
  <c r="E484" i="33" a="1"/>
  <c r="F484" i="33" a="1"/>
  <c r="F565" i="33" a="1"/>
  <c r="G484" i="33" a="1"/>
  <c r="H511" i="33" a="1"/>
  <c r="F511" i="33" a="1"/>
  <c r="E511" i="33" a="1"/>
  <c r="F538" i="33" a="1"/>
  <c r="E538" i="33" a="1"/>
  <c r="G511" i="33" a="1"/>
  <c r="G565" i="33" l="1"/>
  <c r="E511" i="33"/>
  <c r="F538" i="33"/>
  <c r="G511" i="33"/>
  <c r="H538" i="33"/>
  <c r="H565" i="33"/>
  <c r="E538" i="33"/>
  <c r="E565" i="33"/>
  <c r="E484" i="33"/>
  <c r="F511" i="33"/>
  <c r="F484" i="33"/>
  <c r="G538" i="33"/>
  <c r="G484" i="33"/>
  <c r="H511" i="33"/>
  <c r="H484" i="33"/>
  <c r="F565" i="33"/>
  <c r="G647" i="33" a="1"/>
  <c r="G647" i="33" s="1"/>
  <c r="E647" i="33" a="1"/>
  <c r="E647" i="33" s="1"/>
  <c r="E593" i="33" a="1"/>
  <c r="E593" i="33" s="1"/>
  <c r="G593" i="33" a="1"/>
  <c r="G593" i="33" s="1"/>
  <c r="G674" i="33" a="1"/>
  <c r="G674" i="33" s="1"/>
  <c r="E674" i="33" a="1"/>
  <c r="E674" i="33" s="1"/>
  <c r="E620" i="33" a="1"/>
  <c r="E620" i="33" s="1"/>
  <c r="G620" i="33" a="1"/>
  <c r="G620" i="33" s="1"/>
  <c r="I537" i="33"/>
  <c r="I564" i="33"/>
  <c r="I510" i="33"/>
  <c r="B54" i="33"/>
  <c r="B648" i="33"/>
  <c r="I647" i="33"/>
  <c r="J647" i="33" s="1"/>
  <c r="B594" i="33"/>
  <c r="I593" i="33"/>
  <c r="J593" i="33" s="1"/>
  <c r="B540" i="33"/>
  <c r="B486" i="33"/>
  <c r="B432" i="33"/>
  <c r="B378" i="33"/>
  <c r="B675" i="33"/>
  <c r="I674" i="33"/>
  <c r="J674" i="33" s="1"/>
  <c r="B567" i="33"/>
  <c r="B513" i="33"/>
  <c r="B459" i="33"/>
  <c r="B405" i="33"/>
  <c r="B243" i="33"/>
  <c r="B189" i="33"/>
  <c r="B135" i="33"/>
  <c r="B81" i="33"/>
  <c r="B351" i="33"/>
  <c r="B297" i="33"/>
  <c r="B621" i="33"/>
  <c r="I620" i="33"/>
  <c r="J620" i="33" s="1"/>
  <c r="B324" i="33"/>
  <c r="B270" i="33"/>
  <c r="B216" i="33"/>
  <c r="B162" i="33"/>
  <c r="B108" i="33"/>
  <c r="F485" i="33" a="1"/>
  <c r="F512" i="33" a="1"/>
  <c r="E512" i="33" a="1"/>
  <c r="G485" i="33" a="1"/>
  <c r="F539" i="33" a="1"/>
  <c r="G566" i="33" a="1"/>
  <c r="E566" i="33" a="1"/>
  <c r="F566" i="33" a="1"/>
  <c r="E485" i="33" a="1"/>
  <c r="G512" i="33" a="1"/>
  <c r="E539" i="33" a="1"/>
  <c r="H485" i="33" a="1"/>
  <c r="H512" i="33" a="1"/>
  <c r="H566" i="33" a="1"/>
  <c r="H539" i="33" a="1"/>
  <c r="G539" i="33" a="1"/>
  <c r="G566" i="33" l="1"/>
  <c r="H512" i="33"/>
  <c r="E512" i="33"/>
  <c r="E485" i="33"/>
  <c r="F566" i="33"/>
  <c r="F539" i="33"/>
  <c r="G512" i="33"/>
  <c r="G485" i="33"/>
  <c r="G539" i="33"/>
  <c r="H566" i="33"/>
  <c r="H539" i="33"/>
  <c r="E566" i="33"/>
  <c r="F512" i="33"/>
  <c r="F485" i="33"/>
  <c r="H485" i="33"/>
  <c r="E539" i="33"/>
  <c r="E621" i="33" a="1"/>
  <c r="E621" i="33" s="1"/>
  <c r="G621" i="33" a="1"/>
  <c r="G621" i="33" s="1"/>
  <c r="G675" i="33" a="1"/>
  <c r="G675" i="33" s="1"/>
  <c r="E675" i="33" a="1"/>
  <c r="E675" i="33" s="1"/>
  <c r="E594" i="33" a="1"/>
  <c r="E594" i="33" s="1"/>
  <c r="G594" i="33" a="1"/>
  <c r="G594" i="33" s="1"/>
  <c r="G648" i="33" a="1"/>
  <c r="G648" i="33" s="1"/>
  <c r="E648" i="33" a="1"/>
  <c r="E648" i="33" s="1"/>
  <c r="I511" i="33"/>
  <c r="I565" i="33"/>
  <c r="I538" i="33"/>
  <c r="B109" i="33"/>
  <c r="B163" i="33"/>
  <c r="B217" i="33"/>
  <c r="B271" i="33"/>
  <c r="B325" i="33"/>
  <c r="B622" i="33"/>
  <c r="I621" i="33"/>
  <c r="J621" i="33" s="1"/>
  <c r="B298" i="33"/>
  <c r="B352" i="33"/>
  <c r="B82" i="33"/>
  <c r="B136" i="33"/>
  <c r="B190" i="33"/>
  <c r="B244" i="33"/>
  <c r="B406" i="33"/>
  <c r="B460" i="33"/>
  <c r="B514" i="33"/>
  <c r="B568" i="33"/>
  <c r="B676" i="33"/>
  <c r="I675" i="33"/>
  <c r="J675" i="33" s="1"/>
  <c r="B379" i="33"/>
  <c r="B433" i="33"/>
  <c r="B487" i="33"/>
  <c r="B541" i="33"/>
  <c r="B595" i="33"/>
  <c r="I594" i="33"/>
  <c r="J594" i="33" s="1"/>
  <c r="B649" i="33"/>
  <c r="I648" i="33"/>
  <c r="J648" i="33" s="1"/>
  <c r="B55" i="33"/>
  <c r="H567" i="33" a="1"/>
  <c r="G513" i="33" a="1"/>
  <c r="F540" i="33" a="1"/>
  <c r="E567" i="33" a="1"/>
  <c r="H513" i="33" a="1"/>
  <c r="E513" i="33" a="1"/>
  <c r="E540" i="33" a="1"/>
  <c r="G486" i="33" a="1"/>
  <c r="G540" i="33" a="1"/>
  <c r="H540" i="33" a="1"/>
  <c r="G567" i="33" a="1"/>
  <c r="H486" i="33" a="1"/>
  <c r="E486" i="33" a="1"/>
  <c r="F513" i="33" a="1"/>
  <c r="F567" i="33" a="1"/>
  <c r="F486" i="33" a="1"/>
  <c r="G540" i="33" l="1"/>
  <c r="E567" i="33"/>
  <c r="G486" i="33"/>
  <c r="H486" i="33"/>
  <c r="E513" i="33"/>
  <c r="F513" i="33"/>
  <c r="F567" i="33"/>
  <c r="G513" i="33"/>
  <c r="H513" i="33"/>
  <c r="H567" i="33"/>
  <c r="E540" i="33"/>
  <c r="G567" i="33"/>
  <c r="E486" i="33"/>
  <c r="F486" i="33"/>
  <c r="F540" i="33"/>
  <c r="H540" i="33"/>
  <c r="G649" i="33" a="1"/>
  <c r="G649" i="33" s="1"/>
  <c r="E649" i="33" a="1"/>
  <c r="E649" i="33" s="1"/>
  <c r="E595" i="33" a="1"/>
  <c r="E595" i="33" s="1"/>
  <c r="G595" i="33" a="1"/>
  <c r="G595" i="33" s="1"/>
  <c r="G676" i="33" a="1"/>
  <c r="G676" i="33" s="1"/>
  <c r="E676" i="33" a="1"/>
  <c r="E676" i="33" s="1"/>
  <c r="E622" i="33" a="1"/>
  <c r="E622" i="33" s="1"/>
  <c r="G622" i="33" a="1"/>
  <c r="G622" i="33" s="1"/>
  <c r="I539" i="33"/>
  <c r="I566" i="33"/>
  <c r="I512" i="33"/>
  <c r="B56" i="33"/>
  <c r="B650" i="33"/>
  <c r="I649" i="33"/>
  <c r="J649" i="33" s="1"/>
  <c r="B596" i="33"/>
  <c r="I595" i="33"/>
  <c r="J595" i="33" s="1"/>
  <c r="B542" i="33"/>
  <c r="B488" i="33"/>
  <c r="B434" i="33"/>
  <c r="B380" i="33"/>
  <c r="B677" i="33"/>
  <c r="I676" i="33"/>
  <c r="J676" i="33" s="1"/>
  <c r="B569" i="33"/>
  <c r="B515" i="33"/>
  <c r="B461" i="33"/>
  <c r="B407" i="33"/>
  <c r="B245" i="33"/>
  <c r="B191" i="33"/>
  <c r="B137" i="33"/>
  <c r="B83" i="33"/>
  <c r="B353" i="33"/>
  <c r="B299" i="33"/>
  <c r="B623" i="33"/>
  <c r="I622" i="33"/>
  <c r="J622" i="33" s="1"/>
  <c r="B326" i="33"/>
  <c r="B272" i="33"/>
  <c r="B218" i="33"/>
  <c r="B164" i="33"/>
  <c r="B110" i="33"/>
  <c r="E541" i="33" a="1"/>
  <c r="H514" i="33" a="1"/>
  <c r="F541" i="33" a="1"/>
  <c r="H568" i="33" a="1"/>
  <c r="F514" i="33" a="1"/>
  <c r="F568" i="33" a="1"/>
  <c r="G514" i="33" a="1"/>
  <c r="G541" i="33" a="1"/>
  <c r="H541" i="33" a="1"/>
  <c r="G568" i="33" a="1"/>
  <c r="E568" i="33" a="1"/>
  <c r="F487" i="33" a="1"/>
  <c r="E514" i="33" a="1"/>
  <c r="H487" i="33" a="1"/>
  <c r="G487" i="33" a="1"/>
  <c r="E487" i="33" a="1"/>
  <c r="G514" i="33" l="1"/>
  <c r="G487" i="33"/>
  <c r="G541" i="33"/>
  <c r="H487" i="33"/>
  <c r="H514" i="33"/>
  <c r="G568" i="33"/>
  <c r="F568" i="33"/>
  <c r="F541" i="33"/>
  <c r="E568" i="33"/>
  <c r="H568" i="33"/>
  <c r="H541" i="33"/>
  <c r="E514" i="33"/>
  <c r="E487" i="33"/>
  <c r="E541" i="33"/>
  <c r="F487" i="33"/>
  <c r="F514" i="33"/>
  <c r="E623" i="33" a="1"/>
  <c r="E623" i="33" s="1"/>
  <c r="G623" i="33" a="1"/>
  <c r="G623" i="33" s="1"/>
  <c r="G677" i="33" a="1"/>
  <c r="G677" i="33" s="1"/>
  <c r="E677" i="33" a="1"/>
  <c r="E677" i="33" s="1"/>
  <c r="E596" i="33" a="1"/>
  <c r="E596" i="33" s="1"/>
  <c r="G596" i="33" a="1"/>
  <c r="G596" i="33" s="1"/>
  <c r="G650" i="33" a="1"/>
  <c r="G650" i="33" s="1"/>
  <c r="E650" i="33" a="1"/>
  <c r="E650" i="33" s="1"/>
  <c r="I513" i="33"/>
  <c r="I567" i="33"/>
  <c r="I540" i="33"/>
  <c r="B111" i="33"/>
  <c r="B165" i="33"/>
  <c r="B219" i="33"/>
  <c r="B273" i="33"/>
  <c r="B327" i="33"/>
  <c r="B624" i="33"/>
  <c r="I623" i="33"/>
  <c r="J623" i="33" s="1"/>
  <c r="B300" i="33"/>
  <c r="B354" i="33"/>
  <c r="B84" i="33"/>
  <c r="B138" i="33"/>
  <c r="B192" i="33"/>
  <c r="B246" i="33"/>
  <c r="B408" i="33"/>
  <c r="B462" i="33"/>
  <c r="B516" i="33"/>
  <c r="B570" i="33"/>
  <c r="B678" i="33"/>
  <c r="I677" i="33"/>
  <c r="J677" i="33" s="1"/>
  <c r="B381" i="33"/>
  <c r="B435" i="33"/>
  <c r="B489" i="33"/>
  <c r="B543" i="33"/>
  <c r="B597" i="33"/>
  <c r="I596" i="33"/>
  <c r="J596" i="33" s="1"/>
  <c r="B651" i="33"/>
  <c r="I650" i="33"/>
  <c r="J650" i="33" s="1"/>
  <c r="B57" i="33"/>
  <c r="F569" i="33" a="1"/>
  <c r="E515" i="33" a="1"/>
  <c r="G515" i="33" a="1"/>
  <c r="H488" i="33" a="1"/>
  <c r="F515" i="33" a="1"/>
  <c r="G488" i="33" a="1"/>
  <c r="F542" i="33" a="1"/>
  <c r="H542" i="33" a="1"/>
  <c r="F488" i="33" a="1"/>
  <c r="H515" i="33" a="1"/>
  <c r="E569" i="33" a="1"/>
  <c r="G569" i="33" a="1"/>
  <c r="E542" i="33" a="1"/>
  <c r="G542" i="33" a="1"/>
  <c r="E488" i="33" a="1"/>
  <c r="H569" i="33" a="1"/>
  <c r="E569" i="33" l="1"/>
  <c r="H488" i="33"/>
  <c r="E515" i="33"/>
  <c r="F569" i="33"/>
  <c r="G515" i="33"/>
  <c r="H569" i="33"/>
  <c r="H542" i="33"/>
  <c r="E542" i="33"/>
  <c r="G569" i="33"/>
  <c r="E488" i="33"/>
  <c r="F488" i="33"/>
  <c r="F515" i="33"/>
  <c r="G542" i="33"/>
  <c r="G488" i="33"/>
  <c r="H515" i="33"/>
  <c r="F542" i="33"/>
  <c r="G651" i="33" a="1"/>
  <c r="G651" i="33" s="1"/>
  <c r="E651" i="33" a="1"/>
  <c r="E651" i="33" s="1"/>
  <c r="E597" i="33" a="1"/>
  <c r="E597" i="33" s="1"/>
  <c r="G597" i="33" a="1"/>
  <c r="G597" i="33" s="1"/>
  <c r="G678" i="33" a="1"/>
  <c r="G678" i="33" s="1"/>
  <c r="E678" i="33" a="1"/>
  <c r="E678" i="33" s="1"/>
  <c r="E624" i="33" a="1"/>
  <c r="E624" i="33" s="1"/>
  <c r="G624" i="33" a="1"/>
  <c r="G624" i="33" s="1"/>
  <c r="I541" i="33"/>
  <c r="I568" i="33"/>
  <c r="I514" i="33"/>
  <c r="B58" i="33"/>
  <c r="B652" i="33"/>
  <c r="I651" i="33"/>
  <c r="J651" i="33" s="1"/>
  <c r="B598" i="33"/>
  <c r="I597" i="33"/>
  <c r="J597" i="33" s="1"/>
  <c r="B544" i="33"/>
  <c r="B490" i="33"/>
  <c r="B436" i="33"/>
  <c r="B382" i="33"/>
  <c r="B679" i="33"/>
  <c r="I678" i="33"/>
  <c r="J678" i="33" s="1"/>
  <c r="B571" i="33"/>
  <c r="B517" i="33"/>
  <c r="B463" i="33"/>
  <c r="B409" i="33"/>
  <c r="B247" i="33"/>
  <c r="B193" i="33"/>
  <c r="B139" i="33"/>
  <c r="B85" i="33"/>
  <c r="B355" i="33"/>
  <c r="B301" i="33"/>
  <c r="B625" i="33"/>
  <c r="I624" i="33"/>
  <c r="J624" i="33" s="1"/>
  <c r="B328" i="33"/>
  <c r="B274" i="33"/>
  <c r="B220" i="33"/>
  <c r="B166" i="33"/>
  <c r="B112" i="33"/>
  <c r="E570" i="33" a="1"/>
  <c r="G516" i="33" a="1"/>
  <c r="F516" i="33" a="1"/>
  <c r="F489" i="33" a="1"/>
  <c r="G489" i="33" a="1"/>
  <c r="E543" i="33" a="1"/>
  <c r="F570" i="33" a="1"/>
  <c r="H516" i="33" a="1"/>
  <c r="H570" i="33" a="1"/>
  <c r="E516" i="33" a="1"/>
  <c r="H543" i="33" a="1"/>
  <c r="F543" i="33" a="1"/>
  <c r="G570" i="33" a="1"/>
  <c r="H489" i="33" a="1"/>
  <c r="E489" i="33" a="1"/>
  <c r="G543" i="33" a="1"/>
  <c r="H516" i="33" l="1"/>
  <c r="E516" i="33"/>
  <c r="E543" i="33"/>
  <c r="F543" i="33"/>
  <c r="G516" i="33"/>
  <c r="G489" i="33"/>
  <c r="G543" i="33"/>
  <c r="H570" i="33"/>
  <c r="H543" i="33"/>
  <c r="G570" i="33"/>
  <c r="F516" i="33"/>
  <c r="F489" i="33"/>
  <c r="E570" i="33"/>
  <c r="H489" i="33"/>
  <c r="F570" i="33"/>
  <c r="E489" i="33"/>
  <c r="E625" i="33" a="1"/>
  <c r="E625" i="33" s="1"/>
  <c r="G625" i="33" a="1"/>
  <c r="G625" i="33" s="1"/>
  <c r="G679" i="33" a="1"/>
  <c r="G679" i="33" s="1"/>
  <c r="E679" i="33" a="1"/>
  <c r="E679" i="33" s="1"/>
  <c r="E598" i="33" a="1"/>
  <c r="E598" i="33" s="1"/>
  <c r="G598" i="33" a="1"/>
  <c r="G598" i="33" s="1"/>
  <c r="G652" i="33" a="1"/>
  <c r="G652" i="33" s="1"/>
  <c r="E652" i="33" a="1"/>
  <c r="E652" i="33" s="1"/>
  <c r="I515" i="33"/>
  <c r="I569" i="33"/>
  <c r="I542" i="33"/>
  <c r="B113" i="33"/>
  <c r="B167" i="33"/>
  <c r="B221" i="33"/>
  <c r="B275" i="33"/>
  <c r="B329" i="33"/>
  <c r="B626" i="33"/>
  <c r="I625" i="33"/>
  <c r="J625" i="33" s="1"/>
  <c r="B302" i="33"/>
  <c r="B356" i="33"/>
  <c r="B86" i="33"/>
  <c r="B140" i="33"/>
  <c r="B194" i="33"/>
  <c r="B248" i="33"/>
  <c r="B410" i="33"/>
  <c r="B464" i="33"/>
  <c r="B518" i="33"/>
  <c r="B572" i="33"/>
  <c r="B680" i="33"/>
  <c r="I679" i="33"/>
  <c r="J679" i="33" s="1"/>
  <c r="B383" i="33"/>
  <c r="B437" i="33"/>
  <c r="B491" i="33"/>
  <c r="B545" i="33"/>
  <c r="B599" i="33"/>
  <c r="I598" i="33"/>
  <c r="J598" i="33" s="1"/>
  <c r="B653" i="33"/>
  <c r="I652" i="33"/>
  <c r="J652" i="33" s="1"/>
  <c r="B59" i="33"/>
  <c r="H517" i="33" a="1"/>
  <c r="E490" i="33" a="1"/>
  <c r="F571" i="33" a="1"/>
  <c r="G571" i="33" a="1"/>
  <c r="H544" i="33" a="1"/>
  <c r="E517" i="33" a="1"/>
  <c r="H571" i="33" a="1"/>
  <c r="F490" i="33" a="1"/>
  <c r="F517" i="33" a="1"/>
  <c r="G490" i="33" a="1"/>
  <c r="F544" i="33" a="1"/>
  <c r="H490" i="33" a="1"/>
  <c r="E544" i="33" a="1"/>
  <c r="G544" i="33" a="1"/>
  <c r="E571" i="33" a="1"/>
  <c r="G517" i="33" a="1"/>
  <c r="G544" i="33" l="1"/>
  <c r="G490" i="33"/>
  <c r="H517" i="33"/>
  <c r="E517" i="33"/>
  <c r="F571" i="33"/>
  <c r="G517" i="33"/>
  <c r="H544" i="33"/>
  <c r="H571" i="33"/>
  <c r="E544" i="33"/>
  <c r="G571" i="33"/>
  <c r="E490" i="33"/>
  <c r="F517" i="33"/>
  <c r="F490" i="33"/>
  <c r="E571" i="33"/>
  <c r="H490" i="33"/>
  <c r="F544" i="33"/>
  <c r="G653" i="33" a="1"/>
  <c r="G653" i="33" s="1"/>
  <c r="G654" i="33" s="1"/>
  <c r="E653" i="33" a="1"/>
  <c r="E653" i="33" s="1"/>
  <c r="E654" i="33" s="1"/>
  <c r="F654" i="33"/>
  <c r="H654" i="33"/>
  <c r="H600" i="33"/>
  <c r="F600" i="33"/>
  <c r="E599" i="33" a="1"/>
  <c r="E599" i="33" s="1"/>
  <c r="E600" i="33" s="1"/>
  <c r="G599" i="33" a="1"/>
  <c r="G599" i="33" s="1"/>
  <c r="G600" i="33" s="1"/>
  <c r="G680" i="33" a="1"/>
  <c r="G680" i="33" s="1"/>
  <c r="G681" i="33" s="1"/>
  <c r="E680" i="33" a="1"/>
  <c r="E680" i="33" s="1"/>
  <c r="E681" i="33" s="1"/>
  <c r="F681" i="33"/>
  <c r="H681" i="33"/>
  <c r="H627" i="33"/>
  <c r="F627" i="33"/>
  <c r="E626" i="33" a="1"/>
  <c r="E626" i="33" s="1"/>
  <c r="E627" i="33" s="1"/>
  <c r="G626" i="33" a="1"/>
  <c r="G626" i="33" s="1"/>
  <c r="G627" i="33" s="1"/>
  <c r="I543" i="33"/>
  <c r="I570" i="33"/>
  <c r="I516" i="33"/>
  <c r="I653" i="33"/>
  <c r="I599" i="33"/>
  <c r="I680" i="33"/>
  <c r="I626" i="33"/>
  <c r="F518" i="33" a="1"/>
  <c r="F572" i="33" a="1"/>
  <c r="H572" i="33" a="1"/>
  <c r="E518" i="33" a="1"/>
  <c r="H518" i="33" a="1"/>
  <c r="E545" i="33" a="1"/>
  <c r="F545" i="33" a="1"/>
  <c r="G491" i="33" a="1"/>
  <c r="H545" i="33" a="1"/>
  <c r="G545" i="33" a="1"/>
  <c r="F491" i="33" a="1"/>
  <c r="G572" i="33" a="1"/>
  <c r="G518" i="33" a="1"/>
  <c r="E572" i="33" a="1"/>
  <c r="E491" i="33" a="1"/>
  <c r="H491" i="33" a="1"/>
  <c r="E572" i="33" l="1"/>
  <c r="E573" i="33" s="1"/>
  <c r="H518" i="33"/>
  <c r="E491" i="33"/>
  <c r="E545" i="33"/>
  <c r="E546" i="33" s="1"/>
  <c r="F572" i="33"/>
  <c r="F545" i="33"/>
  <c r="G491" i="33"/>
  <c r="G545" i="33"/>
  <c r="H572" i="33"/>
  <c r="H545" i="33"/>
  <c r="E518" i="33"/>
  <c r="E519" i="33" s="1"/>
  <c r="G572" i="33"/>
  <c r="F518" i="33"/>
  <c r="F491" i="33"/>
  <c r="H491" i="33"/>
  <c r="G518" i="33"/>
  <c r="I517" i="33"/>
  <c r="I571" i="33"/>
  <c r="I544" i="33"/>
  <c r="G573" i="33"/>
  <c r="J626" i="33"/>
  <c r="J627" i="33" s="1"/>
  <c r="I627" i="33"/>
  <c r="J599" i="33"/>
  <c r="J600" i="33" s="1"/>
  <c r="I600" i="33"/>
  <c r="J680" i="33"/>
  <c r="J681" i="33" s="1"/>
  <c r="I681" i="33"/>
  <c r="J653" i="33"/>
  <c r="J654" i="33" s="1"/>
  <c r="I654" i="33"/>
  <c r="G546" i="33" l="1"/>
  <c r="I545" i="33"/>
  <c r="G519" i="33"/>
  <c r="I518" i="33"/>
  <c r="I572" i="33"/>
  <c r="I573" i="33" l="1"/>
  <c r="I519" i="33"/>
  <c r="I546" i="33"/>
  <c r="E1" i="32" l="1"/>
  <c r="A55" i="32"/>
  <c r="B54" i="32"/>
  <c r="A27" i="32"/>
  <c r="A54" i="32" s="1"/>
  <c r="B53" i="32"/>
  <c r="A26" i="32"/>
  <c r="A53" i="32" s="1"/>
  <c r="A25" i="32"/>
  <c r="A52" i="32" s="1"/>
  <c r="A24" i="32"/>
  <c r="A51" i="32" s="1"/>
  <c r="A23" i="32"/>
  <c r="A50" i="32" s="1"/>
  <c r="A22" i="32"/>
  <c r="A49" i="32" s="1"/>
  <c r="A21" i="32"/>
  <c r="A48" i="32" s="1"/>
  <c r="A20" i="32"/>
  <c r="A47" i="32" s="1"/>
  <c r="A19" i="32"/>
  <c r="A46" i="32" s="1"/>
  <c r="A18" i="32"/>
  <c r="A45" i="32" s="1"/>
  <c r="A17" i="32"/>
  <c r="A44" i="32" s="1"/>
  <c r="A16" i="32"/>
  <c r="A43" i="32" s="1"/>
  <c r="A15" i="32"/>
  <c r="A42" i="32" s="1"/>
  <c r="A14" i="32"/>
  <c r="A41" i="32" s="1"/>
  <c r="A13" i="32"/>
  <c r="A40" i="32" s="1"/>
  <c r="A12" i="32"/>
  <c r="A39" i="32" s="1"/>
  <c r="A11" i="32"/>
  <c r="A38" i="32" s="1"/>
  <c r="A10" i="32"/>
  <c r="A37" i="32" s="1"/>
  <c r="A9" i="32"/>
  <c r="A36" i="32" s="1"/>
  <c r="A8" i="32"/>
  <c r="A35" i="32" s="1"/>
  <c r="A7" i="32"/>
  <c r="A34" i="32" s="1"/>
  <c r="A6" i="32"/>
  <c r="A33" i="32" s="1"/>
  <c r="I26" i="32" l="1"/>
  <c r="Q26" i="32"/>
  <c r="W26" i="32"/>
  <c r="I27" i="32"/>
  <c r="Q27" i="32"/>
  <c r="W27" i="32"/>
  <c r="AB53" i="32"/>
  <c r="AB54" i="32"/>
  <c r="H26" i="32"/>
  <c r="J26" i="32"/>
  <c r="P26" i="32"/>
  <c r="X26" i="32"/>
  <c r="H27" i="32"/>
  <c r="J27" i="32"/>
  <c r="P27" i="32"/>
  <c r="X27" i="32"/>
  <c r="X53" i="32" l="1"/>
  <c r="Q53" i="32"/>
  <c r="J53" i="32"/>
  <c r="H53" i="32"/>
  <c r="E53" i="32" a="1"/>
  <c r="E53" i="32" s="1"/>
  <c r="D53" i="32" a="1"/>
  <c r="D53" i="32" s="1"/>
  <c r="C53" i="32" a="1"/>
  <c r="C53" i="32" s="1"/>
  <c r="AA53" i="32"/>
  <c r="Z53" i="32" a="1"/>
  <c r="Z53" i="32" s="1"/>
  <c r="Y53" i="32" a="1"/>
  <c r="Y53" i="32" s="1"/>
  <c r="W53" i="32"/>
  <c r="T53" i="32" a="1"/>
  <c r="T53" i="32" s="1"/>
  <c r="S53" i="32" a="1"/>
  <c r="S53" i="32" s="1"/>
  <c r="R53" i="32" a="1"/>
  <c r="R53" i="32" s="1"/>
  <c r="P53" i="32"/>
  <c r="M53" i="32" a="1"/>
  <c r="M53" i="32" s="1"/>
  <c r="L53" i="32" a="1"/>
  <c r="L53" i="32" s="1"/>
  <c r="K53" i="32" a="1"/>
  <c r="K53" i="32" s="1"/>
  <c r="I53" i="32"/>
  <c r="X54" i="32"/>
  <c r="Q54" i="32"/>
  <c r="J54" i="32"/>
  <c r="H54" i="32"/>
  <c r="E54" i="32" a="1"/>
  <c r="E54" i="32" s="1"/>
  <c r="D54" i="32" a="1"/>
  <c r="D54" i="32" s="1"/>
  <c r="C54" i="32" a="1"/>
  <c r="C54" i="32" s="1"/>
  <c r="AA54" i="32"/>
  <c r="Z54" i="32" a="1"/>
  <c r="Z54" i="32" s="1"/>
  <c r="Y54" i="32" a="1"/>
  <c r="Y54" i="32" s="1"/>
  <c r="W54" i="32"/>
  <c r="T54" i="32" a="1"/>
  <c r="T54" i="32" s="1"/>
  <c r="S54" i="32" a="1"/>
  <c r="S54" i="32" s="1"/>
  <c r="R54" i="32" a="1"/>
  <c r="R54" i="32" s="1"/>
  <c r="P54" i="32"/>
  <c r="M54" i="32" a="1"/>
  <c r="M54" i="32" s="1"/>
  <c r="L54" i="32" a="1"/>
  <c r="L54" i="32" s="1"/>
  <c r="K54" i="32" a="1"/>
  <c r="K54" i="32" s="1"/>
  <c r="I54" i="32"/>
  <c r="AB89" i="31" l="1"/>
  <c r="AC44" i="31" l="1"/>
  <c r="AC45" i="31"/>
  <c r="AC46" i="31"/>
  <c r="AC47" i="31"/>
  <c r="AC48" i="31"/>
  <c r="AC49" i="31"/>
  <c r="AC50" i="31"/>
  <c r="AC51" i="31"/>
  <c r="B2" i="31"/>
  <c r="AC66" i="31" l="1"/>
  <c r="AC61" i="31"/>
  <c r="AC60" i="31"/>
  <c r="AC59" i="31"/>
  <c r="AC58" i="31"/>
  <c r="AC57" i="31"/>
  <c r="AC56" i="31"/>
  <c r="AC55" i="31"/>
  <c r="AC54" i="31"/>
  <c r="AC53" i="31"/>
  <c r="AC52" i="31"/>
  <c r="AC43" i="31"/>
  <c r="AC42" i="31"/>
  <c r="AC41" i="31"/>
  <c r="AC40" i="31"/>
  <c r="AC39" i="31"/>
  <c r="AC38" i="31"/>
  <c r="AC35" i="31"/>
  <c r="C31" i="31"/>
  <c r="AC4" i="31"/>
  <c r="AL58" i="30" l="1"/>
  <c r="AL59" i="30"/>
  <c r="AA60" i="31"/>
  <c r="Q60" i="31" a="1"/>
  <c r="Q60" i="31" s="1"/>
  <c r="S60" i="31"/>
  <c r="Y60" i="31" a="1"/>
  <c r="Y60" i="31" s="1"/>
  <c r="J60" i="31" a="1"/>
  <c r="J60" i="31" s="1"/>
  <c r="I60" i="31" a="1"/>
  <c r="I60" i="31" s="1"/>
  <c r="P60" i="31"/>
  <c r="R60" i="31" a="1"/>
  <c r="R60" i="31" s="1"/>
  <c r="X60" i="31"/>
  <c r="Z60" i="31" a="1"/>
  <c r="Z60" i="31" s="1"/>
  <c r="J61" i="31" a="1"/>
  <c r="J61" i="31" s="1"/>
  <c r="I61" i="31" a="1"/>
  <c r="I61" i="31" s="1"/>
  <c r="Q61" i="31" a="1"/>
  <c r="Q61" i="31" s="1"/>
  <c r="S61" i="31"/>
  <c r="X61" i="31"/>
  <c r="Z61" i="31" a="1"/>
  <c r="Z61" i="31" s="1"/>
  <c r="P61" i="31"/>
  <c r="R61" i="31" a="1"/>
  <c r="R61" i="31" s="1"/>
  <c r="Y61" i="31" a="1"/>
  <c r="Y61" i="31" s="1"/>
  <c r="B60" i="31"/>
  <c r="H60" i="31"/>
  <c r="T60" i="31"/>
  <c r="E60" i="31"/>
  <c r="M60" i="31"/>
  <c r="V60" i="31"/>
  <c r="Y31" i="31"/>
  <c r="AD31" i="31"/>
  <c r="Z31" i="31"/>
  <c r="G61" i="31"/>
  <c r="K61" i="31"/>
  <c r="O61" i="31"/>
  <c r="U61" i="31"/>
  <c r="W61" i="31"/>
  <c r="AA61" i="31"/>
  <c r="G60" i="31"/>
  <c r="K60" i="31"/>
  <c r="O60" i="31"/>
  <c r="U60" i="31"/>
  <c r="W60" i="31"/>
  <c r="B61" i="31"/>
  <c r="H61" i="31"/>
  <c r="E61" i="31" s="1"/>
  <c r="M61" i="31"/>
  <c r="T61" i="31"/>
  <c r="V61" i="31"/>
  <c r="AA62" i="31" l="1"/>
  <c r="AA31" i="31" s="1"/>
  <c r="AL57" i="30" l="1"/>
  <c r="AL56" i="30" l="1"/>
  <c r="AL55" i="30" l="1"/>
  <c r="AL54" i="30" l="1"/>
  <c r="C3" i="30"/>
  <c r="B31" i="30" s="1"/>
  <c r="C31" i="30" l="1"/>
  <c r="AD31" i="30"/>
  <c r="AC31" i="30"/>
  <c r="M31" i="30"/>
  <c r="X31" i="30"/>
  <c r="H31" i="30"/>
  <c r="W31" i="30"/>
  <c r="G31" i="30"/>
  <c r="R31" i="30"/>
  <c r="N31" i="30"/>
  <c r="Y31" i="30"/>
  <c r="I31" i="30"/>
  <c r="T31" i="30"/>
  <c r="D31" i="30"/>
  <c r="S31" i="30"/>
  <c r="V31" i="30"/>
  <c r="Z31" i="30"/>
  <c r="U31" i="30"/>
  <c r="E31" i="30"/>
  <c r="P31" i="30"/>
  <c r="AE31" i="30"/>
  <c r="O31" i="30"/>
  <c r="F31" i="30"/>
  <c r="J31" i="30"/>
  <c r="Q31" i="30"/>
  <c r="AB31" i="30"/>
  <c r="L31" i="30"/>
  <c r="AA31" i="30"/>
  <c r="K31" i="30"/>
  <c r="B34" i="31"/>
  <c r="AB30" i="31" s="1"/>
  <c r="AC30" i="31" s="1"/>
  <c r="A30" i="31" s="1"/>
  <c r="C1" i="58"/>
  <c r="C1" i="57"/>
  <c r="C1" i="35"/>
  <c r="C1" i="33"/>
  <c r="D3" i="36"/>
  <c r="B32" i="30"/>
  <c r="AB29" i="31" l="1"/>
  <c r="AC29" i="31" s="1"/>
  <c r="A29" i="31" s="1"/>
  <c r="B30" i="58"/>
  <c r="D30" i="58"/>
  <c r="D29" i="58"/>
  <c r="B29" i="58"/>
  <c r="B30" i="57"/>
  <c r="D29" i="57"/>
  <c r="B29" i="57"/>
  <c r="D30" i="57"/>
  <c r="AO32" i="30"/>
  <c r="AP32" i="30" s="1"/>
  <c r="AD32" i="30"/>
  <c r="AB32" i="30"/>
  <c r="Z32" i="30"/>
  <c r="X32" i="30"/>
  <c r="V32" i="30"/>
  <c r="T32" i="30"/>
  <c r="R32" i="30"/>
  <c r="P32" i="30"/>
  <c r="N32" i="30"/>
  <c r="L32" i="30"/>
  <c r="J32" i="30"/>
  <c r="H32" i="30"/>
  <c r="F32" i="30"/>
  <c r="D32" i="30"/>
  <c r="AE32" i="30"/>
  <c r="AC32" i="30"/>
  <c r="AA32" i="30"/>
  <c r="Y32" i="30"/>
  <c r="W32" i="30"/>
  <c r="U32" i="30"/>
  <c r="S32" i="30"/>
  <c r="Q32" i="30"/>
  <c r="O32" i="30"/>
  <c r="M32" i="30"/>
  <c r="K32" i="30"/>
  <c r="I32" i="30"/>
  <c r="G32" i="30"/>
  <c r="E32" i="30"/>
  <c r="C32" i="30"/>
  <c r="B65" i="31" s="1"/>
  <c r="AO31" i="30"/>
  <c r="AP31" i="30" s="1"/>
  <c r="I29" i="58" l="1"/>
  <c r="E29" i="58"/>
  <c r="H29" i="58"/>
  <c r="G29" i="58"/>
  <c r="J29" i="58"/>
  <c r="F29" i="58"/>
  <c r="I30" i="57"/>
  <c r="E30" i="57"/>
  <c r="H30" i="57"/>
  <c r="G30" i="57"/>
  <c r="J30" i="57"/>
  <c r="F30" i="57"/>
  <c r="G29" i="57"/>
  <c r="J29" i="57"/>
  <c r="F29" i="57"/>
  <c r="I29" i="57"/>
  <c r="E29" i="57"/>
  <c r="H29" i="57"/>
  <c r="I30" i="58"/>
  <c r="E30" i="58"/>
  <c r="H30" i="58"/>
  <c r="G30" i="58"/>
  <c r="J30" i="58"/>
  <c r="F30" i="58"/>
  <c r="P38" i="35"/>
  <c r="Q38" i="35" s="1"/>
  <c r="L38" i="35"/>
  <c r="M38" i="35" s="1"/>
  <c r="W38" i="35"/>
  <c r="X38" i="35" s="1"/>
  <c r="S38" i="35"/>
  <c r="T38" i="35" s="1"/>
  <c r="I38" i="35"/>
  <c r="J38" i="35" s="1"/>
  <c r="E38" i="35"/>
  <c r="F38" i="35" s="1"/>
  <c r="R38" i="35"/>
  <c r="N38" i="35"/>
  <c r="O38" i="35" s="1"/>
  <c r="Y38" i="35"/>
  <c r="U38" i="35"/>
  <c r="V38" i="35" s="1"/>
  <c r="K38" i="35"/>
  <c r="G38" i="35"/>
  <c r="H38" i="35" s="1"/>
  <c r="P40" i="35"/>
  <c r="Q40" i="35" s="1"/>
  <c r="L40" i="35"/>
  <c r="M40" i="35" s="1"/>
  <c r="W40" i="35"/>
  <c r="X40" i="35" s="1"/>
  <c r="S40" i="35"/>
  <c r="T40" i="35" s="1"/>
  <c r="I40" i="35"/>
  <c r="J40" i="35" s="1"/>
  <c r="E40" i="35"/>
  <c r="F40" i="35" s="1"/>
  <c r="R40" i="35"/>
  <c r="N40" i="35"/>
  <c r="O40" i="35" s="1"/>
  <c r="Y40" i="35"/>
  <c r="U40" i="35"/>
  <c r="V40" i="35" s="1"/>
  <c r="K40" i="35"/>
  <c r="G40" i="35"/>
  <c r="H40" i="35" s="1"/>
  <c r="Y37" i="35"/>
  <c r="U37" i="35"/>
  <c r="V37" i="35" s="1"/>
  <c r="K37" i="35"/>
  <c r="G37" i="35"/>
  <c r="H37" i="35" s="1"/>
  <c r="R37" i="35"/>
  <c r="N37" i="35"/>
  <c r="O37" i="35" s="1"/>
  <c r="W37" i="35"/>
  <c r="X37" i="35" s="1"/>
  <c r="S37" i="35"/>
  <c r="T37" i="35" s="1"/>
  <c r="I37" i="35"/>
  <c r="J37" i="35" s="1"/>
  <c r="E37" i="35"/>
  <c r="F37" i="35" s="1"/>
  <c r="P37" i="35"/>
  <c r="Q37" i="35" s="1"/>
  <c r="L37" i="35"/>
  <c r="M37" i="35" s="1"/>
  <c r="Y39" i="35"/>
  <c r="U39" i="35"/>
  <c r="V39" i="35" s="1"/>
  <c r="K39" i="35"/>
  <c r="G39" i="35"/>
  <c r="H39" i="35" s="1"/>
  <c r="R39" i="35"/>
  <c r="N39" i="35"/>
  <c r="O39" i="35" s="1"/>
  <c r="W39" i="35"/>
  <c r="X39" i="35" s="1"/>
  <c r="S39" i="35"/>
  <c r="T39" i="35" s="1"/>
  <c r="I39" i="35"/>
  <c r="J39" i="35" s="1"/>
  <c r="E39" i="35"/>
  <c r="F39" i="35" s="1"/>
  <c r="P39" i="35"/>
  <c r="Q39" i="35" s="1"/>
  <c r="L39" i="35"/>
  <c r="M39" i="35" s="1"/>
  <c r="G30" i="33"/>
  <c r="J30" i="33"/>
  <c r="F30" i="33"/>
  <c r="I30" i="33"/>
  <c r="E30" i="33"/>
  <c r="H30" i="33"/>
  <c r="G28" i="33"/>
  <c r="J28" i="33"/>
  <c r="F28" i="33"/>
  <c r="I28" i="33"/>
  <c r="E28" i="33"/>
  <c r="H28" i="33"/>
  <c r="G29" i="33"/>
  <c r="J29" i="33"/>
  <c r="F29" i="33"/>
  <c r="I29" i="33"/>
  <c r="E29" i="33"/>
  <c r="H29" i="33"/>
  <c r="G27" i="33"/>
  <c r="J27" i="33"/>
  <c r="F27" i="33"/>
  <c r="I27" i="33"/>
  <c r="E27" i="33"/>
  <c r="H27" i="33"/>
  <c r="AG27" i="36" a="1"/>
  <c r="AG27" i="36" s="1"/>
  <c r="AE27" i="36" a="1"/>
  <c r="AE27" i="36" s="1"/>
  <c r="AC27" i="36" a="1"/>
  <c r="AC27" i="36" s="1"/>
  <c r="AA27" i="36" a="1"/>
  <c r="AA27" i="36" s="1"/>
  <c r="Y27" i="36" a="1"/>
  <c r="Y27" i="36" s="1"/>
  <c r="W27" i="36" a="1"/>
  <c r="W27" i="36" s="1"/>
  <c r="U27" i="36" a="1"/>
  <c r="U27" i="36" s="1"/>
  <c r="S27" i="36" a="1"/>
  <c r="S27" i="36" s="1"/>
  <c r="Q27" i="36" a="1"/>
  <c r="Q27" i="36" s="1"/>
  <c r="O27" i="36" a="1"/>
  <c r="O27" i="36" s="1"/>
  <c r="M27" i="36" a="1"/>
  <c r="M27" i="36" s="1"/>
  <c r="K27" i="36" a="1"/>
  <c r="K27" i="36" s="1"/>
  <c r="I27" i="36" a="1"/>
  <c r="I27" i="36" s="1"/>
  <c r="G27" i="36" a="1"/>
  <c r="G27" i="36" s="1"/>
  <c r="E27" i="36" a="1"/>
  <c r="E27" i="36" s="1"/>
  <c r="AH27" i="36" a="1"/>
  <c r="AH27" i="36" s="1"/>
  <c r="AF27" i="36" a="1"/>
  <c r="AF27" i="36" s="1"/>
  <c r="AD27" i="36" a="1"/>
  <c r="AD27" i="36" s="1"/>
  <c r="AB27" i="36" a="1"/>
  <c r="AB27" i="36" s="1"/>
  <c r="Z27" i="36" a="1"/>
  <c r="Z27" i="36" s="1"/>
  <c r="X27" i="36" a="1"/>
  <c r="X27" i="36" s="1"/>
  <c r="V27" i="36" a="1"/>
  <c r="V27" i="36" s="1"/>
  <c r="T27" i="36" a="1"/>
  <c r="T27" i="36" s="1"/>
  <c r="R27" i="36" a="1"/>
  <c r="R27" i="36" s="1"/>
  <c r="P27" i="36" a="1"/>
  <c r="P27" i="36" s="1"/>
  <c r="N27" i="36" a="1"/>
  <c r="N27" i="36" s="1"/>
  <c r="L27" i="36" a="1"/>
  <c r="L27" i="36" s="1"/>
  <c r="J27" i="36" a="1"/>
  <c r="J27" i="36" s="1"/>
  <c r="H27" i="36" a="1"/>
  <c r="H27" i="36" s="1"/>
  <c r="F27" i="36" a="1"/>
  <c r="F27" i="36" s="1"/>
  <c r="D27" i="36" a="1"/>
  <c r="D27" i="36" s="1"/>
  <c r="AH29" i="36" a="1"/>
  <c r="AH29" i="36" s="1"/>
  <c r="AF29" i="36" a="1"/>
  <c r="AF29" i="36" s="1"/>
  <c r="AD29" i="36" a="1"/>
  <c r="AD29" i="36" s="1"/>
  <c r="AB29" i="36" a="1"/>
  <c r="AB29" i="36" s="1"/>
  <c r="Z29" i="36" a="1"/>
  <c r="Z29" i="36" s="1"/>
  <c r="X29" i="36" a="1"/>
  <c r="X29" i="36" s="1"/>
  <c r="V29" i="36" a="1"/>
  <c r="V29" i="36" s="1"/>
  <c r="T29" i="36" a="1"/>
  <c r="T29" i="36" s="1"/>
  <c r="R29" i="36" a="1"/>
  <c r="R29" i="36" s="1"/>
  <c r="P29" i="36" a="1"/>
  <c r="P29" i="36" s="1"/>
  <c r="N29" i="36" a="1"/>
  <c r="N29" i="36" s="1"/>
  <c r="L29" i="36" a="1"/>
  <c r="L29" i="36" s="1"/>
  <c r="J29" i="36" a="1"/>
  <c r="J29" i="36" s="1"/>
  <c r="H29" i="36" a="1"/>
  <c r="H29" i="36" s="1"/>
  <c r="F29" i="36" a="1"/>
  <c r="F29" i="36" s="1"/>
  <c r="D29" i="36" a="1"/>
  <c r="D29" i="36" s="1"/>
  <c r="AG29" i="36" a="1"/>
  <c r="AG29" i="36" s="1"/>
  <c r="AE29" i="36" a="1"/>
  <c r="AE29" i="36" s="1"/>
  <c r="AC29" i="36" a="1"/>
  <c r="AC29" i="36" s="1"/>
  <c r="AA29" i="36" a="1"/>
  <c r="AA29" i="36" s="1"/>
  <c r="Y29" i="36" a="1"/>
  <c r="Y29" i="36" s="1"/>
  <c r="W29" i="36" a="1"/>
  <c r="W29" i="36" s="1"/>
  <c r="U29" i="36" a="1"/>
  <c r="U29" i="36" s="1"/>
  <c r="S29" i="36" a="1"/>
  <c r="S29" i="36" s="1"/>
  <c r="Q29" i="36" a="1"/>
  <c r="Q29" i="36" s="1"/>
  <c r="O29" i="36" a="1"/>
  <c r="O29" i="36" s="1"/>
  <c r="M29" i="36" a="1"/>
  <c r="M29" i="36" s="1"/>
  <c r="K29" i="36" a="1"/>
  <c r="K29" i="36" s="1"/>
  <c r="I29" i="36" a="1"/>
  <c r="I29" i="36" s="1"/>
  <c r="G29" i="36" a="1"/>
  <c r="G29" i="36" s="1"/>
  <c r="E29" i="36" a="1"/>
  <c r="E29" i="36" s="1"/>
  <c r="AG26" i="36" a="1"/>
  <c r="AG26" i="36" s="1"/>
  <c r="AE26" i="36" a="1"/>
  <c r="AE26" i="36" s="1"/>
  <c r="AC26" i="36" a="1"/>
  <c r="AC26" i="36" s="1"/>
  <c r="AA26" i="36" a="1"/>
  <c r="AA26" i="36" s="1"/>
  <c r="Y26" i="36" a="1"/>
  <c r="Y26" i="36" s="1"/>
  <c r="W26" i="36" a="1"/>
  <c r="W26" i="36" s="1"/>
  <c r="U26" i="36" a="1"/>
  <c r="U26" i="36" s="1"/>
  <c r="S26" i="36" a="1"/>
  <c r="S26" i="36" s="1"/>
  <c r="Q26" i="36" a="1"/>
  <c r="Q26" i="36" s="1"/>
  <c r="O26" i="36" a="1"/>
  <c r="O26" i="36" s="1"/>
  <c r="M26" i="36" a="1"/>
  <c r="M26" i="36" s="1"/>
  <c r="K26" i="36" a="1"/>
  <c r="K26" i="36" s="1"/>
  <c r="I26" i="36" a="1"/>
  <c r="I26" i="36" s="1"/>
  <c r="G26" i="36" a="1"/>
  <c r="G26" i="36" s="1"/>
  <c r="E26" i="36" a="1"/>
  <c r="E26" i="36" s="1"/>
  <c r="AH26" i="36" a="1"/>
  <c r="AH26" i="36" s="1"/>
  <c r="AF26" i="36" a="1"/>
  <c r="AF26" i="36" s="1"/>
  <c r="AD26" i="36" a="1"/>
  <c r="AD26" i="36" s="1"/>
  <c r="AB26" i="36" a="1"/>
  <c r="AB26" i="36" s="1"/>
  <c r="Z26" i="36" a="1"/>
  <c r="Z26" i="36" s="1"/>
  <c r="X26" i="36" a="1"/>
  <c r="X26" i="36" s="1"/>
  <c r="V26" i="36" a="1"/>
  <c r="V26" i="36" s="1"/>
  <c r="T26" i="36" a="1"/>
  <c r="T26" i="36" s="1"/>
  <c r="R26" i="36" a="1"/>
  <c r="R26" i="36" s="1"/>
  <c r="P26" i="36" a="1"/>
  <c r="P26" i="36" s="1"/>
  <c r="N26" i="36" a="1"/>
  <c r="N26" i="36" s="1"/>
  <c r="L26" i="36" a="1"/>
  <c r="L26" i="36" s="1"/>
  <c r="J26" i="36" a="1"/>
  <c r="J26" i="36" s="1"/>
  <c r="H26" i="36" a="1"/>
  <c r="H26" i="36" s="1"/>
  <c r="F26" i="36" a="1"/>
  <c r="F26" i="36" s="1"/>
  <c r="D26" i="36" a="1"/>
  <c r="D26" i="36" s="1"/>
  <c r="AH28" i="36" a="1"/>
  <c r="AH28" i="36" s="1"/>
  <c r="AF28" i="36" a="1"/>
  <c r="AF28" i="36" s="1"/>
  <c r="AD28" i="36" a="1"/>
  <c r="AD28" i="36" s="1"/>
  <c r="AB28" i="36" a="1"/>
  <c r="AB28" i="36" s="1"/>
  <c r="Z28" i="36" a="1"/>
  <c r="Z28" i="36" s="1"/>
  <c r="X28" i="36" a="1"/>
  <c r="X28" i="36" s="1"/>
  <c r="V28" i="36" a="1"/>
  <c r="V28" i="36" s="1"/>
  <c r="T28" i="36" a="1"/>
  <c r="T28" i="36" s="1"/>
  <c r="R28" i="36" a="1"/>
  <c r="R28" i="36" s="1"/>
  <c r="P28" i="36" a="1"/>
  <c r="P28" i="36" s="1"/>
  <c r="N28" i="36" a="1"/>
  <c r="N28" i="36" s="1"/>
  <c r="L28" i="36" a="1"/>
  <c r="L28" i="36" s="1"/>
  <c r="J28" i="36" a="1"/>
  <c r="J28" i="36" s="1"/>
  <c r="H28" i="36" a="1"/>
  <c r="H28" i="36" s="1"/>
  <c r="F28" i="36" a="1"/>
  <c r="F28" i="36" s="1"/>
  <c r="D28" i="36" a="1"/>
  <c r="D28" i="36" s="1"/>
  <c r="AG28" i="36" a="1"/>
  <c r="AG28" i="36" s="1"/>
  <c r="AE28" i="36" a="1"/>
  <c r="AE28" i="36" s="1"/>
  <c r="AC28" i="36" a="1"/>
  <c r="AC28" i="36" s="1"/>
  <c r="AA28" i="36" a="1"/>
  <c r="AA28" i="36" s="1"/>
  <c r="Y28" i="36" a="1"/>
  <c r="Y28" i="36" s="1"/>
  <c r="W28" i="36" a="1"/>
  <c r="W28" i="36" s="1"/>
  <c r="U28" i="36" a="1"/>
  <c r="U28" i="36" s="1"/>
  <c r="S28" i="36" a="1"/>
  <c r="S28" i="36" s="1"/>
  <c r="Q28" i="36" a="1"/>
  <c r="Q28" i="36" s="1"/>
  <c r="O28" i="36" a="1"/>
  <c r="O28" i="36" s="1"/>
  <c r="M28" i="36" a="1"/>
  <c r="M28" i="36" s="1"/>
  <c r="K28" i="36" a="1"/>
  <c r="K28" i="36" s="1"/>
  <c r="I28" i="36" a="1"/>
  <c r="I28" i="36" s="1"/>
  <c r="G28" i="36" a="1"/>
  <c r="G28" i="36" s="1"/>
  <c r="E28" i="36" a="1"/>
  <c r="E28" i="36" s="1"/>
  <c r="G19" i="29" l="1"/>
  <c r="G22" i="29"/>
  <c r="G25" i="29"/>
  <c r="G29" i="29"/>
  <c r="G30" i="29"/>
  <c r="G34" i="29"/>
  <c r="G33" i="29" s="1"/>
  <c r="G35" i="29"/>
  <c r="G36" i="29"/>
  <c r="G38" i="29"/>
  <c r="G37" i="29" s="1"/>
  <c r="G39" i="29"/>
  <c r="G40" i="29"/>
  <c r="G41" i="29"/>
  <c r="G42" i="29"/>
  <c r="G44" i="29"/>
  <c r="G45" i="29"/>
  <c r="G43" i="29" s="1"/>
  <c r="G46" i="29"/>
  <c r="G47" i="29"/>
  <c r="G48" i="29"/>
  <c r="G49" i="29"/>
  <c r="G50" i="29"/>
  <c r="G51" i="29"/>
  <c r="G52" i="29"/>
  <c r="G53" i="29"/>
  <c r="G5" i="29"/>
  <c r="G6" i="29"/>
  <c r="G7" i="29"/>
  <c r="G8" i="29"/>
  <c r="G9" i="29"/>
  <c r="G10" i="29"/>
  <c r="G11" i="29"/>
  <c r="G12" i="29"/>
  <c r="G13" i="29"/>
  <c r="G14" i="29"/>
  <c r="G4" i="29"/>
  <c r="G32" i="29" l="1"/>
  <c r="G31" i="29" s="1"/>
  <c r="G28" i="29" s="1"/>
  <c r="G27" i="29" l="1"/>
  <c r="G26" i="29" s="1"/>
  <c r="G24" i="29"/>
  <c r="G23" i="29" s="1"/>
  <c r="G21" i="29" l="1"/>
  <c r="G20" i="29" s="1"/>
  <c r="G18" i="29" s="1"/>
  <c r="A44" i="28"/>
  <c r="A67" i="29" l="1" a="1"/>
  <c r="A67" i="29" s="1"/>
  <c r="A66" i="29" a="1"/>
  <c r="A66" i="29" s="1"/>
  <c r="A65" i="29" a="1"/>
  <c r="A65" i="29" s="1"/>
  <c r="A64" i="29" a="1"/>
  <c r="A64" i="29" s="1"/>
  <c r="A63" i="29" a="1"/>
  <c r="A63" i="29" s="1"/>
  <c r="A62" i="29" a="1"/>
  <c r="A62" i="29" s="1"/>
  <c r="A61" i="29" a="1"/>
  <c r="A61" i="29" s="1"/>
  <c r="A60" i="29" a="1"/>
  <c r="A60" i="29" s="1"/>
  <c r="A59" i="29" a="1"/>
  <c r="A59" i="29" s="1"/>
  <c r="A58" i="29" a="1"/>
  <c r="A58" i="29" s="1"/>
  <c r="A57" i="29" a="1"/>
  <c r="A57" i="29" s="1"/>
  <c r="A56" i="29" a="1"/>
  <c r="A56" i="29" s="1"/>
  <c r="A55" i="29" a="1"/>
  <c r="A55" i="29" s="1"/>
  <c r="A54" i="29" a="1"/>
  <c r="A54" i="29" s="1"/>
  <c r="H53" i="29"/>
  <c r="E53" i="29"/>
  <c r="A53" i="29" a="1"/>
  <c r="A53" i="29" s="1"/>
  <c r="H52" i="29"/>
  <c r="E52" i="29"/>
  <c r="A52" i="29" a="1"/>
  <c r="A52" i="29" s="1"/>
  <c r="H51" i="29"/>
  <c r="E51" i="29"/>
  <c r="A51" i="29" a="1"/>
  <c r="A51" i="29" s="1"/>
  <c r="E50" i="29"/>
  <c r="A50" i="29" a="1"/>
  <c r="A50" i="29" s="1"/>
  <c r="E49" i="29"/>
  <c r="A49" i="29" a="1"/>
  <c r="A49" i="29" s="1"/>
  <c r="E48" i="29"/>
  <c r="A48" i="29" a="1"/>
  <c r="A48" i="29" s="1"/>
  <c r="E47" i="29"/>
  <c r="A47" i="29" a="1"/>
  <c r="A47" i="29" s="1"/>
  <c r="E46" i="29"/>
  <c r="A46" i="29" a="1"/>
  <c r="A46" i="29" s="1"/>
  <c r="E45" i="29"/>
  <c r="A45" i="29" a="1"/>
  <c r="A45" i="29" s="1"/>
  <c r="E44" i="29"/>
  <c r="A44" i="29" a="1"/>
  <c r="A44" i="29" s="1"/>
  <c r="E43" i="29"/>
  <c r="A43" i="29" a="1"/>
  <c r="A43" i="29" s="1"/>
  <c r="E42" i="29"/>
  <c r="A42" i="29" a="1"/>
  <c r="A42" i="29" s="1"/>
  <c r="E41" i="29"/>
  <c r="A41" i="29" a="1"/>
  <c r="A41" i="29" s="1"/>
  <c r="E40" i="29"/>
  <c r="A40" i="29" a="1"/>
  <c r="A40" i="29" s="1"/>
  <c r="E39" i="29"/>
  <c r="A39" i="29" a="1"/>
  <c r="A39" i="29" s="1"/>
  <c r="E38" i="29"/>
  <c r="A38" i="29" a="1"/>
  <c r="A38" i="29" s="1"/>
  <c r="E37" i="29"/>
  <c r="A37" i="29" a="1"/>
  <c r="A37" i="29" s="1"/>
  <c r="E36" i="29"/>
  <c r="A36" i="29" a="1"/>
  <c r="A36" i="29" s="1"/>
  <c r="E35" i="29"/>
  <c r="A35" i="29" a="1"/>
  <c r="A35" i="29" s="1"/>
  <c r="E34" i="29"/>
  <c r="A34" i="29" a="1"/>
  <c r="A34" i="29" s="1"/>
  <c r="E33" i="29"/>
  <c r="A33" i="29" a="1"/>
  <c r="A33" i="29" s="1"/>
  <c r="E32" i="29"/>
  <c r="A32" i="29" a="1"/>
  <c r="A32" i="29" s="1"/>
  <c r="E31" i="29"/>
  <c r="A31" i="29" a="1"/>
  <c r="A31" i="29" s="1"/>
  <c r="E30" i="29"/>
  <c r="A30" i="29" a="1"/>
  <c r="A30" i="29" s="1"/>
  <c r="E29" i="29"/>
  <c r="A29" i="29" a="1"/>
  <c r="A29" i="29" s="1"/>
  <c r="E28" i="29"/>
  <c r="A28" i="29" a="1"/>
  <c r="A28" i="29" s="1"/>
  <c r="E27" i="29"/>
  <c r="A27" i="29" a="1"/>
  <c r="A27" i="29" s="1"/>
  <c r="E26" i="29"/>
  <c r="A26" i="29" a="1"/>
  <c r="A26" i="29" s="1"/>
  <c r="E25" i="29"/>
  <c r="A25" i="29" a="1"/>
  <c r="A25" i="29" s="1"/>
  <c r="E24" i="29"/>
  <c r="A24" i="29" a="1"/>
  <c r="A24" i="29" s="1"/>
  <c r="E23" i="29"/>
  <c r="A23" i="29" a="1"/>
  <c r="A23" i="29" s="1"/>
  <c r="E22" i="29"/>
  <c r="A22" i="29" a="1"/>
  <c r="A22" i="29" s="1"/>
  <c r="E21" i="29"/>
  <c r="A21" i="29" a="1"/>
  <c r="A21" i="29" s="1"/>
  <c r="E20" i="29"/>
  <c r="A20" i="29" a="1"/>
  <c r="A20" i="29" s="1"/>
  <c r="E19" i="29"/>
  <c r="A19" i="29" a="1"/>
  <c r="A19" i="29" s="1"/>
  <c r="E18" i="29"/>
  <c r="A18" i="29" a="1"/>
  <c r="A18" i="29" s="1"/>
  <c r="G17" i="29"/>
  <c r="E14" i="29"/>
  <c r="E13" i="29"/>
  <c r="E12" i="29"/>
  <c r="E11" i="29"/>
  <c r="E10" i="29"/>
  <c r="E9" i="29"/>
  <c r="E8" i="29"/>
  <c r="E7" i="29"/>
  <c r="E6" i="29"/>
  <c r="E5" i="29"/>
  <c r="E4" i="29"/>
  <c r="M3" i="29"/>
  <c r="A47" i="28"/>
  <c r="A41" i="28"/>
  <c r="A38" i="28"/>
  <c r="A35" i="28"/>
  <c r="A33" i="28"/>
  <c r="A32" i="28"/>
  <c r="A29" i="28"/>
  <c r="A26" i="28"/>
  <c r="A23" i="28"/>
  <c r="A20" i="28"/>
  <c r="A17" i="28"/>
  <c r="A14" i="28"/>
  <c r="A11" i="28"/>
  <c r="A8" i="28"/>
  <c r="A5" i="28"/>
  <c r="A9" i="28" l="1"/>
  <c r="A24" i="28"/>
  <c r="A30" i="28"/>
  <c r="A39" i="28"/>
  <c r="A45" i="28"/>
  <c r="A15" i="28"/>
  <c r="A6" i="28"/>
  <c r="A12" i="28"/>
  <c r="A21" i="28"/>
  <c r="A27" i="28"/>
  <c r="A36" i="28"/>
  <c r="A42" i="28"/>
  <c r="A48" i="28"/>
  <c r="A18" i="28"/>
  <c r="BE6" i="29" l="1"/>
  <c r="BE7" i="29" s="1"/>
  <c r="BE4" i="29"/>
  <c r="BD6" i="29"/>
  <c r="BD7" i="29" s="1"/>
  <c r="BD4" i="29"/>
  <c r="R31" i="31" l="1"/>
  <c r="Q31" i="31"/>
  <c r="J31" i="31"/>
  <c r="I31" i="31"/>
  <c r="AA90" i="31" l="1"/>
  <c r="D90" i="31" a="1"/>
  <c r="D90" i="31" s="1"/>
  <c r="S90" i="31"/>
  <c r="I90" i="31" a="1"/>
  <c r="I90" i="31" s="1"/>
  <c r="K90" i="31"/>
  <c r="E90" i="31"/>
  <c r="L90" i="31" a="1"/>
  <c r="L90" i="31" s="1"/>
  <c r="W90" i="31"/>
  <c r="P90" i="31"/>
  <c r="AB90" i="31"/>
  <c r="N90" i="31" a="1"/>
  <c r="N90" i="31" s="1"/>
  <c r="O90" i="31"/>
  <c r="B90" i="31"/>
  <c r="Q90" i="31" a="1"/>
  <c r="Q90" i="31" s="1"/>
  <c r="Z90" i="31" a="1"/>
  <c r="Z90" i="31" s="1"/>
  <c r="R90" i="31" a="1"/>
  <c r="R90" i="31" s="1"/>
  <c r="H90" i="31"/>
  <c r="J90" i="31" a="1"/>
  <c r="J90" i="31" s="1"/>
  <c r="U90" i="31"/>
  <c r="M90" i="31"/>
  <c r="Y90" i="31" a="1"/>
  <c r="Y90" i="31" s="1"/>
  <c r="X90" i="31"/>
  <c r="F90" i="31" a="1"/>
  <c r="F90" i="31" s="1"/>
  <c r="V90" i="31"/>
  <c r="G90" i="31"/>
  <c r="T90" i="31"/>
  <c r="J503" i="33" l="1"/>
  <c r="J537" i="33"/>
  <c r="J563" i="33"/>
  <c r="J508" i="33"/>
  <c r="J561" i="33"/>
  <c r="I485" i="33"/>
  <c r="J513" i="33"/>
  <c r="J568" i="33"/>
  <c r="I490" i="33"/>
  <c r="J529" i="33"/>
  <c r="J512" i="33"/>
  <c r="I489" i="33"/>
  <c r="J489" i="33" s="1"/>
  <c r="I478" i="33"/>
  <c r="J516" i="33"/>
  <c r="J527" i="33"/>
  <c r="J518" i="33"/>
  <c r="J501" i="33"/>
  <c r="J192" i="35"/>
  <c r="I483" i="33"/>
  <c r="J536" i="33"/>
  <c r="I474" i="33"/>
  <c r="J539" i="33"/>
  <c r="J511" i="33"/>
  <c r="J502" i="33"/>
  <c r="J514" i="33"/>
  <c r="I488" i="33" l="1"/>
  <c r="J488" i="33" s="1"/>
  <c r="J545" i="33"/>
  <c r="J509" i="33"/>
  <c r="J551" i="33"/>
  <c r="J490" i="33"/>
  <c r="J541" i="33"/>
  <c r="J485" i="33"/>
  <c r="J533" i="33"/>
  <c r="J505" i="33"/>
  <c r="J538" i="33"/>
  <c r="J525" i="33"/>
  <c r="J560" i="33"/>
  <c r="J534" i="33"/>
  <c r="J506" i="33"/>
  <c r="I481" i="33"/>
  <c r="J481" i="33" s="1"/>
  <c r="J558" i="33"/>
  <c r="I479" i="33"/>
  <c r="J479" i="33" s="1"/>
  <c r="J564" i="33"/>
  <c r="J542" i="33"/>
  <c r="J500" i="33"/>
  <c r="J524" i="33"/>
  <c r="I470" i="33"/>
  <c r="J470" i="33" s="1"/>
  <c r="J497" i="33"/>
  <c r="J556" i="33"/>
  <c r="J572" i="33"/>
  <c r="J554" i="33"/>
  <c r="J555" i="33"/>
  <c r="J532" i="33"/>
  <c r="I484" i="33"/>
  <c r="J484" i="33" s="1"/>
  <c r="J571" i="33"/>
  <c r="R193" i="35"/>
  <c r="O193" i="35" s="1"/>
  <c r="S193" i="35"/>
  <c r="Q191" i="35"/>
  <c r="P196" i="35"/>
  <c r="W191" i="35"/>
  <c r="W195" i="35"/>
  <c r="K193" i="35"/>
  <c r="U193" i="35"/>
  <c r="G196" i="35"/>
  <c r="H191" i="35"/>
  <c r="F573" i="33"/>
  <c r="J550" i="33"/>
  <c r="R195" i="35"/>
  <c r="M195" i="35" s="1"/>
  <c r="S195" i="35"/>
  <c r="S194" i="35"/>
  <c r="R194" i="35"/>
  <c r="O194" i="35" s="1"/>
  <c r="J523" i="33"/>
  <c r="F546" i="33"/>
  <c r="K195" i="35"/>
  <c r="F192" i="35"/>
  <c r="K192" i="35"/>
  <c r="H192" i="35" s="1"/>
  <c r="I469" i="33"/>
  <c r="G492" i="33"/>
  <c r="F519" i="33"/>
  <c r="J496" i="33"/>
  <c r="J474" i="33"/>
  <c r="J498" i="33"/>
  <c r="I480" i="33"/>
  <c r="J480" i="33" s="1"/>
  <c r="H492" i="33"/>
  <c r="J478" i="33"/>
  <c r="J528" i="33"/>
  <c r="J567" i="33"/>
  <c r="J531" i="33"/>
  <c r="I482" i="33"/>
  <c r="J482" i="33" s="1"/>
  <c r="J559" i="33"/>
  <c r="J543" i="33"/>
  <c r="J517" i="33"/>
  <c r="I491" i="33"/>
  <c r="J491" i="33" s="1"/>
  <c r="J562" i="33"/>
  <c r="J565" i="33"/>
  <c r="J552" i="33"/>
  <c r="J566" i="33"/>
  <c r="H519" i="33"/>
  <c r="E492" i="33"/>
  <c r="J557" i="33"/>
  <c r="J540" i="33"/>
  <c r="I476" i="33"/>
  <c r="J476" i="33" s="1"/>
  <c r="H546" i="33"/>
  <c r="J569" i="33"/>
  <c r="W193" i="35"/>
  <c r="R192" i="35"/>
  <c r="Q192" i="35" s="1"/>
  <c r="M192" i="35"/>
  <c r="S192" i="35"/>
  <c r="T192" i="35" s="1"/>
  <c r="U195" i="35"/>
  <c r="M191" i="35"/>
  <c r="L196" i="35"/>
  <c r="S191" i="35"/>
  <c r="R191" i="35"/>
  <c r="F191" i="35"/>
  <c r="K191" i="35"/>
  <c r="E196" i="35"/>
  <c r="K194" i="35"/>
  <c r="W192" i="35"/>
  <c r="U191" i="35"/>
  <c r="N196" i="35"/>
  <c r="O191" i="35"/>
  <c r="U192" i="35"/>
  <c r="O192" i="35"/>
  <c r="J191" i="35"/>
  <c r="I196" i="35"/>
  <c r="W194" i="35"/>
  <c r="U194" i="35"/>
  <c r="J483" i="33"/>
  <c r="J510" i="33"/>
  <c r="J499" i="33"/>
  <c r="I477" i="33"/>
  <c r="J477" i="33" s="1"/>
  <c r="H573" i="33"/>
  <c r="I486" i="33"/>
  <c r="J486" i="33" s="1"/>
  <c r="J553" i="33"/>
  <c r="J526" i="33"/>
  <c r="I471" i="33"/>
  <c r="J471" i="33" s="1"/>
  <c r="F492" i="33"/>
  <c r="J535" i="33"/>
  <c r="I487" i="33"/>
  <c r="J487" i="33" s="1"/>
  <c r="J570" i="33"/>
  <c r="I473" i="33"/>
  <c r="J473" i="33" s="1"/>
  <c r="I472" i="33"/>
  <c r="J472" i="33" s="1"/>
  <c r="J515" i="33"/>
  <c r="J544" i="33"/>
  <c r="I475" i="33"/>
  <c r="J475" i="33" s="1"/>
  <c r="J504" i="33"/>
  <c r="J530" i="33"/>
  <c r="J507" i="33"/>
  <c r="H195" i="35" l="1"/>
  <c r="J195" i="35"/>
  <c r="H194" i="35"/>
  <c r="J194" i="35"/>
  <c r="F194" i="35"/>
  <c r="M193" i="35"/>
  <c r="Q195" i="35"/>
  <c r="Q193" i="35"/>
  <c r="Q194" i="35"/>
  <c r="O195" i="35"/>
  <c r="M194" i="35"/>
  <c r="H193" i="35"/>
  <c r="J193" i="35"/>
  <c r="F193" i="35"/>
  <c r="F195" i="35"/>
  <c r="Y192" i="35"/>
  <c r="V192" i="35" s="1"/>
  <c r="K196" i="35"/>
  <c r="F196" i="35" s="1"/>
  <c r="Y191" i="35"/>
  <c r="R196" i="35"/>
  <c r="M196" i="35" s="1"/>
  <c r="W196" i="35"/>
  <c r="X191" i="35"/>
  <c r="J519" i="33"/>
  <c r="Y194" i="35"/>
  <c r="V194" i="35" s="1"/>
  <c r="Y195" i="35"/>
  <c r="V195" i="35" s="1"/>
  <c r="J573" i="33"/>
  <c r="Y193" i="35"/>
  <c r="T193" i="35" s="1"/>
  <c r="U196" i="35"/>
  <c r="V191" i="35"/>
  <c r="T191" i="35"/>
  <c r="S196" i="35"/>
  <c r="I492" i="33"/>
  <c r="J469" i="33"/>
  <c r="J492" i="33" s="1"/>
  <c r="J546" i="33"/>
  <c r="X192" i="35" l="1"/>
  <c r="X195" i="35"/>
  <c r="X194" i="35"/>
  <c r="V193" i="35"/>
  <c r="H196" i="35"/>
  <c r="Q196" i="35"/>
  <c r="T194" i="35"/>
  <c r="J196" i="35"/>
  <c r="X193" i="35"/>
  <c r="O196" i="35"/>
  <c r="T195" i="35"/>
  <c r="Y196" i="35"/>
  <c r="T196" i="35" s="1"/>
  <c r="X196" i="35" l="1"/>
  <c r="V196" i="35"/>
  <c r="O50" i="37"/>
  <c r="X50" i="37" s="1"/>
  <c r="O49" i="37"/>
  <c r="X49" i="37" s="1"/>
  <c r="O48" i="37"/>
  <c r="X48" i="37" s="1"/>
  <c r="O47" i="37"/>
  <c r="X47" i="37" s="1"/>
  <c r="O46" i="37"/>
  <c r="X46" i="37" s="1"/>
  <c r="O45" i="37"/>
  <c r="X45" i="37" s="1"/>
  <c r="O44" i="37"/>
  <c r="X44" i="37" s="1"/>
  <c r="O43" i="37"/>
  <c r="X43" i="37" s="1"/>
  <c r="O42" i="37"/>
  <c r="X42" i="37" s="1"/>
  <c r="O41" i="37"/>
  <c r="X41" i="37" s="1"/>
  <c r="O40" i="37"/>
  <c r="X40" i="37" s="1"/>
  <c r="O39" i="37"/>
  <c r="X39" i="37" s="1"/>
  <c r="O38" i="37"/>
  <c r="X38" i="37" s="1"/>
  <c r="O37" i="37"/>
  <c r="X37" i="37" s="1"/>
  <c r="O36" i="37"/>
  <c r="X36" i="37" s="1"/>
  <c r="O35" i="37"/>
  <c r="X35" i="37" s="1"/>
  <c r="O34" i="37"/>
  <c r="X34" i="37" s="1"/>
  <c r="O33" i="37"/>
  <c r="X33" i="37" s="1"/>
  <c r="O32" i="37"/>
  <c r="X32" i="37" s="1"/>
  <c r="O31" i="37"/>
  <c r="X31" i="37" s="1"/>
  <c r="O30" i="37"/>
  <c r="X30" i="37" s="1"/>
  <c r="O29" i="37"/>
  <c r="X29" i="37" s="1"/>
  <c r="O28" i="37"/>
  <c r="X28" i="37" s="1"/>
  <c r="O27" i="37"/>
  <c r="X27" i="37" s="1"/>
  <c r="O26" i="37"/>
  <c r="X26" i="37" s="1"/>
  <c r="O25" i="37"/>
  <c r="X25" i="37" s="1"/>
  <c r="O24" i="37"/>
  <c r="X24" i="37" s="1"/>
  <c r="O23" i="37"/>
  <c r="X23" i="37" s="1"/>
  <c r="O22" i="37"/>
  <c r="X22" i="37" s="1"/>
  <c r="O21" i="37"/>
  <c r="X21" i="37" s="1"/>
  <c r="O20" i="37"/>
  <c r="X20" i="37" s="1"/>
  <c r="O19" i="37"/>
  <c r="X19" i="37" s="1"/>
  <c r="O18" i="37"/>
  <c r="X18" i="37" s="1"/>
  <c r="O17" i="37"/>
  <c r="X17" i="37" s="1"/>
  <c r="O16" i="37"/>
  <c r="X16" i="37" s="1"/>
  <c r="O15" i="37"/>
  <c r="X15" i="37" s="1"/>
  <c r="O14" i="37"/>
  <c r="X14" i="37" s="1"/>
  <c r="O13" i="37"/>
  <c r="X13" i="37" s="1"/>
  <c r="O12" i="37"/>
  <c r="X12" i="37" s="1"/>
  <c r="O11" i="37"/>
  <c r="X11" i="37" s="1"/>
  <c r="O10" i="37"/>
  <c r="X10" i="37" s="1"/>
  <c r="O9" i="37"/>
  <c r="X9" i="37" s="1"/>
  <c r="O8" i="37"/>
  <c r="X8" i="37" s="1"/>
  <c r="O7" i="37"/>
  <c r="X7" i="37" s="1"/>
  <c r="O6" i="37"/>
  <c r="X6" i="37" s="1"/>
  <c r="O5" i="37"/>
  <c r="X5" i="37" s="1"/>
  <c r="O4" i="37"/>
  <c r="X4" i="37" s="1"/>
  <c r="O3" i="37"/>
  <c r="X3" i="37" s="1"/>
  <c r="O2" i="37"/>
  <c r="X2" i="37" s="1"/>
  <c r="N50" i="37"/>
  <c r="P50" i="37" s="1"/>
  <c r="Y50" i="37" s="1"/>
  <c r="N49" i="37"/>
  <c r="P49" i="37" s="1"/>
  <c r="Y49" i="37" s="1"/>
  <c r="N48" i="37"/>
  <c r="P48" i="37" s="1"/>
  <c r="Y48" i="37" s="1"/>
  <c r="N47" i="37"/>
  <c r="P47" i="37" s="1"/>
  <c r="Y47" i="37" s="1"/>
  <c r="N46" i="37"/>
  <c r="P46" i="37" s="1"/>
  <c r="Y46" i="37" s="1"/>
  <c r="N45" i="37"/>
  <c r="P45" i="37" s="1"/>
  <c r="Y45" i="37" s="1"/>
  <c r="N44" i="37"/>
  <c r="P44" i="37" s="1"/>
  <c r="Y44" i="37" s="1"/>
  <c r="N43" i="37"/>
  <c r="P43" i="37" s="1"/>
  <c r="Y43" i="37" s="1"/>
  <c r="N42" i="37"/>
  <c r="P42" i="37" s="1"/>
  <c r="Y42" i="37" s="1"/>
  <c r="N41" i="37"/>
  <c r="P41" i="37" s="1"/>
  <c r="Y41" i="37" s="1"/>
  <c r="N40" i="37"/>
  <c r="P40" i="37" s="1"/>
  <c r="Y40" i="37" s="1"/>
  <c r="N39" i="37"/>
  <c r="P39" i="37" s="1"/>
  <c r="Y39" i="37" s="1"/>
  <c r="N38" i="37"/>
  <c r="P38" i="37" s="1"/>
  <c r="Y38" i="37" s="1"/>
  <c r="N37" i="37"/>
  <c r="P37" i="37" s="1"/>
  <c r="Y37" i="37" s="1"/>
  <c r="N36" i="37"/>
  <c r="P36" i="37" s="1"/>
  <c r="Y36" i="37" s="1"/>
  <c r="N35" i="37"/>
  <c r="P35" i="37" s="1"/>
  <c r="Y35" i="37" s="1"/>
  <c r="N34" i="37"/>
  <c r="P34" i="37" s="1"/>
  <c r="Y34" i="37" s="1"/>
  <c r="N33" i="37"/>
  <c r="P33" i="37" s="1"/>
  <c r="Y33" i="37" s="1"/>
  <c r="N32" i="37"/>
  <c r="P32" i="37" s="1"/>
  <c r="Y32" i="37" s="1"/>
  <c r="N31" i="37"/>
  <c r="P31" i="37" s="1"/>
  <c r="Y31" i="37" s="1"/>
  <c r="N30" i="37"/>
  <c r="P30" i="37" s="1"/>
  <c r="Y30" i="37" s="1"/>
  <c r="N29" i="37"/>
  <c r="P29" i="37" s="1"/>
  <c r="Y29" i="37" s="1"/>
  <c r="N28" i="37"/>
  <c r="P28" i="37" s="1"/>
  <c r="Y28" i="37" s="1"/>
  <c r="N27" i="37"/>
  <c r="P27" i="37" s="1"/>
  <c r="Y27" i="37" s="1"/>
  <c r="N26" i="37"/>
  <c r="P26" i="37" s="1"/>
  <c r="Y26" i="37" s="1"/>
  <c r="N25" i="37"/>
  <c r="P25" i="37" s="1"/>
  <c r="Y25" i="37" s="1"/>
  <c r="N24" i="37"/>
  <c r="P24" i="37" s="1"/>
  <c r="Y24" i="37" s="1"/>
  <c r="N23" i="37"/>
  <c r="P23" i="37" s="1"/>
  <c r="Y23" i="37" s="1"/>
  <c r="N22" i="37"/>
  <c r="P22" i="37" s="1"/>
  <c r="Y22" i="37" s="1"/>
  <c r="N21" i="37"/>
  <c r="P21" i="37" s="1"/>
  <c r="Y21" i="37" s="1"/>
  <c r="N20" i="37"/>
  <c r="P20" i="37" s="1"/>
  <c r="Y20" i="37" s="1"/>
  <c r="N19" i="37"/>
  <c r="P19" i="37" s="1"/>
  <c r="Y19" i="37" s="1"/>
  <c r="N18" i="37"/>
  <c r="P18" i="37" s="1"/>
  <c r="Y18" i="37" s="1"/>
  <c r="N17" i="37"/>
  <c r="P17" i="37" s="1"/>
  <c r="Y17" i="37" s="1"/>
  <c r="N16" i="37"/>
  <c r="P16" i="37" s="1"/>
  <c r="Y16" i="37" s="1"/>
  <c r="N15" i="37"/>
  <c r="P15" i="37" s="1"/>
  <c r="Y15" i="37" s="1"/>
  <c r="N14" i="37"/>
  <c r="P14" i="37" s="1"/>
  <c r="Y14" i="37" s="1"/>
  <c r="N13" i="37"/>
  <c r="P13" i="37" s="1"/>
  <c r="Y13" i="37" s="1"/>
  <c r="N12" i="37"/>
  <c r="P12" i="37" s="1"/>
  <c r="Y12" i="37" s="1"/>
  <c r="N11" i="37"/>
  <c r="P11" i="37" s="1"/>
  <c r="Y11" i="37" s="1"/>
  <c r="N9" i="37"/>
  <c r="P9" i="37" s="1"/>
  <c r="Y9" i="37" s="1"/>
  <c r="N8" i="37"/>
  <c r="P8" i="37" s="1"/>
  <c r="Y8" i="37" s="1"/>
  <c r="N6" i="37"/>
  <c r="P6" i="37" s="1"/>
  <c r="Y6" i="37" s="1"/>
  <c r="N4" i="37"/>
  <c r="P4" i="37" s="1"/>
  <c r="Y4" i="37" s="1"/>
  <c r="N2" i="37"/>
  <c r="P2" i="37" s="1"/>
  <c r="Y2" i="37" s="1"/>
  <c r="N10" i="37"/>
  <c r="P10" i="37" s="1"/>
  <c r="Y10" i="37" s="1"/>
  <c r="N7" i="37"/>
  <c r="P7" i="37" s="1"/>
  <c r="Y7" i="37" s="1"/>
  <c r="N5" i="37"/>
  <c r="P5" i="37" s="1"/>
  <c r="Y5" i="37" s="1"/>
  <c r="N3" i="37"/>
  <c r="P3" i="37" s="1"/>
  <c r="Y3" i="37" s="1"/>
  <c r="N1" i="37"/>
  <c r="P1" i="37" s="1"/>
  <c r="Y1" i="37" s="1"/>
  <c r="O1" i="37"/>
  <c r="X1" i="37" s="1"/>
  <c r="K11" i="29" l="1"/>
  <c r="K7" i="29"/>
  <c r="V11" i="29"/>
  <c r="X11" i="29"/>
  <c r="U11" i="29"/>
  <c r="M11" i="29"/>
  <c r="O11" i="29"/>
  <c r="Q11" i="29"/>
  <c r="P11" i="29"/>
  <c r="T11" i="29"/>
  <c r="R11" i="29"/>
  <c r="L11" i="29"/>
  <c r="N11" i="29"/>
  <c r="W11" i="29"/>
  <c r="S11" i="29"/>
  <c r="AI50" i="30" l="1"/>
  <c r="AH44" i="30"/>
  <c r="AH47" i="30"/>
  <c r="AH51" i="30"/>
  <c r="AI44" i="30"/>
  <c r="AI53" i="30"/>
  <c r="AK45" i="30"/>
  <c r="AH39" i="30"/>
  <c r="AI51" i="30"/>
  <c r="AK41" i="30"/>
  <c r="AK46" i="30"/>
  <c r="AK50" i="30"/>
  <c r="AK48" i="30"/>
  <c r="AK39" i="30"/>
  <c r="AK53" i="30" l="1"/>
  <c r="AH46" i="30"/>
  <c r="AI49" i="30"/>
  <c r="AI40" i="30"/>
  <c r="AI39" i="30"/>
  <c r="AH50" i="30"/>
  <c r="AH42" i="30"/>
  <c r="AH49" i="30"/>
  <c r="AK47" i="30"/>
  <c r="AH53" i="30"/>
  <c r="AI47" i="30"/>
  <c r="AK52" i="30"/>
  <c r="AH48" i="30"/>
  <c r="AI45" i="30"/>
  <c r="AL49" i="30"/>
  <c r="AJ49" i="30"/>
  <c r="AJ53" i="30"/>
  <c r="AJ45" i="30"/>
  <c r="AI52" i="30"/>
  <c r="AJ40" i="30"/>
  <c r="AL40" i="30"/>
  <c r="AG39" i="30"/>
  <c r="AG47" i="30"/>
  <c r="AG48" i="30"/>
  <c r="AK49" i="30"/>
  <c r="AK44" i="30"/>
  <c r="AG51" i="30"/>
  <c r="AF51" i="30" s="1"/>
  <c r="AH43" i="30"/>
  <c r="AG43" i="30"/>
  <c r="AH45" i="30"/>
  <c r="AI43" i="30"/>
  <c r="AG45" i="30"/>
  <c r="AL51" i="30"/>
  <c r="AJ51" i="30"/>
  <c r="AG40" i="30"/>
  <c r="AG49" i="30"/>
  <c r="AG42" i="30"/>
  <c r="AJ41" i="30"/>
  <c r="AL41" i="30"/>
  <c r="AJ47" i="30"/>
  <c r="AL47" i="30"/>
  <c r="AK51" i="30"/>
  <c r="AK43" i="30"/>
  <c r="AI42" i="30"/>
  <c r="AH41" i="30"/>
  <c r="AI48" i="30"/>
  <c r="AG46" i="30"/>
  <c r="AL48" i="30"/>
  <c r="AJ48" i="30"/>
  <c r="AJ50" i="30"/>
  <c r="AJ42" i="30"/>
  <c r="AG52" i="30"/>
  <c r="AL44" i="30"/>
  <c r="AJ44" i="30"/>
  <c r="AJ43" i="30"/>
  <c r="AH52" i="30"/>
  <c r="AI46" i="30"/>
  <c r="AJ39" i="30"/>
  <c r="AJ46" i="30"/>
  <c r="AL46" i="30"/>
  <c r="AH40" i="30"/>
  <c r="AK42" i="30"/>
  <c r="AG53" i="30"/>
  <c r="AK40" i="30"/>
  <c r="AG50" i="30"/>
  <c r="AG41" i="30"/>
  <c r="AG44" i="30"/>
  <c r="AF44" i="30" s="1"/>
  <c r="AI41" i="30"/>
  <c r="AL52" i="30"/>
  <c r="AJ52" i="30"/>
  <c r="AF39" i="30" l="1"/>
  <c r="AF47" i="30"/>
  <c r="AF53" i="30"/>
  <c r="AF49" i="30"/>
  <c r="AF50" i="30"/>
  <c r="AL42" i="30"/>
  <c r="AL45" i="30"/>
  <c r="AL39" i="30"/>
  <c r="AF41" i="30"/>
  <c r="AF42" i="30"/>
  <c r="AF45" i="30"/>
  <c r="AF52" i="30"/>
  <c r="AF46" i="30"/>
  <c r="AL53" i="30"/>
  <c r="AF43" i="30"/>
  <c r="AF48" i="30"/>
  <c r="AL43" i="30"/>
  <c r="AL50" i="30"/>
  <c r="AF40" i="30"/>
  <c r="D71" i="11" l="1"/>
  <c r="D72" i="11"/>
  <c r="D70" i="11"/>
  <c r="D69" i="11"/>
  <c r="D69" i="79" l="1"/>
  <c r="D75" i="73"/>
  <c r="D69" i="64"/>
  <c r="D68" i="72"/>
  <c r="D69" i="72"/>
  <c r="D68" i="76"/>
  <c r="D67" i="69"/>
  <c r="D68" i="75"/>
  <c r="D66" i="65"/>
  <c r="D68" i="60"/>
  <c r="D67" i="66"/>
  <c r="D68" i="74"/>
  <c r="D68" i="63"/>
  <c r="D76" i="73"/>
  <c r="D66" i="75"/>
  <c r="D70" i="73"/>
  <c r="D72" i="64"/>
  <c r="D70" i="72"/>
  <c r="D67" i="61"/>
  <c r="D66" i="78"/>
  <c r="D67" i="71"/>
  <c r="D66" i="77"/>
  <c r="D73" i="73"/>
  <c r="D72" i="73"/>
  <c r="D68" i="71"/>
  <c r="D70" i="64"/>
  <c r="D70" i="59"/>
  <c r="D71" i="63"/>
  <c r="D69" i="68"/>
  <c r="D68" i="59"/>
  <c r="D67" i="72"/>
  <c r="D67" i="79"/>
  <c r="D69" i="60"/>
  <c r="D67" i="75"/>
  <c r="D68" i="61"/>
  <c r="D71" i="72"/>
  <c r="D67" i="76"/>
  <c r="D66" i="67"/>
  <c r="D67" i="77"/>
  <c r="D67" i="60"/>
  <c r="D71" i="76"/>
  <c r="D71" i="59"/>
  <c r="D69" i="76"/>
  <c r="D69" i="70"/>
  <c r="D67" i="74"/>
  <c r="D66" i="66"/>
  <c r="D68" i="64"/>
  <c r="D70" i="79"/>
  <c r="D70" i="63"/>
  <c r="D67" i="59"/>
  <c r="D68" i="79"/>
  <c r="D68" i="70"/>
  <c r="D67" i="65"/>
  <c r="D70" i="76"/>
  <c r="D73" i="64"/>
  <c r="D68" i="68"/>
  <c r="D71" i="73"/>
  <c r="D68" i="66"/>
  <c r="D71" i="64"/>
  <c r="D69" i="61"/>
  <c r="D69" i="59"/>
  <c r="D67" i="62"/>
  <c r="D69" i="63"/>
  <c r="D72" i="76"/>
  <c r="D69" i="78"/>
  <c r="D66" i="69"/>
  <c r="D66" i="71"/>
  <c r="D68" i="78"/>
  <c r="D67" i="63"/>
  <c r="D67" i="70"/>
  <c r="F68" i="61" l="1"/>
  <c r="F68" i="59"/>
  <c r="F70" i="11"/>
  <c r="F71" i="11"/>
  <c r="F69" i="59"/>
  <c r="F67" i="65"/>
  <c r="F70" i="59"/>
  <c r="F73" i="64"/>
  <c r="F72" i="11"/>
  <c r="F73" i="11"/>
  <c r="F69" i="11"/>
  <c r="F68" i="75" l="1"/>
  <c r="F68" i="76"/>
  <c r="F68" i="72"/>
  <c r="F76" i="73"/>
  <c r="F67" i="79"/>
  <c r="F66" i="77"/>
  <c r="F73" i="73"/>
  <c r="F67" i="74"/>
  <c r="F69" i="68"/>
  <c r="F68" i="64"/>
  <c r="F66" i="67"/>
  <c r="F66" i="66"/>
  <c r="F69" i="78"/>
  <c r="F70" i="76"/>
  <c r="F70" i="61"/>
  <c r="F67" i="61"/>
  <c r="F68" i="71"/>
  <c r="F71" i="61"/>
  <c r="F67" i="66"/>
  <c r="F69" i="64"/>
  <c r="F68" i="63"/>
  <c r="F67" i="70"/>
  <c r="F68" i="78"/>
  <c r="F71" i="76"/>
  <c r="F71" i="72"/>
  <c r="F69" i="61"/>
  <c r="F71" i="64"/>
  <c r="F67" i="75"/>
  <c r="F71" i="73"/>
  <c r="F66" i="71"/>
  <c r="F67" i="60"/>
  <c r="F70" i="64"/>
  <c r="F71" i="59"/>
  <c r="F68" i="66"/>
  <c r="F70" i="63"/>
  <c r="F67" i="62"/>
  <c r="F68" i="74"/>
  <c r="F67" i="76"/>
  <c r="F72" i="76"/>
  <c r="F68" i="68"/>
  <c r="F68" i="60"/>
  <c r="F67" i="72"/>
  <c r="F72" i="64"/>
  <c r="F68" i="79"/>
  <c r="F66" i="69"/>
  <c r="F70" i="73"/>
  <c r="F66" i="78"/>
  <c r="F67" i="63"/>
  <c r="F70" i="72"/>
  <c r="F67" i="77"/>
  <c r="F69" i="72"/>
  <c r="F75" i="73"/>
  <c r="F70" i="68"/>
  <c r="F69" i="70"/>
  <c r="F67" i="59"/>
  <c r="F69" i="60"/>
  <c r="F66" i="75"/>
  <c r="F72" i="73"/>
  <c r="F69" i="63"/>
  <c r="F67" i="71"/>
  <c r="F71" i="63"/>
  <c r="F67" i="69"/>
  <c r="F69" i="76"/>
  <c r="F68" i="70"/>
  <c r="F66" i="65" l="1"/>
  <c r="E434" i="33" a="1"/>
  <c r="G180" i="33" a="1"/>
  <c r="E189" i="33" a="1"/>
  <c r="H455" i="33" a="1"/>
  <c r="H130" i="33" a="1"/>
  <c r="H113" i="33" a="1"/>
  <c r="H55" i="33" a="1"/>
  <c r="H75" i="33" a="1"/>
  <c r="F203" i="33" a="1"/>
  <c r="E240" i="33" a="1"/>
  <c r="L69" i="35" a="1"/>
  <c r="E230" i="33" a="1"/>
  <c r="I148" i="35" a="1"/>
  <c r="F270" i="33" a="1"/>
  <c r="H418" i="33" a="1"/>
  <c r="H374" i="33" a="1"/>
  <c r="E188" i="33" a="1"/>
  <c r="N182" i="35" a="1"/>
  <c r="G69" i="35" a="1"/>
  <c r="G192" i="33" a="1"/>
  <c r="I50" i="35" a="1"/>
  <c r="H146" i="33" a="1"/>
  <c r="H451" i="33" a="1"/>
  <c r="E320" i="33" a="1"/>
  <c r="G376" i="33" a="1"/>
  <c r="I75" i="35" a="1"/>
  <c r="G343" i="33" a="1"/>
  <c r="H231" i="33" a="1"/>
  <c r="F381" i="33" a="1"/>
  <c r="E182" i="33" a="1"/>
  <c r="H271" i="33" a="1"/>
  <c r="H447" i="33" a="1"/>
  <c r="G424" i="33" a="1"/>
  <c r="G52" i="58" a="1"/>
  <c r="G92" i="33" a="1"/>
  <c r="E208" i="33" a="1"/>
  <c r="E203" i="33" a="1"/>
  <c r="G425" i="33" a="1"/>
  <c r="G301" i="33" a="1"/>
  <c r="E104" i="35" a="1"/>
  <c r="F217" i="33" a="1"/>
  <c r="F190" i="33" a="1"/>
  <c r="E325" i="33" a="1"/>
  <c r="P122" i="35" a="1"/>
  <c r="F91" i="33" a="1"/>
  <c r="F67" i="33" a="1"/>
  <c r="H81" i="33" a="1"/>
  <c r="G172" i="33" a="1"/>
  <c r="I130" i="35" a="1"/>
  <c r="H229" i="33" a="1"/>
  <c r="F243" i="33" a="1"/>
  <c r="B40" i="28" a="1"/>
  <c r="F239" i="33" a="1"/>
  <c r="F355" i="33" a="1"/>
  <c r="H380" i="33" a="1"/>
  <c r="H97" i="57" a="1"/>
  <c r="E461" i="33" a="1"/>
  <c r="I139" i="35" a="1"/>
  <c r="F125" i="33" a="1"/>
  <c r="E82" i="58" a="1"/>
  <c r="E74" i="35" a="1"/>
  <c r="E78" i="33" a="1"/>
  <c r="E102" i="33" a="1"/>
  <c r="L49" i="35" a="1"/>
  <c r="P101" i="35" a="1"/>
  <c r="E382" i="33" a="1"/>
  <c r="F435" i="33" a="1"/>
  <c r="E147" i="33" a="1"/>
  <c r="F93" i="33" a="1"/>
  <c r="E245" i="33" a="1"/>
  <c r="H135" i="33" a="1"/>
  <c r="F208" i="33" a="1"/>
  <c r="G375" i="33" a="1"/>
  <c r="G127" i="33" a="1"/>
  <c r="G54" i="33" a="1"/>
  <c r="H153" i="33" a="1"/>
  <c r="E407" i="33" a="1"/>
  <c r="G253" i="33" a="1"/>
  <c r="P167" i="35" a="1"/>
  <c r="E54" i="33" a="1"/>
  <c r="N48" i="35" a="1"/>
  <c r="E340" i="33" a="1"/>
  <c r="F286" i="33" a="1"/>
  <c r="H190" i="33" a="1"/>
  <c r="L67" i="35" a="1"/>
  <c r="N164" i="35" a="1"/>
  <c r="I175" i="35" a="1"/>
  <c r="G294" i="33" a="1"/>
  <c r="G394" i="33" a="1"/>
  <c r="F92" i="58" a="1"/>
  <c r="G190" i="33" a="1"/>
  <c r="F456" i="33" a="1"/>
  <c r="P155" i="35" a="1"/>
  <c r="H205" i="33" a="1"/>
  <c r="E173" i="35" a="1"/>
  <c r="G380" i="33" a="1"/>
  <c r="P87" i="35" a="1"/>
  <c r="F214" i="33" a="1"/>
  <c r="G260" i="33" a="1"/>
  <c r="N84" i="35" a="1"/>
  <c r="E347" i="33" a="1"/>
  <c r="E214" i="33" a="1"/>
  <c r="G321" i="33" a="1"/>
  <c r="H327" i="33" a="1"/>
  <c r="H312" i="33" a="1"/>
  <c r="F246" i="33" a="1"/>
  <c r="H97" i="33" a="1"/>
  <c r="E218" i="33" a="1"/>
  <c r="F460" i="33" a="1"/>
  <c r="H177" i="33" a="1"/>
  <c r="W38" i="30" a="1"/>
  <c r="H99" i="33" a="1"/>
  <c r="G254" i="33" a="1"/>
  <c r="G162" i="33" a="1"/>
  <c r="E283" i="33" a="1"/>
  <c r="G298" i="33" a="1"/>
  <c r="G239" i="33" a="1"/>
  <c r="G227" i="33" a="1"/>
  <c r="E51" i="33" a="1"/>
  <c r="L147" i="35" a="1"/>
  <c r="N173" i="35" a="1"/>
  <c r="G103" i="35" a="1"/>
  <c r="E425" i="33" a="1"/>
  <c r="G300" i="33" a="1"/>
  <c r="G75" i="35" a="1"/>
  <c r="H145" i="33" a="1"/>
  <c r="P51" i="35" a="1"/>
  <c r="B4" i="28" a="1"/>
  <c r="E273" i="33" a="1"/>
  <c r="E136" i="33" a="1"/>
  <c r="G57" i="58" a="1"/>
  <c r="H383" i="33" a="1"/>
  <c r="L186" i="35" a="1"/>
  <c r="E455" i="33" a="1"/>
  <c r="P113" i="35" a="1"/>
  <c r="H108" i="33" a="1"/>
  <c r="F126" i="33" a="1"/>
  <c r="F73" i="33" a="1"/>
  <c r="G93" i="33" a="1"/>
  <c r="L57" i="35" a="1"/>
  <c r="G47" i="33" a="1"/>
  <c r="E447" i="33" a="1"/>
  <c r="P132" i="35" a="1"/>
  <c r="E288" i="33" a="1"/>
  <c r="H38" i="30" a="1"/>
  <c r="N120" i="35" a="1"/>
  <c r="G72" i="58" a="1"/>
  <c r="F269" i="33" a="1"/>
  <c r="H49" i="33" a="1"/>
  <c r="G210" i="33" a="1"/>
  <c r="B16" i="28" a="1"/>
  <c r="E50" i="35" a="1"/>
  <c r="R2" i="30"/>
  <c r="E59" i="33" a="1"/>
  <c r="G217" i="33" a="1"/>
  <c r="L132" i="35" a="1"/>
  <c r="E176" i="33" a="1"/>
  <c r="H147" i="33" a="1"/>
  <c r="G314" i="33" a="1"/>
  <c r="G410" i="33" a="1"/>
  <c r="E164" i="33" a="1"/>
  <c r="E94" i="35" a="1"/>
  <c r="E92" i="58" a="1"/>
  <c r="H372" i="33" a="1"/>
  <c r="F216" i="33" a="1"/>
  <c r="E183" i="35" a="1"/>
  <c r="H302" i="33" a="1"/>
  <c r="L51" i="35" a="1"/>
  <c r="N141" i="35" a="1"/>
  <c r="E132" i="35" a="1"/>
  <c r="G247" i="33" a="1"/>
  <c r="G290" i="33" a="1"/>
  <c r="E322" i="33" a="1"/>
  <c r="H311" i="33" a="1"/>
  <c r="H319" i="33" a="1"/>
  <c r="F427" i="33" a="1"/>
  <c r="G140" i="35" a="1"/>
  <c r="F175" i="33" a="1"/>
  <c r="G399" i="33" a="1"/>
  <c r="E64" i="33" a="1"/>
  <c r="L75" i="35" a="1"/>
  <c r="G285" i="33" a="1"/>
  <c r="H403" i="33" a="1"/>
  <c r="F241" i="33" a="1"/>
  <c r="P123" i="35" a="1"/>
  <c r="H87" i="57" a="1"/>
  <c r="F350" i="33" a="1"/>
  <c r="F325" i="33" a="1"/>
  <c r="F338" i="33" a="1"/>
  <c r="F336" i="33" a="1"/>
  <c r="E156" i="33" a="1"/>
  <c r="E267" i="33" a="1"/>
  <c r="H366" i="33" a="1"/>
  <c r="G46" i="33" a="1"/>
  <c r="H436" i="33" a="1"/>
  <c r="H409" i="33" a="1"/>
  <c r="I138" i="35" a="1"/>
  <c r="L111" i="35" a="1"/>
  <c r="P85" i="35" a="1"/>
  <c r="E138" i="33" a="1"/>
  <c r="H166" i="33" a="1"/>
  <c r="F107" i="58" a="1"/>
  <c r="E121" i="33" a="1"/>
  <c r="E285" i="33" a="1"/>
  <c r="E393" i="33" a="1"/>
  <c r="N122" i="35" a="1"/>
  <c r="E398" i="33" a="1"/>
  <c r="G97" i="33" a="1"/>
  <c r="G53" i="33" a="1"/>
  <c r="E314" i="33" a="1"/>
  <c r="E113" i="35" a="1"/>
  <c r="H431" i="33" a="1"/>
  <c r="H293" i="33" a="1"/>
  <c r="E43" i="33" a="1"/>
  <c r="G187" i="33" a="1"/>
  <c r="N157" i="35" a="1"/>
  <c r="E37" i="58"/>
  <c r="H52" i="57" a="1"/>
  <c r="H93" i="33" a="1"/>
  <c r="F173" i="33" a="1"/>
  <c r="E124" i="33" a="1"/>
  <c r="E408" i="33" a="1"/>
  <c r="H368" i="33" a="1"/>
  <c r="G173" i="35" a="1"/>
  <c r="E315" i="33" a="1"/>
  <c r="E436" i="33" a="1"/>
  <c r="F302" i="33" a="1"/>
  <c r="F368" i="33" a="1"/>
  <c r="E128" i="33" a="1"/>
  <c r="E56" i="33" a="1"/>
  <c r="F367" i="33" a="1"/>
  <c r="G91" i="33" a="1"/>
  <c r="L185" i="35" a="1"/>
  <c r="L166" i="35" a="1"/>
  <c r="G368" i="33" a="1"/>
  <c r="H255" i="33" a="1"/>
  <c r="H397" i="33" a="1"/>
  <c r="H207" i="33" a="1"/>
  <c r="G113" i="33" a="1"/>
  <c r="P105" i="35" a="1"/>
  <c r="F87" i="57" a="1"/>
  <c r="E229" i="33" a="1"/>
  <c r="E152" i="33" a="1"/>
  <c r="G82" i="57" a="1"/>
  <c r="E112" i="35" a="1"/>
  <c r="E167" i="35" a="1"/>
  <c r="E390" i="33" a="1"/>
  <c r="G257" i="33" a="1"/>
  <c r="F128" i="33" a="1"/>
  <c r="H399" i="33" a="1"/>
  <c r="I114" i="35" a="1"/>
  <c r="N49" i="35" a="1"/>
  <c r="E186" i="33" a="1"/>
  <c r="G72" i="33" a="1"/>
  <c r="E181" i="33" a="1"/>
  <c r="H41" i="33" a="1"/>
  <c r="H52" i="33" a="1"/>
  <c r="E172" i="33" a="1"/>
  <c r="H308" i="33" a="1"/>
  <c r="G262" i="33" a="1"/>
  <c r="E148" i="35" a="1"/>
  <c r="H394" i="33" a="1"/>
  <c r="G175" i="35" a="1"/>
  <c r="L47" i="35" a="1"/>
  <c r="N147" i="35" a="1"/>
  <c r="E204" i="33" a="1"/>
  <c r="E77" i="35" a="1"/>
  <c r="G48" i="35" a="1"/>
  <c r="E92" i="57" a="1"/>
  <c r="H437" i="33" a="1"/>
  <c r="E354" i="33" a="1"/>
  <c r="N175" i="35" a="1"/>
  <c r="H92" i="57" a="1"/>
  <c r="L177" i="35" a="1"/>
  <c r="E104" i="33" a="1"/>
  <c r="H320" i="33" a="1"/>
  <c r="E107" i="58" a="1"/>
  <c r="G184" i="35" a="1"/>
  <c r="E363" i="33" a="1"/>
  <c r="L165" i="35" a="1"/>
  <c r="I69" i="35" a="1"/>
  <c r="E96" i="35" a="1"/>
  <c r="G454" i="33" a="1"/>
  <c r="N139" i="35" a="1"/>
  <c r="H67" i="33" a="1"/>
  <c r="F112" i="33" a="1"/>
  <c r="F434" i="33" a="1"/>
  <c r="F335" i="33" a="1"/>
  <c r="G150" i="35" a="1"/>
  <c r="E120" i="33" a="1"/>
  <c r="F163" i="33" a="1"/>
  <c r="G77" i="58" a="1"/>
  <c r="G156" i="35" a="1"/>
  <c r="F52" i="33" a="1"/>
  <c r="E122" i="33" a="1"/>
  <c r="I164" i="35" a="1"/>
  <c r="G400" i="33" a="1"/>
  <c r="F44" i="33" a="1"/>
  <c r="H450" i="33" a="1"/>
  <c r="G364" i="33" a="1"/>
  <c r="E244" i="33" a="1"/>
  <c r="L128" i="35" a="1"/>
  <c r="F291" i="33" a="1"/>
  <c r="F57" i="33" a="1"/>
  <c r="G266" i="33" a="1"/>
  <c r="P95" i="35" a="1"/>
  <c r="E400" i="33" a="1"/>
  <c r="H317" i="33" a="1"/>
  <c r="E233" i="33" a="1"/>
  <c r="E93" i="35" a="1"/>
  <c r="G146" i="33" a="1"/>
  <c r="F147" i="33" a="1"/>
  <c r="G69" i="33" a="1"/>
  <c r="N51" i="35" a="1"/>
  <c r="L92" i="35" a="1"/>
  <c r="F72" i="33" a="1"/>
  <c r="G119" i="33" a="1"/>
  <c r="G346" i="33" a="1"/>
  <c r="F96" i="33" a="1"/>
  <c r="N78" i="35" a="1"/>
  <c r="G160" i="33" a="1"/>
  <c r="G193" i="33" a="1"/>
  <c r="F92" i="33" a="1"/>
  <c r="L50" i="35" a="1"/>
  <c r="N158" i="35" a="1"/>
  <c r="H273" i="33" a="1"/>
  <c r="G390" i="33" a="1"/>
  <c r="E210" i="33" a="1"/>
  <c r="G214" i="33" a="1"/>
  <c r="E137" i="33" a="1"/>
  <c r="E112" i="58" a="1"/>
  <c r="H62" i="57" a="1"/>
  <c r="L176" i="35" a="1"/>
  <c r="F371" i="33" a="1"/>
  <c r="I102" i="35" a="1"/>
  <c r="G100" i="33" a="1"/>
  <c r="F102" i="57" a="1"/>
  <c r="E159" i="35" a="1"/>
  <c r="I110" i="35" a="1"/>
  <c r="E42" i="33" a="1"/>
  <c r="B43" i="30"/>
  <c r="H187" i="33" a="1"/>
  <c r="F260" i="33" a="1"/>
  <c r="H92" i="33" a="1"/>
  <c r="G280" i="33" a="1"/>
  <c r="G126" i="33" a="1"/>
  <c r="F257" i="33" a="1"/>
  <c r="G436" i="33" a="1"/>
  <c r="H426" i="33" a="1"/>
  <c r="F80" i="33" a="1"/>
  <c r="G419" i="33" a="1"/>
  <c r="F145" i="33" a="1"/>
  <c r="B37" i="28" a="1"/>
  <c r="E42" i="57" a="1"/>
  <c r="G176" i="33" a="1"/>
  <c r="G323" i="33" a="1"/>
  <c r="G206" i="33" a="1"/>
  <c r="H217" i="33" a="1"/>
  <c r="F242" i="33" a="1"/>
  <c r="H91" i="33" a="1"/>
  <c r="E349" i="33" a="1"/>
  <c r="F57" i="57" a="1"/>
  <c r="E141" i="35" a="1"/>
  <c r="E159" i="33" a="1"/>
  <c r="P119" i="35" a="1"/>
  <c r="G112" i="58" a="1"/>
  <c r="E299" i="33" a="1"/>
  <c r="F99" i="33" a="1"/>
  <c r="I121" i="35" a="1"/>
  <c r="F264" i="33" a="1"/>
  <c r="G62" i="58" a="1"/>
  <c r="H240" i="33" a="1"/>
  <c r="E60" i="35" a="1"/>
  <c r="F187" i="33" a="1"/>
  <c r="G67" i="57" a="1"/>
  <c r="G406" i="33" a="1"/>
  <c r="G275" i="33" a="1"/>
  <c r="G132" i="35" a="1"/>
  <c r="H183" i="33" a="1"/>
  <c r="F78" i="33" a="1"/>
  <c r="N184" i="35" a="1"/>
  <c r="L141" i="35" a="1"/>
  <c r="G79" i="33" a="1"/>
  <c r="H152" i="33" a="1"/>
  <c r="P147" i="35" a="1"/>
  <c r="G140" i="33" a="1"/>
  <c r="G97" i="57" a="1"/>
  <c r="F347" i="33" a="1"/>
  <c r="G407" i="33" a="1"/>
  <c r="E365" i="33" a="1"/>
  <c r="G66" i="33" a="1"/>
  <c r="H463" i="33" a="1"/>
  <c r="E98" i="33" a="1"/>
  <c r="H232" i="33" a="1"/>
  <c r="H215" i="33" a="1"/>
  <c r="H354" i="33" a="1"/>
  <c r="P57" i="35" a="1"/>
  <c r="N96" i="35" a="1"/>
  <c r="H254" i="33" a="1"/>
  <c r="F174" i="33" a="1"/>
  <c r="H56" i="33" a="1"/>
  <c r="G68" i="33" a="1"/>
  <c r="Y38" i="30" a="1"/>
  <c r="E65" i="35" a="1"/>
  <c r="N159" i="35" a="1"/>
  <c r="F235" i="33" a="1"/>
  <c r="P56" i="35" a="1"/>
  <c r="E373" i="33" a="1"/>
  <c r="H118" i="33" a="1"/>
  <c r="G67" i="35" a="1"/>
  <c r="G286" i="33" a="1"/>
  <c r="G176" i="35" a="1"/>
  <c r="H294" i="33" a="1"/>
  <c r="H136" i="33" a="1"/>
  <c r="E87" i="57" a="1"/>
  <c r="N121" i="35" a="1"/>
  <c r="N68" i="35" a="1"/>
  <c r="G179" i="33" a="1"/>
  <c r="H289" i="33" a="1"/>
  <c r="H64" i="33" a="1"/>
  <c r="G103" i="33" a="1"/>
  <c r="F204" i="33" a="1"/>
  <c r="F362" i="33" a="1"/>
  <c r="L76" i="35" a="1"/>
  <c r="F254" i="33" a="1"/>
  <c r="E157" i="33" a="1"/>
  <c r="O38" i="30" a="1"/>
  <c r="G338" i="33" a="1"/>
  <c r="G270" i="33" a="1"/>
  <c r="F319" i="33" a="1"/>
  <c r="E149" i="33" a="1"/>
  <c r="L149" i="35" a="1"/>
  <c r="F183" i="33" a="1"/>
  <c r="G374" i="33" a="1"/>
  <c r="E58" i="33" a="1"/>
  <c r="G354" i="33" a="1"/>
  <c r="I119" i="35" a="1"/>
  <c r="E185" i="33" a="1"/>
  <c r="P92" i="35" a="1"/>
  <c r="F410" i="33" a="1"/>
  <c r="I128" i="35" a="1"/>
  <c r="G311" i="33" a="1"/>
  <c r="G78" i="35" a="1"/>
  <c r="F77" i="57" a="1"/>
  <c r="B51" i="30"/>
  <c r="G163" i="33" a="1"/>
  <c r="G133" i="33" a="1"/>
  <c r="G312" i="33" a="1"/>
  <c r="G348" i="33" a="1"/>
  <c r="E120" i="35" a="1"/>
  <c r="H165" i="33" a="1"/>
  <c r="I78" i="35" a="1"/>
  <c r="F417" i="33" a="1"/>
  <c r="E55" i="33" a="1"/>
  <c r="G177" i="35" a="1"/>
  <c r="F84" i="33" a="1"/>
  <c r="H39" i="33" a="1"/>
  <c r="L140" i="35" a="1"/>
  <c r="G267" i="33" a="1"/>
  <c r="H337" i="33" a="1"/>
  <c r="E257" i="33" a="1"/>
  <c r="F237" i="33" a="1"/>
  <c r="E75" i="35" a="1"/>
  <c r="E47" i="58" a="1"/>
  <c r="H408" i="33" a="1"/>
  <c r="E154" i="33" a="1"/>
  <c r="I111" i="35" a="1"/>
  <c r="B43" i="28" a="1"/>
  <c r="E87" i="58" a="1"/>
  <c r="H462" i="33" a="1"/>
  <c r="E58" i="35" a="1"/>
  <c r="H424" i="33" a="1"/>
  <c r="F378" i="33" a="1"/>
  <c r="P111" i="35" a="1"/>
  <c r="E227" i="33" a="1"/>
  <c r="F416" i="33" a="1"/>
  <c r="F37" i="33" a="1"/>
  <c r="F236" i="33" a="1"/>
  <c r="F210" i="33" a="1"/>
  <c r="G109" i="33" a="1"/>
  <c r="G289" i="33" a="1"/>
  <c r="F70" i="33" a="1"/>
  <c r="H322" i="33" a="1"/>
  <c r="G226" i="33" a="1"/>
  <c r="H435" i="33" a="1"/>
  <c r="H111" i="33" a="1"/>
  <c r="G102" i="57" a="1"/>
  <c r="E112" i="33" a="1"/>
  <c r="H364" i="33" a="1"/>
  <c r="H261" i="33" a="1"/>
  <c r="E324" i="33" a="1"/>
  <c r="E234" i="33" a="1"/>
  <c r="E44" i="33" a="1"/>
  <c r="G347" i="33" a="1"/>
  <c r="E48" i="35" a="1"/>
  <c r="G93" i="35" a="1"/>
  <c r="E66" i="35" a="1"/>
  <c r="P74" i="35" a="1"/>
  <c r="E150" i="33" a="1"/>
  <c r="F139" i="33" a="1"/>
  <c r="E328" i="33" a="1"/>
  <c r="F79" i="33" a="1"/>
  <c r="F47" i="58" a="1"/>
  <c r="H76" i="33" a="1"/>
  <c r="F177" i="33" a="1"/>
  <c r="G416" i="33" a="1"/>
  <c r="I68" i="35" a="1"/>
  <c r="G82" i="33" a="1"/>
  <c r="G235" i="33" a="1"/>
  <c r="E416" i="33" a="1"/>
  <c r="H62" i="58" a="1"/>
  <c r="E127" i="33" a="1"/>
  <c r="G405" i="33" a="1"/>
  <c r="F409" i="33" a="1"/>
  <c r="F218" i="33" a="1"/>
  <c r="F433" i="33" a="1"/>
  <c r="F75" i="33" a="1"/>
  <c r="E269" i="33" a="1"/>
  <c r="G57" i="33" a="1"/>
  <c r="F372" i="33" a="1"/>
  <c r="E74" i="33" a="1"/>
  <c r="N50" i="35" a="1"/>
  <c r="E40" i="33" a="1"/>
  <c r="H351" i="33" a="1"/>
  <c r="G121" i="35" a="1"/>
  <c r="G62" i="57" a="1"/>
  <c r="G446" i="33" a="1"/>
  <c r="G351" i="33" a="1"/>
  <c r="H265" i="33" a="1"/>
  <c r="F103" i="33" a="1"/>
  <c r="P131" i="35" a="1"/>
  <c r="L86" i="35" a="1"/>
  <c r="F293" i="33" a="1"/>
  <c r="F459" i="33" a="1"/>
  <c r="G120" i="33" a="1"/>
  <c r="E103" i="35" a="1"/>
  <c r="G337" i="33" a="1"/>
  <c r="N56" i="35" a="1"/>
  <c r="F369" i="33" a="1"/>
  <c r="H42" i="57" a="1"/>
  <c r="E101" i="35" a="1"/>
  <c r="F455" i="33" a="1"/>
  <c r="E68" i="33" a="1"/>
  <c r="E187" i="33" a="1"/>
  <c r="G415" i="33" a="1"/>
  <c r="E38" i="33" a="1"/>
  <c r="F408" i="33" a="1"/>
  <c r="H139" i="33" a="1"/>
  <c r="N77" i="35" a="1"/>
  <c r="L113" i="35" a="1"/>
  <c r="E430" i="33" a="1"/>
  <c r="F100" i="33" a="1"/>
  <c r="H461" i="33" a="1"/>
  <c r="L164" i="35" a="1"/>
  <c r="E48" i="33" a="1"/>
  <c r="F50" i="33" a="1"/>
  <c r="F431" i="33" a="1"/>
  <c r="H334" i="33" a="1"/>
  <c r="E148" i="33" a="1"/>
  <c r="G299" i="33" a="1"/>
  <c r="H226" i="33" a="1"/>
  <c r="F341" i="33" a="1"/>
  <c r="G64" i="33" a="1"/>
  <c r="H263" i="33" a="1"/>
  <c r="F311" i="33" a="1"/>
  <c r="N137" i="35" a="1"/>
  <c r="H98" i="33" a="1"/>
  <c r="G426" i="33" a="1"/>
  <c r="E264" i="33" a="1"/>
  <c r="F180" i="33" a="1"/>
  <c r="F135" i="33" a="1"/>
  <c r="I95" i="35" a="1"/>
  <c r="E424" i="33" a="1"/>
  <c r="H65" i="33" a="1"/>
  <c r="F275" i="33" a="1"/>
  <c r="E119" i="33" a="1"/>
  <c r="N58" i="35" a="1"/>
  <c r="L66" i="35" a="1"/>
  <c r="E355" i="33" a="1"/>
  <c r="E341" i="33" a="1"/>
  <c r="G47" i="58" a="1"/>
  <c r="F121" i="33" a="1"/>
  <c r="I51" i="35" a="1"/>
  <c r="I112" i="35" a="1"/>
  <c r="F56" i="33" a="1"/>
  <c r="G130" i="33" a="1"/>
  <c r="L122" i="35" a="1"/>
  <c r="G50" i="33" a="1"/>
  <c r="H454" i="33" a="1"/>
  <c r="H77" i="33" a="1"/>
  <c r="E389" i="33" a="1"/>
  <c r="L123" i="35" a="1"/>
  <c r="G104" i="35" a="1"/>
  <c r="G82" i="58" a="1"/>
  <c r="E84" i="35" a="1"/>
  <c r="H201" i="33" a="1"/>
  <c r="H100" i="33" a="1"/>
  <c r="F463" i="33" a="1"/>
  <c r="F389" i="33" a="1"/>
  <c r="H237" i="33" a="1"/>
  <c r="F45" i="33" a="1"/>
  <c r="H78" i="33" a="1"/>
  <c r="H296" i="33" a="1"/>
  <c r="E184" i="33" a="1"/>
  <c r="G38" i="30" a="1"/>
  <c r="F65" i="33" a="1"/>
  <c r="E102" i="35" a="1"/>
  <c r="L183" i="35" a="1"/>
  <c r="F85" i="33" a="1"/>
  <c r="P184" i="35" a="1"/>
  <c r="G74" i="33" a="1"/>
  <c r="E53" i="33" a="1"/>
  <c r="P58" i="35" a="1"/>
  <c r="P76" i="35" a="1"/>
  <c r="F436" i="33" a="1"/>
  <c r="H348" i="33" a="1"/>
  <c r="E156" i="35" a="1"/>
  <c r="G166" i="33" a="1"/>
  <c r="F76" i="33" a="1"/>
  <c r="H321" i="33" a="1"/>
  <c r="G113" i="35" a="1"/>
  <c r="G106" i="33" a="1"/>
  <c r="G85" i="35" a="1"/>
  <c r="E420" i="33" a="1"/>
  <c r="E259" i="33" a="1"/>
  <c r="F112" i="57" a="1"/>
  <c r="F268" i="33" a="1"/>
  <c r="H365" i="33" a="1"/>
  <c r="G87" i="35" a="1"/>
  <c r="F47" i="57" a="1"/>
  <c r="B28" i="28" a="1"/>
  <c r="G273" i="33" a="1"/>
  <c r="P75" i="35" a="1"/>
  <c r="H71" i="33" a="1"/>
  <c r="L112" i="35" a="1"/>
  <c r="B25" i="28" a="1"/>
  <c r="F453" i="33" a="1"/>
  <c r="E268" i="33" a="1"/>
  <c r="I48" i="35" a="1"/>
  <c r="G379" i="33" a="1"/>
  <c r="I182" i="35" a="1"/>
  <c r="G208" i="33" a="1"/>
  <c r="H346" i="33" a="1"/>
  <c r="H367" i="33" a="1"/>
  <c r="F329" i="33" a="1"/>
  <c r="G97" i="58" a="1"/>
  <c r="G186" i="33" a="1"/>
  <c r="F227" i="33" a="1"/>
  <c r="N105" i="35" a="1"/>
  <c r="F92" i="57" a="1"/>
  <c r="P50" i="35" a="1"/>
  <c r="F160" i="33" a="1"/>
  <c r="G165" i="33" a="1"/>
  <c r="H421" i="33" a="1"/>
  <c r="E433" i="33" a="1"/>
  <c r="G73" i="33" a="1"/>
  <c r="F451" i="33" a="1"/>
  <c r="I84" i="35" a="1"/>
  <c r="H211" i="33" a="1"/>
  <c r="I185" i="35" a="1"/>
  <c r="E402" i="33" a="1"/>
  <c r="E52" i="58" a="1"/>
  <c r="G96" i="33" a="1"/>
  <c r="H154" i="33" a="1"/>
  <c r="F82" i="33" a="1"/>
  <c r="F127" i="33" a="1"/>
  <c r="H282" i="33" a="1"/>
  <c r="G233" i="33" a="1"/>
  <c r="E242" i="33" a="1"/>
  <c r="H220" i="33" a="1"/>
  <c r="G418" i="33" a="1"/>
  <c r="G403" i="33" a="1"/>
  <c r="G132" i="33" a="1"/>
  <c r="P137" i="35" a="1"/>
  <c r="F146" i="33" a="1"/>
  <c r="H390" i="33" a="1"/>
  <c r="G149" i="33" a="1"/>
  <c r="F373" i="33" a="1"/>
  <c r="H101" i="33" a="1"/>
  <c r="H350" i="33" a="1"/>
  <c r="G141" i="35" a="1"/>
  <c r="H107" i="58" a="1"/>
  <c r="F320" i="33" a="1"/>
  <c r="E336" i="33" a="1"/>
  <c r="G231" i="33" a="1"/>
  <c r="H210" i="33" a="1"/>
  <c r="G131" i="35" a="1"/>
  <c r="N155" i="35" a="1"/>
  <c r="F442" i="33" a="1"/>
  <c r="L167" i="35" a="1"/>
  <c r="H458" i="33" a="1"/>
  <c r="P59" i="35" a="1"/>
  <c r="H246" i="33" a="1"/>
  <c r="H238" i="33" a="1"/>
  <c r="E69" i="35" a="1"/>
  <c r="H425" i="33" a="1"/>
  <c r="H460" i="33" a="1"/>
  <c r="F215" i="33" a="1"/>
  <c r="G218" i="33" a="1"/>
  <c r="G268" i="33" a="1"/>
  <c r="F219" i="33" a="1"/>
  <c r="H45" i="33" a="1"/>
  <c r="E284" i="33" a="1"/>
  <c r="N76" i="35" a="1"/>
  <c r="F262" i="33" a="1"/>
  <c r="F234" i="33" a="1"/>
  <c r="F392" i="33" a="1"/>
  <c r="F59" i="33" a="1"/>
  <c r="E121" i="35" a="1"/>
  <c r="N85" i="35" a="1"/>
  <c r="G241" i="33" a="1"/>
  <c r="E105" i="35" a="1"/>
  <c r="G209" i="33" a="1"/>
  <c r="H107" i="33" a="1"/>
  <c r="P128" i="35" a="1"/>
  <c r="H80" i="33" a="1"/>
  <c r="P78" i="35" a="1"/>
  <c r="E165" i="33" a="1"/>
  <c r="F255" i="33" a="1"/>
  <c r="F444" i="33" a="1"/>
  <c r="G432" i="33" a="1"/>
  <c r="E175" i="33" a="1"/>
  <c r="G181" i="33" a="1"/>
  <c r="E427" i="33" a="1"/>
  <c r="F191" i="33" a="1"/>
  <c r="N65" i="35" a="1"/>
  <c r="E96" i="33" a="1"/>
  <c r="H85" i="33" a="1"/>
  <c r="H191" i="33" a="1"/>
  <c r="G221" i="33" a="1"/>
  <c r="F324" i="33" a="1"/>
  <c r="G428" i="33" a="1"/>
  <c r="G291" i="33" a="1"/>
  <c r="P38" i="30" a="1"/>
  <c r="E263" i="33" a="1"/>
  <c r="P158" i="35" a="1"/>
  <c r="P149" i="35" a="1"/>
  <c r="H185" i="33" a="1"/>
  <c r="G107" i="33" a="1"/>
  <c r="H128" i="33" a="1"/>
  <c r="H124" i="33" a="1"/>
  <c r="G161" i="33" a="1"/>
  <c r="E168" i="35" a="1"/>
  <c r="L105" i="35" a="1"/>
  <c r="I123" i="35" a="1"/>
  <c r="I113" i="35" a="1"/>
  <c r="E77" i="58" a="1"/>
  <c r="N185" i="35" a="1"/>
  <c r="E238" i="33" a="1"/>
  <c r="F346" i="33" a="1"/>
  <c r="E335" i="33" a="1"/>
  <c r="I137" i="35" a="1"/>
  <c r="I173" i="35" a="1"/>
  <c r="N47" i="35" a="1"/>
  <c r="H429" i="33" a="1"/>
  <c r="H77" i="57" a="1"/>
  <c r="F149" i="33" a="1"/>
  <c r="H79" i="33" a="1"/>
  <c r="E126" i="33" a="1"/>
  <c r="H404" i="33" a="1"/>
  <c r="E185" i="35" a="1"/>
  <c r="P148" i="35" a="1"/>
  <c r="F261" i="33" a="1"/>
  <c r="E102" i="57" a="1"/>
  <c r="L155" i="35" a="1"/>
  <c r="H420" i="33" a="1"/>
  <c r="N165" i="35" a="1"/>
  <c r="G203" i="33" a="1"/>
  <c r="E97" i="57" a="1"/>
  <c r="E102" i="58" a="1"/>
  <c r="H148" i="33" a="1"/>
  <c r="L103" i="35" a="1"/>
  <c r="E125" i="33" a="1"/>
  <c r="N101" i="35" a="1"/>
  <c r="AA38" i="30" a="1"/>
  <c r="G367" i="33" a="1"/>
  <c r="H38" i="33" a="1"/>
  <c r="L138" i="35" a="1"/>
  <c r="G186" i="35" a="1"/>
  <c r="E49" i="35" a="1"/>
  <c r="E296" i="33" a="1"/>
  <c r="H180" i="33" a="1"/>
  <c r="E80" i="33" a="1"/>
  <c r="H46" i="33" a="1"/>
  <c r="H48" i="33" a="1"/>
  <c r="G68" i="35" a="1"/>
  <c r="H393" i="33" a="1"/>
  <c r="G334" i="33" a="1"/>
  <c r="G40" i="33" a="1"/>
  <c r="N177" i="35" a="1"/>
  <c r="F155" i="33" a="1"/>
  <c r="G232" i="33" a="1"/>
  <c r="G329" i="33" a="1"/>
  <c r="G95" i="33" a="1"/>
  <c r="G423" i="33" a="1"/>
  <c r="H309" i="33" a="1"/>
  <c r="G148" i="33" a="1"/>
  <c r="H189" i="33" a="1"/>
  <c r="L56" i="35" a="1"/>
  <c r="I131" i="35" a="1"/>
  <c r="B41" i="30"/>
  <c r="L129" i="35" a="1"/>
  <c r="H84" i="33" a="1"/>
  <c r="B10" i="28" a="1"/>
  <c r="L65" i="35" a="1"/>
  <c r="E52" i="33" a="1"/>
  <c r="F454" i="33" a="1"/>
  <c r="G308" i="33" a="1"/>
  <c r="F245" i="33" a="1"/>
  <c r="N110" i="35" a="1"/>
  <c r="E81" i="33" a="1"/>
  <c r="F397" i="33" a="1"/>
  <c r="H181" i="33" a="1"/>
  <c r="F287" i="33" a="1"/>
  <c r="E92" i="33" a="1"/>
  <c r="L104" i="35" a="1"/>
  <c r="G52" i="57" a="1"/>
  <c r="N94" i="35" a="1"/>
  <c r="F400" i="33" a="1"/>
  <c r="N119" i="35" a="1"/>
  <c r="F423" i="33" a="1"/>
  <c r="E47" i="35"/>
  <c r="G182" i="35" a="1"/>
  <c r="E151" i="33" a="1"/>
  <c r="F211" i="33" a="1"/>
  <c r="G178" i="33" a="1"/>
  <c r="G220" i="33" a="1"/>
  <c r="F137" i="33" a="1"/>
  <c r="E191" i="33" a="1"/>
  <c r="E406" i="33" a="1"/>
  <c r="H428" i="33" a="1"/>
  <c r="F394" i="33" a="1"/>
  <c r="I93" i="35" a="1"/>
  <c r="H125" i="33" a="1"/>
  <c r="G396" i="33" a="1"/>
  <c r="F283" i="33" a="1"/>
  <c r="F327" i="33" a="1"/>
  <c r="P175" i="35" a="1"/>
  <c r="H352" i="33" a="1"/>
  <c r="E83" i="33" a="1"/>
  <c r="L83" i="35" a="1"/>
  <c r="G129" i="33" a="1"/>
  <c r="E444" i="33" a="1"/>
  <c r="G191" i="33" a="1"/>
  <c r="F238" i="33" a="1"/>
  <c r="H363" i="33" a="1"/>
  <c r="G327" i="33" a="1"/>
  <c r="E442" i="33" a="1"/>
  <c r="E67" i="58" a="1"/>
  <c r="G76" i="33" a="1"/>
  <c r="H343" i="33" a="1"/>
  <c r="F317" i="33" a="1"/>
  <c r="P139" i="35" a="1"/>
  <c r="F193" i="33" a="1"/>
  <c r="H376" i="33" a="1"/>
  <c r="H209" i="33" a="1"/>
  <c r="E366" i="33" a="1"/>
  <c r="G261" i="33" a="1"/>
  <c r="F271" i="33" a="1"/>
  <c r="L131" i="35" a="1"/>
  <c r="E200" i="33" a="1"/>
  <c r="H342" i="33" a="1"/>
  <c r="F83" i="33" a="1"/>
  <c r="G344" i="33" a="1"/>
  <c r="G315" i="33" a="1"/>
  <c r="F136" i="33" a="1"/>
  <c r="I132" i="35" a="1"/>
  <c r="G443" i="33" a="1"/>
  <c r="B50" i="30"/>
  <c r="H102" i="33" a="1"/>
  <c r="E99" i="33" a="1"/>
  <c r="E62" i="57" a="1"/>
  <c r="H230" i="33" a="1"/>
  <c r="F95" i="33" a="1"/>
  <c r="G70" i="33" a="1"/>
  <c r="E310" i="33" a="1"/>
  <c r="H323" i="33" a="1"/>
  <c r="E318" i="33" a="1"/>
  <c r="F213" i="33" a="1"/>
  <c r="F361" i="33" a="1"/>
  <c r="I146" i="35" a="1"/>
  <c r="E128" i="35" a="1"/>
  <c r="G342" i="33" a="1"/>
  <c r="N67" i="35" a="1"/>
  <c r="F388" i="33" a="1"/>
  <c r="H216" i="33" a="1"/>
  <c r="E301" i="33" a="1"/>
  <c r="E69" i="33" a="1"/>
  <c r="F404" i="33" a="1"/>
  <c r="H37" i="57" a="1"/>
  <c r="G188" i="33" a="1"/>
  <c r="E342" i="33" a="1"/>
  <c r="G339" i="33" a="1"/>
  <c r="G462" i="33" a="1"/>
  <c r="G175" i="33" a="1"/>
  <c r="E161" i="33" a="1"/>
  <c r="E178" i="33" a="1"/>
  <c r="G86" i="35" a="1"/>
  <c r="F452" i="33" a="1"/>
  <c r="G450" i="33" a="1"/>
  <c r="F374" i="33" a="1"/>
  <c r="P104" i="35" a="1"/>
  <c r="E134" i="33" a="1"/>
  <c r="E192" i="33" a="1"/>
  <c r="E184" i="35" a="1"/>
  <c r="G158" i="35" a="1"/>
  <c r="N104" i="35" a="1"/>
  <c r="E350" i="33" a="1"/>
  <c r="G98" i="33" a="1"/>
  <c r="G50" i="35" a="1"/>
  <c r="G296" i="33" a="1"/>
  <c r="H326" i="33" a="1"/>
  <c r="H160" i="33" a="1"/>
  <c r="E106" i="33" a="1"/>
  <c r="AE36" i="34"/>
  <c r="F77" i="58" a="1"/>
  <c r="G207" i="33" a="1"/>
  <c r="H396" i="33" a="1"/>
  <c r="H313" i="33" a="1"/>
  <c r="F130" i="33" a="1"/>
  <c r="F162" i="33" a="1"/>
  <c r="L95" i="35" a="1"/>
  <c r="E85" i="35" a="1"/>
  <c r="E220" i="33" a="1"/>
  <c r="G373" i="33" a="1"/>
  <c r="E45" i="33" a="1"/>
  <c r="G42" i="58" a="1"/>
  <c r="E327" i="33" a="1"/>
  <c r="E329" i="33" a="1"/>
  <c r="L102" i="35" a="1"/>
  <c r="I155" i="35" a="1"/>
  <c r="G123" i="33" a="1"/>
  <c r="L120" i="35" a="1"/>
  <c r="F72" i="58" a="1"/>
  <c r="H208" i="33" a="1"/>
  <c r="H96" i="33" a="1"/>
  <c r="G80" i="33" a="1"/>
  <c r="E368" i="33" a="1"/>
  <c r="E241" i="33" a="1"/>
  <c r="G94" i="33" a="1"/>
  <c r="P140" i="35" a="1"/>
  <c r="E418" i="33" a="1"/>
  <c r="F200" i="33" a="1"/>
  <c r="F158" i="33" a="1"/>
  <c r="G153" i="33" a="1"/>
  <c r="G158" i="33" a="1"/>
  <c r="E38" i="30" a="1"/>
  <c r="F42" i="58" a="1"/>
  <c r="H72" i="33" a="1"/>
  <c r="G111" i="33" a="1"/>
  <c r="G130" i="35" a="1"/>
  <c r="H301" i="33" a="1"/>
  <c r="F312" i="33" a="1"/>
  <c r="I167" i="35" a="1"/>
  <c r="E383" i="33" a="1"/>
  <c r="H83" i="33" a="1"/>
  <c r="F230" i="33" a="1"/>
  <c r="H204" i="33" a="1"/>
  <c r="F280" i="33" a="1"/>
  <c r="E323" i="33" a="1"/>
  <c r="N176" i="35" a="1"/>
  <c r="H315" i="33" a="1"/>
  <c r="H324" i="33" a="1"/>
  <c r="G125" i="33" a="1"/>
  <c r="P183" i="35" a="1"/>
  <c r="H325" i="33" a="1"/>
  <c r="P141" i="35" a="1"/>
  <c r="E369" i="33" a="1"/>
  <c r="G99" i="33" a="1"/>
  <c r="E57" i="58" a="1"/>
  <c r="H284" i="33" a="1"/>
  <c r="F185" i="33" a="1"/>
  <c r="F52" i="57" a="1"/>
  <c r="H228" i="33" a="1"/>
  <c r="G94" i="35" a="1"/>
  <c r="E452" i="33" a="1"/>
  <c r="E297" i="33" a="1"/>
  <c r="L114" i="35" a="1"/>
  <c r="E353" i="33" a="1"/>
  <c r="F40" i="33" a="1"/>
  <c r="G44" i="33" a="1"/>
  <c r="L157" i="35" a="1"/>
  <c r="E256" i="33" a="1"/>
  <c r="G229" i="33" a="1"/>
  <c r="G154" i="33" a="1"/>
  <c r="P121" i="35" a="1"/>
  <c r="H54" i="33" a="1"/>
  <c r="G51" i="33" a="1"/>
  <c r="F265" i="33" a="1"/>
  <c r="E217" i="33" a="1"/>
  <c r="N103" i="35" a="1"/>
  <c r="G404" i="33" a="1"/>
  <c r="E182" i="35" a="1"/>
  <c r="F181" i="33" a="1"/>
  <c r="N111" i="35" a="1"/>
  <c r="F68" i="33" a="1"/>
  <c r="P103" i="35" a="1"/>
  <c r="E71" i="33" a="1"/>
  <c r="E112" i="57" a="1"/>
  <c r="G258" i="33" a="1"/>
  <c r="G51" i="35" a="1"/>
  <c r="N166" i="35" a="1"/>
  <c r="G59" i="33" a="1"/>
  <c r="H395" i="33" a="1"/>
  <c r="F118" i="33" a="1"/>
  <c r="F418" i="33" a="1"/>
  <c r="E381" i="33" a="1"/>
  <c r="H407" i="33" a="1"/>
  <c r="E57" i="57" a="1"/>
  <c r="L78" i="35" a="1"/>
  <c r="H69" i="33" a="1"/>
  <c r="G317" i="33" a="1"/>
  <c r="F323" i="33" a="1"/>
  <c r="I96" i="35" a="1"/>
  <c r="G326" i="33" a="1"/>
  <c r="G437" i="33" a="1"/>
  <c r="G427" i="33" a="1"/>
  <c r="H264" i="33" a="1"/>
  <c r="E248" i="33" a="1"/>
  <c r="E174" i="33" a="1"/>
  <c r="E94" i="33" a="1"/>
  <c r="P114" i="35" a="1"/>
  <c r="H328" i="33" a="1"/>
  <c r="N60" i="35" a="1"/>
  <c r="G105" i="35" a="1"/>
  <c r="F375" i="33" a="1"/>
  <c r="F351" i="33" a="1"/>
  <c r="N150" i="35" a="1"/>
  <c r="G421" i="33" a="1"/>
  <c r="E158" i="35" a="1"/>
  <c r="G95" i="35" a="1"/>
  <c r="F94" i="33" a="1"/>
  <c r="N38" i="30" a="1"/>
  <c r="E456" i="33" a="1"/>
  <c r="G216" i="33" a="1"/>
  <c r="G328" i="33" a="1"/>
  <c r="G383" i="33" a="1"/>
  <c r="E417" i="33" a="1"/>
  <c r="F156" i="33" a="1"/>
  <c r="H256" i="33" a="1"/>
  <c r="E429" i="33" a="1"/>
  <c r="H339" i="33" a="1"/>
  <c r="E262" i="33" a="1"/>
  <c r="I147" i="35" a="1"/>
  <c r="H104" i="33" a="1"/>
  <c r="H459" i="33" a="1"/>
  <c r="H167" i="33" a="1"/>
  <c r="G37" i="58" a="1"/>
  <c r="G57" i="57" a="1"/>
  <c r="E351" i="33" a="1"/>
  <c r="N146" i="35" a="1"/>
  <c r="E77" i="33" a="1"/>
  <c r="E164" i="35" a="1"/>
  <c r="E280" i="33" a="1"/>
  <c r="H120" i="33" a="1"/>
  <c r="L184" i="35" a="1"/>
  <c r="H179" i="33" a="1"/>
  <c r="G136" i="33" a="1"/>
  <c r="E458" i="33" a="1"/>
  <c r="G447" i="33" a="1"/>
  <c r="H242" i="33" a="1"/>
  <c r="H419" i="33" a="1"/>
  <c r="G122" i="35" a="1"/>
  <c r="H66" i="33" a="1"/>
  <c r="H353" i="33" a="1"/>
  <c r="E379" i="33" a="1"/>
  <c r="G174" i="35" a="1"/>
  <c r="E395" i="33" a="1"/>
  <c r="E97" i="58" a="1"/>
  <c r="H149" i="33" a="1"/>
  <c r="F401" i="33" a="1"/>
  <c r="E114" i="35" a="1"/>
  <c r="E72" i="58" a="1"/>
  <c r="F407" i="33" a="1"/>
  <c r="I60" i="35" a="1"/>
  <c r="F205" i="33" a="1"/>
  <c r="F107" i="33" a="1"/>
  <c r="E163" i="33" a="1"/>
  <c r="F104" i="33" a="1"/>
  <c r="P168" i="35" a="1"/>
  <c r="B49" i="30"/>
  <c r="E110" i="33" a="1"/>
  <c r="G230" i="33" a="1"/>
  <c r="G355" i="33" a="1"/>
  <c r="E162" i="33" a="1"/>
  <c r="E378" i="33" a="1"/>
  <c r="F300" i="33" a="1"/>
  <c r="E129" i="33" a="1"/>
  <c r="G442" i="33" a="1"/>
  <c r="E401" i="33" a="1"/>
  <c r="G168" i="35" a="1"/>
  <c r="F138" i="33" a="1"/>
  <c r="H94" i="33" a="1"/>
  <c r="E281" i="33" a="1"/>
  <c r="G120" i="35" a="1"/>
  <c r="G401" i="33" a="1"/>
  <c r="H67" i="57" a="1"/>
  <c r="G324" i="33" a="1"/>
  <c r="B44" i="30"/>
  <c r="F403" i="33" a="1"/>
  <c r="G335" i="33" a="1"/>
  <c r="P165" i="35" a="1"/>
  <c r="G55" i="33" a="1"/>
  <c r="F46" i="33" a="1"/>
  <c r="E131" i="35" a="1"/>
  <c r="H316" i="33" a="1"/>
  <c r="N114" i="35" a="1"/>
  <c r="E177" i="35" a="1"/>
  <c r="E157" i="35" a="1"/>
  <c r="G77" i="35" a="1"/>
  <c r="H241" i="33" a="1"/>
  <c r="I77" i="35" a="1"/>
  <c r="F37" i="58" a="1"/>
  <c r="G147" i="35" a="1"/>
  <c r="F354" i="33" a="1"/>
  <c r="G388" i="33" a="1"/>
  <c r="L156" i="35" a="1"/>
  <c r="G458" i="33" a="1"/>
  <c r="N112" i="35" a="1"/>
  <c r="G167" i="33" a="1"/>
  <c r="E291" i="33" a="1"/>
  <c r="H194" i="33" a="1"/>
  <c r="E135" i="33" a="1"/>
  <c r="E255" i="33" a="1"/>
  <c r="F420" i="33" a="1"/>
  <c r="G49" i="35" a="1"/>
  <c r="L110" i="35" a="1"/>
  <c r="G283" i="33" a="1"/>
  <c r="E109" i="33" a="1"/>
  <c r="P83" i="35" a="1"/>
  <c r="E446" i="33" a="1"/>
  <c r="F233" i="33" a="1"/>
  <c r="E83" i="35" a="1"/>
  <c r="H427" i="33" a="1"/>
  <c r="I105" i="35" a="1"/>
  <c r="E293" i="33" a="1"/>
  <c r="H356" i="33" a="1"/>
  <c r="H347" i="33" a="1"/>
  <c r="F52" i="58" a="1"/>
  <c r="P129" i="35" a="1"/>
  <c r="F449" i="33" a="1"/>
  <c r="E174" i="35" a="1"/>
  <c r="H338" i="33" a="1"/>
  <c r="E290" i="33" a="1"/>
  <c r="E166" i="35" a="1"/>
  <c r="F42" i="57" a="1"/>
  <c r="H415" i="33" a="1"/>
  <c r="G47" i="35" a="1"/>
  <c r="H401" i="33" a="1"/>
  <c r="G381" i="33" a="1"/>
  <c r="Q38" i="30" a="1"/>
  <c r="H280" i="33" a="1"/>
  <c r="E190" i="33" a="1"/>
  <c r="H377" i="33" a="1"/>
  <c r="G420" i="33" a="1"/>
  <c r="H410" i="33" a="1"/>
  <c r="H457" i="33" a="1"/>
  <c r="E47" i="33" a="1"/>
  <c r="L74" i="35" a="1"/>
  <c r="G48" i="33" a="1"/>
  <c r="F432" i="33" a="1"/>
  <c r="E41" i="33" a="1"/>
  <c r="H370" i="33" a="1"/>
  <c r="E302" i="33" a="1"/>
  <c r="G122" i="33" a="1"/>
  <c r="F166" i="33" a="1"/>
  <c r="B34" i="28" a="1"/>
  <c r="F64" i="33" a="1"/>
  <c r="G398" i="33" a="1"/>
  <c r="G111" i="35" a="1"/>
  <c r="H105" i="33" a="1"/>
  <c r="H371" i="33" a="1"/>
  <c r="G240" i="33" a="1"/>
  <c r="P66" i="35" a="1"/>
  <c r="E397" i="33" a="1"/>
  <c r="L119" i="35" a="1"/>
  <c r="G173" i="33" a="1"/>
  <c r="G83" i="35" a="1"/>
  <c r="E459" i="33" a="1"/>
  <c r="E422" i="33" a="1"/>
  <c r="F295" i="33" a="1"/>
  <c r="G292" i="33" a="1"/>
  <c r="E261" i="33" a="1"/>
  <c r="I49" i="35" a="1"/>
  <c r="E309" i="33" a="1"/>
  <c r="H68" i="33" a="1"/>
  <c r="E130" i="33" a="1"/>
  <c r="F167" i="33" a="1"/>
  <c r="E246" i="33" a="1"/>
  <c r="G112" i="57" a="1"/>
  <c r="G263" i="33" a="1"/>
  <c r="E72" i="57" a="1"/>
  <c r="E254" i="33" a="1"/>
  <c r="E67" i="33" a="1"/>
  <c r="F66" i="33" a="1"/>
  <c r="F288" i="33" a="1"/>
  <c r="E149" i="35" a="1"/>
  <c r="G320" i="33" a="1"/>
  <c r="G146" i="35" a="1"/>
  <c r="F464" i="33" a="1"/>
  <c r="H281" i="33" a="1"/>
  <c r="H42" i="33" a="1"/>
  <c r="H57" i="58" a="1"/>
  <c r="G392" i="33" a="1"/>
  <c r="E316" i="33" a="1"/>
  <c r="F310" i="33" a="1"/>
  <c r="E213" i="33" a="1"/>
  <c r="E226" i="33" a="1"/>
  <c r="B47" i="30"/>
  <c r="E339" i="33" a="1"/>
  <c r="E403" i="33" a="1"/>
  <c r="F321" i="33" a="1"/>
  <c r="L93" i="35" a="1"/>
  <c r="I158" i="35" a="1"/>
  <c r="G114" i="35" a="1"/>
  <c r="G139" i="33" a="1"/>
  <c r="G356" i="33" a="1"/>
  <c r="E123" i="33" a="1"/>
  <c r="G147" i="33" a="1"/>
  <c r="H119" i="33" a="1"/>
  <c r="E100" i="33" a="1"/>
  <c r="H291" i="33" a="1"/>
  <c r="E432" i="33" a="1"/>
  <c r="G459" i="33" a="1"/>
  <c r="G189" i="33" a="1"/>
  <c r="F172" i="33" a="1"/>
  <c r="G149" i="35" a="1"/>
  <c r="E231" i="33" a="1"/>
  <c r="H446" i="33" a="1"/>
  <c r="F282" i="33" a="1"/>
  <c r="G137" i="33" a="1"/>
  <c r="H126" i="33" a="1"/>
  <c r="E253" i="33" a="1"/>
  <c r="F86" i="33" a="1"/>
  <c r="F81" i="33" a="1"/>
  <c r="F447" i="33" a="1"/>
  <c r="I47" i="35" a="1"/>
  <c r="F199" i="33" a="1"/>
  <c r="F43" i="33" a="1"/>
  <c r="H47" i="33" a="1"/>
  <c r="G129" i="35" a="1"/>
  <c r="H452" i="33" a="1"/>
  <c r="G353" i="33" a="1"/>
  <c r="E421" i="33" a="1"/>
  <c r="E344" i="33" a="1"/>
  <c r="G107" i="58" a="1"/>
  <c r="G66" i="35" a="1"/>
  <c r="E364" i="33" a="1"/>
  <c r="F450" i="33" a="1"/>
  <c r="E300" i="33" a="1"/>
  <c r="G422" i="33" a="1"/>
  <c r="H244" i="33" a="1"/>
  <c r="F339" i="33" a="1"/>
  <c r="E39" i="33" a="1"/>
  <c r="F48" i="33" a="1"/>
  <c r="F315" i="33" a="1"/>
  <c r="E177" i="33" a="1"/>
  <c r="N130" i="35" a="1"/>
  <c r="I120" i="35" a="1"/>
  <c r="G52" i="33" a="1"/>
  <c r="F383" i="33" a="1"/>
  <c r="F97" i="33" a="1"/>
  <c r="B1" i="28" a="1"/>
  <c r="G310" i="33" a="1"/>
  <c r="B7" i="28" a="1"/>
  <c r="E119" i="35" a="1"/>
  <c r="E146" i="35" a="1"/>
  <c r="G429" i="33" a="1"/>
  <c r="N74" i="35" a="1"/>
  <c r="H272" i="33" a="1"/>
  <c r="H389" i="33" a="1"/>
  <c r="E449" i="33" a="1"/>
  <c r="E130" i="35" a="1"/>
  <c r="H73" i="33" a="1"/>
  <c r="P86" i="35" a="1"/>
  <c r="G157" i="33" a="1"/>
  <c r="G215" i="33" a="1"/>
  <c r="I186" i="35" a="1"/>
  <c r="G37" i="57" a="1"/>
  <c r="H214" i="33" a="1"/>
  <c r="H314" i="33" a="1"/>
  <c r="P146" i="35" a="1"/>
  <c r="H253" i="33" a="1"/>
  <c r="H361" i="33" a="1"/>
  <c r="G244" i="33" a="1"/>
  <c r="G430" i="33" a="1"/>
  <c r="E67" i="35" a="1"/>
  <c r="E423" i="33" a="1"/>
  <c r="B22" i="28" a="1"/>
  <c r="G265" i="33" a="1"/>
  <c r="H199" i="33" a="1"/>
  <c r="E111" i="35" a="1"/>
  <c r="G123" i="35" a="1"/>
  <c r="H200" i="33" a="1"/>
  <c r="L85" i="35" a="1"/>
  <c r="E108" i="33" a="1"/>
  <c r="G167" i="35" a="1"/>
  <c r="H335" i="33" a="1"/>
  <c r="L48" i="35" a="1"/>
  <c r="G455" i="33" a="1"/>
  <c r="E101" i="33" a="1"/>
  <c r="F391" i="33" a="1"/>
  <c r="E404" i="33" a="1"/>
  <c r="G302" i="33" a="1"/>
  <c r="E282" i="33" a="1"/>
  <c r="N113" i="35" a="1"/>
  <c r="E37" i="57"/>
  <c r="N148" i="35" a="1"/>
  <c r="F112" i="58" a="1"/>
  <c r="G152" i="33" a="1"/>
  <c r="H150" i="33" a="1"/>
  <c r="H95" i="33" a="1"/>
  <c r="I56" i="35" a="1"/>
  <c r="G256" i="33" a="1"/>
  <c r="H392" i="33" a="1"/>
  <c r="G389" i="33" a="1"/>
  <c r="N59" i="35" a="1"/>
  <c r="I176" i="35" a="1"/>
  <c r="E68" i="35" a="1"/>
  <c r="G393" i="33" a="1"/>
  <c r="E275" i="33" a="1"/>
  <c r="H87" i="58" a="1"/>
  <c r="L121" i="35" a="1"/>
  <c r="B39" i="30"/>
  <c r="G313" i="33" a="1"/>
  <c r="H235" i="33" a="1"/>
  <c r="H227" i="33" a="1"/>
  <c r="G297" i="33" a="1"/>
  <c r="G204" i="33" a="1"/>
  <c r="E93" i="33" a="1"/>
  <c r="E298" i="33" a="1"/>
  <c r="H112" i="33" a="1"/>
  <c r="H59" i="33" a="1"/>
  <c r="F184" i="33" a="1"/>
  <c r="G451" i="33" a="1"/>
  <c r="H102" i="57" a="1"/>
  <c r="N86" i="35" a="1"/>
  <c r="E207" i="33" a="1"/>
  <c r="F263" i="33" a="1"/>
  <c r="F53" i="33" a="1"/>
  <c r="N123" i="35" a="1"/>
  <c r="H267" i="33" a="1"/>
  <c r="H234" i="33" a="1"/>
  <c r="H375" i="33" a="1"/>
  <c r="N95" i="35" a="1"/>
  <c r="H269" i="33" a="1"/>
  <c r="G159" i="35" a="1"/>
  <c r="F396" i="33" a="1"/>
  <c r="G448" i="33" a="1"/>
  <c r="E158" i="33" a="1"/>
  <c r="H127" i="33" a="1"/>
  <c r="H123" i="33" a="1"/>
  <c r="E56" i="35" a="1"/>
  <c r="G43" i="33" a="1"/>
  <c r="F462" i="33" a="1"/>
  <c r="N174" i="35" a="1"/>
  <c r="F299" i="33" a="1"/>
  <c r="F363" i="33" a="1"/>
  <c r="F343" i="33" a="1"/>
  <c r="H158" i="33" a="1"/>
  <c r="G271" i="33" a="1"/>
  <c r="G41" i="33" a="1"/>
  <c r="F131" i="33" a="1"/>
  <c r="AD31" i="34"/>
  <c r="H402" i="33" a="1"/>
  <c r="F356" i="33" a="1"/>
  <c r="F207" i="33" a="1"/>
  <c r="H248" i="33" a="1"/>
  <c r="E49" i="33" a="1"/>
  <c r="G151" i="33" a="1"/>
  <c r="E294" i="33" a="1"/>
  <c r="H131" i="33" a="1"/>
  <c r="N92" i="35" a="1"/>
  <c r="G295" i="33" a="1"/>
  <c r="G463" i="33" a="1"/>
  <c r="F274" i="33" a="1"/>
  <c r="H163" i="33" a="1"/>
  <c r="I122" i="35" a="1"/>
  <c r="G86" i="33" a="1"/>
  <c r="G362" i="33" a="1"/>
  <c r="H173" i="33" a="1"/>
  <c r="G211" i="33" a="1"/>
  <c r="E392" i="33" a="1"/>
  <c r="B38" i="30"/>
  <c r="F399" i="33" a="1"/>
  <c r="H258" i="33" a="1"/>
  <c r="H137" i="33" a="1"/>
  <c r="F406" i="33" a="1"/>
  <c r="E138" i="35" a="1"/>
  <c r="E95" i="33" a="1"/>
  <c r="F58" i="33" a="1"/>
  <c r="E243" i="33" a="1"/>
  <c r="E448" i="33" a="1"/>
  <c r="P69" i="35" a="1"/>
  <c r="H406" i="33" a="1"/>
  <c r="H202" i="33" a="1"/>
  <c r="P138" i="35" a="1"/>
  <c r="B40" i="30"/>
  <c r="E453" i="33" a="1"/>
  <c r="I159" i="35" a="1"/>
  <c r="H53" i="33" a="1"/>
  <c r="G184" i="33" a="1"/>
  <c r="E457" i="33" a="1"/>
  <c r="E346" i="33" a="1"/>
  <c r="H37" i="58" a="1"/>
  <c r="H443" i="33" a="1"/>
  <c r="N87" i="35" a="1"/>
  <c r="H72" i="58" a="1"/>
  <c r="G245" i="33" a="1"/>
  <c r="F38" i="30" a="1"/>
  <c r="G137" i="35" a="1"/>
  <c r="E165" i="35" a="1"/>
  <c r="F415" i="33" a="1"/>
  <c r="F161" i="33" a="1"/>
  <c r="I87" i="35" a="1"/>
  <c r="P48" i="35" a="1"/>
  <c r="AD35" i="34"/>
  <c r="G456" i="33" a="1"/>
  <c r="G177" i="33" a="1"/>
  <c r="F307" i="33" a="1"/>
  <c r="G164" i="35" a="1"/>
  <c r="E464" i="33" a="1"/>
  <c r="R38" i="30" a="1"/>
  <c r="N128" i="35" a="1"/>
  <c r="F457" i="33" a="1"/>
  <c r="I65" i="35" a="1"/>
  <c r="G397" i="33" a="1"/>
  <c r="L87" i="35" a="1"/>
  <c r="E394" i="33" a="1"/>
  <c r="H434" i="33" a="1"/>
  <c r="E84" i="33" a="1"/>
  <c r="F402" i="33" a="1"/>
  <c r="N149" i="35" a="1"/>
  <c r="G350" i="33" a="1"/>
  <c r="H157" i="33" a="1"/>
  <c r="F49" i="33" a="1"/>
  <c r="G84" i="33" a="1"/>
  <c r="G157" i="35" a="1"/>
  <c r="H206" i="33" a="1"/>
  <c r="E57" i="35" a="1"/>
  <c r="F109" i="33" a="1"/>
  <c r="I76" i="35" a="1"/>
  <c r="I129" i="35" a="1"/>
  <c r="F133" i="33" a="1"/>
  <c r="E167" i="33" a="1"/>
  <c r="E206" i="33" a="1"/>
  <c r="P49" i="35" a="1"/>
  <c r="AE31" i="34"/>
  <c r="E146" i="33" a="1"/>
  <c r="H106" i="33" a="1"/>
  <c r="I177" i="35" a="1"/>
  <c r="X38" i="30" a="1"/>
  <c r="E166" i="33" a="1"/>
  <c r="H107" i="57" a="1"/>
  <c r="F221" i="33" a="1"/>
  <c r="G128" i="35" a="1"/>
  <c r="AD36" i="34"/>
  <c r="P173" i="35" a="1"/>
  <c r="F365" i="33" a="1"/>
  <c r="F42" i="33" a="1"/>
  <c r="E147" i="35" a="1"/>
  <c r="P150" i="35" a="1"/>
  <c r="H140" i="33" a="1"/>
  <c r="H112" i="58" a="1"/>
  <c r="F328" i="33" a="1"/>
  <c r="G87" i="58" a="1"/>
  <c r="H388" i="33" a="1"/>
  <c r="G85" i="33" a="1"/>
  <c r="G185" i="33" a="1"/>
  <c r="H159" i="33" a="1"/>
  <c r="G145" i="33" a="1"/>
  <c r="H286" i="33" a="1"/>
  <c r="G112" i="33" a="1"/>
  <c r="H442" i="33" a="1"/>
  <c r="B53" i="30"/>
  <c r="G87" i="57" a="1"/>
  <c r="P94" i="35" a="1"/>
  <c r="E266" i="33" a="1"/>
  <c r="H218" i="33" a="1"/>
  <c r="I168" i="35" a="1"/>
  <c r="F426" i="33" a="1"/>
  <c r="E153" i="33" a="1"/>
  <c r="G363" i="33" a="1"/>
  <c r="H82" i="57" a="1"/>
  <c r="I59" i="35" a="1"/>
  <c r="E235" i="33" a="1"/>
  <c r="G212" i="33" a="1"/>
  <c r="H456" i="33" a="1"/>
  <c r="G371" i="33" a="1"/>
  <c r="E270" i="33" a="1"/>
  <c r="E91" i="33" a="1"/>
  <c r="P47" i="35" a="1"/>
  <c r="G378" i="33" a="1"/>
  <c r="G71" i="33" a="1"/>
  <c r="F285" i="33" a="1"/>
  <c r="E286" i="33" a="1"/>
  <c r="F377" i="33" a="1"/>
  <c r="H233" i="33" a="1"/>
  <c r="P182" i="35" a="1"/>
  <c r="G65" i="35" a="1"/>
  <c r="E122" i="35" a="1"/>
  <c r="H307" i="33" a="1"/>
  <c r="E405" i="33" a="1"/>
  <c r="E428" i="33" a="1"/>
  <c r="H283" i="33" a="1"/>
  <c r="G464" i="33" a="1"/>
  <c r="B48" i="30"/>
  <c r="G309" i="33" a="1"/>
  <c r="N69" i="35" a="1"/>
  <c r="F228" i="33" a="1"/>
  <c r="F314" i="33" a="1"/>
  <c r="E52" i="57" a="1"/>
  <c r="F192" i="33" a="1"/>
  <c r="N102" i="35" a="1"/>
  <c r="H268" i="33" a="1"/>
  <c r="L168" i="35" a="1"/>
  <c r="E376" i="33" a="1"/>
  <c r="F342" i="33" a="1"/>
  <c r="E105" i="33" a="1"/>
  <c r="E308" i="33" a="1"/>
  <c r="H110" i="33" a="1"/>
  <c r="F419" i="33" a="1"/>
  <c r="H236" i="33" a="1"/>
  <c r="E371" i="33" a="1"/>
  <c r="H379" i="33" a="1"/>
  <c r="H82" i="33" a="1"/>
  <c r="E42" i="58" a="1"/>
  <c r="F395" i="33" a="1"/>
  <c r="H349" i="33" a="1"/>
  <c r="H318" i="33" a="1"/>
  <c r="E111" i="33" a="1"/>
  <c r="G155" i="33" a="1"/>
  <c r="L150" i="35" a="1"/>
  <c r="E460" i="33" a="1"/>
  <c r="L77" i="35" a="1"/>
  <c r="G409" i="33" a="1"/>
  <c r="H162" i="33" a="1"/>
  <c r="I157" i="35" a="1"/>
  <c r="H122" i="33" a="1"/>
  <c r="G449" i="33" a="1"/>
  <c r="F248" i="33" a="1"/>
  <c r="E193" i="33" a="1"/>
  <c r="F178" i="33" a="1"/>
  <c r="E258" i="33" a="1"/>
  <c r="H156" i="33" a="1"/>
  <c r="H182" i="33" a="1"/>
  <c r="E345" i="33" a="1"/>
  <c r="I183" i="35" a="1"/>
  <c r="N138" i="35" a="1"/>
  <c r="E82" i="33" a="1"/>
  <c r="F194" i="33" a="1"/>
  <c r="E139" i="35" a="1"/>
  <c r="P110" i="35" a="1"/>
  <c r="E370" i="33" a="1"/>
  <c r="H58" i="33" a="1"/>
  <c r="H295" i="33" a="1"/>
  <c r="F231" i="33" a="1"/>
  <c r="E202" i="33" a="1"/>
  <c r="H161" i="33" a="1"/>
  <c r="E410" i="33" a="1"/>
  <c r="E212" i="33" a="1"/>
  <c r="N129" i="35" a="1"/>
  <c r="E50" i="33" a="1"/>
  <c r="E362" i="33" a="1"/>
  <c r="N75" i="35" a="1"/>
  <c r="E388" i="33" a="1"/>
  <c r="L130" i="35" a="1"/>
  <c r="P185" i="35" a="1"/>
  <c r="H174" i="33" a="1"/>
  <c r="G319" i="33" a="1"/>
  <c r="H275" i="33" a="1"/>
  <c r="H298" i="33" a="1"/>
  <c r="H57" i="57" a="1"/>
  <c r="H274" i="33" a="1"/>
  <c r="G76" i="35" a="1"/>
  <c r="H47" i="57" a="1"/>
  <c r="G148" i="35" a="1"/>
  <c r="E295" i="33" a="1"/>
  <c r="H221" i="33" a="1"/>
  <c r="H184" i="33" a="1"/>
  <c r="G272" i="33" a="1"/>
  <c r="H50" i="33" a="1"/>
  <c r="G65" i="33" a="1"/>
  <c r="F113" i="33" a="1"/>
  <c r="P84" i="35" a="1"/>
  <c r="G243" i="33" a="1"/>
  <c r="F281" i="33" a="1"/>
  <c r="G38" i="33" a="1"/>
  <c r="G431" i="33" a="1"/>
  <c r="F352" i="33" a="1"/>
  <c r="B46" i="28" a="1"/>
  <c r="H432" i="33" a="1"/>
  <c r="F229" i="33" a="1"/>
  <c r="E65" i="33" a="1"/>
  <c r="F316" i="33" a="1"/>
  <c r="P176" i="35" a="1"/>
  <c r="H398" i="33" a="1"/>
  <c r="F272" i="33" a="1"/>
  <c r="E435" i="33" a="1"/>
  <c r="H245" i="33" a="1"/>
  <c r="G102" i="58" a="1"/>
  <c r="E239" i="33" a="1"/>
  <c r="G417" i="33" a="1"/>
  <c r="H186" i="33" a="1"/>
  <c r="E86" i="35" a="1"/>
  <c r="E129" i="35" a="1"/>
  <c r="F72" i="57" a="1"/>
  <c r="N57" i="35" a="1"/>
  <c r="G366" i="33" a="1"/>
  <c r="F232" i="33" a="1"/>
  <c r="E183" i="33" a="1"/>
  <c r="E374" i="33" a="1"/>
  <c r="H239" i="33" a="1"/>
  <c r="F129" i="33" a="1"/>
  <c r="H133" i="33" a="1"/>
  <c r="F110" i="33" a="1"/>
  <c r="H270" i="33" a="1"/>
  <c r="B46" i="30"/>
  <c r="B52" i="30"/>
  <c r="G236" i="33" a="1"/>
  <c r="F74" i="33" a="1"/>
  <c r="N168" i="35" a="1"/>
  <c r="H453" i="33" a="1"/>
  <c r="H259" i="33" a="1"/>
  <c r="F443" i="33" a="1"/>
  <c r="H310" i="33" a="1"/>
  <c r="L137" i="35" a="1"/>
  <c r="E377" i="33" a="1"/>
  <c r="G42" i="33" a="1"/>
  <c r="E145" i="33" a="1"/>
  <c r="G58" i="35" a="1"/>
  <c r="H82" i="58" a="1"/>
  <c r="G110" i="33" a="1"/>
  <c r="F429" i="33" a="1"/>
  <c r="AD32" i="34"/>
  <c r="F67" i="58" a="1"/>
  <c r="F308" i="33" a="1"/>
  <c r="G199" i="33" a="1"/>
  <c r="N93" i="35" a="1"/>
  <c r="P112" i="35" a="1"/>
  <c r="H51" i="33" a="1"/>
  <c r="H288" i="33" a="1"/>
  <c r="I86" i="35" a="1"/>
  <c r="G318" i="33" a="1"/>
  <c r="H193" i="33" a="1"/>
  <c r="G201" i="33" a="1"/>
  <c r="G444" i="33" a="1"/>
  <c r="H97" i="58" a="1"/>
  <c r="E82" i="57" a="1"/>
  <c r="G92" i="57" a="1"/>
  <c r="E72" i="33" a="1"/>
  <c r="L139" i="35" a="1"/>
  <c r="E70" i="33" a="1"/>
  <c r="H300" i="33" a="1"/>
  <c r="F119" i="33" a="1"/>
  <c r="I38" i="30" a="1"/>
  <c r="E47" i="57" a="1"/>
  <c r="E313" i="33" a="1"/>
  <c r="I101" i="35" a="1"/>
  <c r="I94" i="35" a="1"/>
  <c r="F344" i="33" a="1"/>
  <c r="G248" i="33" a="1"/>
  <c r="P65" i="35" a="1"/>
  <c r="E228" i="33" a="1"/>
  <c r="G395" i="33" a="1"/>
  <c r="F186" i="33" a="1"/>
  <c r="E113" i="33" a="1"/>
  <c r="H405" i="33" a="1"/>
  <c r="H67" i="58" a="1"/>
  <c r="E419" i="33" a="1"/>
  <c r="G84" i="35" a="1"/>
  <c r="G228" i="33" a="1"/>
  <c r="N132" i="35" a="1"/>
  <c r="E37" i="33"/>
  <c r="F437" i="33" a="1"/>
  <c r="AE35" i="34"/>
  <c r="H373" i="33" a="1"/>
  <c r="E95" i="35" a="1"/>
  <c r="F345" i="33" a="1"/>
  <c r="F188" i="33" a="1"/>
  <c r="E380" i="33" a="1"/>
  <c r="F376" i="33" a="1"/>
  <c r="F445" i="33" a="1"/>
  <c r="F122" i="33" a="1"/>
  <c r="E219" i="33" a="1"/>
  <c r="H260" i="33" a="1"/>
  <c r="G183" i="33" a="1"/>
  <c r="H285" i="33" a="1"/>
  <c r="G92" i="35" a="1"/>
  <c r="F97" i="57" a="1"/>
  <c r="G433" i="33" a="1"/>
  <c r="L158" i="35" a="1"/>
  <c r="E179" i="33" a="1"/>
  <c r="G105" i="33" a="1"/>
  <c r="N183" i="35" a="1"/>
  <c r="I140" i="35" a="1"/>
  <c r="E463" i="33" a="1"/>
  <c r="H262" i="33" a="1"/>
  <c r="G316" i="33" a="1"/>
  <c r="E87" i="35" a="1"/>
  <c r="F164" i="33" a="1"/>
  <c r="F111" i="33" a="1"/>
  <c r="F298" i="33" a="1"/>
  <c r="E137" i="35" a="1"/>
  <c r="E133" i="33" a="1"/>
  <c r="E274" i="33" a="1"/>
  <c r="P186" i="35" a="1"/>
  <c r="G83" i="33" a="1"/>
  <c r="F292" i="33" a="1"/>
  <c r="E409" i="33" a="1"/>
  <c r="G282" i="33" a="1"/>
  <c r="H57" i="33" a="1"/>
  <c r="E201" i="33" a="1"/>
  <c r="G281" i="33" a="1"/>
  <c r="H444" i="33" a="1"/>
  <c r="G370" i="33" a="1"/>
  <c r="G39" i="33" a="1"/>
  <c r="H445" i="33" a="1"/>
  <c r="G56" i="33" a="1"/>
  <c r="G202" i="33" a="1"/>
  <c r="G155" i="35" a="1"/>
  <c r="H134" i="33" a="1"/>
  <c r="H266" i="33" a="1"/>
  <c r="G138" i="33" a="1"/>
  <c r="B13" i="28" a="1"/>
  <c r="F176" i="33" a="1"/>
  <c r="I58" i="35" a="1"/>
  <c r="E352" i="33" a="1"/>
  <c r="H102" i="58" a="1"/>
  <c r="G219" i="33" a="1"/>
  <c r="G101" i="33" a="1"/>
  <c r="F123" i="33" a="1"/>
  <c r="E155" i="35" a="1"/>
  <c r="F71" i="33" a="1"/>
  <c r="G460" i="33" a="1"/>
  <c r="L159" i="35" a="1"/>
  <c r="G101" i="35" a="1"/>
  <c r="I166" i="35" a="1"/>
  <c r="P60" i="35" a="1"/>
  <c r="I141" i="35" a="1"/>
  <c r="H164" i="33" a="1"/>
  <c r="G341" i="33" a="1"/>
  <c r="F398" i="33" a="1"/>
  <c r="H37" i="33" a="1"/>
  <c r="G77" i="33" a="1"/>
  <c r="E454" i="33" a="1"/>
  <c r="H345" i="33" a="1"/>
  <c r="E79" i="33" a="1"/>
  <c r="F405" i="33" a="1"/>
  <c r="E431" i="33" a="1"/>
  <c r="F226" i="33" a="1"/>
  <c r="E287" i="33" a="1"/>
  <c r="G78" i="33" a="1"/>
  <c r="H423" i="33" a="1"/>
  <c r="L60" i="35" a="1"/>
  <c r="F296" i="33" a="1"/>
  <c r="G340" i="33" a="1"/>
  <c r="G457" i="33" a="1"/>
  <c r="F318" i="33" a="1"/>
  <c r="F154" i="33" a="1"/>
  <c r="E338" i="33" a="1"/>
  <c r="I66" i="35" a="1"/>
  <c r="E132" i="33" a="1"/>
  <c r="G112" i="35" a="1"/>
  <c r="F446" i="33" a="1"/>
  <c r="F202" i="33" a="1"/>
  <c r="H422" i="33" a="1"/>
  <c r="E46" i="33" a="1"/>
  <c r="G107" i="57" a="1"/>
  <c r="E66" i="33" a="1"/>
  <c r="F244" i="33" a="1"/>
  <c r="G128" i="33" a="1"/>
  <c r="F461" i="33" a="1"/>
  <c r="P77" i="35" a="1"/>
  <c r="G121" i="33" a="1"/>
  <c r="G174" i="33" a="1"/>
  <c r="F134" i="33" a="1"/>
  <c r="F301" i="33" a="1"/>
  <c r="F132" i="33" a="1"/>
  <c r="H121" i="33" a="1"/>
  <c r="H175" i="33" a="1"/>
  <c r="F67" i="57" a="1"/>
  <c r="F297" i="33" a="1"/>
  <c r="H369" i="33" a="1"/>
  <c r="G382" i="33" a="1"/>
  <c r="E237" i="33" a="1"/>
  <c r="E205" i="33" a="1"/>
  <c r="F256" i="33" a="1"/>
  <c r="H129" i="33" a="1"/>
  <c r="G77" i="57" a="1"/>
  <c r="H448" i="33" a="1"/>
  <c r="G234" i="33" a="1"/>
  <c r="H188" i="33" a="1"/>
  <c r="H72" i="57" a="1"/>
  <c r="F267" i="33" a="1"/>
  <c r="I184" i="35" a="1"/>
  <c r="F151" i="33" a="1"/>
  <c r="I85" i="35" a="1"/>
  <c r="N131" i="35" a="1"/>
  <c r="G259" i="33" a="1"/>
  <c r="E75" i="33" a="1"/>
  <c r="F309" i="33" a="1"/>
  <c r="H47" i="58" a="1"/>
  <c r="G269" i="33" a="1"/>
  <c r="E445" i="33" a="1"/>
  <c r="N83" i="35" a="1"/>
  <c r="F201" i="33" a="1"/>
  <c r="F82" i="58" a="1"/>
  <c r="E107" i="57" a="1"/>
  <c r="F290" i="33" a="1"/>
  <c r="G336" i="33" a="1"/>
  <c r="G60" i="35" a="1"/>
  <c r="E343" i="33" a="1"/>
  <c r="G434" i="33" a="1"/>
  <c r="F152" i="33" a="1"/>
  <c r="F337" i="33" a="1"/>
  <c r="G369" i="33" a="1"/>
  <c r="G408" i="33" a="1"/>
  <c r="H219" i="33" a="1"/>
  <c r="P156" i="35" a="1"/>
  <c r="H433" i="33" a="1"/>
  <c r="H247" i="33" a="1"/>
  <c r="E451" i="33" a="1"/>
  <c r="F54" i="33" a="1"/>
  <c r="E76" i="35" a="1"/>
  <c r="F55" i="33" a="1"/>
  <c r="E215" i="33" a="1"/>
  <c r="G57" i="35" a="1"/>
  <c r="G246" i="33" a="1"/>
  <c r="E317" i="33" a="1"/>
  <c r="L68" i="35" a="1"/>
  <c r="F326" i="33" a="1"/>
  <c r="E57" i="33" a="1"/>
  <c r="P157" i="35" a="1"/>
  <c r="E176" i="35" a="1"/>
  <c r="G164" i="33" a="1"/>
  <c r="F322" i="33" a="1"/>
  <c r="F425" i="33" a="1"/>
  <c r="L101" i="35" a="1"/>
  <c r="H44" i="33" a="1"/>
  <c r="G108" i="33" a="1"/>
  <c r="E186" i="35" a="1"/>
  <c r="I57" i="35" a="1"/>
  <c r="G139" i="35" a="1"/>
  <c r="L182" i="35" a="1"/>
  <c r="F41" i="33" a="1"/>
  <c r="G92" i="58" a="1"/>
  <c r="N140" i="35" a="1"/>
  <c r="H212" i="33" a="1"/>
  <c r="E232" i="33" a="1"/>
  <c r="B45" i="30"/>
  <c r="G255" i="33" a="1"/>
  <c r="P174" i="35" a="1"/>
  <c r="F313" i="33" a="1"/>
  <c r="G104" i="33" a="1"/>
  <c r="H292" i="33" a="1"/>
  <c r="E150" i="35" a="1"/>
  <c r="F284" i="33" a="1"/>
  <c r="L146" i="35" a="1"/>
  <c r="G67" i="58" a="1"/>
  <c r="F259" i="33" a="1"/>
  <c r="G402" i="33" a="1"/>
  <c r="L173" i="35" a="1"/>
  <c r="I150" i="35" a="1"/>
  <c r="E107" i="33" a="1"/>
  <c r="G159" i="33" a="1"/>
  <c r="G372" i="33" a="1"/>
  <c r="F422" i="33" a="1"/>
  <c r="F150" i="33" a="1"/>
  <c r="F182" i="33" a="1"/>
  <c r="H400" i="33" a="1"/>
  <c r="H86" i="33" a="1"/>
  <c r="G200" i="33" a="1"/>
  <c r="E59" i="35" a="1"/>
  <c r="H341" i="33" a="1"/>
  <c r="F430" i="33" a="1"/>
  <c r="H287" i="33" a="1"/>
  <c r="F107" i="57" a="1"/>
  <c r="G59" i="35" a="1"/>
  <c r="I83" i="35" a="1"/>
  <c r="G435" i="33" a="1"/>
  <c r="E462" i="33" a="1"/>
  <c r="H213" i="33" a="1"/>
  <c r="E321" i="33" a="1"/>
  <c r="G361" i="33" a="1"/>
  <c r="G237" i="33" a="1"/>
  <c r="H378" i="33" a="1"/>
  <c r="F105" i="33" a="1"/>
  <c r="F179" i="33" a="1"/>
  <c r="F382" i="33" a="1"/>
  <c r="G102" i="35" a="1"/>
  <c r="E78" i="35" a="1"/>
  <c r="E103" i="33" a="1"/>
  <c r="E86" i="33" a="1"/>
  <c r="I104" i="35" a="1"/>
  <c r="F209" i="33" a="1"/>
  <c r="I67" i="35" a="1"/>
  <c r="G56" i="35" a="1"/>
  <c r="E307" i="33" a="1"/>
  <c r="L148" i="35" a="1"/>
  <c r="G131" i="33" a="1"/>
  <c r="E260" i="33" a="1"/>
  <c r="F348" i="33" a="1"/>
  <c r="H362" i="33" a="1"/>
  <c r="P96" i="35" a="1"/>
  <c r="G307" i="33" a="1"/>
  <c r="G183" i="35" a="1"/>
  <c r="P93" i="35" a="1"/>
  <c r="H176" i="33" a="1"/>
  <c r="E118" i="33" a="1"/>
  <c r="G242" i="33" a="1"/>
  <c r="E76" i="33" a="1"/>
  <c r="E326" i="33" a="1"/>
  <c r="G37" i="33" a="1"/>
  <c r="E396" i="33" a="1"/>
  <c r="F157" i="33" a="1"/>
  <c r="E450" i="33" a="1"/>
  <c r="G325" i="33" a="1"/>
  <c r="F458" i="33" a="1"/>
  <c r="H109" i="33" a="1"/>
  <c r="F82" i="57" a="1"/>
  <c r="E415" i="33" a="1"/>
  <c r="I165" i="35" a="1"/>
  <c r="P166" i="35" a="1"/>
  <c r="F212" i="33" a="1"/>
  <c r="P67" i="35" a="1"/>
  <c r="I156" i="35" a="1"/>
  <c r="G288" i="33" a="1"/>
  <c r="G377" i="33" a="1"/>
  <c r="F353" i="33" a="1"/>
  <c r="F240" i="33" a="1"/>
  <c r="E131" i="33" a="1"/>
  <c r="G445" i="33" a="1"/>
  <c r="G213" i="33" a="1"/>
  <c r="H382" i="33" a="1"/>
  <c r="E216" i="33" a="1"/>
  <c r="E97" i="33" a="1"/>
  <c r="H203" i="33" a="1"/>
  <c r="I103" i="35" a="1"/>
  <c r="G274" i="33" a="1"/>
  <c r="F77" i="33" a="1"/>
  <c r="E337" i="33" a="1"/>
  <c r="E271" i="33" a="1"/>
  <c r="Z38" i="30" a="1"/>
  <c r="H74" i="33" a="1"/>
  <c r="G345" i="33" a="1"/>
  <c r="F364" i="33" a="1"/>
  <c r="F366" i="33" a="1"/>
  <c r="E311" i="33" a="1"/>
  <c r="E180" i="33" a="1"/>
  <c r="G124" i="33" a="1"/>
  <c r="F62" i="57" a="1"/>
  <c r="G72" i="57" a="1"/>
  <c r="F273" i="33" a="1"/>
  <c r="F101" i="33" a="1"/>
  <c r="F393" i="33" a="1"/>
  <c r="G47" i="57" a="1"/>
  <c r="F421" i="33" a="1"/>
  <c r="E209" i="33" a="1"/>
  <c r="P120" i="35" a="1"/>
  <c r="F51" i="33" a="1"/>
  <c r="L94" i="35" a="1"/>
  <c r="G81" i="33" a="1"/>
  <c r="G110" i="35" a="1"/>
  <c r="G67" i="33" a="1"/>
  <c r="N167" i="35" a="1"/>
  <c r="G150" i="33" a="1"/>
  <c r="E62" i="58" a="1"/>
  <c r="F62" i="58" a="1"/>
  <c r="G238" i="33" a="1"/>
  <c r="I149" i="35" a="1"/>
  <c r="H192" i="33" a="1"/>
  <c r="E375" i="33" a="1"/>
  <c r="H297" i="33" a="1"/>
  <c r="H355" i="33" a="1"/>
  <c r="G349" i="33" a="1"/>
  <c r="F159" i="33" a="1"/>
  <c r="H344" i="33" a="1"/>
  <c r="G102" i="33" a="1"/>
  <c r="G135" i="33" a="1"/>
  <c r="H290" i="33" a="1"/>
  <c r="F108" i="33" a="1"/>
  <c r="G365" i="33" a="1"/>
  <c r="G166" i="35" a="1"/>
  <c r="G118" i="33" a="1"/>
  <c r="F289" i="33" a="1"/>
  <c r="F253" i="33" a="1"/>
  <c r="E399" i="33" a="1"/>
  <c r="F206" i="33" a="1"/>
  <c r="F98" i="33" a="1"/>
  <c r="G185" i="35" a="1"/>
  <c r="H417" i="33" a="1"/>
  <c r="F334" i="33" a="1"/>
  <c r="P159" i="35" a="1"/>
  <c r="F102" i="58" a="1"/>
  <c r="G452" i="33" a="1"/>
  <c r="P177" i="35" a="1"/>
  <c r="B42" i="30"/>
  <c r="F428" i="33" a="1"/>
  <c r="H70" i="33" a="1"/>
  <c r="G194" i="33" a="1"/>
  <c r="H52" i="58" a="1"/>
  <c r="E426" i="33" a="1"/>
  <c r="E194" i="33" a="1"/>
  <c r="B31" i="28" a="1"/>
  <c r="G287" i="33" a="1"/>
  <c r="E443" i="33" a="1"/>
  <c r="G42" i="57" a="1"/>
  <c r="H391" i="33" a="1"/>
  <c r="G322" i="33" a="1"/>
  <c r="H103" i="33" a="1"/>
  <c r="F379" i="33" a="1"/>
  <c r="E51" i="35" a="1"/>
  <c r="E85" i="33" a="1"/>
  <c r="P102" i="35" a="1"/>
  <c r="G119" i="35" a="1"/>
  <c r="F124" i="33" a="1"/>
  <c r="G205" i="33" a="1"/>
  <c r="E221" i="33" a="1"/>
  <c r="H416" i="33" a="1"/>
  <c r="G453" i="33" a="1"/>
  <c r="F106" i="33" a="1"/>
  <c r="H381" i="33" a="1"/>
  <c r="H329" i="33" a="1"/>
  <c r="H43" i="33" a="1"/>
  <c r="G264" i="33" a="1"/>
  <c r="P130" i="35" a="1"/>
  <c r="E236" i="33" a="1"/>
  <c r="H40" i="33" a="1"/>
  <c r="AE32" i="34"/>
  <c r="L96" i="35" a="1"/>
  <c r="G165" i="35" a="1"/>
  <c r="N66" i="35" a="1"/>
  <c r="H112" i="57" a="1"/>
  <c r="F189" i="33" a="1"/>
  <c r="E348" i="33" a="1"/>
  <c r="H132" i="33" a="1"/>
  <c r="F148" i="33" a="1"/>
  <c r="F57" i="58" a="1"/>
  <c r="L58" i="35" a="1"/>
  <c r="E139" i="33" a="1"/>
  <c r="E173" i="33" a="1"/>
  <c r="E140" i="33" a="1"/>
  <c r="F140" i="33" a="1"/>
  <c r="G75" i="33" a="1"/>
  <c r="F424" i="33" a="1"/>
  <c r="E73" i="33" a="1"/>
  <c r="G156" i="33" a="1"/>
  <c r="H257" i="33" a="1"/>
  <c r="F220" i="33" a="1"/>
  <c r="E199" i="33" a="1"/>
  <c r="N156" i="35" a="1"/>
  <c r="F294" i="33" a="1"/>
  <c r="E175" i="35" a="1"/>
  <c r="E367" i="33" a="1"/>
  <c r="E391" i="33" a="1"/>
  <c r="L174" i="35" a="1"/>
  <c r="H430" i="33" a="1"/>
  <c r="G138" i="35" a="1"/>
  <c r="G58" i="33" a="1"/>
  <c r="E292" i="33" a="1"/>
  <c r="L175" i="35" a="1"/>
  <c r="G49" i="33" a="1"/>
  <c r="F39" i="33" a="1"/>
  <c r="H299" i="33" a="1"/>
  <c r="L84" i="35" a="1"/>
  <c r="E247" i="33" a="1"/>
  <c r="F69" i="33" a="1"/>
  <c r="E319" i="33" a="1"/>
  <c r="E312" i="33" a="1"/>
  <c r="F258" i="33" a="1"/>
  <c r="F37" i="57" a="1"/>
  <c r="F153" i="33" a="1"/>
  <c r="H336" i="33" a="1"/>
  <c r="E272" i="33" a="1"/>
  <c r="E211" i="33" a="1"/>
  <c r="F165" i="33" a="1"/>
  <c r="H151" i="33" a="1"/>
  <c r="F349" i="33" a="1"/>
  <c r="E437" i="33" a="1"/>
  <c r="E372" i="33" a="1"/>
  <c r="E356" i="33" a="1"/>
  <c r="F38" i="33" a="1"/>
  <c r="N186" i="35" a="1"/>
  <c r="H138" i="33" a="1"/>
  <c r="E92" i="35" a="1"/>
  <c r="B19" i="28" a="1"/>
  <c r="H243" i="33" a="1"/>
  <c r="F340" i="33" a="1"/>
  <c r="G352" i="33" a="1"/>
  <c r="E140" i="35" a="1"/>
  <c r="F247" i="33" a="1"/>
  <c r="H172" i="33" a="1"/>
  <c r="G284" i="33" a="1"/>
  <c r="E265" i="33" a="1"/>
  <c r="F87" i="58" a="1"/>
  <c r="G134" i="33" a="1"/>
  <c r="E67" i="57" a="1"/>
  <c r="G182" i="33" a="1"/>
  <c r="F97" i="58" a="1"/>
  <c r="G96" i="35" a="1"/>
  <c r="F370" i="33" a="1"/>
  <c r="H178" i="33" a="1"/>
  <c r="F120" i="33" a="1"/>
  <c r="E160" i="33" a="1"/>
  <c r="H155" i="33" a="1"/>
  <c r="I174" i="35" a="1"/>
  <c r="H77" i="58" a="1"/>
  <c r="E289" i="33" a="1"/>
  <c r="G293" i="33" a="1"/>
  <c r="E110" i="35" a="1"/>
  <c r="I92" i="35" a="1"/>
  <c r="F448" i="33" a="1"/>
  <c r="F390" i="33" a="1"/>
  <c r="G461" i="33" a="1"/>
  <c r="H92" i="58" a="1"/>
  <c r="I74" i="35" a="1"/>
  <c r="L59" i="35" a="1"/>
  <c r="F102" i="33" a="1"/>
  <c r="P164" i="35" a="1"/>
  <c r="F380" i="33" a="1"/>
  <c r="F266" i="33" a="1"/>
  <c r="G74" i="35" a="1"/>
  <c r="P68" i="35" a="1"/>
  <c r="H340" i="33" a="1"/>
  <c r="H42" i="58" a="1"/>
  <c r="H449" i="33" a="1"/>
  <c r="E77" i="57" a="1"/>
  <c r="G45" i="33" a="1"/>
  <c r="E155" i="33" a="1"/>
  <c r="E123" i="35" a="1"/>
  <c r="F47" i="33" a="1"/>
  <c r="E361" i="33" a="1"/>
  <c r="G391" i="33" a="1"/>
  <c r="H464" i="33" a="1"/>
  <c r="E334" i="33" a="1"/>
  <c r="E334" i="33" l="1"/>
  <c r="H464" i="33"/>
  <c r="G391" i="33"/>
  <c r="E361" i="33"/>
  <c r="F47" i="33"/>
  <c r="E123" i="35"/>
  <c r="E155" i="33"/>
  <c r="G45" i="33"/>
  <c r="E77" i="57"/>
  <c r="E78" i="57" s="1"/>
  <c r="H449" i="33"/>
  <c r="H42" i="58"/>
  <c r="H43" i="58" s="1"/>
  <c r="H340" i="33"/>
  <c r="P68" i="35"/>
  <c r="G74" i="35"/>
  <c r="F266" i="33"/>
  <c r="F380" i="33"/>
  <c r="P164" i="35"/>
  <c r="F102" i="33"/>
  <c r="L59" i="35"/>
  <c r="I74" i="35"/>
  <c r="H92" i="58"/>
  <c r="H93" i="58" s="1"/>
  <c r="G461" i="33"/>
  <c r="F390" i="33"/>
  <c r="F448" i="33"/>
  <c r="I92" i="35"/>
  <c r="E110" i="35"/>
  <c r="G293" i="33"/>
  <c r="E289" i="33"/>
  <c r="H77" i="58"/>
  <c r="H78" i="58" s="1"/>
  <c r="I174" i="35"/>
  <c r="J174" i="35" s="1"/>
  <c r="H155" i="33"/>
  <c r="E160" i="33"/>
  <c r="F120" i="33"/>
  <c r="H178" i="33"/>
  <c r="F370" i="33"/>
  <c r="G96" i="35"/>
  <c r="H96" i="35" s="1"/>
  <c r="F97" i="58"/>
  <c r="F98" i="58" s="1"/>
  <c r="G182" i="33"/>
  <c r="E67" i="57"/>
  <c r="E68" i="57" s="1"/>
  <c r="G134" i="33"/>
  <c r="I134" i="33" s="1"/>
  <c r="J134" i="33" s="1"/>
  <c r="F87" i="58"/>
  <c r="F88" i="58" s="1"/>
  <c r="E265" i="33"/>
  <c r="G284" i="33"/>
  <c r="H172" i="33"/>
  <c r="F247" i="33"/>
  <c r="E140" i="35"/>
  <c r="G352" i="33"/>
  <c r="F340" i="33"/>
  <c r="H243" i="33"/>
  <c r="BD19" i="28"/>
  <c r="BF21" i="28"/>
  <c r="W21" i="28"/>
  <c r="AS19" i="28"/>
  <c r="BP21" i="28"/>
  <c r="C21" i="28"/>
  <c r="AS21" i="28"/>
  <c r="Z20" i="28"/>
  <c r="BU19" i="28"/>
  <c r="C20" i="28"/>
  <c r="AX21" i="28"/>
  <c r="AP19" i="28"/>
  <c r="AM19" i="28"/>
  <c r="BP19" i="28"/>
  <c r="BU20" i="28"/>
  <c r="BG19" i="28"/>
  <c r="X21" i="28"/>
  <c r="B21" i="28"/>
  <c r="AW20" i="28"/>
  <c r="D19" i="28"/>
  <c r="BO20" i="28"/>
  <c r="AT19" i="28"/>
  <c r="AE19" i="28"/>
  <c r="AP20" i="28"/>
  <c r="BI20" i="28"/>
  <c r="BQ21" i="28"/>
  <c r="BF20" i="28"/>
  <c r="C19" i="28"/>
  <c r="BJ19" i="28"/>
  <c r="BL21" i="28"/>
  <c r="BU21" i="28"/>
  <c r="AB20" i="28"/>
  <c r="I21" i="28"/>
  <c r="G20" i="28"/>
  <c r="BF19" i="28"/>
  <c r="N20" i="28"/>
  <c r="K20" i="28"/>
  <c r="BA20" i="28"/>
  <c r="T21" i="28"/>
  <c r="BG20" i="28"/>
  <c r="F19" i="28"/>
  <c r="BI21" i="28"/>
  <c r="AN21" i="28"/>
  <c r="BB21" i="28"/>
  <c r="BS21" i="28"/>
  <c r="BK19" i="28"/>
  <c r="BA21" i="28"/>
  <c r="AH20" i="28"/>
  <c r="AA21" i="28"/>
  <c r="BL20" i="28"/>
  <c r="BT21" i="28"/>
  <c r="BO19" i="28"/>
  <c r="X20" i="28"/>
  <c r="AE21" i="28"/>
  <c r="T19" i="28"/>
  <c r="AH19" i="28"/>
  <c r="BB20" i="28"/>
  <c r="AM21" i="28"/>
  <c r="R20" i="28"/>
  <c r="BI19" i="28"/>
  <c r="BC21" i="28"/>
  <c r="AZ19" i="28"/>
  <c r="J21" i="28"/>
  <c r="AD20" i="28"/>
  <c r="J20" i="28"/>
  <c r="BD21" i="28"/>
  <c r="AY20" i="28"/>
  <c r="BH20" i="28"/>
  <c r="AQ21" i="28"/>
  <c r="BE20" i="28"/>
  <c r="AF19" i="28"/>
  <c r="W20" i="28"/>
  <c r="M19" i="28"/>
  <c r="AC20" i="28"/>
  <c r="AR19" i="28"/>
  <c r="AZ20" i="28"/>
  <c r="AI21" i="28"/>
  <c r="F21" i="28"/>
  <c r="B19" i="28"/>
  <c r="S19" i="28"/>
  <c r="T20" i="28"/>
  <c r="AT20" i="28"/>
  <c r="BM20" i="28"/>
  <c r="AY19" i="28"/>
  <c r="AC19" i="28"/>
  <c r="AQ20" i="28"/>
  <c r="BE21" i="28"/>
  <c r="BK21" i="28"/>
  <c r="AZ21" i="28"/>
  <c r="AM20" i="28"/>
  <c r="Q20" i="28"/>
  <c r="R19" i="28"/>
  <c r="BM21" i="28"/>
  <c r="BH21" i="28"/>
  <c r="AN20" i="28"/>
  <c r="AP21" i="28"/>
  <c r="AV20" i="28"/>
  <c r="F20" i="28"/>
  <c r="AJ19" i="28"/>
  <c r="AR20" i="28"/>
  <c r="W19" i="28"/>
  <c r="BH19" i="28"/>
  <c r="E20" i="28"/>
  <c r="L19" i="28"/>
  <c r="BM19" i="28"/>
  <c r="AD21" i="28"/>
  <c r="D20" i="28"/>
  <c r="P21" i="28"/>
  <c r="BR19" i="28"/>
  <c r="S21" i="28"/>
  <c r="I20" i="28"/>
  <c r="Q19" i="28"/>
  <c r="O21" i="28"/>
  <c r="AQ19" i="28"/>
  <c r="Y20" i="28"/>
  <c r="U19" i="28"/>
  <c r="BA19" i="28"/>
  <c r="BE19" i="28"/>
  <c r="V20" i="28"/>
  <c r="AG20" i="28"/>
  <c r="AO21" i="28"/>
  <c r="AL20" i="28"/>
  <c r="BG21" i="28"/>
  <c r="AA19" i="28"/>
  <c r="AJ20" i="28"/>
  <c r="AX19" i="28"/>
  <c r="AG19" i="28"/>
  <c r="BT19" i="28"/>
  <c r="BR21" i="28"/>
  <c r="AF21" i="28"/>
  <c r="BK20" i="28"/>
  <c r="P19" i="28"/>
  <c r="E21" i="28"/>
  <c r="AU21" i="28"/>
  <c r="BD20" i="28"/>
  <c r="BT20" i="28"/>
  <c r="BR20" i="28"/>
  <c r="S20" i="28"/>
  <c r="AH21" i="28"/>
  <c r="H19" i="28"/>
  <c r="AL19" i="28"/>
  <c r="AI20" i="28"/>
  <c r="V19" i="28"/>
  <c r="AC21" i="28"/>
  <c r="V21" i="28"/>
  <c r="BJ21" i="28"/>
  <c r="BO21" i="28"/>
  <c r="AO19" i="28"/>
  <c r="AW21" i="28"/>
  <c r="BS20" i="28"/>
  <c r="AA20" i="28"/>
  <c r="BB19" i="28"/>
  <c r="K21" i="28"/>
  <c r="BS19" i="28"/>
  <c r="AU20" i="28"/>
  <c r="BQ19" i="28"/>
  <c r="L21" i="28"/>
  <c r="AF20" i="28"/>
  <c r="AN19" i="28"/>
  <c r="D21" i="28"/>
  <c r="G21" i="28"/>
  <c r="J19" i="28"/>
  <c r="O19" i="28"/>
  <c r="AV19" i="28"/>
  <c r="K19" i="28"/>
  <c r="AX20" i="28"/>
  <c r="H21" i="28"/>
  <c r="AK20" i="28"/>
  <c r="L20" i="28"/>
  <c r="Y21" i="28"/>
  <c r="BL19" i="28"/>
  <c r="AW19" i="28"/>
  <c r="AK21" i="28"/>
  <c r="I19" i="28"/>
  <c r="Z21" i="28"/>
  <c r="X19" i="28"/>
  <c r="AR21" i="28"/>
  <c r="BN20" i="28"/>
  <c r="BJ20" i="28"/>
  <c r="P20" i="28"/>
  <c r="AY21" i="28"/>
  <c r="AB19" i="28"/>
  <c r="E19" i="28"/>
  <c r="U20" i="28"/>
  <c r="AE20" i="28"/>
  <c r="BC19" i="28"/>
  <c r="Q21" i="28"/>
  <c r="H20" i="28"/>
  <c r="BP20" i="28"/>
  <c r="BN19" i="28"/>
  <c r="B20" i="28"/>
  <c r="M20" i="28"/>
  <c r="BN21" i="28"/>
  <c r="R21" i="28"/>
  <c r="AJ21" i="28"/>
  <c r="N21" i="28"/>
  <c r="Z19" i="28"/>
  <c r="BQ20" i="28"/>
  <c r="AD19" i="28"/>
  <c r="G19" i="28"/>
  <c r="M21" i="28"/>
  <c r="O20" i="28"/>
  <c r="Y19" i="28"/>
  <c r="AG21" i="28"/>
  <c r="AL21" i="28"/>
  <c r="AS20" i="28"/>
  <c r="AI19" i="28"/>
  <c r="N19" i="28"/>
  <c r="AU19" i="28"/>
  <c r="AV21" i="28"/>
  <c r="AK19" i="28"/>
  <c r="AO20" i="28"/>
  <c r="U21" i="28"/>
  <c r="AB21" i="28"/>
  <c r="AT21" i="28"/>
  <c r="BC20" i="28"/>
  <c r="E92" i="35"/>
  <c r="H138" i="33"/>
  <c r="N186" i="35"/>
  <c r="F38" i="33"/>
  <c r="E356" i="33"/>
  <c r="E372" i="33"/>
  <c r="E437" i="33"/>
  <c r="F349" i="33"/>
  <c r="H151" i="33"/>
  <c r="F165" i="33"/>
  <c r="E211" i="33"/>
  <c r="E272" i="33"/>
  <c r="H336" i="33"/>
  <c r="F153" i="33"/>
  <c r="F37" i="57"/>
  <c r="F38" i="57" s="1"/>
  <c r="F258" i="33"/>
  <c r="E312" i="33"/>
  <c r="E319" i="33"/>
  <c r="F69" i="33"/>
  <c r="E247" i="33"/>
  <c r="L84" i="35"/>
  <c r="H299" i="33"/>
  <c r="F39" i="33"/>
  <c r="G49" i="33"/>
  <c r="L175" i="35"/>
  <c r="E292" i="33"/>
  <c r="G58" i="33"/>
  <c r="G138" i="35"/>
  <c r="H430" i="33"/>
  <c r="L174" i="35"/>
  <c r="E391" i="33"/>
  <c r="E367" i="33"/>
  <c r="E175" i="35"/>
  <c r="F294" i="33"/>
  <c r="N156" i="35"/>
  <c r="E199" i="33"/>
  <c r="F220" i="33"/>
  <c r="H257" i="33"/>
  <c r="G156" i="33"/>
  <c r="I156" i="33" s="1"/>
  <c r="E73" i="33"/>
  <c r="F424" i="33"/>
  <c r="G75" i="33"/>
  <c r="F140" i="33"/>
  <c r="E140" i="33"/>
  <c r="E173" i="33"/>
  <c r="E139" i="33"/>
  <c r="L58" i="35"/>
  <c r="F57" i="58"/>
  <c r="F58" i="58" s="1"/>
  <c r="F148" i="33"/>
  <c r="H132" i="33"/>
  <c r="E348" i="33"/>
  <c r="F189" i="33"/>
  <c r="H112" i="57"/>
  <c r="H113" i="57" s="1"/>
  <c r="N66" i="35"/>
  <c r="G165" i="35"/>
  <c r="L96" i="35"/>
  <c r="H40" i="33"/>
  <c r="E236" i="33"/>
  <c r="P130" i="35"/>
  <c r="G264" i="33"/>
  <c r="H43" i="33"/>
  <c r="H329" i="33"/>
  <c r="H381" i="33"/>
  <c r="F106" i="33"/>
  <c r="G453" i="33"/>
  <c r="H416" i="33"/>
  <c r="E221" i="33"/>
  <c r="G205" i="33"/>
  <c r="F124" i="33"/>
  <c r="G119" i="35"/>
  <c r="P102" i="35"/>
  <c r="E85" i="33"/>
  <c r="E51" i="35"/>
  <c r="F379" i="33"/>
  <c r="H103" i="33"/>
  <c r="G322" i="33"/>
  <c r="H391" i="33"/>
  <c r="G42" i="57"/>
  <c r="E443" i="33"/>
  <c r="G287" i="33"/>
  <c r="BG31" i="28"/>
  <c r="AD31" i="28"/>
  <c r="AQ32" i="28"/>
  <c r="BG33" i="28"/>
  <c r="AC32" i="28"/>
  <c r="B31" i="28"/>
  <c r="AC33" i="28"/>
  <c r="R32" i="28"/>
  <c r="BF31" i="28"/>
  <c r="BG32" i="28"/>
  <c r="AZ32" i="28"/>
  <c r="AK33" i="28"/>
  <c r="BD31" i="28"/>
  <c r="BS31" i="28"/>
  <c r="F33" i="28"/>
  <c r="AG33" i="28"/>
  <c r="AX31" i="28"/>
  <c r="BH31" i="28"/>
  <c r="X32" i="28"/>
  <c r="AX32" i="28"/>
  <c r="B33" i="28"/>
  <c r="AW33" i="28"/>
  <c r="AU33" i="28"/>
  <c r="BB31" i="28"/>
  <c r="K32" i="28"/>
  <c r="BT32" i="28"/>
  <c r="AX33" i="28"/>
  <c r="C31" i="28"/>
  <c r="AS31" i="28"/>
  <c r="AM32" i="28"/>
  <c r="AR33" i="28"/>
  <c r="H33" i="28"/>
  <c r="AN32" i="28"/>
  <c r="K31" i="28"/>
  <c r="D32" i="28"/>
  <c r="E33" i="28"/>
  <c r="BR31" i="28"/>
  <c r="AJ33" i="28"/>
  <c r="Q32" i="28"/>
  <c r="BK31" i="28"/>
  <c r="L32" i="28"/>
  <c r="AR32" i="28"/>
  <c r="BM32" i="28"/>
  <c r="BA31" i="28"/>
  <c r="AQ31" i="28"/>
  <c r="BE32" i="28"/>
  <c r="P33" i="28"/>
  <c r="BN31" i="28"/>
  <c r="BS33" i="28"/>
  <c r="AO31" i="28"/>
  <c r="BM31" i="28"/>
  <c r="U33" i="28"/>
  <c r="BB32" i="28"/>
  <c r="V33" i="28"/>
  <c r="AB32" i="28"/>
  <c r="BQ33" i="28"/>
  <c r="I33" i="28"/>
  <c r="BT33" i="28"/>
  <c r="T33" i="28"/>
  <c r="BA33" i="28"/>
  <c r="K33" i="28"/>
  <c r="BN32" i="28"/>
  <c r="R31" i="28"/>
  <c r="F31" i="28"/>
  <c r="BJ33" i="28"/>
  <c r="AN31" i="28"/>
  <c r="BL32" i="28"/>
  <c r="AO33" i="28"/>
  <c r="AA32" i="28"/>
  <c r="BE33" i="28"/>
  <c r="H32" i="28"/>
  <c r="AH31" i="28"/>
  <c r="AV33" i="28"/>
  <c r="AA33" i="28"/>
  <c r="AI32" i="28"/>
  <c r="BH33" i="28"/>
  <c r="X31" i="28"/>
  <c r="AJ32" i="28"/>
  <c r="AY33" i="28"/>
  <c r="AF31" i="28"/>
  <c r="AK32" i="28"/>
  <c r="W32" i="28"/>
  <c r="O33" i="28"/>
  <c r="AE31" i="28"/>
  <c r="AV31" i="28"/>
  <c r="D31" i="28"/>
  <c r="M33" i="28"/>
  <c r="BT31" i="28"/>
  <c r="Q33" i="28"/>
  <c r="BJ31" i="28"/>
  <c r="AL31" i="28"/>
  <c r="AY32" i="28"/>
  <c r="S31" i="28"/>
  <c r="BO32" i="28"/>
  <c r="W33" i="28"/>
  <c r="D33" i="28"/>
  <c r="BQ32" i="28"/>
  <c r="W31" i="28"/>
  <c r="AT31" i="28"/>
  <c r="T32" i="28"/>
  <c r="AV32" i="28"/>
  <c r="M32" i="28"/>
  <c r="BD32" i="28"/>
  <c r="AK31" i="28"/>
  <c r="AZ33" i="28"/>
  <c r="AL33" i="28"/>
  <c r="BP33" i="28"/>
  <c r="AE33" i="28"/>
  <c r="I31" i="28"/>
  <c r="AS32" i="28"/>
  <c r="Z32" i="28"/>
  <c r="AO32" i="28"/>
  <c r="AM31" i="28"/>
  <c r="G32" i="28"/>
  <c r="N31" i="28"/>
  <c r="L33" i="28"/>
  <c r="AL32" i="28"/>
  <c r="AU31" i="28"/>
  <c r="Z31" i="28"/>
  <c r="C32" i="28"/>
  <c r="BQ31" i="28"/>
  <c r="AH32" i="28"/>
  <c r="Q31" i="28"/>
  <c r="BM33" i="28"/>
  <c r="N33" i="28"/>
  <c r="AI31" i="28"/>
  <c r="L31" i="28"/>
  <c r="BC32" i="28"/>
  <c r="BK33" i="28"/>
  <c r="AQ33" i="28"/>
  <c r="AI33" i="28"/>
  <c r="E31" i="28"/>
  <c r="BR32" i="28"/>
  <c r="G33" i="28"/>
  <c r="AB31" i="28"/>
  <c r="P31" i="28"/>
  <c r="G31" i="28"/>
  <c r="T31" i="28"/>
  <c r="AD33" i="28"/>
  <c r="H31" i="28"/>
  <c r="BL31" i="28"/>
  <c r="P32" i="28"/>
  <c r="M31" i="28"/>
  <c r="U32" i="28"/>
  <c r="AJ31" i="28"/>
  <c r="J31" i="28"/>
  <c r="X33" i="28"/>
  <c r="BP31" i="28"/>
  <c r="AD32" i="28"/>
  <c r="BU33" i="28"/>
  <c r="U31" i="28"/>
  <c r="Y32" i="28"/>
  <c r="BA32" i="28"/>
  <c r="E32" i="28"/>
  <c r="AP31" i="28"/>
  <c r="AT33" i="28"/>
  <c r="AE32" i="28"/>
  <c r="AH33" i="28"/>
  <c r="Y31" i="28"/>
  <c r="Z33" i="28"/>
  <c r="R33" i="28"/>
  <c r="BF32" i="28"/>
  <c r="B32" i="28"/>
  <c r="AP32" i="28"/>
  <c r="AT32" i="28"/>
  <c r="I32" i="28"/>
  <c r="Y33" i="28"/>
  <c r="AZ31" i="28"/>
  <c r="S32" i="28"/>
  <c r="AP33" i="28"/>
  <c r="AF33" i="28"/>
  <c r="O32" i="28"/>
  <c r="BE31" i="28"/>
  <c r="AW31" i="28"/>
  <c r="J33" i="28"/>
  <c r="J32" i="28"/>
  <c r="BO33" i="28"/>
  <c r="AB33" i="28"/>
  <c r="BH32" i="28"/>
  <c r="BC33" i="28"/>
  <c r="AA31" i="28"/>
  <c r="AF32" i="28"/>
  <c r="BS32" i="28"/>
  <c r="N32" i="28"/>
  <c r="AC31" i="28"/>
  <c r="BR33" i="28"/>
  <c r="S33" i="28"/>
  <c r="AN33" i="28"/>
  <c r="AM33" i="28"/>
  <c r="V32" i="28"/>
  <c r="AR31" i="28"/>
  <c r="BD33" i="28"/>
  <c r="BU31" i="28"/>
  <c r="AY31" i="28"/>
  <c r="BI33" i="28"/>
  <c r="C33" i="28"/>
  <c r="F32" i="28"/>
  <c r="BO31" i="28"/>
  <c r="BF33" i="28"/>
  <c r="AG32" i="28"/>
  <c r="BJ32" i="28"/>
  <c r="BU32" i="28"/>
  <c r="BI32" i="28"/>
  <c r="AS33" i="28"/>
  <c r="V31" i="28"/>
  <c r="BC31" i="28"/>
  <c r="AU32" i="28"/>
  <c r="BB33" i="28"/>
  <c r="BP32" i="28"/>
  <c r="AW32" i="28"/>
  <c r="AG31" i="28"/>
  <c r="BL33" i="28"/>
  <c r="BK32" i="28"/>
  <c r="BI31" i="28"/>
  <c r="O31" i="28"/>
  <c r="BN33" i="28"/>
  <c r="E194" i="33"/>
  <c r="E426" i="33"/>
  <c r="H52" i="58"/>
  <c r="H53" i="58" s="1"/>
  <c r="G194" i="33"/>
  <c r="H70" i="33"/>
  <c r="F428" i="33"/>
  <c r="P177" i="35"/>
  <c r="G452" i="33"/>
  <c r="F102" i="58"/>
  <c r="F103" i="58" s="1"/>
  <c r="P159" i="35"/>
  <c r="F334" i="33"/>
  <c r="H417" i="33"/>
  <c r="G185" i="35"/>
  <c r="H185" i="35" s="1"/>
  <c r="F98" i="33"/>
  <c r="F206" i="33"/>
  <c r="E399" i="33"/>
  <c r="F253" i="33"/>
  <c r="F289" i="33"/>
  <c r="G118" i="33"/>
  <c r="G166" i="35"/>
  <c r="G365" i="33"/>
  <c r="F108" i="33"/>
  <c r="H290" i="33"/>
  <c r="G135" i="33"/>
  <c r="G102" i="33"/>
  <c r="H344" i="33"/>
  <c r="F159" i="33"/>
  <c r="G349" i="33"/>
  <c r="H355" i="33"/>
  <c r="H297" i="33"/>
  <c r="E375" i="33"/>
  <c r="H192" i="33"/>
  <c r="I149" i="35"/>
  <c r="J149" i="35" s="1"/>
  <c r="G238" i="33"/>
  <c r="F62" i="58"/>
  <c r="F63" i="58" s="1"/>
  <c r="E62" i="58"/>
  <c r="E63" i="58" s="1"/>
  <c r="G150" i="33"/>
  <c r="N167" i="35"/>
  <c r="G67" i="33"/>
  <c r="G110" i="35"/>
  <c r="G81" i="33"/>
  <c r="L94" i="35"/>
  <c r="F51" i="33"/>
  <c r="P120" i="35"/>
  <c r="E209" i="33"/>
  <c r="F421" i="33"/>
  <c r="G47" i="57"/>
  <c r="F393" i="33"/>
  <c r="F101" i="33"/>
  <c r="F273" i="33"/>
  <c r="G72" i="57"/>
  <c r="F62" i="57"/>
  <c r="F63" i="57" s="1"/>
  <c r="G124" i="33"/>
  <c r="E180" i="33"/>
  <c r="E311" i="33"/>
  <c r="F366" i="33"/>
  <c r="F364" i="33"/>
  <c r="G345" i="33"/>
  <c r="H74" i="33"/>
  <c r="Z38" i="30"/>
  <c r="E271" i="33"/>
  <c r="E337" i="33"/>
  <c r="F77" i="33"/>
  <c r="G274" i="33"/>
  <c r="I103" i="35"/>
  <c r="H203" i="33"/>
  <c r="E97" i="33"/>
  <c r="E216" i="33"/>
  <c r="H382" i="33"/>
  <c r="G213" i="33"/>
  <c r="G445" i="33"/>
  <c r="I445" i="33" s="1"/>
  <c r="E131" i="33"/>
  <c r="F240" i="33"/>
  <c r="F353" i="33"/>
  <c r="G377" i="33"/>
  <c r="G288" i="33"/>
  <c r="I156" i="35"/>
  <c r="P67" i="35"/>
  <c r="F212" i="33"/>
  <c r="P166" i="35"/>
  <c r="I165" i="35"/>
  <c r="E415" i="33"/>
  <c r="F82" i="57"/>
  <c r="F83" i="57" s="1"/>
  <c r="H109" i="33"/>
  <c r="F458" i="33"/>
  <c r="G325" i="33"/>
  <c r="E450" i="33"/>
  <c r="F157" i="33"/>
  <c r="E396" i="33"/>
  <c r="G37" i="33"/>
  <c r="E326" i="33"/>
  <c r="E76" i="33"/>
  <c r="G242" i="33"/>
  <c r="E118" i="33"/>
  <c r="H176" i="33"/>
  <c r="P93" i="35"/>
  <c r="G183" i="35"/>
  <c r="G307" i="33"/>
  <c r="P96" i="35"/>
  <c r="H362" i="33"/>
  <c r="F348" i="33"/>
  <c r="E260" i="33"/>
  <c r="G131" i="33"/>
  <c r="I131" i="33" s="1"/>
  <c r="L148" i="35"/>
  <c r="E307" i="33"/>
  <c r="G56" i="35"/>
  <c r="I67" i="35"/>
  <c r="F209" i="33"/>
  <c r="I104" i="35"/>
  <c r="J104" i="35" s="1"/>
  <c r="E86" i="33"/>
  <c r="E103" i="33"/>
  <c r="E78" i="35"/>
  <c r="G102" i="35"/>
  <c r="F382" i="33"/>
  <c r="F179" i="33"/>
  <c r="F105" i="33"/>
  <c r="H378" i="33"/>
  <c r="G237" i="33"/>
  <c r="G361" i="33"/>
  <c r="E321" i="33"/>
  <c r="H213" i="33"/>
  <c r="E462" i="33"/>
  <c r="G435" i="33"/>
  <c r="I83" i="35"/>
  <c r="G59" i="35"/>
  <c r="H59" i="35" s="1"/>
  <c r="F107" i="57"/>
  <c r="F108" i="57" s="1"/>
  <c r="H287" i="33"/>
  <c r="F430" i="33"/>
  <c r="H341" i="33"/>
  <c r="E59" i="35"/>
  <c r="G200" i="33"/>
  <c r="H86" i="33"/>
  <c r="H400" i="33"/>
  <c r="F182" i="33"/>
  <c r="F150" i="33"/>
  <c r="F422" i="33"/>
  <c r="G372" i="33"/>
  <c r="I372" i="33" s="1"/>
  <c r="G159" i="33"/>
  <c r="E107" i="33"/>
  <c r="I150" i="35"/>
  <c r="J150" i="35" s="1"/>
  <c r="L173" i="35"/>
  <c r="G402" i="33"/>
  <c r="F259" i="33"/>
  <c r="G67" i="58"/>
  <c r="L146" i="35"/>
  <c r="F284" i="33"/>
  <c r="E150" i="35"/>
  <c r="H292" i="33"/>
  <c r="G104" i="33"/>
  <c r="F313" i="33"/>
  <c r="P174" i="35"/>
  <c r="G255" i="33"/>
  <c r="E232" i="33"/>
  <c r="H212" i="33"/>
  <c r="N140" i="35"/>
  <c r="G92" i="58"/>
  <c r="F41" i="33"/>
  <c r="L182" i="35"/>
  <c r="G139" i="35"/>
  <c r="I57" i="35"/>
  <c r="J57" i="35" s="1"/>
  <c r="E186" i="35"/>
  <c r="G108" i="33"/>
  <c r="H44" i="33"/>
  <c r="L101" i="35"/>
  <c r="F425" i="33"/>
  <c r="F322" i="33"/>
  <c r="G164" i="33"/>
  <c r="E176" i="35"/>
  <c r="P157" i="35"/>
  <c r="E57" i="33"/>
  <c r="F326" i="33"/>
  <c r="L68" i="35"/>
  <c r="E317" i="33"/>
  <c r="G246" i="33"/>
  <c r="G57" i="35"/>
  <c r="E215" i="33"/>
  <c r="F55" i="33"/>
  <c r="E76" i="35"/>
  <c r="F54" i="33"/>
  <c r="E451" i="33"/>
  <c r="H247" i="33"/>
  <c r="H433" i="33"/>
  <c r="P156" i="35"/>
  <c r="H219" i="33"/>
  <c r="G408" i="33"/>
  <c r="G369" i="33"/>
  <c r="F337" i="33"/>
  <c r="F152" i="33"/>
  <c r="G434" i="33"/>
  <c r="E343" i="33"/>
  <c r="G60" i="35"/>
  <c r="H60" i="35" s="1"/>
  <c r="G336" i="33"/>
  <c r="F290" i="33"/>
  <c r="E107" i="57"/>
  <c r="E108" i="57" s="1"/>
  <c r="F82" i="58"/>
  <c r="F83" i="58" s="1"/>
  <c r="F201" i="33"/>
  <c r="N83" i="35"/>
  <c r="E445" i="33"/>
  <c r="G269" i="33"/>
  <c r="I269" i="33" s="1"/>
  <c r="H47" i="58"/>
  <c r="H48" i="58" s="1"/>
  <c r="F309" i="33"/>
  <c r="E75" i="33"/>
  <c r="G259" i="33"/>
  <c r="N131" i="35"/>
  <c r="I85" i="35"/>
  <c r="F151" i="33"/>
  <c r="I184" i="35"/>
  <c r="F267" i="33"/>
  <c r="H72" i="57"/>
  <c r="H73" i="57" s="1"/>
  <c r="H188" i="33"/>
  <c r="G234" i="33"/>
  <c r="H448" i="33"/>
  <c r="G77" i="57"/>
  <c r="H129" i="33"/>
  <c r="F256" i="33"/>
  <c r="E205" i="33"/>
  <c r="E237" i="33"/>
  <c r="G382" i="33"/>
  <c r="H369" i="33"/>
  <c r="F297" i="33"/>
  <c r="F67" i="57"/>
  <c r="F68" i="57" s="1"/>
  <c r="H175" i="33"/>
  <c r="H121" i="33"/>
  <c r="F132" i="33"/>
  <c r="F301" i="33"/>
  <c r="F134" i="33"/>
  <c r="G174" i="33"/>
  <c r="I174" i="33" s="1"/>
  <c r="G121" i="33"/>
  <c r="P77" i="35"/>
  <c r="F461" i="33"/>
  <c r="G128" i="33"/>
  <c r="F244" i="33"/>
  <c r="E66" i="33"/>
  <c r="G107" i="57"/>
  <c r="E46" i="33"/>
  <c r="H422" i="33"/>
  <c r="F202" i="33"/>
  <c r="F446" i="33"/>
  <c r="G112" i="35"/>
  <c r="E132" i="33"/>
  <c r="I66" i="35"/>
  <c r="J66" i="35" s="1"/>
  <c r="E338" i="33"/>
  <c r="F154" i="33"/>
  <c r="F318" i="33"/>
  <c r="G457" i="33"/>
  <c r="G340" i="33"/>
  <c r="F296" i="33"/>
  <c r="L60" i="35"/>
  <c r="H423" i="33"/>
  <c r="G78" i="33"/>
  <c r="E287" i="33"/>
  <c r="F226" i="33"/>
  <c r="E431" i="33"/>
  <c r="F405" i="33"/>
  <c r="E79" i="33"/>
  <c r="H345" i="33"/>
  <c r="E454" i="33"/>
  <c r="G77" i="33"/>
  <c r="H37" i="33"/>
  <c r="F398" i="33"/>
  <c r="G341" i="33"/>
  <c r="H164" i="33"/>
  <c r="I141" i="35"/>
  <c r="J141" i="35" s="1"/>
  <c r="P60" i="35"/>
  <c r="I166" i="35"/>
  <c r="G101" i="35"/>
  <c r="L159" i="35"/>
  <c r="G460" i="33"/>
  <c r="F71" i="33"/>
  <c r="E155" i="35"/>
  <c r="F123" i="33"/>
  <c r="G101" i="33"/>
  <c r="G219" i="33"/>
  <c r="H102" i="58"/>
  <c r="H103" i="58" s="1"/>
  <c r="E352" i="33"/>
  <c r="I58" i="35"/>
  <c r="F176" i="33"/>
  <c r="AO13" i="28"/>
  <c r="AT13" i="28"/>
  <c r="BL14" i="28"/>
  <c r="J13" i="28"/>
  <c r="AL15" i="28"/>
  <c r="AP14" i="28"/>
  <c r="L13" i="28"/>
  <c r="AE13" i="28"/>
  <c r="Q15" i="28"/>
  <c r="C14" i="28"/>
  <c r="BT13" i="28"/>
  <c r="K14" i="28"/>
  <c r="AN14" i="28"/>
  <c r="J14" i="28"/>
  <c r="O14" i="28"/>
  <c r="AA13" i="28"/>
  <c r="W14" i="28"/>
  <c r="Y13" i="28"/>
  <c r="AY15" i="28"/>
  <c r="AV15" i="28"/>
  <c r="AQ15" i="28"/>
  <c r="Z13" i="28"/>
  <c r="BQ14" i="28"/>
  <c r="K13" i="28"/>
  <c r="AU15" i="28"/>
  <c r="BA15" i="28"/>
  <c r="BQ13" i="28"/>
  <c r="AY14" i="28"/>
  <c r="AM14" i="28"/>
  <c r="AV13" i="28"/>
  <c r="T13" i="28"/>
  <c r="BI13" i="28"/>
  <c r="B13" i="28"/>
  <c r="AW14" i="28"/>
  <c r="AS14" i="28"/>
  <c r="AO14" i="28"/>
  <c r="Q14" i="28"/>
  <c r="AV14" i="28"/>
  <c r="AR13" i="28"/>
  <c r="N14" i="28"/>
  <c r="J15" i="28"/>
  <c r="AL14" i="28"/>
  <c r="X13" i="28"/>
  <c r="BQ15" i="28"/>
  <c r="AU14" i="28"/>
  <c r="H14" i="28"/>
  <c r="BK15" i="28"/>
  <c r="BN14" i="28"/>
  <c r="S15" i="28"/>
  <c r="M13" i="28"/>
  <c r="AI14" i="28"/>
  <c r="BS15" i="28"/>
  <c r="AT15" i="28"/>
  <c r="V15" i="28"/>
  <c r="BB14" i="28"/>
  <c r="AI15" i="28"/>
  <c r="BE14" i="28"/>
  <c r="AL13" i="28"/>
  <c r="BG15" i="28"/>
  <c r="AP13" i="28"/>
  <c r="V14" i="28"/>
  <c r="U14" i="28"/>
  <c r="N15" i="28"/>
  <c r="AZ14" i="28"/>
  <c r="BC14" i="28"/>
  <c r="AH15" i="28"/>
  <c r="BU14" i="28"/>
  <c r="AK14" i="28"/>
  <c r="BE15" i="28"/>
  <c r="AM13" i="28"/>
  <c r="AR15" i="28"/>
  <c r="Q13" i="28"/>
  <c r="AK13" i="28"/>
  <c r="L15" i="28"/>
  <c r="I14" i="28"/>
  <c r="AJ13" i="28"/>
  <c r="U13" i="28"/>
  <c r="R14" i="28"/>
  <c r="W13" i="28"/>
  <c r="BR14" i="28"/>
  <c r="BB13" i="28"/>
  <c r="AO15" i="28"/>
  <c r="BG13" i="28"/>
  <c r="AF15" i="28"/>
  <c r="C13" i="28"/>
  <c r="P14" i="28"/>
  <c r="K15" i="28"/>
  <c r="Y14" i="28"/>
  <c r="BO13" i="28"/>
  <c r="BH14" i="28"/>
  <c r="AA15" i="28"/>
  <c r="I15" i="28"/>
  <c r="AB14" i="28"/>
  <c r="BM14" i="28"/>
  <c r="AN13" i="28"/>
  <c r="AG14" i="28"/>
  <c r="BP15" i="28"/>
  <c r="AF14" i="28"/>
  <c r="BF14" i="28"/>
  <c r="AA14" i="28"/>
  <c r="BJ15" i="28"/>
  <c r="M15" i="28"/>
  <c r="BT14" i="28"/>
  <c r="G13" i="28"/>
  <c r="BS13" i="28"/>
  <c r="AP15" i="28"/>
  <c r="AB15" i="28"/>
  <c r="BI14" i="28"/>
  <c r="H13" i="28"/>
  <c r="BK14" i="28"/>
  <c r="AG13" i="28"/>
  <c r="M14" i="28"/>
  <c r="BR13" i="28"/>
  <c r="F14" i="28"/>
  <c r="X15" i="28"/>
  <c r="Y15" i="28"/>
  <c r="AX15" i="28"/>
  <c r="AX14" i="28"/>
  <c r="U15" i="28"/>
  <c r="BB15" i="28"/>
  <c r="AD14" i="28"/>
  <c r="BH15" i="28"/>
  <c r="C15" i="28"/>
  <c r="AI13" i="28"/>
  <c r="AJ14" i="28"/>
  <c r="AM15" i="28"/>
  <c r="E13" i="28"/>
  <c r="BJ13" i="28"/>
  <c r="BN15" i="28"/>
  <c r="BS14" i="28"/>
  <c r="BP14" i="28"/>
  <c r="BK13" i="28"/>
  <c r="BR15" i="28"/>
  <c r="BD13" i="28"/>
  <c r="AC14" i="28"/>
  <c r="W15" i="28"/>
  <c r="AX13" i="28"/>
  <c r="H15" i="28"/>
  <c r="G14" i="28"/>
  <c r="BC15" i="28"/>
  <c r="BA14" i="28"/>
  <c r="AH14" i="28"/>
  <c r="BM15" i="28"/>
  <c r="AJ15" i="28"/>
  <c r="BG14" i="28"/>
  <c r="I13" i="28"/>
  <c r="BO15" i="28"/>
  <c r="E14" i="28"/>
  <c r="BN13" i="28"/>
  <c r="AZ13" i="28"/>
  <c r="AK15" i="28"/>
  <c r="BH13" i="28"/>
  <c r="BU15" i="28"/>
  <c r="AC13" i="28"/>
  <c r="AQ14" i="28"/>
  <c r="F13" i="28"/>
  <c r="AG15" i="28"/>
  <c r="AU13" i="28"/>
  <c r="G15" i="28"/>
  <c r="AD15" i="28"/>
  <c r="BF15" i="28"/>
  <c r="BA13" i="28"/>
  <c r="AS15" i="28"/>
  <c r="P15" i="28"/>
  <c r="D15" i="28"/>
  <c r="P13" i="28"/>
  <c r="AY13" i="28"/>
  <c r="E15" i="28"/>
  <c r="O13" i="28"/>
  <c r="V13" i="28"/>
  <c r="AZ15" i="28"/>
  <c r="BC13" i="28"/>
  <c r="BI15" i="28"/>
  <c r="L14" i="28"/>
  <c r="AE14" i="28"/>
  <c r="O15" i="28"/>
  <c r="AC15" i="28"/>
  <c r="Z15" i="28"/>
  <c r="S14" i="28"/>
  <c r="BT15" i="28"/>
  <c r="AT14" i="28"/>
  <c r="BD15" i="28"/>
  <c r="R15" i="28"/>
  <c r="AN15" i="28"/>
  <c r="BO14" i="28"/>
  <c r="BP13" i="28"/>
  <c r="R13" i="28"/>
  <c r="AS13" i="28"/>
  <c r="AF13" i="28"/>
  <c r="AQ13" i="28"/>
  <c r="S13" i="28"/>
  <c r="D13" i="28"/>
  <c r="AW13" i="28"/>
  <c r="BD14" i="28"/>
  <c r="B14" i="28"/>
  <c r="BJ14" i="28"/>
  <c r="BF13" i="28"/>
  <c r="Z14" i="28"/>
  <c r="T15" i="28"/>
  <c r="AW15" i="28"/>
  <c r="BM13" i="28"/>
  <c r="BU13" i="28"/>
  <c r="BL13" i="28"/>
  <c r="T14" i="28"/>
  <c r="F15" i="28"/>
  <c r="B15" i="28"/>
  <c r="AH13" i="28"/>
  <c r="AE15" i="28"/>
  <c r="BL15" i="28"/>
  <c r="X14" i="28"/>
  <c r="N13" i="28"/>
  <c r="AB13" i="28"/>
  <c r="D14" i="28"/>
  <c r="BE13" i="28"/>
  <c r="AD13" i="28"/>
  <c r="AR14" i="28"/>
  <c r="G138" i="33"/>
  <c r="H266" i="33"/>
  <c r="H134" i="33"/>
  <c r="G155" i="35"/>
  <c r="G202" i="33"/>
  <c r="G56" i="33"/>
  <c r="I56" i="33" s="1"/>
  <c r="H445" i="33"/>
  <c r="G39" i="33"/>
  <c r="G370" i="33"/>
  <c r="H444" i="33"/>
  <c r="G281" i="33"/>
  <c r="E201" i="33"/>
  <c r="H57" i="33"/>
  <c r="G282" i="33"/>
  <c r="E409" i="33"/>
  <c r="F292" i="33"/>
  <c r="G83" i="33"/>
  <c r="P186" i="35"/>
  <c r="E274" i="33"/>
  <c r="E133" i="33"/>
  <c r="E137" i="35"/>
  <c r="F298" i="33"/>
  <c r="F111" i="33"/>
  <c r="F164" i="33"/>
  <c r="E87" i="35"/>
  <c r="G316" i="33"/>
  <c r="H262" i="33"/>
  <c r="E463" i="33"/>
  <c r="I140" i="35"/>
  <c r="J140" i="35" s="1"/>
  <c r="N183" i="35"/>
  <c r="U183" i="35" s="1"/>
  <c r="G105" i="33"/>
  <c r="E179" i="33"/>
  <c r="L158" i="35"/>
  <c r="G433" i="33"/>
  <c r="F97" i="57"/>
  <c r="F98" i="57" s="1"/>
  <c r="G92" i="35"/>
  <c r="H285" i="33"/>
  <c r="G183" i="33"/>
  <c r="H260" i="33"/>
  <c r="E219" i="33"/>
  <c r="F122" i="33"/>
  <c r="F445" i="33"/>
  <c r="F376" i="33"/>
  <c r="E380" i="33"/>
  <c r="F188" i="33"/>
  <c r="F345" i="33"/>
  <c r="E95" i="35"/>
  <c r="H373" i="33"/>
  <c r="F437" i="33"/>
  <c r="N132" i="35"/>
  <c r="G228" i="33"/>
  <c r="G84" i="35"/>
  <c r="H84" i="35" s="1"/>
  <c r="E419" i="33"/>
  <c r="H67" i="58"/>
  <c r="H68" i="58" s="1"/>
  <c r="H405" i="33"/>
  <c r="E113" i="33"/>
  <c r="F186" i="33"/>
  <c r="G395" i="33"/>
  <c r="E228" i="33"/>
  <c r="P65" i="35"/>
  <c r="G248" i="33"/>
  <c r="F344" i="33"/>
  <c r="I94" i="35"/>
  <c r="I101" i="35"/>
  <c r="E313" i="33"/>
  <c r="E47" i="57"/>
  <c r="E48" i="57" s="1"/>
  <c r="I38" i="30"/>
  <c r="F119" i="33"/>
  <c r="H300" i="33"/>
  <c r="E70" i="33"/>
  <c r="L139" i="35"/>
  <c r="E72" i="33"/>
  <c r="G92" i="57"/>
  <c r="E82" i="57"/>
  <c r="E83" i="57" s="1"/>
  <c r="H97" i="58"/>
  <c r="H98" i="58" s="1"/>
  <c r="G444" i="33"/>
  <c r="G201" i="33"/>
  <c r="I201" i="33" s="1"/>
  <c r="H193" i="33"/>
  <c r="G318" i="33"/>
  <c r="I86" i="35"/>
  <c r="J86" i="35" s="1"/>
  <c r="H288" i="33"/>
  <c r="H51" i="33"/>
  <c r="P112" i="35"/>
  <c r="N93" i="35"/>
  <c r="G199" i="33"/>
  <c r="F308" i="33"/>
  <c r="F67" i="58"/>
  <c r="F68" i="58" s="1"/>
  <c r="F429" i="33"/>
  <c r="G110" i="33"/>
  <c r="H82" i="58"/>
  <c r="H83" i="58" s="1"/>
  <c r="G58" i="35"/>
  <c r="E145" i="33"/>
  <c r="G42" i="33"/>
  <c r="E377" i="33"/>
  <c r="L137" i="35"/>
  <c r="H310" i="33"/>
  <c r="F443" i="33"/>
  <c r="H259" i="33"/>
  <c r="H453" i="33"/>
  <c r="N168" i="35"/>
  <c r="F74" i="33"/>
  <c r="G236" i="33"/>
  <c r="I236" i="33" s="1"/>
  <c r="H270" i="33"/>
  <c r="F110" i="33"/>
  <c r="H133" i="33"/>
  <c r="F129" i="33"/>
  <c r="H239" i="33"/>
  <c r="E374" i="33"/>
  <c r="E183" i="33"/>
  <c r="F232" i="33"/>
  <c r="G366" i="33"/>
  <c r="N57" i="35"/>
  <c r="F72" i="57"/>
  <c r="F73" i="57" s="1"/>
  <c r="E129" i="35"/>
  <c r="E86" i="35"/>
  <c r="H186" i="33"/>
  <c r="G417" i="33"/>
  <c r="E239" i="33"/>
  <c r="G102" i="58"/>
  <c r="H245" i="33"/>
  <c r="E435" i="33"/>
  <c r="F272" i="33"/>
  <c r="H398" i="33"/>
  <c r="P176" i="35"/>
  <c r="F316" i="33"/>
  <c r="E65" i="33"/>
  <c r="F229" i="33"/>
  <c r="H432" i="33"/>
  <c r="BF47" i="28"/>
  <c r="Q47" i="28"/>
  <c r="AF48" i="28"/>
  <c r="K47" i="28"/>
  <c r="AK48" i="28"/>
  <c r="BG48" i="28"/>
  <c r="AK47" i="28"/>
  <c r="AA46" i="28"/>
  <c r="BM47" i="28"/>
  <c r="BG46" i="28"/>
  <c r="L46" i="28"/>
  <c r="U46" i="28"/>
  <c r="BI48" i="28"/>
  <c r="AV48" i="28"/>
  <c r="AH46" i="28"/>
  <c r="AT46" i="28"/>
  <c r="BA48" i="28"/>
  <c r="N46" i="28"/>
  <c r="E48" i="28"/>
  <c r="BM46" i="28"/>
  <c r="BN48" i="28"/>
  <c r="Z46" i="28"/>
  <c r="BC48" i="28"/>
  <c r="AH48" i="28"/>
  <c r="BR48" i="28"/>
  <c r="C46" i="28"/>
  <c r="R48" i="28"/>
  <c r="Y47" i="28"/>
  <c r="AM48" i="28"/>
  <c r="BK48" i="28"/>
  <c r="BD47" i="28"/>
  <c r="V47" i="28"/>
  <c r="AU46" i="28"/>
  <c r="BP46" i="28"/>
  <c r="BS48" i="28"/>
  <c r="BK46" i="28"/>
  <c r="AL47" i="28"/>
  <c r="AX47" i="28"/>
  <c r="AY46" i="28"/>
  <c r="BE48" i="28"/>
  <c r="BA46" i="28"/>
  <c r="BQ48" i="28"/>
  <c r="AM47" i="28"/>
  <c r="AT47" i="28"/>
  <c r="AL48" i="28"/>
  <c r="AC48" i="28"/>
  <c r="AP48" i="28"/>
  <c r="B46" i="28"/>
  <c r="F48" i="28"/>
  <c r="S47" i="28"/>
  <c r="AS46" i="28"/>
  <c r="W48" i="28"/>
  <c r="S48" i="28"/>
  <c r="AF46" i="28"/>
  <c r="I47" i="28"/>
  <c r="AB48" i="28"/>
  <c r="E47" i="28"/>
  <c r="AV47" i="28"/>
  <c r="B48" i="28"/>
  <c r="AD48" i="28"/>
  <c r="BE47" i="28"/>
  <c r="AS47" i="28"/>
  <c r="AA47" i="28"/>
  <c r="BI46" i="28"/>
  <c r="AL46" i="28"/>
  <c r="G46" i="28"/>
  <c r="AQ47" i="28"/>
  <c r="D47" i="28"/>
  <c r="L48" i="28"/>
  <c r="AZ47" i="28"/>
  <c r="AO46" i="28"/>
  <c r="AY47" i="28"/>
  <c r="AV46" i="28"/>
  <c r="BL48" i="28"/>
  <c r="AE48" i="28"/>
  <c r="AQ48" i="28"/>
  <c r="B47" i="28"/>
  <c r="BA47" i="28"/>
  <c r="AS48" i="28"/>
  <c r="W46" i="28"/>
  <c r="G47" i="28"/>
  <c r="AR47" i="28"/>
  <c r="F46" i="28"/>
  <c r="AN46" i="28"/>
  <c r="AC46" i="28"/>
  <c r="N48" i="28"/>
  <c r="BI47" i="28"/>
  <c r="BT48" i="28"/>
  <c r="AN47" i="28"/>
  <c r="AW47" i="28"/>
  <c r="BC46" i="28"/>
  <c r="J48" i="28"/>
  <c r="BS47" i="28"/>
  <c r="AZ48" i="28"/>
  <c r="BO47" i="28"/>
  <c r="AQ46" i="28"/>
  <c r="BN46" i="28"/>
  <c r="AZ46" i="28"/>
  <c r="AW48" i="28"/>
  <c r="Y46" i="28"/>
  <c r="BH47" i="28"/>
  <c r="U47" i="28"/>
  <c r="M47" i="28"/>
  <c r="T46" i="28"/>
  <c r="D48" i="28"/>
  <c r="AO47" i="28"/>
  <c r="BL47" i="28"/>
  <c r="K46" i="28"/>
  <c r="BJ48" i="28"/>
  <c r="BD48" i="28"/>
  <c r="AW46" i="28"/>
  <c r="AP46" i="28"/>
  <c r="AP47" i="28"/>
  <c r="BE46" i="28"/>
  <c r="L47" i="28"/>
  <c r="BB48" i="28"/>
  <c r="F47" i="28"/>
  <c r="Z47" i="28"/>
  <c r="AX48" i="28"/>
  <c r="D46" i="28"/>
  <c r="AC47" i="28"/>
  <c r="N47" i="28"/>
  <c r="Z48" i="28"/>
  <c r="BQ47" i="28"/>
  <c r="AG48" i="28"/>
  <c r="H47" i="28"/>
  <c r="AY48" i="28"/>
  <c r="Y48" i="28"/>
  <c r="BH48" i="28"/>
  <c r="X46" i="28"/>
  <c r="BB47" i="28"/>
  <c r="BC47" i="28"/>
  <c r="T47" i="28"/>
  <c r="V46" i="28"/>
  <c r="Q48" i="28"/>
  <c r="AR46" i="28"/>
  <c r="AB46" i="28"/>
  <c r="T48" i="28"/>
  <c r="J46" i="28"/>
  <c r="BP47" i="28"/>
  <c r="BJ47" i="28"/>
  <c r="H48" i="28"/>
  <c r="AA48" i="28"/>
  <c r="AD46" i="28"/>
  <c r="BF48" i="28"/>
  <c r="BQ46" i="28"/>
  <c r="Q46" i="28"/>
  <c r="X47" i="28"/>
  <c r="P47" i="28"/>
  <c r="H46" i="28"/>
  <c r="AJ47" i="28"/>
  <c r="M48" i="28"/>
  <c r="BO46" i="28"/>
  <c r="BD46" i="28"/>
  <c r="AB47" i="28"/>
  <c r="E46" i="28"/>
  <c r="BL46" i="28"/>
  <c r="O48" i="28"/>
  <c r="AJ48" i="28"/>
  <c r="R47" i="28"/>
  <c r="AT48" i="28"/>
  <c r="BR47" i="28"/>
  <c r="BB46" i="28"/>
  <c r="AE46" i="28"/>
  <c r="BO48" i="28"/>
  <c r="G48" i="28"/>
  <c r="P48" i="28"/>
  <c r="BN47" i="28"/>
  <c r="C48" i="28"/>
  <c r="AM46" i="28"/>
  <c r="BH46" i="28"/>
  <c r="W47" i="28"/>
  <c r="AR48" i="28"/>
  <c r="V48" i="28"/>
  <c r="BG47" i="28"/>
  <c r="BU48" i="28"/>
  <c r="O46" i="28"/>
  <c r="AH47" i="28"/>
  <c r="AI46" i="28"/>
  <c r="AJ46" i="28"/>
  <c r="BP48" i="28"/>
  <c r="BF46" i="28"/>
  <c r="AK46" i="28"/>
  <c r="AU47" i="28"/>
  <c r="BM48" i="28"/>
  <c r="BS46" i="28"/>
  <c r="AG47" i="28"/>
  <c r="M46" i="28"/>
  <c r="I48" i="28"/>
  <c r="J47" i="28"/>
  <c r="P46" i="28"/>
  <c r="BK47" i="28"/>
  <c r="BU47" i="28"/>
  <c r="AN48" i="28"/>
  <c r="AD47" i="28"/>
  <c r="AI48" i="28"/>
  <c r="K48" i="28"/>
  <c r="AG46" i="28"/>
  <c r="AF47" i="28"/>
  <c r="R46" i="28"/>
  <c r="BR46" i="28"/>
  <c r="AX46" i="28"/>
  <c r="AU48" i="28"/>
  <c r="U48" i="28"/>
  <c r="AI47" i="28"/>
  <c r="BT47" i="28"/>
  <c r="X48" i="28"/>
  <c r="O47" i="28"/>
  <c r="S46" i="28"/>
  <c r="AO48" i="28"/>
  <c r="BJ46" i="28"/>
  <c r="BU46" i="28"/>
  <c r="I46" i="28"/>
  <c r="AE47" i="28"/>
  <c r="BT46" i="28"/>
  <c r="C47" i="28"/>
  <c r="F352" i="33"/>
  <c r="G431" i="33"/>
  <c r="I431" i="33" s="1"/>
  <c r="G38" i="33"/>
  <c r="F281" i="33"/>
  <c r="G243" i="33"/>
  <c r="P84" i="35"/>
  <c r="F113" i="33"/>
  <c r="G65" i="33"/>
  <c r="H50" i="33"/>
  <c r="G272" i="33"/>
  <c r="I272" i="33" s="1"/>
  <c r="H184" i="33"/>
  <c r="H221" i="33"/>
  <c r="E295" i="33"/>
  <c r="G148" i="35"/>
  <c r="H47" i="57"/>
  <c r="H48" i="57" s="1"/>
  <c r="G76" i="35"/>
  <c r="H274" i="33"/>
  <c r="H57" i="57"/>
  <c r="H58" i="57" s="1"/>
  <c r="H298" i="33"/>
  <c r="H275" i="33"/>
  <c r="G319" i="33"/>
  <c r="I319" i="33" s="1"/>
  <c r="H174" i="33"/>
  <c r="P185" i="35"/>
  <c r="L130" i="35"/>
  <c r="E388" i="33"/>
  <c r="N75" i="35"/>
  <c r="E362" i="33"/>
  <c r="E50" i="33"/>
  <c r="N129" i="35"/>
  <c r="E212" i="33"/>
  <c r="E410" i="33"/>
  <c r="H161" i="33"/>
  <c r="E202" i="33"/>
  <c r="F231" i="33"/>
  <c r="H295" i="33"/>
  <c r="H58" i="33"/>
  <c r="E370" i="33"/>
  <c r="P110" i="35"/>
  <c r="E139" i="35"/>
  <c r="F194" i="33"/>
  <c r="E82" i="33"/>
  <c r="N138" i="35"/>
  <c r="U138" i="35" s="1"/>
  <c r="I183" i="35"/>
  <c r="E345" i="33"/>
  <c r="H182" i="33"/>
  <c r="H156" i="33"/>
  <c r="E258" i="33"/>
  <c r="F178" i="33"/>
  <c r="E193" i="33"/>
  <c r="F248" i="33"/>
  <c r="G449" i="33"/>
  <c r="H122" i="33"/>
  <c r="I157" i="35"/>
  <c r="H162" i="33"/>
  <c r="G409" i="33"/>
  <c r="I409" i="33" s="1"/>
  <c r="L77" i="35"/>
  <c r="E460" i="33"/>
  <c r="L150" i="35"/>
  <c r="G155" i="33"/>
  <c r="I155" i="33" s="1"/>
  <c r="E111" i="33"/>
  <c r="H318" i="33"/>
  <c r="H349" i="33"/>
  <c r="F395" i="33"/>
  <c r="E42" i="58"/>
  <c r="E43" i="58" s="1"/>
  <c r="H82" i="33"/>
  <c r="H379" i="33"/>
  <c r="E371" i="33"/>
  <c r="H236" i="33"/>
  <c r="F419" i="33"/>
  <c r="H110" i="33"/>
  <c r="E308" i="33"/>
  <c r="E105" i="33"/>
  <c r="F342" i="33"/>
  <c r="E376" i="33"/>
  <c r="L168" i="35"/>
  <c r="H268" i="33"/>
  <c r="N102" i="35"/>
  <c r="F192" i="33"/>
  <c r="E52" i="57"/>
  <c r="E53" i="57" s="1"/>
  <c r="F314" i="33"/>
  <c r="F228" i="33"/>
  <c r="N69" i="35"/>
  <c r="G309" i="33"/>
  <c r="G464" i="33"/>
  <c r="H283" i="33"/>
  <c r="E428" i="33"/>
  <c r="E405" i="33"/>
  <c r="H307" i="33"/>
  <c r="E122" i="35"/>
  <c r="G65" i="35"/>
  <c r="P182" i="35"/>
  <c r="H233" i="33"/>
  <c r="F377" i="33"/>
  <c r="E286" i="33"/>
  <c r="F285" i="33"/>
  <c r="G71" i="33"/>
  <c r="G378" i="33"/>
  <c r="P47" i="35"/>
  <c r="E91" i="33"/>
  <c r="E270" i="33"/>
  <c r="G371" i="33"/>
  <c r="H456" i="33"/>
  <c r="G212" i="33"/>
  <c r="E235" i="33"/>
  <c r="I59" i="35"/>
  <c r="H82" i="57"/>
  <c r="H83" i="57" s="1"/>
  <c r="G363" i="33"/>
  <c r="E153" i="33"/>
  <c r="F426" i="33"/>
  <c r="I168" i="35"/>
  <c r="J168" i="35" s="1"/>
  <c r="H218" i="33"/>
  <c r="E266" i="33"/>
  <c r="P94" i="35"/>
  <c r="G87" i="57"/>
  <c r="H442" i="33"/>
  <c r="G112" i="33"/>
  <c r="H286" i="33"/>
  <c r="G145" i="33"/>
  <c r="H159" i="33"/>
  <c r="G185" i="33"/>
  <c r="G85" i="33"/>
  <c r="I85" i="33" s="1"/>
  <c r="H388" i="33"/>
  <c r="G87" i="58"/>
  <c r="F328" i="33"/>
  <c r="H112" i="58"/>
  <c r="H113" i="58" s="1"/>
  <c r="H140" i="33"/>
  <c r="P150" i="35"/>
  <c r="E147" i="35"/>
  <c r="F42" i="33"/>
  <c r="F365" i="33"/>
  <c r="P173" i="35"/>
  <c r="G128" i="35"/>
  <c r="F221" i="33"/>
  <c r="H107" i="57"/>
  <c r="H108" i="57" s="1"/>
  <c r="E166" i="33"/>
  <c r="X38" i="30"/>
  <c r="X60" i="30" s="1"/>
  <c r="I177" i="35"/>
  <c r="J177" i="35" s="1"/>
  <c r="H106" i="33"/>
  <c r="E146" i="33"/>
  <c r="P49" i="35"/>
  <c r="E206" i="33"/>
  <c r="E167" i="33"/>
  <c r="F133" i="33"/>
  <c r="I129" i="35"/>
  <c r="J129" i="35" s="1"/>
  <c r="I76" i="35"/>
  <c r="F109" i="33"/>
  <c r="E57" i="35"/>
  <c r="H206" i="33"/>
  <c r="G157" i="35"/>
  <c r="G84" i="33"/>
  <c r="F49" i="33"/>
  <c r="H157" i="33"/>
  <c r="G350" i="33"/>
  <c r="N149" i="35"/>
  <c r="F402" i="33"/>
  <c r="E84" i="33"/>
  <c r="H434" i="33"/>
  <c r="E394" i="33"/>
  <c r="L87" i="35"/>
  <c r="G397" i="33"/>
  <c r="I65" i="35"/>
  <c r="F457" i="33"/>
  <c r="N128" i="35"/>
  <c r="R38" i="30"/>
  <c r="R60" i="30" s="1"/>
  <c r="E464" i="33"/>
  <c r="G164" i="35"/>
  <c r="F307" i="33"/>
  <c r="G177" i="33"/>
  <c r="G456" i="33"/>
  <c r="P48" i="35"/>
  <c r="I87" i="35"/>
  <c r="J87" i="35" s="1"/>
  <c r="F161" i="33"/>
  <c r="F415" i="33"/>
  <c r="E165" i="35"/>
  <c r="G137" i="35"/>
  <c r="F38" i="30"/>
  <c r="F60" i="30" s="1"/>
  <c r="G245" i="33"/>
  <c r="H72" i="58"/>
  <c r="H73" i="58" s="1"/>
  <c r="N87" i="35"/>
  <c r="H443" i="33"/>
  <c r="H37" i="58"/>
  <c r="H38" i="58" s="1"/>
  <c r="E346" i="33"/>
  <c r="E457" i="33"/>
  <c r="G184" i="33"/>
  <c r="H53" i="33"/>
  <c r="I159" i="35"/>
  <c r="J159" i="35" s="1"/>
  <c r="E453" i="33"/>
  <c r="P138" i="35"/>
  <c r="H202" i="33"/>
  <c r="H406" i="33"/>
  <c r="P69" i="35"/>
  <c r="E448" i="33"/>
  <c r="E243" i="33"/>
  <c r="F58" i="33"/>
  <c r="E95" i="33"/>
  <c r="E138" i="35"/>
  <c r="F406" i="33"/>
  <c r="H137" i="33"/>
  <c r="H258" i="33"/>
  <c r="F399" i="33"/>
  <c r="D31" i="71"/>
  <c r="D24" i="68"/>
  <c r="D48" i="73"/>
  <c r="D36" i="67"/>
  <c r="D63" i="65"/>
  <c r="D50" i="73"/>
  <c r="D37" i="78"/>
  <c r="D32" i="59"/>
  <c r="D40" i="73"/>
  <c r="D51" i="74"/>
  <c r="D44" i="61"/>
  <c r="D30" i="11"/>
  <c r="D60" i="77"/>
  <c r="D57" i="65"/>
  <c r="D30" i="68"/>
  <c r="D50" i="65"/>
  <c r="D29" i="71"/>
  <c r="D66" i="72"/>
  <c r="D32" i="74"/>
  <c r="D41" i="73"/>
  <c r="D39" i="73"/>
  <c r="D30" i="66"/>
  <c r="D45" i="59"/>
  <c r="D31" i="11"/>
  <c r="D47" i="62"/>
  <c r="D30" i="65"/>
  <c r="D30" i="72"/>
  <c r="D40" i="61"/>
  <c r="D44" i="78"/>
  <c r="D36" i="79"/>
  <c r="D40" i="63"/>
  <c r="D47" i="71"/>
  <c r="D51" i="64"/>
  <c r="D28" i="67"/>
  <c r="D45" i="66"/>
  <c r="D32" i="66"/>
  <c r="D61" i="60"/>
  <c r="D30" i="78"/>
  <c r="D48" i="62"/>
  <c r="D43" i="63"/>
  <c r="D33" i="66"/>
  <c r="D39" i="71"/>
  <c r="D53" i="73"/>
  <c r="D33" i="72"/>
  <c r="D59" i="74"/>
  <c r="D30" i="75"/>
  <c r="D29" i="79"/>
  <c r="D57" i="66"/>
  <c r="D37" i="67"/>
  <c r="D28" i="11"/>
  <c r="D39" i="69"/>
  <c r="D30" i="69"/>
  <c r="D32" i="64"/>
  <c r="D32" i="70"/>
  <c r="D54" i="59"/>
  <c r="D38" i="73"/>
  <c r="D24" i="67"/>
  <c r="D36" i="68"/>
  <c r="D48" i="77"/>
  <c r="D57" i="68"/>
  <c r="D41" i="60"/>
  <c r="D46" i="76"/>
  <c r="D51" i="77"/>
  <c r="D23" i="67"/>
  <c r="D58" i="11"/>
  <c r="D52" i="67"/>
  <c r="D62" i="65"/>
  <c r="D60" i="60"/>
  <c r="D32" i="60"/>
  <c r="D44" i="74"/>
  <c r="D28" i="77"/>
  <c r="D66" i="73"/>
  <c r="D63" i="63"/>
  <c r="D55" i="73"/>
  <c r="D26" i="67"/>
  <c r="D26" i="71"/>
  <c r="D61" i="74"/>
  <c r="D24" i="65"/>
  <c r="D43" i="76"/>
  <c r="D37" i="79"/>
  <c r="D48" i="65"/>
  <c r="D36" i="61"/>
  <c r="D63" i="77"/>
  <c r="D44" i="69"/>
  <c r="D61" i="11"/>
  <c r="D63" i="74"/>
  <c r="D35" i="67"/>
  <c r="D34" i="64"/>
  <c r="D26" i="75"/>
  <c r="D32" i="68"/>
  <c r="D29" i="76"/>
  <c r="D65" i="74"/>
  <c r="D35" i="73"/>
  <c r="D56" i="76"/>
  <c r="D34" i="74"/>
  <c r="D49" i="75"/>
  <c r="D35" i="71"/>
  <c r="D28" i="63"/>
  <c r="D43" i="78"/>
  <c r="D25" i="74"/>
  <c r="D31" i="66"/>
  <c r="D33" i="65"/>
  <c r="D51" i="11"/>
  <c r="D54" i="73"/>
  <c r="D57" i="61"/>
  <c r="D37" i="70"/>
  <c r="D39" i="64"/>
  <c r="D41" i="75"/>
  <c r="D59" i="65"/>
  <c r="D60" i="62"/>
  <c r="D35" i="72"/>
  <c r="D24" i="66"/>
  <c r="D47" i="70"/>
  <c r="D48" i="61"/>
  <c r="D43" i="68"/>
  <c r="D33" i="73"/>
  <c r="D43" i="64"/>
  <c r="D27" i="65"/>
  <c r="D64" i="62"/>
  <c r="D23" i="79"/>
  <c r="D53" i="79"/>
  <c r="D50" i="60"/>
  <c r="D33" i="76"/>
  <c r="D35" i="11"/>
  <c r="D24" i="78"/>
  <c r="D46" i="67"/>
  <c r="D47" i="72"/>
  <c r="D34" i="78"/>
  <c r="D59" i="78"/>
  <c r="D40" i="60"/>
  <c r="D55" i="64"/>
  <c r="D36" i="77"/>
  <c r="D27" i="73"/>
  <c r="D41" i="71"/>
  <c r="D61" i="71"/>
  <c r="D32" i="65"/>
  <c r="D51" i="67"/>
  <c r="D63" i="66"/>
  <c r="D50" i="75"/>
  <c r="D25" i="71"/>
  <c r="D36" i="73"/>
  <c r="D61" i="68"/>
  <c r="D66" i="68"/>
  <c r="D44" i="65"/>
  <c r="D59" i="69"/>
  <c r="D23" i="66"/>
  <c r="D32" i="11"/>
  <c r="D53" i="75"/>
  <c r="D67" i="73"/>
  <c r="D38" i="67"/>
  <c r="D44" i="77"/>
  <c r="D48" i="75"/>
  <c r="D31" i="68"/>
  <c r="D41" i="64"/>
  <c r="D47" i="69"/>
  <c r="D57" i="70"/>
  <c r="D54" i="63"/>
  <c r="D51" i="79"/>
  <c r="D64" i="59"/>
  <c r="D65" i="67"/>
  <c r="D65" i="68"/>
  <c r="D57" i="72"/>
  <c r="D32" i="73"/>
  <c r="D56" i="63"/>
  <c r="D62" i="79"/>
  <c r="D47" i="67"/>
  <c r="D51" i="76"/>
  <c r="D35" i="78"/>
  <c r="D51" i="60"/>
  <c r="D26" i="62"/>
  <c r="D33" i="77"/>
  <c r="D32" i="75"/>
  <c r="D38" i="69"/>
  <c r="D64" i="72"/>
  <c r="D51" i="61"/>
  <c r="D38" i="11"/>
  <c r="D50" i="79"/>
  <c r="D52" i="70"/>
  <c r="D57" i="11"/>
  <c r="D45" i="71"/>
  <c r="D30" i="61"/>
  <c r="D51" i="65"/>
  <c r="D60" i="71"/>
  <c r="D35" i="77"/>
  <c r="D25" i="62"/>
  <c r="D29" i="63"/>
  <c r="D35" i="75"/>
  <c r="D29" i="60"/>
  <c r="D41" i="62"/>
  <c r="D65" i="78"/>
  <c r="D48" i="63"/>
  <c r="D60" i="67"/>
  <c r="D23" i="11"/>
  <c r="D65" i="77"/>
  <c r="D65" i="65"/>
  <c r="D66" i="70"/>
  <c r="D51" i="75"/>
  <c r="D62" i="60"/>
  <c r="D64" i="77"/>
  <c r="D28" i="60"/>
  <c r="D43" i="11"/>
  <c r="D39" i="11"/>
  <c r="D34" i="62"/>
  <c r="D36" i="60"/>
  <c r="D41" i="59"/>
  <c r="D24" i="71"/>
  <c r="D23" i="77"/>
  <c r="D43" i="73"/>
  <c r="D40" i="78"/>
  <c r="D57" i="78"/>
  <c r="D27" i="66"/>
  <c r="D34" i="77"/>
  <c r="D26" i="59"/>
  <c r="D55" i="78"/>
  <c r="D60" i="74"/>
  <c r="D57" i="79"/>
  <c r="D56" i="73"/>
  <c r="D61" i="64"/>
  <c r="D44" i="67"/>
  <c r="D54" i="68"/>
  <c r="D47" i="63"/>
  <c r="D25" i="60"/>
  <c r="D44" i="71"/>
  <c r="D49" i="63"/>
  <c r="D25" i="69"/>
  <c r="D56" i="59"/>
  <c r="D29" i="77"/>
  <c r="D51" i="62"/>
  <c r="D61" i="69"/>
  <c r="D43" i="75"/>
  <c r="D43" i="65"/>
  <c r="D53" i="64"/>
  <c r="D46" i="65"/>
  <c r="D62" i="73"/>
  <c r="D41" i="78"/>
  <c r="D30" i="59"/>
  <c r="D26" i="69"/>
  <c r="D61" i="63"/>
  <c r="D56" i="78"/>
  <c r="D57" i="69"/>
  <c r="D63" i="70"/>
  <c r="D37" i="69"/>
  <c r="D26" i="73"/>
  <c r="D64" i="65"/>
  <c r="D43" i="66"/>
  <c r="D45" i="60"/>
  <c r="D24" i="69"/>
  <c r="D64" i="76"/>
  <c r="D34" i="63"/>
  <c r="D50" i="62"/>
  <c r="D62" i="77"/>
  <c r="D38" i="65"/>
  <c r="D49" i="70"/>
  <c r="D38" i="60"/>
  <c r="D46" i="71"/>
  <c r="D38" i="62"/>
  <c r="D32" i="76"/>
  <c r="D61" i="72"/>
  <c r="D27" i="77"/>
  <c r="D32" i="77"/>
  <c r="D27" i="11"/>
  <c r="D60" i="63"/>
  <c r="D40" i="66"/>
  <c r="D59" i="77"/>
  <c r="D39" i="65"/>
  <c r="D50" i="76"/>
  <c r="D60" i="76"/>
  <c r="D38" i="72"/>
  <c r="D63" i="76"/>
  <c r="D34" i="70"/>
  <c r="D54" i="72"/>
  <c r="D47" i="77"/>
  <c r="D33" i="74"/>
  <c r="D51" i="71"/>
  <c r="D27" i="67"/>
  <c r="D52" i="72"/>
  <c r="D25" i="77"/>
  <c r="D36" i="64"/>
  <c r="D27" i="76"/>
  <c r="D55" i="67"/>
  <c r="D25" i="11"/>
  <c r="D29" i="68"/>
  <c r="D25" i="68"/>
  <c r="D44" i="11"/>
  <c r="D36" i="65"/>
  <c r="D43" i="70"/>
  <c r="D23" i="59"/>
  <c r="D63" i="71"/>
  <c r="D55" i="76"/>
  <c r="D43" i="69"/>
  <c r="D60" i="75"/>
  <c r="D26" i="72"/>
  <c r="D29" i="66"/>
  <c r="D27" i="70"/>
  <c r="D23" i="76"/>
  <c r="D34" i="68"/>
  <c r="D26" i="79"/>
  <c r="D38" i="70"/>
  <c r="D36" i="63"/>
  <c r="D49" i="11"/>
  <c r="D49" i="78"/>
  <c r="D60" i="79"/>
  <c r="D49" i="73"/>
  <c r="D44" i="66"/>
  <c r="D28" i="79"/>
  <c r="D60" i="66"/>
  <c r="D59" i="72"/>
  <c r="D44" i="75"/>
  <c r="D58" i="70"/>
  <c r="D61" i="61"/>
  <c r="D39" i="75"/>
  <c r="D50" i="70"/>
  <c r="D26" i="76"/>
  <c r="D51" i="68"/>
  <c r="D52" i="77"/>
  <c r="D45" i="78"/>
  <c r="D62" i="69"/>
  <c r="D30" i="79"/>
  <c r="D64" i="79"/>
  <c r="D54" i="74"/>
  <c r="D62" i="59"/>
  <c r="D46" i="75"/>
  <c r="D27" i="78"/>
  <c r="D35" i="76"/>
  <c r="D63" i="61"/>
  <c r="D45" i="77"/>
  <c r="D38" i="64"/>
  <c r="D55" i="77"/>
  <c r="D54" i="61"/>
  <c r="D48" i="11"/>
  <c r="D33" i="60"/>
  <c r="D27" i="79"/>
  <c r="D51" i="78"/>
  <c r="D44" i="76"/>
  <c r="D57" i="71"/>
  <c r="D50" i="11"/>
  <c r="D53" i="65"/>
  <c r="D64" i="68"/>
  <c r="D39" i="78"/>
  <c r="D45" i="65"/>
  <c r="D51" i="66"/>
  <c r="D51" i="69"/>
  <c r="D45" i="75"/>
  <c r="D53" i="71"/>
  <c r="D28" i="59"/>
  <c r="D37" i="74"/>
  <c r="D28" i="65"/>
  <c r="D63" i="62"/>
  <c r="D35" i="61"/>
  <c r="D60" i="78"/>
  <c r="D23" i="71"/>
  <c r="D48" i="59"/>
  <c r="D45" i="67"/>
  <c r="D33" i="59"/>
  <c r="D33" i="68"/>
  <c r="D64" i="64"/>
  <c r="D28" i="68"/>
  <c r="D41" i="72"/>
  <c r="D53" i="11"/>
  <c r="D56" i="66"/>
  <c r="D35" i="79"/>
  <c r="D40" i="70"/>
  <c r="D48" i="70"/>
  <c r="D66" i="59"/>
  <c r="D60" i="69"/>
  <c r="D33" i="67"/>
  <c r="D48" i="66"/>
  <c r="D48" i="78"/>
  <c r="D33" i="63"/>
  <c r="D32" i="62"/>
  <c r="D63" i="78"/>
  <c r="D66" i="61"/>
  <c r="D36" i="78"/>
  <c r="D41" i="69"/>
  <c r="D38" i="78"/>
  <c r="D37" i="75"/>
  <c r="D34" i="66"/>
  <c r="D49" i="59"/>
  <c r="D52" i="62"/>
  <c r="D52" i="59"/>
  <c r="D44" i="63"/>
  <c r="D37" i="64"/>
  <c r="D34" i="69"/>
  <c r="D55" i="72"/>
  <c r="D24" i="70"/>
  <c r="D26" i="70"/>
  <c r="D37" i="60"/>
  <c r="D52" i="63"/>
  <c r="D67" i="64"/>
  <c r="D34" i="11"/>
  <c r="D26" i="78"/>
  <c r="D62" i="63"/>
  <c r="D51" i="70"/>
  <c r="D45" i="69"/>
  <c r="D64" i="69"/>
  <c r="D40" i="11"/>
  <c r="D50" i="64"/>
  <c r="D57" i="77"/>
  <c r="D62" i="76"/>
  <c r="D31" i="76"/>
  <c r="D23" i="63"/>
  <c r="D49" i="61"/>
  <c r="D31" i="77"/>
  <c r="D50" i="63"/>
  <c r="D56" i="75"/>
  <c r="D61" i="77"/>
  <c r="D29" i="78"/>
  <c r="D56" i="77"/>
  <c r="D27" i="59"/>
  <c r="D47" i="11"/>
  <c r="D56" i="64"/>
  <c r="D64" i="70"/>
  <c r="D66" i="62"/>
  <c r="D44" i="72"/>
  <c r="D43" i="72"/>
  <c r="D34" i="71"/>
  <c r="D57" i="74"/>
  <c r="D32" i="79"/>
  <c r="D59" i="71"/>
  <c r="D35" i="68"/>
  <c r="D44" i="64"/>
  <c r="D27" i="60"/>
  <c r="D61" i="75"/>
  <c r="D47" i="76"/>
  <c r="D37" i="77"/>
  <c r="D26" i="68"/>
  <c r="D59" i="75"/>
  <c r="D58" i="69"/>
  <c r="D31" i="75"/>
  <c r="D50" i="77"/>
  <c r="D30" i="63"/>
  <c r="D31" i="73"/>
  <c r="D62" i="71"/>
  <c r="D44" i="62"/>
  <c r="D44" i="79"/>
  <c r="D33" i="64"/>
  <c r="D32" i="67"/>
  <c r="D43" i="60"/>
  <c r="D51" i="63"/>
  <c r="D37" i="71"/>
  <c r="D48" i="64"/>
  <c r="D29" i="70"/>
  <c r="D57" i="59"/>
  <c r="D67" i="68"/>
  <c r="D65" i="11"/>
  <c r="D26" i="60"/>
  <c r="D62" i="62"/>
  <c r="D24" i="74"/>
  <c r="D36" i="72"/>
  <c r="D25" i="65"/>
  <c r="D40" i="62"/>
  <c r="D44" i="70"/>
  <c r="D49" i="79"/>
  <c r="D47" i="79"/>
  <c r="D59" i="60"/>
  <c r="D31" i="67"/>
  <c r="D49" i="60"/>
  <c r="D33" i="62"/>
  <c r="D36" i="62"/>
  <c r="D23" i="64"/>
  <c r="D26" i="74"/>
  <c r="D58" i="67"/>
  <c r="D60" i="70"/>
  <c r="D38" i="75"/>
  <c r="D26" i="63"/>
  <c r="D49" i="62"/>
  <c r="D51" i="73"/>
  <c r="D39" i="76"/>
  <c r="D50" i="68"/>
  <c r="D50" i="59"/>
  <c r="D39" i="79"/>
  <c r="D65" i="59"/>
  <c r="D53" i="66"/>
  <c r="D24" i="11"/>
  <c r="D30" i="73"/>
  <c r="D66" i="11"/>
  <c r="D45" i="76"/>
  <c r="D53" i="67"/>
  <c r="D41" i="65"/>
  <c r="D28" i="69"/>
  <c r="D65" i="66"/>
  <c r="D59" i="66"/>
  <c r="D34" i="73"/>
  <c r="D32" i="69"/>
  <c r="D30" i="77"/>
  <c r="D50" i="67"/>
  <c r="D29" i="69"/>
  <c r="D23" i="74"/>
  <c r="D62" i="11"/>
  <c r="D31" i="65"/>
  <c r="D35" i="59"/>
  <c r="D45" i="79"/>
  <c r="D56" i="67"/>
  <c r="D23" i="68"/>
  <c r="D31" i="60"/>
  <c r="D63" i="67"/>
  <c r="D53" i="72"/>
  <c r="D65" i="60"/>
  <c r="D36" i="74"/>
  <c r="D38" i="63"/>
  <c r="D24" i="62"/>
  <c r="D46" i="78"/>
  <c r="D31" i="70"/>
  <c r="D39" i="77"/>
  <c r="D26" i="61"/>
  <c r="D62" i="75"/>
  <c r="D47" i="65"/>
  <c r="D35" i="74"/>
  <c r="D28" i="62"/>
  <c r="D31" i="72"/>
  <c r="D39" i="59"/>
  <c r="D59" i="68"/>
  <c r="D23" i="72"/>
  <c r="D34" i="79"/>
  <c r="D49" i="72"/>
  <c r="D61" i="79"/>
  <c r="D46" i="69"/>
  <c r="D28" i="70"/>
  <c r="D43" i="77"/>
  <c r="D60" i="59"/>
  <c r="D45" i="61"/>
  <c r="D50" i="61"/>
  <c r="D27" i="62"/>
  <c r="D23" i="69"/>
  <c r="D25" i="67"/>
  <c r="D24" i="60"/>
  <c r="D37" i="62"/>
  <c r="D49" i="67"/>
  <c r="D48" i="68"/>
  <c r="D29" i="59"/>
  <c r="D37" i="61"/>
  <c r="D40" i="67"/>
  <c r="D24" i="75"/>
  <c r="D45" i="62"/>
  <c r="D33" i="70"/>
  <c r="D35" i="70"/>
  <c r="D56" i="62"/>
  <c r="D37" i="59"/>
  <c r="D23" i="60"/>
  <c r="D40" i="69"/>
  <c r="D23" i="61"/>
  <c r="D57" i="67"/>
  <c r="D64" i="63"/>
  <c r="D28" i="75"/>
  <c r="D54" i="64"/>
  <c r="D37" i="63"/>
  <c r="D52" i="64"/>
  <c r="D48" i="69"/>
  <c r="D63" i="60"/>
  <c r="D47" i="64"/>
  <c r="D30" i="60"/>
  <c r="D44" i="68"/>
  <c r="D52" i="60"/>
  <c r="D32" i="78"/>
  <c r="D25" i="75"/>
  <c r="D60" i="65"/>
  <c r="D28" i="78"/>
  <c r="D47" i="68"/>
  <c r="D30" i="71"/>
  <c r="D41" i="74"/>
  <c r="D60" i="68"/>
  <c r="D57" i="62"/>
  <c r="D58" i="79"/>
  <c r="D53" i="68"/>
  <c r="D33" i="78"/>
  <c r="D45" i="11"/>
  <c r="D50" i="71"/>
  <c r="D47" i="75"/>
  <c r="D29" i="64"/>
  <c r="D33" i="11"/>
  <c r="D36" i="66"/>
  <c r="D38" i="61"/>
  <c r="D49" i="76"/>
  <c r="D48" i="60"/>
  <c r="D25" i="78"/>
  <c r="D53" i="74"/>
  <c r="D59" i="76"/>
  <c r="D47" i="74"/>
  <c r="D48" i="67"/>
  <c r="D26" i="77"/>
  <c r="D53" i="61"/>
  <c r="D53" i="70"/>
  <c r="D51" i="59"/>
  <c r="D52" i="11"/>
  <c r="D29" i="62"/>
  <c r="D25" i="66"/>
  <c r="D64" i="71"/>
  <c r="D40" i="72"/>
  <c r="D34" i="65"/>
  <c r="D30" i="74"/>
  <c r="D50" i="72"/>
  <c r="D35" i="63"/>
  <c r="D52" i="75"/>
  <c r="D54" i="11"/>
  <c r="D64" i="67"/>
  <c r="D25" i="61"/>
  <c r="D26" i="11"/>
  <c r="D33" i="61"/>
  <c r="D58" i="74"/>
  <c r="D41" i="11"/>
  <c r="D28" i="71"/>
  <c r="D63" i="69"/>
  <c r="D50" i="78"/>
  <c r="D66" i="74"/>
  <c r="D34" i="75"/>
  <c r="D38" i="68"/>
  <c r="D36" i="75"/>
  <c r="D49" i="74"/>
  <c r="D64" i="61"/>
  <c r="D52" i="71"/>
  <c r="D60" i="72"/>
  <c r="D64" i="74"/>
  <c r="D38" i="71"/>
  <c r="D48" i="71"/>
  <c r="D25" i="79"/>
  <c r="D30" i="67"/>
  <c r="D26" i="66"/>
  <c r="D41" i="68"/>
  <c r="D57" i="73"/>
  <c r="D30" i="62"/>
  <c r="D29" i="72"/>
  <c r="D29" i="65"/>
  <c r="D36" i="11"/>
  <c r="D39" i="63"/>
  <c r="D47" i="61"/>
  <c r="D35" i="69"/>
  <c r="D43" i="59"/>
  <c r="D27" i="68"/>
  <c r="D54" i="70"/>
  <c r="D52" i="79"/>
  <c r="D64" i="11"/>
  <c r="D40" i="64"/>
  <c r="D39" i="72"/>
  <c r="D39" i="62"/>
  <c r="D43" i="62"/>
  <c r="D34" i="60"/>
  <c r="D54" i="62"/>
  <c r="D46" i="66"/>
  <c r="D61" i="59"/>
  <c r="D66" i="79"/>
  <c r="D35" i="62"/>
  <c r="D53" i="76"/>
  <c r="D63" i="59"/>
  <c r="D28" i="66"/>
  <c r="D52" i="69"/>
  <c r="D53" i="59"/>
  <c r="D43" i="74"/>
  <c r="D35" i="65"/>
  <c r="D53" i="60"/>
  <c r="D29" i="74"/>
  <c r="D41" i="66"/>
  <c r="D41" i="63"/>
  <c r="D65" i="61"/>
  <c r="D31" i="69"/>
  <c r="D30" i="76"/>
  <c r="D61" i="65"/>
  <c r="D23" i="75"/>
  <c r="D38" i="79"/>
  <c r="D34" i="59"/>
  <c r="D27" i="74"/>
  <c r="D66" i="63"/>
  <c r="D48" i="79"/>
  <c r="D46" i="77"/>
  <c r="D28" i="64"/>
  <c r="D38" i="59"/>
  <c r="D29" i="61"/>
  <c r="D53" i="62"/>
  <c r="D52" i="68"/>
  <c r="D60" i="61"/>
  <c r="D44" i="60"/>
  <c r="D39" i="60"/>
  <c r="D44" i="73"/>
  <c r="D26" i="64"/>
  <c r="D63" i="75"/>
  <c r="D40" i="68"/>
  <c r="D60" i="64"/>
  <c r="D62" i="61"/>
  <c r="D63" i="68"/>
  <c r="D65" i="73"/>
  <c r="D23" i="62"/>
  <c r="D62" i="78"/>
  <c r="D61" i="62"/>
  <c r="D55" i="69"/>
  <c r="D43" i="79"/>
  <c r="D30" i="64"/>
  <c r="D55" i="63"/>
  <c r="D45" i="63"/>
  <c r="D40" i="74"/>
  <c r="D33" i="79"/>
  <c r="D65" i="62"/>
  <c r="D38" i="76"/>
  <c r="D27" i="75"/>
  <c r="D29" i="11"/>
  <c r="D62" i="70"/>
  <c r="D40" i="71"/>
  <c r="D35" i="64"/>
  <c r="D63" i="72"/>
  <c r="D23" i="70"/>
  <c r="D52" i="65"/>
  <c r="D45" i="72"/>
  <c r="D45" i="74"/>
  <c r="D37" i="76"/>
  <c r="D47" i="73"/>
  <c r="D61" i="66"/>
  <c r="D31" i="78"/>
  <c r="D27" i="64"/>
  <c r="D32" i="61"/>
  <c r="D28" i="72"/>
  <c r="D61" i="70"/>
  <c r="D66" i="64"/>
  <c r="D30" i="70"/>
  <c r="D57" i="75"/>
  <c r="D52" i="73"/>
  <c r="D38" i="77"/>
  <c r="D40" i="77"/>
  <c r="D39" i="70"/>
  <c r="D65" i="72"/>
  <c r="D55" i="60"/>
  <c r="D25" i="70"/>
  <c r="D38" i="74"/>
  <c r="D35" i="60"/>
  <c r="D39" i="67"/>
  <c r="D29" i="67"/>
  <c r="D59" i="62"/>
  <c r="D33" i="69"/>
  <c r="D37" i="73"/>
  <c r="D57" i="60"/>
  <c r="D45" i="70"/>
  <c r="D63" i="79"/>
  <c r="D48" i="74"/>
  <c r="D43" i="61"/>
  <c r="D41" i="76"/>
  <c r="D64" i="66"/>
  <c r="D37" i="11"/>
  <c r="D41" i="79"/>
  <c r="D65" i="71"/>
  <c r="D27" i="71"/>
  <c r="D53" i="63"/>
  <c r="D64" i="60"/>
  <c r="D31" i="61"/>
  <c r="D36" i="71"/>
  <c r="D49" i="66"/>
  <c r="D45" i="73"/>
  <c r="D32" i="63"/>
  <c r="D31" i="62"/>
  <c r="D24" i="79"/>
  <c r="D34" i="61"/>
  <c r="D58" i="66"/>
  <c r="D63" i="64"/>
  <c r="D36" i="76"/>
  <c r="D36" i="70"/>
  <c r="D31" i="63"/>
  <c r="D52" i="76"/>
  <c r="D45" i="68"/>
  <c r="D28" i="61"/>
  <c r="D47" i="59"/>
  <c r="D32" i="71"/>
  <c r="D62" i="67"/>
  <c r="D55" i="59"/>
  <c r="D52" i="74"/>
  <c r="D64" i="78"/>
  <c r="D58" i="62"/>
  <c r="D52" i="78"/>
  <c r="D29" i="75"/>
  <c r="D56" i="65"/>
  <c r="D34" i="76"/>
  <c r="D23" i="73"/>
  <c r="D58" i="61"/>
  <c r="D65" i="64"/>
  <c r="D41" i="77"/>
  <c r="D64" i="73"/>
  <c r="D56" i="71"/>
  <c r="D49" i="69"/>
  <c r="D56" i="69"/>
  <c r="D27" i="69"/>
  <c r="D41" i="67"/>
  <c r="D43" i="67"/>
  <c r="D57" i="63"/>
  <c r="D61" i="73"/>
  <c r="D23" i="65"/>
  <c r="D40" i="76"/>
  <c r="D36" i="59"/>
  <c r="D43" i="71"/>
  <c r="D34" i="67"/>
  <c r="D33" i="71"/>
  <c r="D63" i="11"/>
  <c r="D65" i="79"/>
  <c r="D28" i="73"/>
  <c r="D41" i="70"/>
  <c r="D54" i="76"/>
  <c r="D65" i="76"/>
  <c r="D23" i="78"/>
  <c r="D40" i="59"/>
  <c r="D64" i="75"/>
  <c r="D58" i="65"/>
  <c r="D51" i="72"/>
  <c r="D48" i="76"/>
  <c r="D40" i="65"/>
  <c r="D50" i="69"/>
  <c r="D65" i="69"/>
  <c r="D31" i="64"/>
  <c r="D31" i="79"/>
  <c r="D58" i="77"/>
  <c r="D41" i="61"/>
  <c r="D27" i="63"/>
  <c r="D27" i="61"/>
  <c r="D28" i="76"/>
  <c r="D45" i="64"/>
  <c r="D33" i="75"/>
  <c r="D61" i="78"/>
  <c r="D24" i="77"/>
  <c r="D50" i="74"/>
  <c r="D59" i="67"/>
  <c r="D57" i="64"/>
  <c r="D49" i="65"/>
  <c r="D39" i="61"/>
  <c r="D62" i="72"/>
  <c r="D59" i="79"/>
  <c r="D40" i="75"/>
  <c r="D31" i="74"/>
  <c r="D47" i="78"/>
  <c r="D52" i="66"/>
  <c r="D36" i="69"/>
  <c r="D26" i="65"/>
  <c r="D37" i="72"/>
  <c r="D38" i="66"/>
  <c r="D52" i="61"/>
  <c r="D34" i="72"/>
  <c r="D62" i="68"/>
  <c r="D49" i="68"/>
  <c r="D49" i="64"/>
  <c r="D47" i="66"/>
  <c r="D39" i="74"/>
  <c r="D39" i="66"/>
  <c r="D48" i="72"/>
  <c r="D47" i="60"/>
  <c r="D29" i="73"/>
  <c r="D65" i="70"/>
  <c r="D54" i="79"/>
  <c r="D49" i="77"/>
  <c r="D62" i="66"/>
  <c r="D37" i="68"/>
  <c r="D50" i="66"/>
  <c r="D24" i="61"/>
  <c r="D32" i="72"/>
  <c r="D60" i="11"/>
  <c r="D27" i="72"/>
  <c r="D28" i="74"/>
  <c r="D40" i="79"/>
  <c r="D37" i="66"/>
  <c r="D61" i="67"/>
  <c r="D44" i="59"/>
  <c r="D37" i="65"/>
  <c r="D39" i="68"/>
  <c r="D66" i="60"/>
  <c r="D62" i="74"/>
  <c r="D65" i="63"/>
  <c r="D65" i="75"/>
  <c r="D35" i="66"/>
  <c r="D49" i="71"/>
  <c r="D31" i="59"/>
  <c r="E392" i="33"/>
  <c r="G211" i="33"/>
  <c r="H173" i="33"/>
  <c r="G362" i="33"/>
  <c r="I362" i="33" s="1"/>
  <c r="G86" i="33"/>
  <c r="I86" i="33" s="1"/>
  <c r="I122" i="35"/>
  <c r="J122" i="35" s="1"/>
  <c r="H163" i="33"/>
  <c r="F274" i="33"/>
  <c r="G463" i="33"/>
  <c r="I463" i="33" s="1"/>
  <c r="G295" i="33"/>
  <c r="N92" i="35"/>
  <c r="H131" i="33"/>
  <c r="E294" i="33"/>
  <c r="G151" i="33"/>
  <c r="E49" i="33"/>
  <c r="H248" i="33"/>
  <c r="F207" i="33"/>
  <c r="F356" i="33"/>
  <c r="H402" i="33"/>
  <c r="F131" i="33"/>
  <c r="G41" i="33"/>
  <c r="G271" i="33"/>
  <c r="I271" i="33" s="1"/>
  <c r="H158" i="33"/>
  <c r="F343" i="33"/>
  <c r="F363" i="33"/>
  <c r="F299" i="33"/>
  <c r="N174" i="35"/>
  <c r="F462" i="33"/>
  <c r="G43" i="33"/>
  <c r="E56" i="35"/>
  <c r="H123" i="33"/>
  <c r="H127" i="33"/>
  <c r="E158" i="33"/>
  <c r="G448" i="33"/>
  <c r="I448" i="33" s="1"/>
  <c r="F396" i="33"/>
  <c r="G159" i="35"/>
  <c r="H159" i="35" s="1"/>
  <c r="H269" i="33"/>
  <c r="N95" i="35"/>
  <c r="H375" i="33"/>
  <c r="H234" i="33"/>
  <c r="H267" i="33"/>
  <c r="N123" i="35"/>
  <c r="F53" i="33"/>
  <c r="F263" i="33"/>
  <c r="E207" i="33"/>
  <c r="N86" i="35"/>
  <c r="H102" i="57"/>
  <c r="H103" i="57" s="1"/>
  <c r="G451" i="33"/>
  <c r="I451" i="33" s="1"/>
  <c r="F184" i="33"/>
  <c r="H59" i="33"/>
  <c r="H112" i="33"/>
  <c r="E298" i="33"/>
  <c r="E93" i="33"/>
  <c r="G204" i="33"/>
  <c r="G297" i="33"/>
  <c r="H227" i="33"/>
  <c r="H235" i="33"/>
  <c r="G313" i="33"/>
  <c r="L121" i="35"/>
  <c r="H87" i="58"/>
  <c r="H88" i="58" s="1"/>
  <c r="E275" i="33"/>
  <c r="G393" i="33"/>
  <c r="E68" i="35"/>
  <c r="I176" i="35"/>
  <c r="N59" i="35"/>
  <c r="G389" i="33"/>
  <c r="H392" i="33"/>
  <c r="G256" i="33"/>
  <c r="I56" i="35"/>
  <c r="H95" i="33"/>
  <c r="H150" i="33"/>
  <c r="G152" i="33"/>
  <c r="F112" i="58"/>
  <c r="F113" i="58" s="1"/>
  <c r="N148" i="35"/>
  <c r="E38" i="57"/>
  <c r="N113" i="35"/>
  <c r="E282" i="33"/>
  <c r="G302" i="33"/>
  <c r="E404" i="33"/>
  <c r="F391" i="33"/>
  <c r="E101" i="33"/>
  <c r="G455" i="33"/>
  <c r="L48" i="35"/>
  <c r="H335" i="33"/>
  <c r="G167" i="35"/>
  <c r="E108" i="33"/>
  <c r="L85" i="35"/>
  <c r="H200" i="33"/>
  <c r="G123" i="35"/>
  <c r="H123" i="35" s="1"/>
  <c r="E111" i="35"/>
  <c r="H199" i="33"/>
  <c r="G265" i="33"/>
  <c r="I265" i="33" s="1"/>
  <c r="J24" i="28"/>
  <c r="AB24" i="28"/>
  <c r="E23" i="28"/>
  <c r="AV24" i="28"/>
  <c r="V23" i="28"/>
  <c r="BP24" i="28"/>
  <c r="BL22" i="28"/>
  <c r="AS22" i="28"/>
  <c r="W24" i="28"/>
  <c r="AO22" i="28"/>
  <c r="BU24" i="28"/>
  <c r="M23" i="28"/>
  <c r="U24" i="28"/>
  <c r="BG23" i="28"/>
  <c r="L22" i="28"/>
  <c r="BG22" i="28"/>
  <c r="G24" i="28"/>
  <c r="AD24" i="28"/>
  <c r="AJ24" i="28"/>
  <c r="AW23" i="28"/>
  <c r="Z22" i="28"/>
  <c r="AN23" i="28"/>
  <c r="AQ22" i="28"/>
  <c r="AY23" i="28"/>
  <c r="AU22" i="28"/>
  <c r="AE24" i="28"/>
  <c r="AZ24" i="28"/>
  <c r="BA22" i="28"/>
  <c r="AH23" i="28"/>
  <c r="O23" i="28"/>
  <c r="BB23" i="28"/>
  <c r="AP23" i="28"/>
  <c r="BK23" i="28"/>
  <c r="K22" i="28"/>
  <c r="G23" i="28"/>
  <c r="BN24" i="28"/>
  <c r="AA22" i="28"/>
  <c r="B22" i="28"/>
  <c r="AV23" i="28"/>
  <c r="BA23" i="28"/>
  <c r="L23" i="28"/>
  <c r="AZ22" i="28"/>
  <c r="AJ22" i="28"/>
  <c r="AM22" i="28"/>
  <c r="BR22" i="28"/>
  <c r="AA24" i="28"/>
  <c r="T22" i="28"/>
  <c r="AR22" i="28"/>
  <c r="BC23" i="28"/>
  <c r="BT24" i="28"/>
  <c r="S22" i="28"/>
  <c r="AB22" i="28"/>
  <c r="AY22" i="28"/>
  <c r="BL23" i="28"/>
  <c r="AE22" i="28"/>
  <c r="AH22" i="28"/>
  <c r="AX24" i="28"/>
  <c r="BG24" i="28"/>
  <c r="AX22" i="28"/>
  <c r="B24" i="28"/>
  <c r="AT22" i="28"/>
  <c r="BB24" i="28"/>
  <c r="O24" i="28"/>
  <c r="AX23" i="28"/>
  <c r="AR24" i="28"/>
  <c r="C24" i="28"/>
  <c r="AL24" i="28"/>
  <c r="AG24" i="28"/>
  <c r="AS24" i="28"/>
  <c r="BS22" i="28"/>
  <c r="R22" i="28"/>
  <c r="AD22" i="28"/>
  <c r="AA23" i="28"/>
  <c r="S24" i="28"/>
  <c r="BI22" i="28"/>
  <c r="O22" i="28"/>
  <c r="AV22" i="28"/>
  <c r="BD22" i="28"/>
  <c r="BU23" i="28"/>
  <c r="BC24" i="28"/>
  <c r="BE24" i="28"/>
  <c r="F24" i="28"/>
  <c r="AK23" i="28"/>
  <c r="BN23" i="28"/>
  <c r="H24" i="28"/>
  <c r="BF22" i="28"/>
  <c r="BO23" i="28"/>
  <c r="N22" i="28"/>
  <c r="K23" i="28"/>
  <c r="BS24" i="28"/>
  <c r="U22" i="28"/>
  <c r="W23" i="28"/>
  <c r="AO24" i="28"/>
  <c r="AQ24" i="28"/>
  <c r="AL23" i="28"/>
  <c r="Z24" i="28"/>
  <c r="BF24" i="28"/>
  <c r="AK22" i="28"/>
  <c r="AH24" i="28"/>
  <c r="AC24" i="28"/>
  <c r="BP22" i="28"/>
  <c r="BK24" i="28"/>
  <c r="BH22" i="28"/>
  <c r="BM24" i="28"/>
  <c r="B23" i="28"/>
  <c r="V22" i="28"/>
  <c r="AY24" i="28"/>
  <c r="I24" i="28"/>
  <c r="AO23" i="28"/>
  <c r="BD23" i="28"/>
  <c r="AU23" i="28"/>
  <c r="BT23" i="28"/>
  <c r="BN22" i="28"/>
  <c r="AK24" i="28"/>
  <c r="X22" i="28"/>
  <c r="G22" i="28"/>
  <c r="D24" i="28"/>
  <c r="Z23" i="28"/>
  <c r="P24" i="28"/>
  <c r="BL24" i="28"/>
  <c r="BO24" i="28"/>
  <c r="AF23" i="28"/>
  <c r="I23" i="28"/>
  <c r="BC22" i="28"/>
  <c r="H23" i="28"/>
  <c r="AL22" i="28"/>
  <c r="M24" i="28"/>
  <c r="D22" i="28"/>
  <c r="S23" i="28"/>
  <c r="BK22" i="28"/>
  <c r="X23" i="28"/>
  <c r="AT23" i="28"/>
  <c r="BU22" i="28"/>
  <c r="AJ23" i="28"/>
  <c r="AM24" i="28"/>
  <c r="BR23" i="28"/>
  <c r="BD24" i="28"/>
  <c r="BI24" i="28"/>
  <c r="AN22" i="28"/>
  <c r="P23" i="28"/>
  <c r="AU24" i="28"/>
  <c r="M22" i="28"/>
  <c r="AI23" i="28"/>
  <c r="R23" i="28"/>
  <c r="J22" i="28"/>
  <c r="BH23" i="28"/>
  <c r="AD23" i="28"/>
  <c r="I22" i="28"/>
  <c r="AS23" i="28"/>
  <c r="AR23" i="28"/>
  <c r="BQ22" i="28"/>
  <c r="F22" i="28"/>
  <c r="AF22" i="28"/>
  <c r="BO22" i="28"/>
  <c r="P22" i="28"/>
  <c r="N23" i="28"/>
  <c r="T24" i="28"/>
  <c r="BM23" i="28"/>
  <c r="F23" i="28"/>
  <c r="E24" i="28"/>
  <c r="BE22" i="28"/>
  <c r="AP22" i="28"/>
  <c r="BJ22" i="28"/>
  <c r="BQ23" i="28"/>
  <c r="D23" i="28"/>
  <c r="AN24" i="28"/>
  <c r="C23" i="28"/>
  <c r="J23" i="28"/>
  <c r="Q22" i="28"/>
  <c r="Y24" i="28"/>
  <c r="W22" i="28"/>
  <c r="Y22" i="28"/>
  <c r="BE23" i="28"/>
  <c r="BJ24" i="28"/>
  <c r="AF24" i="28"/>
  <c r="C22" i="28"/>
  <c r="AZ23" i="28"/>
  <c r="AI22" i="28"/>
  <c r="K24" i="28"/>
  <c r="BM22" i="28"/>
  <c r="AW24" i="28"/>
  <c r="AT24" i="28"/>
  <c r="Y23" i="28"/>
  <c r="V24" i="28"/>
  <c r="BS23" i="28"/>
  <c r="BR24" i="28"/>
  <c r="T23" i="28"/>
  <c r="R24" i="28"/>
  <c r="BB22" i="28"/>
  <c r="H22" i="28"/>
  <c r="Q23" i="28"/>
  <c r="AG23" i="28"/>
  <c r="E22" i="28"/>
  <c r="BP23" i="28"/>
  <c r="N24" i="28"/>
  <c r="BJ23" i="28"/>
  <c r="AC22" i="28"/>
  <c r="AE23" i="28"/>
  <c r="L24" i="28"/>
  <c r="BT22" i="28"/>
  <c r="BH24" i="28"/>
  <c r="U23" i="28"/>
  <c r="AQ23" i="28"/>
  <c r="AI24" i="28"/>
  <c r="X24" i="28"/>
  <c r="BI23" i="28"/>
  <c r="BA24" i="28"/>
  <c r="AG22" i="28"/>
  <c r="Q24" i="28"/>
  <c r="AW22" i="28"/>
  <c r="AB23" i="28"/>
  <c r="AP24" i="28"/>
  <c r="AC23" i="28"/>
  <c r="BQ24" i="28"/>
  <c r="AM23" i="28"/>
  <c r="BF23" i="28"/>
  <c r="E423" i="33"/>
  <c r="E67" i="35"/>
  <c r="G430" i="33"/>
  <c r="G244" i="33"/>
  <c r="H361" i="33"/>
  <c r="H253" i="33"/>
  <c r="P146" i="35"/>
  <c r="H314" i="33"/>
  <c r="H214" i="33"/>
  <c r="G37" i="57"/>
  <c r="I186" i="35"/>
  <c r="J186" i="35" s="1"/>
  <c r="G215" i="33"/>
  <c r="I215" i="33" s="1"/>
  <c r="G157" i="33"/>
  <c r="P86" i="35"/>
  <c r="H73" i="33"/>
  <c r="E130" i="35"/>
  <c r="E449" i="33"/>
  <c r="H389" i="33"/>
  <c r="H272" i="33"/>
  <c r="N74" i="35"/>
  <c r="G429" i="33"/>
  <c r="E146" i="35"/>
  <c r="E119" i="35"/>
  <c r="M8" i="28"/>
  <c r="N9" i="28"/>
  <c r="BO7" i="28"/>
  <c r="D8" i="28"/>
  <c r="BG9" i="28"/>
  <c r="BE7" i="28"/>
  <c r="AN7" i="28"/>
  <c r="BU9" i="28"/>
  <c r="AO9" i="28"/>
  <c r="P9" i="28"/>
  <c r="U9" i="28"/>
  <c r="BH8" i="28"/>
  <c r="BP8" i="28"/>
  <c r="BS8" i="28"/>
  <c r="G9" i="28"/>
  <c r="BJ7" i="28"/>
  <c r="R7" i="28"/>
  <c r="AH8" i="28"/>
  <c r="F9" i="28"/>
  <c r="BR7" i="28"/>
  <c r="BM7" i="28"/>
  <c r="AB8" i="28"/>
  <c r="BB8" i="28"/>
  <c r="AV7" i="28"/>
  <c r="BI8" i="28"/>
  <c r="BN9" i="28"/>
  <c r="AX8" i="28"/>
  <c r="BH7" i="28"/>
  <c r="AS9" i="28"/>
  <c r="AP7" i="28"/>
  <c r="N8" i="28"/>
  <c r="P8" i="28"/>
  <c r="X9" i="28"/>
  <c r="P7" i="28"/>
  <c r="AW7" i="28"/>
  <c r="O7" i="28"/>
  <c r="AL8" i="28"/>
  <c r="BK9" i="28"/>
  <c r="BN8" i="28"/>
  <c r="AA7" i="28"/>
  <c r="J9" i="28"/>
  <c r="AL7" i="28"/>
  <c r="BT9" i="28"/>
  <c r="AM7" i="28"/>
  <c r="E9" i="28"/>
  <c r="BG8" i="28"/>
  <c r="AU7" i="28"/>
  <c r="G8" i="28"/>
  <c r="AQ9" i="28"/>
  <c r="AO7" i="28"/>
  <c r="K7" i="28"/>
  <c r="AC9" i="28"/>
  <c r="R8" i="28"/>
  <c r="C9" i="28"/>
  <c r="W9" i="28"/>
  <c r="BN7" i="28"/>
  <c r="BI9" i="28"/>
  <c r="AX7" i="28"/>
  <c r="AF7" i="28"/>
  <c r="AP8" i="28"/>
  <c r="AR8" i="28"/>
  <c r="AN8" i="28"/>
  <c r="AE9" i="28"/>
  <c r="AU8" i="28"/>
  <c r="B7" i="28"/>
  <c r="K9" i="28"/>
  <c r="BI7" i="28"/>
  <c r="V7" i="28"/>
  <c r="AT8" i="28"/>
  <c r="Y7" i="28"/>
  <c r="Z9" i="28"/>
  <c r="AX9" i="28"/>
  <c r="BF7" i="28"/>
  <c r="BO9" i="28"/>
  <c r="AN9" i="28"/>
  <c r="BC9" i="28"/>
  <c r="BQ8" i="28"/>
  <c r="BP9" i="28"/>
  <c r="BL8" i="28"/>
  <c r="AG9" i="28"/>
  <c r="AK9" i="28"/>
  <c r="AP9" i="28"/>
  <c r="AD9" i="28"/>
  <c r="N7" i="28"/>
  <c r="E8" i="28"/>
  <c r="R9" i="28"/>
  <c r="BC8" i="28"/>
  <c r="BA9" i="28"/>
  <c r="AG7" i="28"/>
  <c r="BT7" i="28"/>
  <c r="V9" i="28"/>
  <c r="BO8" i="28"/>
  <c r="I8" i="28"/>
  <c r="AJ9" i="28"/>
  <c r="O9" i="28"/>
  <c r="AK7" i="28"/>
  <c r="S8" i="28"/>
  <c r="BS9" i="28"/>
  <c r="BA8" i="28"/>
  <c r="Z7" i="28"/>
  <c r="S9" i="28"/>
  <c r="Q7" i="28"/>
  <c r="BK8" i="28"/>
  <c r="AR7" i="28"/>
  <c r="AC8" i="28"/>
  <c r="AE8" i="28"/>
  <c r="BD8" i="28"/>
  <c r="AY8" i="28"/>
  <c r="W7" i="28"/>
  <c r="BU7" i="28"/>
  <c r="AE7" i="28"/>
  <c r="AZ7" i="28"/>
  <c r="C7" i="28"/>
  <c r="BH9" i="28"/>
  <c r="L9" i="28"/>
  <c r="B8" i="28"/>
  <c r="AF8" i="28"/>
  <c r="Y8" i="28"/>
  <c r="BF8" i="28"/>
  <c r="I9" i="28"/>
  <c r="O8" i="28"/>
  <c r="AR9" i="28"/>
  <c r="S7" i="28"/>
  <c r="AK8" i="28"/>
  <c r="BB9" i="28"/>
  <c r="L7" i="28"/>
  <c r="F8" i="28"/>
  <c r="BR9" i="28"/>
  <c r="BJ9" i="28"/>
  <c r="AV8" i="28"/>
  <c r="AZ8" i="28"/>
  <c r="AJ8" i="28"/>
  <c r="M7" i="28"/>
  <c r="BR8" i="28"/>
  <c r="AO8" i="28"/>
  <c r="Z8" i="28"/>
  <c r="BE8" i="28"/>
  <c r="AD7" i="28"/>
  <c r="BU8" i="28"/>
  <c r="AY9" i="28"/>
  <c r="Y9" i="28"/>
  <c r="BQ7" i="28"/>
  <c r="BM9" i="28"/>
  <c r="BA7" i="28"/>
  <c r="X8" i="28"/>
  <c r="AI9" i="28"/>
  <c r="H9" i="28"/>
  <c r="AC7" i="28"/>
  <c r="AU9" i="28"/>
  <c r="B9" i="28"/>
  <c r="G7" i="28"/>
  <c r="AW9" i="28"/>
  <c r="J7" i="28"/>
  <c r="BB7" i="28"/>
  <c r="AQ7" i="28"/>
  <c r="BT8" i="28"/>
  <c r="AJ7" i="28"/>
  <c r="AB7" i="28"/>
  <c r="BE9" i="28"/>
  <c r="F7" i="28"/>
  <c r="BP7" i="28"/>
  <c r="W8" i="28"/>
  <c r="H8" i="28"/>
  <c r="AV9" i="28"/>
  <c r="V8" i="28"/>
  <c r="BL7" i="28"/>
  <c r="AL9" i="28"/>
  <c r="T8" i="28"/>
  <c r="Q8" i="28"/>
  <c r="T9" i="28"/>
  <c r="U7" i="28"/>
  <c r="AA9" i="28"/>
  <c r="BF9" i="28"/>
  <c r="BK7" i="28"/>
  <c r="AQ8" i="28"/>
  <c r="D7" i="28"/>
  <c r="BD7" i="28"/>
  <c r="AW8" i="28"/>
  <c r="I7" i="28"/>
  <c r="H7" i="28"/>
  <c r="AT7" i="28"/>
  <c r="AB9" i="28"/>
  <c r="AY7" i="28"/>
  <c r="AD8" i="28"/>
  <c r="BM8" i="28"/>
  <c r="BD9" i="28"/>
  <c r="E7" i="28"/>
  <c r="AF9" i="28"/>
  <c r="M9" i="28"/>
  <c r="AI8" i="28"/>
  <c r="AH9" i="28"/>
  <c r="AM8" i="28"/>
  <c r="X7" i="28"/>
  <c r="K8" i="28"/>
  <c r="AM9" i="28"/>
  <c r="AZ9" i="28"/>
  <c r="D9" i="28"/>
  <c r="AT9" i="28"/>
  <c r="U8" i="28"/>
  <c r="J8" i="28"/>
  <c r="BS7" i="28"/>
  <c r="BC7" i="28"/>
  <c r="C8" i="28"/>
  <c r="T7" i="28"/>
  <c r="AI7" i="28"/>
  <c r="AA8" i="28"/>
  <c r="AS8" i="28"/>
  <c r="Q9" i="28"/>
  <c r="BL9" i="28"/>
  <c r="AH7" i="28"/>
  <c r="BQ9" i="28"/>
  <c r="BJ8" i="28"/>
  <c r="BG7" i="28"/>
  <c r="AS7" i="28"/>
  <c r="AG8" i="28"/>
  <c r="L8" i="28"/>
  <c r="G310" i="33"/>
  <c r="K3" i="28"/>
  <c r="AJ2" i="28"/>
  <c r="AD3" i="28"/>
  <c r="Z1" i="28"/>
  <c r="Q2" i="28"/>
  <c r="P2" i="28"/>
  <c r="AT2" i="28"/>
  <c r="AC2" i="28"/>
  <c r="AC1" i="28"/>
  <c r="X3" i="28"/>
  <c r="V2" i="28"/>
  <c r="AQ1" i="28"/>
  <c r="AW2" i="28"/>
  <c r="W3" i="28"/>
  <c r="AF1" i="28"/>
  <c r="BA2" i="28"/>
  <c r="T1" i="28"/>
  <c r="V3" i="28"/>
  <c r="AT3" i="28"/>
  <c r="BB2" i="28"/>
  <c r="AN2" i="28"/>
  <c r="BN2" i="28"/>
  <c r="AZ2" i="28"/>
  <c r="BS2" i="28"/>
  <c r="E2" i="28"/>
  <c r="BH3" i="28"/>
  <c r="F1" i="28"/>
  <c r="AZ3" i="28"/>
  <c r="BG2" i="28"/>
  <c r="AE2" i="28"/>
  <c r="AL3" i="28"/>
  <c r="AM3" i="28"/>
  <c r="U1" i="28"/>
  <c r="T2" i="28"/>
  <c r="AY2" i="28"/>
  <c r="AB1" i="28"/>
  <c r="R3" i="28"/>
  <c r="BO3" i="28"/>
  <c r="AT1" i="28"/>
  <c r="BO2" i="28"/>
  <c r="BA3" i="28"/>
  <c r="AX2" i="28"/>
  <c r="C3" i="28"/>
  <c r="N1" i="28"/>
  <c r="F3" i="28"/>
  <c r="AL1" i="28"/>
  <c r="O3" i="28"/>
  <c r="BR2" i="28"/>
  <c r="O2" i="28"/>
  <c r="BQ2" i="28"/>
  <c r="AB3" i="28"/>
  <c r="AO1" i="28"/>
  <c r="D2" i="28"/>
  <c r="M1" i="28"/>
  <c r="AQ2" i="28"/>
  <c r="AK2" i="28"/>
  <c r="AA1" i="28"/>
  <c r="AH3" i="28"/>
  <c r="B1" i="28"/>
  <c r="BN1" i="28"/>
  <c r="O1" i="28"/>
  <c r="AN1" i="28"/>
  <c r="BT2" i="28"/>
  <c r="AL2" i="28"/>
  <c r="X2" i="28"/>
  <c r="BF3" i="28"/>
  <c r="I1" i="28"/>
  <c r="T3" i="28"/>
  <c r="R1" i="28"/>
  <c r="AA3" i="28"/>
  <c r="BU2" i="28"/>
  <c r="N2" i="28"/>
  <c r="BP1" i="28"/>
  <c r="BL1" i="28"/>
  <c r="AO3" i="28"/>
  <c r="AU1" i="28"/>
  <c r="K1" i="28"/>
  <c r="AN3" i="28"/>
  <c r="AF3" i="28"/>
  <c r="AI1" i="28"/>
  <c r="AP1" i="28"/>
  <c r="F2" i="28"/>
  <c r="J2" i="28"/>
  <c r="G1" i="28"/>
  <c r="AJ1" i="28"/>
  <c r="AU3" i="28"/>
  <c r="BF1" i="28"/>
  <c r="AK3" i="28"/>
  <c r="BN3" i="28"/>
  <c r="BC2" i="28"/>
  <c r="AX3" i="28"/>
  <c r="BM3" i="28"/>
  <c r="BD3" i="28"/>
  <c r="G3" i="28"/>
  <c r="L3" i="28"/>
  <c r="AR3" i="28"/>
  <c r="AP3" i="28"/>
  <c r="AZ1" i="28"/>
  <c r="BI2" i="28"/>
  <c r="U3" i="28"/>
  <c r="H2" i="28"/>
  <c r="AE1" i="28"/>
  <c r="BB1" i="28"/>
  <c r="BH2" i="28"/>
  <c r="Y2" i="28"/>
  <c r="P1" i="28"/>
  <c r="L2" i="28"/>
  <c r="Z2" i="28"/>
  <c r="AQ3" i="28"/>
  <c r="BL2" i="28"/>
  <c r="P3" i="28"/>
  <c r="M3" i="28"/>
  <c r="V1" i="28"/>
  <c r="E3" i="28"/>
  <c r="AG3" i="28"/>
  <c r="AX1" i="28"/>
  <c r="AV2" i="28"/>
  <c r="D3" i="28"/>
  <c r="AU2" i="28"/>
  <c r="S1" i="28"/>
  <c r="AR1" i="28"/>
  <c r="C2" i="28"/>
  <c r="AY1" i="28"/>
  <c r="AK1" i="28"/>
  <c r="Z3" i="28"/>
  <c r="L1" i="28"/>
  <c r="G2" i="28"/>
  <c r="BM2" i="28"/>
  <c r="BT1" i="28"/>
  <c r="W2" i="28"/>
  <c r="AS2" i="28"/>
  <c r="U2" i="28"/>
  <c r="Y1" i="28"/>
  <c r="BA1" i="28"/>
  <c r="AG1" i="28"/>
  <c r="BB3" i="28"/>
  <c r="BE2" i="28"/>
  <c r="BE3" i="28"/>
  <c r="AS3" i="28"/>
  <c r="N3" i="28"/>
  <c r="BM1" i="28"/>
  <c r="BP3" i="28"/>
  <c r="BI3" i="28"/>
  <c r="J1" i="28"/>
  <c r="M2" i="28"/>
  <c r="BJ1" i="28"/>
  <c r="AD2" i="28"/>
  <c r="BQ1" i="28"/>
  <c r="X1" i="28"/>
  <c r="AM1" i="28"/>
  <c r="AF2" i="28"/>
  <c r="Y3" i="28"/>
  <c r="AE3" i="28"/>
  <c r="BC1" i="28"/>
  <c r="H1" i="28"/>
  <c r="AD1" i="28"/>
  <c r="AI2" i="28"/>
  <c r="AO2" i="28"/>
  <c r="B2" i="28"/>
  <c r="BO1" i="28"/>
  <c r="BP2" i="28"/>
  <c r="BR3" i="28"/>
  <c r="AW1" i="28"/>
  <c r="BK2" i="28"/>
  <c r="S2" i="28"/>
  <c r="I2" i="28"/>
  <c r="BQ3" i="28"/>
  <c r="AG2" i="28"/>
  <c r="BR1" i="28"/>
  <c r="AV1" i="28"/>
  <c r="AH2" i="28"/>
  <c r="Q1" i="28"/>
  <c r="D1" i="28"/>
  <c r="BI1" i="28"/>
  <c r="BU1" i="28"/>
  <c r="BG1" i="28"/>
  <c r="S3" i="28"/>
  <c r="AH1" i="28"/>
  <c r="AM2" i="28"/>
  <c r="AS1" i="28"/>
  <c r="BJ3" i="28"/>
  <c r="AB2" i="28"/>
  <c r="AP2" i="28"/>
  <c r="BG3" i="28"/>
  <c r="BF2" i="28"/>
  <c r="AY3" i="28"/>
  <c r="BJ2" i="28"/>
  <c r="J3" i="28"/>
  <c r="K2" i="28"/>
  <c r="W1" i="28"/>
  <c r="BH1" i="28"/>
  <c r="BL3" i="28"/>
  <c r="AJ3" i="28"/>
  <c r="Q3" i="28"/>
  <c r="AI3" i="28"/>
  <c r="BC3" i="28"/>
  <c r="B3" i="28"/>
  <c r="BK3" i="28"/>
  <c r="BK1" i="28"/>
  <c r="H3" i="28"/>
  <c r="I3" i="28"/>
  <c r="AC3" i="28"/>
  <c r="BD1" i="28"/>
  <c r="AA2" i="28"/>
  <c r="AV3" i="28"/>
  <c r="BS3" i="28"/>
  <c r="R2" i="28"/>
  <c r="E1" i="28"/>
  <c r="BT3" i="28"/>
  <c r="AW3" i="28"/>
  <c r="C1" i="28"/>
  <c r="BE1" i="28"/>
  <c r="BU3" i="28"/>
  <c r="BD2" i="28"/>
  <c r="AR2" i="28"/>
  <c r="BS1" i="28"/>
  <c r="F97" i="33"/>
  <c r="F383" i="33"/>
  <c r="G52" i="33"/>
  <c r="I120" i="35"/>
  <c r="N130" i="35"/>
  <c r="E177" i="33"/>
  <c r="F315" i="33"/>
  <c r="F48" i="33"/>
  <c r="E39" i="33"/>
  <c r="F339" i="33"/>
  <c r="H244" i="33"/>
  <c r="G422" i="33"/>
  <c r="E300" i="33"/>
  <c r="F450" i="33"/>
  <c r="E364" i="33"/>
  <c r="G66" i="35"/>
  <c r="G107" i="58"/>
  <c r="E344" i="33"/>
  <c r="E421" i="33"/>
  <c r="G353" i="33"/>
  <c r="H452" i="33"/>
  <c r="G129" i="35"/>
  <c r="H47" i="33"/>
  <c r="F43" i="33"/>
  <c r="F199" i="33"/>
  <c r="I47" i="35"/>
  <c r="F447" i="33"/>
  <c r="F81" i="33"/>
  <c r="F86" i="33"/>
  <c r="E253" i="33"/>
  <c r="H126" i="33"/>
  <c r="G137" i="33"/>
  <c r="F282" i="33"/>
  <c r="H446" i="33"/>
  <c r="E231" i="33"/>
  <c r="G149" i="35"/>
  <c r="H149" i="35" s="1"/>
  <c r="F172" i="33"/>
  <c r="G189" i="33"/>
  <c r="G459" i="33"/>
  <c r="E432" i="33"/>
  <c r="H291" i="33"/>
  <c r="E100" i="33"/>
  <c r="H119" i="33"/>
  <c r="G147" i="33"/>
  <c r="E123" i="33"/>
  <c r="G356" i="33"/>
  <c r="I356" i="33" s="1"/>
  <c r="G139" i="33"/>
  <c r="I139" i="33" s="1"/>
  <c r="G114" i="35"/>
  <c r="H114" i="35" s="1"/>
  <c r="I158" i="35"/>
  <c r="J158" i="35" s="1"/>
  <c r="L93" i="35"/>
  <c r="F321" i="33"/>
  <c r="E403" i="33"/>
  <c r="E339" i="33"/>
  <c r="E226" i="33"/>
  <c r="E213" i="33"/>
  <c r="F310" i="33"/>
  <c r="E316" i="33"/>
  <c r="G392" i="33"/>
  <c r="H57" i="58"/>
  <c r="H58" i="58" s="1"/>
  <c r="H42" i="33"/>
  <c r="H281" i="33"/>
  <c r="F464" i="33"/>
  <c r="G146" i="35"/>
  <c r="G320" i="33"/>
  <c r="E149" i="35"/>
  <c r="F288" i="33"/>
  <c r="F66" i="33"/>
  <c r="E67" i="33"/>
  <c r="E254" i="33"/>
  <c r="E72" i="57"/>
  <c r="E73" i="57" s="1"/>
  <c r="G263" i="33"/>
  <c r="G112" i="57"/>
  <c r="E246" i="33"/>
  <c r="F167" i="33"/>
  <c r="E130" i="33"/>
  <c r="H68" i="33"/>
  <c r="E309" i="33"/>
  <c r="I49" i="35"/>
  <c r="E261" i="33"/>
  <c r="G292" i="33"/>
  <c r="I292" i="33" s="1"/>
  <c r="J292" i="33" s="1"/>
  <c r="F295" i="33"/>
  <c r="E422" i="33"/>
  <c r="E459" i="33"/>
  <c r="G83" i="35"/>
  <c r="G173" i="33"/>
  <c r="I173" i="33" s="1"/>
  <c r="L119" i="35"/>
  <c r="E397" i="33"/>
  <c r="P66" i="35"/>
  <c r="G240" i="33"/>
  <c r="H371" i="33"/>
  <c r="H105" i="33"/>
  <c r="G111" i="35"/>
  <c r="G398" i="33"/>
  <c r="F64" i="33"/>
  <c r="BO36" i="28"/>
  <c r="AZ35" i="28"/>
  <c r="AC34" i="28"/>
  <c r="AD36" i="28"/>
  <c r="BL34" i="28"/>
  <c r="AJ36" i="28"/>
  <c r="AX35" i="28"/>
  <c r="AR34" i="28"/>
  <c r="AW35" i="28"/>
  <c r="BQ35" i="28"/>
  <c r="I36" i="28"/>
  <c r="BL35" i="28"/>
  <c r="B36" i="28"/>
  <c r="BK35" i="28"/>
  <c r="M35" i="28"/>
  <c r="BB34" i="28"/>
  <c r="BE34" i="28"/>
  <c r="AH35" i="28"/>
  <c r="F34" i="28"/>
  <c r="I35" i="28"/>
  <c r="AE35" i="28"/>
  <c r="S35" i="28"/>
  <c r="BC34" i="28"/>
  <c r="BQ34" i="28"/>
  <c r="BR35" i="28"/>
  <c r="AD35" i="28"/>
  <c r="R35" i="28"/>
  <c r="AM36" i="28"/>
  <c r="E34" i="28"/>
  <c r="BM36" i="28"/>
  <c r="AV34" i="28"/>
  <c r="AJ35" i="28"/>
  <c r="BG36" i="28"/>
  <c r="BH35" i="28"/>
  <c r="P36" i="28"/>
  <c r="AJ34" i="28"/>
  <c r="AW34" i="28"/>
  <c r="C34" i="28"/>
  <c r="Q34" i="28"/>
  <c r="BR36" i="28"/>
  <c r="AS34" i="28"/>
  <c r="Q35" i="28"/>
  <c r="AU34" i="28"/>
  <c r="AX36" i="28"/>
  <c r="BG35" i="28"/>
  <c r="E35" i="28"/>
  <c r="AO34" i="28"/>
  <c r="AQ35" i="28"/>
  <c r="AS35" i="28"/>
  <c r="AH36" i="28"/>
  <c r="T36" i="28"/>
  <c r="AI36" i="28"/>
  <c r="J36" i="28"/>
  <c r="AK36" i="28"/>
  <c r="AA36" i="28"/>
  <c r="V35" i="28"/>
  <c r="AH34" i="28"/>
  <c r="BU34" i="28"/>
  <c r="BS35" i="28"/>
  <c r="BM35" i="28"/>
  <c r="S34" i="28"/>
  <c r="H35" i="28"/>
  <c r="AA34" i="28"/>
  <c r="BN36" i="28"/>
  <c r="BT35" i="28"/>
  <c r="G36" i="28"/>
  <c r="X35" i="28"/>
  <c r="N35" i="28"/>
  <c r="AT35" i="28"/>
  <c r="BR34" i="28"/>
  <c r="W36" i="28"/>
  <c r="BH34" i="28"/>
  <c r="BN35" i="28"/>
  <c r="BA35" i="28"/>
  <c r="AB35" i="28"/>
  <c r="AP34" i="28"/>
  <c r="BO35" i="28"/>
  <c r="BI35" i="28"/>
  <c r="AD34" i="28"/>
  <c r="AW36" i="28"/>
  <c r="V36" i="28"/>
  <c r="BD36" i="28"/>
  <c r="AN35" i="28"/>
  <c r="R34" i="28"/>
  <c r="E36" i="28"/>
  <c r="AE36" i="28"/>
  <c r="F36" i="28"/>
  <c r="BS36" i="28"/>
  <c r="AY36" i="28"/>
  <c r="BB35" i="28"/>
  <c r="AL36" i="28"/>
  <c r="BE35" i="28"/>
  <c r="K36" i="28"/>
  <c r="M36" i="28"/>
  <c r="N36" i="28"/>
  <c r="AI35" i="28"/>
  <c r="BD34" i="28"/>
  <c r="BT36" i="28"/>
  <c r="AL35" i="28"/>
  <c r="BM34" i="28"/>
  <c r="Y36" i="28"/>
  <c r="B35" i="28"/>
  <c r="AF35" i="28"/>
  <c r="AR36" i="28"/>
  <c r="AK35" i="28"/>
  <c r="AG34" i="28"/>
  <c r="H36" i="28"/>
  <c r="AX34" i="28"/>
  <c r="BS34" i="28"/>
  <c r="BI34" i="28"/>
  <c r="BC36" i="28"/>
  <c r="BP36" i="28"/>
  <c r="W34" i="28"/>
  <c r="O36" i="28"/>
  <c r="AK34" i="28"/>
  <c r="BF36" i="28"/>
  <c r="Z36" i="28"/>
  <c r="BQ36" i="28"/>
  <c r="AS36" i="28"/>
  <c r="F35" i="28"/>
  <c r="K35" i="28"/>
  <c r="AZ36" i="28"/>
  <c r="G35" i="28"/>
  <c r="AB34" i="28"/>
  <c r="AY35" i="28"/>
  <c r="D36" i="28"/>
  <c r="BT34" i="28"/>
  <c r="AC36" i="28"/>
  <c r="AZ34" i="28"/>
  <c r="C35" i="28"/>
  <c r="AV36" i="28"/>
  <c r="BK34" i="28"/>
  <c r="BJ36" i="28"/>
  <c r="AU35" i="28"/>
  <c r="S36" i="28"/>
  <c r="BJ34" i="28"/>
  <c r="AB36" i="28"/>
  <c r="AF34" i="28"/>
  <c r="BU35" i="28"/>
  <c r="BC35" i="28"/>
  <c r="Q36" i="28"/>
  <c r="AF36" i="28"/>
  <c r="P35" i="28"/>
  <c r="O34" i="28"/>
  <c r="AV35" i="28"/>
  <c r="BH36" i="28"/>
  <c r="BB36" i="28"/>
  <c r="BG34" i="28"/>
  <c r="Z34" i="28"/>
  <c r="L36" i="28"/>
  <c r="AE34" i="28"/>
  <c r="D35" i="28"/>
  <c r="AN34" i="28"/>
  <c r="BI36" i="28"/>
  <c r="Y34" i="28"/>
  <c r="AT34" i="28"/>
  <c r="BJ35" i="28"/>
  <c r="AQ36" i="28"/>
  <c r="AQ34" i="28"/>
  <c r="J34" i="28"/>
  <c r="BL36" i="28"/>
  <c r="AM34" i="28"/>
  <c r="AO35" i="28"/>
  <c r="Y35" i="28"/>
  <c r="AG35" i="28"/>
  <c r="AU36" i="28"/>
  <c r="N34" i="28"/>
  <c r="U36" i="28"/>
  <c r="V34" i="28"/>
  <c r="X34" i="28"/>
  <c r="BK36" i="28"/>
  <c r="AO36" i="28"/>
  <c r="Z35" i="28"/>
  <c r="B34" i="28"/>
  <c r="AR35" i="28"/>
  <c r="AP36" i="28"/>
  <c r="BA36" i="28"/>
  <c r="BF35" i="28"/>
  <c r="P34" i="28"/>
  <c r="L34" i="28"/>
  <c r="AP35" i="28"/>
  <c r="J35" i="28"/>
  <c r="BA34" i="28"/>
  <c r="AT36" i="28"/>
  <c r="BE36" i="28"/>
  <c r="AC35" i="28"/>
  <c r="T35" i="28"/>
  <c r="BD35" i="28"/>
  <c r="AA35" i="28"/>
  <c r="K34" i="28"/>
  <c r="T34" i="28"/>
  <c r="C36" i="28"/>
  <c r="BN34" i="28"/>
  <c r="L35" i="28"/>
  <c r="H34" i="28"/>
  <c r="BP34" i="28"/>
  <c r="D34" i="28"/>
  <c r="X36" i="28"/>
  <c r="G34" i="28"/>
  <c r="U35" i="28"/>
  <c r="BU36" i="28"/>
  <c r="BP35" i="28"/>
  <c r="AL34" i="28"/>
  <c r="AI34" i="28"/>
  <c r="I34" i="28"/>
  <c r="U34" i="28"/>
  <c r="BF34" i="28"/>
  <c r="AM35" i="28"/>
  <c r="R36" i="28"/>
  <c r="AY34" i="28"/>
  <c r="AG36" i="28"/>
  <c r="M34" i="28"/>
  <c r="AN36" i="28"/>
  <c r="BO34" i="28"/>
  <c r="W35" i="28"/>
  <c r="O35" i="28"/>
  <c r="F166" i="33"/>
  <c r="G122" i="33"/>
  <c r="E302" i="33"/>
  <c r="H370" i="33"/>
  <c r="E41" i="33"/>
  <c r="F432" i="33"/>
  <c r="G48" i="33"/>
  <c r="L74" i="35"/>
  <c r="E47" i="33"/>
  <c r="H457" i="33"/>
  <c r="H410" i="33"/>
  <c r="G420" i="33"/>
  <c r="H377" i="33"/>
  <c r="E190" i="33"/>
  <c r="H280" i="33"/>
  <c r="Q38" i="30"/>
  <c r="G381" i="33"/>
  <c r="H401" i="33"/>
  <c r="G47" i="35"/>
  <c r="K47" i="35" s="1"/>
  <c r="H415" i="33"/>
  <c r="F42" i="57"/>
  <c r="F43" i="57" s="1"/>
  <c r="E166" i="35"/>
  <c r="K166" i="35" s="1"/>
  <c r="F166" i="35" s="1"/>
  <c r="E290" i="33"/>
  <c r="H338" i="33"/>
  <c r="E174" i="35"/>
  <c r="F449" i="33"/>
  <c r="P129" i="35"/>
  <c r="F52" i="58"/>
  <c r="F53" i="58" s="1"/>
  <c r="H347" i="33"/>
  <c r="H356" i="33"/>
  <c r="E293" i="33"/>
  <c r="I105" i="35"/>
  <c r="J105" i="35" s="1"/>
  <c r="H427" i="33"/>
  <c r="E83" i="35"/>
  <c r="F233" i="33"/>
  <c r="E446" i="33"/>
  <c r="P83" i="35"/>
  <c r="E109" i="33"/>
  <c r="G283" i="33"/>
  <c r="L110" i="35"/>
  <c r="G49" i="35"/>
  <c r="F420" i="33"/>
  <c r="E255" i="33"/>
  <c r="E135" i="33"/>
  <c r="H194" i="33"/>
  <c r="E291" i="33"/>
  <c r="G167" i="33"/>
  <c r="I167" i="33" s="1"/>
  <c r="N112" i="35"/>
  <c r="G458" i="33"/>
  <c r="L156" i="35"/>
  <c r="G388" i="33"/>
  <c r="F354" i="33"/>
  <c r="G147" i="35"/>
  <c r="H147" i="35" s="1"/>
  <c r="F37" i="58"/>
  <c r="F38" i="58" s="1"/>
  <c r="I77" i="35"/>
  <c r="J77" i="35" s="1"/>
  <c r="H241" i="33"/>
  <c r="G77" i="35"/>
  <c r="E157" i="35"/>
  <c r="E177" i="35"/>
  <c r="N114" i="35"/>
  <c r="H316" i="33"/>
  <c r="E131" i="35"/>
  <c r="F46" i="33"/>
  <c r="G55" i="33"/>
  <c r="P165" i="35"/>
  <c r="G335" i="33"/>
  <c r="F403" i="33"/>
  <c r="G324" i="33"/>
  <c r="H67" i="57"/>
  <c r="H68" i="57" s="1"/>
  <c r="G401" i="33"/>
  <c r="I401" i="33" s="1"/>
  <c r="G120" i="35"/>
  <c r="E281" i="33"/>
  <c r="H94" i="33"/>
  <c r="F138" i="33"/>
  <c r="G168" i="35"/>
  <c r="H168" i="35" s="1"/>
  <c r="E401" i="33"/>
  <c r="G442" i="33"/>
  <c r="E129" i="33"/>
  <c r="F300" i="33"/>
  <c r="E378" i="33"/>
  <c r="E162" i="33"/>
  <c r="G355" i="33"/>
  <c r="G230" i="33"/>
  <c r="E110" i="33"/>
  <c r="P168" i="35"/>
  <c r="F104" i="33"/>
  <c r="E163" i="33"/>
  <c r="F107" i="33"/>
  <c r="F205" i="33"/>
  <c r="I60" i="35"/>
  <c r="J60" i="35" s="1"/>
  <c r="F407" i="33"/>
  <c r="E72" i="58"/>
  <c r="E73" i="58" s="1"/>
  <c r="E114" i="35"/>
  <c r="F401" i="33"/>
  <c r="H149" i="33"/>
  <c r="E97" i="58"/>
  <c r="E98" i="58" s="1"/>
  <c r="E395" i="33"/>
  <c r="G174" i="35"/>
  <c r="E379" i="33"/>
  <c r="H353" i="33"/>
  <c r="H66" i="33"/>
  <c r="G122" i="35"/>
  <c r="H419" i="33"/>
  <c r="H242" i="33"/>
  <c r="G447" i="33"/>
  <c r="E458" i="33"/>
  <c r="G136" i="33"/>
  <c r="H179" i="33"/>
  <c r="L184" i="35"/>
  <c r="H120" i="33"/>
  <c r="E280" i="33"/>
  <c r="E164" i="35"/>
  <c r="E77" i="33"/>
  <c r="N146" i="35"/>
  <c r="E351" i="33"/>
  <c r="G57" i="57"/>
  <c r="G37" i="58"/>
  <c r="H167" i="33"/>
  <c r="H459" i="33"/>
  <c r="H104" i="33"/>
  <c r="I147" i="35"/>
  <c r="E262" i="33"/>
  <c r="H339" i="33"/>
  <c r="E429" i="33"/>
  <c r="H256" i="33"/>
  <c r="F156" i="33"/>
  <c r="E417" i="33"/>
  <c r="G383" i="33"/>
  <c r="G328" i="33"/>
  <c r="G216" i="33"/>
  <c r="I216" i="33" s="1"/>
  <c r="E456" i="33"/>
  <c r="N38" i="30"/>
  <c r="F94" i="33"/>
  <c r="G95" i="35"/>
  <c r="E158" i="35"/>
  <c r="G421" i="33"/>
  <c r="I421" i="33" s="1"/>
  <c r="N150" i="35"/>
  <c r="F351" i="33"/>
  <c r="F375" i="33"/>
  <c r="G105" i="35"/>
  <c r="H105" i="35" s="1"/>
  <c r="N60" i="35"/>
  <c r="H328" i="33"/>
  <c r="P114" i="35"/>
  <c r="E94" i="33"/>
  <c r="E174" i="33"/>
  <c r="E248" i="33"/>
  <c r="H264" i="33"/>
  <c r="G427" i="33"/>
  <c r="G437" i="33"/>
  <c r="G326" i="33"/>
  <c r="I96" i="35"/>
  <c r="J96" i="35" s="1"/>
  <c r="F323" i="33"/>
  <c r="G317" i="33"/>
  <c r="I317" i="33" s="1"/>
  <c r="H69" i="33"/>
  <c r="L78" i="35"/>
  <c r="E57" i="57"/>
  <c r="E58" i="57" s="1"/>
  <c r="H407" i="33"/>
  <c r="E381" i="33"/>
  <c r="F418" i="33"/>
  <c r="F118" i="33"/>
  <c r="H395" i="33"/>
  <c r="G59" i="33"/>
  <c r="N166" i="35"/>
  <c r="G51" i="35"/>
  <c r="G258" i="33"/>
  <c r="I258" i="33" s="1"/>
  <c r="J258" i="33" s="1"/>
  <c r="E112" i="57"/>
  <c r="E113" i="57" s="1"/>
  <c r="E71" i="33"/>
  <c r="P103" i="35"/>
  <c r="F68" i="33"/>
  <c r="N111" i="35"/>
  <c r="F181" i="33"/>
  <c r="E182" i="35"/>
  <c r="G404" i="33"/>
  <c r="I404" i="33" s="1"/>
  <c r="N103" i="35"/>
  <c r="E217" i="33"/>
  <c r="F265" i="33"/>
  <c r="G51" i="33"/>
  <c r="H54" i="33"/>
  <c r="P121" i="35"/>
  <c r="G154" i="33"/>
  <c r="G229" i="33"/>
  <c r="E256" i="33"/>
  <c r="L157" i="35"/>
  <c r="G44" i="33"/>
  <c r="F40" i="33"/>
  <c r="E353" i="33"/>
  <c r="L114" i="35"/>
  <c r="E297" i="33"/>
  <c r="E452" i="33"/>
  <c r="G94" i="35"/>
  <c r="H94" i="35" s="1"/>
  <c r="H228" i="33"/>
  <c r="F52" i="57"/>
  <c r="F53" i="57" s="1"/>
  <c r="F185" i="33"/>
  <c r="H284" i="33"/>
  <c r="E57" i="58"/>
  <c r="E58" i="58" s="1"/>
  <c r="G99" i="33"/>
  <c r="E369" i="33"/>
  <c r="P141" i="35"/>
  <c r="H325" i="33"/>
  <c r="P183" i="35"/>
  <c r="G125" i="33"/>
  <c r="H324" i="33"/>
  <c r="H315" i="33"/>
  <c r="N176" i="35"/>
  <c r="E323" i="33"/>
  <c r="F280" i="33"/>
  <c r="H204" i="33"/>
  <c r="F230" i="33"/>
  <c r="H83" i="33"/>
  <c r="E383" i="33"/>
  <c r="I167" i="35"/>
  <c r="F312" i="33"/>
  <c r="H301" i="33"/>
  <c r="G130" i="35"/>
  <c r="G111" i="33"/>
  <c r="I111" i="33" s="1"/>
  <c r="H72" i="33"/>
  <c r="F42" i="58"/>
  <c r="F43" i="58" s="1"/>
  <c r="E38" i="30"/>
  <c r="G158" i="33"/>
  <c r="I158" i="33" s="1"/>
  <c r="G153" i="33"/>
  <c r="I153" i="33" s="1"/>
  <c r="F158" i="33"/>
  <c r="F200" i="33"/>
  <c r="E418" i="33"/>
  <c r="P140" i="35"/>
  <c r="G94" i="33"/>
  <c r="I94" i="33" s="1"/>
  <c r="J94" i="33" s="1"/>
  <c r="E241" i="33"/>
  <c r="E368" i="33"/>
  <c r="G80" i="33"/>
  <c r="H96" i="33"/>
  <c r="H208" i="33"/>
  <c r="F72" i="58"/>
  <c r="F73" i="58" s="1"/>
  <c r="L120" i="35"/>
  <c r="G123" i="33"/>
  <c r="I155" i="35"/>
  <c r="L102" i="35"/>
  <c r="E329" i="33"/>
  <c r="E327" i="33"/>
  <c r="G42" i="58"/>
  <c r="E45" i="33"/>
  <c r="G373" i="33"/>
  <c r="E220" i="33"/>
  <c r="E85" i="35"/>
  <c r="L95" i="35"/>
  <c r="F162" i="33"/>
  <c r="F130" i="33"/>
  <c r="H313" i="33"/>
  <c r="H396" i="33"/>
  <c r="G207" i="33"/>
  <c r="F77" i="58"/>
  <c r="F78" i="58" s="1"/>
  <c r="E106" i="33"/>
  <c r="H160" i="33"/>
  <c r="H326" i="33"/>
  <c r="G296" i="33"/>
  <c r="G50" i="35"/>
  <c r="G98" i="33"/>
  <c r="E350" i="33"/>
  <c r="N104" i="35"/>
  <c r="G158" i="35"/>
  <c r="H158" i="35" s="1"/>
  <c r="E184" i="35"/>
  <c r="E192" i="33"/>
  <c r="E134" i="33"/>
  <c r="P104" i="35"/>
  <c r="W104" i="35" s="1"/>
  <c r="F374" i="33"/>
  <c r="G450" i="33"/>
  <c r="F452" i="33"/>
  <c r="G86" i="35"/>
  <c r="E178" i="33"/>
  <c r="E161" i="33"/>
  <c r="G175" i="33"/>
  <c r="G462" i="33"/>
  <c r="I462" i="33" s="1"/>
  <c r="G339" i="33"/>
  <c r="I339" i="33" s="1"/>
  <c r="J339" i="33" s="1"/>
  <c r="E342" i="33"/>
  <c r="G188" i="33"/>
  <c r="H37" i="57"/>
  <c r="H38" i="57" s="1"/>
  <c r="F404" i="33"/>
  <c r="E69" i="33"/>
  <c r="E301" i="33"/>
  <c r="H216" i="33"/>
  <c r="F388" i="33"/>
  <c r="N67" i="35"/>
  <c r="G342" i="33"/>
  <c r="I342" i="33" s="1"/>
  <c r="E128" i="35"/>
  <c r="I146" i="35"/>
  <c r="F361" i="33"/>
  <c r="F213" i="33"/>
  <c r="E318" i="33"/>
  <c r="H323" i="33"/>
  <c r="E310" i="33"/>
  <c r="G70" i="33"/>
  <c r="F95" i="33"/>
  <c r="H230" i="33"/>
  <c r="E62" i="57"/>
  <c r="E63" i="57" s="1"/>
  <c r="E99" i="33"/>
  <c r="H102" i="33"/>
  <c r="G443" i="33"/>
  <c r="I132" i="35"/>
  <c r="J132" i="35" s="1"/>
  <c r="F136" i="33"/>
  <c r="G315" i="33"/>
  <c r="G344" i="33"/>
  <c r="I344" i="33" s="1"/>
  <c r="J344" i="33" s="1"/>
  <c r="F83" i="33"/>
  <c r="H342" i="33"/>
  <c r="E200" i="33"/>
  <c r="L131" i="35"/>
  <c r="F271" i="33"/>
  <c r="G261" i="33"/>
  <c r="I261" i="33" s="1"/>
  <c r="E366" i="33"/>
  <c r="H209" i="33"/>
  <c r="H376" i="33"/>
  <c r="F193" i="33"/>
  <c r="P139" i="35"/>
  <c r="F317" i="33"/>
  <c r="H343" i="33"/>
  <c r="G76" i="33"/>
  <c r="I76" i="33" s="1"/>
  <c r="E67" i="58"/>
  <c r="E68" i="58" s="1"/>
  <c r="E442" i="33"/>
  <c r="G327" i="33"/>
  <c r="I327" i="33" s="1"/>
  <c r="H363" i="33"/>
  <c r="F238" i="33"/>
  <c r="G191" i="33"/>
  <c r="E444" i="33"/>
  <c r="G129" i="33"/>
  <c r="L83" i="35"/>
  <c r="E83" i="33"/>
  <c r="H352" i="33"/>
  <c r="P175" i="35"/>
  <c r="F327" i="33"/>
  <c r="F283" i="33"/>
  <c r="G396" i="33"/>
  <c r="I396" i="33" s="1"/>
  <c r="H125" i="33"/>
  <c r="I93" i="35"/>
  <c r="F394" i="33"/>
  <c r="H428" i="33"/>
  <c r="E406" i="33"/>
  <c r="E191" i="33"/>
  <c r="F137" i="33"/>
  <c r="G220" i="33"/>
  <c r="I220" i="33" s="1"/>
  <c r="G178" i="33"/>
  <c r="F211" i="33"/>
  <c r="E151" i="33"/>
  <c r="G182" i="35"/>
  <c r="F47" i="35"/>
  <c r="F423" i="33"/>
  <c r="N119" i="35"/>
  <c r="F400" i="33"/>
  <c r="N94" i="35"/>
  <c r="G52" i="57"/>
  <c r="L104" i="35"/>
  <c r="E92" i="33"/>
  <c r="F287" i="33"/>
  <c r="H181" i="33"/>
  <c r="F397" i="33"/>
  <c r="E81" i="33"/>
  <c r="N110" i="35"/>
  <c r="F245" i="33"/>
  <c r="G308" i="33"/>
  <c r="I308" i="33" s="1"/>
  <c r="F454" i="33"/>
  <c r="E52" i="33"/>
  <c r="L65" i="35"/>
  <c r="AI11" i="28"/>
  <c r="BP10" i="28"/>
  <c r="AZ11" i="28"/>
  <c r="AY12" i="28"/>
  <c r="AB11" i="28"/>
  <c r="W10" i="28"/>
  <c r="L10" i="28"/>
  <c r="BH12" i="28"/>
  <c r="AG12" i="28"/>
  <c r="N11" i="28"/>
  <c r="S12" i="28"/>
  <c r="BU12" i="28"/>
  <c r="AM12" i="28"/>
  <c r="AX12" i="28"/>
  <c r="BB12" i="28"/>
  <c r="BR11" i="28"/>
  <c r="BO10" i="28"/>
  <c r="P12" i="28"/>
  <c r="BH11" i="28"/>
  <c r="AD10" i="28"/>
  <c r="AM10" i="28"/>
  <c r="AR10" i="28"/>
  <c r="AS12" i="28"/>
  <c r="BD12" i="28"/>
  <c r="AJ12" i="28"/>
  <c r="Z10" i="28"/>
  <c r="AB12" i="28"/>
  <c r="S11" i="28"/>
  <c r="AO12" i="28"/>
  <c r="AA10" i="28"/>
  <c r="K11" i="28"/>
  <c r="C12" i="28"/>
  <c r="Y11" i="28"/>
  <c r="AL10" i="28"/>
  <c r="F10" i="28"/>
  <c r="O10" i="28"/>
  <c r="E11" i="28"/>
  <c r="BF10" i="28"/>
  <c r="AH12" i="28"/>
  <c r="BL12" i="28"/>
  <c r="AG10" i="28"/>
  <c r="BH10" i="28"/>
  <c r="AN11" i="28"/>
  <c r="P10" i="28"/>
  <c r="BE10" i="28"/>
  <c r="BI11" i="28"/>
  <c r="BD11" i="28"/>
  <c r="BC11" i="28"/>
  <c r="G11" i="28"/>
  <c r="J10" i="28"/>
  <c r="AJ10" i="28"/>
  <c r="X11" i="28"/>
  <c r="AM11" i="28"/>
  <c r="N12" i="28"/>
  <c r="AP12" i="28"/>
  <c r="AS11" i="28"/>
  <c r="AK11" i="28"/>
  <c r="J11" i="28"/>
  <c r="Y10" i="28"/>
  <c r="AF11" i="28"/>
  <c r="BA11" i="28"/>
  <c r="BS10" i="28"/>
  <c r="AW12" i="28"/>
  <c r="AP10" i="28"/>
  <c r="AZ10" i="28"/>
  <c r="AE10" i="28"/>
  <c r="V11" i="28"/>
  <c r="AV11" i="28"/>
  <c r="AV12" i="28"/>
  <c r="BR12" i="28"/>
  <c r="AD12" i="28"/>
  <c r="AH10" i="28"/>
  <c r="T12" i="28"/>
  <c r="BD10" i="28"/>
  <c r="H10" i="28"/>
  <c r="H12" i="28"/>
  <c r="AC10" i="28"/>
  <c r="BF11" i="28"/>
  <c r="AS10" i="28"/>
  <c r="BU11" i="28"/>
  <c r="BT12" i="28"/>
  <c r="BC12" i="28"/>
  <c r="AU11" i="28"/>
  <c r="AA12" i="28"/>
  <c r="V10" i="28"/>
  <c r="E10" i="28"/>
  <c r="AO11" i="28"/>
  <c r="S10" i="28"/>
  <c r="D12" i="28"/>
  <c r="E12" i="28"/>
  <c r="BK11" i="28"/>
  <c r="Y12" i="28"/>
  <c r="AA11" i="28"/>
  <c r="BG10" i="28"/>
  <c r="BJ10" i="28"/>
  <c r="AE12" i="28"/>
  <c r="V12" i="28"/>
  <c r="K10" i="28"/>
  <c r="T10" i="28"/>
  <c r="BB10" i="28"/>
  <c r="BS11" i="28"/>
  <c r="BE11" i="28"/>
  <c r="AU10" i="28"/>
  <c r="D11" i="28"/>
  <c r="AL11" i="28"/>
  <c r="AY11" i="28"/>
  <c r="BI10" i="28"/>
  <c r="L12" i="28"/>
  <c r="H11" i="28"/>
  <c r="Z12" i="28"/>
  <c r="BG12" i="28"/>
  <c r="BT11" i="28"/>
  <c r="AN10" i="28"/>
  <c r="AB10" i="28"/>
  <c r="AQ11" i="28"/>
  <c r="BR10" i="28"/>
  <c r="BS12" i="28"/>
  <c r="AT10" i="28"/>
  <c r="BJ11" i="28"/>
  <c r="BA10" i="28"/>
  <c r="L11" i="28"/>
  <c r="W11" i="28"/>
  <c r="BJ12" i="28"/>
  <c r="AU12" i="28"/>
  <c r="BP11" i="28"/>
  <c r="J12" i="28"/>
  <c r="Q12" i="28"/>
  <c r="BT10" i="28"/>
  <c r="I11" i="28"/>
  <c r="AC11" i="28"/>
  <c r="O12" i="28"/>
  <c r="Q11" i="28"/>
  <c r="AT11" i="28"/>
  <c r="K12" i="28"/>
  <c r="AO10" i="28"/>
  <c r="BA12" i="28"/>
  <c r="BQ10" i="28"/>
  <c r="T11" i="28"/>
  <c r="AX11" i="28"/>
  <c r="BC10" i="28"/>
  <c r="BB11" i="28"/>
  <c r="AL12" i="28"/>
  <c r="AK12" i="28"/>
  <c r="BP12" i="28"/>
  <c r="P11" i="28"/>
  <c r="G10" i="28"/>
  <c r="AI10" i="28"/>
  <c r="BE12" i="28"/>
  <c r="B12" i="28"/>
  <c r="BK10" i="28"/>
  <c r="AD11" i="28"/>
  <c r="AT12" i="28"/>
  <c r="BO11" i="28"/>
  <c r="F12" i="28"/>
  <c r="AF10" i="28"/>
  <c r="R12" i="28"/>
  <c r="F11" i="28"/>
  <c r="BN11" i="28"/>
  <c r="BI12" i="28"/>
  <c r="W12" i="28"/>
  <c r="I10" i="28"/>
  <c r="M12" i="28"/>
  <c r="R11" i="28"/>
  <c r="BL11" i="28"/>
  <c r="O11" i="28"/>
  <c r="M10" i="28"/>
  <c r="BQ12" i="28"/>
  <c r="AR11" i="28"/>
  <c r="AZ12" i="28"/>
  <c r="AX10" i="28"/>
  <c r="BQ11" i="28"/>
  <c r="AF12" i="28"/>
  <c r="BM11" i="28"/>
  <c r="AW11" i="28"/>
  <c r="AY10" i="28"/>
  <c r="AH11" i="28"/>
  <c r="AG11" i="28"/>
  <c r="AP11" i="28"/>
  <c r="AK10" i="28"/>
  <c r="AI12" i="28"/>
  <c r="I12" i="28"/>
  <c r="BU10" i="28"/>
  <c r="AQ12" i="28"/>
  <c r="AQ10" i="28"/>
  <c r="U10" i="28"/>
  <c r="Q10" i="28"/>
  <c r="B11" i="28"/>
  <c r="AN12" i="28"/>
  <c r="C10" i="28"/>
  <c r="BL10" i="28"/>
  <c r="BK12" i="28"/>
  <c r="BN12" i="28"/>
  <c r="C11" i="28"/>
  <c r="BG11" i="28"/>
  <c r="BM12" i="28"/>
  <c r="BM10" i="28"/>
  <c r="AJ11" i="28"/>
  <c r="BF12" i="28"/>
  <c r="BN10" i="28"/>
  <c r="M11" i="28"/>
  <c r="AV10" i="28"/>
  <c r="AE11" i="28"/>
  <c r="AC12" i="28"/>
  <c r="X12" i="28"/>
  <c r="AR12" i="28"/>
  <c r="N10" i="28"/>
  <c r="U12" i="28"/>
  <c r="AW10" i="28"/>
  <c r="B10" i="28"/>
  <c r="X10" i="28"/>
  <c r="D10" i="28"/>
  <c r="BO12" i="28"/>
  <c r="R10" i="28"/>
  <c r="G12" i="28"/>
  <c r="U11" i="28"/>
  <c r="Z11" i="28"/>
  <c r="H84" i="33"/>
  <c r="L129" i="35"/>
  <c r="I131" i="35"/>
  <c r="L56" i="35"/>
  <c r="H189" i="33"/>
  <c r="G148" i="33"/>
  <c r="H309" i="33"/>
  <c r="G423" i="33"/>
  <c r="I423" i="33" s="1"/>
  <c r="J423" i="33" s="1"/>
  <c r="G95" i="33"/>
  <c r="I95" i="33" s="1"/>
  <c r="J95" i="33" s="1"/>
  <c r="G329" i="33"/>
  <c r="I329" i="33" s="1"/>
  <c r="G232" i="33"/>
  <c r="I232" i="33" s="1"/>
  <c r="F155" i="33"/>
  <c r="N177" i="35"/>
  <c r="G40" i="33"/>
  <c r="G334" i="33"/>
  <c r="H393" i="33"/>
  <c r="G68" i="35"/>
  <c r="H48" i="33"/>
  <c r="H46" i="33"/>
  <c r="E80" i="33"/>
  <c r="H180" i="33"/>
  <c r="E296" i="33"/>
  <c r="E49" i="35"/>
  <c r="G186" i="35"/>
  <c r="H186" i="35" s="1"/>
  <c r="L138" i="35"/>
  <c r="H38" i="33"/>
  <c r="G367" i="33"/>
  <c r="I367" i="33" s="1"/>
  <c r="AA38" i="30"/>
  <c r="AA60" i="30" s="1"/>
  <c r="N101" i="35"/>
  <c r="E125" i="33"/>
  <c r="L103" i="35"/>
  <c r="H148" i="33"/>
  <c r="E102" i="58"/>
  <c r="E103" i="58" s="1"/>
  <c r="E97" i="57"/>
  <c r="E98" i="57" s="1"/>
  <c r="G203" i="33"/>
  <c r="N165" i="35"/>
  <c r="H420" i="33"/>
  <c r="L155" i="35"/>
  <c r="E102" i="57"/>
  <c r="E103" i="57" s="1"/>
  <c r="F261" i="33"/>
  <c r="P148" i="35"/>
  <c r="E185" i="35"/>
  <c r="H404" i="33"/>
  <c r="E126" i="33"/>
  <c r="H79" i="33"/>
  <c r="F149" i="33"/>
  <c r="H77" i="57"/>
  <c r="H78" i="57" s="1"/>
  <c r="H429" i="33"/>
  <c r="N47" i="35"/>
  <c r="I173" i="35"/>
  <c r="I137" i="35"/>
  <c r="E335" i="33"/>
  <c r="F346" i="33"/>
  <c r="E238" i="33"/>
  <c r="N185" i="35"/>
  <c r="E77" i="58"/>
  <c r="E78" i="58" s="1"/>
  <c r="I113" i="35"/>
  <c r="I123" i="35"/>
  <c r="J123" i="35" s="1"/>
  <c r="L105" i="35"/>
  <c r="E168" i="35"/>
  <c r="K168" i="35" s="1"/>
  <c r="F168" i="35" s="1"/>
  <c r="G161" i="33"/>
  <c r="I161" i="33" s="1"/>
  <c r="J161" i="33" s="1"/>
  <c r="H124" i="33"/>
  <c r="H128" i="33"/>
  <c r="G107" i="33"/>
  <c r="H185" i="33"/>
  <c r="P149" i="35"/>
  <c r="P158" i="35"/>
  <c r="E263" i="33"/>
  <c r="P38" i="30"/>
  <c r="G291" i="33"/>
  <c r="G428" i="33"/>
  <c r="F324" i="33"/>
  <c r="G221" i="33"/>
  <c r="H191" i="33"/>
  <c r="H85" i="33"/>
  <c r="E96" i="33"/>
  <c r="N65" i="35"/>
  <c r="F191" i="33"/>
  <c r="E427" i="33"/>
  <c r="G181" i="33"/>
  <c r="E175" i="33"/>
  <c r="G432" i="33"/>
  <c r="F444" i="33"/>
  <c r="F255" i="33"/>
  <c r="E165" i="33"/>
  <c r="P78" i="35"/>
  <c r="H80" i="33"/>
  <c r="P128" i="35"/>
  <c r="H107" i="33"/>
  <c r="G209" i="33"/>
  <c r="I209" i="33" s="1"/>
  <c r="E105" i="35"/>
  <c r="K105" i="35" s="1"/>
  <c r="F105" i="35" s="1"/>
  <c r="G241" i="33"/>
  <c r="N85" i="35"/>
  <c r="E121" i="35"/>
  <c r="F59" i="33"/>
  <c r="F392" i="33"/>
  <c r="F234" i="33"/>
  <c r="F262" i="33"/>
  <c r="N76" i="35"/>
  <c r="E284" i="33"/>
  <c r="H45" i="33"/>
  <c r="F219" i="33"/>
  <c r="G268" i="33"/>
  <c r="G218" i="33"/>
  <c r="F215" i="33"/>
  <c r="H460" i="33"/>
  <c r="H425" i="33"/>
  <c r="E69" i="35"/>
  <c r="H238" i="33"/>
  <c r="H246" i="33"/>
  <c r="P59" i="35"/>
  <c r="H458" i="33"/>
  <c r="L167" i="35"/>
  <c r="F442" i="33"/>
  <c r="N155" i="35"/>
  <c r="G131" i="35"/>
  <c r="H131" i="35" s="1"/>
  <c r="H210" i="33"/>
  <c r="G231" i="33"/>
  <c r="I231" i="33" s="1"/>
  <c r="E336" i="33"/>
  <c r="F320" i="33"/>
  <c r="H107" i="58"/>
  <c r="H108" i="58" s="1"/>
  <c r="G141" i="35"/>
  <c r="H141" i="35" s="1"/>
  <c r="H350" i="33"/>
  <c r="H101" i="33"/>
  <c r="F373" i="33"/>
  <c r="G149" i="33"/>
  <c r="H390" i="33"/>
  <c r="F146" i="33"/>
  <c r="P137" i="35"/>
  <c r="G132" i="33"/>
  <c r="I132" i="33" s="1"/>
  <c r="J132" i="33" s="1"/>
  <c r="G403" i="33"/>
  <c r="G418" i="33"/>
  <c r="I418" i="33" s="1"/>
  <c r="H220" i="33"/>
  <c r="E242" i="33"/>
  <c r="G233" i="33"/>
  <c r="H282" i="33"/>
  <c r="F127" i="33"/>
  <c r="F82" i="33"/>
  <c r="H154" i="33"/>
  <c r="G96" i="33"/>
  <c r="I96" i="33" s="1"/>
  <c r="E52" i="58"/>
  <c r="E53" i="58" s="1"/>
  <c r="E402" i="33"/>
  <c r="I185" i="35"/>
  <c r="J185" i="35" s="1"/>
  <c r="H211" i="33"/>
  <c r="I84" i="35"/>
  <c r="F451" i="33"/>
  <c r="G73" i="33"/>
  <c r="I73" i="33" s="1"/>
  <c r="E433" i="33"/>
  <c r="H421" i="33"/>
  <c r="G165" i="33"/>
  <c r="F160" i="33"/>
  <c r="P50" i="35"/>
  <c r="F92" i="57"/>
  <c r="F93" i="57" s="1"/>
  <c r="N105" i="35"/>
  <c r="F227" i="33"/>
  <c r="G186" i="33"/>
  <c r="G97" i="58"/>
  <c r="F329" i="33"/>
  <c r="H367" i="33"/>
  <c r="H346" i="33"/>
  <c r="G208" i="33"/>
  <c r="I182" i="35"/>
  <c r="G379" i="33"/>
  <c r="I48" i="35"/>
  <c r="E268" i="33"/>
  <c r="F453" i="33"/>
  <c r="O27" i="28"/>
  <c r="BN27" i="28"/>
  <c r="BF25" i="28"/>
  <c r="AQ25" i="28"/>
  <c r="BU25" i="28"/>
  <c r="C27" i="28"/>
  <c r="X27" i="28"/>
  <c r="K27" i="28"/>
  <c r="BC25" i="28"/>
  <c r="L25" i="28"/>
  <c r="Z26" i="28"/>
  <c r="AP25" i="28"/>
  <c r="BP25" i="28"/>
  <c r="X26" i="28"/>
  <c r="G25" i="28"/>
  <c r="BR27" i="28"/>
  <c r="AR25" i="28"/>
  <c r="D26" i="28"/>
  <c r="AP26" i="28"/>
  <c r="BM27" i="28"/>
  <c r="F26" i="28"/>
  <c r="BJ25" i="28"/>
  <c r="BA27" i="28"/>
  <c r="C25" i="28"/>
  <c r="BS26" i="28"/>
  <c r="AP27" i="28"/>
  <c r="AL27" i="28"/>
  <c r="B25" i="28"/>
  <c r="AC25" i="28"/>
  <c r="BP27" i="28"/>
  <c r="BR26" i="28"/>
  <c r="AJ25" i="28"/>
  <c r="AM26" i="28"/>
  <c r="AK26" i="28"/>
  <c r="BC26" i="28"/>
  <c r="B26" i="28"/>
  <c r="E27" i="28"/>
  <c r="AG26" i="28"/>
  <c r="BB26" i="28"/>
  <c r="G27" i="28"/>
  <c r="BR25" i="28"/>
  <c r="AC27" i="28"/>
  <c r="J27" i="28"/>
  <c r="Y26" i="28"/>
  <c r="BL27" i="28"/>
  <c r="U27" i="28"/>
  <c r="W27" i="28"/>
  <c r="AH25" i="28"/>
  <c r="BO27" i="28"/>
  <c r="AR27" i="28"/>
  <c r="S25" i="28"/>
  <c r="V27" i="28"/>
  <c r="AA27" i="28"/>
  <c r="AU26" i="28"/>
  <c r="AG27" i="28"/>
  <c r="K25" i="28"/>
  <c r="BI27" i="28"/>
  <c r="AI25" i="28"/>
  <c r="AB25" i="28"/>
  <c r="BK27" i="28"/>
  <c r="Q26" i="28"/>
  <c r="T26" i="28"/>
  <c r="H26" i="28"/>
  <c r="R25" i="28"/>
  <c r="AF25" i="28"/>
  <c r="BE27" i="28"/>
  <c r="BE26" i="28"/>
  <c r="N25" i="28"/>
  <c r="BD27" i="28"/>
  <c r="AY27" i="28"/>
  <c r="O25" i="28"/>
  <c r="H25" i="28"/>
  <c r="BD25" i="28"/>
  <c r="W26" i="28"/>
  <c r="BS27" i="28"/>
  <c r="AY25" i="28"/>
  <c r="BG25" i="28"/>
  <c r="BT26" i="28"/>
  <c r="BL25" i="28"/>
  <c r="AL25" i="28"/>
  <c r="AI27" i="28"/>
  <c r="G26" i="28"/>
  <c r="K26" i="28"/>
  <c r="J26" i="28"/>
  <c r="AG25" i="28"/>
  <c r="Y25" i="28"/>
  <c r="T27" i="28"/>
  <c r="BK26" i="28"/>
  <c r="AE26" i="28"/>
  <c r="BQ27" i="28"/>
  <c r="BJ27" i="28"/>
  <c r="AV26" i="28"/>
  <c r="AO27" i="28"/>
  <c r="BN26" i="28"/>
  <c r="BM26" i="28"/>
  <c r="BB25" i="28"/>
  <c r="AR26" i="28"/>
  <c r="BF27" i="28"/>
  <c r="AJ27" i="28"/>
  <c r="V26" i="28"/>
  <c r="I25" i="28"/>
  <c r="E25" i="28"/>
  <c r="AD26" i="28"/>
  <c r="L27" i="28"/>
  <c r="AC26" i="28"/>
  <c r="AE27" i="28"/>
  <c r="AH27" i="28"/>
  <c r="Z25" i="28"/>
  <c r="AO25" i="28"/>
  <c r="AZ27" i="28"/>
  <c r="AS27" i="28"/>
  <c r="AK27" i="28"/>
  <c r="AK25" i="28"/>
  <c r="AJ26" i="28"/>
  <c r="Y27" i="28"/>
  <c r="AS25" i="28"/>
  <c r="H27" i="28"/>
  <c r="D25" i="28"/>
  <c r="D27" i="28"/>
  <c r="BO26" i="28"/>
  <c r="AW26" i="28"/>
  <c r="U26" i="28"/>
  <c r="AW25" i="28"/>
  <c r="BH25" i="28"/>
  <c r="AE25" i="28"/>
  <c r="V25" i="28"/>
  <c r="AQ26" i="28"/>
  <c r="C26" i="28"/>
  <c r="AD25" i="28"/>
  <c r="BB27" i="28"/>
  <c r="AA26" i="28"/>
  <c r="P26" i="28"/>
  <c r="BG27" i="28"/>
  <c r="AF26" i="28"/>
  <c r="BG26" i="28"/>
  <c r="BU26" i="28"/>
  <c r="AT27" i="28"/>
  <c r="BQ25" i="28"/>
  <c r="E26" i="28"/>
  <c r="AZ25" i="28"/>
  <c r="X25" i="28"/>
  <c r="AD27" i="28"/>
  <c r="AX27" i="28"/>
  <c r="AZ26" i="28"/>
  <c r="BE25" i="28"/>
  <c r="BH27" i="28"/>
  <c r="BO25" i="28"/>
  <c r="BM25" i="28"/>
  <c r="J25" i="28"/>
  <c r="BU27" i="28"/>
  <c r="M26" i="28"/>
  <c r="N26" i="28"/>
  <c r="AV27" i="28"/>
  <c r="AH26" i="28"/>
  <c r="S27" i="28"/>
  <c r="AI26" i="28"/>
  <c r="BQ26" i="28"/>
  <c r="AM27" i="28"/>
  <c r="U25" i="28"/>
  <c r="AB27" i="28"/>
  <c r="Z27" i="28"/>
  <c r="AN25" i="28"/>
  <c r="T25" i="28"/>
  <c r="AF27" i="28"/>
  <c r="BN25" i="28"/>
  <c r="F27" i="28"/>
  <c r="BF26" i="28"/>
  <c r="Q25" i="28"/>
  <c r="AM25" i="28"/>
  <c r="BT25" i="28"/>
  <c r="AU25" i="28"/>
  <c r="BL26" i="28"/>
  <c r="AU27" i="28"/>
  <c r="R27" i="28"/>
  <c r="BH26" i="28"/>
  <c r="AV25" i="28"/>
  <c r="AS26" i="28"/>
  <c r="Q27" i="28"/>
  <c r="I27" i="28"/>
  <c r="AY26" i="28"/>
  <c r="AT25" i="28"/>
  <c r="R26" i="28"/>
  <c r="BJ26" i="28"/>
  <c r="AA25" i="28"/>
  <c r="AN27" i="28"/>
  <c r="N27" i="28"/>
  <c r="BD26" i="28"/>
  <c r="BK25" i="28"/>
  <c r="S26" i="28"/>
  <c r="P27" i="28"/>
  <c r="AN26" i="28"/>
  <c r="BC27" i="28"/>
  <c r="BA26" i="28"/>
  <c r="BS25" i="28"/>
  <c r="AT26" i="28"/>
  <c r="F25" i="28"/>
  <c r="I26" i="28"/>
  <c r="AX26" i="28"/>
  <c r="O26" i="28"/>
  <c r="AW27" i="28"/>
  <c r="AO26" i="28"/>
  <c r="BP26" i="28"/>
  <c r="AX25" i="28"/>
  <c r="B27" i="28"/>
  <c r="BI25" i="28"/>
  <c r="L26" i="28"/>
  <c r="BT27" i="28"/>
  <c r="AQ27" i="28"/>
  <c r="BI26" i="28"/>
  <c r="AL26" i="28"/>
  <c r="M25" i="28"/>
  <c r="P25" i="28"/>
  <c r="M27" i="28"/>
  <c r="BA25" i="28"/>
  <c r="W25" i="28"/>
  <c r="AB26" i="28"/>
  <c r="L112" i="35"/>
  <c r="H71" i="33"/>
  <c r="P75" i="35"/>
  <c r="G273" i="33"/>
  <c r="AU30" i="28"/>
  <c r="AB30" i="28"/>
  <c r="U30" i="28"/>
  <c r="F28" i="28"/>
  <c r="AO28" i="28"/>
  <c r="BM30" i="28"/>
  <c r="J29" i="28"/>
  <c r="BE30" i="28"/>
  <c r="AU29" i="28"/>
  <c r="AG28" i="28"/>
  <c r="BA28" i="28"/>
  <c r="BF28" i="28"/>
  <c r="AX30" i="28"/>
  <c r="BM28" i="28"/>
  <c r="AE29" i="28"/>
  <c r="AJ28" i="28"/>
  <c r="BC30" i="28"/>
  <c r="BA29" i="28"/>
  <c r="BT30" i="28"/>
  <c r="C30" i="28"/>
  <c r="AK30" i="28"/>
  <c r="BK28" i="28"/>
  <c r="BC29" i="28"/>
  <c r="AT30" i="28"/>
  <c r="AZ28" i="28"/>
  <c r="AE30" i="28"/>
  <c r="BN30" i="28"/>
  <c r="BR29" i="28"/>
  <c r="Y29" i="28"/>
  <c r="Q29" i="28"/>
  <c r="Y28" i="28"/>
  <c r="W29" i="28"/>
  <c r="P29" i="28"/>
  <c r="AS29" i="28"/>
  <c r="BD30" i="28"/>
  <c r="AD30" i="28"/>
  <c r="N30" i="28"/>
  <c r="AV30" i="28"/>
  <c r="G30" i="28"/>
  <c r="X29" i="28"/>
  <c r="AV28" i="28"/>
  <c r="S30" i="28"/>
  <c r="BH28" i="28"/>
  <c r="AP29" i="28"/>
  <c r="AC30" i="28"/>
  <c r="AN30" i="28"/>
  <c r="AK28" i="28"/>
  <c r="D28" i="28"/>
  <c r="BG28" i="28"/>
  <c r="S29" i="28"/>
  <c r="BI29" i="28"/>
  <c r="AN28" i="28"/>
  <c r="AA29" i="28"/>
  <c r="BR28" i="28"/>
  <c r="B29" i="28"/>
  <c r="AX28" i="28"/>
  <c r="Z28" i="28"/>
  <c r="X30" i="28"/>
  <c r="AI30" i="28"/>
  <c r="I28" i="28"/>
  <c r="BR30" i="28"/>
  <c r="BE29" i="28"/>
  <c r="AJ29" i="28"/>
  <c r="BP30" i="28"/>
  <c r="BS30" i="28"/>
  <c r="BH30" i="28"/>
  <c r="K28" i="28"/>
  <c r="BB28" i="28"/>
  <c r="AT28" i="28"/>
  <c r="K29" i="28"/>
  <c r="BN29" i="28"/>
  <c r="BD29" i="28"/>
  <c r="AT29" i="28"/>
  <c r="U29" i="28"/>
  <c r="T30" i="28"/>
  <c r="AG30" i="28"/>
  <c r="AH28" i="28"/>
  <c r="BL29" i="28"/>
  <c r="AH29" i="28"/>
  <c r="AQ30" i="28"/>
  <c r="AL30" i="28"/>
  <c r="G28" i="28"/>
  <c r="BT28" i="28"/>
  <c r="P30" i="28"/>
  <c r="P28" i="28"/>
  <c r="I30" i="28"/>
  <c r="E28" i="28"/>
  <c r="L29" i="28"/>
  <c r="H28" i="28"/>
  <c r="AW29" i="28"/>
  <c r="BO30" i="28"/>
  <c r="AB29" i="28"/>
  <c r="AP28" i="28"/>
  <c r="AD28" i="28"/>
  <c r="AQ29" i="28"/>
  <c r="BC28" i="28"/>
  <c r="AR28" i="28"/>
  <c r="AW30" i="28"/>
  <c r="R29" i="28"/>
  <c r="AK29" i="28"/>
  <c r="AZ29" i="28"/>
  <c r="F29" i="28"/>
  <c r="Q30" i="28"/>
  <c r="AM28" i="28"/>
  <c r="AC29" i="28"/>
  <c r="AH30" i="28"/>
  <c r="Y30" i="28"/>
  <c r="C28" i="28"/>
  <c r="D30" i="28"/>
  <c r="V28" i="28"/>
  <c r="V30" i="28"/>
  <c r="J28" i="28"/>
  <c r="BA30" i="28"/>
  <c r="BS29" i="28"/>
  <c r="Z29" i="28"/>
  <c r="V29" i="28"/>
  <c r="AQ28" i="28"/>
  <c r="T28" i="28"/>
  <c r="AY29" i="28"/>
  <c r="AY28" i="28"/>
  <c r="BI30" i="28"/>
  <c r="W28" i="28"/>
  <c r="BQ29" i="28"/>
  <c r="N28" i="28"/>
  <c r="W30" i="28"/>
  <c r="BP28" i="28"/>
  <c r="BG30" i="28"/>
  <c r="BS28" i="28"/>
  <c r="BM29" i="28"/>
  <c r="AD29" i="28"/>
  <c r="AS30" i="28"/>
  <c r="O29" i="28"/>
  <c r="M28" i="28"/>
  <c r="S28" i="28"/>
  <c r="BO29" i="28"/>
  <c r="BG29" i="28"/>
  <c r="AJ30" i="28"/>
  <c r="BK30" i="28"/>
  <c r="D29" i="28"/>
  <c r="BF29" i="28"/>
  <c r="U28" i="28"/>
  <c r="BU30" i="28"/>
  <c r="R30" i="28"/>
  <c r="AI28" i="28"/>
  <c r="AZ30" i="28"/>
  <c r="BE28" i="28"/>
  <c r="BJ30" i="28"/>
  <c r="BQ30" i="28"/>
  <c r="E30" i="28"/>
  <c r="H30" i="28"/>
  <c r="AF29" i="28"/>
  <c r="AV29" i="28"/>
  <c r="AG29" i="28"/>
  <c r="B28" i="28"/>
  <c r="O30" i="28"/>
  <c r="AA30" i="28"/>
  <c r="BO28" i="28"/>
  <c r="AA28" i="28"/>
  <c r="BI28" i="28"/>
  <c r="AN29" i="28"/>
  <c r="AL29" i="28"/>
  <c r="BL28" i="28"/>
  <c r="AW28" i="28"/>
  <c r="B30" i="28"/>
  <c r="AS28" i="28"/>
  <c r="L30" i="28"/>
  <c r="AP30" i="28"/>
  <c r="G29" i="28"/>
  <c r="BQ28" i="28"/>
  <c r="AI29" i="28"/>
  <c r="X28" i="28"/>
  <c r="M30" i="28"/>
  <c r="BJ29" i="28"/>
  <c r="BT29" i="28"/>
  <c r="BD28" i="28"/>
  <c r="AR29" i="28"/>
  <c r="Z30" i="28"/>
  <c r="BF30" i="28"/>
  <c r="O28" i="28"/>
  <c r="T29" i="28"/>
  <c r="BH29" i="28"/>
  <c r="I29" i="28"/>
  <c r="AC28" i="28"/>
  <c r="BJ28" i="28"/>
  <c r="BU29" i="28"/>
  <c r="BB30" i="28"/>
  <c r="K30" i="28"/>
  <c r="AR30" i="28"/>
  <c r="E29" i="28"/>
  <c r="BL30" i="28"/>
  <c r="AX29" i="28"/>
  <c r="AO30" i="28"/>
  <c r="AU28" i="28"/>
  <c r="BP29" i="28"/>
  <c r="AY30" i="28"/>
  <c r="Q28" i="28"/>
  <c r="AM30" i="28"/>
  <c r="J30" i="28"/>
  <c r="AB28" i="28"/>
  <c r="C29" i="28"/>
  <c r="AF28" i="28"/>
  <c r="AM29" i="28"/>
  <c r="R28" i="28"/>
  <c r="AO29" i="28"/>
  <c r="AF30" i="28"/>
  <c r="F30" i="28"/>
  <c r="BK29" i="28"/>
  <c r="AE28" i="28"/>
  <c r="AL28" i="28"/>
  <c r="H29" i="28"/>
  <c r="BN28" i="28"/>
  <c r="N29" i="28"/>
  <c r="BU28" i="28"/>
  <c r="L28" i="28"/>
  <c r="BB29" i="28"/>
  <c r="M29" i="28"/>
  <c r="F47" i="57"/>
  <c r="F48" i="57" s="1"/>
  <c r="G87" i="35"/>
  <c r="H87" i="35" s="1"/>
  <c r="H365" i="33"/>
  <c r="F268" i="33"/>
  <c r="F112" i="57"/>
  <c r="F113" i="57" s="1"/>
  <c r="E259" i="33"/>
  <c r="E420" i="33"/>
  <c r="G85" i="35"/>
  <c r="G106" i="33"/>
  <c r="G113" i="35"/>
  <c r="H113" i="35" s="1"/>
  <c r="H321" i="33"/>
  <c r="F76" i="33"/>
  <c r="G166" i="33"/>
  <c r="I166" i="33" s="1"/>
  <c r="E156" i="35"/>
  <c r="H348" i="33"/>
  <c r="F436" i="33"/>
  <c r="P76" i="35"/>
  <c r="P58" i="35"/>
  <c r="E53" i="33"/>
  <c r="G74" i="33"/>
  <c r="P184" i="35"/>
  <c r="F85" i="33"/>
  <c r="L183" i="35"/>
  <c r="E102" i="35"/>
  <c r="F65" i="33"/>
  <c r="G38" i="30"/>
  <c r="G60" i="30" s="1"/>
  <c r="E184" i="33"/>
  <c r="H296" i="33"/>
  <c r="H78" i="33"/>
  <c r="F45" i="33"/>
  <c r="H237" i="33"/>
  <c r="F389" i="33"/>
  <c r="F463" i="33"/>
  <c r="H100" i="33"/>
  <c r="H201" i="33"/>
  <c r="E84" i="35"/>
  <c r="G82" i="58"/>
  <c r="G104" i="35"/>
  <c r="H104" i="35" s="1"/>
  <c r="L123" i="35"/>
  <c r="E389" i="33"/>
  <c r="H77" i="33"/>
  <c r="H454" i="33"/>
  <c r="G50" i="33"/>
  <c r="I50" i="33" s="1"/>
  <c r="L122" i="35"/>
  <c r="G130" i="33"/>
  <c r="I130" i="33" s="1"/>
  <c r="F56" i="33"/>
  <c r="I112" i="35"/>
  <c r="I51" i="35"/>
  <c r="F121" i="33"/>
  <c r="G47" i="58"/>
  <c r="E341" i="33"/>
  <c r="E355" i="33"/>
  <c r="L66" i="35"/>
  <c r="N58" i="35"/>
  <c r="E119" i="33"/>
  <c r="F275" i="33"/>
  <c r="H65" i="33"/>
  <c r="E424" i="33"/>
  <c r="I95" i="35"/>
  <c r="J95" i="35" s="1"/>
  <c r="F135" i="33"/>
  <c r="F180" i="33"/>
  <c r="E264" i="33"/>
  <c r="G426" i="33"/>
  <c r="I426" i="33" s="1"/>
  <c r="H98" i="33"/>
  <c r="N137" i="35"/>
  <c r="F311" i="33"/>
  <c r="H263" i="33"/>
  <c r="G64" i="33"/>
  <c r="F341" i="33"/>
  <c r="H226" i="33"/>
  <c r="G299" i="33"/>
  <c r="E148" i="33"/>
  <c r="H334" i="33"/>
  <c r="F431" i="33"/>
  <c r="F50" i="33"/>
  <c r="E48" i="33"/>
  <c r="L164" i="35"/>
  <c r="H461" i="33"/>
  <c r="F100" i="33"/>
  <c r="E430" i="33"/>
  <c r="L113" i="35"/>
  <c r="N77" i="35"/>
  <c r="H139" i="33"/>
  <c r="F408" i="33"/>
  <c r="E38" i="33"/>
  <c r="G415" i="33"/>
  <c r="E187" i="33"/>
  <c r="E68" i="33"/>
  <c r="F455" i="33"/>
  <c r="E101" i="35"/>
  <c r="H42" i="57"/>
  <c r="H43" i="57" s="1"/>
  <c r="F369" i="33"/>
  <c r="N56" i="35"/>
  <c r="G337" i="33"/>
  <c r="I337" i="33" s="1"/>
  <c r="E103" i="35"/>
  <c r="G120" i="33"/>
  <c r="F459" i="33"/>
  <c r="F293" i="33"/>
  <c r="L86" i="35"/>
  <c r="P131" i="35"/>
  <c r="F103" i="33"/>
  <c r="H265" i="33"/>
  <c r="G351" i="33"/>
  <c r="G446" i="33"/>
  <c r="I446" i="33" s="1"/>
  <c r="J446" i="33" s="1"/>
  <c r="G62" i="57"/>
  <c r="G121" i="35"/>
  <c r="H351" i="33"/>
  <c r="E40" i="33"/>
  <c r="N50" i="35"/>
  <c r="E74" i="33"/>
  <c r="F372" i="33"/>
  <c r="G57" i="33"/>
  <c r="I57" i="33" s="1"/>
  <c r="E269" i="33"/>
  <c r="F75" i="33"/>
  <c r="F433" i="33"/>
  <c r="F218" i="33"/>
  <c r="F409" i="33"/>
  <c r="G405" i="33"/>
  <c r="I405" i="33" s="1"/>
  <c r="J405" i="33" s="1"/>
  <c r="E127" i="33"/>
  <c r="H62" i="58"/>
  <c r="H63" i="58" s="1"/>
  <c r="E416" i="33"/>
  <c r="G235" i="33"/>
  <c r="I235" i="33" s="1"/>
  <c r="G82" i="33"/>
  <c r="I82" i="33" s="1"/>
  <c r="J82" i="33" s="1"/>
  <c r="I68" i="35"/>
  <c r="G416" i="33"/>
  <c r="I416" i="33" s="1"/>
  <c r="F177" i="33"/>
  <c r="H76" i="33"/>
  <c r="F47" i="58"/>
  <c r="F48" i="58" s="1"/>
  <c r="F79" i="33"/>
  <c r="E328" i="33"/>
  <c r="F139" i="33"/>
  <c r="E150" i="33"/>
  <c r="P74" i="35"/>
  <c r="E66" i="35"/>
  <c r="G93" i="35"/>
  <c r="E48" i="35"/>
  <c r="G347" i="33"/>
  <c r="E44" i="33"/>
  <c r="E234" i="33"/>
  <c r="E324" i="33"/>
  <c r="H261" i="33"/>
  <c r="H364" i="33"/>
  <c r="E112" i="33"/>
  <c r="G102" i="57"/>
  <c r="H111" i="33"/>
  <c r="H435" i="33"/>
  <c r="G226" i="33"/>
  <c r="H322" i="33"/>
  <c r="F70" i="33"/>
  <c r="G289" i="33"/>
  <c r="G109" i="33"/>
  <c r="I109" i="33" s="1"/>
  <c r="F210" i="33"/>
  <c r="F236" i="33"/>
  <c r="F37" i="33"/>
  <c r="F416" i="33"/>
  <c r="E227" i="33"/>
  <c r="P111" i="35"/>
  <c r="F378" i="33"/>
  <c r="H424" i="33"/>
  <c r="E58" i="35"/>
  <c r="K58" i="35" s="1"/>
  <c r="F58" i="35" s="1"/>
  <c r="H462" i="33"/>
  <c r="E87" i="58"/>
  <c r="E88" i="58" s="1"/>
  <c r="Q44" i="28"/>
  <c r="BK44" i="28"/>
  <c r="AF43" i="28"/>
  <c r="AQ44" i="28"/>
  <c r="AL45" i="28"/>
  <c r="U44" i="28"/>
  <c r="F43" i="28"/>
  <c r="BE45" i="28"/>
  <c r="N45" i="28"/>
  <c r="BC43" i="28"/>
  <c r="BQ45" i="28"/>
  <c r="BI43" i="28"/>
  <c r="K45" i="28"/>
  <c r="BN45" i="28"/>
  <c r="BD45" i="28"/>
  <c r="J45" i="28"/>
  <c r="V43" i="28"/>
  <c r="AU45" i="28"/>
  <c r="AX43" i="28"/>
  <c r="O44" i="28"/>
  <c r="BK45" i="28"/>
  <c r="W43" i="28"/>
  <c r="AS43" i="28"/>
  <c r="AZ44" i="28"/>
  <c r="J44" i="28"/>
  <c r="AT44" i="28"/>
  <c r="AI44" i="28"/>
  <c r="AZ43" i="28"/>
  <c r="BT45" i="28"/>
  <c r="Z44" i="28"/>
  <c r="BB43" i="28"/>
  <c r="BS44" i="28"/>
  <c r="K43" i="28"/>
  <c r="BR45" i="28"/>
  <c r="K44" i="28"/>
  <c r="BT44" i="28"/>
  <c r="AV44" i="28"/>
  <c r="D43" i="28"/>
  <c r="AB45" i="28"/>
  <c r="AU43" i="28"/>
  <c r="BN43" i="28"/>
  <c r="Q43" i="28"/>
  <c r="BB45" i="28"/>
  <c r="BR44" i="28"/>
  <c r="AO45" i="28"/>
  <c r="C43" i="28"/>
  <c r="AK44" i="28"/>
  <c r="G44" i="28"/>
  <c r="L43" i="28"/>
  <c r="P44" i="28"/>
  <c r="H45" i="28"/>
  <c r="AE45" i="28"/>
  <c r="AJ44" i="28"/>
  <c r="G45" i="28"/>
  <c r="BC45" i="28"/>
  <c r="BJ43" i="28"/>
  <c r="BC44" i="28"/>
  <c r="S43" i="28"/>
  <c r="AV45" i="28"/>
  <c r="U45" i="28"/>
  <c r="P45" i="28"/>
  <c r="AI43" i="28"/>
  <c r="N43" i="28"/>
  <c r="AW45" i="28"/>
  <c r="V44" i="28"/>
  <c r="AW44" i="28"/>
  <c r="AJ45" i="28"/>
  <c r="O45" i="28"/>
  <c r="BT43" i="28"/>
  <c r="AC43" i="28"/>
  <c r="H43" i="28"/>
  <c r="S45" i="28"/>
  <c r="AR45" i="28"/>
  <c r="F44" i="28"/>
  <c r="AK43" i="28"/>
  <c r="C45" i="28"/>
  <c r="BM45" i="28"/>
  <c r="AY44" i="28"/>
  <c r="AP44" i="28"/>
  <c r="BO44" i="28"/>
  <c r="BA45" i="28"/>
  <c r="AS44" i="28"/>
  <c r="BE43" i="28"/>
  <c r="E43" i="28"/>
  <c r="AN43" i="28"/>
  <c r="W44" i="28"/>
  <c r="I43" i="28"/>
  <c r="BJ45" i="28"/>
  <c r="BM43" i="28"/>
  <c r="AM43" i="28"/>
  <c r="D44" i="28"/>
  <c r="M45" i="28"/>
  <c r="BG43" i="28"/>
  <c r="AB43" i="28"/>
  <c r="AH45" i="28"/>
  <c r="AO44" i="28"/>
  <c r="BS43" i="28"/>
  <c r="AD45" i="28"/>
  <c r="AS45" i="28"/>
  <c r="AM45" i="28"/>
  <c r="BR43" i="28"/>
  <c r="AA45" i="28"/>
  <c r="D45" i="28"/>
  <c r="AB44" i="28"/>
  <c r="BH44" i="28"/>
  <c r="AR44" i="28"/>
  <c r="V45" i="28"/>
  <c r="AA43" i="28"/>
  <c r="AY45" i="28"/>
  <c r="Z43" i="28"/>
  <c r="X45" i="28"/>
  <c r="AZ45" i="28"/>
  <c r="BA44" i="28"/>
  <c r="M43" i="28"/>
  <c r="AA44" i="28"/>
  <c r="BF44" i="28"/>
  <c r="F45" i="28"/>
  <c r="Z45" i="28"/>
  <c r="O43" i="28"/>
  <c r="BH45" i="28"/>
  <c r="AG44" i="28"/>
  <c r="P43" i="28"/>
  <c r="AX45" i="28"/>
  <c r="R45" i="28"/>
  <c r="BO43" i="28"/>
  <c r="AL44" i="28"/>
  <c r="J43" i="28"/>
  <c r="G43" i="28"/>
  <c r="BP43" i="28"/>
  <c r="X43" i="28"/>
  <c r="BU45" i="28"/>
  <c r="BS45" i="28"/>
  <c r="BN44" i="28"/>
  <c r="AQ45" i="28"/>
  <c r="AN44" i="28"/>
  <c r="BQ43" i="28"/>
  <c r="L45" i="28"/>
  <c r="BL45" i="28"/>
  <c r="E44" i="28"/>
  <c r="AT43" i="28"/>
  <c r="BD43" i="28"/>
  <c r="AD43" i="28"/>
  <c r="AG43" i="28"/>
  <c r="N44" i="28"/>
  <c r="AW43" i="28"/>
  <c r="BG44" i="28"/>
  <c r="AC45" i="28"/>
  <c r="AE43" i="28"/>
  <c r="AO43" i="28"/>
  <c r="U43" i="28"/>
  <c r="AN45" i="28"/>
  <c r="AT45" i="28"/>
  <c r="AE44" i="28"/>
  <c r="AX44" i="28"/>
  <c r="S44" i="28"/>
  <c r="BH43" i="28"/>
  <c r="R43" i="28"/>
  <c r="BA43" i="28"/>
  <c r="BF43" i="28"/>
  <c r="AL43" i="28"/>
  <c r="BO45" i="28"/>
  <c r="AQ43" i="28"/>
  <c r="BG45" i="28"/>
  <c r="BL43" i="28"/>
  <c r="M44" i="28"/>
  <c r="AH44" i="28"/>
  <c r="AP43" i="28"/>
  <c r="T44" i="28"/>
  <c r="BP44" i="28"/>
  <c r="AP45" i="28"/>
  <c r="X44" i="28"/>
  <c r="AK45" i="28"/>
  <c r="AI45" i="28"/>
  <c r="BI44" i="28"/>
  <c r="B45" i="28"/>
  <c r="C44" i="28"/>
  <c r="R44" i="28"/>
  <c r="BJ44" i="28"/>
  <c r="AM44" i="28"/>
  <c r="AU44" i="28"/>
  <c r="AH43" i="28"/>
  <c r="AC44" i="28"/>
  <c r="T43" i="28"/>
  <c r="L44" i="28"/>
  <c r="Q45" i="28"/>
  <c r="AD44" i="28"/>
  <c r="H44" i="28"/>
  <c r="AY43" i="28"/>
  <c r="BL44" i="28"/>
  <c r="BD44" i="28"/>
  <c r="W45" i="28"/>
  <c r="Y45" i="28"/>
  <c r="B43" i="28"/>
  <c r="AG45" i="28"/>
  <c r="I45" i="28"/>
  <c r="B44" i="28"/>
  <c r="BF45" i="28"/>
  <c r="BB44" i="28"/>
  <c r="E45" i="28"/>
  <c r="BK43" i="28"/>
  <c r="BU43" i="28"/>
  <c r="AR43" i="28"/>
  <c r="BE44" i="28"/>
  <c r="AF45" i="28"/>
  <c r="BM44" i="28"/>
  <c r="T45" i="28"/>
  <c r="Y44" i="28"/>
  <c r="I44" i="28"/>
  <c r="BI45" i="28"/>
  <c r="BP45" i="28"/>
  <c r="AV43" i="28"/>
  <c r="AF44" i="28"/>
  <c r="BQ44" i="28"/>
  <c r="AJ43" i="28"/>
  <c r="Y43" i="28"/>
  <c r="BU44" i="28"/>
  <c r="I111" i="35"/>
  <c r="J111" i="35" s="1"/>
  <c r="E154" i="33"/>
  <c r="H408" i="33"/>
  <c r="E47" i="58"/>
  <c r="E48" i="58" s="1"/>
  <c r="E75" i="35"/>
  <c r="F237" i="33"/>
  <c r="E257" i="33"/>
  <c r="H337" i="33"/>
  <c r="G267" i="33"/>
  <c r="L140" i="35"/>
  <c r="H39" i="33"/>
  <c r="F84" i="33"/>
  <c r="G177" i="35"/>
  <c r="H177" i="35" s="1"/>
  <c r="E55" i="33"/>
  <c r="F417" i="33"/>
  <c r="I78" i="35"/>
  <c r="J78" i="35" s="1"/>
  <c r="H165" i="33"/>
  <c r="E120" i="35"/>
  <c r="G348" i="33"/>
  <c r="G312" i="33"/>
  <c r="I312" i="33" s="1"/>
  <c r="G133" i="33"/>
  <c r="I133" i="33" s="1"/>
  <c r="J133" i="33" s="1"/>
  <c r="G163" i="33"/>
  <c r="F77" i="57"/>
  <c r="F78" i="57" s="1"/>
  <c r="G78" i="35"/>
  <c r="H78" i="35" s="1"/>
  <c r="G311" i="33"/>
  <c r="I128" i="35"/>
  <c r="F410" i="33"/>
  <c r="P92" i="35"/>
  <c r="E185" i="33"/>
  <c r="I119" i="35"/>
  <c r="G354" i="33"/>
  <c r="E58" i="33"/>
  <c r="G374" i="33"/>
  <c r="I374" i="33" s="1"/>
  <c r="F183" i="33"/>
  <c r="L149" i="35"/>
  <c r="E149" i="33"/>
  <c r="F319" i="33"/>
  <c r="G270" i="33"/>
  <c r="I270" i="33" s="1"/>
  <c r="G338" i="33"/>
  <c r="I338" i="33" s="1"/>
  <c r="O38" i="30"/>
  <c r="E157" i="33"/>
  <c r="F254" i="33"/>
  <c r="L76" i="35"/>
  <c r="F362" i="33"/>
  <c r="F204" i="33"/>
  <c r="G103" i="33"/>
  <c r="H64" i="33"/>
  <c r="H289" i="33"/>
  <c r="G179" i="33"/>
  <c r="I179" i="33" s="1"/>
  <c r="N68" i="35"/>
  <c r="N121" i="35"/>
  <c r="E87" i="57"/>
  <c r="E88" i="57" s="1"/>
  <c r="H136" i="33"/>
  <c r="H294" i="33"/>
  <c r="G176" i="35"/>
  <c r="G286" i="33"/>
  <c r="I286" i="33" s="1"/>
  <c r="G67" i="35"/>
  <c r="H118" i="33"/>
  <c r="E373" i="33"/>
  <c r="P56" i="35"/>
  <c r="F235" i="33"/>
  <c r="N159" i="35"/>
  <c r="E65" i="35"/>
  <c r="Y38" i="30"/>
  <c r="Y60" i="30" s="1"/>
  <c r="G68" i="33"/>
  <c r="I68" i="33" s="1"/>
  <c r="J68" i="33" s="1"/>
  <c r="H56" i="33"/>
  <c r="F174" i="33"/>
  <c r="H254" i="33"/>
  <c r="N96" i="35"/>
  <c r="P57" i="35"/>
  <c r="H354" i="33"/>
  <c r="H215" i="33"/>
  <c r="H232" i="33"/>
  <c r="E98" i="33"/>
  <c r="H463" i="33"/>
  <c r="G66" i="33"/>
  <c r="I66" i="33" s="1"/>
  <c r="J66" i="33" s="1"/>
  <c r="E365" i="33"/>
  <c r="G407" i="33"/>
  <c r="F347" i="33"/>
  <c r="G97" i="57"/>
  <c r="G140" i="33"/>
  <c r="I140" i="33" s="1"/>
  <c r="P147" i="35"/>
  <c r="H152" i="33"/>
  <c r="G79" i="33"/>
  <c r="L141" i="35"/>
  <c r="N184" i="35"/>
  <c r="F78" i="33"/>
  <c r="H183" i="33"/>
  <c r="G132" i="35"/>
  <c r="H132" i="35" s="1"/>
  <c r="G275" i="33"/>
  <c r="G406" i="33"/>
  <c r="I406" i="33" s="1"/>
  <c r="G67" i="57"/>
  <c r="F187" i="33"/>
  <c r="E60" i="35"/>
  <c r="H240" i="33"/>
  <c r="G62" i="58"/>
  <c r="F264" i="33"/>
  <c r="I121" i="35"/>
  <c r="F99" i="33"/>
  <c r="E299" i="33"/>
  <c r="G112" i="58"/>
  <c r="P119" i="35"/>
  <c r="E159" i="33"/>
  <c r="E141" i="35"/>
  <c r="F57" i="57"/>
  <c r="F58" i="57" s="1"/>
  <c r="E349" i="33"/>
  <c r="H91" i="33"/>
  <c r="F242" i="33"/>
  <c r="H217" i="33"/>
  <c r="G206" i="33"/>
  <c r="G323" i="33"/>
  <c r="I323" i="33" s="1"/>
  <c r="G176" i="33"/>
  <c r="E42" i="57"/>
  <c r="E43" i="57" s="1"/>
  <c r="AY39" i="28"/>
  <c r="BE37" i="28"/>
  <c r="B39" i="28"/>
  <c r="K5" i="29" s="1"/>
  <c r="L39" i="28"/>
  <c r="U5" i="29" s="1"/>
  <c r="AJ37" i="28"/>
  <c r="AS4" i="29" s="1"/>
  <c r="AH38" i="28"/>
  <c r="AQ6" i="29" s="1"/>
  <c r="AQ7" i="29" s="1"/>
  <c r="I38" i="28"/>
  <c r="R6" i="29" s="1"/>
  <c r="R7" i="29" s="1"/>
  <c r="Y38" i="28"/>
  <c r="AH6" i="29" s="1"/>
  <c r="AH7" i="29" s="1"/>
  <c r="AB38" i="28"/>
  <c r="AK6" i="29" s="1"/>
  <c r="AK7" i="29" s="1"/>
  <c r="H39" i="28"/>
  <c r="Q5" i="29" s="1"/>
  <c r="U38" i="28"/>
  <c r="AD6" i="29" s="1"/>
  <c r="AD7" i="29" s="1"/>
  <c r="R39" i="28"/>
  <c r="AA5" i="29" s="1"/>
  <c r="H37" i="28"/>
  <c r="Q4" i="29" s="1"/>
  <c r="AN39" i="28"/>
  <c r="AW5" i="29" s="1"/>
  <c r="AA38" i="28"/>
  <c r="AJ6" i="29" s="1"/>
  <c r="AJ7" i="29" s="1"/>
  <c r="Y39" i="28"/>
  <c r="AH5" i="29" s="1"/>
  <c r="BM39" i="28"/>
  <c r="B38" i="28"/>
  <c r="K6" i="29" s="1"/>
  <c r="AG38" i="28"/>
  <c r="AP6" i="29" s="1"/>
  <c r="AP7" i="29" s="1"/>
  <c r="BJ39" i="28"/>
  <c r="BO38" i="28"/>
  <c r="BF37" i="28"/>
  <c r="AH37" i="28"/>
  <c r="AQ4" i="29" s="1"/>
  <c r="BC39" i="28"/>
  <c r="W37" i="28"/>
  <c r="AF4" i="29" s="1"/>
  <c r="AE39" i="28"/>
  <c r="AN5" i="29" s="1"/>
  <c r="BN39" i="28"/>
  <c r="BG38" i="28"/>
  <c r="AA39" i="28"/>
  <c r="AJ5" i="29" s="1"/>
  <c r="AR38" i="28"/>
  <c r="BA6" i="29" s="1"/>
  <c r="BA7" i="29" s="1"/>
  <c r="BS37" i="28"/>
  <c r="X39" i="28"/>
  <c r="AG5" i="29" s="1"/>
  <c r="B37" i="28"/>
  <c r="K4" i="29" s="1"/>
  <c r="AK37" i="28"/>
  <c r="AT4" i="29" s="1"/>
  <c r="BD37" i="28"/>
  <c r="R37" i="28"/>
  <c r="AA4" i="29" s="1"/>
  <c r="F38" i="28"/>
  <c r="O6" i="29" s="1"/>
  <c r="O7" i="29" s="1"/>
  <c r="BR39" i="28"/>
  <c r="AO38" i="28"/>
  <c r="AX6" i="29" s="1"/>
  <c r="AX7" i="29" s="1"/>
  <c r="BQ39" i="28"/>
  <c r="AY37" i="28"/>
  <c r="I37" i="28"/>
  <c r="R4" i="29" s="1"/>
  <c r="D38" i="28"/>
  <c r="M6" i="29" s="1"/>
  <c r="M7" i="29" s="1"/>
  <c r="BT38" i="28"/>
  <c r="AM38" i="28"/>
  <c r="AV6" i="29" s="1"/>
  <c r="AV7" i="29" s="1"/>
  <c r="K38" i="28"/>
  <c r="T6" i="29" s="1"/>
  <c r="T7" i="29" s="1"/>
  <c r="BA39" i="28"/>
  <c r="BR38" i="28"/>
  <c r="BJ37" i="28"/>
  <c r="AE37" i="28"/>
  <c r="AN4" i="29" s="1"/>
  <c r="C38" i="28"/>
  <c r="L6" i="29" s="1"/>
  <c r="L7" i="29" s="1"/>
  <c r="AG37" i="28"/>
  <c r="AP4" i="29" s="1"/>
  <c r="Z37" i="28"/>
  <c r="AI4" i="29" s="1"/>
  <c r="AX39" i="28"/>
  <c r="AR37" i="28"/>
  <c r="BA4" i="29" s="1"/>
  <c r="AC39" i="28"/>
  <c r="AL5" i="29" s="1"/>
  <c r="AU38" i="28"/>
  <c r="BR37" i="28"/>
  <c r="R38" i="28"/>
  <c r="AA6" i="29" s="1"/>
  <c r="AA7" i="29" s="1"/>
  <c r="AD38" i="28"/>
  <c r="AM6" i="29" s="1"/>
  <c r="AM7" i="29" s="1"/>
  <c r="C37" i="28"/>
  <c r="L4" i="29" s="1"/>
  <c r="AL38" i="28"/>
  <c r="AU6" i="29" s="1"/>
  <c r="AU7" i="29" s="1"/>
  <c r="U39" i="28"/>
  <c r="AD5" i="29" s="1"/>
  <c r="BU37" i="28"/>
  <c r="AA37" i="28"/>
  <c r="AJ4" i="29" s="1"/>
  <c r="AK39" i="28"/>
  <c r="AT5" i="29" s="1"/>
  <c r="G37" i="28"/>
  <c r="P4" i="29" s="1"/>
  <c r="AO37" i="28"/>
  <c r="AX4" i="29" s="1"/>
  <c r="BM37" i="28"/>
  <c r="BI37" i="28"/>
  <c r="K37" i="28"/>
  <c r="T4" i="29" s="1"/>
  <c r="AC37" i="28"/>
  <c r="AL4" i="29" s="1"/>
  <c r="AD37" i="28"/>
  <c r="AM4" i="29" s="1"/>
  <c r="AB37" i="28"/>
  <c r="AK4" i="29" s="1"/>
  <c r="BB38" i="28"/>
  <c r="AZ37" i="28"/>
  <c r="AQ39" i="28"/>
  <c r="AL39" i="28"/>
  <c r="AU5" i="29" s="1"/>
  <c r="BL38" i="28"/>
  <c r="G39" i="28"/>
  <c r="P5" i="29" s="1"/>
  <c r="Z39" i="28"/>
  <c r="AI5" i="29" s="1"/>
  <c r="BK39" i="28"/>
  <c r="AW37" i="28"/>
  <c r="AN38" i="28"/>
  <c r="AW6" i="29" s="1"/>
  <c r="AW7" i="29" s="1"/>
  <c r="BO37" i="28"/>
  <c r="S37" i="28"/>
  <c r="AB4" i="29" s="1"/>
  <c r="E39" i="28"/>
  <c r="N5" i="29" s="1"/>
  <c r="AV37" i="28"/>
  <c r="M38" i="28"/>
  <c r="V6" i="29" s="1"/>
  <c r="V7" i="29" s="1"/>
  <c r="BI38" i="28"/>
  <c r="Q37" i="28"/>
  <c r="Z4" i="29" s="1"/>
  <c r="T38" i="28"/>
  <c r="AC6" i="29" s="1"/>
  <c r="AC7" i="29" s="1"/>
  <c r="BB37" i="28"/>
  <c r="W38" i="28"/>
  <c r="AF6" i="29" s="1"/>
  <c r="AF7" i="29" s="1"/>
  <c r="BC37" i="28"/>
  <c r="BF38" i="28"/>
  <c r="BP39" i="28"/>
  <c r="AP37" i="28"/>
  <c r="AY4" i="29" s="1"/>
  <c r="N37" i="28"/>
  <c r="W4" i="29" s="1"/>
  <c r="AT37" i="28"/>
  <c r="BC4" i="29" s="1"/>
  <c r="BC38" i="28"/>
  <c r="BA38" i="28"/>
  <c r="AL37" i="28"/>
  <c r="AU4" i="29" s="1"/>
  <c r="V37" i="28"/>
  <c r="AE4" i="29" s="1"/>
  <c r="BM38" i="28"/>
  <c r="T39" i="28"/>
  <c r="AC5" i="29" s="1"/>
  <c r="AW39" i="28"/>
  <c r="P39" i="28"/>
  <c r="Y5" i="29" s="1"/>
  <c r="O38" i="28"/>
  <c r="X6" i="29" s="1"/>
  <c r="X7" i="29" s="1"/>
  <c r="AS39" i="28"/>
  <c r="AE38" i="28"/>
  <c r="AN6" i="29" s="1"/>
  <c r="AN7" i="29" s="1"/>
  <c r="BP38" i="28"/>
  <c r="BD39" i="28"/>
  <c r="AI37" i="28"/>
  <c r="AR4" i="29" s="1"/>
  <c r="AM37" i="28"/>
  <c r="AV4" i="29" s="1"/>
  <c r="AV39" i="28"/>
  <c r="O39" i="28"/>
  <c r="X5" i="29" s="1"/>
  <c r="AP39" i="28"/>
  <c r="AU37" i="28"/>
  <c r="K39" i="28"/>
  <c r="T5" i="29" s="1"/>
  <c r="AU39" i="28"/>
  <c r="X38" i="28"/>
  <c r="AG6" i="29" s="1"/>
  <c r="AG7" i="29" s="1"/>
  <c r="Z38" i="28"/>
  <c r="AI6" i="29" s="1"/>
  <c r="AI7" i="29" s="1"/>
  <c r="D39" i="28"/>
  <c r="M5" i="29" s="1"/>
  <c r="AV38" i="28"/>
  <c r="BP37" i="28"/>
  <c r="BT39" i="28"/>
  <c r="AD39" i="28"/>
  <c r="AM5" i="29" s="1"/>
  <c r="E38" i="28"/>
  <c r="N6" i="29" s="1"/>
  <c r="N7" i="29" s="1"/>
  <c r="AS37" i="28"/>
  <c r="BB4" i="29" s="1"/>
  <c r="J39" i="28"/>
  <c r="S5" i="29" s="1"/>
  <c r="M39" i="28"/>
  <c r="V5" i="29" s="1"/>
  <c r="V39" i="28"/>
  <c r="AE5" i="29" s="1"/>
  <c r="BU38" i="28"/>
  <c r="AF39" i="28"/>
  <c r="AO5" i="29" s="1"/>
  <c r="AF37" i="28"/>
  <c r="AO4" i="29" s="1"/>
  <c r="BG39" i="28"/>
  <c r="AJ39" i="28"/>
  <c r="AS5" i="29" s="1"/>
  <c r="AF38" i="28"/>
  <c r="AO6" i="29" s="1"/>
  <c r="AO7" i="29" s="1"/>
  <c r="N39" i="28"/>
  <c r="W5" i="29" s="1"/>
  <c r="BH37" i="28"/>
  <c r="BO39" i="28"/>
  <c r="V38" i="28"/>
  <c r="AE6" i="29" s="1"/>
  <c r="AE7" i="29" s="1"/>
  <c r="BT37" i="28"/>
  <c r="T37" i="28"/>
  <c r="AC4" i="29" s="1"/>
  <c r="AX38" i="28"/>
  <c r="C39" i="28"/>
  <c r="L5" i="29" s="1"/>
  <c r="BQ37" i="28"/>
  <c r="BI39" i="28"/>
  <c r="BU39" i="28"/>
  <c r="L37" i="28"/>
  <c r="U4" i="29" s="1"/>
  <c r="AI38" i="28"/>
  <c r="AR6" i="29" s="1"/>
  <c r="AR7" i="29" s="1"/>
  <c r="Y37" i="28"/>
  <c r="AH4" i="29" s="1"/>
  <c r="I39" i="28"/>
  <c r="R5" i="29" s="1"/>
  <c r="BK38" i="28"/>
  <c r="AQ37" i="28"/>
  <c r="AZ4" i="29" s="1"/>
  <c r="AP38" i="28"/>
  <c r="AY6" i="29" s="1"/>
  <c r="AY7" i="29" s="1"/>
  <c r="AJ38" i="28"/>
  <c r="AS6" i="29" s="1"/>
  <c r="AS7" i="29" s="1"/>
  <c r="H38" i="28"/>
  <c r="Q6" i="29" s="1"/>
  <c r="Q7" i="29" s="1"/>
  <c r="W39" i="28"/>
  <c r="AF5" i="29" s="1"/>
  <c r="BF39" i="28"/>
  <c r="AK38" i="28"/>
  <c r="AT6" i="29" s="1"/>
  <c r="AT7" i="29" s="1"/>
  <c r="N38" i="28"/>
  <c r="W6" i="29" s="1"/>
  <c r="W7" i="29" s="1"/>
  <c r="BJ38" i="28"/>
  <c r="AX37" i="28"/>
  <c r="BA37" i="28"/>
  <c r="J38" i="28"/>
  <c r="S6" i="29" s="1"/>
  <c r="S7" i="29" s="1"/>
  <c r="X37" i="28"/>
  <c r="AG4" i="29" s="1"/>
  <c r="Q39" i="28"/>
  <c r="Z5" i="29" s="1"/>
  <c r="AQ38" i="28"/>
  <c r="AZ6" i="29" s="1"/>
  <c r="AZ7" i="29" s="1"/>
  <c r="F37" i="28"/>
  <c r="O4" i="29" s="1"/>
  <c r="BN38" i="28"/>
  <c r="AH39" i="28"/>
  <c r="AQ5" i="29" s="1"/>
  <c r="AY38" i="28"/>
  <c r="BE39" i="28"/>
  <c r="AB39" i="28"/>
  <c r="AK5" i="29" s="1"/>
  <c r="D37" i="28"/>
  <c r="M4" i="29" s="1"/>
  <c r="BS39" i="28"/>
  <c r="G38" i="28"/>
  <c r="P6" i="29" s="1"/>
  <c r="P7" i="29" s="1"/>
  <c r="S39" i="28"/>
  <c r="AB5" i="29" s="1"/>
  <c r="Q38" i="28"/>
  <c r="Z6" i="29" s="1"/>
  <c r="Z7" i="29" s="1"/>
  <c r="BD38" i="28"/>
  <c r="AO39" i="28"/>
  <c r="BQ38" i="28"/>
  <c r="F39" i="28"/>
  <c r="O5" i="29" s="1"/>
  <c r="J37" i="28"/>
  <c r="S4" i="29" s="1"/>
  <c r="AG39" i="28"/>
  <c r="AP5" i="29" s="1"/>
  <c r="M37" i="28"/>
  <c r="V4" i="29" s="1"/>
  <c r="AI39" i="28"/>
  <c r="AR5" i="29" s="1"/>
  <c r="AR39" i="28"/>
  <c r="AZ39" i="28"/>
  <c r="P37" i="28"/>
  <c r="Y4" i="29" s="1"/>
  <c r="E37" i="28"/>
  <c r="N4" i="29" s="1"/>
  <c r="BG37" i="28"/>
  <c r="BH39" i="28"/>
  <c r="BH38" i="28"/>
  <c r="BS38" i="28"/>
  <c r="AM39" i="28"/>
  <c r="AV5" i="29" s="1"/>
  <c r="AT38" i="28"/>
  <c r="BC6" i="29" s="1"/>
  <c r="BC7" i="29" s="1"/>
  <c r="AZ38" i="28"/>
  <c r="AW38" i="28"/>
  <c r="S38" i="28"/>
  <c r="AB6" i="29" s="1"/>
  <c r="AB7" i="29" s="1"/>
  <c r="BN37" i="28"/>
  <c r="AN37" i="28"/>
  <c r="AW4" i="29" s="1"/>
  <c r="BE38" i="28"/>
  <c r="AS38" i="28"/>
  <c r="BB6" i="29" s="1"/>
  <c r="BB7" i="29" s="1"/>
  <c r="BL39" i="28"/>
  <c r="L38" i="28"/>
  <c r="U6" i="29" s="1"/>
  <c r="U7" i="29" s="1"/>
  <c r="U37" i="28"/>
  <c r="AD4" i="29" s="1"/>
  <c r="BL37" i="28"/>
  <c r="BB39" i="28"/>
  <c r="P38" i="28"/>
  <c r="Y6" i="29" s="1"/>
  <c r="Y7" i="29" s="1"/>
  <c r="AC38" i="28"/>
  <c r="AL6" i="29" s="1"/>
  <c r="AL7" i="29" s="1"/>
  <c r="BK37" i="28"/>
  <c r="O37" i="28"/>
  <c r="X4" i="29" s="1"/>
  <c r="AT39" i="28"/>
  <c r="F145" i="33"/>
  <c r="G419" i="33"/>
  <c r="F80" i="33"/>
  <c r="H426" i="33"/>
  <c r="G436" i="33"/>
  <c r="F257" i="33"/>
  <c r="G126" i="33"/>
  <c r="I126" i="33" s="1"/>
  <c r="G280" i="33"/>
  <c r="H92" i="33"/>
  <c r="F260" i="33"/>
  <c r="H187" i="33"/>
  <c r="E42" i="33"/>
  <c r="I110" i="35"/>
  <c r="E159" i="35"/>
  <c r="F102" i="57"/>
  <c r="F103" i="57" s="1"/>
  <c r="G100" i="33"/>
  <c r="I100" i="33" s="1"/>
  <c r="I102" i="35"/>
  <c r="F371" i="33"/>
  <c r="L176" i="35"/>
  <c r="H62" i="57"/>
  <c r="H63" i="57" s="1"/>
  <c r="E112" i="58"/>
  <c r="E113" i="58" s="1"/>
  <c r="E137" i="33"/>
  <c r="G214" i="33"/>
  <c r="E210" i="33"/>
  <c r="G390" i="33"/>
  <c r="H273" i="33"/>
  <c r="N158" i="35"/>
  <c r="L50" i="35"/>
  <c r="F92" i="33"/>
  <c r="G193" i="33"/>
  <c r="G160" i="33"/>
  <c r="N78" i="35"/>
  <c r="F96" i="33"/>
  <c r="G346" i="33"/>
  <c r="G119" i="33"/>
  <c r="F72" i="33"/>
  <c r="L92" i="35"/>
  <c r="N51" i="35"/>
  <c r="G69" i="33"/>
  <c r="I69" i="33" s="1"/>
  <c r="F147" i="33"/>
  <c r="G146" i="33"/>
  <c r="I146" i="33" s="1"/>
  <c r="E93" i="35"/>
  <c r="E233" i="33"/>
  <c r="H317" i="33"/>
  <c r="E400" i="33"/>
  <c r="P95" i="35"/>
  <c r="G266" i="33"/>
  <c r="I266" i="33" s="1"/>
  <c r="F57" i="33"/>
  <c r="F291" i="33"/>
  <c r="L128" i="35"/>
  <c r="E244" i="33"/>
  <c r="G364" i="33"/>
  <c r="I364" i="33" s="1"/>
  <c r="H450" i="33"/>
  <c r="F44" i="33"/>
  <c r="G400" i="33"/>
  <c r="I400" i="33" s="1"/>
  <c r="J400" i="33" s="1"/>
  <c r="I164" i="35"/>
  <c r="E122" i="33"/>
  <c r="F52" i="33"/>
  <c r="G156" i="35"/>
  <c r="G77" i="58"/>
  <c r="F163" i="33"/>
  <c r="E120" i="33"/>
  <c r="G150" i="35"/>
  <c r="H150" i="35" s="1"/>
  <c r="F335" i="33"/>
  <c r="F434" i="33"/>
  <c r="F112" i="33"/>
  <c r="H67" i="33"/>
  <c r="N139" i="35"/>
  <c r="G454" i="33"/>
  <c r="I454" i="33" s="1"/>
  <c r="E96" i="35"/>
  <c r="I69" i="35"/>
  <c r="J69" i="35" s="1"/>
  <c r="L165" i="35"/>
  <c r="E363" i="33"/>
  <c r="G184" i="35"/>
  <c r="E107" i="58"/>
  <c r="E108" i="58" s="1"/>
  <c r="H320" i="33"/>
  <c r="E104" i="33"/>
  <c r="L177" i="35"/>
  <c r="H92" i="57"/>
  <c r="H93" i="57" s="1"/>
  <c r="N175" i="35"/>
  <c r="E354" i="33"/>
  <c r="H437" i="33"/>
  <c r="E92" i="57"/>
  <c r="E93" i="57" s="1"/>
  <c r="G48" i="35"/>
  <c r="E77" i="35"/>
  <c r="E204" i="33"/>
  <c r="N147" i="35"/>
  <c r="L47" i="35"/>
  <c r="G175" i="35"/>
  <c r="H394" i="33"/>
  <c r="E148" i="35"/>
  <c r="G262" i="33"/>
  <c r="I262" i="33" s="1"/>
  <c r="J262" i="33" s="1"/>
  <c r="H308" i="33"/>
  <c r="E172" i="33"/>
  <c r="H52" i="33"/>
  <c r="H41" i="33"/>
  <c r="E181" i="33"/>
  <c r="G72" i="33"/>
  <c r="I72" i="33" s="1"/>
  <c r="E186" i="33"/>
  <c r="N49" i="35"/>
  <c r="I114" i="35"/>
  <c r="J114" i="35" s="1"/>
  <c r="H399" i="33"/>
  <c r="F128" i="33"/>
  <c r="G257" i="33"/>
  <c r="I257" i="33" s="1"/>
  <c r="J257" i="33" s="1"/>
  <c r="E390" i="33"/>
  <c r="E167" i="35"/>
  <c r="E112" i="35"/>
  <c r="G82" i="57"/>
  <c r="E152" i="33"/>
  <c r="E229" i="33"/>
  <c r="F87" i="57"/>
  <c r="F88" i="57" s="1"/>
  <c r="P105" i="35"/>
  <c r="G113" i="33"/>
  <c r="I113" i="33" s="1"/>
  <c r="H207" i="33"/>
  <c r="H397" i="33"/>
  <c r="H255" i="33"/>
  <c r="G368" i="33"/>
  <c r="L166" i="35"/>
  <c r="L185" i="35"/>
  <c r="G91" i="33"/>
  <c r="F367" i="33"/>
  <c r="E56" i="33"/>
  <c r="E128" i="33"/>
  <c r="F368" i="33"/>
  <c r="F302" i="33"/>
  <c r="E436" i="33"/>
  <c r="E315" i="33"/>
  <c r="G173" i="35"/>
  <c r="H368" i="33"/>
  <c r="E408" i="33"/>
  <c r="E124" i="33"/>
  <c r="F173" i="33"/>
  <c r="H93" i="33"/>
  <c r="H52" i="57"/>
  <c r="H53" i="57" s="1"/>
  <c r="E38" i="58"/>
  <c r="N157" i="35"/>
  <c r="G187" i="33"/>
  <c r="E43" i="33"/>
  <c r="H293" i="33"/>
  <c r="H431" i="33"/>
  <c r="E113" i="35"/>
  <c r="E314" i="33"/>
  <c r="G53" i="33"/>
  <c r="G97" i="33"/>
  <c r="E398" i="33"/>
  <c r="N122" i="35"/>
  <c r="E393" i="33"/>
  <c r="E285" i="33"/>
  <c r="E121" i="33"/>
  <c r="F107" i="58"/>
  <c r="F108" i="58" s="1"/>
  <c r="H166" i="33"/>
  <c r="E138" i="33"/>
  <c r="P85" i="35"/>
  <c r="L111" i="35"/>
  <c r="I138" i="35"/>
  <c r="H409" i="33"/>
  <c r="H436" i="33"/>
  <c r="G46" i="33"/>
  <c r="H366" i="33"/>
  <c r="E267" i="33"/>
  <c r="E156" i="33"/>
  <c r="F336" i="33"/>
  <c r="F338" i="33"/>
  <c r="F325" i="33"/>
  <c r="F350" i="33"/>
  <c r="H87" i="57"/>
  <c r="H88" i="57" s="1"/>
  <c r="P123" i="35"/>
  <c r="F241" i="33"/>
  <c r="H403" i="33"/>
  <c r="G285" i="33"/>
  <c r="L75" i="35"/>
  <c r="E64" i="33"/>
  <c r="G399" i="33"/>
  <c r="I399" i="33" s="1"/>
  <c r="F175" i="33"/>
  <c r="G140" i="35"/>
  <c r="F427" i="33"/>
  <c r="H319" i="33"/>
  <c r="H311" i="33"/>
  <c r="E322" i="33"/>
  <c r="G290" i="33"/>
  <c r="G247" i="33"/>
  <c r="I247" i="33" s="1"/>
  <c r="J247" i="33" s="1"/>
  <c r="E132" i="35"/>
  <c r="N141" i="35"/>
  <c r="L51" i="35"/>
  <c r="H302" i="33"/>
  <c r="E183" i="35"/>
  <c r="K183" i="35" s="1"/>
  <c r="F183" i="35" s="1"/>
  <c r="F216" i="33"/>
  <c r="H372" i="33"/>
  <c r="E92" i="58"/>
  <c r="E93" i="58" s="1"/>
  <c r="E94" i="35"/>
  <c r="E164" i="33"/>
  <c r="G410" i="33"/>
  <c r="I410" i="33" s="1"/>
  <c r="G314" i="33"/>
  <c r="H147" i="33"/>
  <c r="E176" i="33"/>
  <c r="L132" i="35"/>
  <c r="G217" i="33"/>
  <c r="E59" i="33"/>
  <c r="E50" i="35"/>
  <c r="BB16" i="28"/>
  <c r="BC16" i="28"/>
  <c r="V17" i="28"/>
  <c r="I17" i="28"/>
  <c r="AV16" i="28"/>
  <c r="B18" i="28"/>
  <c r="BG16" i="28"/>
  <c r="Y17" i="28"/>
  <c r="AC16" i="28"/>
  <c r="Y16" i="28"/>
  <c r="AP18" i="28"/>
  <c r="BA17" i="28"/>
  <c r="D17" i="28"/>
  <c r="K18" i="28"/>
  <c r="T17" i="28"/>
  <c r="AK17" i="28"/>
  <c r="BD17" i="28"/>
  <c r="BS17" i="28"/>
  <c r="N16" i="28"/>
  <c r="AG17" i="28"/>
  <c r="L17" i="28"/>
  <c r="AE17" i="28"/>
  <c r="AF16" i="28"/>
  <c r="BF18" i="28"/>
  <c r="AK16" i="28"/>
  <c r="AJ16" i="28"/>
  <c r="Q18" i="28"/>
  <c r="AF17" i="28"/>
  <c r="V16" i="28"/>
  <c r="G17" i="28"/>
  <c r="J16" i="28"/>
  <c r="M16" i="28"/>
  <c r="X17" i="28"/>
  <c r="BS16" i="28"/>
  <c r="BL16" i="28"/>
  <c r="H16" i="28"/>
  <c r="G18" i="28"/>
  <c r="H18" i="28"/>
  <c r="AC18" i="28"/>
  <c r="BO18" i="28"/>
  <c r="G16" i="28"/>
  <c r="L18" i="28"/>
  <c r="Z16" i="28"/>
  <c r="BB17" i="28"/>
  <c r="BT18" i="28"/>
  <c r="BG17" i="28"/>
  <c r="BR18" i="28"/>
  <c r="W17" i="28"/>
  <c r="BR16" i="28"/>
  <c r="AX17" i="28"/>
  <c r="AH16" i="28"/>
  <c r="BE17" i="28"/>
  <c r="BL18" i="28"/>
  <c r="R17" i="28"/>
  <c r="J18" i="28"/>
  <c r="S16" i="28"/>
  <c r="BI18" i="28"/>
  <c r="BA16" i="28"/>
  <c r="AO17" i="28"/>
  <c r="F16" i="28"/>
  <c r="BM18" i="28"/>
  <c r="R16" i="28"/>
  <c r="AH17" i="28"/>
  <c r="T18" i="28"/>
  <c r="Z17" i="28"/>
  <c r="AV17" i="28"/>
  <c r="AX16" i="28"/>
  <c r="AM17" i="28"/>
  <c r="BM17" i="28"/>
  <c r="T16" i="28"/>
  <c r="AY18" i="28"/>
  <c r="AA16" i="28"/>
  <c r="AG16" i="28"/>
  <c r="BA18" i="28"/>
  <c r="BK16" i="28"/>
  <c r="AH18" i="28"/>
  <c r="BP17" i="28"/>
  <c r="AE18" i="28"/>
  <c r="W16" i="28"/>
  <c r="V18" i="28"/>
  <c r="D16" i="28"/>
  <c r="BE18" i="28"/>
  <c r="AR18" i="28"/>
  <c r="AG18" i="28"/>
  <c r="AI17" i="28"/>
  <c r="AY17" i="28"/>
  <c r="BQ17" i="28"/>
  <c r="AQ17" i="28"/>
  <c r="AA18" i="28"/>
  <c r="AA17" i="28"/>
  <c r="BO16" i="28"/>
  <c r="Y18" i="28"/>
  <c r="BN16" i="28"/>
  <c r="H17" i="28"/>
  <c r="AN16" i="28"/>
  <c r="BH17" i="28"/>
  <c r="BD18" i="28"/>
  <c r="P16" i="28"/>
  <c r="BO17" i="28"/>
  <c r="W18" i="28"/>
  <c r="Z18" i="28"/>
  <c r="BJ18" i="28"/>
  <c r="R18" i="28"/>
  <c r="AY16" i="28"/>
  <c r="AQ18" i="28"/>
  <c r="X16" i="28"/>
  <c r="AL18" i="28"/>
  <c r="AB16" i="28"/>
  <c r="AC17" i="28"/>
  <c r="Q17" i="28"/>
  <c r="AB17" i="28"/>
  <c r="BK17" i="28"/>
  <c r="AS16" i="28"/>
  <c r="BC18" i="28"/>
  <c r="AO18" i="28"/>
  <c r="BG18" i="28"/>
  <c r="P18" i="28"/>
  <c r="BB18" i="28"/>
  <c r="AZ17" i="28"/>
  <c r="BQ16" i="28"/>
  <c r="AN17" i="28"/>
  <c r="AZ16" i="28"/>
  <c r="L16" i="28"/>
  <c r="BU16" i="28"/>
  <c r="U18" i="28"/>
  <c r="BJ16" i="28"/>
  <c r="AM16" i="28"/>
  <c r="AS17" i="28"/>
  <c r="AD16" i="28"/>
  <c r="E16" i="28"/>
  <c r="O17" i="28"/>
  <c r="AK18" i="28"/>
  <c r="E17" i="28"/>
  <c r="AU17" i="28"/>
  <c r="C18" i="28"/>
  <c r="BQ18" i="28"/>
  <c r="S18" i="28"/>
  <c r="AT17" i="28"/>
  <c r="AR17" i="28"/>
  <c r="AS18" i="28"/>
  <c r="BP16" i="28"/>
  <c r="I16" i="28"/>
  <c r="BF17" i="28"/>
  <c r="AU18" i="28"/>
  <c r="O16" i="28"/>
  <c r="AX18" i="28"/>
  <c r="AD17" i="28"/>
  <c r="BU17" i="28"/>
  <c r="BM16" i="28"/>
  <c r="M18" i="28"/>
  <c r="AJ17" i="28"/>
  <c r="BE16" i="28"/>
  <c r="B17" i="28"/>
  <c r="F17" i="28"/>
  <c r="X18" i="28"/>
  <c r="C17" i="28"/>
  <c r="AW16" i="28"/>
  <c r="P17" i="28"/>
  <c r="BH18" i="28"/>
  <c r="BC17" i="28"/>
  <c r="AL17" i="28"/>
  <c r="AD18" i="28"/>
  <c r="AI16" i="28"/>
  <c r="E18" i="28"/>
  <c r="AR16" i="28"/>
  <c r="AM18" i="28"/>
  <c r="AV18" i="28"/>
  <c r="I18" i="28"/>
  <c r="AL16" i="28"/>
  <c r="U17" i="28"/>
  <c r="AB18" i="28"/>
  <c r="AI18" i="28"/>
  <c r="AP16" i="28"/>
  <c r="AE16" i="28"/>
  <c r="AU16" i="28"/>
  <c r="N18" i="28"/>
  <c r="AF18" i="28"/>
  <c r="U16" i="28"/>
  <c r="BD16" i="28"/>
  <c r="AQ16" i="28"/>
  <c r="S17" i="28"/>
  <c r="BK18" i="28"/>
  <c r="K16" i="28"/>
  <c r="AO16" i="28"/>
  <c r="BN18" i="28"/>
  <c r="AT16" i="28"/>
  <c r="BF16" i="28"/>
  <c r="F18" i="28"/>
  <c r="AN18" i="28"/>
  <c r="N17" i="28"/>
  <c r="AZ18" i="28"/>
  <c r="AW18" i="28"/>
  <c r="BI16" i="28"/>
  <c r="BL17" i="28"/>
  <c r="BU18" i="28"/>
  <c r="BT17" i="28"/>
  <c r="AJ18" i="28"/>
  <c r="AT18" i="28"/>
  <c r="Q16" i="28"/>
  <c r="K17" i="28"/>
  <c r="AP17" i="28"/>
  <c r="AW17" i="28"/>
  <c r="BR17" i="28"/>
  <c r="J17" i="28"/>
  <c r="BT16" i="28"/>
  <c r="BP18" i="28"/>
  <c r="BH16" i="28"/>
  <c r="D18" i="28"/>
  <c r="BS18" i="28"/>
  <c r="M17" i="28"/>
  <c r="BN17" i="28"/>
  <c r="BJ17" i="28"/>
  <c r="BI17" i="28"/>
  <c r="B16" i="28"/>
  <c r="O18" i="28"/>
  <c r="C16" i="28"/>
  <c r="G210" i="33"/>
  <c r="I210" i="33" s="1"/>
  <c r="J210" i="33" s="1"/>
  <c r="H49" i="33"/>
  <c r="F269" i="33"/>
  <c r="G72" i="58"/>
  <c r="N120" i="35"/>
  <c r="H38" i="30"/>
  <c r="E288" i="33"/>
  <c r="P132" i="35"/>
  <c r="E447" i="33"/>
  <c r="G47" i="33"/>
  <c r="I47" i="33" s="1"/>
  <c r="J47" i="33" s="1"/>
  <c r="L57" i="35"/>
  <c r="G93" i="33"/>
  <c r="I93" i="33" s="1"/>
  <c r="F73" i="33"/>
  <c r="F126" i="33"/>
  <c r="H108" i="33"/>
  <c r="P113" i="35"/>
  <c r="E455" i="33"/>
  <c r="L186" i="35"/>
  <c r="H383" i="33"/>
  <c r="G57" i="58"/>
  <c r="E136" i="33"/>
  <c r="E273" i="33"/>
  <c r="AN5" i="28"/>
  <c r="BU6" i="28"/>
  <c r="AR6" i="28"/>
  <c r="AW6" i="28"/>
  <c r="AQ5" i="28"/>
  <c r="BN6" i="28"/>
  <c r="B5" i="28"/>
  <c r="J4" i="28"/>
  <c r="AM4" i="28"/>
  <c r="BG4" i="28"/>
  <c r="AN4" i="28"/>
  <c r="AW4" i="28"/>
  <c r="AF4" i="28"/>
  <c r="BI5" i="28"/>
  <c r="D5" i="28"/>
  <c r="BB6" i="28"/>
  <c r="AO4" i="28"/>
  <c r="BN4" i="28"/>
  <c r="BH5" i="28"/>
  <c r="BO5" i="28"/>
  <c r="C5" i="28"/>
  <c r="AR4" i="28"/>
  <c r="AE6" i="28"/>
  <c r="K6" i="28"/>
  <c r="S4" i="28"/>
  <c r="D4" i="28"/>
  <c r="BD5" i="28"/>
  <c r="AC5" i="28"/>
  <c r="BD4" i="28"/>
  <c r="N5" i="28"/>
  <c r="BN5" i="28"/>
  <c r="BK4" i="28"/>
  <c r="B4" i="28"/>
  <c r="P5" i="28"/>
  <c r="AU5" i="28"/>
  <c r="AD6" i="28"/>
  <c r="S5" i="28"/>
  <c r="BL4" i="28"/>
  <c r="AU6" i="28"/>
  <c r="I6" i="28"/>
  <c r="B6" i="28"/>
  <c r="BA5" i="28"/>
  <c r="BB4" i="28"/>
  <c r="BJ6" i="28"/>
  <c r="AL4" i="28"/>
  <c r="W5" i="28"/>
  <c r="F4" i="28"/>
  <c r="AV6" i="28"/>
  <c r="BG6" i="28"/>
  <c r="P4" i="28"/>
  <c r="AS6" i="28"/>
  <c r="AY5" i="28"/>
  <c r="AZ6" i="28"/>
  <c r="BJ4" i="28"/>
  <c r="F5" i="28"/>
  <c r="AH6" i="28"/>
  <c r="BF5" i="28"/>
  <c r="C6" i="28"/>
  <c r="AD4" i="28"/>
  <c r="K4" i="28"/>
  <c r="AX4" i="28"/>
  <c r="Z4" i="28"/>
  <c r="H4" i="28"/>
  <c r="BK5" i="28"/>
  <c r="O6" i="28"/>
  <c r="AK6" i="28"/>
  <c r="BG5" i="28"/>
  <c r="BF4" i="28"/>
  <c r="BU5" i="28"/>
  <c r="AP4" i="28"/>
  <c r="X6" i="28"/>
  <c r="BK6" i="28"/>
  <c r="AJ5" i="28"/>
  <c r="X4" i="28"/>
  <c r="AA5" i="28"/>
  <c r="D6" i="28"/>
  <c r="M5" i="28"/>
  <c r="AZ4" i="28"/>
  <c r="BS4" i="28"/>
  <c r="AO6" i="28"/>
  <c r="BQ4" i="28"/>
  <c r="AW5" i="28"/>
  <c r="BR5" i="28"/>
  <c r="AN6" i="28"/>
  <c r="E6" i="28"/>
  <c r="BA4" i="28"/>
  <c r="H6" i="28"/>
  <c r="BQ5" i="28"/>
  <c r="Y4" i="28"/>
  <c r="K5" i="28"/>
  <c r="W4" i="28"/>
  <c r="BS6" i="28"/>
  <c r="AB6" i="28"/>
  <c r="AG6" i="28"/>
  <c r="AE5" i="28"/>
  <c r="AP5" i="28"/>
  <c r="AK5" i="28"/>
  <c r="AQ6" i="28"/>
  <c r="AT4" i="28"/>
  <c r="AZ5" i="28"/>
  <c r="AA6" i="28"/>
  <c r="BP5" i="28"/>
  <c r="F6" i="28"/>
  <c r="AE4" i="28"/>
  <c r="Q5" i="28"/>
  <c r="AA4" i="28"/>
  <c r="L6" i="28"/>
  <c r="Y6" i="28"/>
  <c r="E5" i="28"/>
  <c r="BT6" i="28"/>
  <c r="BU4" i="28"/>
  <c r="M6" i="28"/>
  <c r="BE4" i="28"/>
  <c r="G6" i="28"/>
  <c r="AY4" i="28"/>
  <c r="M4" i="28"/>
  <c r="E4" i="28"/>
  <c r="BI6" i="28"/>
  <c r="AG4" i="28"/>
  <c r="AB4" i="28"/>
  <c r="AM6" i="28"/>
  <c r="Z5" i="28"/>
  <c r="I4" i="28"/>
  <c r="O4" i="28"/>
  <c r="BC4" i="28"/>
  <c r="BM5" i="28"/>
  <c r="V5" i="28"/>
  <c r="N6" i="28"/>
  <c r="AH4" i="28"/>
  <c r="BR6" i="28"/>
  <c r="Y5" i="28"/>
  <c r="BE6" i="28"/>
  <c r="BC5" i="28"/>
  <c r="R4" i="28"/>
  <c r="BO6" i="28"/>
  <c r="N4" i="28"/>
  <c r="BT4" i="28"/>
  <c r="AC6" i="28"/>
  <c r="BP6" i="28"/>
  <c r="C4" i="28"/>
  <c r="BS5" i="28"/>
  <c r="AS4" i="28"/>
  <c r="V6" i="28"/>
  <c r="BF6" i="28"/>
  <c r="BE5" i="28"/>
  <c r="T6" i="28"/>
  <c r="AF5" i="28"/>
  <c r="AI4" i="28"/>
  <c r="Z6" i="28"/>
  <c r="AQ4" i="28"/>
  <c r="AT5" i="28"/>
  <c r="AJ4" i="28"/>
  <c r="BI4" i="28"/>
  <c r="U5" i="28"/>
  <c r="BD6" i="28"/>
  <c r="L4" i="28"/>
  <c r="G4" i="28"/>
  <c r="AY6" i="28"/>
  <c r="AK4" i="28"/>
  <c r="BB5" i="28"/>
  <c r="BM6" i="28"/>
  <c r="BJ5" i="28"/>
  <c r="AV4" i="28"/>
  <c r="X5" i="28"/>
  <c r="J5" i="28"/>
  <c r="AJ6" i="28"/>
  <c r="U4" i="28"/>
  <c r="Q4" i="28"/>
  <c r="U6" i="28"/>
  <c r="AX5" i="28"/>
  <c r="AR5" i="28"/>
  <c r="AS5" i="28"/>
  <c r="AL5" i="28"/>
  <c r="BO4" i="28"/>
  <c r="AH5" i="28"/>
  <c r="BQ6" i="28"/>
  <c r="O5" i="28"/>
  <c r="H5" i="28"/>
  <c r="J6" i="28"/>
  <c r="AT6" i="28"/>
  <c r="AU4" i="28"/>
  <c r="R5" i="28"/>
  <c r="BH6" i="28"/>
  <c r="AG5" i="28"/>
  <c r="BR4" i="28"/>
  <c r="BL5" i="28"/>
  <c r="AB5" i="28"/>
  <c r="BA6" i="28"/>
  <c r="P6" i="28"/>
  <c r="BH4" i="28"/>
  <c r="AD5" i="28"/>
  <c r="AP6" i="28"/>
  <c r="AM5" i="28"/>
  <c r="BC6" i="28"/>
  <c r="R6" i="28"/>
  <c r="BL6" i="28"/>
  <c r="AL6" i="28"/>
  <c r="AO5" i="28"/>
  <c r="AI5" i="28"/>
  <c r="AV5" i="28"/>
  <c r="I5" i="28"/>
  <c r="W6" i="28"/>
  <c r="Q6" i="28"/>
  <c r="V4" i="28"/>
  <c r="AX6" i="28"/>
  <c r="AC4" i="28"/>
  <c r="T4" i="28"/>
  <c r="AI6" i="28"/>
  <c r="AF6" i="28"/>
  <c r="L5" i="28"/>
  <c r="BM4" i="28"/>
  <c r="G5" i="28"/>
  <c r="BT5" i="28"/>
  <c r="BP4" i="28"/>
  <c r="S6" i="28"/>
  <c r="T5" i="28"/>
  <c r="P51" i="35"/>
  <c r="H145" i="33"/>
  <c r="G75" i="35"/>
  <c r="G300" i="33"/>
  <c r="E425" i="33"/>
  <c r="G103" i="35"/>
  <c r="N173" i="35"/>
  <c r="L147" i="35"/>
  <c r="E51" i="33"/>
  <c r="G227" i="33"/>
  <c r="I227" i="33" s="1"/>
  <c r="G239" i="33"/>
  <c r="G298" i="33"/>
  <c r="E283" i="33"/>
  <c r="G162" i="33"/>
  <c r="I162" i="33" s="1"/>
  <c r="J162" i="33" s="1"/>
  <c r="G254" i="33"/>
  <c r="H99" i="33"/>
  <c r="W38" i="30"/>
  <c r="H177" i="33"/>
  <c r="F460" i="33"/>
  <c r="E218" i="33"/>
  <c r="H97" i="33"/>
  <c r="F246" i="33"/>
  <c r="H312" i="33"/>
  <c r="H327" i="33"/>
  <c r="G321" i="33"/>
  <c r="I321" i="33" s="1"/>
  <c r="E214" i="33"/>
  <c r="E347" i="33"/>
  <c r="N84" i="35"/>
  <c r="G260" i="33"/>
  <c r="I260" i="33" s="1"/>
  <c r="J260" i="33" s="1"/>
  <c r="F214" i="33"/>
  <c r="P87" i="35"/>
  <c r="G380" i="33"/>
  <c r="I380" i="33" s="1"/>
  <c r="E173" i="35"/>
  <c r="H205" i="33"/>
  <c r="P155" i="35"/>
  <c r="F456" i="33"/>
  <c r="G190" i="33"/>
  <c r="F92" i="58"/>
  <c r="F93" i="58" s="1"/>
  <c r="G394" i="33"/>
  <c r="G294" i="33"/>
  <c r="I175" i="35"/>
  <c r="N164" i="35"/>
  <c r="L67" i="35"/>
  <c r="H190" i="33"/>
  <c r="F286" i="33"/>
  <c r="E340" i="33"/>
  <c r="N48" i="35"/>
  <c r="E54" i="33"/>
  <c r="P167" i="35"/>
  <c r="G253" i="33"/>
  <c r="E407" i="33"/>
  <c r="H153" i="33"/>
  <c r="G54" i="33"/>
  <c r="I54" i="33" s="1"/>
  <c r="G127" i="33"/>
  <c r="G375" i="33"/>
  <c r="F208" i="33"/>
  <c r="H135" i="33"/>
  <c r="E245" i="33"/>
  <c r="F93" i="33"/>
  <c r="E147" i="33"/>
  <c r="F435" i="33"/>
  <c r="E382" i="33"/>
  <c r="P101" i="35"/>
  <c r="L49" i="35"/>
  <c r="E102" i="33"/>
  <c r="E78" i="33"/>
  <c r="E74" i="35"/>
  <c r="E82" i="58"/>
  <c r="E83" i="58" s="1"/>
  <c r="F125" i="33"/>
  <c r="I139" i="35"/>
  <c r="E461" i="33"/>
  <c r="H97" i="57"/>
  <c r="H98" i="57" s="1"/>
  <c r="H380" i="33"/>
  <c r="F355" i="33"/>
  <c r="F239" i="33"/>
  <c r="S41" i="28"/>
  <c r="AG42" i="28"/>
  <c r="AI42" i="28"/>
  <c r="AV40" i="28"/>
  <c r="AI41" i="28"/>
  <c r="AP40" i="28"/>
  <c r="AQ40" i="28"/>
  <c r="BK42" i="28"/>
  <c r="P41" i="28"/>
  <c r="AR42" i="28"/>
  <c r="AN42" i="28"/>
  <c r="AK42" i="28"/>
  <c r="T40" i="28"/>
  <c r="AY42" i="28"/>
  <c r="AN41" i="28"/>
  <c r="BP41" i="28"/>
  <c r="BI40" i="28"/>
  <c r="G42" i="28"/>
  <c r="BA42" i="28"/>
  <c r="S40" i="28"/>
  <c r="BK41" i="28"/>
  <c r="BQ41" i="28"/>
  <c r="BT41" i="28"/>
  <c r="AY40" i="28"/>
  <c r="K40" i="28"/>
  <c r="T41" i="28"/>
  <c r="AD40" i="28"/>
  <c r="AA40" i="28"/>
  <c r="AH41" i="28"/>
  <c r="D40" i="28"/>
  <c r="BU42" i="28"/>
  <c r="U40" i="28"/>
  <c r="BH42" i="28"/>
  <c r="AO40" i="28"/>
  <c r="AJ42" i="28"/>
  <c r="BQ42" i="28"/>
  <c r="BM41" i="28"/>
  <c r="AT40" i="28"/>
  <c r="AW40" i="28"/>
  <c r="AI40" i="28"/>
  <c r="S42" i="28"/>
  <c r="N42" i="28"/>
  <c r="E42" i="28"/>
  <c r="J42" i="28"/>
  <c r="BA41" i="28"/>
  <c r="AM42" i="28"/>
  <c r="BF42" i="28"/>
  <c r="F41" i="28"/>
  <c r="BR40" i="28"/>
  <c r="BS42" i="28"/>
  <c r="BH40" i="28"/>
  <c r="BO41" i="28"/>
  <c r="AL41" i="28"/>
  <c r="AV42" i="28"/>
  <c r="X42" i="28"/>
  <c r="E40" i="28"/>
  <c r="BD41" i="28"/>
  <c r="R41" i="28"/>
  <c r="BP40" i="28"/>
  <c r="AZ42" i="28"/>
  <c r="BB42" i="28"/>
  <c r="BC40" i="28"/>
  <c r="AR41" i="28"/>
  <c r="Q42" i="28"/>
  <c r="L42" i="28"/>
  <c r="M41" i="28"/>
  <c r="X41" i="28"/>
  <c r="B40" i="28"/>
  <c r="Z40" i="28"/>
  <c r="AH40" i="28"/>
  <c r="E41" i="28"/>
  <c r="BB41" i="28"/>
  <c r="AW42" i="28"/>
  <c r="BB40" i="28"/>
  <c r="BO40" i="28"/>
  <c r="BS40" i="28"/>
  <c r="BD40" i="28"/>
  <c r="BN42" i="28"/>
  <c r="BS41" i="28"/>
  <c r="K42" i="28"/>
  <c r="AJ40" i="28"/>
  <c r="L40" i="28"/>
  <c r="BK40" i="28"/>
  <c r="AT41" i="28"/>
  <c r="X40" i="28"/>
  <c r="AW41" i="28"/>
  <c r="AH42" i="28"/>
  <c r="AS42" i="28"/>
  <c r="F42" i="28"/>
  <c r="W41" i="28"/>
  <c r="AO42" i="28"/>
  <c r="Q41" i="28"/>
  <c r="BU41" i="28"/>
  <c r="G41" i="28"/>
  <c r="BF41" i="28"/>
  <c r="BR42" i="28"/>
  <c r="R42" i="28"/>
  <c r="BG42" i="28"/>
  <c r="BE42" i="28"/>
  <c r="BA40" i="28"/>
  <c r="AA41" i="28"/>
  <c r="BT40" i="28"/>
  <c r="AB41" i="28"/>
  <c r="V41" i="28"/>
  <c r="P42" i="28"/>
  <c r="O41" i="28"/>
  <c r="AJ41" i="28"/>
  <c r="BE40" i="28"/>
  <c r="AY41" i="28"/>
  <c r="V42" i="28"/>
  <c r="Y40" i="28"/>
  <c r="BO42" i="28"/>
  <c r="R40" i="28"/>
  <c r="BQ40" i="28"/>
  <c r="B41" i="28"/>
  <c r="AX41" i="28"/>
  <c r="AV41" i="28"/>
  <c r="G40" i="28"/>
  <c r="AA42" i="28"/>
  <c r="AF41" i="28"/>
  <c r="AX40" i="28"/>
  <c r="BM42" i="28"/>
  <c r="AP41" i="28"/>
  <c r="H40" i="28"/>
  <c r="F40" i="28"/>
  <c r="BE41" i="28"/>
  <c r="BP42" i="28"/>
  <c r="T42" i="28"/>
  <c r="V40" i="28"/>
  <c r="N41" i="28"/>
  <c r="AT42" i="28"/>
  <c r="AC40" i="28"/>
  <c r="AE42" i="28"/>
  <c r="AG41" i="28"/>
  <c r="BI41" i="28"/>
  <c r="J41" i="28"/>
  <c r="BM40" i="28"/>
  <c r="BI42" i="28"/>
  <c r="B42" i="28"/>
  <c r="J40" i="28"/>
  <c r="Y41" i="28"/>
  <c r="O40" i="28"/>
  <c r="AZ40" i="28"/>
  <c r="O42" i="28"/>
  <c r="AX42" i="28"/>
  <c r="D41" i="28"/>
  <c r="M40" i="28"/>
  <c r="AO41" i="28"/>
  <c r="P40" i="28"/>
  <c r="BD42" i="28"/>
  <c r="BJ41" i="28"/>
  <c r="BC42" i="28"/>
  <c r="BF40" i="28"/>
  <c r="BN40" i="28"/>
  <c r="H42" i="28"/>
  <c r="K41" i="28"/>
  <c r="Y42" i="28"/>
  <c r="AR40" i="28"/>
  <c r="W42" i="28"/>
  <c r="AE40" i="28"/>
  <c r="AU41" i="28"/>
  <c r="AB42" i="28"/>
  <c r="BT42" i="28"/>
  <c r="AP42" i="28"/>
  <c r="BL41" i="28"/>
  <c r="I40" i="28"/>
  <c r="Q40" i="28"/>
  <c r="AS41" i="28"/>
  <c r="AG40" i="28"/>
  <c r="AM41" i="28"/>
  <c r="AC42" i="28"/>
  <c r="BH41" i="28"/>
  <c r="BJ42" i="28"/>
  <c r="BN41" i="28"/>
  <c r="AU42" i="28"/>
  <c r="BL40" i="28"/>
  <c r="W40" i="28"/>
  <c r="AZ41" i="28"/>
  <c r="C42" i="28"/>
  <c r="AL40" i="28"/>
  <c r="H41" i="28"/>
  <c r="M42" i="28"/>
  <c r="AL42" i="28"/>
  <c r="AS40" i="28"/>
  <c r="AC41" i="28"/>
  <c r="BG41" i="28"/>
  <c r="U42" i="28"/>
  <c r="AN40" i="28"/>
  <c r="AK41" i="28"/>
  <c r="BG40" i="28"/>
  <c r="BL42" i="28"/>
  <c r="U41" i="28"/>
  <c r="C40" i="28"/>
  <c r="AK40" i="28"/>
  <c r="Z42" i="28"/>
  <c r="AE41" i="28"/>
  <c r="AD41" i="28"/>
  <c r="D42" i="28"/>
  <c r="AD42" i="28"/>
  <c r="AQ42" i="28"/>
  <c r="AM40" i="28"/>
  <c r="AF42" i="28"/>
  <c r="AB40" i="28"/>
  <c r="I42" i="28"/>
  <c r="AQ41" i="28"/>
  <c r="BR41" i="28"/>
  <c r="L41" i="28"/>
  <c r="AF40" i="28"/>
  <c r="BU40" i="28"/>
  <c r="BJ40" i="28"/>
  <c r="I41" i="28"/>
  <c r="C41" i="28"/>
  <c r="N40" i="28"/>
  <c r="Z41" i="28"/>
  <c r="AU40" i="28"/>
  <c r="BC41" i="28"/>
  <c r="F243" i="33"/>
  <c r="H229" i="33"/>
  <c r="I130" i="35"/>
  <c r="G172" i="33"/>
  <c r="H81" i="33"/>
  <c r="F67" i="33"/>
  <c r="F91" i="33"/>
  <c r="P122" i="35"/>
  <c r="E325" i="33"/>
  <c r="F190" i="33"/>
  <c r="F217" i="33"/>
  <c r="E104" i="35"/>
  <c r="G301" i="33"/>
  <c r="I301" i="33" s="1"/>
  <c r="J301" i="33" s="1"/>
  <c r="G425" i="33"/>
  <c r="I425" i="33" s="1"/>
  <c r="J425" i="33" s="1"/>
  <c r="E203" i="33"/>
  <c r="E208" i="33"/>
  <c r="G92" i="33"/>
  <c r="I92" i="33" s="1"/>
  <c r="J92" i="33" s="1"/>
  <c r="G52" i="58"/>
  <c r="G424" i="33"/>
  <c r="I424" i="33" s="1"/>
  <c r="H447" i="33"/>
  <c r="H271" i="33"/>
  <c r="E182" i="33"/>
  <c r="F381" i="33"/>
  <c r="H231" i="33"/>
  <c r="G343" i="33"/>
  <c r="I343" i="33" s="1"/>
  <c r="I75" i="35"/>
  <c r="G376" i="33"/>
  <c r="I376" i="33" s="1"/>
  <c r="J376" i="33" s="1"/>
  <c r="E320" i="33"/>
  <c r="H451" i="33"/>
  <c r="H146" i="33"/>
  <c r="I50" i="35"/>
  <c r="G192" i="33"/>
  <c r="I192" i="33" s="1"/>
  <c r="G69" i="35"/>
  <c r="H69" i="35" s="1"/>
  <c r="N182" i="35"/>
  <c r="E188" i="33"/>
  <c r="H374" i="33"/>
  <c r="H418" i="33"/>
  <c r="F270" i="33"/>
  <c r="I148" i="35"/>
  <c r="E230" i="33"/>
  <c r="L69" i="35"/>
  <c r="E240" i="33"/>
  <c r="F203" i="33"/>
  <c r="H75" i="33"/>
  <c r="H55" i="33"/>
  <c r="H113" i="33"/>
  <c r="H130" i="33"/>
  <c r="H455" i="33"/>
  <c r="E189" i="33"/>
  <c r="G180" i="33"/>
  <c r="I180" i="33" s="1"/>
  <c r="E434" i="33"/>
  <c r="J56" i="33" l="1"/>
  <c r="I128" i="33"/>
  <c r="J128" i="33" s="1"/>
  <c r="I259" i="33"/>
  <c r="J259" i="33" s="1"/>
  <c r="K150" i="35"/>
  <c r="F150" i="35" s="1"/>
  <c r="I377" i="33"/>
  <c r="U156" i="35"/>
  <c r="I58" i="33"/>
  <c r="J58" i="33" s="1"/>
  <c r="W167" i="35"/>
  <c r="I346" i="33"/>
  <c r="J323" i="33"/>
  <c r="J338" i="33"/>
  <c r="I354" i="33"/>
  <c r="J166" i="33"/>
  <c r="I379" i="33"/>
  <c r="J379" i="33" s="1"/>
  <c r="I233" i="33"/>
  <c r="J233" i="33" s="1"/>
  <c r="I428" i="33"/>
  <c r="J428" i="33" s="1"/>
  <c r="W158" i="35"/>
  <c r="I315" i="33"/>
  <c r="J315" i="33" s="1"/>
  <c r="J462" i="33"/>
  <c r="K85" i="35"/>
  <c r="F85" i="35" s="1"/>
  <c r="F303" i="33"/>
  <c r="I59" i="33"/>
  <c r="J59" i="33" s="1"/>
  <c r="I326" i="33"/>
  <c r="J326" i="33" s="1"/>
  <c r="I355" i="33"/>
  <c r="J355" i="33" s="1"/>
  <c r="I335" i="33"/>
  <c r="I122" i="33"/>
  <c r="J122" i="33" s="1"/>
  <c r="I147" i="33"/>
  <c r="I137" i="33"/>
  <c r="J137" i="33" s="1"/>
  <c r="I422" i="33"/>
  <c r="J422" i="33" s="1"/>
  <c r="I310" i="33"/>
  <c r="I244" i="33"/>
  <c r="J244" i="33" s="1"/>
  <c r="J265" i="33"/>
  <c r="I152" i="33"/>
  <c r="J152" i="33" s="1"/>
  <c r="J451" i="33"/>
  <c r="J362" i="33"/>
  <c r="I245" i="33"/>
  <c r="J245" i="33" s="1"/>
  <c r="I456" i="33"/>
  <c r="J456" i="33" s="1"/>
  <c r="I350" i="33"/>
  <c r="J350" i="33" s="1"/>
  <c r="J85" i="33"/>
  <c r="I371" i="33"/>
  <c r="J371" i="33" s="1"/>
  <c r="I378" i="33"/>
  <c r="J378" i="33" s="1"/>
  <c r="I417" i="33"/>
  <c r="J417" i="33" s="1"/>
  <c r="I110" i="33"/>
  <c r="J110" i="33" s="1"/>
  <c r="I433" i="33"/>
  <c r="I316" i="33"/>
  <c r="I282" i="33"/>
  <c r="J282" i="33" s="1"/>
  <c r="J174" i="33"/>
  <c r="J269" i="33"/>
  <c r="I164" i="33"/>
  <c r="J164" i="33" s="1"/>
  <c r="W130" i="35"/>
  <c r="I45" i="33"/>
  <c r="J45" i="33" s="1"/>
  <c r="I294" i="33"/>
  <c r="J294" i="33" s="1"/>
  <c r="I300" i="33"/>
  <c r="I217" i="33"/>
  <c r="I368" i="33"/>
  <c r="J368" i="33" s="1"/>
  <c r="K77" i="35"/>
  <c r="F77" i="35" s="1"/>
  <c r="J454" i="33"/>
  <c r="I275" i="33"/>
  <c r="J275" i="33" s="1"/>
  <c r="I163" i="33"/>
  <c r="J163" i="33" s="1"/>
  <c r="J209" i="33"/>
  <c r="I178" i="33"/>
  <c r="J178" i="33" s="1"/>
  <c r="I70" i="33"/>
  <c r="I123" i="33"/>
  <c r="J123" i="33" s="1"/>
  <c r="I65" i="33"/>
  <c r="J192" i="33"/>
  <c r="K104" i="35"/>
  <c r="F104" i="35" s="1"/>
  <c r="I375" i="33"/>
  <c r="J375" i="33" s="1"/>
  <c r="I394" i="33"/>
  <c r="J394" i="33" s="1"/>
  <c r="I254" i="33"/>
  <c r="J254" i="33" s="1"/>
  <c r="I239" i="33"/>
  <c r="J410" i="33"/>
  <c r="I290" i="33"/>
  <c r="J290" i="33" s="1"/>
  <c r="E87" i="33"/>
  <c r="I97" i="33"/>
  <c r="J97" i="33" s="1"/>
  <c r="G8" i="35"/>
  <c r="J364" i="33"/>
  <c r="J100" i="33"/>
  <c r="E60" i="33"/>
  <c r="J140" i="33"/>
  <c r="J179" i="33"/>
  <c r="I311" i="33"/>
  <c r="J311" i="33" s="1"/>
  <c r="J109" i="33"/>
  <c r="I351" i="33"/>
  <c r="J351" i="33" s="1"/>
  <c r="K103" i="35"/>
  <c r="F103" i="35" s="1"/>
  <c r="I299" i="33"/>
  <c r="J299" i="33" s="1"/>
  <c r="I221" i="33"/>
  <c r="J221" i="33" s="1"/>
  <c r="J308" i="33"/>
  <c r="J396" i="33"/>
  <c r="I207" i="33"/>
  <c r="I392" i="33"/>
  <c r="I212" i="33"/>
  <c r="J212" i="33" s="1"/>
  <c r="W122" i="35"/>
  <c r="X122" i="35" s="1"/>
  <c r="Q122" i="35"/>
  <c r="G195" i="33"/>
  <c r="I172" i="33"/>
  <c r="K74" i="35"/>
  <c r="E79" i="35"/>
  <c r="F74" i="35"/>
  <c r="Q101" i="35"/>
  <c r="W101" i="35"/>
  <c r="P106" i="35"/>
  <c r="U48" i="35"/>
  <c r="N8" i="35"/>
  <c r="R67" i="35"/>
  <c r="S67" i="35"/>
  <c r="M67" i="35"/>
  <c r="O120" i="35"/>
  <c r="U120" i="35"/>
  <c r="S51" i="35"/>
  <c r="L11" i="35"/>
  <c r="R51" i="35"/>
  <c r="M51" i="35"/>
  <c r="H173" i="35"/>
  <c r="G178" i="35"/>
  <c r="N9" i="35"/>
  <c r="U49" i="35"/>
  <c r="L7" i="35"/>
  <c r="R47" i="35"/>
  <c r="L52" i="35"/>
  <c r="S47" i="35"/>
  <c r="M47" i="35"/>
  <c r="G78" i="58"/>
  <c r="I77" i="58"/>
  <c r="J374" i="33"/>
  <c r="I226" i="33"/>
  <c r="G249" i="33"/>
  <c r="M123" i="35"/>
  <c r="S123" i="35"/>
  <c r="T123" i="35" s="1"/>
  <c r="R123" i="35"/>
  <c r="I208" i="33"/>
  <c r="J208" i="33" s="1"/>
  <c r="S104" i="35"/>
  <c r="R104" i="35"/>
  <c r="M104" i="35" s="1"/>
  <c r="H50" i="35"/>
  <c r="G10" i="35"/>
  <c r="G43" i="58"/>
  <c r="I42" i="58"/>
  <c r="D38" i="30"/>
  <c r="D60" i="30" s="1"/>
  <c r="E60" i="30"/>
  <c r="K38" i="30"/>
  <c r="O111" i="35"/>
  <c r="U111" i="35"/>
  <c r="V111" i="35" s="1"/>
  <c r="J401" i="33"/>
  <c r="K157" i="35"/>
  <c r="H157" i="35" s="1"/>
  <c r="F157" i="35"/>
  <c r="I320" i="33"/>
  <c r="J320" i="33" s="1"/>
  <c r="J147" i="33"/>
  <c r="J310" i="33"/>
  <c r="I256" i="33"/>
  <c r="J256" i="33" s="1"/>
  <c r="W94" i="35"/>
  <c r="K122" i="35"/>
  <c r="F122" i="35" s="1"/>
  <c r="O129" i="35"/>
  <c r="U129" i="35"/>
  <c r="I243" i="33"/>
  <c r="J243" i="33" s="1"/>
  <c r="J201" i="33"/>
  <c r="I92" i="57"/>
  <c r="G93" i="57"/>
  <c r="I183" i="33"/>
  <c r="J183" i="33" s="1"/>
  <c r="J316" i="33"/>
  <c r="Q186" i="35"/>
  <c r="W186" i="35"/>
  <c r="X186" i="35" s="1"/>
  <c r="H60" i="33"/>
  <c r="Q156" i="35"/>
  <c r="W156" i="35"/>
  <c r="O140" i="35"/>
  <c r="U140" i="35"/>
  <c r="V140" i="35" s="1"/>
  <c r="Q174" i="35"/>
  <c r="W174" i="35"/>
  <c r="X174" i="35" s="1"/>
  <c r="I435" i="33"/>
  <c r="J435" i="33" s="1"/>
  <c r="I361" i="33"/>
  <c r="G384" i="33"/>
  <c r="J131" i="33"/>
  <c r="J445" i="33"/>
  <c r="G73" i="57"/>
  <c r="I72" i="57"/>
  <c r="I47" i="57"/>
  <c r="G48" i="57"/>
  <c r="I67" i="33"/>
  <c r="J67" i="33" s="1"/>
  <c r="G141" i="33"/>
  <c r="I118" i="33"/>
  <c r="F357" i="33"/>
  <c r="Q177" i="35"/>
  <c r="W177" i="35"/>
  <c r="X177" i="35" s="1"/>
  <c r="W102" i="35"/>
  <c r="R58" i="35"/>
  <c r="S58" i="35"/>
  <c r="J156" i="33"/>
  <c r="O186" i="35"/>
  <c r="U186" i="35"/>
  <c r="V186" i="35" s="1"/>
  <c r="H195" i="33"/>
  <c r="J74" i="35"/>
  <c r="I79" i="35"/>
  <c r="E384" i="33"/>
  <c r="I10" i="35"/>
  <c r="J50" i="35"/>
  <c r="J424" i="33"/>
  <c r="F114" i="33"/>
  <c r="J130" i="35"/>
  <c r="I127" i="33"/>
  <c r="J127" i="33" s="1"/>
  <c r="I253" i="33"/>
  <c r="G276" i="33"/>
  <c r="U164" i="35"/>
  <c r="O164" i="35"/>
  <c r="N169" i="35"/>
  <c r="J227" i="33"/>
  <c r="H103" i="35"/>
  <c r="H168" i="33"/>
  <c r="G58" i="58"/>
  <c r="I57" i="58"/>
  <c r="W113" i="35"/>
  <c r="J93" i="33"/>
  <c r="Q132" i="35"/>
  <c r="W132" i="35"/>
  <c r="X132" i="35" s="1"/>
  <c r="G73" i="58"/>
  <c r="I72" i="58"/>
  <c r="E10" i="35"/>
  <c r="K50" i="35"/>
  <c r="F50" i="35"/>
  <c r="U141" i="35"/>
  <c r="V141" i="35" s="1"/>
  <c r="O141" i="35"/>
  <c r="R75" i="35"/>
  <c r="M75" i="35"/>
  <c r="S75" i="35"/>
  <c r="T75" i="35" s="1"/>
  <c r="W123" i="35"/>
  <c r="X123" i="35" s="1"/>
  <c r="Q123" i="35"/>
  <c r="I53" i="33"/>
  <c r="J53" i="33" s="1"/>
  <c r="M185" i="35"/>
  <c r="S185" i="35"/>
  <c r="T185" i="35" s="1"/>
  <c r="R185" i="35"/>
  <c r="K112" i="35"/>
  <c r="F112" i="35" s="1"/>
  <c r="K148" i="35"/>
  <c r="F148" i="35" s="1"/>
  <c r="O147" i="35"/>
  <c r="U147" i="35"/>
  <c r="V147" i="35" s="1"/>
  <c r="J266" i="33"/>
  <c r="J69" i="33"/>
  <c r="I119" i="33"/>
  <c r="J119" i="33" s="1"/>
  <c r="I160" i="33"/>
  <c r="J160" i="33" s="1"/>
  <c r="U158" i="35"/>
  <c r="V158" i="35" s="1"/>
  <c r="O158" i="35"/>
  <c r="I214" i="33"/>
  <c r="J214" i="33" s="1"/>
  <c r="S176" i="35"/>
  <c r="R176" i="35"/>
  <c r="O176" i="35" s="1"/>
  <c r="J126" i="33"/>
  <c r="I176" i="33"/>
  <c r="J176" i="33" s="1"/>
  <c r="K141" i="35"/>
  <c r="F141" i="35" s="1"/>
  <c r="G63" i="58"/>
  <c r="I62" i="58"/>
  <c r="G68" i="57"/>
  <c r="I67" i="57"/>
  <c r="I79" i="33"/>
  <c r="J79" i="33" s="1"/>
  <c r="G98" i="57"/>
  <c r="I97" i="57"/>
  <c r="W56" i="35"/>
  <c r="Q56" i="35"/>
  <c r="P61" i="35"/>
  <c r="J286" i="33"/>
  <c r="O60" i="30"/>
  <c r="AH60" i="30" s="1"/>
  <c r="AH38" i="30"/>
  <c r="P97" i="35"/>
  <c r="W92" i="35"/>
  <c r="Q92" i="35"/>
  <c r="J312" i="33"/>
  <c r="F60" i="33"/>
  <c r="I289" i="33"/>
  <c r="J289" i="33" s="1"/>
  <c r="K66" i="35"/>
  <c r="H66" i="35" s="1"/>
  <c r="F66" i="35"/>
  <c r="J235" i="33"/>
  <c r="J337" i="33"/>
  <c r="F101" i="35"/>
  <c r="E106" i="35"/>
  <c r="K101" i="35"/>
  <c r="G438" i="33"/>
  <c r="I415" i="33"/>
  <c r="U77" i="35"/>
  <c r="V77" i="35" s="1"/>
  <c r="H249" i="33"/>
  <c r="U58" i="35"/>
  <c r="O58" i="35"/>
  <c r="G48" i="58"/>
  <c r="I47" i="58"/>
  <c r="W58" i="35"/>
  <c r="Q58" i="35"/>
  <c r="K156" i="35"/>
  <c r="H156" i="35" s="1"/>
  <c r="F156" i="35"/>
  <c r="I8" i="35"/>
  <c r="I186" i="33"/>
  <c r="J186" i="33" s="1"/>
  <c r="W50" i="35"/>
  <c r="P10" i="35"/>
  <c r="Q50" i="35"/>
  <c r="J96" i="33"/>
  <c r="J418" i="33"/>
  <c r="K69" i="35"/>
  <c r="F69" i="35" s="1"/>
  <c r="I218" i="33"/>
  <c r="J218" i="33" s="1"/>
  <c r="I241" i="33"/>
  <c r="J241" i="33" s="1"/>
  <c r="W128" i="35"/>
  <c r="Q128" i="35"/>
  <c r="P133" i="35"/>
  <c r="I181" i="33"/>
  <c r="J181" i="33" s="1"/>
  <c r="I107" i="33"/>
  <c r="J107" i="33" s="1"/>
  <c r="O165" i="35"/>
  <c r="U165" i="35"/>
  <c r="S56" i="35"/>
  <c r="M56" i="35"/>
  <c r="R56" i="35"/>
  <c r="L61" i="35"/>
  <c r="S65" i="35"/>
  <c r="M65" i="35"/>
  <c r="L70" i="35"/>
  <c r="R65" i="35"/>
  <c r="G53" i="57"/>
  <c r="I52" i="57"/>
  <c r="W175" i="35"/>
  <c r="I129" i="33"/>
  <c r="J129" i="33" s="1"/>
  <c r="J76" i="33"/>
  <c r="J261" i="33"/>
  <c r="J70" i="33"/>
  <c r="J342" i="33"/>
  <c r="I188" i="33"/>
  <c r="J188" i="33" s="1"/>
  <c r="I175" i="33"/>
  <c r="J175" i="33" s="1"/>
  <c r="O104" i="35"/>
  <c r="U104" i="35"/>
  <c r="V104" i="35" s="1"/>
  <c r="I296" i="33"/>
  <c r="J296" i="33" s="1"/>
  <c r="I125" i="33"/>
  <c r="J125" i="33" s="1"/>
  <c r="I229" i="33"/>
  <c r="J229" i="33" s="1"/>
  <c r="I51" i="33"/>
  <c r="J51" i="33" s="1"/>
  <c r="J404" i="33"/>
  <c r="J317" i="33"/>
  <c r="I437" i="33"/>
  <c r="J437" i="33" s="1"/>
  <c r="U60" i="35"/>
  <c r="V60" i="35" s="1"/>
  <c r="O60" i="35"/>
  <c r="O150" i="35"/>
  <c r="U150" i="35"/>
  <c r="I328" i="33"/>
  <c r="J328" i="33" s="1"/>
  <c r="I37" i="58"/>
  <c r="G38" i="58"/>
  <c r="R184" i="35"/>
  <c r="M184" i="35" s="1"/>
  <c r="S184" i="35"/>
  <c r="I447" i="33"/>
  <c r="J447" i="33" s="1"/>
  <c r="K114" i="35"/>
  <c r="F114" i="35" s="1"/>
  <c r="Q168" i="35"/>
  <c r="W168" i="35"/>
  <c r="X168" i="35" s="1"/>
  <c r="G465" i="33"/>
  <c r="I442" i="33"/>
  <c r="Q165" i="35"/>
  <c r="W165" i="35"/>
  <c r="H77" i="35"/>
  <c r="I458" i="33"/>
  <c r="J458" i="33" s="1"/>
  <c r="G9" i="35"/>
  <c r="P88" i="35"/>
  <c r="Q83" i="35"/>
  <c r="W83" i="35"/>
  <c r="K174" i="35"/>
  <c r="H174" i="35" s="1"/>
  <c r="F174" i="35"/>
  <c r="I381" i="33"/>
  <c r="J381" i="33" s="1"/>
  <c r="I263" i="33"/>
  <c r="J263" i="33" s="1"/>
  <c r="H146" i="35"/>
  <c r="G151" i="35"/>
  <c r="J139" i="33"/>
  <c r="I459" i="33"/>
  <c r="J459" i="33" s="1"/>
  <c r="I52" i="33"/>
  <c r="J52" i="33" s="1"/>
  <c r="K119" i="35"/>
  <c r="F119" i="35"/>
  <c r="E124" i="35"/>
  <c r="W146" i="35"/>
  <c r="Q146" i="35"/>
  <c r="P151" i="35"/>
  <c r="I430" i="33"/>
  <c r="J430" i="33" s="1"/>
  <c r="H222" i="33"/>
  <c r="S85" i="35"/>
  <c r="R85" i="35"/>
  <c r="Y85" i="35" s="1"/>
  <c r="R48" i="35"/>
  <c r="L8" i="35"/>
  <c r="S48" i="35"/>
  <c r="K68" i="35"/>
  <c r="F68" i="35" s="1"/>
  <c r="R121" i="35"/>
  <c r="M121" i="35" s="1"/>
  <c r="S121" i="35"/>
  <c r="I297" i="33"/>
  <c r="J297" i="33" s="1"/>
  <c r="U174" i="35"/>
  <c r="V174" i="35" s="1"/>
  <c r="O174" i="35"/>
  <c r="N97" i="35"/>
  <c r="O92" i="35"/>
  <c r="U92" i="35"/>
  <c r="K138" i="35"/>
  <c r="F138" i="35" s="1"/>
  <c r="W138" i="35"/>
  <c r="I184" i="33"/>
  <c r="J184" i="33" s="1"/>
  <c r="I177" i="33"/>
  <c r="J177" i="33" s="1"/>
  <c r="I397" i="33"/>
  <c r="J397" i="33" s="1"/>
  <c r="P9" i="35"/>
  <c r="W49" i="35"/>
  <c r="H128" i="35"/>
  <c r="G133" i="35"/>
  <c r="K147" i="35"/>
  <c r="J147" i="35" s="1"/>
  <c r="I185" i="33"/>
  <c r="J185" i="33" s="1"/>
  <c r="I112" i="33"/>
  <c r="J112" i="33" s="1"/>
  <c r="I71" i="33"/>
  <c r="J71" i="33" s="1"/>
  <c r="H330" i="33"/>
  <c r="I464" i="33"/>
  <c r="J464" i="33" s="1"/>
  <c r="R77" i="35"/>
  <c r="Y77" i="35" s="1"/>
  <c r="S77" i="35"/>
  <c r="M77" i="35"/>
  <c r="S130" i="35"/>
  <c r="R130" i="35"/>
  <c r="M130" i="35" s="1"/>
  <c r="J65" i="33"/>
  <c r="W176" i="35"/>
  <c r="Q176" i="35"/>
  <c r="U57" i="35"/>
  <c r="O57" i="35"/>
  <c r="U168" i="35"/>
  <c r="V168" i="35" s="1"/>
  <c r="O168" i="35"/>
  <c r="E168" i="33"/>
  <c r="U93" i="35"/>
  <c r="I444" i="33"/>
  <c r="J444" i="33" s="1"/>
  <c r="I106" i="35"/>
  <c r="J101" i="35"/>
  <c r="Q65" i="35"/>
  <c r="P70" i="35"/>
  <c r="W65" i="35"/>
  <c r="S158" i="35"/>
  <c r="R158" i="35"/>
  <c r="M158" i="35" s="1"/>
  <c r="K87" i="35"/>
  <c r="F87" i="35" s="1"/>
  <c r="F137" i="35"/>
  <c r="E142" i="35"/>
  <c r="K137" i="35"/>
  <c r="I83" i="33"/>
  <c r="J83" i="33" s="1"/>
  <c r="I370" i="33"/>
  <c r="J370" i="33" s="1"/>
  <c r="I202" i="33"/>
  <c r="J202" i="33" s="1"/>
  <c r="I138" i="33"/>
  <c r="J138" i="33" s="1"/>
  <c r="E160" i="35"/>
  <c r="K155" i="35"/>
  <c r="F155" i="35"/>
  <c r="G106" i="35"/>
  <c r="H101" i="35"/>
  <c r="I77" i="33"/>
  <c r="J77" i="33" s="1"/>
  <c r="I78" i="33"/>
  <c r="J78" i="33" s="1"/>
  <c r="I340" i="33"/>
  <c r="J340" i="33" s="1"/>
  <c r="I107" i="57"/>
  <c r="G108" i="57"/>
  <c r="I382" i="33"/>
  <c r="J382" i="33" s="1"/>
  <c r="I369" i="33"/>
  <c r="J369" i="33" s="1"/>
  <c r="K76" i="35"/>
  <c r="F76" i="35" s="1"/>
  <c r="I246" i="33"/>
  <c r="J246" i="33" s="1"/>
  <c r="I108" i="33"/>
  <c r="J108" i="33" s="1"/>
  <c r="M182" i="35"/>
  <c r="S182" i="35"/>
  <c r="L187" i="35"/>
  <c r="R182" i="35"/>
  <c r="I402" i="33"/>
  <c r="J402" i="33" s="1"/>
  <c r="I159" i="33"/>
  <c r="J159" i="33" s="1"/>
  <c r="K59" i="35"/>
  <c r="J59" i="35" s="1"/>
  <c r="F59" i="35"/>
  <c r="I237" i="33"/>
  <c r="J237" i="33" s="1"/>
  <c r="G61" i="35"/>
  <c r="H56" i="35"/>
  <c r="I307" i="33"/>
  <c r="G330" i="33"/>
  <c r="E141" i="33"/>
  <c r="G60" i="33"/>
  <c r="I37" i="33"/>
  <c r="I325" i="33"/>
  <c r="J325" i="33" s="1"/>
  <c r="E438" i="33"/>
  <c r="W67" i="35"/>
  <c r="I213" i="33"/>
  <c r="J213" i="33" s="1"/>
  <c r="I345" i="33"/>
  <c r="J345" i="33" s="1"/>
  <c r="R94" i="35"/>
  <c r="Q94" i="35" s="1"/>
  <c r="S94" i="35"/>
  <c r="U167" i="35"/>
  <c r="I238" i="33"/>
  <c r="J238" i="33" s="1"/>
  <c r="W159" i="35"/>
  <c r="X159" i="35" s="1"/>
  <c r="Q159" i="35"/>
  <c r="I42" i="57"/>
  <c r="G43" i="57"/>
  <c r="G124" i="35"/>
  <c r="H119" i="35"/>
  <c r="U66" i="35"/>
  <c r="O66" i="35"/>
  <c r="I75" i="33"/>
  <c r="J75" i="33" s="1"/>
  <c r="R174" i="35"/>
  <c r="Y174" i="35" s="1"/>
  <c r="M174" i="35"/>
  <c r="S174" i="35"/>
  <c r="T174" i="35" s="1"/>
  <c r="I352" i="33"/>
  <c r="J352" i="33" s="1"/>
  <c r="I284" i="33"/>
  <c r="J284" i="33" s="1"/>
  <c r="I293" i="33"/>
  <c r="J293" i="33" s="1"/>
  <c r="R59" i="35"/>
  <c r="S59" i="35"/>
  <c r="I391" i="33"/>
  <c r="J391" i="33" s="1"/>
  <c r="Q155" i="35"/>
  <c r="W155" i="35"/>
  <c r="P160" i="35"/>
  <c r="W87" i="35"/>
  <c r="X87" i="35" s="1"/>
  <c r="Q87" i="35"/>
  <c r="J239" i="33"/>
  <c r="O173" i="35"/>
  <c r="U173" i="35"/>
  <c r="N178" i="35"/>
  <c r="R132" i="35"/>
  <c r="M132" i="35"/>
  <c r="S132" i="35"/>
  <c r="T132" i="35" s="1"/>
  <c r="U157" i="35"/>
  <c r="I91" i="33"/>
  <c r="G114" i="33"/>
  <c r="W105" i="35"/>
  <c r="X105" i="35" s="1"/>
  <c r="Q105" i="35"/>
  <c r="I82" i="57"/>
  <c r="G83" i="57"/>
  <c r="S141" i="35"/>
  <c r="T141" i="35" s="1"/>
  <c r="M141" i="35"/>
  <c r="R141" i="35"/>
  <c r="Y141" i="35" s="1"/>
  <c r="O96" i="35"/>
  <c r="U96" i="35"/>
  <c r="V96" i="35" s="1"/>
  <c r="I267" i="33"/>
  <c r="J267" i="33" s="1"/>
  <c r="J50" i="33"/>
  <c r="R183" i="35"/>
  <c r="M183" i="35" s="1"/>
  <c r="S183" i="35"/>
  <c r="W137" i="35"/>
  <c r="Q137" i="35"/>
  <c r="P142" i="35"/>
  <c r="N124" i="35"/>
  <c r="O119" i="35"/>
  <c r="U119" i="35"/>
  <c r="J155" i="35"/>
  <c r="I160" i="35"/>
  <c r="U103" i="35"/>
  <c r="J216" i="33"/>
  <c r="O146" i="35"/>
  <c r="U146" i="35"/>
  <c r="N151" i="35"/>
  <c r="F131" i="35"/>
  <c r="K131" i="35"/>
  <c r="J131" i="35" s="1"/>
  <c r="W66" i="35"/>
  <c r="X66" i="35" s="1"/>
  <c r="Q66" i="35"/>
  <c r="H83" i="35"/>
  <c r="G88" i="35"/>
  <c r="I353" i="33"/>
  <c r="J353" i="33" s="1"/>
  <c r="J215" i="33"/>
  <c r="J157" i="35"/>
  <c r="E411" i="33"/>
  <c r="M159" i="35"/>
  <c r="R159" i="35"/>
  <c r="S159" i="35"/>
  <c r="T159" i="35" s="1"/>
  <c r="J377" i="33"/>
  <c r="J180" i="33"/>
  <c r="J54" i="33"/>
  <c r="W60" i="30"/>
  <c r="AC38" i="30"/>
  <c r="AC60" i="30" s="1"/>
  <c r="K94" i="35"/>
  <c r="F94" i="35" s="1"/>
  <c r="K132" i="35"/>
  <c r="F132" i="35" s="1"/>
  <c r="I285" i="33"/>
  <c r="J285" i="33" s="1"/>
  <c r="I46" i="33"/>
  <c r="J46" i="33" s="1"/>
  <c r="R111" i="35"/>
  <c r="M111" i="35"/>
  <c r="S111" i="35"/>
  <c r="T111" i="35" s="1"/>
  <c r="U122" i="35"/>
  <c r="O122" i="35"/>
  <c r="R166" i="35"/>
  <c r="Y166" i="35" s="1"/>
  <c r="S166" i="35"/>
  <c r="F167" i="35"/>
  <c r="K167" i="35"/>
  <c r="J167" i="35" s="1"/>
  <c r="J72" i="33"/>
  <c r="E195" i="33"/>
  <c r="R177" i="35"/>
  <c r="S177" i="35"/>
  <c r="T177" i="35" s="1"/>
  <c r="M177" i="35"/>
  <c r="K96" i="35"/>
  <c r="F96" i="35" s="1"/>
  <c r="M128" i="35"/>
  <c r="R128" i="35"/>
  <c r="L133" i="35"/>
  <c r="S128" i="35"/>
  <c r="W95" i="35"/>
  <c r="X95" i="35" s="1"/>
  <c r="Q95" i="35"/>
  <c r="K93" i="35"/>
  <c r="F93" i="35" s="1"/>
  <c r="N11" i="35"/>
  <c r="O11" i="35" s="1"/>
  <c r="U51" i="35"/>
  <c r="O51" i="35"/>
  <c r="J346" i="33"/>
  <c r="I193" i="33"/>
  <c r="J193" i="33" s="1"/>
  <c r="K159" i="35"/>
  <c r="F159" i="35" s="1"/>
  <c r="I419" i="33"/>
  <c r="J419" i="33" s="1"/>
  <c r="H114" i="33"/>
  <c r="J406" i="33"/>
  <c r="E70" i="35"/>
  <c r="K65" i="35"/>
  <c r="F65" i="35"/>
  <c r="U121" i="35"/>
  <c r="O121" i="35"/>
  <c r="H87" i="33"/>
  <c r="S76" i="35"/>
  <c r="R76" i="35"/>
  <c r="M76" i="35"/>
  <c r="S149" i="35"/>
  <c r="R149" i="35"/>
  <c r="M149" i="35" s="1"/>
  <c r="J354" i="33"/>
  <c r="I348" i="33"/>
  <c r="J348" i="33" s="1"/>
  <c r="Q111" i="35"/>
  <c r="W111" i="35"/>
  <c r="X111" i="35" s="1"/>
  <c r="I347" i="33"/>
  <c r="J347" i="33" s="1"/>
  <c r="P79" i="35"/>
  <c r="W74" i="35"/>
  <c r="Q74" i="35"/>
  <c r="J416" i="33"/>
  <c r="N10" i="35"/>
  <c r="O50" i="35"/>
  <c r="U50" i="35"/>
  <c r="G63" i="57"/>
  <c r="I62" i="57"/>
  <c r="O56" i="35"/>
  <c r="U56" i="35"/>
  <c r="N61" i="35"/>
  <c r="R113" i="35"/>
  <c r="Q113" i="35" s="1"/>
  <c r="S113" i="35"/>
  <c r="S164" i="35"/>
  <c r="R164" i="35"/>
  <c r="M164" i="35"/>
  <c r="L169" i="35"/>
  <c r="H357" i="33"/>
  <c r="U137" i="35"/>
  <c r="N142" i="35"/>
  <c r="O137" i="35"/>
  <c r="S66" i="35"/>
  <c r="T66" i="35" s="1"/>
  <c r="R66" i="35"/>
  <c r="Y66" i="35" s="1"/>
  <c r="M66" i="35"/>
  <c r="J130" i="33"/>
  <c r="G83" i="58"/>
  <c r="I82" i="58"/>
  <c r="W184" i="35"/>
  <c r="W76" i="35"/>
  <c r="Q76" i="35"/>
  <c r="I106" i="33"/>
  <c r="J106" i="33" s="1"/>
  <c r="R112" i="35"/>
  <c r="M112" i="35" s="1"/>
  <c r="S112" i="35"/>
  <c r="J73" i="33"/>
  <c r="I403" i="33"/>
  <c r="J403" i="33" s="1"/>
  <c r="U155" i="35"/>
  <c r="O155" i="35"/>
  <c r="N160" i="35"/>
  <c r="Q59" i="35"/>
  <c r="W59" i="35"/>
  <c r="X59" i="35" s="1"/>
  <c r="I268" i="33"/>
  <c r="J268" i="33" s="1"/>
  <c r="U76" i="35"/>
  <c r="S105" i="35"/>
  <c r="T105" i="35" s="1"/>
  <c r="M105" i="35"/>
  <c r="R105" i="35"/>
  <c r="Y105" i="35" s="1"/>
  <c r="O185" i="35"/>
  <c r="U185" i="35"/>
  <c r="V185" i="35" s="1"/>
  <c r="J137" i="35"/>
  <c r="I142" i="35"/>
  <c r="I203" i="33"/>
  <c r="J203" i="33" s="1"/>
  <c r="S103" i="35"/>
  <c r="R103" i="35"/>
  <c r="J367" i="33"/>
  <c r="E9" i="35"/>
  <c r="K49" i="35"/>
  <c r="F49" i="35" s="1"/>
  <c r="I334" i="33"/>
  <c r="G357" i="33"/>
  <c r="J232" i="33"/>
  <c r="O110" i="35"/>
  <c r="U110" i="35"/>
  <c r="N115" i="35"/>
  <c r="U94" i="35"/>
  <c r="E7" i="35"/>
  <c r="G187" i="35"/>
  <c r="H182" i="35"/>
  <c r="J220" i="33"/>
  <c r="J327" i="33"/>
  <c r="F384" i="33"/>
  <c r="U67" i="35"/>
  <c r="O67" i="35"/>
  <c r="I450" i="33"/>
  <c r="J450" i="33" s="1"/>
  <c r="J207" i="33"/>
  <c r="I373" i="33"/>
  <c r="J373" i="33" s="1"/>
  <c r="R120" i="35"/>
  <c r="S120" i="35"/>
  <c r="T120" i="35" s="1"/>
  <c r="M120" i="35"/>
  <c r="I80" i="33"/>
  <c r="J80" i="33" s="1"/>
  <c r="W140" i="35"/>
  <c r="X140" i="35" s="1"/>
  <c r="Q140" i="35"/>
  <c r="J153" i="33"/>
  <c r="U176" i="35"/>
  <c r="W183" i="35"/>
  <c r="Q183" i="35"/>
  <c r="I99" i="33"/>
  <c r="J99" i="33" s="1"/>
  <c r="I44" i="33"/>
  <c r="J44" i="33" s="1"/>
  <c r="I154" i="33"/>
  <c r="J154" i="33" s="1"/>
  <c r="E187" i="35"/>
  <c r="K182" i="35"/>
  <c r="F182" i="35"/>
  <c r="W103" i="35"/>
  <c r="G11" i="35"/>
  <c r="H11" i="35" s="1"/>
  <c r="H51" i="35"/>
  <c r="F141" i="33"/>
  <c r="I427" i="33"/>
  <c r="J427" i="33" s="1"/>
  <c r="J421" i="33"/>
  <c r="AG38" i="30"/>
  <c r="M38" i="30"/>
  <c r="N60" i="30"/>
  <c r="I383" i="33"/>
  <c r="J383" i="33" s="1"/>
  <c r="I57" i="57"/>
  <c r="G58" i="57"/>
  <c r="F164" i="35"/>
  <c r="K164" i="35"/>
  <c r="K169" i="35" s="1"/>
  <c r="F169" i="35" s="1"/>
  <c r="E169" i="35"/>
  <c r="I324" i="33"/>
  <c r="J324" i="33" s="1"/>
  <c r="I55" i="33"/>
  <c r="J55" i="33" s="1"/>
  <c r="O114" i="35"/>
  <c r="U114" i="35"/>
  <c r="V114" i="35" s="1"/>
  <c r="U112" i="35"/>
  <c r="L115" i="35"/>
  <c r="S110" i="35"/>
  <c r="R110" i="35"/>
  <c r="M110" i="35"/>
  <c r="H438" i="33"/>
  <c r="Q60" i="30"/>
  <c r="S38" i="30"/>
  <c r="S60" i="30" s="1"/>
  <c r="I420" i="33"/>
  <c r="J420" i="33" s="1"/>
  <c r="M74" i="35"/>
  <c r="L79" i="35"/>
  <c r="S74" i="35"/>
  <c r="R74" i="35"/>
  <c r="F87" i="33"/>
  <c r="R119" i="35"/>
  <c r="M119" i="35"/>
  <c r="S119" i="35"/>
  <c r="L124" i="35"/>
  <c r="I9" i="35"/>
  <c r="J392" i="33"/>
  <c r="E249" i="33"/>
  <c r="R93" i="35"/>
  <c r="O93" i="35" s="1"/>
  <c r="S93" i="35"/>
  <c r="J356" i="33"/>
  <c r="I189" i="33"/>
  <c r="J189" i="33" s="1"/>
  <c r="E276" i="33"/>
  <c r="J47" i="35"/>
  <c r="I52" i="35"/>
  <c r="I7" i="35"/>
  <c r="E151" i="35"/>
  <c r="K146" i="35"/>
  <c r="F146" i="35"/>
  <c r="Q86" i="35"/>
  <c r="W86" i="35"/>
  <c r="X86" i="35" s="1"/>
  <c r="I37" i="57"/>
  <c r="G38" i="57"/>
  <c r="H276" i="33"/>
  <c r="K67" i="35"/>
  <c r="F67" i="35" s="1"/>
  <c r="F111" i="35"/>
  <c r="K111" i="35"/>
  <c r="H111" i="35" s="1"/>
  <c r="I455" i="33"/>
  <c r="J455" i="33" s="1"/>
  <c r="I302" i="33"/>
  <c r="J302" i="33" s="1"/>
  <c r="U148" i="35"/>
  <c r="I389" i="33"/>
  <c r="J389" i="33" s="1"/>
  <c r="I393" i="33"/>
  <c r="J393" i="33" s="1"/>
  <c r="I313" i="33"/>
  <c r="J313" i="33" s="1"/>
  <c r="I204" i="33"/>
  <c r="J204" i="33" s="1"/>
  <c r="U86" i="35"/>
  <c r="O86" i="35"/>
  <c r="U123" i="35"/>
  <c r="V123" i="35" s="1"/>
  <c r="O123" i="35"/>
  <c r="U95" i="35"/>
  <c r="V95" i="35" s="1"/>
  <c r="O95" i="35"/>
  <c r="J448" i="33"/>
  <c r="F56" i="35"/>
  <c r="K56" i="35"/>
  <c r="E61" i="35"/>
  <c r="J271" i="33"/>
  <c r="I151" i="33"/>
  <c r="J151" i="33" s="1"/>
  <c r="I295" i="33"/>
  <c r="J295" i="33" s="1"/>
  <c r="I211" i="33"/>
  <c r="J211" i="33" s="1"/>
  <c r="Q69" i="35"/>
  <c r="W69" i="35"/>
  <c r="X69" i="35" s="1"/>
  <c r="U87" i="35"/>
  <c r="V87" i="35" s="1"/>
  <c r="O87" i="35"/>
  <c r="G142" i="35"/>
  <c r="H137" i="35"/>
  <c r="F330" i="33"/>
  <c r="U128" i="35"/>
  <c r="O128" i="35"/>
  <c r="N133" i="35"/>
  <c r="S87" i="35"/>
  <c r="T87" i="35" s="1"/>
  <c r="R87" i="35"/>
  <c r="Y87" i="35" s="1"/>
  <c r="M87" i="35"/>
  <c r="K57" i="35"/>
  <c r="H57" i="35" s="1"/>
  <c r="F57" i="35"/>
  <c r="W173" i="35"/>
  <c r="P178" i="35"/>
  <c r="Q173" i="35"/>
  <c r="W150" i="35"/>
  <c r="X150" i="35" s="1"/>
  <c r="Q150" i="35"/>
  <c r="I87" i="58"/>
  <c r="G88" i="58"/>
  <c r="H465" i="33"/>
  <c r="I363" i="33"/>
  <c r="J363" i="33" s="1"/>
  <c r="E114" i="33"/>
  <c r="Q182" i="35"/>
  <c r="W182" i="35"/>
  <c r="P187" i="35"/>
  <c r="I309" i="33"/>
  <c r="J309" i="33" s="1"/>
  <c r="R168" i="35"/>
  <c r="Y168" i="35" s="1"/>
  <c r="S168" i="35"/>
  <c r="T168" i="35" s="1"/>
  <c r="M168" i="35"/>
  <c r="J155" i="33"/>
  <c r="J409" i="33"/>
  <c r="I449" i="33"/>
  <c r="J449" i="33" s="1"/>
  <c r="J183" i="35"/>
  <c r="K139" i="35"/>
  <c r="F139" i="35" s="1"/>
  <c r="W185" i="35"/>
  <c r="X185" i="35" s="1"/>
  <c r="Q185" i="35"/>
  <c r="I38" i="33"/>
  <c r="J38" i="33" s="1"/>
  <c r="I102" i="58"/>
  <c r="G103" i="58"/>
  <c r="K86" i="35"/>
  <c r="F86" i="35" s="1"/>
  <c r="I366" i="33"/>
  <c r="J366" i="33" s="1"/>
  <c r="R137" i="35"/>
  <c r="S137" i="35"/>
  <c r="L142" i="35"/>
  <c r="M137" i="35"/>
  <c r="H58" i="35"/>
  <c r="Q112" i="35"/>
  <c r="W112" i="35"/>
  <c r="I318" i="33"/>
  <c r="J318" i="33" s="1"/>
  <c r="R139" i="35"/>
  <c r="Y139" i="35" s="1"/>
  <c r="S139" i="35"/>
  <c r="M139" i="35"/>
  <c r="I60" i="30"/>
  <c r="AK60" i="30" s="1"/>
  <c r="AK38" i="30"/>
  <c r="I228" i="33"/>
  <c r="J228" i="33" s="1"/>
  <c r="G97" i="35"/>
  <c r="H92" i="35"/>
  <c r="I39" i="33"/>
  <c r="J39" i="33" s="1"/>
  <c r="H155" i="35"/>
  <c r="G160" i="35"/>
  <c r="I219" i="33"/>
  <c r="J219" i="33" s="1"/>
  <c r="J166" i="35"/>
  <c r="I341" i="33"/>
  <c r="J341" i="33" s="1"/>
  <c r="I457" i="33"/>
  <c r="J457" i="33" s="1"/>
  <c r="Q77" i="35"/>
  <c r="W77" i="35"/>
  <c r="X77" i="35" s="1"/>
  <c r="G78" i="57"/>
  <c r="I77" i="57"/>
  <c r="J85" i="35"/>
  <c r="N88" i="35"/>
  <c r="O83" i="35"/>
  <c r="U83" i="35"/>
  <c r="I434" i="33"/>
  <c r="J434" i="33" s="1"/>
  <c r="I408" i="33"/>
  <c r="J408" i="33" s="1"/>
  <c r="W157" i="35"/>
  <c r="K186" i="35"/>
  <c r="F186" i="35" s="1"/>
  <c r="I104" i="33"/>
  <c r="J104" i="33" s="1"/>
  <c r="S146" i="35"/>
  <c r="R146" i="35"/>
  <c r="L151" i="35"/>
  <c r="M146" i="35"/>
  <c r="R173" i="35"/>
  <c r="M173" i="35"/>
  <c r="L178" i="35"/>
  <c r="S173" i="35"/>
  <c r="J372" i="33"/>
  <c r="E330" i="33"/>
  <c r="H183" i="35"/>
  <c r="I242" i="33"/>
  <c r="J242" i="33" s="1"/>
  <c r="J156" i="35"/>
  <c r="J103" i="35"/>
  <c r="I124" i="33"/>
  <c r="J124" i="33" s="1"/>
  <c r="I81" i="33"/>
  <c r="J81" i="33" s="1"/>
  <c r="I150" i="33"/>
  <c r="J150" i="33" s="1"/>
  <c r="I102" i="33"/>
  <c r="J102" i="33" s="1"/>
  <c r="I365" i="33"/>
  <c r="J365" i="33" s="1"/>
  <c r="F276" i="33"/>
  <c r="K51" i="35"/>
  <c r="F51" i="35" s="1"/>
  <c r="E11" i="35"/>
  <c r="I453" i="33"/>
  <c r="J453" i="33" s="1"/>
  <c r="K175" i="35"/>
  <c r="F175" i="35" s="1"/>
  <c r="R175" i="35"/>
  <c r="M175" i="35" s="1"/>
  <c r="S175" i="35"/>
  <c r="M84" i="35"/>
  <c r="S84" i="35"/>
  <c r="R84" i="35"/>
  <c r="Q84" i="35" s="1"/>
  <c r="F92" i="35"/>
  <c r="E97" i="35"/>
  <c r="K92" i="35"/>
  <c r="F140" i="35"/>
  <c r="K140" i="35"/>
  <c r="H140" i="35" s="1"/>
  <c r="I182" i="33"/>
  <c r="J182" i="33" s="1"/>
  <c r="K110" i="35"/>
  <c r="E115" i="35"/>
  <c r="F110" i="35"/>
  <c r="I461" i="33"/>
  <c r="J461" i="33" s="1"/>
  <c r="H74" i="35"/>
  <c r="G79" i="35"/>
  <c r="K123" i="35"/>
  <c r="F123" i="35" s="1"/>
  <c r="U175" i="35"/>
  <c r="M165" i="35"/>
  <c r="R165" i="35"/>
  <c r="S165" i="35"/>
  <c r="T165" i="35" s="1"/>
  <c r="U139" i="35"/>
  <c r="O139" i="35"/>
  <c r="I169" i="35"/>
  <c r="J164" i="35"/>
  <c r="U78" i="35"/>
  <c r="V78" i="35" s="1"/>
  <c r="O78" i="35"/>
  <c r="L10" i="35"/>
  <c r="M50" i="35"/>
  <c r="S50" i="35"/>
  <c r="R50" i="35"/>
  <c r="Y50" i="35" s="1"/>
  <c r="I280" i="33"/>
  <c r="G303" i="33"/>
  <c r="I112" i="58"/>
  <c r="G113" i="58"/>
  <c r="K75" i="35"/>
  <c r="F75" i="35" s="1"/>
  <c r="R86" i="35"/>
  <c r="M86" i="35" s="1"/>
  <c r="S86" i="35"/>
  <c r="J426" i="33"/>
  <c r="Q75" i="35"/>
  <c r="W75" i="35"/>
  <c r="I97" i="58"/>
  <c r="G98" i="58"/>
  <c r="S167" i="35"/>
  <c r="R167" i="35"/>
  <c r="U85" i="35"/>
  <c r="O85" i="35"/>
  <c r="N70" i="35"/>
  <c r="U65" i="35"/>
  <c r="O65" i="35"/>
  <c r="AI38" i="30"/>
  <c r="P60" i="30"/>
  <c r="AI60" i="30" s="1"/>
  <c r="O47" i="35"/>
  <c r="U47" i="35"/>
  <c r="N7" i="35"/>
  <c r="N52" i="35"/>
  <c r="W148" i="35"/>
  <c r="U101" i="35"/>
  <c r="O101" i="35"/>
  <c r="N106" i="35"/>
  <c r="S138" i="35"/>
  <c r="R138" i="35"/>
  <c r="Q138" i="35" s="1"/>
  <c r="U177" i="35"/>
  <c r="V177" i="35" s="1"/>
  <c r="O177" i="35"/>
  <c r="M83" i="35"/>
  <c r="S83" i="35"/>
  <c r="L88" i="35"/>
  <c r="R83" i="35"/>
  <c r="W139" i="35"/>
  <c r="X139" i="35" s="1"/>
  <c r="K128" i="35"/>
  <c r="F128" i="35"/>
  <c r="E133" i="35"/>
  <c r="H130" i="35"/>
  <c r="Q141" i="35"/>
  <c r="W141" i="35"/>
  <c r="X141" i="35" s="1"/>
  <c r="J335" i="33"/>
  <c r="R156" i="35"/>
  <c r="M156" i="35"/>
  <c r="S156" i="35"/>
  <c r="T156" i="35" s="1"/>
  <c r="E88" i="35"/>
  <c r="K83" i="35"/>
  <c r="F83" i="35"/>
  <c r="G113" i="57"/>
  <c r="I112" i="57"/>
  <c r="N79" i="35"/>
  <c r="O74" i="35"/>
  <c r="U74" i="35"/>
  <c r="K130" i="35"/>
  <c r="F130" i="35" s="1"/>
  <c r="U113" i="35"/>
  <c r="O113" i="35"/>
  <c r="F438" i="33"/>
  <c r="J65" i="35"/>
  <c r="I70" i="35"/>
  <c r="O102" i="35"/>
  <c r="U102" i="35"/>
  <c r="J319" i="33"/>
  <c r="I42" i="33"/>
  <c r="J42" i="33" s="1"/>
  <c r="I199" i="33"/>
  <c r="G222" i="33"/>
  <c r="I248" i="33"/>
  <c r="J248" i="33" s="1"/>
  <c r="J433" i="33"/>
  <c r="I234" i="33"/>
  <c r="J234" i="33" s="1"/>
  <c r="I200" i="33"/>
  <c r="J200" i="33" s="1"/>
  <c r="Q96" i="35"/>
  <c r="W96" i="35"/>
  <c r="X96" i="35" s="1"/>
  <c r="U182" i="35"/>
  <c r="N187" i="35"/>
  <c r="O182" i="35"/>
  <c r="J75" i="35"/>
  <c r="I52" i="58"/>
  <c r="G53" i="58"/>
  <c r="I190" i="33"/>
  <c r="J190" i="33" s="1"/>
  <c r="E178" i="35"/>
  <c r="K173" i="35"/>
  <c r="F173" i="35"/>
  <c r="J321" i="33"/>
  <c r="Q51" i="35"/>
  <c r="P11" i="35"/>
  <c r="Q11" i="35" s="1"/>
  <c r="W51" i="35"/>
  <c r="R57" i="35"/>
  <c r="S57" i="35"/>
  <c r="M69" i="35"/>
  <c r="R69" i="35"/>
  <c r="Y69" i="35" s="1"/>
  <c r="S69" i="35"/>
  <c r="T69" i="35" s="1"/>
  <c r="J343" i="33"/>
  <c r="S49" i="35"/>
  <c r="L9" i="35"/>
  <c r="R49" i="35"/>
  <c r="O49" i="35" s="1"/>
  <c r="J380" i="33"/>
  <c r="U84" i="35"/>
  <c r="V84" i="35" s="1"/>
  <c r="O84" i="35"/>
  <c r="I298" i="33"/>
  <c r="J298" i="33" s="1"/>
  <c r="M147" i="35"/>
  <c r="S147" i="35"/>
  <c r="R147" i="35"/>
  <c r="Y147" i="35" s="1"/>
  <c r="J300" i="33"/>
  <c r="S186" i="35"/>
  <c r="T186" i="35" s="1"/>
  <c r="R186" i="35"/>
  <c r="M186" i="35"/>
  <c r="H60" i="30"/>
  <c r="J38" i="30"/>
  <c r="AJ38" i="30"/>
  <c r="J217" i="33"/>
  <c r="I314" i="33"/>
  <c r="J314" i="33" s="1"/>
  <c r="J399" i="33"/>
  <c r="W85" i="35"/>
  <c r="X85" i="35" s="1"/>
  <c r="Q85" i="35"/>
  <c r="K113" i="35"/>
  <c r="F113" i="35" s="1"/>
  <c r="I187" i="33"/>
  <c r="J187" i="33" s="1"/>
  <c r="J113" i="33"/>
  <c r="J146" i="33"/>
  <c r="M92" i="35"/>
  <c r="L97" i="35"/>
  <c r="R92" i="35"/>
  <c r="S92" i="35"/>
  <c r="I390" i="33"/>
  <c r="J390" i="33" s="1"/>
  <c r="J110" i="35"/>
  <c r="I115" i="35"/>
  <c r="I436" i="33"/>
  <c r="J436" i="33" s="1"/>
  <c r="F168" i="33"/>
  <c r="I206" i="33"/>
  <c r="J206" i="33" s="1"/>
  <c r="Q119" i="35"/>
  <c r="W119" i="35"/>
  <c r="P124" i="35"/>
  <c r="K60" i="35"/>
  <c r="F60" i="35" s="1"/>
  <c r="U184" i="35"/>
  <c r="Q147" i="35"/>
  <c r="W147" i="35"/>
  <c r="I407" i="33"/>
  <c r="J407" i="33" s="1"/>
  <c r="W57" i="35"/>
  <c r="X57" i="35" s="1"/>
  <c r="Q57" i="35"/>
  <c r="U159" i="35"/>
  <c r="V159" i="35" s="1"/>
  <c r="O159" i="35"/>
  <c r="H141" i="33"/>
  <c r="U68" i="35"/>
  <c r="I103" i="33"/>
  <c r="J103" i="33" s="1"/>
  <c r="J270" i="33"/>
  <c r="J119" i="35"/>
  <c r="I124" i="35"/>
  <c r="J128" i="35"/>
  <c r="I133" i="35"/>
  <c r="F120" i="35"/>
  <c r="K120" i="35"/>
  <c r="J120" i="35" s="1"/>
  <c r="R140" i="35"/>
  <c r="Y140" i="35" s="1"/>
  <c r="M140" i="35"/>
  <c r="S140" i="35"/>
  <c r="T140" i="35" s="1"/>
  <c r="G103" i="57"/>
  <c r="I102" i="57"/>
  <c r="K48" i="35"/>
  <c r="H48" i="35" s="1"/>
  <c r="E8" i="35"/>
  <c r="F48" i="35"/>
  <c r="J68" i="35"/>
  <c r="J57" i="33"/>
  <c r="W131" i="35"/>
  <c r="I120" i="33"/>
  <c r="J120" i="33" s="1"/>
  <c r="I64" i="33"/>
  <c r="G87" i="33"/>
  <c r="I11" i="35"/>
  <c r="J11" i="35" s="1"/>
  <c r="J51" i="35"/>
  <c r="S122" i="35"/>
  <c r="R122" i="35"/>
  <c r="K84" i="35"/>
  <c r="J84" i="35" s="1"/>
  <c r="K102" i="35"/>
  <c r="F102" i="35" s="1"/>
  <c r="I74" i="33"/>
  <c r="J74" i="33" s="1"/>
  <c r="H85" i="35"/>
  <c r="I273" i="33"/>
  <c r="J273" i="33" s="1"/>
  <c r="I187" i="35"/>
  <c r="J182" i="35"/>
  <c r="O105" i="35"/>
  <c r="U105" i="35"/>
  <c r="V105" i="35" s="1"/>
  <c r="I165" i="33"/>
  <c r="J165" i="33" s="1"/>
  <c r="I149" i="33"/>
  <c r="J149" i="33" s="1"/>
  <c r="J231" i="33"/>
  <c r="F465" i="33"/>
  <c r="K121" i="35"/>
  <c r="F121" i="35" s="1"/>
  <c r="W78" i="35"/>
  <c r="X78" i="35" s="1"/>
  <c r="Q78" i="35"/>
  <c r="I432" i="33"/>
  <c r="J432" i="33" s="1"/>
  <c r="I291" i="33"/>
  <c r="J291" i="33" s="1"/>
  <c r="W149" i="35"/>
  <c r="J173" i="35"/>
  <c r="I178" i="35"/>
  <c r="F185" i="35"/>
  <c r="K185" i="35"/>
  <c r="M155" i="35"/>
  <c r="S155" i="35"/>
  <c r="L160" i="35"/>
  <c r="R155" i="35"/>
  <c r="I40" i="33"/>
  <c r="J40" i="33" s="1"/>
  <c r="J329" i="33"/>
  <c r="I148" i="33"/>
  <c r="J148" i="33" s="1"/>
  <c r="R129" i="35"/>
  <c r="M129" i="35"/>
  <c r="S129" i="35"/>
  <c r="E52" i="35"/>
  <c r="I191" i="33"/>
  <c r="J191" i="33" s="1"/>
  <c r="E465" i="33"/>
  <c r="S131" i="35"/>
  <c r="R131" i="35"/>
  <c r="I443" i="33"/>
  <c r="J443" i="33" s="1"/>
  <c r="I151" i="35"/>
  <c r="J146" i="35"/>
  <c r="F411" i="33"/>
  <c r="K184" i="35"/>
  <c r="F184" i="35" s="1"/>
  <c r="I98" i="33"/>
  <c r="J98" i="33" s="1"/>
  <c r="R95" i="35"/>
  <c r="S95" i="35"/>
  <c r="T95" i="35" s="1"/>
  <c r="M95" i="35"/>
  <c r="R102" i="35"/>
  <c r="Q102" i="35" s="1"/>
  <c r="M102" i="35"/>
  <c r="S102" i="35"/>
  <c r="J158" i="33"/>
  <c r="J111" i="33"/>
  <c r="M114" i="35"/>
  <c r="R114" i="35"/>
  <c r="Y114" i="35" s="1"/>
  <c r="S114" i="35"/>
  <c r="T114" i="35" s="1"/>
  <c r="S157" i="35"/>
  <c r="R157" i="35"/>
  <c r="M157" i="35" s="1"/>
  <c r="W121" i="35"/>
  <c r="Q121" i="35"/>
  <c r="U166" i="35"/>
  <c r="O166" i="35"/>
  <c r="S78" i="35"/>
  <c r="T78" i="35" s="1"/>
  <c r="R78" i="35"/>
  <c r="M78" i="35"/>
  <c r="Q114" i="35"/>
  <c r="W114" i="35"/>
  <c r="X114" i="35" s="1"/>
  <c r="K158" i="35"/>
  <c r="F158" i="35"/>
  <c r="E303" i="33"/>
  <c r="I136" i="33"/>
  <c r="J136" i="33" s="1"/>
  <c r="I230" i="33"/>
  <c r="J230" i="33" s="1"/>
  <c r="K177" i="35"/>
  <c r="F177" i="35" s="1"/>
  <c r="G411" i="33"/>
  <c r="I388" i="33"/>
  <c r="J167" i="33"/>
  <c r="I283" i="33"/>
  <c r="J283" i="33" s="1"/>
  <c r="W129" i="35"/>
  <c r="X129" i="35" s="1"/>
  <c r="Q129" i="35"/>
  <c r="G7" i="35"/>
  <c r="G52" i="35"/>
  <c r="H47" i="35"/>
  <c r="H303" i="33"/>
  <c r="I48" i="33"/>
  <c r="J48" i="33" s="1"/>
  <c r="I398" i="33"/>
  <c r="J398" i="33" s="1"/>
  <c r="I240" i="33"/>
  <c r="J240" i="33" s="1"/>
  <c r="J173" i="33"/>
  <c r="K149" i="35"/>
  <c r="F149" i="35" s="1"/>
  <c r="F195" i="33"/>
  <c r="F222" i="33"/>
  <c r="I107" i="58"/>
  <c r="G108" i="58"/>
  <c r="U130" i="35"/>
  <c r="O130" i="35"/>
  <c r="I429" i="33"/>
  <c r="J429" i="33" s="1"/>
  <c r="I157" i="33"/>
  <c r="J157" i="33" s="1"/>
  <c r="H384" i="33"/>
  <c r="H167" i="35"/>
  <c r="J56" i="35"/>
  <c r="I61" i="35"/>
  <c r="U59" i="35"/>
  <c r="O59" i="35"/>
  <c r="I43" i="33"/>
  <c r="J43" i="33" s="1"/>
  <c r="I41" i="33"/>
  <c r="J41" i="33" s="1"/>
  <c r="J463" i="33"/>
  <c r="J86" i="33"/>
  <c r="K165" i="35"/>
  <c r="F165" i="35" s="1"/>
  <c r="P8" i="35"/>
  <c r="W48" i="35"/>
  <c r="Q48" i="35"/>
  <c r="G169" i="35"/>
  <c r="H164" i="35"/>
  <c r="O149" i="35"/>
  <c r="U149" i="35"/>
  <c r="I84" i="33"/>
  <c r="J84" i="33" s="1"/>
  <c r="H411" i="33"/>
  <c r="G168" i="33"/>
  <c r="I145" i="33"/>
  <c r="I87" i="57"/>
  <c r="G88" i="57"/>
  <c r="P7" i="35"/>
  <c r="P52" i="35"/>
  <c r="Q47" i="35"/>
  <c r="W47" i="35"/>
  <c r="G70" i="35"/>
  <c r="H65" i="35"/>
  <c r="O69" i="35"/>
  <c r="U69" i="35"/>
  <c r="V69" i="35" s="1"/>
  <c r="S150" i="35"/>
  <c r="T150" i="35" s="1"/>
  <c r="M150" i="35"/>
  <c r="R150" i="35"/>
  <c r="Y150" i="35" s="1"/>
  <c r="Q110" i="35"/>
  <c r="P115" i="35"/>
  <c r="W110" i="35"/>
  <c r="O75" i="35"/>
  <c r="U75" i="35"/>
  <c r="J272" i="33"/>
  <c r="W84" i="35"/>
  <c r="J431" i="33"/>
  <c r="K129" i="35"/>
  <c r="F129" i="35" s="1"/>
  <c r="J236" i="33"/>
  <c r="I395" i="33"/>
  <c r="J395" i="33" s="1"/>
  <c r="U132" i="35"/>
  <c r="V132" i="35" s="1"/>
  <c r="O132" i="35"/>
  <c r="F95" i="35"/>
  <c r="K95" i="35"/>
  <c r="H95" i="35" s="1"/>
  <c r="I105" i="33"/>
  <c r="J105" i="33" s="1"/>
  <c r="I281" i="33"/>
  <c r="J281" i="33" s="1"/>
  <c r="J58" i="35"/>
  <c r="I101" i="33"/>
  <c r="J101" i="33" s="1"/>
  <c r="I460" i="33"/>
  <c r="J460" i="33" s="1"/>
  <c r="Q60" i="35"/>
  <c r="W60" i="35"/>
  <c r="X60" i="35" s="1"/>
  <c r="F249" i="33"/>
  <c r="M60" i="35"/>
  <c r="R60" i="35"/>
  <c r="Y60" i="35" s="1"/>
  <c r="S60" i="35"/>
  <c r="T60" i="35" s="1"/>
  <c r="I121" i="33"/>
  <c r="J121" i="33" s="1"/>
  <c r="U131" i="35"/>
  <c r="O131" i="35"/>
  <c r="I336" i="33"/>
  <c r="J336" i="33" s="1"/>
  <c r="S68" i="35"/>
  <c r="R68" i="35"/>
  <c r="Y68" i="35" s="1"/>
  <c r="M68" i="35"/>
  <c r="K176" i="35"/>
  <c r="H176" i="35" s="1"/>
  <c r="F176" i="35"/>
  <c r="M101" i="35"/>
  <c r="S101" i="35"/>
  <c r="L106" i="35"/>
  <c r="R101" i="35"/>
  <c r="I92" i="58"/>
  <c r="G93" i="58"/>
  <c r="I255" i="33"/>
  <c r="J255" i="33" s="1"/>
  <c r="G68" i="58"/>
  <c r="I67" i="58"/>
  <c r="J83" i="35"/>
  <c r="I88" i="35"/>
  <c r="K78" i="35"/>
  <c r="F78" i="35" s="1"/>
  <c r="S148" i="35"/>
  <c r="R148" i="35"/>
  <c r="Y148" i="35" s="1"/>
  <c r="X148" i="35" s="1"/>
  <c r="W93" i="35"/>
  <c r="W166" i="35"/>
  <c r="I288" i="33"/>
  <c r="J288" i="33" s="1"/>
  <c r="I274" i="33"/>
  <c r="J274" i="33" s="1"/>
  <c r="AB38" i="30"/>
  <c r="AB60" i="30" s="1"/>
  <c r="Z60" i="30"/>
  <c r="W120" i="35"/>
  <c r="Q120" i="35"/>
  <c r="G115" i="35"/>
  <c r="H110" i="35"/>
  <c r="I349" i="33"/>
  <c r="J349" i="33" s="1"/>
  <c r="I135" i="33"/>
  <c r="J135" i="33" s="1"/>
  <c r="H166" i="35"/>
  <c r="I452" i="33"/>
  <c r="J452" i="33" s="1"/>
  <c r="I194" i="33"/>
  <c r="J194" i="33" s="1"/>
  <c r="I287" i="33"/>
  <c r="J287" i="33" s="1"/>
  <c r="I322" i="33"/>
  <c r="J322" i="33" s="1"/>
  <c r="I205" i="33"/>
  <c r="J205" i="33" s="1"/>
  <c r="I264" i="33"/>
  <c r="J264" i="33" s="1"/>
  <c r="M96" i="35"/>
  <c r="S96" i="35"/>
  <c r="T96" i="35" s="1"/>
  <c r="R96" i="35"/>
  <c r="Y96" i="35" s="1"/>
  <c r="E222" i="33"/>
  <c r="I49" i="33"/>
  <c r="J49" i="33" s="1"/>
  <c r="I97" i="35"/>
  <c r="J92" i="35"/>
  <c r="Q164" i="35"/>
  <c r="P169" i="35"/>
  <c r="W164" i="35"/>
  <c r="W68" i="35"/>
  <c r="Q68" i="35"/>
  <c r="E357" i="33"/>
  <c r="H120" i="35" l="1"/>
  <c r="V166" i="35"/>
  <c r="X166" i="35"/>
  <c r="T68" i="35"/>
  <c r="V150" i="35"/>
  <c r="Y122" i="35"/>
  <c r="V122" i="35" s="1"/>
  <c r="J102" i="35"/>
  <c r="Y186" i="35"/>
  <c r="Q149" i="35"/>
  <c r="O184" i="35"/>
  <c r="J176" i="35"/>
  <c r="K52" i="35"/>
  <c r="H52" i="35" s="1"/>
  <c r="K11" i="35"/>
  <c r="F11" i="35" s="1"/>
  <c r="J49" i="35"/>
  <c r="H112" i="35"/>
  <c r="T85" i="35"/>
  <c r="K124" i="35"/>
  <c r="Q166" i="35"/>
  <c r="X68" i="35"/>
  <c r="J112" i="35"/>
  <c r="J165" i="35"/>
  <c r="H102" i="35"/>
  <c r="AG60" i="30"/>
  <c r="Y111" i="35"/>
  <c r="F147" i="35"/>
  <c r="Q49" i="35"/>
  <c r="Q175" i="35"/>
  <c r="J48" i="35"/>
  <c r="O68" i="35"/>
  <c r="J93" i="35"/>
  <c r="H93" i="35"/>
  <c r="O175" i="35"/>
  <c r="M93" i="35"/>
  <c r="Y177" i="35"/>
  <c r="O157" i="35"/>
  <c r="Y132" i="35"/>
  <c r="H165" i="35"/>
  <c r="N12" i="35"/>
  <c r="O7" i="35"/>
  <c r="Q167" i="35"/>
  <c r="Y167" i="35"/>
  <c r="Y146" i="35"/>
  <c r="R151" i="35"/>
  <c r="O151" i="35" s="1"/>
  <c r="X182" i="35"/>
  <c r="W187" i="35"/>
  <c r="X173" i="35"/>
  <c r="W178" i="35"/>
  <c r="V128" i="35"/>
  <c r="U133" i="35"/>
  <c r="S124" i="35"/>
  <c r="T119" i="35"/>
  <c r="R79" i="35"/>
  <c r="M79" i="35" s="1"/>
  <c r="Y74" i="35"/>
  <c r="V38" i="30"/>
  <c r="V60" i="30" s="1"/>
  <c r="C2" i="30" s="1"/>
  <c r="M60" i="30"/>
  <c r="K10" i="35"/>
  <c r="J10" i="35" s="1"/>
  <c r="I58" i="58"/>
  <c r="J57" i="58"/>
  <c r="J58" i="58" s="1"/>
  <c r="J361" i="33"/>
  <c r="J384" i="33" s="1"/>
  <c r="I384" i="33"/>
  <c r="J184" i="35"/>
  <c r="S52" i="35"/>
  <c r="S7" i="35"/>
  <c r="T47" i="35"/>
  <c r="S11" i="35"/>
  <c r="T11" i="35" s="1"/>
  <c r="T51" i="35"/>
  <c r="I195" i="33"/>
  <c r="J172" i="33"/>
  <c r="J195" i="33" s="1"/>
  <c r="T148" i="35"/>
  <c r="J67" i="58"/>
  <c r="J68" i="58" s="1"/>
  <c r="I68" i="58"/>
  <c r="I93" i="58"/>
  <c r="J92" i="58"/>
  <c r="J93" i="58" s="1"/>
  <c r="H148" i="35"/>
  <c r="P12" i="35"/>
  <c r="Q7" i="35"/>
  <c r="W8" i="35"/>
  <c r="M131" i="35"/>
  <c r="Y131" i="35"/>
  <c r="V131" i="35" s="1"/>
  <c r="F52" i="35"/>
  <c r="M122" i="35"/>
  <c r="Q131" i="35"/>
  <c r="W124" i="35"/>
  <c r="X119" i="35"/>
  <c r="T147" i="35"/>
  <c r="S9" i="35"/>
  <c r="X51" i="35"/>
  <c r="W11" i="35"/>
  <c r="X11" i="35" s="1"/>
  <c r="H139" i="35"/>
  <c r="I113" i="57"/>
  <c r="J112" i="57"/>
  <c r="J113" i="57" s="1"/>
  <c r="F88" i="35"/>
  <c r="H86" i="35"/>
  <c r="Q139" i="35"/>
  <c r="S88" i="35"/>
  <c r="T83" i="35"/>
  <c r="Q148" i="35"/>
  <c r="U52" i="35"/>
  <c r="V47" i="35"/>
  <c r="U7" i="35"/>
  <c r="H67" i="35"/>
  <c r="J280" i="33"/>
  <c r="J303" i="33" s="1"/>
  <c r="I303" i="33"/>
  <c r="R10" i="35"/>
  <c r="Y10" i="35" s="1"/>
  <c r="J169" i="35"/>
  <c r="Y165" i="35"/>
  <c r="X165" i="35" s="1"/>
  <c r="Y173" i="35"/>
  <c r="R178" i="35"/>
  <c r="Q178" i="35" s="1"/>
  <c r="S151" i="35"/>
  <c r="T146" i="35"/>
  <c r="J94" i="35"/>
  <c r="T139" i="35"/>
  <c r="T137" i="35"/>
  <c r="S142" i="35"/>
  <c r="K61" i="35"/>
  <c r="J61" i="35" s="1"/>
  <c r="H129" i="35"/>
  <c r="S79" i="35"/>
  <c r="T74" i="35"/>
  <c r="Y110" i="35"/>
  <c r="R115" i="35"/>
  <c r="O115" i="35" s="1"/>
  <c r="I58" i="57"/>
  <c r="J57" i="57"/>
  <c r="J58" i="57" s="1"/>
  <c r="AF38" i="30"/>
  <c r="Y120" i="35"/>
  <c r="V120" i="35" s="1"/>
  <c r="V155" i="35"/>
  <c r="U160" i="35"/>
  <c r="M113" i="35"/>
  <c r="V56" i="35"/>
  <c r="U61" i="35"/>
  <c r="V50" i="35"/>
  <c r="U10" i="35"/>
  <c r="V10" i="35" s="1"/>
  <c r="Y76" i="35"/>
  <c r="V76" i="35" s="1"/>
  <c r="T128" i="35"/>
  <c r="S133" i="35"/>
  <c r="M166" i="35"/>
  <c r="Y159" i="35"/>
  <c r="O178" i="35"/>
  <c r="V66" i="35"/>
  <c r="I43" i="57"/>
  <c r="J42" i="57"/>
  <c r="J43" i="57" s="1"/>
  <c r="O167" i="35"/>
  <c r="K142" i="35"/>
  <c r="J142" i="35" s="1"/>
  <c r="T77" i="35"/>
  <c r="W9" i="35"/>
  <c r="V92" i="35"/>
  <c r="U97" i="35"/>
  <c r="Y121" i="35"/>
  <c r="V121" i="35" s="1"/>
  <c r="M48" i="35"/>
  <c r="Y48" i="35"/>
  <c r="X48" i="35" s="1"/>
  <c r="W151" i="35"/>
  <c r="X146" i="35"/>
  <c r="H49" i="35"/>
  <c r="J37" i="58"/>
  <c r="J38" i="58" s="1"/>
  <c r="I38" i="58"/>
  <c r="R61" i="35"/>
  <c r="O61" i="35" s="1"/>
  <c r="Y56" i="35"/>
  <c r="J415" i="33"/>
  <c r="J438" i="33" s="1"/>
  <c r="I438" i="33"/>
  <c r="M176" i="35"/>
  <c r="Y176" i="35"/>
  <c r="V176" i="35" s="1"/>
  <c r="I73" i="58"/>
  <c r="J72" i="58"/>
  <c r="J73" i="58" s="1"/>
  <c r="J253" i="33"/>
  <c r="J276" i="33" s="1"/>
  <c r="I276" i="33"/>
  <c r="J148" i="35"/>
  <c r="J42" i="58"/>
  <c r="J43" i="58" s="1"/>
  <c r="I43" i="58"/>
  <c r="H68" i="35"/>
  <c r="I78" i="58"/>
  <c r="J77" i="58"/>
  <c r="J78" i="58" s="1"/>
  <c r="U9" i="35"/>
  <c r="U8" i="35"/>
  <c r="W169" i="35"/>
  <c r="X164" i="35"/>
  <c r="S106" i="35"/>
  <c r="T101" i="35"/>
  <c r="X110" i="35"/>
  <c r="W115" i="35"/>
  <c r="I168" i="33"/>
  <c r="J145" i="33"/>
  <c r="J168" i="33" s="1"/>
  <c r="Y129" i="35"/>
  <c r="T129" i="35" s="1"/>
  <c r="Y155" i="35"/>
  <c r="R160" i="35"/>
  <c r="Q160" i="35" s="1"/>
  <c r="I103" i="57"/>
  <c r="J102" i="57"/>
  <c r="J103" i="57" s="1"/>
  <c r="K7" i="35"/>
  <c r="F7" i="35"/>
  <c r="E12" i="35"/>
  <c r="V110" i="35"/>
  <c r="U115" i="35"/>
  <c r="J334" i="33"/>
  <c r="J357" i="33" s="1"/>
  <c r="I357" i="33"/>
  <c r="M103" i="35"/>
  <c r="Y103" i="35"/>
  <c r="T103" i="35" s="1"/>
  <c r="S169" i="35"/>
  <c r="T164" i="35"/>
  <c r="U11" i="35"/>
  <c r="V11" i="35" s="1"/>
  <c r="V51" i="35"/>
  <c r="W160" i="35"/>
  <c r="X155" i="35"/>
  <c r="M59" i="35"/>
  <c r="Y59" i="35"/>
  <c r="V59" i="35" s="1"/>
  <c r="M94" i="35"/>
  <c r="Y94" i="35"/>
  <c r="T94" i="35" s="1"/>
  <c r="T182" i="35"/>
  <c r="S187" i="35"/>
  <c r="J107" i="57"/>
  <c r="J108" i="57" s="1"/>
  <c r="I108" i="57"/>
  <c r="W70" i="35"/>
  <c r="X65" i="35"/>
  <c r="J106" i="35"/>
  <c r="H76" i="35"/>
  <c r="K8" i="35"/>
  <c r="H8" i="35" s="1"/>
  <c r="J124" i="35"/>
  <c r="X147" i="35"/>
  <c r="S97" i="35"/>
  <c r="T92" i="35"/>
  <c r="J60" i="30"/>
  <c r="AL60" i="30" s="1"/>
  <c r="AL38" i="30"/>
  <c r="H184" i="35"/>
  <c r="S178" i="35"/>
  <c r="T173" i="35"/>
  <c r="Y137" i="35"/>
  <c r="R142" i="35"/>
  <c r="Q142" i="35" s="1"/>
  <c r="I103" i="58"/>
  <c r="J102" i="58"/>
  <c r="J103" i="58" s="1"/>
  <c r="O148" i="35"/>
  <c r="K187" i="35"/>
  <c r="J187" i="35" s="1"/>
  <c r="O94" i="35"/>
  <c r="K9" i="35"/>
  <c r="F9" i="35" s="1"/>
  <c r="O76" i="35"/>
  <c r="O112" i="35"/>
  <c r="Y112" i="35"/>
  <c r="V112" i="35" s="1"/>
  <c r="W79" i="35"/>
  <c r="X74" i="35"/>
  <c r="Y149" i="35"/>
  <c r="V149" i="35" s="1"/>
  <c r="T76" i="35"/>
  <c r="T166" i="35"/>
  <c r="O103" i="35"/>
  <c r="V119" i="35"/>
  <c r="U124" i="35"/>
  <c r="O183" i="35"/>
  <c r="Y183" i="35"/>
  <c r="V173" i="35"/>
  <c r="U178" i="35"/>
  <c r="I60" i="33"/>
  <c r="J37" i="33"/>
  <c r="J60" i="33" s="1"/>
  <c r="I330" i="33"/>
  <c r="J307" i="33"/>
  <c r="J330" i="33" s="1"/>
  <c r="R187" i="35"/>
  <c r="Q187" i="35" s="1"/>
  <c r="Y182" i="35"/>
  <c r="F142" i="35"/>
  <c r="Q158" i="35"/>
  <c r="Y158" i="35"/>
  <c r="X158" i="35" s="1"/>
  <c r="Q130" i="35"/>
  <c r="Y130" i="35"/>
  <c r="X130" i="35" s="1"/>
  <c r="M85" i="35"/>
  <c r="F124" i="35"/>
  <c r="X83" i="35"/>
  <c r="W88" i="35"/>
  <c r="I53" i="57"/>
  <c r="J52" i="57"/>
  <c r="J53" i="57" s="1"/>
  <c r="W133" i="35"/>
  <c r="X128" i="35"/>
  <c r="X50" i="35"/>
  <c r="W10" i="35"/>
  <c r="X10" i="35" s="1"/>
  <c r="J47" i="58"/>
  <c r="J48" i="58" s="1"/>
  <c r="I48" i="58"/>
  <c r="W61" i="35"/>
  <c r="X56" i="35"/>
  <c r="I68" i="57"/>
  <c r="J67" i="57"/>
  <c r="J68" i="57" s="1"/>
  <c r="Y185" i="35"/>
  <c r="J138" i="35"/>
  <c r="I141" i="33"/>
  <c r="J118" i="33"/>
  <c r="J141" i="33" s="1"/>
  <c r="J47" i="57"/>
  <c r="J48" i="57" s="1"/>
  <c r="I48" i="57"/>
  <c r="V129" i="35"/>
  <c r="L47" i="30"/>
  <c r="L46" i="30"/>
  <c r="L51" i="30"/>
  <c r="L43" i="30"/>
  <c r="L39" i="30"/>
  <c r="L41" i="30"/>
  <c r="K60" i="30"/>
  <c r="L54" i="30"/>
  <c r="L49" i="30"/>
  <c r="L50" i="30"/>
  <c r="L48" i="30"/>
  <c r="L44" i="30"/>
  <c r="L40" i="30"/>
  <c r="L45" i="30"/>
  <c r="L52" i="30"/>
  <c r="L42" i="30"/>
  <c r="L59" i="30"/>
  <c r="L58" i="30"/>
  <c r="L56" i="30"/>
  <c r="L57" i="30"/>
  <c r="L38" i="30"/>
  <c r="L55" i="30"/>
  <c r="L53" i="30"/>
  <c r="Y47" i="35"/>
  <c r="R52" i="35"/>
  <c r="M52" i="35" s="1"/>
  <c r="Y51" i="35"/>
  <c r="Q67" i="35"/>
  <c r="Y67" i="35"/>
  <c r="V67" i="35" s="1"/>
  <c r="R9" i="35"/>
  <c r="M9" i="35" s="1"/>
  <c r="M57" i="35"/>
  <c r="Y57" i="35"/>
  <c r="V57" i="35" s="1"/>
  <c r="V113" i="35"/>
  <c r="O79" i="35"/>
  <c r="K88" i="35"/>
  <c r="H88" i="35" s="1"/>
  <c r="O156" i="35"/>
  <c r="Y156" i="35"/>
  <c r="K133" i="35"/>
  <c r="H133" i="35" s="1"/>
  <c r="O138" i="35"/>
  <c r="Y138" i="35"/>
  <c r="V138" i="35" s="1"/>
  <c r="V101" i="35"/>
  <c r="U106" i="35"/>
  <c r="R8" i="35"/>
  <c r="Q8" i="35" s="1"/>
  <c r="H151" i="35"/>
  <c r="Y65" i="35"/>
  <c r="R70" i="35"/>
  <c r="O70" i="35" s="1"/>
  <c r="V165" i="35"/>
  <c r="J62" i="58"/>
  <c r="J63" i="58" s="1"/>
  <c r="I63" i="58"/>
  <c r="H138" i="35"/>
  <c r="Y101" i="35"/>
  <c r="R106" i="35"/>
  <c r="M106" i="35" s="1"/>
  <c r="W52" i="35"/>
  <c r="W7" i="35"/>
  <c r="X47" i="35"/>
  <c r="H7" i="35"/>
  <c r="G12" i="35"/>
  <c r="Q157" i="35"/>
  <c r="Y157" i="35"/>
  <c r="V157" i="35" s="1"/>
  <c r="Y95" i="35"/>
  <c r="T131" i="35"/>
  <c r="S160" i="35"/>
  <c r="T155" i="35"/>
  <c r="K178" i="35"/>
  <c r="J178" i="35" s="1"/>
  <c r="O187" i="35"/>
  <c r="J199" i="33"/>
  <c r="J222" i="33" s="1"/>
  <c r="I222" i="33"/>
  <c r="U79" i="35"/>
  <c r="V74" i="35"/>
  <c r="O106" i="35"/>
  <c r="Y86" i="35"/>
  <c r="T86" i="35" s="1"/>
  <c r="Y84" i="35"/>
  <c r="X84" i="35" s="1"/>
  <c r="I12" i="35"/>
  <c r="J7" i="35"/>
  <c r="Q93" i="35"/>
  <c r="Y93" i="35"/>
  <c r="V93" i="35" s="1"/>
  <c r="J9" i="35"/>
  <c r="R124" i="35"/>
  <c r="O124" i="35" s="1"/>
  <c r="Y119" i="35"/>
  <c r="T110" i="35"/>
  <c r="S115" i="35"/>
  <c r="X120" i="35"/>
  <c r="M148" i="35"/>
  <c r="J88" i="35"/>
  <c r="I88" i="57"/>
  <c r="J87" i="57"/>
  <c r="J88" i="57" s="1"/>
  <c r="H169" i="35"/>
  <c r="J107" i="58"/>
  <c r="J108" i="58" s="1"/>
  <c r="I108" i="58"/>
  <c r="J388" i="33"/>
  <c r="J411" i="33" s="1"/>
  <c r="I411" i="33"/>
  <c r="Y78" i="35"/>
  <c r="T157" i="35"/>
  <c r="Y102" i="35"/>
  <c r="V102" i="35" s="1"/>
  <c r="F84" i="35"/>
  <c r="T122" i="35"/>
  <c r="I87" i="33"/>
  <c r="J64" i="33"/>
  <c r="J87" i="33" s="1"/>
  <c r="V68" i="35"/>
  <c r="J121" i="35"/>
  <c r="R97" i="35"/>
  <c r="O97" i="35" s="1"/>
  <c r="Y92" i="35"/>
  <c r="H175" i="35"/>
  <c r="AJ60" i="30"/>
  <c r="M49" i="35"/>
  <c r="Y49" i="35"/>
  <c r="X49" i="35" s="1"/>
  <c r="J52" i="58"/>
  <c r="J53" i="58" s="1"/>
  <c r="I53" i="58"/>
  <c r="V182" i="35"/>
  <c r="U187" i="35"/>
  <c r="J67" i="35"/>
  <c r="Y83" i="35"/>
  <c r="R88" i="35"/>
  <c r="Q88" i="35" s="1"/>
  <c r="M138" i="35"/>
  <c r="O52" i="35"/>
  <c r="J113" i="35"/>
  <c r="V65" i="35"/>
  <c r="U70" i="35"/>
  <c r="M167" i="35"/>
  <c r="J97" i="58"/>
  <c r="J98" i="58" s="1"/>
  <c r="I98" i="58"/>
  <c r="I113" i="58"/>
  <c r="J112" i="58"/>
  <c r="J113" i="58" s="1"/>
  <c r="S10" i="35"/>
  <c r="T50" i="35"/>
  <c r="V139" i="35"/>
  <c r="K115" i="35"/>
  <c r="H115" i="35" s="1"/>
  <c r="K97" i="35"/>
  <c r="J97" i="35" s="1"/>
  <c r="Y175" i="35"/>
  <c r="T175" i="35" s="1"/>
  <c r="M178" i="35"/>
  <c r="M151" i="35"/>
  <c r="U88" i="35"/>
  <c r="V83" i="35"/>
  <c r="J77" i="57"/>
  <c r="J78" i="57" s="1"/>
  <c r="I78" i="57"/>
  <c r="I88" i="58"/>
  <c r="J87" i="58"/>
  <c r="J88" i="58" s="1"/>
  <c r="H142" i="35"/>
  <c r="V148" i="35"/>
  <c r="I38" i="57"/>
  <c r="J37" i="57"/>
  <c r="J38" i="57" s="1"/>
  <c r="K151" i="35"/>
  <c r="F151" i="35" s="1"/>
  <c r="M115" i="35"/>
  <c r="AF60" i="30"/>
  <c r="Q103" i="35"/>
  <c r="O160" i="35"/>
  <c r="I83" i="58"/>
  <c r="J82" i="58"/>
  <c r="J83" i="58" s="1"/>
  <c r="U142" i="35"/>
  <c r="V137" i="35"/>
  <c r="Y164" i="35"/>
  <c r="Y169" i="35" s="1"/>
  <c r="R169" i="35"/>
  <c r="M169" i="35" s="1"/>
  <c r="Y113" i="35"/>
  <c r="T113" i="35" s="1"/>
  <c r="I63" i="57"/>
  <c r="J62" i="57"/>
  <c r="J63" i="57" s="1"/>
  <c r="O10" i="35"/>
  <c r="T149" i="35"/>
  <c r="K70" i="35"/>
  <c r="H70" i="35" s="1"/>
  <c r="Y128" i="35"/>
  <c r="R133" i="35"/>
  <c r="M133" i="35" s="1"/>
  <c r="J175" i="35"/>
  <c r="V146" i="35"/>
  <c r="U151" i="35"/>
  <c r="X137" i="35"/>
  <c r="W142" i="35"/>
  <c r="J82" i="57"/>
  <c r="J83" i="57" s="1"/>
  <c r="I83" i="57"/>
  <c r="J91" i="33"/>
  <c r="J114" i="33" s="1"/>
  <c r="I114" i="33"/>
  <c r="H124" i="35"/>
  <c r="M187" i="35"/>
  <c r="K160" i="35"/>
  <c r="J160" i="35" s="1"/>
  <c r="X138" i="35"/>
  <c r="S8" i="35"/>
  <c r="T48" i="35"/>
  <c r="V85" i="35"/>
  <c r="Q151" i="35"/>
  <c r="I465" i="33"/>
  <c r="J442" i="33"/>
  <c r="J465" i="33" s="1"/>
  <c r="Q184" i="35"/>
  <c r="Y184" i="35"/>
  <c r="X184" i="35" s="1"/>
  <c r="T65" i="35"/>
  <c r="S70" i="35"/>
  <c r="S61" i="35"/>
  <c r="T56" i="35"/>
  <c r="O77" i="35"/>
  <c r="K106" i="35"/>
  <c r="F106" i="35" s="1"/>
  <c r="H121" i="35"/>
  <c r="W97" i="35"/>
  <c r="X92" i="35"/>
  <c r="I98" i="57"/>
  <c r="J97" i="57"/>
  <c r="J98" i="57" s="1"/>
  <c r="Y75" i="35"/>
  <c r="X75" i="35" s="1"/>
  <c r="X113" i="35"/>
  <c r="U169" i="35"/>
  <c r="V164" i="35"/>
  <c r="J139" i="35"/>
  <c r="J79" i="35"/>
  <c r="M58" i="35"/>
  <c r="Y58" i="35"/>
  <c r="T58" i="35" s="1"/>
  <c r="J72" i="57"/>
  <c r="J73" i="57" s="1"/>
  <c r="I73" i="57"/>
  <c r="I93" i="57"/>
  <c r="J92" i="57"/>
  <c r="J93" i="57" s="1"/>
  <c r="J76" i="35"/>
  <c r="H122" i="35"/>
  <c r="H10" i="35"/>
  <c r="Q104" i="35"/>
  <c r="Y104" i="35"/>
  <c r="Y123" i="35"/>
  <c r="J226" i="33"/>
  <c r="J249" i="33" s="1"/>
  <c r="I249" i="33"/>
  <c r="R7" i="35"/>
  <c r="M7" i="35"/>
  <c r="L12" i="35"/>
  <c r="H178" i="35"/>
  <c r="M11" i="35"/>
  <c r="R11" i="35"/>
  <c r="Y11" i="35" s="1"/>
  <c r="H75" i="35"/>
  <c r="O48" i="35"/>
  <c r="X101" i="35"/>
  <c r="W106" i="35"/>
  <c r="K79" i="35"/>
  <c r="H79" i="35" s="1"/>
  <c r="X157" i="35" l="1"/>
  <c r="T130" i="35"/>
  <c r="T59" i="35"/>
  <c r="J52" i="35"/>
  <c r="H97" i="35"/>
  <c r="Y97" i="35"/>
  <c r="T97" i="35" s="1"/>
  <c r="J151" i="35"/>
  <c r="Y124" i="35"/>
  <c r="V124" i="35" s="1"/>
  <c r="F115" i="35"/>
  <c r="M61" i="35"/>
  <c r="M8" i="35"/>
  <c r="X94" i="35"/>
  <c r="T176" i="35"/>
  <c r="V48" i="35"/>
  <c r="H160" i="35"/>
  <c r="T84" i="35"/>
  <c r="O142" i="35"/>
  <c r="T121" i="35"/>
  <c r="K12" i="35"/>
  <c r="F12" i="35" s="1"/>
  <c r="Q52" i="35"/>
  <c r="Q10" i="35"/>
  <c r="Q169" i="35"/>
  <c r="X93" i="35"/>
  <c r="Q61" i="35"/>
  <c r="F8" i="35"/>
  <c r="H61" i="35"/>
  <c r="M10" i="35"/>
  <c r="Q115" i="35"/>
  <c r="V58" i="35"/>
  <c r="Y61" i="35"/>
  <c r="V61" i="35" s="1"/>
  <c r="X103" i="35"/>
  <c r="V167" i="35"/>
  <c r="X167" i="35"/>
  <c r="V169" i="35"/>
  <c r="T158" i="35"/>
  <c r="V103" i="35"/>
  <c r="Q79" i="35"/>
  <c r="H187" i="35"/>
  <c r="F178" i="35"/>
  <c r="J12" i="35"/>
  <c r="X131" i="35"/>
  <c r="V75" i="35"/>
  <c r="Q97" i="35"/>
  <c r="O8" i="35"/>
  <c r="Y8" i="35"/>
  <c r="V8" i="35" s="1"/>
  <c r="F79" i="35"/>
  <c r="T55" i="30"/>
  <c r="AM55" i="30" s="1"/>
  <c r="AD55" i="30" s="1"/>
  <c r="T58" i="30"/>
  <c r="AM58" i="30" s="1"/>
  <c r="AD58" i="30" s="1"/>
  <c r="T45" i="30"/>
  <c r="AM45" i="30" s="1"/>
  <c r="AD45" i="30" s="1"/>
  <c r="T50" i="30"/>
  <c r="AM50" i="30" s="1"/>
  <c r="AD50" i="30" s="1"/>
  <c r="T41" i="30"/>
  <c r="AM41" i="30" s="1"/>
  <c r="AD41" i="30" s="1"/>
  <c r="T46" i="30"/>
  <c r="AM46" i="30" s="1"/>
  <c r="AD46" i="30" s="1"/>
  <c r="X102" i="35"/>
  <c r="T184" i="35"/>
  <c r="Q124" i="35"/>
  <c r="X149" i="35"/>
  <c r="X121" i="35"/>
  <c r="O169" i="35"/>
  <c r="X58" i="35"/>
  <c r="Q70" i="35"/>
  <c r="X76" i="35"/>
  <c r="V94" i="35"/>
  <c r="X8" i="35"/>
  <c r="F10" i="35"/>
  <c r="X7" i="35"/>
  <c r="W12" i="35"/>
  <c r="Y106" i="35"/>
  <c r="X106" i="35" s="1"/>
  <c r="Y52" i="35"/>
  <c r="T52" i="35" s="1"/>
  <c r="T57" i="30"/>
  <c r="AM57" i="30" s="1"/>
  <c r="AD57" i="30" s="1"/>
  <c r="T42" i="30"/>
  <c r="AM42" i="30" s="1"/>
  <c r="AD42" i="30" s="1"/>
  <c r="T44" i="30"/>
  <c r="AM44" i="30" s="1"/>
  <c r="AD44" i="30" s="1"/>
  <c r="T54" i="30"/>
  <c r="AM54" i="30" s="1"/>
  <c r="AD54" i="30" s="1"/>
  <c r="T43" i="30"/>
  <c r="AM43" i="30" s="1"/>
  <c r="AD43" i="30" s="1"/>
  <c r="X67" i="35"/>
  <c r="X52" i="35"/>
  <c r="X156" i="35"/>
  <c r="V156" i="35"/>
  <c r="O9" i="35"/>
  <c r="Y9" i="35"/>
  <c r="T9" i="35" s="1"/>
  <c r="T53" i="30"/>
  <c r="AM53" i="30" s="1"/>
  <c r="AD53" i="30" s="1"/>
  <c r="T56" i="30"/>
  <c r="AM56" i="30" s="1"/>
  <c r="AD56" i="30" s="1"/>
  <c r="T52" i="30"/>
  <c r="AM52" i="30" s="1"/>
  <c r="AD52" i="30" s="1"/>
  <c r="T48" i="30"/>
  <c r="AM48" i="30" s="1"/>
  <c r="AD48" i="30" s="1"/>
  <c r="T51" i="30"/>
  <c r="AM51" i="30" s="1"/>
  <c r="AD51" i="30" s="1"/>
  <c r="F70" i="35"/>
  <c r="M97" i="35"/>
  <c r="V86" i="35"/>
  <c r="T8" i="35"/>
  <c r="Y133" i="35"/>
  <c r="V133" i="35" s="1"/>
  <c r="F187" i="35"/>
  <c r="M124" i="35"/>
  <c r="Y88" i="35"/>
  <c r="T88" i="35" s="1"/>
  <c r="T57" i="35"/>
  <c r="F133" i="35"/>
  <c r="Q133" i="35"/>
  <c r="Y70" i="35"/>
  <c r="X70" i="35" s="1"/>
  <c r="V106" i="35"/>
  <c r="M88" i="35"/>
  <c r="Q106" i="35"/>
  <c r="T38" i="30"/>
  <c r="U38" i="30" s="1"/>
  <c r="T59" i="30"/>
  <c r="AM59" i="30" s="1"/>
  <c r="AD59" i="30" s="1"/>
  <c r="T40" i="30"/>
  <c r="AM40" i="30" s="1"/>
  <c r="AD40" i="30" s="1"/>
  <c r="T49" i="30"/>
  <c r="AM49" i="30" s="1"/>
  <c r="AD49" i="30" s="1"/>
  <c r="T39" i="30"/>
  <c r="AM39" i="30" s="1"/>
  <c r="AD39" i="30" s="1"/>
  <c r="T47" i="30"/>
  <c r="AM47" i="30" s="1"/>
  <c r="AD47" i="30" s="1"/>
  <c r="H9" i="35"/>
  <c r="X176" i="35"/>
  <c r="Y187" i="35"/>
  <c r="X187" i="35" s="1"/>
  <c r="T183" i="35"/>
  <c r="V183" i="35"/>
  <c r="O133" i="35"/>
  <c r="Y142" i="35"/>
  <c r="X142" i="35" s="1"/>
  <c r="J115" i="35"/>
  <c r="F160" i="35"/>
  <c r="T169" i="35"/>
  <c r="J133" i="35"/>
  <c r="T67" i="35"/>
  <c r="J8" i="35"/>
  <c r="M70" i="35"/>
  <c r="T112" i="35"/>
  <c r="T93" i="35"/>
  <c r="T142" i="35"/>
  <c r="O88" i="35"/>
  <c r="Y178" i="35"/>
  <c r="X178" i="35" s="1"/>
  <c r="T10" i="35"/>
  <c r="T167" i="35"/>
  <c r="T49" i="35"/>
  <c r="X124" i="35"/>
  <c r="M160" i="35"/>
  <c r="T102" i="35"/>
  <c r="S12" i="35"/>
  <c r="T7" i="35"/>
  <c r="C2" i="32"/>
  <c r="J1" i="31"/>
  <c r="T124" i="35"/>
  <c r="M142" i="35"/>
  <c r="Y151" i="35"/>
  <c r="V151" i="35" s="1"/>
  <c r="R12" i="35"/>
  <c r="M12" i="35" s="1"/>
  <c r="Y7" i="35"/>
  <c r="Y12" i="35" s="1"/>
  <c r="T12" i="35" s="1"/>
  <c r="T104" i="35"/>
  <c r="X104" i="35"/>
  <c r="V175" i="35"/>
  <c r="J70" i="35"/>
  <c r="X88" i="35"/>
  <c r="Q9" i="35"/>
  <c r="Y160" i="35"/>
  <c r="X160" i="35" s="1"/>
  <c r="X169" i="35"/>
  <c r="V49" i="35"/>
  <c r="X175" i="35"/>
  <c r="X9" i="35"/>
  <c r="H106" i="35"/>
  <c r="Y115" i="35"/>
  <c r="X115" i="35" s="1"/>
  <c r="U12" i="35"/>
  <c r="V12" i="35" s="1"/>
  <c r="V7" i="35"/>
  <c r="T138" i="35"/>
  <c r="V184" i="35"/>
  <c r="V130" i="35"/>
  <c r="Q12" i="35"/>
  <c r="X183" i="35"/>
  <c r="Y79" i="35"/>
  <c r="T79" i="35" s="1"/>
  <c r="F61" i="35"/>
  <c r="X112" i="35"/>
  <c r="F97" i="35"/>
  <c r="X79" i="35" l="1"/>
  <c r="V79" i="35"/>
  <c r="V160" i="35"/>
  <c r="U40" i="30"/>
  <c r="X61" i="35"/>
  <c r="V97" i="35"/>
  <c r="H12" i="35"/>
  <c r="U39" i="30"/>
  <c r="T61" i="35"/>
  <c r="X97" i="35"/>
  <c r="U46" i="30"/>
  <c r="X133" i="35"/>
  <c r="T60" i="30"/>
  <c r="AM60" i="30" s="1"/>
  <c r="AM38" i="30"/>
  <c r="AD38" i="30" s="1"/>
  <c r="A48" i="30" s="1"/>
  <c r="U51" i="30"/>
  <c r="U52" i="30"/>
  <c r="U53" i="30"/>
  <c r="V70" i="35"/>
  <c r="U43" i="30"/>
  <c r="U44" i="30"/>
  <c r="U57" i="30"/>
  <c r="X12" i="35"/>
  <c r="V52" i="35"/>
  <c r="T106" i="35"/>
  <c r="T187" i="35"/>
  <c r="AE46" i="30"/>
  <c r="AE50" i="30"/>
  <c r="A58" i="30"/>
  <c r="V187" i="35"/>
  <c r="AE54" i="30"/>
  <c r="A54" i="30"/>
  <c r="U50" i="30"/>
  <c r="T133" i="35"/>
  <c r="O12" i="35"/>
  <c r="V115" i="35"/>
  <c r="T160" i="35"/>
  <c r="U47" i="30"/>
  <c r="U49" i="30"/>
  <c r="U59" i="30"/>
  <c r="T151" i="35"/>
  <c r="T178" i="35"/>
  <c r="A51" i="30"/>
  <c r="AE51" i="30"/>
  <c r="A52" i="30"/>
  <c r="AE53" i="30"/>
  <c r="A53" i="30"/>
  <c r="V88" i="35"/>
  <c r="AE43" i="30"/>
  <c r="A43" i="30"/>
  <c r="A44" i="30"/>
  <c r="A57" i="30"/>
  <c r="AE57" i="30"/>
  <c r="X151" i="35"/>
  <c r="U41" i="30"/>
  <c r="U45" i="30"/>
  <c r="U55" i="30"/>
  <c r="AE56" i="30"/>
  <c r="A56" i="30"/>
  <c r="A42" i="30"/>
  <c r="AE42" i="30"/>
  <c r="U58" i="30"/>
  <c r="A47" i="30"/>
  <c r="AE47" i="30"/>
  <c r="A49" i="30"/>
  <c r="AE49" i="30"/>
  <c r="A59" i="30"/>
  <c r="AE59" i="30"/>
  <c r="V178" i="35"/>
  <c r="U48" i="30"/>
  <c r="U56" i="30"/>
  <c r="U54" i="30"/>
  <c r="U42" i="30"/>
  <c r="AE41" i="30"/>
  <c r="A41" i="30"/>
  <c r="A45" i="30"/>
  <c r="AE45" i="30"/>
  <c r="AE55" i="30"/>
  <c r="A55" i="30"/>
  <c r="T115" i="35"/>
  <c r="V142" i="35"/>
  <c r="T70" i="35"/>
  <c r="V9" i="35"/>
  <c r="A50" i="30" l="1"/>
  <c r="A40" i="30"/>
  <c r="AE44" i="30"/>
  <c r="AE52" i="30"/>
  <c r="AE58" i="30"/>
  <c r="A46" i="30"/>
  <c r="A39" i="30"/>
  <c r="AE40" i="30"/>
  <c r="AE38" i="30"/>
  <c r="A38" i="30"/>
  <c r="AE39" i="30"/>
  <c r="AE48" i="30"/>
  <c r="B21" i="30" l="1"/>
  <c r="B18" i="30"/>
  <c r="B29" i="30"/>
  <c r="B10" i="30"/>
  <c r="B13" i="30"/>
  <c r="B26" i="30"/>
  <c r="B23" i="30"/>
  <c r="B25" i="30"/>
  <c r="B28" i="30"/>
  <c r="B11" i="30"/>
  <c r="B17" i="30"/>
  <c r="B19" i="30"/>
  <c r="B27" i="30"/>
  <c r="B12" i="30"/>
  <c r="B22" i="30"/>
  <c r="B30" i="30"/>
  <c r="B9" i="30"/>
  <c r="B16" i="30"/>
  <c r="B20" i="30"/>
  <c r="B14" i="30"/>
  <c r="B15" i="30"/>
  <c r="B24" i="30"/>
  <c r="B12" i="32" l="1"/>
  <c r="C15" i="30"/>
  <c r="T15" i="30"/>
  <c r="R15" i="30"/>
  <c r="D13" i="57"/>
  <c r="G15" i="30"/>
  <c r="B12" i="36"/>
  <c r="I15" i="30"/>
  <c r="AK15" i="30" s="1"/>
  <c r="C44" i="31"/>
  <c r="AA15" i="30"/>
  <c r="Y15" i="30"/>
  <c r="Q15" i="30"/>
  <c r="E15" i="30"/>
  <c r="J15" i="30"/>
  <c r="AE15" i="30"/>
  <c r="F39" i="74" s="1"/>
  <c r="M15" i="30"/>
  <c r="AD15" i="30"/>
  <c r="AC15" i="30"/>
  <c r="D15" i="30"/>
  <c r="W15" i="30"/>
  <c r="D13" i="58"/>
  <c r="V15" i="30"/>
  <c r="N15" i="30"/>
  <c r="AG15" i="30" s="1"/>
  <c r="D13" i="33"/>
  <c r="L15" i="30"/>
  <c r="AO15" i="30"/>
  <c r="D23" i="35"/>
  <c r="S15" i="30"/>
  <c r="O15" i="30"/>
  <c r="X15" i="30"/>
  <c r="F15" i="30"/>
  <c r="U15" i="30"/>
  <c r="Z15" i="30"/>
  <c r="P15" i="30"/>
  <c r="AI15" i="30" s="1"/>
  <c r="AB15" i="30"/>
  <c r="K15" i="30"/>
  <c r="H15" i="30"/>
  <c r="AC30" i="30"/>
  <c r="N30" i="30"/>
  <c r="I30" i="30"/>
  <c r="AK30" i="30" s="1"/>
  <c r="D28" i="57"/>
  <c r="Q30" i="30"/>
  <c r="AA30" i="30"/>
  <c r="O30" i="30"/>
  <c r="AH30" i="30" s="1"/>
  <c r="AE30" i="30"/>
  <c r="F35" i="60" s="1"/>
  <c r="E30" i="30"/>
  <c r="L30" i="30"/>
  <c r="AD30" i="30"/>
  <c r="J30" i="30"/>
  <c r="F30" i="30"/>
  <c r="T30" i="30"/>
  <c r="H30" i="30"/>
  <c r="AJ30" i="30" s="1"/>
  <c r="C59" i="31"/>
  <c r="V30" i="30"/>
  <c r="R30" i="30"/>
  <c r="Y30" i="30"/>
  <c r="U30" i="30"/>
  <c r="X30" i="30"/>
  <c r="P30" i="30"/>
  <c r="G30" i="30"/>
  <c r="W30" i="30"/>
  <c r="D30" i="30"/>
  <c r="AB30" i="30"/>
  <c r="M30" i="30"/>
  <c r="K30" i="30"/>
  <c r="Z30" i="30"/>
  <c r="D28" i="58"/>
  <c r="S30" i="30"/>
  <c r="C30" i="30"/>
  <c r="AO30" i="30"/>
  <c r="C54" i="31"/>
  <c r="C25" i="30"/>
  <c r="L25" i="30"/>
  <c r="D23" i="58"/>
  <c r="U25" i="30"/>
  <c r="J25" i="30"/>
  <c r="AL25" i="30" s="1"/>
  <c r="B22" i="36"/>
  <c r="Z25" i="30"/>
  <c r="F25" i="30"/>
  <c r="AA25" i="30"/>
  <c r="M25" i="30"/>
  <c r="E25" i="30"/>
  <c r="H25" i="30"/>
  <c r="T25" i="30"/>
  <c r="AM25" i="30" s="1"/>
  <c r="Y25" i="30"/>
  <c r="D25" i="30"/>
  <c r="P25" i="30"/>
  <c r="D23" i="33"/>
  <c r="W25" i="30"/>
  <c r="D23" i="57"/>
  <c r="D33" i="35"/>
  <c r="O25" i="30"/>
  <c r="AH25" i="30" s="1"/>
  <c r="AD25" i="30"/>
  <c r="K25" i="30"/>
  <c r="S25" i="30"/>
  <c r="X25" i="30"/>
  <c r="AC25" i="30"/>
  <c r="AO25" i="30" s="1"/>
  <c r="R25" i="30"/>
  <c r="AB25" i="30"/>
  <c r="AE25" i="30"/>
  <c r="G25" i="30"/>
  <c r="V25" i="30"/>
  <c r="N25" i="30"/>
  <c r="Q25" i="30"/>
  <c r="I25" i="30"/>
  <c r="B22" i="32"/>
  <c r="AA10" i="30"/>
  <c r="R10" i="30"/>
  <c r="AB10" i="30"/>
  <c r="Q10" i="30"/>
  <c r="D8" i="58"/>
  <c r="M10" i="30"/>
  <c r="Y10" i="30"/>
  <c r="C10" i="30"/>
  <c r="J10" i="30"/>
  <c r="C39" i="31"/>
  <c r="U10" i="30"/>
  <c r="K10" i="30"/>
  <c r="B7" i="32"/>
  <c r="I10" i="30"/>
  <c r="AK10" i="30" s="1"/>
  <c r="H10" i="30"/>
  <c r="AJ10" i="30" s="1"/>
  <c r="V10" i="30"/>
  <c r="AC10" i="30"/>
  <c r="O10" i="30"/>
  <c r="AH10" i="30" s="1"/>
  <c r="AE10" i="30"/>
  <c r="F53" i="66" s="1"/>
  <c r="F10" i="30"/>
  <c r="AO10" i="30"/>
  <c r="G10" i="30"/>
  <c r="D18" i="35"/>
  <c r="X10" i="30"/>
  <c r="E10" i="30"/>
  <c r="W10" i="30"/>
  <c r="D10" i="30"/>
  <c r="D8" i="33"/>
  <c r="N10" i="30"/>
  <c r="AG10" i="30" s="1"/>
  <c r="B7" i="36"/>
  <c r="AD10" i="30"/>
  <c r="Z10" i="30"/>
  <c r="P10" i="30"/>
  <c r="S10" i="30"/>
  <c r="L10" i="30"/>
  <c r="T10" i="30"/>
  <c r="AM10" i="30" s="1"/>
  <c r="D8" i="57"/>
  <c r="Y20" i="30"/>
  <c r="I20" i="30"/>
  <c r="V20" i="30"/>
  <c r="T20" i="30"/>
  <c r="S20" i="30"/>
  <c r="U20" i="30"/>
  <c r="AD20" i="30"/>
  <c r="G20" i="30"/>
  <c r="J20" i="30"/>
  <c r="AL20" i="30" s="1"/>
  <c r="R20" i="30"/>
  <c r="B17" i="32"/>
  <c r="C20" i="30"/>
  <c r="X20" i="30"/>
  <c r="L20" i="30"/>
  <c r="AC20" i="30"/>
  <c r="D28" i="35"/>
  <c r="Z20" i="30"/>
  <c r="H20" i="30"/>
  <c r="M20" i="30"/>
  <c r="D18" i="33"/>
  <c r="C49" i="31"/>
  <c r="E20" i="30"/>
  <c r="B17" i="36"/>
  <c r="D20" i="30"/>
  <c r="AA20" i="30"/>
  <c r="D18" i="57"/>
  <c r="N20" i="30"/>
  <c r="P20" i="30"/>
  <c r="AI20" i="30" s="1"/>
  <c r="W20" i="30"/>
  <c r="AE20" i="30"/>
  <c r="F38" i="62" s="1"/>
  <c r="D18" i="58"/>
  <c r="Q20" i="30"/>
  <c r="O20" i="30"/>
  <c r="F20" i="30"/>
  <c r="K20" i="30"/>
  <c r="AB20" i="30"/>
  <c r="AO20" i="30"/>
  <c r="U22" i="30"/>
  <c r="O22" i="30"/>
  <c r="E22" i="30"/>
  <c r="AC22" i="30"/>
  <c r="Q22" i="30"/>
  <c r="M22" i="30"/>
  <c r="D20" i="57"/>
  <c r="Z22" i="30"/>
  <c r="C51" i="31"/>
  <c r="G22" i="30"/>
  <c r="P22" i="30"/>
  <c r="AI22" i="30" s="1"/>
  <c r="R22" i="30"/>
  <c r="AA22" i="30"/>
  <c r="T22" i="30"/>
  <c r="H22" i="30"/>
  <c r="AJ22" i="30" s="1"/>
  <c r="D22" i="30"/>
  <c r="J22" i="30"/>
  <c r="B19" i="36"/>
  <c r="F22" i="30"/>
  <c r="AE22" i="30"/>
  <c r="F28" i="71" s="1"/>
  <c r="L22" i="30"/>
  <c r="Y22" i="30"/>
  <c r="D20" i="33"/>
  <c r="C22" i="30"/>
  <c r="W22" i="30"/>
  <c r="X22" i="30"/>
  <c r="S22" i="30"/>
  <c r="N22" i="30"/>
  <c r="D30" i="35"/>
  <c r="I22" i="30"/>
  <c r="D20" i="58"/>
  <c r="V22" i="30"/>
  <c r="B19" i="32"/>
  <c r="AB22" i="30"/>
  <c r="AD22" i="30"/>
  <c r="K22" i="30"/>
  <c r="W17" i="30"/>
  <c r="N17" i="30"/>
  <c r="V17" i="30"/>
  <c r="AO17" i="30" s="1"/>
  <c r="AC17" i="30"/>
  <c r="R17" i="30"/>
  <c r="B14" i="36"/>
  <c r="AD17" i="30"/>
  <c r="T17" i="30"/>
  <c r="AM17" i="30" s="1"/>
  <c r="K17" i="30"/>
  <c r="Q17" i="30"/>
  <c r="B14" i="32"/>
  <c r="L17" i="30"/>
  <c r="C46" i="31"/>
  <c r="G17" i="30"/>
  <c r="AB17" i="30"/>
  <c r="H17" i="30"/>
  <c r="J17" i="30"/>
  <c r="AL17" i="30" s="1"/>
  <c r="D15" i="58"/>
  <c r="C17" i="30"/>
  <c r="O17" i="30"/>
  <c r="Z17" i="30"/>
  <c r="I17" i="30"/>
  <c r="AK17" i="30" s="1"/>
  <c r="M17" i="30"/>
  <c r="P17" i="30"/>
  <c r="D15" i="57"/>
  <c r="AE17" i="30"/>
  <c r="E17" i="30"/>
  <c r="D25" i="35"/>
  <c r="U17" i="30"/>
  <c r="X17" i="30"/>
  <c r="Y17" i="30"/>
  <c r="D17" i="30"/>
  <c r="AA17" i="30"/>
  <c r="F17" i="30"/>
  <c r="D15" i="33"/>
  <c r="S17" i="30"/>
  <c r="Z23" i="30"/>
  <c r="B20" i="32"/>
  <c r="AE23" i="30"/>
  <c r="F62" i="63" s="1"/>
  <c r="C23" i="30"/>
  <c r="E23" i="30"/>
  <c r="B20" i="36"/>
  <c r="I23" i="30"/>
  <c r="X23" i="30"/>
  <c r="D21" i="57"/>
  <c r="K23" i="30"/>
  <c r="Q23" i="30"/>
  <c r="G23" i="30"/>
  <c r="D23" i="30"/>
  <c r="AB23" i="30"/>
  <c r="U23" i="30"/>
  <c r="AC23" i="30"/>
  <c r="L23" i="30"/>
  <c r="T23" i="30"/>
  <c r="AM23" i="30" s="1"/>
  <c r="Y23" i="30"/>
  <c r="AD23" i="30"/>
  <c r="P23" i="30"/>
  <c r="AI23" i="30" s="1"/>
  <c r="N23" i="30"/>
  <c r="D21" i="33"/>
  <c r="V23" i="30"/>
  <c r="C52" i="31"/>
  <c r="R23" i="30"/>
  <c r="H23" i="30"/>
  <c r="AJ23" i="30" s="1"/>
  <c r="M23" i="30"/>
  <c r="F23" i="30"/>
  <c r="D31" i="35"/>
  <c r="S23" i="30"/>
  <c r="J23" i="30"/>
  <c r="W23" i="30"/>
  <c r="O23" i="30"/>
  <c r="AA23" i="30"/>
  <c r="D21" i="58"/>
  <c r="AO23" i="30"/>
  <c r="X29" i="30"/>
  <c r="Y29" i="30"/>
  <c r="O29" i="30"/>
  <c r="C58" i="31"/>
  <c r="AB29" i="30"/>
  <c r="F29" i="30"/>
  <c r="E29" i="30"/>
  <c r="I29" i="30"/>
  <c r="J29" i="30"/>
  <c r="G29" i="30"/>
  <c r="M29" i="30"/>
  <c r="AC29" i="30"/>
  <c r="U29" i="30"/>
  <c r="D27" i="57"/>
  <c r="H29" i="30"/>
  <c r="T29" i="30"/>
  <c r="AD29" i="30"/>
  <c r="S29" i="30"/>
  <c r="D29" i="30"/>
  <c r="W29" i="30"/>
  <c r="AA29" i="30"/>
  <c r="R29" i="30"/>
  <c r="D27" i="58"/>
  <c r="V29" i="30"/>
  <c r="N29" i="30"/>
  <c r="AG29" i="30" s="1"/>
  <c r="L29" i="30"/>
  <c r="AE29" i="30"/>
  <c r="F58" i="60" s="1"/>
  <c r="K29" i="30"/>
  <c r="P29" i="30"/>
  <c r="C29" i="30"/>
  <c r="Z29" i="30"/>
  <c r="Q29" i="30"/>
  <c r="D25" i="58"/>
  <c r="X27" i="30"/>
  <c r="O27" i="30"/>
  <c r="H27" i="30"/>
  <c r="AE27" i="30"/>
  <c r="B24" i="36"/>
  <c r="Z27" i="30"/>
  <c r="AD27" i="30"/>
  <c r="L27" i="30"/>
  <c r="S27" i="30"/>
  <c r="D27" i="30"/>
  <c r="N27" i="30"/>
  <c r="B24" i="32"/>
  <c r="Q27" i="30"/>
  <c r="K27" i="30"/>
  <c r="E27" i="30"/>
  <c r="R27" i="30"/>
  <c r="AC27" i="30"/>
  <c r="C56" i="31"/>
  <c r="D25" i="33"/>
  <c r="F27" i="30"/>
  <c r="J27" i="30"/>
  <c r="AL27" i="30" s="1"/>
  <c r="W27" i="30"/>
  <c r="C27" i="30"/>
  <c r="I27" i="30"/>
  <c r="AK27" i="30" s="1"/>
  <c r="D25" i="57"/>
  <c r="U27" i="30"/>
  <c r="P27" i="30"/>
  <c r="T27" i="30"/>
  <c r="G27" i="30"/>
  <c r="M27" i="30"/>
  <c r="AB27" i="30"/>
  <c r="Y27" i="30"/>
  <c r="D35" i="35"/>
  <c r="AA27" i="30"/>
  <c r="V27" i="30"/>
  <c r="AO27" i="30"/>
  <c r="B11" i="36"/>
  <c r="D22" i="35"/>
  <c r="M14" i="30"/>
  <c r="B11" i="32"/>
  <c r="D12" i="57"/>
  <c r="C43" i="31"/>
  <c r="K14" i="30"/>
  <c r="U14" i="30"/>
  <c r="AA14" i="30"/>
  <c r="X14" i="30"/>
  <c r="F14" i="30"/>
  <c r="R14" i="30"/>
  <c r="N14" i="30"/>
  <c r="D12" i="58"/>
  <c r="I14" i="30"/>
  <c r="T14" i="30"/>
  <c r="AM14" i="30" s="1"/>
  <c r="E14" i="30"/>
  <c r="V14" i="30"/>
  <c r="C14" i="30"/>
  <c r="D12" i="33"/>
  <c r="D14" i="30"/>
  <c r="O14" i="30"/>
  <c r="AH14" i="30" s="1"/>
  <c r="P14" i="30"/>
  <c r="AB14" i="30"/>
  <c r="G14" i="30"/>
  <c r="Z14" i="30"/>
  <c r="L14" i="30"/>
  <c r="S14" i="30"/>
  <c r="Q14" i="30"/>
  <c r="Y14" i="30"/>
  <c r="AD14" i="30"/>
  <c r="W14" i="30"/>
  <c r="H14" i="30"/>
  <c r="AJ14" i="30" s="1"/>
  <c r="AC14" i="30"/>
  <c r="AO14" i="30" s="1"/>
  <c r="J14" i="30"/>
  <c r="AE14" i="30"/>
  <c r="W19" i="30"/>
  <c r="X19" i="30"/>
  <c r="V19" i="30"/>
  <c r="U19" i="30"/>
  <c r="D17" i="33"/>
  <c r="G19" i="30"/>
  <c r="L19" i="30"/>
  <c r="K19" i="30"/>
  <c r="B16" i="32"/>
  <c r="C19" i="30"/>
  <c r="H19" i="30"/>
  <c r="O19" i="30"/>
  <c r="T19" i="30"/>
  <c r="M19" i="30"/>
  <c r="F19" i="30"/>
  <c r="Q19" i="30"/>
  <c r="D17" i="58"/>
  <c r="Z19" i="30"/>
  <c r="AB19" i="30"/>
  <c r="AE19" i="30"/>
  <c r="D19" i="30"/>
  <c r="AC19" i="30"/>
  <c r="J19" i="30"/>
  <c r="AD19" i="30"/>
  <c r="B16" i="36"/>
  <c r="N19" i="30"/>
  <c r="S19" i="30"/>
  <c r="C48" i="31"/>
  <c r="D17" i="57"/>
  <c r="D27" i="35"/>
  <c r="E19" i="30"/>
  <c r="I19" i="30"/>
  <c r="Y19" i="30"/>
  <c r="P19" i="30"/>
  <c r="AI19" i="30" s="1"/>
  <c r="AA19" i="30"/>
  <c r="R19" i="30"/>
  <c r="AO19" i="30"/>
  <c r="H24" i="30"/>
  <c r="D22" i="33"/>
  <c r="L24" i="30"/>
  <c r="C24" i="30"/>
  <c r="B21" i="32"/>
  <c r="C53" i="31"/>
  <c r="AD24" i="30"/>
  <c r="V24" i="30"/>
  <c r="AO24" i="30" s="1"/>
  <c r="B21" i="36"/>
  <c r="S24" i="30"/>
  <c r="R24" i="30"/>
  <c r="U24" i="30"/>
  <c r="J24" i="30"/>
  <c r="W24" i="30"/>
  <c r="T24" i="30"/>
  <c r="I24" i="30"/>
  <c r="AC24" i="30"/>
  <c r="D32" i="35"/>
  <c r="Z24" i="30"/>
  <c r="D22" i="58"/>
  <c r="N24" i="30"/>
  <c r="D22" i="57"/>
  <c r="K24" i="30"/>
  <c r="F24" i="30"/>
  <c r="P24" i="30"/>
  <c r="Q24" i="30"/>
  <c r="G24" i="30"/>
  <c r="M24" i="30"/>
  <c r="Y24" i="30"/>
  <c r="AA24" i="30"/>
  <c r="AB24" i="30"/>
  <c r="E24" i="30"/>
  <c r="D24" i="30"/>
  <c r="AE24" i="30"/>
  <c r="F26" i="74" s="1"/>
  <c r="X24" i="30"/>
  <c r="O24" i="30"/>
  <c r="AH24" i="30" s="1"/>
  <c r="R16" i="30"/>
  <c r="AA16" i="30"/>
  <c r="L16" i="30"/>
  <c r="B13" i="32"/>
  <c r="P16" i="30"/>
  <c r="K16" i="30"/>
  <c r="Y16" i="30"/>
  <c r="C16" i="30"/>
  <c r="E16" i="30"/>
  <c r="D14" i="33"/>
  <c r="J16" i="30"/>
  <c r="D14" i="57"/>
  <c r="O16" i="30"/>
  <c r="AB16" i="30"/>
  <c r="T16" i="30"/>
  <c r="X16" i="30"/>
  <c r="W16" i="30"/>
  <c r="B13" i="36"/>
  <c r="S16" i="30"/>
  <c r="D14" i="58"/>
  <c r="M16" i="30"/>
  <c r="AC16" i="30"/>
  <c r="H16" i="30"/>
  <c r="AD16" i="30"/>
  <c r="G16" i="30"/>
  <c r="C45" i="31"/>
  <c r="AE16" i="30"/>
  <c r="F63" i="62" s="1"/>
  <c r="D16" i="30"/>
  <c r="N16" i="30"/>
  <c r="AG16" i="30" s="1"/>
  <c r="U16" i="30"/>
  <c r="V16" i="30"/>
  <c r="I16" i="30"/>
  <c r="AK16" i="30" s="1"/>
  <c r="Z16" i="30"/>
  <c r="Q16" i="30"/>
  <c r="F16" i="30"/>
  <c r="D24" i="35"/>
  <c r="D10" i="57"/>
  <c r="AE12" i="30"/>
  <c r="F41" i="73" s="1"/>
  <c r="W12" i="30"/>
  <c r="Q12" i="30"/>
  <c r="D10" i="58"/>
  <c r="D12" i="30"/>
  <c r="AC12" i="30"/>
  <c r="AO12" i="30" s="1"/>
  <c r="AA12" i="30"/>
  <c r="P12" i="30"/>
  <c r="C12" i="30"/>
  <c r="L12" i="30"/>
  <c r="E12" i="30"/>
  <c r="D10" i="33"/>
  <c r="I12" i="30"/>
  <c r="G12" i="30"/>
  <c r="J12" i="30"/>
  <c r="Z12" i="30"/>
  <c r="N12" i="30"/>
  <c r="AG12" i="30" s="1"/>
  <c r="T12" i="30"/>
  <c r="AM12" i="30" s="1"/>
  <c r="O12" i="30"/>
  <c r="K12" i="30"/>
  <c r="AB12" i="30"/>
  <c r="R12" i="30"/>
  <c r="D20" i="35"/>
  <c r="B9" i="32"/>
  <c r="H12" i="30"/>
  <c r="AJ12" i="30" s="1"/>
  <c r="B9" i="36"/>
  <c r="C41" i="31"/>
  <c r="Y12" i="30"/>
  <c r="F12" i="30"/>
  <c r="U12" i="30"/>
  <c r="S12" i="30"/>
  <c r="X12" i="30"/>
  <c r="V12" i="30"/>
  <c r="AD12" i="30"/>
  <c r="M12" i="30"/>
  <c r="O11" i="30"/>
  <c r="D9" i="57"/>
  <c r="L11" i="30"/>
  <c r="X11" i="30"/>
  <c r="C11" i="30"/>
  <c r="K11" i="30"/>
  <c r="AB11" i="30"/>
  <c r="B8" i="36"/>
  <c r="D9" i="33"/>
  <c r="D19" i="35"/>
  <c r="D11" i="30"/>
  <c r="I11" i="30"/>
  <c r="N11" i="30"/>
  <c r="AE11" i="30"/>
  <c r="F51" i="68" s="1"/>
  <c r="E11" i="30"/>
  <c r="U11" i="30"/>
  <c r="S11" i="30"/>
  <c r="M11" i="30"/>
  <c r="P11" i="30"/>
  <c r="R11" i="30"/>
  <c r="D9" i="58"/>
  <c r="V11" i="30"/>
  <c r="J11" i="30"/>
  <c r="AL11" i="30" s="1"/>
  <c r="Z11" i="30"/>
  <c r="B8" i="32"/>
  <c r="AC11" i="30"/>
  <c r="AO11" i="30" s="1"/>
  <c r="G11" i="30"/>
  <c r="H11" i="30"/>
  <c r="AD11" i="30"/>
  <c r="Q11" i="30"/>
  <c r="AA11" i="30"/>
  <c r="F11" i="30"/>
  <c r="Y11" i="30"/>
  <c r="T11" i="30"/>
  <c r="AM11" i="30" s="1"/>
  <c r="W11" i="30"/>
  <c r="C40" i="31"/>
  <c r="O26" i="30"/>
  <c r="W26" i="30"/>
  <c r="AE26" i="30"/>
  <c r="L26" i="30"/>
  <c r="B23" i="36"/>
  <c r="M26" i="30"/>
  <c r="D34" i="35"/>
  <c r="N26" i="30"/>
  <c r="S26" i="30"/>
  <c r="Y26" i="30"/>
  <c r="E26" i="30"/>
  <c r="J26" i="30"/>
  <c r="AL26" i="30" s="1"/>
  <c r="D24" i="33"/>
  <c r="AC26" i="30"/>
  <c r="R26" i="30"/>
  <c r="AD26" i="30"/>
  <c r="T26" i="30"/>
  <c r="C26" i="30"/>
  <c r="D24" i="57"/>
  <c r="F26" i="30"/>
  <c r="U26" i="30"/>
  <c r="X26" i="30"/>
  <c r="C55" i="31"/>
  <c r="D24" i="58"/>
  <c r="K26" i="30"/>
  <c r="D26" i="30"/>
  <c r="AA26" i="30"/>
  <c r="H26" i="30"/>
  <c r="AJ26" i="30" s="1"/>
  <c r="Q26" i="30"/>
  <c r="V26" i="30"/>
  <c r="P26" i="30"/>
  <c r="AB26" i="30"/>
  <c r="Z26" i="30"/>
  <c r="I26" i="30"/>
  <c r="B23" i="32"/>
  <c r="G26" i="30"/>
  <c r="E18" i="30"/>
  <c r="D16" i="33"/>
  <c r="S18" i="30"/>
  <c r="X18" i="30"/>
  <c r="K18" i="30"/>
  <c r="N18" i="30"/>
  <c r="O18" i="30"/>
  <c r="AH18" i="30" s="1"/>
  <c r="AB18" i="30"/>
  <c r="I18" i="30"/>
  <c r="D18" i="30"/>
  <c r="M18" i="30"/>
  <c r="H18" i="30"/>
  <c r="T18" i="30"/>
  <c r="AM18" i="30" s="1"/>
  <c r="V18" i="30"/>
  <c r="AO18" i="30" s="1"/>
  <c r="B15" i="36"/>
  <c r="AE18" i="30"/>
  <c r="F61" i="67" s="1"/>
  <c r="Z18" i="30"/>
  <c r="R18" i="30"/>
  <c r="B15" i="32"/>
  <c r="P18" i="30"/>
  <c r="C18" i="30"/>
  <c r="D16" i="57"/>
  <c r="AD18" i="30"/>
  <c r="C47" i="31"/>
  <c r="U18" i="30"/>
  <c r="Y18" i="30"/>
  <c r="L18" i="30"/>
  <c r="Q18" i="30"/>
  <c r="AC18" i="30"/>
  <c r="F18" i="30"/>
  <c r="D16" i="58"/>
  <c r="J18" i="30"/>
  <c r="D26" i="35"/>
  <c r="AA18" i="30"/>
  <c r="G18" i="30"/>
  <c r="W18" i="30"/>
  <c r="U9" i="30"/>
  <c r="AE9" i="30"/>
  <c r="F43" i="60"/>
  <c r="H9" i="30"/>
  <c r="F56" i="60"/>
  <c r="F65" i="71"/>
  <c r="F50" i="69"/>
  <c r="F62" i="65"/>
  <c r="B6" i="32"/>
  <c r="F23" i="76"/>
  <c r="F27" i="69"/>
  <c r="F52" i="79"/>
  <c r="F31" i="67"/>
  <c r="M9" i="30"/>
  <c r="G9" i="30"/>
  <c r="F37" i="79"/>
  <c r="I9" i="30"/>
  <c r="F32" i="69"/>
  <c r="F52" i="73"/>
  <c r="F39" i="60"/>
  <c r="F46" i="66"/>
  <c r="K9" i="30"/>
  <c r="D7" i="33"/>
  <c r="F24" i="68"/>
  <c r="F45" i="79"/>
  <c r="F40" i="63"/>
  <c r="F54" i="70"/>
  <c r="F67" i="68"/>
  <c r="F53" i="73"/>
  <c r="Q9" i="30"/>
  <c r="F57" i="67"/>
  <c r="F26" i="63"/>
  <c r="F56" i="61"/>
  <c r="F33" i="78"/>
  <c r="F29" i="71"/>
  <c r="F20" i="67"/>
  <c r="F37" i="75"/>
  <c r="F57" i="11"/>
  <c r="F63" i="78"/>
  <c r="F54" i="65"/>
  <c r="F32" i="78"/>
  <c r="F40" i="77"/>
  <c r="F62" i="77"/>
  <c r="F37" i="64"/>
  <c r="F26" i="72"/>
  <c r="F59" i="66"/>
  <c r="F66" i="59"/>
  <c r="F54" i="61"/>
  <c r="F58" i="62"/>
  <c r="F28" i="78"/>
  <c r="F62" i="64"/>
  <c r="Y9" i="30"/>
  <c r="D17" i="35"/>
  <c r="F28" i="59"/>
  <c r="E9" i="30"/>
  <c r="F38" i="65"/>
  <c r="F44" i="75"/>
  <c r="F43" i="70"/>
  <c r="P9" i="30"/>
  <c r="F27" i="79"/>
  <c r="AA9" i="30"/>
  <c r="F53" i="69"/>
  <c r="F49" i="70"/>
  <c r="F50" i="76"/>
  <c r="F34" i="74"/>
  <c r="F33" i="75"/>
  <c r="F36" i="76"/>
  <c r="V9" i="30"/>
  <c r="F27" i="70"/>
  <c r="B6" i="36"/>
  <c r="S9" i="30"/>
  <c r="D9" i="30"/>
  <c r="F36" i="61"/>
  <c r="F53" i="60"/>
  <c r="F24" i="71"/>
  <c r="F55" i="68"/>
  <c r="F57" i="78"/>
  <c r="J9" i="30"/>
  <c r="F66" i="61"/>
  <c r="F50" i="64"/>
  <c r="F64" i="63"/>
  <c r="F65" i="59"/>
  <c r="F31" i="69"/>
  <c r="F40" i="66"/>
  <c r="F37" i="59"/>
  <c r="F63" i="70"/>
  <c r="F59" i="77"/>
  <c r="O9" i="30"/>
  <c r="F30" i="77"/>
  <c r="F61" i="59"/>
  <c r="F60" i="74"/>
  <c r="F58" i="65"/>
  <c r="Z9" i="30"/>
  <c r="F57" i="61"/>
  <c r="F34" i="61"/>
  <c r="F51" i="77"/>
  <c r="F40" i="62"/>
  <c r="F30" i="66"/>
  <c r="F51" i="59"/>
  <c r="F53" i="76"/>
  <c r="F47" i="59"/>
  <c r="F57" i="72"/>
  <c r="F55" i="62"/>
  <c r="F65" i="70"/>
  <c r="F62" i="76"/>
  <c r="F20" i="72"/>
  <c r="F23" i="65"/>
  <c r="F66" i="76"/>
  <c r="F25" i="70"/>
  <c r="F28" i="73"/>
  <c r="F38" i="74"/>
  <c r="F58" i="70"/>
  <c r="F57" i="77"/>
  <c r="F66" i="68"/>
  <c r="F38" i="69"/>
  <c r="F44" i="62"/>
  <c r="F20" i="64"/>
  <c r="C9" i="30"/>
  <c r="F23" i="59"/>
  <c r="F59" i="72"/>
  <c r="R9" i="30"/>
  <c r="F39" i="67"/>
  <c r="T9" i="30"/>
  <c r="F58" i="71"/>
  <c r="F20" i="60"/>
  <c r="F48" i="68"/>
  <c r="AD9" i="30"/>
  <c r="N9" i="30"/>
  <c r="F52" i="61"/>
  <c r="F36" i="79"/>
  <c r="F59" i="78"/>
  <c r="F50" i="73"/>
  <c r="F31" i="75"/>
  <c r="F35" i="68"/>
  <c r="F54" i="62"/>
  <c r="F33" i="67"/>
  <c r="F53" i="63"/>
  <c r="F50" i="63"/>
  <c r="F35" i="61"/>
  <c r="F27" i="78"/>
  <c r="W9" i="30"/>
  <c r="F62" i="72"/>
  <c r="F47" i="75"/>
  <c r="F43" i="76"/>
  <c r="F55" i="72"/>
  <c r="F28" i="62"/>
  <c r="F46" i="69"/>
  <c r="C38" i="31"/>
  <c r="F25" i="77"/>
  <c r="F65" i="74"/>
  <c r="F28" i="68"/>
  <c r="F52" i="71"/>
  <c r="F45" i="73"/>
  <c r="F39" i="65"/>
  <c r="F63" i="60"/>
  <c r="F36" i="63"/>
  <c r="F26" i="59"/>
  <c r="F61" i="79"/>
  <c r="F30" i="78"/>
  <c r="F36" i="73"/>
  <c r="F29" i="11"/>
  <c r="F57" i="75"/>
  <c r="L9" i="30"/>
  <c r="F32" i="64"/>
  <c r="X9" i="30"/>
  <c r="F25" i="61"/>
  <c r="F63" i="75"/>
  <c r="D7" i="58"/>
  <c r="F29" i="67"/>
  <c r="F9" i="30"/>
  <c r="F49" i="63"/>
  <c r="F32" i="76"/>
  <c r="F35" i="62"/>
  <c r="F20" i="75"/>
  <c r="F61" i="78"/>
  <c r="F63" i="66"/>
  <c r="F33" i="72"/>
  <c r="F64" i="64"/>
  <c r="F66" i="63"/>
  <c r="F37" i="69"/>
  <c r="AC9" i="30"/>
  <c r="F41" i="77"/>
  <c r="F44" i="70"/>
  <c r="F24" i="61"/>
  <c r="F43" i="62"/>
  <c r="F31" i="11"/>
  <c r="F25" i="66"/>
  <c r="F38" i="79"/>
  <c r="F45" i="69"/>
  <c r="F53" i="61"/>
  <c r="F30" i="68"/>
  <c r="F48" i="60"/>
  <c r="F55" i="65"/>
  <c r="F49" i="71"/>
  <c r="F48" i="67"/>
  <c r="F36" i="62"/>
  <c r="F47" i="74"/>
  <c r="AB9" i="30"/>
  <c r="F45" i="77"/>
  <c r="F69" i="73"/>
  <c r="F61" i="62"/>
  <c r="F44" i="60"/>
  <c r="D7" i="57"/>
  <c r="F45" i="74"/>
  <c r="F60" i="65"/>
  <c r="F24" i="66"/>
  <c r="F33" i="11"/>
  <c r="F50" i="66"/>
  <c r="F64" i="71"/>
  <c r="F48" i="62"/>
  <c r="F34" i="68"/>
  <c r="F40" i="64"/>
  <c r="F49" i="67"/>
  <c r="F61" i="68"/>
  <c r="F27" i="59"/>
  <c r="F20" i="11"/>
  <c r="F43" i="61"/>
  <c r="F61" i="75"/>
  <c r="F29" i="60"/>
  <c r="F39" i="72"/>
  <c r="F49" i="73"/>
  <c r="F47" i="64"/>
  <c r="F51" i="11"/>
  <c r="F43" i="71"/>
  <c r="F30" i="62"/>
  <c r="F28" i="64"/>
  <c r="F48" i="11"/>
  <c r="F30" i="73"/>
  <c r="F29" i="76"/>
  <c r="F53" i="59"/>
  <c r="F64" i="74"/>
  <c r="F44" i="74"/>
  <c r="F56" i="70"/>
  <c r="F32" i="59"/>
  <c r="F48" i="73"/>
  <c r="F50" i="61"/>
  <c r="F43" i="79"/>
  <c r="F59" i="64"/>
  <c r="F36" i="72"/>
  <c r="F55" i="63"/>
  <c r="F37" i="61"/>
  <c r="F61" i="66"/>
  <c r="F52" i="69"/>
  <c r="F50" i="65"/>
  <c r="F23" i="74"/>
  <c r="F62" i="66"/>
  <c r="F44" i="65"/>
  <c r="F55" i="79"/>
  <c r="F32" i="73"/>
  <c r="F53" i="77"/>
  <c r="F36" i="78"/>
  <c r="F49" i="74"/>
  <c r="F53" i="62"/>
  <c r="F50" i="60"/>
  <c r="F52" i="76"/>
  <c r="F31" i="71"/>
  <c r="F39" i="63"/>
  <c r="F24" i="67"/>
  <c r="F45" i="64"/>
  <c r="F60" i="78"/>
  <c r="F45" i="68"/>
  <c r="F37" i="65"/>
  <c r="F45" i="67"/>
  <c r="F31" i="60"/>
  <c r="F51" i="67"/>
  <c r="F33" i="62"/>
  <c r="F57" i="60"/>
  <c r="F27" i="76"/>
  <c r="F31" i="64"/>
  <c r="F25" i="74"/>
  <c r="F56" i="76"/>
  <c r="F51" i="65"/>
  <c r="F33" i="68"/>
  <c r="F32" i="72"/>
  <c r="F43" i="59"/>
  <c r="F48" i="72"/>
  <c r="F20" i="77"/>
  <c r="F27" i="61"/>
  <c r="F31" i="76"/>
  <c r="F30" i="11"/>
  <c r="F26" i="11"/>
  <c r="AO9" i="30"/>
  <c r="F45" i="62"/>
  <c r="F29" i="78"/>
  <c r="F39" i="66"/>
  <c r="F57" i="74"/>
  <c r="F35" i="63"/>
  <c r="F33" i="73"/>
  <c r="F41" i="72"/>
  <c r="F20" i="66"/>
  <c r="F62" i="79"/>
  <c r="F27" i="64"/>
  <c r="F31" i="68"/>
  <c r="F59" i="65"/>
  <c r="F36" i="69"/>
  <c r="F24" i="75"/>
  <c r="F23" i="72"/>
  <c r="F47" i="62"/>
  <c r="F58" i="79"/>
  <c r="F30" i="76"/>
  <c r="F60" i="71"/>
  <c r="F57" i="69"/>
  <c r="F64" i="73"/>
  <c r="F40" i="70"/>
  <c r="F41" i="63"/>
  <c r="F27" i="72"/>
  <c r="F40" i="59"/>
  <c r="F59" i="74"/>
  <c r="F27" i="75"/>
  <c r="F54" i="79"/>
  <c r="F47" i="77"/>
  <c r="F25" i="64"/>
  <c r="F43" i="73"/>
  <c r="F65" i="77"/>
  <c r="F34" i="69"/>
  <c r="F32" i="71"/>
  <c r="F47" i="11"/>
  <c r="F50" i="62"/>
  <c r="F62" i="61"/>
  <c r="F35" i="73"/>
  <c r="F44" i="79"/>
  <c r="F52" i="65"/>
  <c r="F37" i="74"/>
  <c r="F38" i="63"/>
  <c r="F35" i="64"/>
  <c r="F28" i="70"/>
  <c r="F58" i="78"/>
  <c r="F25" i="78"/>
  <c r="F38" i="76"/>
  <c r="F34" i="72"/>
  <c r="F28" i="79"/>
  <c r="F30" i="75"/>
  <c r="F38" i="11"/>
  <c r="F20" i="78"/>
  <c r="F60" i="75"/>
  <c r="F27" i="71"/>
  <c r="F43" i="75"/>
  <c r="F26" i="62"/>
  <c r="F40" i="72"/>
  <c r="F51" i="63"/>
  <c r="F20" i="74"/>
  <c r="F60" i="76"/>
  <c r="F28" i="72"/>
  <c r="F57" i="68"/>
  <c r="F48" i="74"/>
  <c r="F25" i="11"/>
  <c r="F41" i="75"/>
  <c r="F65" i="79"/>
  <c r="F34" i="65"/>
  <c r="F31" i="79"/>
  <c r="F62" i="69"/>
  <c r="F65" i="76"/>
  <c r="F52" i="70"/>
  <c r="F46" i="75"/>
  <c r="F39" i="76"/>
  <c r="F64" i="60"/>
  <c r="F30" i="60"/>
  <c r="F64" i="76"/>
  <c r="F58" i="63"/>
  <c r="F27" i="77"/>
  <c r="F51" i="69"/>
  <c r="F29" i="73"/>
  <c r="F47" i="76"/>
  <c r="F41" i="65"/>
  <c r="F51" i="71"/>
  <c r="F55" i="75"/>
  <c r="F66" i="74"/>
  <c r="F26" i="79"/>
  <c r="F64" i="65"/>
  <c r="F59" i="75"/>
  <c r="F25" i="75"/>
  <c r="F35" i="71"/>
  <c r="F41" i="59"/>
  <c r="F28" i="11"/>
  <c r="F24" i="77"/>
  <c r="F34" i="76"/>
  <c r="F43" i="63"/>
  <c r="F38" i="73"/>
  <c r="F23" i="71"/>
  <c r="F41" i="70"/>
  <c r="F64" i="72"/>
  <c r="F65" i="60"/>
  <c r="F49" i="62"/>
  <c r="F63" i="69"/>
  <c r="F27" i="66"/>
  <c r="F61" i="70"/>
  <c r="F46" i="71"/>
  <c r="F64" i="75"/>
  <c r="F65" i="63"/>
  <c r="F20" i="59"/>
  <c r="F64" i="79"/>
  <c r="F37" i="71"/>
  <c r="F62" i="67"/>
  <c r="F49" i="77"/>
  <c r="F64" i="68"/>
  <c r="F57" i="59"/>
  <c r="F64" i="61"/>
  <c r="F49" i="72"/>
  <c r="F63" i="72"/>
  <c r="F37" i="62"/>
  <c r="F45" i="60"/>
  <c r="F47" i="78"/>
  <c r="F62" i="70"/>
  <c r="F66" i="72"/>
  <c r="F45" i="66"/>
  <c r="F30" i="63"/>
  <c r="F39" i="71"/>
  <c r="F58" i="75"/>
  <c r="F31" i="63"/>
  <c r="F60" i="60"/>
  <c r="F39" i="69"/>
  <c r="F29" i="70"/>
  <c r="F36" i="65"/>
  <c r="F47" i="67"/>
  <c r="F50" i="74"/>
  <c r="F45" i="71"/>
  <c r="F52" i="11"/>
  <c r="F41" i="11"/>
  <c r="F54" i="63"/>
  <c r="F41" i="68"/>
  <c r="F20" i="68"/>
  <c r="F54" i="67"/>
  <c r="F59" i="69"/>
  <c r="F23" i="70"/>
  <c r="F35" i="67"/>
  <c r="F31" i="66"/>
  <c r="F35" i="70"/>
  <c r="F38" i="70"/>
  <c r="F34" i="11"/>
  <c r="F36" i="70"/>
  <c r="F44" i="76"/>
  <c r="F52" i="62"/>
  <c r="F45" i="59"/>
  <c r="F50" i="78"/>
  <c r="F55" i="77"/>
  <c r="F53" i="67"/>
  <c r="F37" i="76"/>
  <c r="F24" i="74"/>
  <c r="F59" i="79"/>
  <c r="F64" i="11"/>
  <c r="F48" i="75"/>
  <c r="F62" i="78"/>
  <c r="F53" i="72"/>
  <c r="F46" i="76"/>
  <c r="F61" i="72"/>
  <c r="F48" i="70"/>
  <c r="F26" i="61"/>
  <c r="F54" i="78"/>
  <c r="F33" i="71"/>
  <c r="F56" i="65"/>
  <c r="F33" i="60"/>
  <c r="F35" i="79"/>
  <c r="F55" i="60"/>
  <c r="F30" i="67"/>
  <c r="F23" i="68"/>
  <c r="F29" i="66"/>
  <c r="F58" i="72"/>
  <c r="F53" i="71"/>
  <c r="F30" i="79"/>
  <c r="F56" i="79"/>
  <c r="F31" i="65"/>
  <c r="F38" i="67"/>
  <c r="F55" i="59"/>
  <c r="F26" i="67"/>
  <c r="F24" i="63"/>
  <c r="F39" i="75"/>
  <c r="F36" i="71"/>
  <c r="F29" i="64"/>
  <c r="F41" i="67"/>
  <c r="F30" i="69"/>
  <c r="F40" i="67"/>
  <c r="F44" i="11"/>
  <c r="F48" i="71"/>
  <c r="F33" i="74"/>
  <c r="F50" i="59"/>
  <c r="F65" i="61"/>
  <c r="F54" i="73"/>
  <c r="F55" i="11"/>
  <c r="F34" i="66"/>
  <c r="F33" i="69"/>
  <c r="F60" i="11"/>
  <c r="F53" i="64"/>
  <c r="F34" i="73"/>
  <c r="F67" i="73"/>
  <c r="F47" i="73"/>
  <c r="F36" i="59"/>
  <c r="F59" i="70"/>
  <c r="F34" i="60"/>
  <c r="F33" i="61"/>
  <c r="F59" i="67"/>
  <c r="F47" i="70"/>
  <c r="F44" i="66"/>
  <c r="F24" i="78"/>
  <c r="F23" i="61"/>
  <c r="F35" i="69"/>
  <c r="F55" i="66"/>
  <c r="F23" i="11"/>
  <c r="F58" i="77"/>
  <c r="F66" i="64"/>
  <c r="F26" i="70"/>
  <c r="F35" i="75"/>
  <c r="F63" i="68"/>
  <c r="F20" i="70"/>
  <c r="F57" i="63"/>
  <c r="F31" i="62"/>
  <c r="F44" i="67"/>
  <c r="F49" i="59"/>
  <c r="F58" i="11"/>
  <c r="F47" i="68"/>
  <c r="F49" i="61"/>
  <c r="F53" i="79"/>
  <c r="F56" i="64"/>
  <c r="F25" i="71"/>
  <c r="F56" i="77"/>
  <c r="F50" i="67"/>
  <c r="F50" i="75"/>
  <c r="F58" i="66"/>
  <c r="F34" i="59"/>
  <c r="F56" i="67"/>
  <c r="F34" i="62"/>
  <c r="F25" i="72"/>
  <c r="F24" i="64"/>
  <c r="F39" i="11"/>
  <c r="F37" i="77"/>
  <c r="F56" i="72"/>
  <c r="F32" i="79"/>
  <c r="F58" i="64"/>
  <c r="F50" i="70"/>
  <c r="F35" i="66"/>
  <c r="F29" i="68"/>
  <c r="F23" i="77"/>
  <c r="F63" i="73"/>
  <c r="F53" i="78"/>
  <c r="AD28" i="30"/>
  <c r="T28" i="30"/>
  <c r="AM28" i="30" s="1"/>
  <c r="P28" i="30"/>
  <c r="AI28" i="30" s="1"/>
  <c r="G28" i="30"/>
  <c r="C57" i="31"/>
  <c r="B25" i="36"/>
  <c r="R28" i="30"/>
  <c r="X28" i="30"/>
  <c r="M28" i="30"/>
  <c r="C28" i="30"/>
  <c r="H28" i="30"/>
  <c r="AJ28" i="30" s="1"/>
  <c r="Q28" i="30"/>
  <c r="D26" i="58"/>
  <c r="AE28" i="30"/>
  <c r="F24" i="11" s="1"/>
  <c r="D26" i="57"/>
  <c r="D36" i="35"/>
  <c r="F28" i="30"/>
  <c r="J28" i="30"/>
  <c r="E28" i="30"/>
  <c r="K28" i="30"/>
  <c r="Y28" i="30"/>
  <c r="AC28" i="30"/>
  <c r="O28" i="30"/>
  <c r="L28" i="30"/>
  <c r="AB28" i="30"/>
  <c r="W28" i="30"/>
  <c r="N28" i="30"/>
  <c r="AG28" i="30" s="1"/>
  <c r="U28" i="30"/>
  <c r="V28" i="30"/>
  <c r="AO28" i="30" s="1"/>
  <c r="I28" i="30"/>
  <c r="Z28" i="30"/>
  <c r="AA28" i="30"/>
  <c r="S28" i="30"/>
  <c r="B25" i="32"/>
  <c r="D28" i="30"/>
  <c r="D26" i="33"/>
  <c r="L13" i="30"/>
  <c r="P13" i="30"/>
  <c r="T13" i="30"/>
  <c r="B10" i="32"/>
  <c r="C42" i="31"/>
  <c r="J13" i="30"/>
  <c r="AC13" i="30"/>
  <c r="AA13" i="30"/>
  <c r="W13" i="30"/>
  <c r="AO13" i="30"/>
  <c r="AD13" i="30"/>
  <c r="R13" i="30"/>
  <c r="AE13" i="30"/>
  <c r="F34" i="78" s="1"/>
  <c r="S13" i="30"/>
  <c r="V13" i="30"/>
  <c r="B10" i="36"/>
  <c r="D13" i="30"/>
  <c r="G13" i="30"/>
  <c r="D11" i="58"/>
  <c r="K13" i="30"/>
  <c r="M13" i="30"/>
  <c r="X13" i="30"/>
  <c r="Z13" i="30"/>
  <c r="N13" i="30"/>
  <c r="Q13" i="30"/>
  <c r="D21" i="35"/>
  <c r="O13" i="30"/>
  <c r="AB13" i="30"/>
  <c r="F13" i="30"/>
  <c r="D11" i="57"/>
  <c r="C13" i="30"/>
  <c r="I13" i="30"/>
  <c r="AK13" i="30" s="1"/>
  <c r="Y13" i="30"/>
  <c r="H13" i="30"/>
  <c r="AJ13" i="30" s="1"/>
  <c r="U13" i="30"/>
  <c r="E13" i="30"/>
  <c r="D11" i="33"/>
  <c r="Z21" i="30"/>
  <c r="D19" i="57"/>
  <c r="B18" i="36"/>
  <c r="AB21" i="30"/>
  <c r="D29" i="35"/>
  <c r="J21" i="30"/>
  <c r="R21" i="30"/>
  <c r="K21" i="30"/>
  <c r="Y21" i="30"/>
  <c r="C50" i="31"/>
  <c r="E21" i="30"/>
  <c r="X21" i="30"/>
  <c r="V21" i="30"/>
  <c r="D19" i="33"/>
  <c r="D19" i="58"/>
  <c r="F21" i="30"/>
  <c r="W21" i="30"/>
  <c r="Q21" i="30"/>
  <c r="O21" i="30"/>
  <c r="AH21" i="30" s="1"/>
  <c r="M21" i="30"/>
  <c r="N21" i="30"/>
  <c r="AD21" i="30"/>
  <c r="S21" i="30"/>
  <c r="C21" i="30"/>
  <c r="D21" i="30"/>
  <c r="I21" i="30"/>
  <c r="AE21" i="30"/>
  <c r="F65" i="73" s="1"/>
  <c r="U21" i="30"/>
  <c r="AC21" i="30"/>
  <c r="P21" i="30"/>
  <c r="L21" i="30"/>
  <c r="G21" i="30"/>
  <c r="AA21" i="30"/>
  <c r="T21" i="30"/>
  <c r="B18" i="32"/>
  <c r="H21" i="30"/>
  <c r="AJ21" i="30" s="1"/>
  <c r="AO21" i="30"/>
  <c r="AP20" i="30"/>
  <c r="AP9" i="30"/>
  <c r="AP13" i="30"/>
  <c r="AP21" i="30"/>
  <c r="AP18" i="30"/>
  <c r="AP15" i="30"/>
  <c r="AP30" i="30"/>
  <c r="AP27" i="30"/>
  <c r="AP28" i="30"/>
  <c r="AP10" i="30"/>
  <c r="AP17" i="30"/>
  <c r="AP23" i="30"/>
  <c r="AP19" i="30"/>
  <c r="AP24" i="30"/>
  <c r="AP11" i="30"/>
  <c r="AP25" i="30"/>
  <c r="AP14" i="30"/>
  <c r="AP12" i="30"/>
  <c r="AO22" i="30" l="1"/>
  <c r="F27" i="67"/>
  <c r="F62" i="71"/>
  <c r="F44" i="78"/>
  <c r="F36" i="75"/>
  <c r="F53" i="65"/>
  <c r="F30" i="59"/>
  <c r="F65" i="69"/>
  <c r="F40" i="61"/>
  <c r="F20" i="71"/>
  <c r="F54" i="77"/>
  <c r="F60" i="77"/>
  <c r="F60" i="67"/>
  <c r="F51" i="70"/>
  <c r="F66" i="79"/>
  <c r="F51" i="66"/>
  <c r="F56" i="62"/>
  <c r="F61" i="64"/>
  <c r="F64" i="67"/>
  <c r="F24" i="69"/>
  <c r="F39" i="73"/>
  <c r="F23" i="63"/>
  <c r="F56" i="71"/>
  <c r="F60" i="73"/>
  <c r="F29" i="69"/>
  <c r="F52" i="72"/>
  <c r="F66" i="70"/>
  <c r="F40" i="60"/>
  <c r="F20" i="62"/>
  <c r="F39" i="70"/>
  <c r="F38" i="66"/>
  <c r="F25" i="68"/>
  <c r="F24" i="73"/>
  <c r="F51" i="61"/>
  <c r="F60" i="59"/>
  <c r="F41" i="61"/>
  <c r="F54" i="64"/>
  <c r="F46" i="78"/>
  <c r="F43" i="64"/>
  <c r="F26" i="78"/>
  <c r="F55" i="69"/>
  <c r="F28" i="67"/>
  <c r="F61" i="76"/>
  <c r="F58" i="69"/>
  <c r="F24" i="60"/>
  <c r="F41" i="74"/>
  <c r="F32" i="65"/>
  <c r="F62" i="59"/>
  <c r="F55" i="76"/>
  <c r="F49" i="79"/>
  <c r="F65" i="11"/>
  <c r="F28" i="75"/>
  <c r="F54" i="75"/>
  <c r="F44" i="71"/>
  <c r="F57" i="71"/>
  <c r="F29" i="77"/>
  <c r="F40" i="69"/>
  <c r="F51" i="73"/>
  <c r="F37" i="63"/>
  <c r="F63" i="65"/>
  <c r="F45" i="78"/>
  <c r="F60" i="72"/>
  <c r="F26" i="64"/>
  <c r="F33" i="59"/>
  <c r="F23" i="78"/>
  <c r="F65" i="66"/>
  <c r="F46" i="77"/>
  <c r="F25" i="62"/>
  <c r="F27" i="73"/>
  <c r="F64" i="59"/>
  <c r="F51" i="79"/>
  <c r="F39" i="62"/>
  <c r="F55" i="61"/>
  <c r="F23" i="66"/>
  <c r="F41" i="78"/>
  <c r="F62" i="60"/>
  <c r="F61" i="65"/>
  <c r="F27" i="11"/>
  <c r="F66" i="62"/>
  <c r="F36" i="68"/>
  <c r="F29" i="59"/>
  <c r="F28" i="77"/>
  <c r="F49" i="11"/>
  <c r="F53" i="75"/>
  <c r="F64" i="69"/>
  <c r="F26" i="65"/>
  <c r="F52" i="68"/>
  <c r="F48" i="63"/>
  <c r="F59" i="76"/>
  <c r="F40" i="74"/>
  <c r="F32" i="60"/>
  <c r="F31" i="61"/>
  <c r="F63" i="67"/>
  <c r="F60" i="61"/>
  <c r="F25" i="73"/>
  <c r="F30" i="71"/>
  <c r="F66" i="73"/>
  <c r="F45" i="65"/>
  <c r="F33" i="65"/>
  <c r="F32" i="75"/>
  <c r="F27" i="63"/>
  <c r="F68" i="73"/>
  <c r="F52" i="63"/>
  <c r="F62" i="11"/>
  <c r="F34" i="79"/>
  <c r="F56" i="69"/>
  <c r="F56" i="74"/>
  <c r="F31" i="78"/>
  <c r="F26" i="68"/>
  <c r="F53" i="70"/>
  <c r="F37" i="72"/>
  <c r="F28" i="66"/>
  <c r="F57" i="66"/>
  <c r="F47" i="72"/>
  <c r="F44" i="59"/>
  <c r="F35" i="77"/>
  <c r="F63" i="59"/>
  <c r="F49" i="75"/>
  <c r="F48" i="79"/>
  <c r="F40" i="11"/>
  <c r="F54" i="76"/>
  <c r="F29" i="74"/>
  <c r="F51" i="74"/>
  <c r="F65" i="68"/>
  <c r="F58" i="61"/>
  <c r="F64" i="77"/>
  <c r="F20" i="65"/>
  <c r="F32" i="68"/>
  <c r="F38" i="75"/>
  <c r="F35" i="76"/>
  <c r="F33" i="64"/>
  <c r="F44" i="77"/>
  <c r="F43" i="69"/>
  <c r="F28" i="63"/>
  <c r="F49" i="69"/>
  <c r="F25" i="60"/>
  <c r="F30" i="61"/>
  <c r="F51" i="78"/>
  <c r="F40" i="79"/>
  <c r="F26" i="75"/>
  <c r="F64" i="70"/>
  <c r="F28" i="60"/>
  <c r="F36" i="77"/>
  <c r="F59" i="61"/>
  <c r="F56" i="73"/>
  <c r="F63" i="64"/>
  <c r="F61" i="11"/>
  <c r="F55" i="74"/>
  <c r="F49" i="78"/>
  <c r="F32" i="66"/>
  <c r="F38" i="61"/>
  <c r="F43" i="74"/>
  <c r="F24" i="76"/>
  <c r="F45" i="63"/>
  <c r="F51" i="76"/>
  <c r="F48" i="65"/>
  <c r="F60" i="62"/>
  <c r="F37" i="67"/>
  <c r="F40" i="78"/>
  <c r="F47" i="69"/>
  <c r="F47" i="60"/>
  <c r="F44" i="64"/>
  <c r="F52" i="66"/>
  <c r="F46" i="67"/>
  <c r="F40" i="68"/>
  <c r="F34" i="77"/>
  <c r="F29" i="62"/>
  <c r="F63" i="77"/>
  <c r="F60" i="63"/>
  <c r="F32" i="67"/>
  <c r="F45" i="72"/>
  <c r="F44" i="61"/>
  <c r="F48" i="59"/>
  <c r="F27" i="60"/>
  <c r="F62" i="75"/>
  <c r="F57" i="64"/>
  <c r="F30" i="74"/>
  <c r="F41" i="64"/>
  <c r="F26" i="73"/>
  <c r="F60" i="68"/>
  <c r="F51" i="60"/>
  <c r="F58" i="74"/>
  <c r="F48" i="76"/>
  <c r="F54" i="11"/>
  <c r="F33" i="70"/>
  <c r="F43" i="65"/>
  <c r="F35" i="78"/>
  <c r="F55" i="73"/>
  <c r="F39" i="59"/>
  <c r="F20" i="69"/>
  <c r="F25" i="76"/>
  <c r="F52" i="78"/>
  <c r="F38" i="72"/>
  <c r="F36" i="66"/>
  <c r="F24" i="79"/>
  <c r="F54" i="60"/>
  <c r="F33" i="79"/>
  <c r="F40" i="73"/>
  <c r="F29" i="63"/>
  <c r="F58" i="67"/>
  <c r="F61" i="74"/>
  <c r="F41" i="60"/>
  <c r="F44" i="72"/>
  <c r="F43" i="67"/>
  <c r="F65" i="75"/>
  <c r="F48" i="69"/>
  <c r="F61" i="69"/>
  <c r="F46" i="65"/>
  <c r="F25" i="59"/>
  <c r="F51" i="64"/>
  <c r="F54" i="66"/>
  <c r="F45" i="70"/>
  <c r="F40" i="65"/>
  <c r="F63" i="79"/>
  <c r="F61" i="71"/>
  <c r="F61" i="61"/>
  <c r="F49" i="65"/>
  <c r="F30" i="72"/>
  <c r="F65" i="78"/>
  <c r="Q33" i="30"/>
  <c r="N28" i="32" s="1"/>
  <c r="F63" i="61"/>
  <c r="F20" i="63"/>
  <c r="F65" i="62"/>
  <c r="F55" i="71"/>
  <c r="F43" i="78"/>
  <c r="F65" i="67"/>
  <c r="F36" i="11"/>
  <c r="F50" i="68"/>
  <c r="F62" i="73"/>
  <c r="F31" i="59"/>
  <c r="F39" i="77"/>
  <c r="F23" i="69"/>
  <c r="F34" i="67"/>
  <c r="F28" i="65"/>
  <c r="F61" i="60"/>
  <c r="F54" i="74"/>
  <c r="F56" i="66"/>
  <c r="F50" i="77"/>
  <c r="F40" i="75"/>
  <c r="F25" i="79"/>
  <c r="F32" i="61"/>
  <c r="F26" i="60"/>
  <c r="F35" i="72"/>
  <c r="F52" i="64"/>
  <c r="F44" i="73"/>
  <c r="F37" i="68"/>
  <c r="AK26" i="30"/>
  <c r="AO26" i="30"/>
  <c r="AO16" i="30"/>
  <c r="AJ19" i="30"/>
  <c r="AI14" i="30"/>
  <c r="AI27" i="30"/>
  <c r="AJ27" i="30"/>
  <c r="AO29" i="30"/>
  <c r="AK29" i="30"/>
  <c r="AG17" i="30"/>
  <c r="AM20" i="30"/>
  <c r="AI10" i="30"/>
  <c r="AL10" i="30"/>
  <c r="AK18" i="30"/>
  <c r="AH16" i="30"/>
  <c r="AI24" i="30"/>
  <c r="AH27" i="30"/>
  <c r="AK22" i="30"/>
  <c r="AG26" i="30"/>
  <c r="AK24" i="30"/>
  <c r="AM19" i="30"/>
  <c r="AK23" i="30"/>
  <c r="N18" i="32"/>
  <c r="K18" i="32"/>
  <c r="M18" i="32"/>
  <c r="B45" i="32"/>
  <c r="S18" i="32"/>
  <c r="C18" i="32"/>
  <c r="F18" i="32"/>
  <c r="T18" i="32"/>
  <c r="O18" i="32"/>
  <c r="L18" i="32"/>
  <c r="U18" i="32"/>
  <c r="R18" i="32"/>
  <c r="Q18" i="32"/>
  <c r="P18" i="32"/>
  <c r="AG13" i="30"/>
  <c r="F10" i="32"/>
  <c r="R10" i="32"/>
  <c r="U10" i="32"/>
  <c r="L10" i="32"/>
  <c r="C10" i="32"/>
  <c r="O10" i="32"/>
  <c r="B37" i="32"/>
  <c r="T10" i="32"/>
  <c r="S10" i="32"/>
  <c r="M10" i="32"/>
  <c r="N10" i="32"/>
  <c r="P10" i="32" s="1"/>
  <c r="K10" i="32"/>
  <c r="F51" i="62"/>
  <c r="F48" i="77"/>
  <c r="F60" i="69"/>
  <c r="F33" i="30"/>
  <c r="B7" i="57"/>
  <c r="J7" i="57" s="1"/>
  <c r="B7" i="58"/>
  <c r="E7" i="58" s="1"/>
  <c r="E31" i="58" s="1"/>
  <c r="C6" i="36"/>
  <c r="C17" i="35"/>
  <c r="I17" i="35" s="1"/>
  <c r="B7" i="33"/>
  <c r="AH9" i="30"/>
  <c r="O33" i="30"/>
  <c r="E33" i="30"/>
  <c r="AK9" i="30"/>
  <c r="I33" i="30"/>
  <c r="AJ9" i="30"/>
  <c r="H33" i="30"/>
  <c r="C15" i="36"/>
  <c r="B16" i="57"/>
  <c r="F16" i="57" s="1"/>
  <c r="C26" i="35"/>
  <c r="G26" i="35" s="1"/>
  <c r="H26" i="35" s="1"/>
  <c r="B16" i="33"/>
  <c r="B16" i="58"/>
  <c r="E16" i="58" s="1"/>
  <c r="B14" i="57"/>
  <c r="I14" i="57" s="1"/>
  <c r="C24" i="35"/>
  <c r="P24" i="35" s="1"/>
  <c r="B14" i="33"/>
  <c r="G14" i="33" s="1"/>
  <c r="C13" i="36"/>
  <c r="B14" i="58"/>
  <c r="E14" i="58" s="1"/>
  <c r="U13" i="32"/>
  <c r="T13" i="32"/>
  <c r="O13" i="32"/>
  <c r="M13" i="32"/>
  <c r="B40" i="32"/>
  <c r="F13" i="32"/>
  <c r="S13" i="32"/>
  <c r="K13" i="32"/>
  <c r="N13" i="32"/>
  <c r="Q13" i="32" s="1"/>
  <c r="R13" i="32"/>
  <c r="C13" i="32"/>
  <c r="L13" i="32"/>
  <c r="P13" i="32"/>
  <c r="B22" i="58"/>
  <c r="I22" i="58" s="1"/>
  <c r="C21" i="36"/>
  <c r="C32" i="35"/>
  <c r="I32" i="35" s="1"/>
  <c r="B22" i="33"/>
  <c r="B22" i="57"/>
  <c r="E22" i="57" s="1"/>
  <c r="I17" i="57"/>
  <c r="K16" i="32"/>
  <c r="F16" i="32"/>
  <c r="B43" i="32"/>
  <c r="R16" i="32"/>
  <c r="N16" i="32"/>
  <c r="L16" i="32"/>
  <c r="U16" i="32"/>
  <c r="C16" i="32"/>
  <c r="S16" i="32"/>
  <c r="O16" i="32"/>
  <c r="P16" i="32" s="1"/>
  <c r="M16" i="32"/>
  <c r="T16" i="32"/>
  <c r="Q16" i="32"/>
  <c r="U17" i="33"/>
  <c r="AB43" i="31"/>
  <c r="AB56" i="31"/>
  <c r="AM29" i="30"/>
  <c r="AB52" i="31"/>
  <c r="AB46" i="31"/>
  <c r="U20" i="33"/>
  <c r="U18" i="33"/>
  <c r="I18" i="33"/>
  <c r="B18" i="57"/>
  <c r="I18" i="57" s="1"/>
  <c r="B18" i="58"/>
  <c r="G18" i="58" s="1"/>
  <c r="B18" i="33"/>
  <c r="E18" i="33" s="1"/>
  <c r="C17" i="36"/>
  <c r="C28" i="35"/>
  <c r="L28" i="35" s="1"/>
  <c r="AF10" i="30"/>
  <c r="F7" i="32"/>
  <c r="U7" i="32"/>
  <c r="N7" i="32"/>
  <c r="T7" i="32"/>
  <c r="B34" i="32"/>
  <c r="O7" i="32"/>
  <c r="R7" i="32"/>
  <c r="S7" i="32"/>
  <c r="L7" i="32"/>
  <c r="C7" i="32"/>
  <c r="K7" i="32"/>
  <c r="M7" i="32"/>
  <c r="P7" i="32"/>
  <c r="U23" i="33"/>
  <c r="F23" i="33"/>
  <c r="H23" i="33"/>
  <c r="C33" i="35"/>
  <c r="G33" i="35" s="1"/>
  <c r="H33" i="35" s="1"/>
  <c r="B23" i="57"/>
  <c r="E23" i="57" s="1"/>
  <c r="C22" i="36"/>
  <c r="B23" i="33"/>
  <c r="G23" i="33" s="1"/>
  <c r="B23" i="58"/>
  <c r="H23" i="58" s="1"/>
  <c r="U13" i="33"/>
  <c r="I13" i="33"/>
  <c r="AM21" i="30"/>
  <c r="AI21" i="30"/>
  <c r="AK21" i="30"/>
  <c r="U19" i="33"/>
  <c r="AB50" i="31"/>
  <c r="AL21" i="30"/>
  <c r="C10" i="36"/>
  <c r="B11" i="33"/>
  <c r="C21" i="35"/>
  <c r="G21" i="35" s="1"/>
  <c r="B11" i="57"/>
  <c r="G11" i="57" s="1"/>
  <c r="B11" i="58"/>
  <c r="J11" i="58" s="1"/>
  <c r="AH13" i="30"/>
  <c r="G11" i="58"/>
  <c r="AM13" i="30"/>
  <c r="U26" i="33"/>
  <c r="F64" i="78"/>
  <c r="F26" i="76"/>
  <c r="F39" i="78"/>
  <c r="F57" i="62"/>
  <c r="F48" i="61"/>
  <c r="F44" i="63"/>
  <c r="F68" i="11"/>
  <c r="F37" i="78"/>
  <c r="F57" i="79"/>
  <c r="F49" i="76"/>
  <c r="F29" i="75"/>
  <c r="F50" i="72"/>
  <c r="F23" i="62"/>
  <c r="F43" i="72"/>
  <c r="F55" i="70"/>
  <c r="F34" i="70"/>
  <c r="F47" i="66"/>
  <c r="F28" i="76"/>
  <c r="F36" i="74"/>
  <c r="F60" i="66"/>
  <c r="F29" i="65"/>
  <c r="F61" i="77"/>
  <c r="F61" i="63"/>
  <c r="F27" i="74"/>
  <c r="F54" i="69"/>
  <c r="F20" i="73"/>
  <c r="F24" i="62"/>
  <c r="F56" i="75"/>
  <c r="F41" i="62"/>
  <c r="F59" i="62"/>
  <c r="F53" i="11"/>
  <c r="F33" i="66"/>
  <c r="F49" i="66"/>
  <c r="F63" i="74"/>
  <c r="F31" i="73"/>
  <c r="F38" i="78"/>
  <c r="F30" i="70"/>
  <c r="F64" i="66"/>
  <c r="I7" i="57"/>
  <c r="G7" i="57"/>
  <c r="G31" i="57" s="1"/>
  <c r="F7" i="57"/>
  <c r="F31" i="57" s="1"/>
  <c r="H7" i="57"/>
  <c r="H31" i="57" s="1"/>
  <c r="E7" i="57"/>
  <c r="E31" i="57" s="1"/>
  <c r="F23" i="60"/>
  <c r="F45" i="11"/>
  <c r="F47" i="65"/>
  <c r="F51" i="72"/>
  <c r="AC33" i="30"/>
  <c r="X33" i="30"/>
  <c r="F63" i="11"/>
  <c r="F50" i="79"/>
  <c r="F24" i="59"/>
  <c r="R33" i="30"/>
  <c r="F37" i="66"/>
  <c r="F23" i="75"/>
  <c r="F49" i="60"/>
  <c r="F50" i="71"/>
  <c r="F39" i="68"/>
  <c r="F52" i="77"/>
  <c r="F38" i="77"/>
  <c r="F23" i="64"/>
  <c r="F58" i="76"/>
  <c r="F34" i="63"/>
  <c r="F37" i="73"/>
  <c r="F24" i="65"/>
  <c r="F31" i="77"/>
  <c r="J33" i="30"/>
  <c r="AL9" i="30"/>
  <c r="F38" i="71"/>
  <c r="F35" i="65"/>
  <c r="F26" i="71"/>
  <c r="F57" i="70"/>
  <c r="F56" i="11"/>
  <c r="F29" i="72"/>
  <c r="Y33" i="30"/>
  <c r="F37" i="11"/>
  <c r="F24" i="70"/>
  <c r="F38" i="60"/>
  <c r="F23" i="67"/>
  <c r="F27" i="62"/>
  <c r="F55" i="64"/>
  <c r="F49" i="64"/>
  <c r="F38" i="64"/>
  <c r="F25" i="65"/>
  <c r="K6" i="32"/>
  <c r="C6" i="32"/>
  <c r="M6" i="32"/>
  <c r="B33" i="32"/>
  <c r="N6" i="32"/>
  <c r="O6" i="32"/>
  <c r="F6" i="32"/>
  <c r="S6" i="32"/>
  <c r="R6" i="32"/>
  <c r="T6" i="32"/>
  <c r="U6" i="32"/>
  <c r="L6" i="32"/>
  <c r="Q6" i="32"/>
  <c r="F50" i="11"/>
  <c r="AL18" i="30"/>
  <c r="AB47" i="31"/>
  <c r="AI18" i="30"/>
  <c r="AJ18" i="30"/>
  <c r="AM26" i="30"/>
  <c r="U24" i="33"/>
  <c r="I24" i="33"/>
  <c r="AH26" i="30"/>
  <c r="B35" i="32"/>
  <c r="N8" i="32"/>
  <c r="F8" i="32"/>
  <c r="C8" i="32"/>
  <c r="K8" i="32"/>
  <c r="T8" i="32"/>
  <c r="L8" i="32"/>
  <c r="M8" i="32"/>
  <c r="U8" i="32"/>
  <c r="O8" i="32"/>
  <c r="P8" i="32" s="1"/>
  <c r="S8" i="32"/>
  <c r="R8" i="32"/>
  <c r="G9" i="58"/>
  <c r="AG11" i="30"/>
  <c r="U9" i="33"/>
  <c r="H9" i="33"/>
  <c r="B9" i="57"/>
  <c r="G9" i="57" s="1"/>
  <c r="B9" i="33"/>
  <c r="G9" i="33" s="1"/>
  <c r="C19" i="35"/>
  <c r="L19" i="35" s="1"/>
  <c r="B9" i="58"/>
  <c r="H9" i="58" s="1"/>
  <c r="C8" i="36"/>
  <c r="AH11" i="30"/>
  <c r="AK12" i="30"/>
  <c r="B10" i="33"/>
  <c r="B10" i="57"/>
  <c r="J10" i="57" s="1"/>
  <c r="C9" i="36"/>
  <c r="C20" i="35"/>
  <c r="U20" i="35" s="1"/>
  <c r="B10" i="58"/>
  <c r="G10" i="58" s="1"/>
  <c r="AJ16" i="30"/>
  <c r="AM16" i="30"/>
  <c r="AL16" i="30"/>
  <c r="AM24" i="30"/>
  <c r="AK19" i="30"/>
  <c r="AB48" i="31"/>
  <c r="AH19" i="30"/>
  <c r="AG14" i="30"/>
  <c r="AF14" i="30" s="1"/>
  <c r="AJ29" i="30"/>
  <c r="AH29" i="30"/>
  <c r="AL23" i="30"/>
  <c r="C20" i="36"/>
  <c r="C31" i="35"/>
  <c r="U31" i="35" s="1"/>
  <c r="B21" i="58"/>
  <c r="E21" i="58" s="1"/>
  <c r="B21" i="33"/>
  <c r="J21" i="33" s="1"/>
  <c r="B21" i="57"/>
  <c r="G21" i="57" s="1"/>
  <c r="AI17" i="30"/>
  <c r="AH17" i="30"/>
  <c r="AJ17" i="30"/>
  <c r="AM22" i="30"/>
  <c r="AH22" i="30"/>
  <c r="F18" i="58"/>
  <c r="J18" i="58"/>
  <c r="H18" i="58"/>
  <c r="I18" i="58"/>
  <c r="E18" i="58"/>
  <c r="AG20" i="30"/>
  <c r="N17" i="32"/>
  <c r="T17" i="32"/>
  <c r="R17" i="32"/>
  <c r="F17" i="32"/>
  <c r="O17" i="32"/>
  <c r="K17" i="32"/>
  <c r="U17" i="32"/>
  <c r="B44" i="32"/>
  <c r="L17" i="32"/>
  <c r="M17" i="32"/>
  <c r="S17" i="32"/>
  <c r="C17" i="32"/>
  <c r="Q17" i="32"/>
  <c r="P17" i="32"/>
  <c r="U8" i="33"/>
  <c r="C7" i="36"/>
  <c r="B8" i="58"/>
  <c r="E8" i="58" s="1"/>
  <c r="B8" i="33"/>
  <c r="J8" i="33" s="1"/>
  <c r="C18" i="35"/>
  <c r="N18" i="35" s="1"/>
  <c r="B8" i="57"/>
  <c r="G8" i="57" s="1"/>
  <c r="AG25" i="30"/>
  <c r="W33" i="35"/>
  <c r="X33" i="35" s="1"/>
  <c r="S33" i="35"/>
  <c r="T33" i="35" s="1"/>
  <c r="AI25" i="30"/>
  <c r="AJ25" i="30"/>
  <c r="AB54" i="31"/>
  <c r="AI30" i="30"/>
  <c r="AM30" i="30"/>
  <c r="AG30" i="30"/>
  <c r="AM15" i="30"/>
  <c r="AB57" i="31"/>
  <c r="F24" i="72"/>
  <c r="F38" i="59"/>
  <c r="F53" i="68"/>
  <c r="F20" i="61"/>
  <c r="F36" i="60"/>
  <c r="W17" i="35"/>
  <c r="S17" i="35"/>
  <c r="I26" i="35"/>
  <c r="J26" i="35" s="1"/>
  <c r="E26" i="35"/>
  <c r="C34" i="35"/>
  <c r="N34" i="35" s="1"/>
  <c r="B24" i="58"/>
  <c r="B24" i="33"/>
  <c r="C23" i="36"/>
  <c r="B24" i="57"/>
  <c r="F24" i="57" s="1"/>
  <c r="L24" i="35"/>
  <c r="U24" i="35"/>
  <c r="G14" i="58"/>
  <c r="F14" i="58"/>
  <c r="I14" i="58"/>
  <c r="H14" i="58"/>
  <c r="J14" i="58"/>
  <c r="AG21" i="30"/>
  <c r="L21" i="35"/>
  <c r="P21" i="35"/>
  <c r="S21" i="35"/>
  <c r="W21" i="35"/>
  <c r="U21" i="35"/>
  <c r="E21" i="35"/>
  <c r="N21" i="35"/>
  <c r="I21" i="35"/>
  <c r="K21" i="35"/>
  <c r="AI13" i="30"/>
  <c r="F40" i="76"/>
  <c r="F27" i="68"/>
  <c r="F54" i="72"/>
  <c r="F47" i="79"/>
  <c r="F57" i="76"/>
  <c r="F45" i="75"/>
  <c r="F59" i="59"/>
  <c r="F60" i="64"/>
  <c r="F23" i="73"/>
  <c r="F45" i="76"/>
  <c r="F32" i="74"/>
  <c r="F44" i="68"/>
  <c r="F56" i="63"/>
  <c r="F55" i="67"/>
  <c r="F25" i="63"/>
  <c r="F29" i="61"/>
  <c r="F30" i="64"/>
  <c r="F30" i="65"/>
  <c r="F26" i="66"/>
  <c r="F54" i="59"/>
  <c r="F32" i="77"/>
  <c r="F33" i="63"/>
  <c r="F43" i="77"/>
  <c r="F59" i="68"/>
  <c r="F51" i="75"/>
  <c r="F32" i="11"/>
  <c r="AB33" i="30"/>
  <c r="F49" i="68"/>
  <c r="F53" i="74"/>
  <c r="F31" i="74"/>
  <c r="J7" i="58"/>
  <c r="F7" i="58"/>
  <c r="F31" i="58" s="1"/>
  <c r="G7" i="58"/>
  <c r="G31" i="58" s="1"/>
  <c r="I7" i="58"/>
  <c r="H7" i="58"/>
  <c r="H31" i="58" s="1"/>
  <c r="F59" i="63"/>
  <c r="F28" i="61"/>
  <c r="AG9" i="30"/>
  <c r="N33" i="30"/>
  <c r="F43" i="66"/>
  <c r="F47" i="61"/>
  <c r="F65" i="72"/>
  <c r="F67" i="11"/>
  <c r="Z33" i="30"/>
  <c r="U28" i="32" s="1"/>
  <c r="D33" i="30"/>
  <c r="D2" i="36" s="1"/>
  <c r="V33" i="30"/>
  <c r="F25" i="69"/>
  <c r="AI9" i="30"/>
  <c r="P33" i="30"/>
  <c r="F59" i="60"/>
  <c r="F28" i="74"/>
  <c r="G33" i="30"/>
  <c r="F16" i="58"/>
  <c r="I16" i="58"/>
  <c r="G16" i="58"/>
  <c r="J16" i="58"/>
  <c r="H16" i="58"/>
  <c r="C15" i="32"/>
  <c r="K15" i="32"/>
  <c r="N15" i="32"/>
  <c r="U15" i="32"/>
  <c r="R15" i="32"/>
  <c r="S15" i="32"/>
  <c r="M15" i="32"/>
  <c r="F15" i="32"/>
  <c r="T15" i="32"/>
  <c r="L15" i="32"/>
  <c r="B42" i="32"/>
  <c r="O15" i="32"/>
  <c r="Q15" i="32" s="1"/>
  <c r="H24" i="58"/>
  <c r="F24" i="58"/>
  <c r="G24" i="58"/>
  <c r="E24" i="58"/>
  <c r="J24" i="58"/>
  <c r="I24" i="58"/>
  <c r="AB40" i="31"/>
  <c r="AJ11" i="30"/>
  <c r="AK11" i="30"/>
  <c r="O9" i="32"/>
  <c r="K9" i="32"/>
  <c r="T9" i="32"/>
  <c r="R9" i="32"/>
  <c r="N9" i="32"/>
  <c r="B36" i="32"/>
  <c r="F9" i="32"/>
  <c r="C9" i="32"/>
  <c r="M9" i="32"/>
  <c r="S9" i="32"/>
  <c r="U9" i="32"/>
  <c r="L9" i="32"/>
  <c r="Q9" i="32"/>
  <c r="P9" i="32"/>
  <c r="U10" i="33"/>
  <c r="E10" i="33"/>
  <c r="J10" i="33"/>
  <c r="G10" i="33"/>
  <c r="H10" i="33"/>
  <c r="F10" i="33"/>
  <c r="AI12" i="30"/>
  <c r="J10" i="58"/>
  <c r="F10" i="58"/>
  <c r="I10" i="58"/>
  <c r="H10" i="58"/>
  <c r="E10" i="58"/>
  <c r="I10" i="57"/>
  <c r="G10" i="57"/>
  <c r="H10" i="57"/>
  <c r="F10" i="57"/>
  <c r="E10" i="57"/>
  <c r="AB45" i="31"/>
  <c r="U14" i="33"/>
  <c r="H14" i="33"/>
  <c r="I22" i="57"/>
  <c r="F22" i="57"/>
  <c r="H22" i="57"/>
  <c r="G22" i="57"/>
  <c r="J22" i="57"/>
  <c r="U32" i="35"/>
  <c r="G32" i="35"/>
  <c r="AB53" i="31"/>
  <c r="U22" i="33"/>
  <c r="J22" i="33"/>
  <c r="E22" i="33"/>
  <c r="F22" i="33"/>
  <c r="G22" i="33"/>
  <c r="H22" i="33"/>
  <c r="AL19" i="30"/>
  <c r="U12" i="33"/>
  <c r="L11" i="32"/>
  <c r="O11" i="32"/>
  <c r="S11" i="32"/>
  <c r="C11" i="32"/>
  <c r="K11" i="32"/>
  <c r="U11" i="32"/>
  <c r="R11" i="32"/>
  <c r="N11" i="32"/>
  <c r="Q11" i="32" s="1"/>
  <c r="F11" i="32"/>
  <c r="T11" i="32"/>
  <c r="M11" i="32"/>
  <c r="B38" i="32"/>
  <c r="AM27" i="30"/>
  <c r="T24" i="32"/>
  <c r="S24" i="32"/>
  <c r="C24" i="32"/>
  <c r="K24" i="32"/>
  <c r="U24" i="32"/>
  <c r="L24" i="32"/>
  <c r="O24" i="32"/>
  <c r="N24" i="32"/>
  <c r="B51" i="32"/>
  <c r="F24" i="32"/>
  <c r="R24" i="32"/>
  <c r="M24" i="32"/>
  <c r="B27" i="58"/>
  <c r="J27" i="58" s="1"/>
  <c r="B27" i="57"/>
  <c r="G27" i="57" s="1"/>
  <c r="I27" i="57"/>
  <c r="H27" i="57"/>
  <c r="U21" i="33"/>
  <c r="I21" i="33"/>
  <c r="U15" i="33"/>
  <c r="C14" i="36"/>
  <c r="B15" i="57"/>
  <c r="J15" i="57" s="1"/>
  <c r="B15" i="58"/>
  <c r="F15" i="58" s="1"/>
  <c r="C25" i="35"/>
  <c r="I25" i="35" s="1"/>
  <c r="B15" i="33"/>
  <c r="C14" i="32"/>
  <c r="T14" i="32"/>
  <c r="O14" i="32"/>
  <c r="N14" i="32"/>
  <c r="Q14" i="32" s="1"/>
  <c r="R14" i="32"/>
  <c r="M14" i="32"/>
  <c r="K14" i="32"/>
  <c r="S14" i="32"/>
  <c r="B41" i="32"/>
  <c r="U14" i="32"/>
  <c r="F14" i="32"/>
  <c r="L14" i="32"/>
  <c r="O19" i="32"/>
  <c r="N19" i="32"/>
  <c r="M19" i="32"/>
  <c r="R19" i="32"/>
  <c r="L19" i="32"/>
  <c r="B46" i="32"/>
  <c r="S19" i="32"/>
  <c r="F19" i="32"/>
  <c r="T19" i="32"/>
  <c r="C19" i="32"/>
  <c r="U19" i="32"/>
  <c r="K19" i="32"/>
  <c r="L30" i="35"/>
  <c r="AL22" i="30"/>
  <c r="AB51" i="31"/>
  <c r="H18" i="57"/>
  <c r="F18" i="57"/>
  <c r="AJ20" i="30"/>
  <c r="AK20" i="30"/>
  <c r="I18" i="35"/>
  <c r="L18" i="35"/>
  <c r="P18" i="35"/>
  <c r="G18" i="35"/>
  <c r="S18" i="35"/>
  <c r="U18" i="35"/>
  <c r="W18" i="35"/>
  <c r="E18" i="35"/>
  <c r="K18" i="35"/>
  <c r="J18" i="35" s="1"/>
  <c r="R22" i="32"/>
  <c r="S22" i="32"/>
  <c r="L22" i="32"/>
  <c r="F22" i="32"/>
  <c r="B49" i="32"/>
  <c r="O22" i="32"/>
  <c r="M22" i="32"/>
  <c r="N22" i="32"/>
  <c r="Q22" i="32" s="1"/>
  <c r="K22" i="32"/>
  <c r="U22" i="32"/>
  <c r="C22" i="32"/>
  <c r="T22" i="32"/>
  <c r="H23" i="57"/>
  <c r="J23" i="57"/>
  <c r="G23" i="57"/>
  <c r="F23" i="57"/>
  <c r="I23" i="57"/>
  <c r="F23" i="58"/>
  <c r="E23" i="58"/>
  <c r="AL15" i="30"/>
  <c r="B13" i="33"/>
  <c r="F13" i="33" s="1"/>
  <c r="C12" i="36"/>
  <c r="C23" i="35"/>
  <c r="S23" i="35" s="1"/>
  <c r="B13" i="58"/>
  <c r="I13" i="58" s="1"/>
  <c r="B13" i="57"/>
  <c r="I13" i="57" s="1"/>
  <c r="K33" i="30"/>
  <c r="E9" i="57"/>
  <c r="J9" i="57"/>
  <c r="H9" i="57"/>
  <c r="I9" i="57"/>
  <c r="F9" i="57"/>
  <c r="F14" i="57"/>
  <c r="H14" i="57"/>
  <c r="E14" i="57"/>
  <c r="J14" i="57"/>
  <c r="G14" i="57"/>
  <c r="F11" i="57"/>
  <c r="H11" i="57"/>
  <c r="AL13" i="30"/>
  <c r="AH28" i="30"/>
  <c r="AF28" i="30" s="1"/>
  <c r="F65" i="65"/>
  <c r="F35" i="11"/>
  <c r="F33" i="77"/>
  <c r="F66" i="11"/>
  <c r="F56" i="59"/>
  <c r="F59" i="71"/>
  <c r="B19" i="33"/>
  <c r="I19" i="33" s="1"/>
  <c r="C29" i="35"/>
  <c r="N29" i="35" s="1"/>
  <c r="B19" i="58"/>
  <c r="I19" i="58" s="1"/>
  <c r="B19" i="57"/>
  <c r="J19" i="57" s="1"/>
  <c r="C18" i="36"/>
  <c r="U11" i="33"/>
  <c r="G11" i="33"/>
  <c r="E11" i="33"/>
  <c r="J11" i="33"/>
  <c r="H11" i="33"/>
  <c r="I11" i="33"/>
  <c r="AB42" i="31"/>
  <c r="T25" i="32"/>
  <c r="F25" i="32"/>
  <c r="N25" i="32"/>
  <c r="Q25" i="32" s="1"/>
  <c r="M25" i="32"/>
  <c r="S25" i="32"/>
  <c r="U25" i="32"/>
  <c r="K25" i="32"/>
  <c r="B52" i="32"/>
  <c r="L25" i="32"/>
  <c r="C25" i="32"/>
  <c r="O25" i="32"/>
  <c r="P25" i="32" s="1"/>
  <c r="R25" i="32"/>
  <c r="AK28" i="30"/>
  <c r="AL28" i="30"/>
  <c r="C25" i="36"/>
  <c r="B26" i="57"/>
  <c r="I26" i="57" s="1"/>
  <c r="B26" i="58"/>
  <c r="F26" i="58" s="1"/>
  <c r="B26" i="33"/>
  <c r="F26" i="33" s="1"/>
  <c r="C36" i="35"/>
  <c r="L36" i="35" s="1"/>
  <c r="F63" i="76"/>
  <c r="F32" i="63"/>
  <c r="F29" i="79"/>
  <c r="F57" i="65"/>
  <c r="F31" i="70"/>
  <c r="F37" i="70"/>
  <c r="F25" i="67"/>
  <c r="F65" i="64"/>
  <c r="F67" i="64"/>
  <c r="F52" i="74"/>
  <c r="F39" i="64"/>
  <c r="F26" i="69"/>
  <c r="F41" i="79"/>
  <c r="F61" i="73"/>
  <c r="F52" i="75"/>
  <c r="F28" i="69"/>
  <c r="F47" i="71"/>
  <c r="F64" i="62"/>
  <c r="F20" i="79"/>
  <c r="F48" i="78"/>
  <c r="F27" i="65"/>
  <c r="F44" i="69"/>
  <c r="F52" i="60"/>
  <c r="F39" i="79"/>
  <c r="F35" i="59"/>
  <c r="F66" i="60"/>
  <c r="F32" i="62"/>
  <c r="F37" i="60"/>
  <c r="F34" i="75"/>
  <c r="F59" i="11"/>
  <c r="F40" i="71"/>
  <c r="F43" i="68"/>
  <c r="F63" i="63"/>
  <c r="F62" i="74"/>
  <c r="F36" i="67"/>
  <c r="F48" i="64"/>
  <c r="F34" i="64"/>
  <c r="F47" i="63"/>
  <c r="F59" i="73"/>
  <c r="F36" i="64"/>
  <c r="F55" i="78"/>
  <c r="AB38" i="31"/>
  <c r="W33" i="30" a="1"/>
  <c r="W33" i="30" s="1"/>
  <c r="R28" i="32" s="1"/>
  <c r="F41" i="66"/>
  <c r="AD33" i="30"/>
  <c r="T33" i="30"/>
  <c r="AM9" i="30"/>
  <c r="F31" i="72"/>
  <c r="F33" i="76"/>
  <c r="F52" i="59"/>
  <c r="F56" i="78"/>
  <c r="F26" i="77"/>
  <c r="F63" i="71"/>
  <c r="F45" i="61"/>
  <c r="F56" i="68"/>
  <c r="F62" i="68"/>
  <c r="F35" i="74"/>
  <c r="F60" i="79"/>
  <c r="F52" i="67"/>
  <c r="S33" i="30"/>
  <c r="F41" i="69"/>
  <c r="F20" i="76"/>
  <c r="F62" i="62"/>
  <c r="AA33" i="30"/>
  <c r="V28" i="32" s="1"/>
  <c r="W28" i="32" s="1"/>
  <c r="F48" i="66"/>
  <c r="F58" i="59"/>
  <c r="F57" i="73"/>
  <c r="F60" i="70"/>
  <c r="F38" i="68"/>
  <c r="F41" i="71"/>
  <c r="F54" i="71"/>
  <c r="F39" i="61"/>
  <c r="F34" i="71"/>
  <c r="F32" i="70"/>
  <c r="P10" i="33"/>
  <c r="S14" i="33"/>
  <c r="R11" i="33"/>
  <c r="N23" i="33"/>
  <c r="O24" i="33"/>
  <c r="N20" i="33"/>
  <c r="N11" i="33"/>
  <c r="O16" i="33"/>
  <c r="R27" i="33"/>
  <c r="Q17" i="33"/>
  <c r="O15" i="33"/>
  <c r="Q29" i="33"/>
  <c r="N15" i="33"/>
  <c r="N22" i="33"/>
  <c r="O8" i="33"/>
  <c r="S7" i="33"/>
  <c r="R16" i="33"/>
  <c r="P9" i="33"/>
  <c r="O27" i="33"/>
  <c r="R28" i="33"/>
  <c r="Q25" i="33"/>
  <c r="S23" i="33"/>
  <c r="O13" i="33"/>
  <c r="Q28" i="33"/>
  <c r="O20" i="33"/>
  <c r="P16" i="33"/>
  <c r="Q8" i="33"/>
  <c r="N14" i="33"/>
  <c r="P24" i="33"/>
  <c r="S9" i="33"/>
  <c r="P27" i="33"/>
  <c r="R24" i="33"/>
  <c r="R23" i="33"/>
  <c r="O29" i="33"/>
  <c r="S10" i="33"/>
  <c r="O25" i="33"/>
  <c r="Q22" i="33"/>
  <c r="P20" i="33"/>
  <c r="R19" i="33"/>
  <c r="P14" i="33"/>
  <c r="S22" i="33"/>
  <c r="O12" i="33"/>
  <c r="N29" i="33"/>
  <c r="O22" i="33"/>
  <c r="Q27" i="33"/>
  <c r="P8" i="33"/>
  <c r="R10" i="33"/>
  <c r="R9" i="33"/>
  <c r="O19" i="33"/>
  <c r="Q24" i="33"/>
  <c r="R21" i="33"/>
  <c r="N26" i="33"/>
  <c r="N21" i="33"/>
  <c r="Q12" i="33"/>
  <c r="R7" i="33"/>
  <c r="P28" i="33"/>
  <c r="N10" i="33"/>
  <c r="Q11" i="33"/>
  <c r="O11" i="33"/>
  <c r="P7" i="33"/>
  <c r="Q16" i="33"/>
  <c r="S15" i="33"/>
  <c r="S13" i="33"/>
  <c r="N24" i="33"/>
  <c r="N9" i="33"/>
  <c r="O23" i="33"/>
  <c r="S11" i="33"/>
  <c r="R22" i="33"/>
  <c r="S8" i="33"/>
  <c r="P25" i="33"/>
  <c r="P17" i="33"/>
  <c r="P15" i="33"/>
  <c r="R8" i="33"/>
  <c r="N25" i="33"/>
  <c r="Q19" i="33"/>
  <c r="O7" i="33"/>
  <c r="S19" i="33"/>
  <c r="R17" i="33"/>
  <c r="P23" i="33"/>
  <c r="O14" i="33"/>
  <c r="O21" i="33"/>
  <c r="Q21" i="33"/>
  <c r="R13" i="33"/>
  <c r="R15" i="33"/>
  <c r="R12" i="33"/>
  <c r="N13" i="33"/>
  <c r="O28" i="33"/>
  <c r="O17" i="33"/>
  <c r="R14" i="33"/>
  <c r="R29" i="33"/>
  <c r="Q18" i="33"/>
  <c r="N8" i="33"/>
  <c r="N19" i="33"/>
  <c r="Q20" i="33"/>
  <c r="P12" i="33"/>
  <c r="N16" i="33"/>
  <c r="S18" i="33"/>
  <c r="S12" i="33"/>
  <c r="N7" i="33"/>
  <c r="S29" i="33"/>
  <c r="N27" i="33"/>
  <c r="N28" i="33"/>
  <c r="S25" i="33"/>
  <c r="Q7" i="33"/>
  <c r="S16" i="33"/>
  <c r="S24" i="33"/>
  <c r="S17" i="33"/>
  <c r="Q26" i="33"/>
  <c r="R26" i="33"/>
  <c r="P19" i="33"/>
  <c r="Q23" i="33"/>
  <c r="O26" i="33"/>
  <c r="Q9" i="33"/>
  <c r="R25" i="33"/>
  <c r="P26" i="33"/>
  <c r="Q13" i="33"/>
  <c r="Q14" i="33"/>
  <c r="N17" i="33"/>
  <c r="P21" i="33"/>
  <c r="R20" i="33"/>
  <c r="O10" i="33"/>
  <c r="Q15" i="33"/>
  <c r="P22" i="33"/>
  <c r="S20" i="33"/>
  <c r="S26" i="33"/>
  <c r="P29" i="33"/>
  <c r="S28" i="33"/>
  <c r="S21" i="33"/>
  <c r="O9" i="33"/>
  <c r="P11" i="33"/>
  <c r="S27" i="33"/>
  <c r="Q10" i="33"/>
  <c r="P13" i="33"/>
  <c r="N12" i="33"/>
  <c r="H7" i="33"/>
  <c r="G7" i="33"/>
  <c r="I7" i="33"/>
  <c r="E7" i="33"/>
  <c r="J7" i="33"/>
  <c r="F43" i="11"/>
  <c r="F23" i="79"/>
  <c r="M33" i="30"/>
  <c r="F41" i="76"/>
  <c r="F54" i="68"/>
  <c r="E16" i="57"/>
  <c r="G16" i="57"/>
  <c r="H16" i="57"/>
  <c r="J16" i="57"/>
  <c r="I16" i="57"/>
  <c r="AG18" i="30"/>
  <c r="AF18" i="30" s="1"/>
  <c r="U16" i="33"/>
  <c r="E16" i="33"/>
  <c r="F23" i="32"/>
  <c r="S23" i="32"/>
  <c r="K23" i="32"/>
  <c r="R23" i="32"/>
  <c r="L23" i="32"/>
  <c r="T23" i="32"/>
  <c r="O23" i="32"/>
  <c r="C23" i="32"/>
  <c r="M23" i="32"/>
  <c r="N23" i="32"/>
  <c r="B50" i="32"/>
  <c r="U23" i="32"/>
  <c r="AI26" i="30"/>
  <c r="AB55" i="31"/>
  <c r="H24" i="57"/>
  <c r="W34" i="35"/>
  <c r="I34" i="35"/>
  <c r="AI11" i="30"/>
  <c r="AB41" i="31"/>
  <c r="AH12" i="30"/>
  <c r="AF12" i="30" s="1"/>
  <c r="AL12" i="30"/>
  <c r="AI16" i="30"/>
  <c r="AF16" i="30" s="1"/>
  <c r="AG24" i="30"/>
  <c r="AF24" i="30" s="1"/>
  <c r="AL24" i="30"/>
  <c r="C21" i="32"/>
  <c r="U21" i="32"/>
  <c r="N21" i="32"/>
  <c r="Q21" i="32" s="1"/>
  <c r="R21" i="32"/>
  <c r="F21" i="32"/>
  <c r="S21" i="32"/>
  <c r="T21" i="32"/>
  <c r="L21" i="32"/>
  <c r="O21" i="32"/>
  <c r="B48" i="32"/>
  <c r="K21" i="32"/>
  <c r="M21" i="32"/>
  <c r="AJ24" i="30"/>
  <c r="AG19" i="30"/>
  <c r="C27" i="35"/>
  <c r="S27" i="35" s="1"/>
  <c r="C16" i="36"/>
  <c r="B17" i="58"/>
  <c r="E17" i="58" s="1"/>
  <c r="B17" i="57"/>
  <c r="E17" i="57" s="1"/>
  <c r="B17" i="33"/>
  <c r="F17" i="33" s="1"/>
  <c r="AL14" i="30"/>
  <c r="B12" i="33"/>
  <c r="C11" i="36"/>
  <c r="C22" i="35"/>
  <c r="G22" i="35" s="1"/>
  <c r="B12" i="57"/>
  <c r="J12" i="57" s="1"/>
  <c r="B12" i="58"/>
  <c r="F12" i="58" s="1"/>
  <c r="AK14" i="30"/>
  <c r="B25" i="58"/>
  <c r="E25" i="58" s="1"/>
  <c r="B25" i="57"/>
  <c r="J25" i="57" s="1"/>
  <c r="C24" i="36"/>
  <c r="B25" i="33"/>
  <c r="I25" i="33" s="1"/>
  <c r="C35" i="35"/>
  <c r="P35" i="35" s="1"/>
  <c r="U25" i="33"/>
  <c r="H25" i="33"/>
  <c r="G25" i="33"/>
  <c r="AG27" i="30"/>
  <c r="AI29" i="30"/>
  <c r="AF29" i="30"/>
  <c r="AL29" i="30"/>
  <c r="AH23" i="30"/>
  <c r="S31" i="35"/>
  <c r="G31" i="35"/>
  <c r="I31" i="35"/>
  <c r="P31" i="35"/>
  <c r="R31" i="35" s="1"/>
  <c r="O31" i="35" s="1"/>
  <c r="L31" i="35"/>
  <c r="E31" i="35"/>
  <c r="W31" i="35"/>
  <c r="N31" i="35"/>
  <c r="AG23" i="30"/>
  <c r="L20" i="32"/>
  <c r="M20" i="32"/>
  <c r="F20" i="32"/>
  <c r="B47" i="32"/>
  <c r="T20" i="32"/>
  <c r="O20" i="32"/>
  <c r="S20" i="32"/>
  <c r="C20" i="32"/>
  <c r="U20" i="32"/>
  <c r="N20" i="32"/>
  <c r="Q20" i="32" s="1"/>
  <c r="K20" i="32"/>
  <c r="R20" i="32"/>
  <c r="P20" i="32"/>
  <c r="G15" i="58"/>
  <c r="J15" i="58"/>
  <c r="H15" i="58"/>
  <c r="E15" i="58"/>
  <c r="I15" i="58"/>
  <c r="AG22" i="30"/>
  <c r="B20" i="57"/>
  <c r="J20" i="57" s="1"/>
  <c r="B20" i="33"/>
  <c r="I20" i="33" s="1"/>
  <c r="R18" i="33" s="1"/>
  <c r="C30" i="35"/>
  <c r="W30" i="35" s="1"/>
  <c r="C19" i="36"/>
  <c r="B20" i="58"/>
  <c r="I20" i="58" s="1"/>
  <c r="AH20" i="30"/>
  <c r="AB49" i="31"/>
  <c r="AB39" i="31"/>
  <c r="AK25" i="30"/>
  <c r="B28" i="57"/>
  <c r="H28" i="57" s="1"/>
  <c r="B28" i="58"/>
  <c r="G28" i="58" s="1"/>
  <c r="AL30" i="30"/>
  <c r="E28" i="57"/>
  <c r="AJ15" i="30"/>
  <c r="AH15" i="30"/>
  <c r="AF15" i="30" s="1"/>
  <c r="J13" i="58"/>
  <c r="AB44" i="31"/>
  <c r="G13" i="57"/>
  <c r="E13" i="57"/>
  <c r="J13" i="57"/>
  <c r="F13" i="57"/>
  <c r="H13" i="57"/>
  <c r="O12" i="32"/>
  <c r="M12" i="32"/>
  <c r="S12" i="32"/>
  <c r="T12" i="32"/>
  <c r="C12" i="32"/>
  <c r="N12" i="32"/>
  <c r="R12" i="32"/>
  <c r="L12" i="32"/>
  <c r="F12" i="32"/>
  <c r="U12" i="32"/>
  <c r="K12" i="32"/>
  <c r="B39" i="32"/>
  <c r="P12" i="32"/>
  <c r="AP22" i="30"/>
  <c r="AP16" i="30"/>
  <c r="AP26" i="30"/>
  <c r="AP29" i="30"/>
  <c r="F58" i="31" a="1"/>
  <c r="F50" i="31" a="1"/>
  <c r="L57" i="31" a="1"/>
  <c r="F40" i="31" a="1"/>
  <c r="L40" i="31" a="1"/>
  <c r="L45" i="31" a="1"/>
  <c r="D53" i="31" a="1"/>
  <c r="L51" i="31" a="1"/>
  <c r="N59" i="31" a="1"/>
  <c r="D55" i="31" a="1"/>
  <c r="L49" i="31" a="1"/>
  <c r="F59" i="31" a="1"/>
  <c r="L55" i="31" a="1"/>
  <c r="N49" i="31" a="1"/>
  <c r="F49" i="31" a="1"/>
  <c r="F39" i="31" a="1"/>
  <c r="D59" i="31" a="1"/>
  <c r="N43" i="31" a="1"/>
  <c r="L56" i="31" a="1"/>
  <c r="N58" i="31" a="1"/>
  <c r="L52" i="31" a="1"/>
  <c r="F46" i="31" a="1"/>
  <c r="N50" i="31" a="1"/>
  <c r="D50" i="31" a="1"/>
  <c r="L54" i="31" a="1"/>
  <c r="N40" i="31" a="1"/>
  <c r="N45" i="31" a="1"/>
  <c r="N53" i="31" a="1"/>
  <c r="F51" i="31" a="1"/>
  <c r="D49" i="31" a="1"/>
  <c r="D56" i="31" a="1"/>
  <c r="N56" i="31" a="1"/>
  <c r="D58" i="31" a="1"/>
  <c r="F52" i="31" a="1"/>
  <c r="N46" i="31" a="1"/>
  <c r="L50" i="31" a="1"/>
  <c r="D57" i="31" a="1"/>
  <c r="D40" i="31" a="1"/>
  <c r="F45" i="31" a="1"/>
  <c r="F53" i="31" a="1"/>
  <c r="D51" i="31" a="1"/>
  <c r="N51" i="31" a="1"/>
  <c r="F38" i="31" a="1"/>
  <c r="N47" i="31" a="1"/>
  <c r="F57" i="31" a="1"/>
  <c r="N57" i="31" a="1"/>
  <c r="D45" i="31" a="1"/>
  <c r="F42" i="31" a="1"/>
  <c r="L38" i="31" a="1"/>
  <c r="L44" i="31" a="1"/>
  <c r="F56" i="31" a="1"/>
  <c r="L58" i="31" a="1"/>
  <c r="L53" i="31" a="1"/>
  <c r="F55" i="31" a="1"/>
  <c r="N55" i="31" a="1"/>
  <c r="L39" i="31" a="1"/>
  <c r="L59" i="31" a="1"/>
  <c r="D52" i="31" a="1"/>
  <c r="D46" i="31" a="1"/>
  <c r="N41" i="31" a="1"/>
  <c r="N39" i="31" a="1"/>
  <c r="L47" i="31" a="1"/>
  <c r="F48" i="31" a="1"/>
  <c r="D44" i="31" a="1"/>
  <c r="L42" i="31" a="1"/>
  <c r="N38" i="31" a="1"/>
  <c r="L43" i="31" a="1"/>
  <c r="N54" i="31" a="1"/>
  <c r="G27" i="35" l="1"/>
  <c r="E35" i="35"/>
  <c r="E21" i="33"/>
  <c r="P24" i="32"/>
  <c r="H26" i="57"/>
  <c r="L29" i="35"/>
  <c r="W24" i="35"/>
  <c r="I24" i="35"/>
  <c r="S26" i="35"/>
  <c r="T26" i="35" s="1"/>
  <c r="W26" i="35"/>
  <c r="S25" i="35"/>
  <c r="I12" i="57"/>
  <c r="F9" i="33"/>
  <c r="Q8" i="32"/>
  <c r="E11" i="58"/>
  <c r="E20" i="58"/>
  <c r="H21" i="57"/>
  <c r="H17" i="33"/>
  <c r="H19" i="58"/>
  <c r="Q12" i="32"/>
  <c r="G13" i="58"/>
  <c r="H13" i="58"/>
  <c r="G28" i="57"/>
  <c r="P27" i="35"/>
  <c r="E20" i="35"/>
  <c r="L34" i="35"/>
  <c r="G34" i="35"/>
  <c r="J24" i="57"/>
  <c r="E26" i="58"/>
  <c r="Y18" i="35"/>
  <c r="T18" i="35" s="1"/>
  <c r="F21" i="33"/>
  <c r="J27" i="57"/>
  <c r="K28" i="32"/>
  <c r="R21" i="35"/>
  <c r="O21" i="35" s="1"/>
  <c r="E29" i="35"/>
  <c r="N24" i="35"/>
  <c r="S24" i="35"/>
  <c r="U19" i="35"/>
  <c r="L26" i="35"/>
  <c r="M26" i="35" s="1"/>
  <c r="U26" i="35"/>
  <c r="V26" i="35" s="1"/>
  <c r="AF20" i="30"/>
  <c r="N25" i="35"/>
  <c r="H12" i="57"/>
  <c r="J9" i="33"/>
  <c r="T28" i="32"/>
  <c r="I11" i="58"/>
  <c r="Q7" i="32"/>
  <c r="E8" i="57"/>
  <c r="H20" i="57"/>
  <c r="J20" i="58"/>
  <c r="F21" i="57"/>
  <c r="I22" i="35"/>
  <c r="J22" i="58"/>
  <c r="H15" i="57"/>
  <c r="F13" i="58"/>
  <c r="F28" i="57"/>
  <c r="I28" i="57"/>
  <c r="K31" i="35"/>
  <c r="F31" i="35" s="1"/>
  <c r="AF19" i="30"/>
  <c r="I27" i="35"/>
  <c r="N20" i="35"/>
  <c r="U34" i="35"/>
  <c r="Y34" i="35" s="1"/>
  <c r="S34" i="35"/>
  <c r="E24" i="57"/>
  <c r="E13" i="58"/>
  <c r="J28" i="57"/>
  <c r="AF27" i="30"/>
  <c r="L27" i="35"/>
  <c r="P21" i="32"/>
  <c r="P34" i="35"/>
  <c r="R34" i="35" s="1"/>
  <c r="O34" i="35" s="1"/>
  <c r="E34" i="35"/>
  <c r="I24" i="57"/>
  <c r="G24" i="57"/>
  <c r="P23" i="32"/>
  <c r="N30" i="35"/>
  <c r="Q19" i="32"/>
  <c r="H21" i="33"/>
  <c r="E27" i="57"/>
  <c r="I25" i="58"/>
  <c r="P11" i="32"/>
  <c r="E24" i="35"/>
  <c r="K24" i="35" s="1"/>
  <c r="J24" i="35" s="1"/>
  <c r="G24" i="35"/>
  <c r="E19" i="35"/>
  <c r="P26" i="35"/>
  <c r="N26" i="35"/>
  <c r="O26" i="35" s="1"/>
  <c r="E28" i="58"/>
  <c r="AF17" i="30"/>
  <c r="U35" i="35"/>
  <c r="F19" i="33"/>
  <c r="J8" i="58"/>
  <c r="J20" i="33"/>
  <c r="P22" i="35"/>
  <c r="F28" i="32"/>
  <c r="C28" i="32"/>
  <c r="D28" i="32"/>
  <c r="Q10" i="32"/>
  <c r="N54" i="31"/>
  <c r="L43" i="31"/>
  <c r="N38" i="31"/>
  <c r="L42" i="31"/>
  <c r="D44" i="31"/>
  <c r="F48" i="31"/>
  <c r="L47" i="31"/>
  <c r="N39" i="31"/>
  <c r="N41" i="31"/>
  <c r="D46" i="31"/>
  <c r="D52" i="31"/>
  <c r="L59" i="31"/>
  <c r="L39" i="31"/>
  <c r="N55" i="31"/>
  <c r="F55" i="31"/>
  <c r="L53" i="31"/>
  <c r="L58" i="31"/>
  <c r="F56" i="31"/>
  <c r="L44" i="31"/>
  <c r="L38" i="31"/>
  <c r="F42" i="31"/>
  <c r="D45" i="31"/>
  <c r="N57" i="31"/>
  <c r="F57" i="31"/>
  <c r="N47" i="31"/>
  <c r="F38" i="31"/>
  <c r="N51" i="31"/>
  <c r="D51" i="31"/>
  <c r="F53" i="31"/>
  <c r="F45" i="31"/>
  <c r="D40" i="31"/>
  <c r="D57" i="31"/>
  <c r="H57" i="31" s="1"/>
  <c r="L50" i="31"/>
  <c r="N46" i="31"/>
  <c r="F52" i="31"/>
  <c r="D58" i="31"/>
  <c r="N56" i="31"/>
  <c r="D56" i="31"/>
  <c r="D49" i="31"/>
  <c r="F51" i="31"/>
  <c r="N53" i="31"/>
  <c r="N45" i="31"/>
  <c r="N40" i="31"/>
  <c r="L54" i="31"/>
  <c r="D50" i="31"/>
  <c r="N50" i="31"/>
  <c r="F46" i="31"/>
  <c r="L52" i="31"/>
  <c r="N58" i="31"/>
  <c r="L56" i="31"/>
  <c r="N43" i="31"/>
  <c r="D59" i="31"/>
  <c r="F39" i="31"/>
  <c r="F49" i="31"/>
  <c r="N49" i="31"/>
  <c r="L55" i="31"/>
  <c r="F59" i="31"/>
  <c r="L49" i="31"/>
  <c r="D55" i="31"/>
  <c r="H55" i="31" s="1"/>
  <c r="N59" i="31"/>
  <c r="L51" i="31"/>
  <c r="D53" i="31"/>
  <c r="L45" i="31"/>
  <c r="L40" i="31"/>
  <c r="F40" i="31"/>
  <c r="L57" i="31"/>
  <c r="F50" i="31"/>
  <c r="F58" i="31"/>
  <c r="G12" i="33"/>
  <c r="AA12" i="33" a="1"/>
  <c r="AA12" i="33" s="1"/>
  <c r="Z12" i="33" a="1"/>
  <c r="Z12" i="33" s="1"/>
  <c r="V21" i="32"/>
  <c r="G21" i="32"/>
  <c r="H21" i="32" s="1"/>
  <c r="D21" i="32"/>
  <c r="E21" i="32" s="1"/>
  <c r="AC50" i="32"/>
  <c r="AA15" i="33" a="1"/>
  <c r="AA15" i="33" s="1"/>
  <c r="Z15" i="33" a="1"/>
  <c r="Z15" i="33" s="1"/>
  <c r="J26" i="33"/>
  <c r="AA26" i="33" a="1"/>
  <c r="AA26" i="33" s="1"/>
  <c r="Z26" i="33" a="1"/>
  <c r="Z26" i="33" s="1"/>
  <c r="AC52" i="32"/>
  <c r="I11" i="57"/>
  <c r="G26" i="58"/>
  <c r="J26" i="58"/>
  <c r="I23" i="58"/>
  <c r="G22" i="32"/>
  <c r="D22" i="32"/>
  <c r="E22" i="32" s="1"/>
  <c r="V22" i="32"/>
  <c r="W22" i="32" s="1"/>
  <c r="J18" i="57"/>
  <c r="U30" i="35"/>
  <c r="P30" i="35"/>
  <c r="G15" i="33"/>
  <c r="F15" i="33"/>
  <c r="F27" i="57"/>
  <c r="J25" i="58"/>
  <c r="H25" i="58"/>
  <c r="J12" i="33"/>
  <c r="P32" i="35"/>
  <c r="W32" i="35"/>
  <c r="J14" i="33"/>
  <c r="P15" i="32"/>
  <c r="G15" i="32"/>
  <c r="H15" i="32" s="1"/>
  <c r="V15" i="32"/>
  <c r="D15" i="32"/>
  <c r="E15" i="32" s="1"/>
  <c r="AF9" i="30"/>
  <c r="AG33" i="30"/>
  <c r="F26" i="57"/>
  <c r="F21" i="35"/>
  <c r="Q21" i="35"/>
  <c r="S29" i="35"/>
  <c r="I29" i="35"/>
  <c r="R24" i="35"/>
  <c r="O24" i="35"/>
  <c r="G19" i="35"/>
  <c r="S19" i="35"/>
  <c r="J24" i="33"/>
  <c r="AA24" i="33" a="1"/>
  <c r="AA24" i="33" s="1"/>
  <c r="Z24" i="33" a="1"/>
  <c r="Z24" i="33" s="1"/>
  <c r="K26" i="35"/>
  <c r="F26" i="35" s="1"/>
  <c r="L17" i="35"/>
  <c r="P17" i="35"/>
  <c r="I23" i="35"/>
  <c r="W23" i="35"/>
  <c r="J28" i="58"/>
  <c r="F28" i="58"/>
  <c r="U33" i="35"/>
  <c r="I33" i="35"/>
  <c r="AF25" i="30"/>
  <c r="E8" i="33"/>
  <c r="U25" i="35"/>
  <c r="P25" i="35"/>
  <c r="F21" i="58"/>
  <c r="G27" i="58"/>
  <c r="H25" i="57"/>
  <c r="W35" i="35"/>
  <c r="L35" i="35"/>
  <c r="G12" i="57"/>
  <c r="I9" i="33"/>
  <c r="AA9" i="33" a="1"/>
  <c r="AA9" i="33" s="1"/>
  <c r="Z9" i="33" a="1"/>
  <c r="Z9" i="33" s="1"/>
  <c r="E9" i="33"/>
  <c r="AF11" i="30"/>
  <c r="I9" i="58"/>
  <c r="E24" i="33"/>
  <c r="G24" i="33"/>
  <c r="P6" i="32"/>
  <c r="G6" i="32"/>
  <c r="H6" i="32" s="1"/>
  <c r="D6" i="32"/>
  <c r="E6" i="32" s="1"/>
  <c r="V6" i="32"/>
  <c r="W6" i="32" s="1"/>
  <c r="W36" i="35"/>
  <c r="U36" i="35"/>
  <c r="P36" i="35"/>
  <c r="I26" i="33"/>
  <c r="F11" i="58"/>
  <c r="H11" i="58"/>
  <c r="H21" i="35"/>
  <c r="E19" i="57"/>
  <c r="E19" i="33"/>
  <c r="H19" i="33"/>
  <c r="J23" i="33"/>
  <c r="Z23" i="33" a="1"/>
  <c r="Z23" i="33" s="1"/>
  <c r="AA23" i="33" a="1"/>
  <c r="AA23" i="33" s="1"/>
  <c r="I23" i="33"/>
  <c r="E23" i="33"/>
  <c r="F8" i="58"/>
  <c r="AC34" i="32"/>
  <c r="H8" i="57"/>
  <c r="P28" i="35"/>
  <c r="G28" i="35"/>
  <c r="G20" i="57"/>
  <c r="E20" i="57"/>
  <c r="H20" i="33"/>
  <c r="F20" i="58"/>
  <c r="F15" i="57"/>
  <c r="E21" i="57"/>
  <c r="S22" i="35"/>
  <c r="N22" i="35"/>
  <c r="E12" i="58"/>
  <c r="E17" i="33"/>
  <c r="I17" i="33"/>
  <c r="AC43" i="32"/>
  <c r="H17" i="58"/>
  <c r="F17" i="57"/>
  <c r="G17" i="57"/>
  <c r="F22" i="58"/>
  <c r="AC40" i="32"/>
  <c r="Q24" i="35"/>
  <c r="AJ33" i="30"/>
  <c r="L28" i="32"/>
  <c r="AF13" i="30"/>
  <c r="E19" i="58"/>
  <c r="E15" i="33"/>
  <c r="G24" i="32"/>
  <c r="D24" i="32"/>
  <c r="E24" i="32" s="1"/>
  <c r="V24" i="32"/>
  <c r="AC38" i="32"/>
  <c r="D11" i="32"/>
  <c r="E11" i="32" s="1"/>
  <c r="G11" i="32"/>
  <c r="H11" i="32" s="1"/>
  <c r="V11" i="32"/>
  <c r="E12" i="33"/>
  <c r="F12" i="33"/>
  <c r="L23" i="35"/>
  <c r="E23" i="35"/>
  <c r="AA8" i="33" a="1"/>
  <c r="AA8" i="33" s="1"/>
  <c r="Z8" i="33" a="1"/>
  <c r="Z8" i="33" s="1"/>
  <c r="AM33" i="30"/>
  <c r="E11" i="57"/>
  <c r="H26" i="58"/>
  <c r="H13" i="33"/>
  <c r="Z13" i="33" a="1"/>
  <c r="Z13" i="33" s="1"/>
  <c r="AA13" i="33" a="1"/>
  <c r="AA13" i="33" s="1"/>
  <c r="G23" i="58"/>
  <c r="P22" i="32"/>
  <c r="F18" i="35"/>
  <c r="H18" i="35"/>
  <c r="G18" i="57"/>
  <c r="I30" i="35"/>
  <c r="G30" i="35"/>
  <c r="P19" i="32"/>
  <c r="P14" i="32"/>
  <c r="J15" i="33"/>
  <c r="H15" i="33"/>
  <c r="F25" i="58"/>
  <c r="AC51" i="32"/>
  <c r="I12" i="33"/>
  <c r="L32" i="35"/>
  <c r="S32" i="35"/>
  <c r="I14" i="33"/>
  <c r="AC36" i="32"/>
  <c r="M28" i="32"/>
  <c r="G26" i="57"/>
  <c r="M21" i="35"/>
  <c r="W29" i="35"/>
  <c r="G29" i="35"/>
  <c r="AF21" i="30"/>
  <c r="N19" i="35"/>
  <c r="W19" i="35"/>
  <c r="G17" i="35"/>
  <c r="N17" i="35"/>
  <c r="U23" i="35"/>
  <c r="P23" i="35"/>
  <c r="AF30" i="30"/>
  <c r="I28" i="58"/>
  <c r="L33" i="35"/>
  <c r="N33" i="35"/>
  <c r="O33" i="35" s="1"/>
  <c r="AF22" i="30"/>
  <c r="E25" i="35"/>
  <c r="W25" i="35"/>
  <c r="Y25" i="35" s="1"/>
  <c r="X25" i="35" s="1"/>
  <c r="I21" i="58"/>
  <c r="I27" i="58"/>
  <c r="I25" i="57"/>
  <c r="S35" i="35"/>
  <c r="N35" i="35"/>
  <c r="F12" i="57"/>
  <c r="E9" i="58"/>
  <c r="F9" i="58"/>
  <c r="F24" i="33"/>
  <c r="O28" i="32"/>
  <c r="P28" i="32" s="1"/>
  <c r="S28" i="32"/>
  <c r="S36" i="35"/>
  <c r="G26" i="33"/>
  <c r="H26" i="33"/>
  <c r="F11" i="33"/>
  <c r="AA11" i="33" a="1"/>
  <c r="AA11" i="33" s="1"/>
  <c r="Z11" i="33" a="1"/>
  <c r="Z11" i="33" s="1"/>
  <c r="H19" i="57"/>
  <c r="J13" i="33"/>
  <c r="E13" i="33"/>
  <c r="G8" i="58"/>
  <c r="F8" i="57"/>
  <c r="J18" i="33"/>
  <c r="Z18" i="33" a="1"/>
  <c r="Z18" i="33" s="1"/>
  <c r="AA18" i="33" a="1"/>
  <c r="AA18" i="33" s="1"/>
  <c r="S28" i="35"/>
  <c r="I28" i="35"/>
  <c r="F18" i="33"/>
  <c r="I20" i="57"/>
  <c r="G20" i="33"/>
  <c r="P18" i="33" s="1"/>
  <c r="P30" i="33" s="1"/>
  <c r="G20" i="58"/>
  <c r="G15" i="57"/>
  <c r="I21" i="57"/>
  <c r="E22" i="35"/>
  <c r="K22" i="35" s="1"/>
  <c r="F22" i="35" s="1"/>
  <c r="W22" i="35"/>
  <c r="H12" i="58"/>
  <c r="I17" i="58"/>
  <c r="H17" i="57"/>
  <c r="G22" i="58"/>
  <c r="G28" i="32"/>
  <c r="AH33" i="30"/>
  <c r="AC37" i="32"/>
  <c r="F19" i="58"/>
  <c r="G19" i="58"/>
  <c r="G18" i="32"/>
  <c r="D18" i="32"/>
  <c r="E18" i="32" s="1"/>
  <c r="V18" i="32"/>
  <c r="AC39" i="32"/>
  <c r="H31" i="35"/>
  <c r="Q28" i="32"/>
  <c r="V18" i="35"/>
  <c r="G9" i="32"/>
  <c r="V9" i="32"/>
  <c r="D9" i="32"/>
  <c r="E9" i="32" s="1"/>
  <c r="H8" i="33"/>
  <c r="F8" i="33"/>
  <c r="G17" i="32"/>
  <c r="V17" i="32"/>
  <c r="D17" i="32"/>
  <c r="E17" i="32" s="1"/>
  <c r="AC44" i="32"/>
  <c r="H21" i="58"/>
  <c r="J21" i="58"/>
  <c r="F27" i="58"/>
  <c r="G25" i="57"/>
  <c r="F25" i="57"/>
  <c r="G8" i="32"/>
  <c r="V8" i="32"/>
  <c r="D8" i="32"/>
  <c r="E8" i="32" s="1"/>
  <c r="I36" i="35"/>
  <c r="N36" i="35"/>
  <c r="G19" i="57"/>
  <c r="F19" i="57"/>
  <c r="V7" i="32"/>
  <c r="G7" i="32"/>
  <c r="D7" i="32"/>
  <c r="E7" i="32" s="1"/>
  <c r="W28" i="35"/>
  <c r="E28" i="35"/>
  <c r="I12" i="58"/>
  <c r="G12" i="58"/>
  <c r="G16" i="32"/>
  <c r="D16" i="32"/>
  <c r="E16" i="32" s="1"/>
  <c r="V16" i="32"/>
  <c r="J17" i="58"/>
  <c r="F17" i="58"/>
  <c r="F14" i="33"/>
  <c r="AA14" i="33" a="1"/>
  <c r="AA14" i="33" s="1"/>
  <c r="Z14" i="33" a="1"/>
  <c r="Z14" i="33" s="1"/>
  <c r="I16" i="33"/>
  <c r="AA16" i="33" a="1"/>
  <c r="AA16" i="33" s="1"/>
  <c r="Z16" i="33" a="1"/>
  <c r="Z16" i="33" s="1"/>
  <c r="I28" i="32"/>
  <c r="G10" i="32"/>
  <c r="V10" i="32"/>
  <c r="D10" i="32"/>
  <c r="E10" i="32" s="1"/>
  <c r="AC45" i="32"/>
  <c r="M31" i="35"/>
  <c r="I20" i="35"/>
  <c r="P20" i="35"/>
  <c r="AF26" i="30"/>
  <c r="Q23" i="32"/>
  <c r="J16" i="33"/>
  <c r="F20" i="33"/>
  <c r="O18" i="33" s="1"/>
  <c r="O30" i="33" s="1"/>
  <c r="AA20" i="33" a="1"/>
  <c r="AA20" i="33" s="1"/>
  <c r="Z20" i="33" a="1"/>
  <c r="Z20" i="33" s="1"/>
  <c r="Q31" i="35"/>
  <c r="F25" i="33"/>
  <c r="Z25" i="33" a="1"/>
  <c r="Z25" i="33" s="1"/>
  <c r="AA25" i="33" a="1"/>
  <c r="AA25" i="33" s="1"/>
  <c r="H22" i="35"/>
  <c r="J17" i="33"/>
  <c r="Z17" i="33" a="1"/>
  <c r="Z17" i="33" s="1"/>
  <c r="AA17" i="33" a="1"/>
  <c r="AA17" i="33" s="1"/>
  <c r="N27" i="35"/>
  <c r="W27" i="35"/>
  <c r="L20" i="35"/>
  <c r="G20" i="35"/>
  <c r="K34" i="35"/>
  <c r="H34" i="35" s="1"/>
  <c r="M34" i="35"/>
  <c r="F16" i="33"/>
  <c r="V12" i="32"/>
  <c r="G12" i="32"/>
  <c r="D12" i="32"/>
  <c r="E12" i="32" s="1"/>
  <c r="G20" i="32"/>
  <c r="D20" i="32"/>
  <c r="E20" i="32" s="1"/>
  <c r="V20" i="32"/>
  <c r="AC47" i="32"/>
  <c r="AF23" i="30"/>
  <c r="Y31" i="35"/>
  <c r="T31" i="35" s="1"/>
  <c r="J31" i="35"/>
  <c r="J25" i="33"/>
  <c r="E25" i="33"/>
  <c r="U27" i="35"/>
  <c r="E27" i="35"/>
  <c r="AC48" i="32"/>
  <c r="S20" i="35"/>
  <c r="W20" i="35"/>
  <c r="Q34" i="35"/>
  <c r="V23" i="32"/>
  <c r="D23" i="32"/>
  <c r="E23" i="32" s="1"/>
  <c r="G23" i="32"/>
  <c r="G16" i="33"/>
  <c r="H16" i="33"/>
  <c r="Q30" i="33"/>
  <c r="D25" i="32"/>
  <c r="E25" i="32" s="1"/>
  <c r="V25" i="32"/>
  <c r="G25" i="32"/>
  <c r="G19" i="33"/>
  <c r="Z19" i="33" a="1"/>
  <c r="Z19" i="33" s="1"/>
  <c r="AA19" i="33" a="1"/>
  <c r="AA19" i="33" s="1"/>
  <c r="J11" i="57"/>
  <c r="I26" i="58"/>
  <c r="J23" i="58"/>
  <c r="AC49" i="32"/>
  <c r="X18" i="35"/>
  <c r="R18" i="35"/>
  <c r="Q18" i="35"/>
  <c r="E18" i="57"/>
  <c r="S30" i="35"/>
  <c r="E30" i="35"/>
  <c r="V19" i="32"/>
  <c r="D19" i="32"/>
  <c r="E19" i="32" s="1"/>
  <c r="G19" i="32"/>
  <c r="AC46" i="32"/>
  <c r="AC41" i="32"/>
  <c r="G14" i="32"/>
  <c r="D14" i="32"/>
  <c r="E14" i="32" s="1"/>
  <c r="V14" i="32"/>
  <c r="I15" i="33"/>
  <c r="G25" i="58"/>
  <c r="Q24" i="32"/>
  <c r="H12" i="33"/>
  <c r="N32" i="35"/>
  <c r="E32" i="35"/>
  <c r="E14" i="33"/>
  <c r="AC42" i="32"/>
  <c r="E28" i="32"/>
  <c r="AI33" i="30"/>
  <c r="X28" i="32"/>
  <c r="E26" i="57"/>
  <c r="J26" i="57"/>
  <c r="J21" i="35"/>
  <c r="Y21" i="35"/>
  <c r="P29" i="35"/>
  <c r="U29" i="35"/>
  <c r="M24" i="35"/>
  <c r="I19" i="35"/>
  <c r="K19" i="35" s="1"/>
  <c r="J19" i="35" s="1"/>
  <c r="P19" i="35"/>
  <c r="U17" i="35"/>
  <c r="E17" i="35"/>
  <c r="N23" i="35"/>
  <c r="G23" i="35"/>
  <c r="H28" i="58"/>
  <c r="Y33" i="35"/>
  <c r="V33" i="35" s="1"/>
  <c r="E33" i="35"/>
  <c r="F33" i="35" s="1"/>
  <c r="P33" i="35"/>
  <c r="G8" i="33"/>
  <c r="I8" i="33"/>
  <c r="G25" i="35"/>
  <c r="L25" i="35"/>
  <c r="G21" i="33"/>
  <c r="AA21" i="33" a="1"/>
  <c r="AA21" i="33" s="1"/>
  <c r="Z21" i="33" a="1"/>
  <c r="Z21" i="33" s="1"/>
  <c r="G21" i="58"/>
  <c r="E27" i="58"/>
  <c r="H27" i="58"/>
  <c r="E25" i="57"/>
  <c r="I35" i="35"/>
  <c r="G35" i="35"/>
  <c r="E12" i="57"/>
  <c r="I10" i="33"/>
  <c r="Z10" i="33" a="1"/>
  <c r="Z10" i="33" s="1"/>
  <c r="AA10" i="33" a="1"/>
  <c r="AA10" i="33" s="1"/>
  <c r="J9" i="58"/>
  <c r="AC35" i="32"/>
  <c r="H24" i="33"/>
  <c r="AC33" i="32"/>
  <c r="AL33" i="30"/>
  <c r="E36" i="35"/>
  <c r="G36" i="35"/>
  <c r="E26" i="33"/>
  <c r="I19" i="57"/>
  <c r="J19" i="33"/>
  <c r="G13" i="33"/>
  <c r="I8" i="58"/>
  <c r="H8" i="58"/>
  <c r="I8" i="57"/>
  <c r="J8" i="57"/>
  <c r="U28" i="35"/>
  <c r="N28" i="35"/>
  <c r="H18" i="33"/>
  <c r="G18" i="33"/>
  <c r="F20" i="57"/>
  <c r="E20" i="33"/>
  <c r="N18" i="33" s="1"/>
  <c r="N30" i="33" s="1"/>
  <c r="H20" i="58"/>
  <c r="E15" i="57"/>
  <c r="I15" i="57"/>
  <c r="J21" i="57"/>
  <c r="L22" i="35"/>
  <c r="U22" i="35"/>
  <c r="J12" i="58"/>
  <c r="G17" i="33"/>
  <c r="G17" i="58"/>
  <c r="J17" i="57"/>
  <c r="I22" i="33"/>
  <c r="AA22" i="33" a="1"/>
  <c r="AA22" i="33" s="1"/>
  <c r="Z22" i="33" a="1"/>
  <c r="Z22" i="33" s="1"/>
  <c r="H22" i="58"/>
  <c r="E22" i="58"/>
  <c r="D13" i="32"/>
  <c r="E13" i="32" s="1"/>
  <c r="V13" i="32"/>
  <c r="G13" i="32"/>
  <c r="AK33" i="30"/>
  <c r="F7" i="33"/>
  <c r="AA7" i="33" a="1"/>
  <c r="AA7" i="33" s="1"/>
  <c r="Z7" i="33" a="1"/>
  <c r="Z7" i="33" s="1"/>
  <c r="Z27" i="33" s="1"/>
  <c r="U7" i="33"/>
  <c r="J19" i="58"/>
  <c r="T19" i="36" a="1"/>
  <c r="R19" i="36" a="1"/>
  <c r="X19" i="36" a="1"/>
  <c r="G19" i="36" a="1"/>
  <c r="K19" i="36" a="1"/>
  <c r="M19" i="36" a="1"/>
  <c r="I19" i="36" a="1"/>
  <c r="AE12" i="36" a="1"/>
  <c r="N12" i="36" a="1"/>
  <c r="H12" i="36" a="1"/>
  <c r="G12" i="36" a="1"/>
  <c r="K12" i="36" a="1"/>
  <c r="Q12" i="36" a="1"/>
  <c r="AG12" i="36" a="1"/>
  <c r="J9" i="36" a="1"/>
  <c r="H9" i="36" a="1"/>
  <c r="N9" i="36" a="1"/>
  <c r="F9" i="36" a="1"/>
  <c r="T9" i="36" a="1"/>
  <c r="L9" i="36" a="1"/>
  <c r="G9" i="36" a="1"/>
  <c r="AF17" i="36" a="1"/>
  <c r="F17" i="36" a="1"/>
  <c r="Q17" i="36" a="1"/>
  <c r="N17" i="36" a="1"/>
  <c r="S17" i="36" a="1"/>
  <c r="AG17" i="36" a="1"/>
  <c r="K17" i="36" a="1"/>
  <c r="T21" i="36" a="1"/>
  <c r="Q21" i="36" a="1"/>
  <c r="J21" i="36" a="1"/>
  <c r="N21" i="36" a="1"/>
  <c r="AF21" i="36" a="1"/>
  <c r="H21" i="36" a="1"/>
  <c r="I21" i="36" a="1"/>
  <c r="T6" i="36" a="1"/>
  <c r="V6" i="36" a="1"/>
  <c r="H6" i="36" a="1"/>
  <c r="F6" i="36" a="1"/>
  <c r="AF6" i="36" a="1"/>
  <c r="AB6" i="36" a="1"/>
  <c r="G6" i="36" a="1"/>
  <c r="E25" i="36" a="1"/>
  <c r="X25" i="36" a="1"/>
  <c r="AE25" i="36" a="1"/>
  <c r="Z25" i="36" a="1"/>
  <c r="V25" i="36" a="1"/>
  <c r="W25" i="36" a="1"/>
  <c r="Y25" i="36" a="1"/>
  <c r="X14" i="36" a="1"/>
  <c r="F14" i="36" a="1"/>
  <c r="H14" i="36" a="1"/>
  <c r="R14" i="36" a="1"/>
  <c r="S14" i="36" a="1"/>
  <c r="AG14" i="36" a="1"/>
  <c r="AC14" i="36" a="1"/>
  <c r="Z23" i="36" a="1"/>
  <c r="AF23" i="36" a="1"/>
  <c r="Y23" i="36" a="1"/>
  <c r="X23" i="36" a="1"/>
  <c r="F23" i="36" a="1"/>
  <c r="T23" i="36" a="1"/>
  <c r="L23" i="36" a="1"/>
  <c r="E7" i="36" a="1"/>
  <c r="H7" i="36" a="1"/>
  <c r="T7" i="36" a="1"/>
  <c r="AF7" i="36" a="1"/>
  <c r="O7" i="36" a="1"/>
  <c r="N7" i="36" a="1"/>
  <c r="AA7" i="36" a="1"/>
  <c r="W20" i="36" a="1"/>
  <c r="L20" i="36" a="1"/>
  <c r="AD20" i="36" a="1"/>
  <c r="K20" i="36" a="1"/>
  <c r="O20" i="36" a="1"/>
  <c r="M20" i="36" a="1"/>
  <c r="AF20" i="36" a="1"/>
  <c r="D48" i="31" a="1"/>
  <c r="W8" i="36" a="1"/>
  <c r="E8" i="36" a="1"/>
  <c r="G8" i="36" a="1"/>
  <c r="X8" i="36" a="1"/>
  <c r="L8" i="36" a="1"/>
  <c r="V8" i="36" a="1"/>
  <c r="H8" i="36" a="1"/>
  <c r="AC19" i="36" a="1"/>
  <c r="AD19" i="36" a="1"/>
  <c r="V19" i="36" a="1"/>
  <c r="O19" i="36" a="1"/>
  <c r="Y19" i="36" a="1"/>
  <c r="S19" i="36" a="1"/>
  <c r="Q19" i="36" a="1"/>
  <c r="AD12" i="36" a="1"/>
  <c r="E12" i="36" a="1"/>
  <c r="AB12" i="36" a="1"/>
  <c r="V12" i="36" a="1"/>
  <c r="AC12" i="36" a="1"/>
  <c r="I12" i="36" a="1"/>
  <c r="R12" i="36" a="1"/>
  <c r="L48" i="31" a="1"/>
  <c r="V9" i="36" a="1"/>
  <c r="Y9" i="36" a="1"/>
  <c r="AF9" i="36" a="1"/>
  <c r="AG9" i="36" a="1"/>
  <c r="I9" i="36" a="1"/>
  <c r="S9" i="36" a="1"/>
  <c r="E9" i="36" a="1"/>
  <c r="F47" i="31" a="1"/>
  <c r="D17" i="36" a="1"/>
  <c r="AB17" i="36" a="1"/>
  <c r="I17" i="36" a="1"/>
  <c r="Z17" i="36" a="1"/>
  <c r="W17" i="36" a="1"/>
  <c r="R17" i="36" a="1"/>
  <c r="Y17" i="36" a="1"/>
  <c r="D43" i="31" a="1"/>
  <c r="AE21" i="36" a="1"/>
  <c r="K21" i="36" a="1"/>
  <c r="S21" i="36" a="1"/>
  <c r="AG21" i="36" a="1"/>
  <c r="AB21" i="36" a="1"/>
  <c r="L21" i="36" a="1"/>
  <c r="Y21" i="36" a="1"/>
  <c r="E6" i="36" a="1"/>
  <c r="Q6" i="36" a="1"/>
  <c r="R6" i="36" a="1"/>
  <c r="Y6" i="36" a="1"/>
  <c r="X6" i="36" a="1"/>
  <c r="M6" i="36" a="1"/>
  <c r="D6" i="36" a="1"/>
  <c r="S25" i="36" a="1"/>
  <c r="Q25" i="36" a="1"/>
  <c r="K25" i="36" a="1"/>
  <c r="D25" i="36"/>
  <c r="M25" i="36" a="1"/>
  <c r="AF25" i="36" a="1"/>
  <c r="F25" i="36" a="1"/>
  <c r="I14" i="36" a="1"/>
  <c r="O14" i="36" a="1"/>
  <c r="L14" i="36" a="1"/>
  <c r="AA14" i="36" a="1"/>
  <c r="N14" i="36" a="1"/>
  <c r="AB14" i="36" a="1"/>
  <c r="AE14" i="36" a="1"/>
  <c r="W23" i="36" a="1"/>
  <c r="K23" i="36" a="1"/>
  <c r="I23" i="36" a="1"/>
  <c r="AA23" i="36" a="1"/>
  <c r="AD23" i="36" a="1"/>
  <c r="R23" i="36" a="1"/>
  <c r="AG23" i="36" a="1"/>
  <c r="J19" i="36" a="1"/>
  <c r="AB19" i="36" a="1"/>
  <c r="H19" i="36" a="1"/>
  <c r="L19" i="36" a="1"/>
  <c r="AG19" i="36" a="1"/>
  <c r="AE19" i="36" a="1"/>
  <c r="AF19" i="36" a="1"/>
  <c r="D42" i="31" a="1"/>
  <c r="AA12" i="36" a="1"/>
  <c r="F12" i="36" a="1"/>
  <c r="S12" i="36" a="1"/>
  <c r="Z12" i="36" a="1"/>
  <c r="L12" i="36" a="1"/>
  <c r="J12" i="36" a="1"/>
  <c r="D12" i="36" a="1"/>
  <c r="N48" i="31" a="1"/>
  <c r="K9" i="36" a="1"/>
  <c r="Z9" i="36" a="1"/>
  <c r="O9" i="36" a="1"/>
  <c r="AB9" i="36" a="1"/>
  <c r="M9" i="36" a="1"/>
  <c r="AA9" i="36" a="1"/>
  <c r="AD9" i="36" a="1"/>
  <c r="J17" i="36" a="1"/>
  <c r="M17" i="36" a="1"/>
  <c r="AC17" i="36" a="1"/>
  <c r="AE17" i="36" a="1"/>
  <c r="AA17" i="36" a="1"/>
  <c r="G17" i="36" a="1"/>
  <c r="L17" i="36" a="1"/>
  <c r="N52" i="31" a="1"/>
  <c r="W21" i="36" a="1"/>
  <c r="V21" i="36" a="1"/>
  <c r="AC21" i="36" a="1"/>
  <c r="AA21" i="36" a="1"/>
  <c r="G21" i="36" a="1"/>
  <c r="E21" i="36" a="1"/>
  <c r="X21" i="36" a="1"/>
  <c r="AD6" i="36" a="1"/>
  <c r="AE6" i="36" a="1"/>
  <c r="I6" i="36" a="1"/>
  <c r="W6" i="36" a="1"/>
  <c r="L6" i="36" a="1"/>
  <c r="AC6" i="36" a="1"/>
  <c r="S6" i="36" a="1"/>
  <c r="J25" i="36" a="1"/>
  <c r="L25" i="36" a="1"/>
  <c r="R25" i="36" a="1"/>
  <c r="AG25" i="36" a="1"/>
  <c r="O25" i="36" a="1"/>
  <c r="N25" i="36" a="1"/>
  <c r="T25" i="36" a="1"/>
  <c r="K14" i="36" a="1"/>
  <c r="E14" i="36" a="1"/>
  <c r="V14" i="36" a="1"/>
  <c r="T14" i="36" a="1"/>
  <c r="Y14" i="36" a="1"/>
  <c r="Q14" i="36" a="1"/>
  <c r="W14" i="36" a="1"/>
  <c r="M23" i="36" a="1"/>
  <c r="G23" i="36" a="1"/>
  <c r="D23" i="36" a="1"/>
  <c r="V23" i="36" a="1"/>
  <c r="Q23" i="36" a="1"/>
  <c r="O23" i="36" a="1"/>
  <c r="AE23" i="36" a="1"/>
  <c r="Z19" i="36" a="1"/>
  <c r="W19" i="36" a="1"/>
  <c r="AA19" i="36" a="1"/>
  <c r="E19" i="36" a="1"/>
  <c r="N19" i="36" a="1"/>
  <c r="D19" i="36" a="1"/>
  <c r="F19" i="36" a="1"/>
  <c r="D38" i="31" a="1"/>
  <c r="AF12" i="36" a="1"/>
  <c r="M12" i="36" a="1"/>
  <c r="Y12" i="36" a="1"/>
  <c r="T12" i="36" a="1"/>
  <c r="O12" i="36" a="1"/>
  <c r="X12" i="36" a="1"/>
  <c r="W12" i="36" a="1"/>
  <c r="D54" i="31" a="1"/>
  <c r="X9" i="36" a="1"/>
  <c r="D9" i="36" a="1"/>
  <c r="Q9" i="36" a="1"/>
  <c r="AE9" i="36" a="1"/>
  <c r="AC9" i="36" a="1"/>
  <c r="W9" i="36" a="1"/>
  <c r="R9" i="36" a="1"/>
  <c r="AD17" i="36" a="1"/>
  <c r="T17" i="36" a="1"/>
  <c r="E17" i="36" a="1"/>
  <c r="X17" i="36" a="1"/>
  <c r="V17" i="36" a="1"/>
  <c r="O17" i="36" a="1"/>
  <c r="H17" i="36" a="1"/>
  <c r="L46" i="31" a="1"/>
  <c r="AD21" i="36" a="1"/>
  <c r="M21" i="36" a="1"/>
  <c r="F21" i="36" a="1"/>
  <c r="Z21" i="36" a="1"/>
  <c r="O21" i="36" a="1"/>
  <c r="D21" i="36" a="1"/>
  <c r="R21" i="36" a="1"/>
  <c r="AA6" i="36" a="1"/>
  <c r="J6" i="36" a="1"/>
  <c r="K6" i="36" a="1"/>
  <c r="Z6" i="36" a="1"/>
  <c r="N6" i="36" a="1"/>
  <c r="AG6" i="36" a="1"/>
  <c r="O6" i="36" a="1"/>
  <c r="G25" i="36" a="1"/>
  <c r="AD25" i="36" a="1"/>
  <c r="I25" i="36" a="1"/>
  <c r="AA25" i="36" a="1"/>
  <c r="AB25" i="36" a="1"/>
  <c r="AC25" i="36" a="1"/>
  <c r="H25" i="36" a="1"/>
  <c r="J14" i="36" a="1"/>
  <c r="D14" i="36" a="1"/>
  <c r="AF14" i="36" a="1"/>
  <c r="G14" i="36" a="1"/>
  <c r="Z14" i="36" a="1"/>
  <c r="M14" i="36" a="1"/>
  <c r="AD14" i="36" a="1"/>
  <c r="H23" i="36" a="1"/>
  <c r="J23" i="36" a="1"/>
  <c r="AB23" i="36" a="1"/>
  <c r="E23" i="36" a="1"/>
  <c r="N23" i="36" a="1"/>
  <c r="S23" i="36" a="1"/>
  <c r="AC23" i="36" a="1"/>
  <c r="F54" i="31" a="1"/>
  <c r="Z7" i="36" a="1"/>
  <c r="AE7" i="36" a="1"/>
  <c r="W7" i="36" a="1"/>
  <c r="X7" i="36" a="1"/>
  <c r="M7" i="36" a="1"/>
  <c r="AB20" i="36" a="1"/>
  <c r="N20" i="36" a="1"/>
  <c r="AE20" i="36" a="1"/>
  <c r="F20" i="36" a="1"/>
  <c r="D20" i="36" a="1"/>
  <c r="T8" i="36" a="1"/>
  <c r="J8" i="36" a="1"/>
  <c r="AD8" i="36" a="1"/>
  <c r="F8" i="36" a="1"/>
  <c r="AE8" i="36" a="1"/>
  <c r="J22" i="36" a="1"/>
  <c r="K22" i="36" a="1"/>
  <c r="D22" i="36" a="1"/>
  <c r="W22" i="36" a="1"/>
  <c r="E22" i="36" a="1"/>
  <c r="AD22" i="36" a="1"/>
  <c r="I22" i="36" a="1"/>
  <c r="I16" i="36" a="1"/>
  <c r="AD16" i="36" a="1"/>
  <c r="F16" i="36" a="1"/>
  <c r="M16" i="36" a="1"/>
  <c r="L16" i="36" a="1"/>
  <c r="T16" i="36" a="1"/>
  <c r="D16" i="36" a="1"/>
  <c r="F41" i="31" a="1"/>
  <c r="D39" i="31" a="1"/>
  <c r="V24" i="36" a="1"/>
  <c r="H24" i="36" a="1"/>
  <c r="G24" i="36" a="1"/>
  <c r="L24" i="36" a="1"/>
  <c r="Y24" i="36" a="1"/>
  <c r="AC24" i="36" a="1"/>
  <c r="Q24" i="36" a="1"/>
  <c r="S11" i="36" a="1"/>
  <c r="J11" i="36" a="1"/>
  <c r="AF11" i="36" a="1"/>
  <c r="AA11" i="36" a="1"/>
  <c r="H11" i="36" a="1"/>
  <c r="O11" i="36" a="1"/>
  <c r="N11" i="36" a="1"/>
  <c r="W18" i="36" a="1"/>
  <c r="D18" i="36" a="1"/>
  <c r="Z18" i="36" a="1"/>
  <c r="K18" i="36" a="1"/>
  <c r="AB18" i="36" a="1"/>
  <c r="X18" i="36" a="1"/>
  <c r="N18" i="36" a="1"/>
  <c r="Q10" i="36" a="1"/>
  <c r="Y10" i="36" a="1"/>
  <c r="AA10" i="36" a="1"/>
  <c r="M10" i="36" a="1"/>
  <c r="K10" i="36" a="1"/>
  <c r="AD10" i="36" a="1"/>
  <c r="T10" i="36" a="1"/>
  <c r="AG13" i="36" a="1"/>
  <c r="AA13" i="36" a="1"/>
  <c r="AF13" i="36" a="1"/>
  <c r="Z13" i="36" a="1"/>
  <c r="G13" i="36" a="1"/>
  <c r="D13" i="36" a="1"/>
  <c r="E13" i="36" a="1"/>
  <c r="Y15" i="36" a="1"/>
  <c r="O15" i="36" a="1"/>
  <c r="G15" i="36" a="1"/>
  <c r="E15" i="36" a="1"/>
  <c r="AE15" i="36" a="1"/>
  <c r="AG15" i="36" a="1"/>
  <c r="J15" i="36" a="1"/>
  <c r="H10" i="36" a="1"/>
  <c r="X10" i="36" a="1"/>
  <c r="S10" i="36" a="1"/>
  <c r="J10" i="36" a="1"/>
  <c r="D10" i="36" a="1"/>
  <c r="I10" i="36" a="1"/>
  <c r="E10" i="36" a="1"/>
  <c r="F43" i="31" a="1"/>
  <c r="N42" i="31" a="1"/>
  <c r="Q7" i="36" a="1"/>
  <c r="AC7" i="36" a="1"/>
  <c r="I7" i="36" a="1"/>
  <c r="J7" i="36" a="1"/>
  <c r="L7" i="36" a="1"/>
  <c r="H20" i="36" a="1"/>
  <c r="AC20" i="36" a="1"/>
  <c r="G20" i="36" a="1"/>
  <c r="T20" i="36" a="1"/>
  <c r="X20" i="36" a="1"/>
  <c r="Y8" i="36" a="1"/>
  <c r="AF8" i="36" a="1"/>
  <c r="R8" i="36" a="1"/>
  <c r="M8" i="36" a="1"/>
  <c r="Q8" i="36" a="1"/>
  <c r="N22" i="36" a="1"/>
  <c r="AG22" i="36" a="1"/>
  <c r="S22" i="36" a="1"/>
  <c r="Y22" i="36" a="1"/>
  <c r="H22" i="36" a="1"/>
  <c r="Q22" i="36" a="1"/>
  <c r="AE22" i="36" a="1"/>
  <c r="H16" i="36" a="1"/>
  <c r="J16" i="36" a="1"/>
  <c r="AC16" i="36" a="1"/>
  <c r="R16" i="36" a="1"/>
  <c r="S16" i="36" a="1"/>
  <c r="V16" i="36" a="1"/>
  <c r="Y16" i="36" a="1"/>
  <c r="AG24" i="36" a="1"/>
  <c r="R24" i="36" a="1"/>
  <c r="W24" i="36" a="1"/>
  <c r="AE24" i="36" a="1"/>
  <c r="M24" i="36" a="1"/>
  <c r="E24" i="36" a="1"/>
  <c r="X24" i="36" a="1"/>
  <c r="G11" i="36" a="1"/>
  <c r="I11" i="36" a="1"/>
  <c r="V11" i="36" a="1"/>
  <c r="Q11" i="36" a="1"/>
  <c r="AB11" i="36" a="1"/>
  <c r="AD11" i="36" a="1"/>
  <c r="Z11" i="36" a="1"/>
  <c r="AE18" i="36" a="1"/>
  <c r="R18" i="36" a="1"/>
  <c r="T18" i="36" a="1"/>
  <c r="E18" i="36" a="1"/>
  <c r="AD18" i="36" a="1"/>
  <c r="Q18" i="36" a="1"/>
  <c r="AF18" i="36" a="1"/>
  <c r="D47" i="31" a="1"/>
  <c r="AG10" i="36" a="1"/>
  <c r="F10" i="36" a="1"/>
  <c r="AB10" i="36" a="1"/>
  <c r="Z10" i="36" a="1"/>
  <c r="V10" i="36" a="1"/>
  <c r="AC10" i="36" a="1"/>
  <c r="AE10" i="36" a="1"/>
  <c r="X13" i="36" a="1"/>
  <c r="F13" i="36" a="1"/>
  <c r="J13" i="36" a="1"/>
  <c r="W13" i="36" a="1"/>
  <c r="H13" i="36" a="1"/>
  <c r="Y13" i="36" a="1"/>
  <c r="Q13" i="36" a="1"/>
  <c r="S15" i="36" a="1"/>
  <c r="D15" i="36" a="1"/>
  <c r="Q15" i="36" a="1"/>
  <c r="F15" i="36" a="1"/>
  <c r="N15" i="36" a="1"/>
  <c r="Z15" i="36" a="1"/>
  <c r="W15" i="36" a="1"/>
  <c r="W16" i="36" a="1"/>
  <c r="AA16" i="36" a="1"/>
  <c r="N16" i="36" a="1"/>
  <c r="G16" i="36" a="1"/>
  <c r="Z16" i="36" a="1"/>
  <c r="AB16" i="36" a="1"/>
  <c r="Q16" i="36" a="1"/>
  <c r="D41" i="31" a="1"/>
  <c r="L41" i="31" a="1"/>
  <c r="D24" i="36" a="1"/>
  <c r="Z24" i="36" a="1"/>
  <c r="S24" i="36" a="1"/>
  <c r="AD24" i="36" a="1"/>
  <c r="K24" i="36" a="1"/>
  <c r="J24" i="36" a="1"/>
  <c r="T24" i="36" a="1"/>
  <c r="L11" i="36" a="1"/>
  <c r="Y11" i="36" a="1"/>
  <c r="E11" i="36" a="1"/>
  <c r="K11" i="36" a="1"/>
  <c r="R11" i="36" a="1"/>
  <c r="F11" i="36" a="1"/>
  <c r="AC11" i="36" a="1"/>
  <c r="AC18" i="36" a="1"/>
  <c r="Y18" i="36" a="1"/>
  <c r="H18" i="36" a="1"/>
  <c r="O18" i="36" a="1"/>
  <c r="I18" i="36" a="1"/>
  <c r="M18" i="36" a="1"/>
  <c r="V18" i="36" a="1"/>
  <c r="Y7" i="36" a="1"/>
  <c r="G7" i="36" a="1"/>
  <c r="AB7" i="36" a="1"/>
  <c r="F7" i="36" a="1"/>
  <c r="AD7" i="36" a="1"/>
  <c r="R20" i="36" a="1"/>
  <c r="AA20" i="36" a="1"/>
  <c r="Y20" i="36" a="1"/>
  <c r="Z20" i="36" a="1"/>
  <c r="S20" i="36" a="1"/>
  <c r="E20" i="36" a="1"/>
  <c r="S8" i="36" a="1"/>
  <c r="AG8" i="36" a="1"/>
  <c r="O8" i="36" a="1"/>
  <c r="I8" i="36" a="1"/>
  <c r="AB8" i="36" a="1"/>
  <c r="R22" i="36" a="1"/>
  <c r="F22" i="36" a="1"/>
  <c r="AF22" i="36" a="1"/>
  <c r="V22" i="36" a="1"/>
  <c r="AA22" i="36" a="1"/>
  <c r="AB22" i="36" a="1"/>
  <c r="O22" i="36" a="1"/>
  <c r="F44" i="31" a="1"/>
  <c r="E16" i="36" a="1"/>
  <c r="AF16" i="36" a="1"/>
  <c r="AG16" i="36" a="1"/>
  <c r="AE16" i="36" a="1"/>
  <c r="K16" i="36" a="1"/>
  <c r="X16" i="36" a="1"/>
  <c r="O16" i="36" a="1"/>
  <c r="N44" i="31" a="1"/>
  <c r="O24" i="36" a="1"/>
  <c r="N24" i="36" a="1"/>
  <c r="I24" i="36" a="1"/>
  <c r="AF24" i="36" a="1"/>
  <c r="F24" i="36" a="1"/>
  <c r="AB24" i="36" a="1"/>
  <c r="AA24" i="36" a="1"/>
  <c r="AG11" i="36" a="1"/>
  <c r="W11" i="36" a="1"/>
  <c r="D11" i="36" a="1"/>
  <c r="T11" i="36" a="1"/>
  <c r="X11" i="36" a="1"/>
  <c r="M11" i="36" a="1"/>
  <c r="AE11" i="36" a="1"/>
  <c r="L18" i="36" a="1"/>
  <c r="J18" i="36" a="1"/>
  <c r="AA18" i="36" a="1"/>
  <c r="AG18" i="36" a="1"/>
  <c r="S18" i="36" a="1"/>
  <c r="F18" i="36" a="1"/>
  <c r="G18" i="36" a="1"/>
  <c r="N10" i="36" a="1"/>
  <c r="AF10" i="36" a="1"/>
  <c r="G10" i="36" a="1"/>
  <c r="R10" i="36" a="1"/>
  <c r="L10" i="36" a="1"/>
  <c r="W10" i="36" a="1"/>
  <c r="O10" i="36" a="1"/>
  <c r="AC13" i="36" a="1"/>
  <c r="M13" i="36" a="1"/>
  <c r="O13" i="36" a="1"/>
  <c r="K13" i="36" a="1"/>
  <c r="AB13" i="36" a="1"/>
  <c r="V13" i="36" a="1"/>
  <c r="T13" i="36" a="1"/>
  <c r="I15" i="36" a="1"/>
  <c r="AC15" i="36" a="1"/>
  <c r="K15" i="36" a="1"/>
  <c r="L15" i="36" a="1"/>
  <c r="H15" i="36" a="1"/>
  <c r="AD15" i="36" a="1"/>
  <c r="AA15" i="36" a="1"/>
  <c r="D7" i="36" a="1"/>
  <c r="R7" i="36" a="1"/>
  <c r="S7" i="36" a="1"/>
  <c r="V7" i="36" a="1"/>
  <c r="K7" i="36" a="1"/>
  <c r="AG7" i="36" a="1"/>
  <c r="AG20" i="36" a="1"/>
  <c r="V20" i="36" a="1"/>
  <c r="J20" i="36" a="1"/>
  <c r="I20" i="36" a="1"/>
  <c r="Q20" i="36" a="1"/>
  <c r="AC8" i="36" a="1"/>
  <c r="N8" i="36" a="1"/>
  <c r="D8" i="36" a="1"/>
  <c r="Z8" i="36" a="1"/>
  <c r="K8" i="36" a="1"/>
  <c r="AA8" i="36" a="1"/>
  <c r="M22" i="36" a="1"/>
  <c r="Z22" i="36" a="1"/>
  <c r="L22" i="36" a="1"/>
  <c r="AC22" i="36" a="1"/>
  <c r="G22" i="36" a="1"/>
  <c r="X22" i="36" a="1"/>
  <c r="T22" i="36" a="1"/>
  <c r="N13" i="36" a="1"/>
  <c r="I13" i="36" a="1"/>
  <c r="S13" i="36" a="1"/>
  <c r="AD13" i="36" a="1"/>
  <c r="AE13" i="36" a="1"/>
  <c r="L13" i="36" a="1"/>
  <c r="R13" i="36" a="1"/>
  <c r="X15" i="36" a="1"/>
  <c r="M15" i="36" a="1"/>
  <c r="R15" i="36" a="1"/>
  <c r="T15" i="36" a="1"/>
  <c r="V15" i="36" a="1"/>
  <c r="AF15" i="36" a="1"/>
  <c r="AB15" i="36" a="1"/>
  <c r="X34" i="35" l="1"/>
  <c r="T34" i="35"/>
  <c r="V34" i="35"/>
  <c r="F31" i="33"/>
  <c r="H28" i="32"/>
  <c r="E31" i="33"/>
  <c r="K30" i="35"/>
  <c r="J30" i="35" s="1"/>
  <c r="Y24" i="35"/>
  <c r="T24" i="35" s="1"/>
  <c r="E41" i="35"/>
  <c r="F41" i="35" s="1"/>
  <c r="G31" i="33"/>
  <c r="K27" i="35"/>
  <c r="T25" i="35"/>
  <c r="H53" i="31"/>
  <c r="Y26" i="35"/>
  <c r="X26" i="35" s="1"/>
  <c r="H31" i="33"/>
  <c r="Q26" i="35"/>
  <c r="R26" i="35"/>
  <c r="AB15" i="36"/>
  <c r="AF15" i="36"/>
  <c r="V15" i="36"/>
  <c r="T15" i="36"/>
  <c r="R15" i="36"/>
  <c r="M15" i="36"/>
  <c r="X15" i="36"/>
  <c r="R13" i="36"/>
  <c r="L13" i="36"/>
  <c r="AE13" i="36"/>
  <c r="AD13" i="36"/>
  <c r="S13" i="36"/>
  <c r="I13" i="36"/>
  <c r="N13" i="36"/>
  <c r="T22" i="36"/>
  <c r="X22" i="36"/>
  <c r="G22" i="36"/>
  <c r="AC22" i="36"/>
  <c r="L22" i="36"/>
  <c r="Z22" i="36"/>
  <c r="M22" i="36"/>
  <c r="AA8" i="36"/>
  <c r="K8" i="36"/>
  <c r="Z8" i="36"/>
  <c r="D8" i="36"/>
  <c r="N8" i="36"/>
  <c r="AC8" i="36"/>
  <c r="Q20" i="36"/>
  <c r="I20" i="36"/>
  <c r="J20" i="36"/>
  <c r="V20" i="36"/>
  <c r="AG20" i="36"/>
  <c r="AG7" i="36"/>
  <c r="K7" i="36"/>
  <c r="V7" i="36"/>
  <c r="S7" i="36"/>
  <c r="R7" i="36"/>
  <c r="D7" i="36"/>
  <c r="AA15" i="36"/>
  <c r="AD15" i="36"/>
  <c r="H15" i="36"/>
  <c r="L15" i="36"/>
  <c r="K15" i="36"/>
  <c r="AC15" i="36"/>
  <c r="I15" i="36"/>
  <c r="T13" i="36"/>
  <c r="V13" i="36"/>
  <c r="AB13" i="36"/>
  <c r="K13" i="36"/>
  <c r="O13" i="36"/>
  <c r="M13" i="36"/>
  <c r="AC13" i="36"/>
  <c r="O10" i="36"/>
  <c r="W10" i="36"/>
  <c r="L10" i="36"/>
  <c r="R10" i="36"/>
  <c r="G10" i="36"/>
  <c r="AF10" i="36"/>
  <c r="N10" i="36"/>
  <c r="G18" i="36"/>
  <c r="F18" i="36"/>
  <c r="S18" i="36"/>
  <c r="AG18" i="36"/>
  <c r="AA18" i="36"/>
  <c r="J18" i="36"/>
  <c r="L18" i="36"/>
  <c r="AE11" i="36"/>
  <c r="M11" i="36"/>
  <c r="X11" i="36"/>
  <c r="T11" i="36"/>
  <c r="D11" i="36"/>
  <c r="W11" i="36"/>
  <c r="AG11" i="36"/>
  <c r="AA24" i="36"/>
  <c r="AB24" i="36"/>
  <c r="F24" i="36"/>
  <c r="AF24" i="36"/>
  <c r="I24" i="36"/>
  <c r="N24" i="36"/>
  <c r="O24" i="36"/>
  <c r="N44" i="31"/>
  <c r="O16" i="36"/>
  <c r="X16" i="36"/>
  <c r="K16" i="36"/>
  <c r="AE16" i="36"/>
  <c r="AG16" i="36"/>
  <c r="AF16" i="36"/>
  <c r="E16" i="36"/>
  <c r="F44" i="31"/>
  <c r="O22" i="36"/>
  <c r="AB22" i="36"/>
  <c r="AA22" i="36"/>
  <c r="V22" i="36"/>
  <c r="AF22" i="36"/>
  <c r="F22" i="36"/>
  <c r="R22" i="36"/>
  <c r="AB8" i="36"/>
  <c r="I8" i="36"/>
  <c r="O8" i="36"/>
  <c r="AG8" i="36"/>
  <c r="S8" i="36"/>
  <c r="E20" i="36"/>
  <c r="S20" i="36"/>
  <c r="Z20" i="36"/>
  <c r="Y20" i="36"/>
  <c r="AA20" i="36"/>
  <c r="R20" i="36"/>
  <c r="AD7" i="36"/>
  <c r="F7" i="36"/>
  <c r="AB7" i="36"/>
  <c r="G7" i="36"/>
  <c r="Y7" i="36"/>
  <c r="V18" i="36"/>
  <c r="M18" i="36"/>
  <c r="I18" i="36"/>
  <c r="O18" i="36"/>
  <c r="H18" i="36"/>
  <c r="Y18" i="36"/>
  <c r="AC18" i="36"/>
  <c r="AC11" i="36"/>
  <c r="F11" i="36"/>
  <c r="R11" i="36"/>
  <c r="K11" i="36"/>
  <c r="E11" i="36"/>
  <c r="Y11" i="36"/>
  <c r="L11" i="36"/>
  <c r="T24" i="36"/>
  <c r="J24" i="36"/>
  <c r="K24" i="36"/>
  <c r="AD24" i="36"/>
  <c r="S24" i="36"/>
  <c r="Z24" i="36"/>
  <c r="D24" i="36"/>
  <c r="L41" i="31"/>
  <c r="D41" i="31"/>
  <c r="Q16" i="36"/>
  <c r="AB16" i="36"/>
  <c r="Z16" i="36"/>
  <c r="G16" i="36"/>
  <c r="N16" i="36"/>
  <c r="AA16" i="36"/>
  <c r="W16" i="36"/>
  <c r="W15" i="36"/>
  <c r="Z15" i="36"/>
  <c r="N15" i="36"/>
  <c r="F15" i="36"/>
  <c r="Q15" i="36"/>
  <c r="D15" i="36"/>
  <c r="S15" i="36"/>
  <c r="Q13" i="36"/>
  <c r="Y13" i="36"/>
  <c r="H13" i="36"/>
  <c r="W13" i="36"/>
  <c r="J13" i="36"/>
  <c r="F13" i="36"/>
  <c r="X13" i="36"/>
  <c r="AE10" i="36"/>
  <c r="AC10" i="36"/>
  <c r="V10" i="36"/>
  <c r="Z10" i="36"/>
  <c r="AB10" i="36"/>
  <c r="F10" i="36"/>
  <c r="AG10" i="36"/>
  <c r="D47" i="31"/>
  <c r="AF18" i="36"/>
  <c r="Q18" i="36"/>
  <c r="AD18" i="36"/>
  <c r="E18" i="36"/>
  <c r="T18" i="36"/>
  <c r="R18" i="36"/>
  <c r="AE18" i="36"/>
  <c r="Z11" i="36"/>
  <c r="AD11" i="36"/>
  <c r="AB11" i="36"/>
  <c r="Q11" i="36"/>
  <c r="V11" i="36"/>
  <c r="I11" i="36"/>
  <c r="G11" i="36"/>
  <c r="X24" i="36"/>
  <c r="E24" i="36"/>
  <c r="M24" i="36"/>
  <c r="AE24" i="36"/>
  <c r="W24" i="36"/>
  <c r="R24" i="36"/>
  <c r="AG24" i="36"/>
  <c r="Y16" i="36"/>
  <c r="V16" i="36"/>
  <c r="S16" i="36"/>
  <c r="R16" i="36"/>
  <c r="AC16" i="36"/>
  <c r="J16" i="36"/>
  <c r="H16" i="36"/>
  <c r="AE22" i="36"/>
  <c r="Q22" i="36"/>
  <c r="H22" i="36"/>
  <c r="Y22" i="36"/>
  <c r="S22" i="36"/>
  <c r="AG22" i="36"/>
  <c r="N22" i="36"/>
  <c r="Q8" i="36"/>
  <c r="M8" i="36"/>
  <c r="R8" i="36"/>
  <c r="AF8" i="36"/>
  <c r="Y8" i="36"/>
  <c r="X20" i="36"/>
  <c r="T20" i="36"/>
  <c r="G20" i="36"/>
  <c r="AC20" i="36"/>
  <c r="H20" i="36"/>
  <c r="L7" i="36"/>
  <c r="J7" i="36"/>
  <c r="I7" i="36"/>
  <c r="AC7" i="36"/>
  <c r="Q7" i="36"/>
  <c r="N42" i="31"/>
  <c r="V42" i="31" s="1"/>
  <c r="F43" i="31"/>
  <c r="E10" i="36"/>
  <c r="I10" i="36"/>
  <c r="D10" i="36"/>
  <c r="J10" i="36"/>
  <c r="S10" i="36"/>
  <c r="X10" i="36"/>
  <c r="H10" i="36"/>
  <c r="J15" i="36"/>
  <c r="AG15" i="36"/>
  <c r="AE15" i="36"/>
  <c r="E15" i="36"/>
  <c r="G15" i="36"/>
  <c r="O15" i="36"/>
  <c r="Y15" i="36"/>
  <c r="E13" i="36"/>
  <c r="D13" i="36"/>
  <c r="G13" i="36"/>
  <c r="Z13" i="36"/>
  <c r="AF13" i="36"/>
  <c r="AA13" i="36"/>
  <c r="AG13" i="36"/>
  <c r="T10" i="36"/>
  <c r="AD10" i="36"/>
  <c r="K10" i="36"/>
  <c r="M10" i="36"/>
  <c r="AA10" i="36"/>
  <c r="Y10" i="36"/>
  <c r="Q10" i="36"/>
  <c r="N18" i="36"/>
  <c r="X18" i="36"/>
  <c r="AB18" i="36"/>
  <c r="K18" i="36"/>
  <c r="Z18" i="36"/>
  <c r="D18" i="36"/>
  <c r="W18" i="36"/>
  <c r="N11" i="36"/>
  <c r="O11" i="36"/>
  <c r="H11" i="36"/>
  <c r="AA11" i="36"/>
  <c r="AF11" i="36"/>
  <c r="J11" i="36"/>
  <c r="S11" i="36"/>
  <c r="Q24" i="36"/>
  <c r="AC24" i="36"/>
  <c r="Y24" i="36"/>
  <c r="L24" i="36"/>
  <c r="G24" i="36"/>
  <c r="H24" i="36"/>
  <c r="V24" i="36"/>
  <c r="D39" i="31"/>
  <c r="H39" i="31" s="1"/>
  <c r="F41" i="31"/>
  <c r="D16" i="36"/>
  <c r="T16" i="36"/>
  <c r="L16" i="36"/>
  <c r="M16" i="36"/>
  <c r="F16" i="36"/>
  <c r="AD16" i="36"/>
  <c r="I16" i="36"/>
  <c r="I22" i="36"/>
  <c r="AD22" i="36"/>
  <c r="E22" i="36"/>
  <c r="W22" i="36"/>
  <c r="D22" i="36"/>
  <c r="K22" i="36"/>
  <c r="J22" i="36"/>
  <c r="AE8" i="36"/>
  <c r="F8" i="36"/>
  <c r="AD8" i="36"/>
  <c r="J8" i="36"/>
  <c r="T8" i="36"/>
  <c r="D20" i="36"/>
  <c r="F20" i="36"/>
  <c r="AE20" i="36"/>
  <c r="N20" i="36"/>
  <c r="AB20" i="36"/>
  <c r="M7" i="36"/>
  <c r="X7" i="36"/>
  <c r="W7" i="36"/>
  <c r="AE7" i="36"/>
  <c r="Z7" i="36"/>
  <c r="F54" i="31"/>
  <c r="AC23" i="36"/>
  <c r="S23" i="36"/>
  <c r="N23" i="36"/>
  <c r="E23" i="36"/>
  <c r="AB23" i="36"/>
  <c r="J23" i="36"/>
  <c r="H23" i="36"/>
  <c r="AD14" i="36"/>
  <c r="M14" i="36"/>
  <c r="Z14" i="36"/>
  <c r="G14" i="36"/>
  <c r="AF14" i="36"/>
  <c r="D14" i="36"/>
  <c r="J14" i="36"/>
  <c r="H25" i="36"/>
  <c r="AC25" i="36"/>
  <c r="AB25" i="36"/>
  <c r="AA25" i="36"/>
  <c r="I25" i="36"/>
  <c r="AD25" i="36"/>
  <c r="G25" i="36"/>
  <c r="O6" i="36"/>
  <c r="AG6" i="36"/>
  <c r="N6" i="36"/>
  <c r="Z6" i="36"/>
  <c r="K6" i="36"/>
  <c r="J6" i="36"/>
  <c r="AA6" i="36"/>
  <c r="R21" i="36"/>
  <c r="D21" i="36"/>
  <c r="O21" i="36"/>
  <c r="Z21" i="36"/>
  <c r="F21" i="36"/>
  <c r="M21" i="36"/>
  <c r="AD21" i="36"/>
  <c r="L46" i="31"/>
  <c r="H17" i="36"/>
  <c r="O17" i="36"/>
  <c r="V17" i="36"/>
  <c r="X17" i="36"/>
  <c r="E17" i="36"/>
  <c r="T17" i="36"/>
  <c r="AD17" i="36"/>
  <c r="R9" i="36"/>
  <c r="W9" i="36"/>
  <c r="AC9" i="36"/>
  <c r="AE9" i="36"/>
  <c r="Q9" i="36"/>
  <c r="D9" i="36"/>
  <c r="X9" i="36"/>
  <c r="D54" i="31"/>
  <c r="H54" i="31" s="1"/>
  <c r="W12" i="36"/>
  <c r="X12" i="36"/>
  <c r="O12" i="36"/>
  <c r="T12" i="36"/>
  <c r="Y12" i="36"/>
  <c r="M12" i="36"/>
  <c r="AF12" i="36"/>
  <c r="D38" i="31"/>
  <c r="F19" i="36"/>
  <c r="D19" i="36"/>
  <c r="N19" i="36"/>
  <c r="E19" i="36"/>
  <c r="AA19" i="36"/>
  <c r="W19" i="36"/>
  <c r="Z19" i="36"/>
  <c r="AE23" i="36"/>
  <c r="O23" i="36"/>
  <c r="Q23" i="36"/>
  <c r="V23" i="36"/>
  <c r="D23" i="36"/>
  <c r="G23" i="36"/>
  <c r="M23" i="36"/>
  <c r="W14" i="36"/>
  <c r="Q14" i="36"/>
  <c r="Y14" i="36"/>
  <c r="T14" i="36"/>
  <c r="V14" i="36"/>
  <c r="E14" i="36"/>
  <c r="K14" i="36"/>
  <c r="T25" i="36"/>
  <c r="N25" i="36"/>
  <c r="O25" i="36"/>
  <c r="AG25" i="36"/>
  <c r="R25" i="36"/>
  <c r="L25" i="36"/>
  <c r="J25" i="36"/>
  <c r="S6" i="36"/>
  <c r="AC6" i="36"/>
  <c r="L6" i="36"/>
  <c r="W6" i="36"/>
  <c r="I6" i="36"/>
  <c r="AE6" i="36"/>
  <c r="AD6" i="36"/>
  <c r="X21" i="36"/>
  <c r="E21" i="36"/>
  <c r="G21" i="36"/>
  <c r="AA21" i="36"/>
  <c r="AC21" i="36"/>
  <c r="V21" i="36"/>
  <c r="W21" i="36"/>
  <c r="N52" i="31"/>
  <c r="L17" i="36"/>
  <c r="G17" i="36"/>
  <c r="AA17" i="36"/>
  <c r="AE17" i="36"/>
  <c r="AC17" i="36"/>
  <c r="M17" i="36"/>
  <c r="J17" i="36"/>
  <c r="AD9" i="36"/>
  <c r="AA9" i="36"/>
  <c r="M9" i="36"/>
  <c r="AB9" i="36"/>
  <c r="O9" i="36"/>
  <c r="Z9" i="36"/>
  <c r="K9" i="36"/>
  <c r="N48" i="31"/>
  <c r="D12" i="36"/>
  <c r="J12" i="36"/>
  <c r="L12" i="36"/>
  <c r="Z12" i="36"/>
  <c r="S12" i="36"/>
  <c r="F12" i="36"/>
  <c r="AA12" i="36"/>
  <c r="D42" i="31"/>
  <c r="AF19" i="36"/>
  <c r="AE19" i="36"/>
  <c r="AG19" i="36"/>
  <c r="L19" i="36"/>
  <c r="H19" i="36"/>
  <c r="AB19" i="36"/>
  <c r="J19" i="36"/>
  <c r="AG23" i="36"/>
  <c r="R23" i="36"/>
  <c r="AD23" i="36"/>
  <c r="AA23" i="36"/>
  <c r="I23" i="36"/>
  <c r="K23" i="36"/>
  <c r="W23" i="36"/>
  <c r="AE14" i="36"/>
  <c r="AB14" i="36"/>
  <c r="N14" i="36"/>
  <c r="AA14" i="36"/>
  <c r="L14" i="36"/>
  <c r="O14" i="36"/>
  <c r="I14" i="36"/>
  <c r="F25" i="36"/>
  <c r="AF25" i="36"/>
  <c r="M25" i="36"/>
  <c r="K25" i="36"/>
  <c r="Q25" i="36"/>
  <c r="S25" i="36"/>
  <c r="D6" i="36"/>
  <c r="M6" i="36"/>
  <c r="X6" i="36"/>
  <c r="Y6" i="36"/>
  <c r="R6" i="36"/>
  <c r="Q6" i="36"/>
  <c r="E6" i="36"/>
  <c r="Y21" i="36"/>
  <c r="L21" i="36"/>
  <c r="AB21" i="36"/>
  <c r="AG21" i="36"/>
  <c r="S21" i="36"/>
  <c r="K21" i="36"/>
  <c r="AE21" i="36"/>
  <c r="D43" i="31"/>
  <c r="H43" i="31" s="1"/>
  <c r="Y17" i="36"/>
  <c r="R17" i="36"/>
  <c r="W17" i="36"/>
  <c r="Z17" i="36"/>
  <c r="I17" i="36"/>
  <c r="AB17" i="36"/>
  <c r="D17" i="36"/>
  <c r="F47" i="31"/>
  <c r="E9" i="36"/>
  <c r="S9" i="36"/>
  <c r="I9" i="36"/>
  <c r="AG9" i="36"/>
  <c r="AF9" i="36"/>
  <c r="Y9" i="36"/>
  <c r="V9" i="36"/>
  <c r="L48" i="31"/>
  <c r="R12" i="36"/>
  <c r="I12" i="36"/>
  <c r="AC12" i="36"/>
  <c r="V12" i="36"/>
  <c r="AB12" i="36"/>
  <c r="E12" i="36"/>
  <c r="AD12" i="36"/>
  <c r="Q19" i="36"/>
  <c r="S19" i="36"/>
  <c r="Y19" i="36"/>
  <c r="O19" i="36"/>
  <c r="V19" i="36"/>
  <c r="AD19" i="36"/>
  <c r="AC19" i="36"/>
  <c r="H8" i="36"/>
  <c r="V8" i="36"/>
  <c r="L8" i="36"/>
  <c r="X8" i="36"/>
  <c r="G8" i="36"/>
  <c r="E8" i="36"/>
  <c r="W8" i="36"/>
  <c r="D48" i="31"/>
  <c r="AF20" i="36"/>
  <c r="M20" i="36"/>
  <c r="O20" i="36"/>
  <c r="K20" i="36"/>
  <c r="AD20" i="36"/>
  <c r="L20" i="36"/>
  <c r="W20" i="36"/>
  <c r="AA7" i="36"/>
  <c r="N7" i="36"/>
  <c r="O7" i="36"/>
  <c r="AF7" i="36"/>
  <c r="T7" i="36"/>
  <c r="H7" i="36"/>
  <c r="E7" i="36"/>
  <c r="L23" i="36"/>
  <c r="T23" i="36"/>
  <c r="F23" i="36"/>
  <c r="X23" i="36"/>
  <c r="Y23" i="36"/>
  <c r="AF23" i="36"/>
  <c r="Z23" i="36"/>
  <c r="AC14" i="36"/>
  <c r="AG14" i="36"/>
  <c r="S14" i="36"/>
  <c r="R14" i="36"/>
  <c r="H14" i="36"/>
  <c r="F14" i="36"/>
  <c r="X14" i="36"/>
  <c r="Y25" i="36"/>
  <c r="W25" i="36"/>
  <c r="V25" i="36"/>
  <c r="Z25" i="36"/>
  <c r="AE25" i="36"/>
  <c r="X25" i="36"/>
  <c r="E25" i="36"/>
  <c r="G6" i="36"/>
  <c r="AB6" i="36"/>
  <c r="AF6" i="36"/>
  <c r="AF30" i="36" s="1"/>
  <c r="AF31" i="36" s="1"/>
  <c r="F6" i="36"/>
  <c r="H6" i="36"/>
  <c r="V6" i="36"/>
  <c r="T6" i="36"/>
  <c r="T30" i="36" s="1"/>
  <c r="T31" i="36" s="1"/>
  <c r="I21" i="36"/>
  <c r="H21" i="36"/>
  <c r="AF21" i="36"/>
  <c r="N21" i="36"/>
  <c r="J21" i="36"/>
  <c r="Q21" i="36"/>
  <c r="T21" i="36"/>
  <c r="K17" i="36"/>
  <c r="AG17" i="36"/>
  <c r="S17" i="36"/>
  <c r="N17" i="36"/>
  <c r="Q17" i="36"/>
  <c r="F17" i="36"/>
  <c r="AF17" i="36"/>
  <c r="G9" i="36"/>
  <c r="L9" i="36"/>
  <c r="T9" i="36"/>
  <c r="F9" i="36"/>
  <c r="N9" i="36"/>
  <c r="H9" i="36"/>
  <c r="J9" i="36"/>
  <c r="AG12" i="36"/>
  <c r="Q12" i="36"/>
  <c r="K12" i="36"/>
  <c r="G12" i="36"/>
  <c r="H12" i="36"/>
  <c r="N12" i="36"/>
  <c r="AE12" i="36"/>
  <c r="I19" i="36"/>
  <c r="M19" i="36"/>
  <c r="K19" i="36"/>
  <c r="G19" i="36"/>
  <c r="X19" i="36"/>
  <c r="R19" i="36"/>
  <c r="T19" i="36"/>
  <c r="Y12" i="33" a="1"/>
  <c r="Y12" i="33" s="1"/>
  <c r="Y15" i="33" a="1"/>
  <c r="Y15" i="33" s="1"/>
  <c r="Y11" i="33" a="1"/>
  <c r="Y11" i="33" s="1"/>
  <c r="Y26" i="33" a="1"/>
  <c r="Y26" i="33" s="1"/>
  <c r="Y8" i="33" a="1"/>
  <c r="Y8" i="33" s="1"/>
  <c r="Y9" i="33" a="1"/>
  <c r="Y9" i="33" s="1"/>
  <c r="Y23" i="33" a="1"/>
  <c r="Y23" i="33" s="1"/>
  <c r="Y24" i="33" a="1"/>
  <c r="Y24" i="33" s="1"/>
  <c r="Y16" i="33" a="1"/>
  <c r="Y16" i="33" s="1"/>
  <c r="Y25" i="33" a="1"/>
  <c r="Y25" i="33" s="1"/>
  <c r="Y17" i="33" a="1"/>
  <c r="Y17" i="33" s="1"/>
  <c r="Y21" i="33" a="1"/>
  <c r="Y21" i="33" s="1"/>
  <c r="Y20" i="33" a="1"/>
  <c r="Y20" i="33" s="1"/>
  <c r="Y10" i="33" a="1"/>
  <c r="Y10" i="33" s="1"/>
  <c r="Y19" i="33" a="1"/>
  <c r="Y19" i="33" s="1"/>
  <c r="Y22" i="33" a="1"/>
  <c r="Y22" i="33" s="1"/>
  <c r="Y7" i="33" a="1"/>
  <c r="Y7" i="33" s="1"/>
  <c r="Y27" i="33" s="1"/>
  <c r="Y13" i="33" a="1"/>
  <c r="Y13" i="33" s="1"/>
  <c r="Y18" i="33" a="1"/>
  <c r="Y18" i="33" s="1"/>
  <c r="Y14" i="33" a="1"/>
  <c r="Y14" i="33" s="1"/>
  <c r="V15" i="33" a="1"/>
  <c r="V15" i="33" s="1"/>
  <c r="V26" i="33" a="1"/>
  <c r="V26" i="33" s="1"/>
  <c r="V24" i="33" a="1"/>
  <c r="V24" i="33" s="1"/>
  <c r="V23" i="33" a="1"/>
  <c r="V23" i="33" s="1"/>
  <c r="V8" i="33" a="1"/>
  <c r="V8" i="33" s="1"/>
  <c r="V13" i="33" a="1"/>
  <c r="V13" i="33" s="1"/>
  <c r="V9" i="33" a="1"/>
  <c r="V9" i="33" s="1"/>
  <c r="V12" i="33" a="1"/>
  <c r="V12" i="33" s="1"/>
  <c r="V18" i="33" a="1"/>
  <c r="V18" i="33" s="1"/>
  <c r="V14" i="33" a="1"/>
  <c r="V14" i="33" s="1"/>
  <c r="V22" i="33" a="1"/>
  <c r="V22" i="33" s="1"/>
  <c r="V7" i="33" a="1"/>
  <c r="V7" i="33" s="1"/>
  <c r="V10" i="33" a="1"/>
  <c r="V10" i="33" s="1"/>
  <c r="V19" i="33" a="1"/>
  <c r="V19" i="33" s="1"/>
  <c r="V16" i="33" a="1"/>
  <c r="V16" i="33" s="1"/>
  <c r="V20" i="33" a="1"/>
  <c r="V20" i="33" s="1"/>
  <c r="V25" i="33" a="1"/>
  <c r="V25" i="33" s="1"/>
  <c r="V21" i="33" a="1"/>
  <c r="V21" i="33" s="1"/>
  <c r="V11" i="33" a="1"/>
  <c r="V11" i="33" s="1"/>
  <c r="V17" i="33" a="1"/>
  <c r="V17" i="33" s="1"/>
  <c r="X9" i="33" a="1"/>
  <c r="X9" i="33" s="1"/>
  <c r="X12" i="33" a="1"/>
  <c r="X12" i="33" s="1"/>
  <c r="X24" i="33" a="1"/>
  <c r="X24" i="33" s="1"/>
  <c r="X15" i="33" a="1"/>
  <c r="X15" i="33" s="1"/>
  <c r="X26" i="33" a="1"/>
  <c r="X26" i="33" s="1"/>
  <c r="X23" i="33" a="1"/>
  <c r="X23" i="33" s="1"/>
  <c r="X8" i="33" a="1"/>
  <c r="X8" i="33" s="1"/>
  <c r="X13" i="33" a="1"/>
  <c r="X13" i="33" s="1"/>
  <c r="X19" i="33" a="1"/>
  <c r="X19" i="33" s="1"/>
  <c r="X10" i="33" a="1"/>
  <c r="X10" i="33" s="1"/>
  <c r="X25" i="33" a="1"/>
  <c r="X25" i="33" s="1"/>
  <c r="X21" i="33" a="1"/>
  <c r="X21" i="33" s="1"/>
  <c r="X22" i="33" a="1"/>
  <c r="X22" i="33" s="1"/>
  <c r="X18" i="33" a="1"/>
  <c r="X18" i="33" s="1"/>
  <c r="X16" i="33" a="1"/>
  <c r="X16" i="33" s="1"/>
  <c r="X11" i="33" a="1"/>
  <c r="X11" i="33" s="1"/>
  <c r="X14" i="33" a="1"/>
  <c r="X14" i="33" s="1"/>
  <c r="X17" i="33" a="1"/>
  <c r="X17" i="33" s="1"/>
  <c r="X20" i="33" a="1"/>
  <c r="X20" i="33" s="1"/>
  <c r="X7" i="33" a="1"/>
  <c r="X7" i="33" s="1"/>
  <c r="H27" i="35"/>
  <c r="J27" i="35"/>
  <c r="W15" i="33" a="1"/>
  <c r="W15" i="33" s="1"/>
  <c r="W23" i="33" a="1"/>
  <c r="W23" i="33" s="1"/>
  <c r="W26" i="33" a="1"/>
  <c r="W26" i="33" s="1"/>
  <c r="W24" i="33" a="1"/>
  <c r="W24" i="33" s="1"/>
  <c r="W8" i="33" a="1"/>
  <c r="W8" i="33" s="1"/>
  <c r="W12" i="33" a="1"/>
  <c r="W12" i="33" s="1"/>
  <c r="W9" i="33" a="1"/>
  <c r="W9" i="33" s="1"/>
  <c r="H13" i="32"/>
  <c r="I13" i="32"/>
  <c r="J13" i="32" s="1"/>
  <c r="W16" i="33" a="1"/>
  <c r="W16" i="33" s="1"/>
  <c r="M44" i="32" a="1"/>
  <c r="M44" i="32" s="1"/>
  <c r="T44" i="32" a="1"/>
  <c r="T44" i="32" s="1"/>
  <c r="C44" i="32" a="1"/>
  <c r="C44" i="32" s="1"/>
  <c r="H44" i="32"/>
  <c r="K44" i="32" a="1"/>
  <c r="K44" i="32" s="1"/>
  <c r="W44" i="32"/>
  <c r="AA44" i="32"/>
  <c r="I44" i="32"/>
  <c r="AB44" i="32"/>
  <c r="L44" i="32" a="1"/>
  <c r="L44" i="32" s="1"/>
  <c r="J44" i="32"/>
  <c r="Y44" i="32" a="1"/>
  <c r="Y44" i="32" s="1"/>
  <c r="Q44" i="32"/>
  <c r="E44" i="32" a="1"/>
  <c r="E44" i="32" s="1"/>
  <c r="X44" i="32"/>
  <c r="D44" i="32" a="1"/>
  <c r="D44" i="32" s="1"/>
  <c r="S44" i="32" a="1"/>
  <c r="S44" i="32" s="1"/>
  <c r="Z44" i="32" a="1"/>
  <c r="Z44" i="32" s="1"/>
  <c r="R44" i="32" a="1"/>
  <c r="R44" i="32" s="1"/>
  <c r="P44" i="32"/>
  <c r="X9" i="32"/>
  <c r="W9" i="32"/>
  <c r="W18" i="32"/>
  <c r="X18" i="32"/>
  <c r="N41" i="35"/>
  <c r="O41" i="35" s="1"/>
  <c r="H24" i="35"/>
  <c r="F24" i="35"/>
  <c r="W13" i="32"/>
  <c r="X13" i="32"/>
  <c r="L33" i="32" a="1"/>
  <c r="L33" i="32" s="1"/>
  <c r="T33" i="32" a="1"/>
  <c r="T33" i="32" s="1"/>
  <c r="I33" i="32"/>
  <c r="Y33" i="32" a="1"/>
  <c r="Y33" i="32" s="1"/>
  <c r="J33" i="32"/>
  <c r="H33" i="32"/>
  <c r="X33" i="32"/>
  <c r="Z33" i="32" a="1"/>
  <c r="Z33" i="32" s="1"/>
  <c r="E33" i="32" a="1"/>
  <c r="E33" i="32" s="1"/>
  <c r="AA33" i="32"/>
  <c r="W33" i="32"/>
  <c r="P33" i="32"/>
  <c r="D33" i="32" a="1"/>
  <c r="D33" i="32" s="1"/>
  <c r="Q33" i="32"/>
  <c r="R33" i="32" a="1"/>
  <c r="R33" i="32" s="1"/>
  <c r="S33" i="32" a="1"/>
  <c r="S33" i="32" s="1"/>
  <c r="K33" i="32" a="1"/>
  <c r="K33" i="32" s="1"/>
  <c r="C33" i="32" a="1"/>
  <c r="C33" i="32" s="1"/>
  <c r="AB33" i="32"/>
  <c r="M33" i="32" a="1"/>
  <c r="M33" i="32" s="1"/>
  <c r="W10" i="33" a="1"/>
  <c r="W10" i="33" s="1"/>
  <c r="K35" i="35"/>
  <c r="F35" i="35" s="1"/>
  <c r="Q33" i="35"/>
  <c r="R33" i="35"/>
  <c r="M33" i="35" s="1"/>
  <c r="R19" i="35"/>
  <c r="M19" i="35" s="1"/>
  <c r="C42" i="32" a="1"/>
  <c r="C42" i="32" s="1"/>
  <c r="K42" i="32" a="1"/>
  <c r="K42" i="32" s="1"/>
  <c r="P42" i="32"/>
  <c r="I42" i="32"/>
  <c r="E42" i="32" a="1"/>
  <c r="E42" i="32" s="1"/>
  <c r="J42" i="32"/>
  <c r="H42" i="32"/>
  <c r="L42" i="32" a="1"/>
  <c r="L42" i="32" s="1"/>
  <c r="M42" i="32" a="1"/>
  <c r="M42" i="32" s="1"/>
  <c r="S42" i="32" a="1"/>
  <c r="S42" i="32" s="1"/>
  <c r="X42" i="32"/>
  <c r="R42" i="32" a="1"/>
  <c r="R42" i="32" s="1"/>
  <c r="Q42" i="32"/>
  <c r="AB42" i="32"/>
  <c r="T42" i="32" a="1"/>
  <c r="T42" i="32" s="1"/>
  <c r="Y42" i="32" a="1"/>
  <c r="Y42" i="32" s="1"/>
  <c r="D42" i="32" a="1"/>
  <c r="D42" i="32" s="1"/>
  <c r="AA42" i="32"/>
  <c r="Z42" i="32" a="1"/>
  <c r="Z42" i="32" s="1"/>
  <c r="W42" i="32"/>
  <c r="W14" i="32"/>
  <c r="X14" i="32"/>
  <c r="Q46" i="32"/>
  <c r="L46" i="32" a="1"/>
  <c r="L46" i="32" s="1"/>
  <c r="K46" i="32" a="1"/>
  <c r="K46" i="32" s="1"/>
  <c r="Y46" i="32" a="1"/>
  <c r="Y46" i="32" s="1"/>
  <c r="C46" i="32" a="1"/>
  <c r="C46" i="32" s="1"/>
  <c r="S46" i="32" a="1"/>
  <c r="S46" i="32" s="1"/>
  <c r="X46" i="32"/>
  <c r="AA46" i="32"/>
  <c r="W46" i="32"/>
  <c r="H46" i="32"/>
  <c r="AB46" i="32"/>
  <c r="R46" i="32" a="1"/>
  <c r="R46" i="32" s="1"/>
  <c r="T46" i="32" a="1"/>
  <c r="T46" i="32" s="1"/>
  <c r="I46" i="32"/>
  <c r="J46" i="32" s="1"/>
  <c r="E46" i="32" a="1"/>
  <c r="E46" i="32" s="1"/>
  <c r="M46" i="32" a="1"/>
  <c r="M46" i="32" s="1"/>
  <c r="P46" i="32"/>
  <c r="Z46" i="32" a="1"/>
  <c r="Z46" i="32" s="1"/>
  <c r="D46" i="32" a="1"/>
  <c r="D46" i="32" s="1"/>
  <c r="F30" i="35"/>
  <c r="O18" i="35"/>
  <c r="M18" i="35"/>
  <c r="H49" i="32"/>
  <c r="S49" i="32" a="1"/>
  <c r="S49" i="32" s="1"/>
  <c r="X49" i="32"/>
  <c r="M49" i="32" a="1"/>
  <c r="M49" i="32" s="1"/>
  <c r="I49" i="32"/>
  <c r="AA49" i="32"/>
  <c r="R49" i="32" a="1"/>
  <c r="R49" i="32" s="1"/>
  <c r="T49" i="32" a="1"/>
  <c r="T49" i="32" s="1"/>
  <c r="AB49" i="32"/>
  <c r="C49" i="32" a="1"/>
  <c r="C49" i="32" s="1"/>
  <c r="Y49" i="32" a="1"/>
  <c r="Y49" i="32" s="1"/>
  <c r="D49" i="32" a="1"/>
  <c r="D49" i="32" s="1"/>
  <c r="L49" i="32" a="1"/>
  <c r="L49" i="32" s="1"/>
  <c r="P49" i="32"/>
  <c r="Q49" i="32"/>
  <c r="K49" i="32" a="1"/>
  <c r="K49" i="32" s="1"/>
  <c r="E49" i="32" a="1"/>
  <c r="E49" i="32" s="1"/>
  <c r="W49" i="32"/>
  <c r="J49" i="32"/>
  <c r="Z49" i="32" a="1"/>
  <c r="Z49" i="32" s="1"/>
  <c r="W23" i="32"/>
  <c r="X23" i="32"/>
  <c r="I12" i="32"/>
  <c r="J12" i="32" s="1"/>
  <c r="H12" i="32"/>
  <c r="R20" i="35"/>
  <c r="I41" i="35"/>
  <c r="J41" i="35" s="1"/>
  <c r="H16" i="32"/>
  <c r="I16" i="32"/>
  <c r="J16" i="32" s="1"/>
  <c r="J22" i="35"/>
  <c r="X8" i="32"/>
  <c r="W8" i="32"/>
  <c r="H9" i="32"/>
  <c r="I9" i="32"/>
  <c r="J9" i="32" s="1"/>
  <c r="W18" i="33" a="1"/>
  <c r="W18" i="33" s="1"/>
  <c r="W25" i="32"/>
  <c r="X25" i="32"/>
  <c r="F27" i="35"/>
  <c r="W20" i="32"/>
  <c r="X20" i="32"/>
  <c r="R27" i="35"/>
  <c r="O27" i="35" s="1"/>
  <c r="C45" i="32" a="1"/>
  <c r="C45" i="32" s="1"/>
  <c r="Z45" i="32" a="1"/>
  <c r="Z45" i="32" s="1"/>
  <c r="AA45" i="32" s="1"/>
  <c r="K45" i="32" a="1"/>
  <c r="K45" i="32" s="1"/>
  <c r="I45" i="32"/>
  <c r="H45" i="32"/>
  <c r="J45" i="32"/>
  <c r="X45" i="32"/>
  <c r="T45" i="32" a="1"/>
  <c r="T45" i="32" s="1"/>
  <c r="S45" i="32" a="1"/>
  <c r="S45" i="32" s="1"/>
  <c r="E45" i="32" a="1"/>
  <c r="E45" i="32" s="1"/>
  <c r="Y45" i="32" a="1"/>
  <c r="Y45" i="32" s="1"/>
  <c r="P45" i="32"/>
  <c r="M45" i="32" a="1"/>
  <c r="M45" i="32" s="1"/>
  <c r="D45" i="32" a="1"/>
  <c r="D45" i="32" s="1"/>
  <c r="W45" i="32"/>
  <c r="Q45" i="32"/>
  <c r="R45" i="32" a="1"/>
  <c r="R45" i="32" s="1"/>
  <c r="L45" i="32" a="1"/>
  <c r="L45" i="32" s="1"/>
  <c r="AB45" i="32"/>
  <c r="W7" i="33" a="1"/>
  <c r="W7" i="33" s="1"/>
  <c r="W22" i="33" a="1"/>
  <c r="W22" i="33" s="1"/>
  <c r="C35" i="32" a="1"/>
  <c r="C35" i="32" s="1"/>
  <c r="W35" i="32"/>
  <c r="S35" i="32" a="1"/>
  <c r="S35" i="32" s="1"/>
  <c r="P35" i="32"/>
  <c r="Z35" i="32" a="1"/>
  <c r="Z35" i="32" s="1"/>
  <c r="R35" i="32" a="1"/>
  <c r="R35" i="32" s="1"/>
  <c r="J35" i="32"/>
  <c r="I35" i="32"/>
  <c r="M35" i="32" a="1"/>
  <c r="M35" i="32" s="1"/>
  <c r="E35" i="32" a="1"/>
  <c r="E35" i="32" s="1"/>
  <c r="AB35" i="32"/>
  <c r="Q35" i="32"/>
  <c r="D35" i="32" a="1"/>
  <c r="D35" i="32" s="1"/>
  <c r="T35" i="32" a="1"/>
  <c r="T35" i="32" s="1"/>
  <c r="AA35" i="32"/>
  <c r="L35" i="32" a="1"/>
  <c r="L35" i="32" s="1"/>
  <c r="K35" i="32" a="1"/>
  <c r="K35" i="32" s="1"/>
  <c r="X35" i="32"/>
  <c r="H35" i="32"/>
  <c r="Y35" i="32" a="1"/>
  <c r="Y35" i="32" s="1"/>
  <c r="W21" i="33" a="1"/>
  <c r="W21" i="33" s="1"/>
  <c r="K25" i="35"/>
  <c r="J25" i="35" s="1"/>
  <c r="Q29" i="35"/>
  <c r="R29" i="35"/>
  <c r="W41" i="32"/>
  <c r="L41" i="32" a="1"/>
  <c r="L41" i="32" s="1"/>
  <c r="Z41" i="32" a="1"/>
  <c r="Z41" i="32" s="1"/>
  <c r="T41" i="32" a="1"/>
  <c r="T41" i="32" s="1"/>
  <c r="E41" i="32" a="1"/>
  <c r="E41" i="32" s="1"/>
  <c r="D41" i="32" a="1"/>
  <c r="D41" i="32" s="1"/>
  <c r="Q41" i="32"/>
  <c r="X41" i="32"/>
  <c r="K41" i="32" a="1"/>
  <c r="K41" i="32" s="1"/>
  <c r="P41" i="32"/>
  <c r="M41" i="32" a="1"/>
  <c r="M41" i="32" s="1"/>
  <c r="C41" i="32" a="1"/>
  <c r="C41" i="32" s="1"/>
  <c r="R41" i="32" a="1"/>
  <c r="R41" i="32" s="1"/>
  <c r="AB41" i="32"/>
  <c r="Y41" i="32" a="1"/>
  <c r="Y41" i="32" s="1"/>
  <c r="AA41" i="32"/>
  <c r="S41" i="32" a="1"/>
  <c r="S41" i="32" s="1"/>
  <c r="I41" i="32"/>
  <c r="J41" i="32" s="1"/>
  <c r="H41" i="32"/>
  <c r="H19" i="32"/>
  <c r="I19" i="32"/>
  <c r="J19" i="32" s="1"/>
  <c r="W19" i="33" a="1"/>
  <c r="W19" i="33" s="1"/>
  <c r="H20" i="32"/>
  <c r="I20" i="32"/>
  <c r="J20" i="32" s="1"/>
  <c r="W12" i="32"/>
  <c r="X12" i="32"/>
  <c r="F34" i="35"/>
  <c r="J34" i="35"/>
  <c r="M20" i="35"/>
  <c r="W17" i="33" a="1"/>
  <c r="W17" i="33" s="1"/>
  <c r="W25" i="33" a="1"/>
  <c r="W25" i="33" s="1"/>
  <c r="K20" i="35"/>
  <c r="F20" i="35" s="1"/>
  <c r="W10" i="32"/>
  <c r="X10" i="32"/>
  <c r="J28" i="32"/>
  <c r="W14" i="33" a="1"/>
  <c r="W14" i="33" s="1"/>
  <c r="H7" i="32"/>
  <c r="I7" i="32"/>
  <c r="J7" i="32" s="1"/>
  <c r="H8" i="32"/>
  <c r="I8" i="32"/>
  <c r="J8" i="32" s="1"/>
  <c r="X17" i="32"/>
  <c r="W17" i="32"/>
  <c r="S41" i="35"/>
  <c r="T41" i="35" s="1"/>
  <c r="H18" i="32"/>
  <c r="I18" i="32"/>
  <c r="J18" i="32" s="1"/>
  <c r="Y22" i="35"/>
  <c r="X22" i="35" s="1"/>
  <c r="K28" i="35"/>
  <c r="F28" i="35" s="1"/>
  <c r="R35" i="35"/>
  <c r="Q23" i="35"/>
  <c r="R23" i="35"/>
  <c r="M23" i="35" s="1"/>
  <c r="Y19" i="35"/>
  <c r="V19" i="35" s="1"/>
  <c r="W41" i="35"/>
  <c r="X41" i="35" s="1"/>
  <c r="W13" i="33" a="1"/>
  <c r="W13" i="33" s="1"/>
  <c r="U41" i="35"/>
  <c r="V41" i="35" s="1"/>
  <c r="Y17" i="35"/>
  <c r="V21" i="35"/>
  <c r="T21" i="35"/>
  <c r="W19" i="32"/>
  <c r="X19" i="32"/>
  <c r="AA27" i="33"/>
  <c r="R28" i="35"/>
  <c r="M28" i="35" s="1"/>
  <c r="X21" i="35"/>
  <c r="K32" i="35"/>
  <c r="H14" i="32"/>
  <c r="I14" i="32"/>
  <c r="J14" i="32" s="1"/>
  <c r="H25" i="32"/>
  <c r="I25" i="32"/>
  <c r="J25" i="32" s="1"/>
  <c r="H23" i="32"/>
  <c r="I23" i="32"/>
  <c r="J23" i="32" s="1"/>
  <c r="Y20" i="35"/>
  <c r="V20" i="35" s="1"/>
  <c r="D48" i="32" a="1"/>
  <c r="D48" i="32" s="1"/>
  <c r="Y48" i="32" a="1"/>
  <c r="Y48" i="32" s="1"/>
  <c r="Q48" i="32"/>
  <c r="R48" i="32" a="1"/>
  <c r="R48" i="32" s="1"/>
  <c r="W48" i="32"/>
  <c r="P48" i="32"/>
  <c r="AA48" i="32"/>
  <c r="M48" i="32" a="1"/>
  <c r="M48" i="32" s="1"/>
  <c r="K48" i="32" a="1"/>
  <c r="K48" i="32" s="1"/>
  <c r="AB48" i="32"/>
  <c r="I48" i="32"/>
  <c r="J48" i="32" s="1"/>
  <c r="Z48" i="32" a="1"/>
  <c r="Z48" i="32" s="1"/>
  <c r="T48" i="32" a="1"/>
  <c r="T48" i="32" s="1"/>
  <c r="H48" i="32"/>
  <c r="X48" i="32"/>
  <c r="C48" i="32" a="1"/>
  <c r="C48" i="32" s="1"/>
  <c r="E48" i="32" a="1"/>
  <c r="E48" i="32" s="1"/>
  <c r="L48" i="32" a="1"/>
  <c r="L48" i="32" s="1"/>
  <c r="S48" i="32" a="1"/>
  <c r="S48" i="32" s="1"/>
  <c r="X31" i="35"/>
  <c r="V31" i="35"/>
  <c r="D47" i="32" a="1"/>
  <c r="D47" i="32" s="1"/>
  <c r="Y47" i="32" a="1"/>
  <c r="Y47" i="32" s="1"/>
  <c r="AA47" i="32"/>
  <c r="E47" i="32" a="1"/>
  <c r="E47" i="32" s="1"/>
  <c r="R47" i="32" a="1"/>
  <c r="R47" i="32" s="1"/>
  <c r="K47" i="32" a="1"/>
  <c r="K47" i="32" s="1"/>
  <c r="W47" i="32"/>
  <c r="L47" i="32" a="1"/>
  <c r="L47" i="32" s="1"/>
  <c r="Q47" i="32"/>
  <c r="P47" i="32"/>
  <c r="M47" i="32" a="1"/>
  <c r="M47" i="32" s="1"/>
  <c r="S47" i="32" a="1"/>
  <c r="S47" i="32" s="1"/>
  <c r="J47" i="32"/>
  <c r="Z47" i="32" a="1"/>
  <c r="Z47" i="32" s="1"/>
  <c r="AB47" i="32"/>
  <c r="C47" i="32" a="1"/>
  <c r="C47" i="32" s="1"/>
  <c r="X47" i="32"/>
  <c r="I47" i="32"/>
  <c r="H47" i="32"/>
  <c r="T47" i="32" a="1"/>
  <c r="T47" i="32" s="1"/>
  <c r="X27" i="35"/>
  <c r="Y27" i="35"/>
  <c r="T27" i="35" s="1"/>
  <c r="W20" i="33" a="1"/>
  <c r="W20" i="33" s="1"/>
  <c r="H10" i="32"/>
  <c r="I10" i="32"/>
  <c r="J10" i="32" s="1"/>
  <c r="W16" i="32"/>
  <c r="X16" i="32"/>
  <c r="Y28" i="35"/>
  <c r="T28" i="35" s="1"/>
  <c r="W7" i="32"/>
  <c r="X7" i="32"/>
  <c r="K36" i="35"/>
  <c r="F36" i="35" s="1"/>
  <c r="H17" i="32"/>
  <c r="I17" i="32"/>
  <c r="J17" i="32" s="1"/>
  <c r="F19" i="35"/>
  <c r="D39" i="32" a="1"/>
  <c r="D39" i="32" s="1"/>
  <c r="P39" i="32"/>
  <c r="M39" i="32" a="1"/>
  <c r="M39" i="32" s="1"/>
  <c r="H39" i="32"/>
  <c r="X39" i="32"/>
  <c r="AA39" i="32"/>
  <c r="Z39" i="32" a="1"/>
  <c r="Z39" i="32" s="1"/>
  <c r="C39" i="32" a="1"/>
  <c r="C39" i="32" s="1"/>
  <c r="R39" i="32" a="1"/>
  <c r="R39" i="32" s="1"/>
  <c r="I39" i="32"/>
  <c r="J39" i="32" s="1"/>
  <c r="Y39" i="32" a="1"/>
  <c r="Y39" i="32" s="1"/>
  <c r="E39" i="32" a="1"/>
  <c r="E39" i="32" s="1"/>
  <c r="W39" i="32"/>
  <c r="L39" i="32" a="1"/>
  <c r="L39" i="32" s="1"/>
  <c r="T39" i="32" a="1"/>
  <c r="T39" i="32" s="1"/>
  <c r="S39" i="32" a="1"/>
  <c r="S39" i="32" s="1"/>
  <c r="K39" i="32" a="1"/>
  <c r="K39" i="32" s="1"/>
  <c r="Q39" i="32"/>
  <c r="AB39" i="32"/>
  <c r="K37" i="32" a="1"/>
  <c r="K37" i="32" s="1"/>
  <c r="AA37" i="32"/>
  <c r="Y37" i="32" a="1"/>
  <c r="Y37" i="32" s="1"/>
  <c r="C37" i="32" a="1"/>
  <c r="C37" i="32" s="1"/>
  <c r="AB37" i="32"/>
  <c r="E37" i="32" a="1"/>
  <c r="E37" i="32" s="1"/>
  <c r="Q37" i="32"/>
  <c r="Z37" i="32" a="1"/>
  <c r="Z37" i="32" s="1"/>
  <c r="L37" i="32" a="1"/>
  <c r="L37" i="32" s="1"/>
  <c r="R37" i="32" a="1"/>
  <c r="R37" i="32" s="1"/>
  <c r="M37" i="32" a="1"/>
  <c r="M37" i="32" s="1"/>
  <c r="T37" i="32" a="1"/>
  <c r="T37" i="32" s="1"/>
  <c r="P37" i="32"/>
  <c r="W37" i="32"/>
  <c r="D37" i="32" a="1"/>
  <c r="D37" i="32" s="1"/>
  <c r="S37" i="32" a="1"/>
  <c r="S37" i="32" s="1"/>
  <c r="I37" i="32"/>
  <c r="J37" i="32" s="1"/>
  <c r="H37" i="32"/>
  <c r="X37" i="32"/>
  <c r="W11" i="33" a="1"/>
  <c r="W11" i="33" s="1"/>
  <c r="F25" i="35"/>
  <c r="O19" i="35"/>
  <c r="Y29" i="35"/>
  <c r="T29" i="35" s="1"/>
  <c r="Q36" i="32"/>
  <c r="L36" i="32" a="1"/>
  <c r="L36" i="32" s="1"/>
  <c r="AB36" i="32"/>
  <c r="Y36" i="32" a="1"/>
  <c r="Y36" i="32" s="1"/>
  <c r="P36" i="32"/>
  <c r="W36" i="32"/>
  <c r="Z36" i="32" a="1"/>
  <c r="Z36" i="32" s="1"/>
  <c r="X36" i="32"/>
  <c r="D36" i="32" a="1"/>
  <c r="D36" i="32" s="1"/>
  <c r="R36" i="32" a="1"/>
  <c r="R36" i="32" s="1"/>
  <c r="E36" i="32" a="1"/>
  <c r="E36" i="32" s="1"/>
  <c r="K36" i="32" a="1"/>
  <c r="K36" i="32" s="1"/>
  <c r="M36" i="32" a="1"/>
  <c r="M36" i="32" s="1"/>
  <c r="H36" i="32"/>
  <c r="T36" i="32" a="1"/>
  <c r="T36" i="32" s="1"/>
  <c r="J36" i="32"/>
  <c r="C36" i="32" a="1"/>
  <c r="C36" i="32" s="1"/>
  <c r="I36" i="32"/>
  <c r="S36" i="32" a="1"/>
  <c r="S36" i="32" s="1"/>
  <c r="AA36" i="32"/>
  <c r="H30" i="35"/>
  <c r="X38" i="32"/>
  <c r="H38" i="32"/>
  <c r="E38" i="32" a="1"/>
  <c r="E38" i="32" s="1"/>
  <c r="R38" i="32" a="1"/>
  <c r="R38" i="32" s="1"/>
  <c r="C38" i="32" a="1"/>
  <c r="C38" i="32" s="1"/>
  <c r="D38" i="32" a="1"/>
  <c r="D38" i="32" s="1"/>
  <c r="T38" i="32" a="1"/>
  <c r="T38" i="32" s="1"/>
  <c r="Y38" i="32" a="1"/>
  <c r="Y38" i="32" s="1"/>
  <c r="Q38" i="32"/>
  <c r="J38" i="32" s="1"/>
  <c r="K38" i="32" a="1"/>
  <c r="K38" i="32" s="1"/>
  <c r="Z38" i="32" a="1"/>
  <c r="Z38" i="32" s="1"/>
  <c r="AA38" i="32"/>
  <c r="L38" i="32" a="1"/>
  <c r="L38" i="32" s="1"/>
  <c r="P38" i="32"/>
  <c r="S38" i="32" a="1"/>
  <c r="S38" i="32" s="1"/>
  <c r="I38" i="32"/>
  <c r="M38" i="32" a="1"/>
  <c r="M38" i="32" s="1"/>
  <c r="W38" i="32"/>
  <c r="AB38" i="32"/>
  <c r="X40" i="32"/>
  <c r="S40" i="32" a="1"/>
  <c r="S40" i="32" s="1"/>
  <c r="H40" i="32"/>
  <c r="Q40" i="32"/>
  <c r="P40" i="32"/>
  <c r="I40" i="32"/>
  <c r="J40" i="32" s="1"/>
  <c r="M40" i="32" a="1"/>
  <c r="M40" i="32" s="1"/>
  <c r="T40" i="32" a="1"/>
  <c r="T40" i="32" s="1"/>
  <c r="AB40" i="32"/>
  <c r="L40" i="32" a="1"/>
  <c r="L40" i="32" s="1"/>
  <c r="AA40" i="32"/>
  <c r="K40" i="32" a="1"/>
  <c r="K40" i="32" s="1"/>
  <c r="D40" i="32" a="1"/>
  <c r="D40" i="32" s="1"/>
  <c r="E40" i="32" a="1"/>
  <c r="E40" i="32" s="1"/>
  <c r="W40" i="32"/>
  <c r="C40" i="32" a="1"/>
  <c r="C40" i="32" s="1"/>
  <c r="Z40" i="32" a="1"/>
  <c r="Z40" i="32" s="1"/>
  <c r="R40" i="32" a="1"/>
  <c r="R40" i="32" s="1"/>
  <c r="Y40" i="32" a="1"/>
  <c r="Y40" i="32" s="1"/>
  <c r="V36" i="35"/>
  <c r="K23" i="35"/>
  <c r="J23" i="35" s="1"/>
  <c r="H19" i="35"/>
  <c r="K29" i="35"/>
  <c r="W15" i="32"/>
  <c r="X15" i="32"/>
  <c r="Y32" i="35"/>
  <c r="R30" i="35"/>
  <c r="Q30" i="35" s="1"/>
  <c r="Y52" i="32" a="1"/>
  <c r="Y52" i="32" s="1"/>
  <c r="T52" i="32" a="1"/>
  <c r="T52" i="32" s="1"/>
  <c r="I52" i="32"/>
  <c r="J52" i="32"/>
  <c r="AB52" i="32"/>
  <c r="R52" i="32" a="1"/>
  <c r="R52" i="32" s="1"/>
  <c r="M52" i="32" a="1"/>
  <c r="M52" i="32" s="1"/>
  <c r="L52" i="32" a="1"/>
  <c r="L52" i="32" s="1"/>
  <c r="W52" i="32"/>
  <c r="E52" i="32" a="1"/>
  <c r="E52" i="32" s="1"/>
  <c r="C52" i="32" a="1"/>
  <c r="C52" i="32" s="1"/>
  <c r="K52" i="32" a="1"/>
  <c r="K52" i="32" s="1"/>
  <c r="Z52" i="32" a="1"/>
  <c r="Z52" i="32" s="1"/>
  <c r="H52" i="32"/>
  <c r="Q52" i="32"/>
  <c r="AA52" i="32"/>
  <c r="D52" i="32" a="1"/>
  <c r="D52" i="32" s="1"/>
  <c r="S52" i="32" a="1"/>
  <c r="S52" i="32" s="1"/>
  <c r="X52" i="32"/>
  <c r="P52" i="32"/>
  <c r="I6" i="32"/>
  <c r="J6" i="32" s="1"/>
  <c r="I15" i="32"/>
  <c r="J15" i="32" s="1"/>
  <c r="P40" i="31"/>
  <c r="T40" i="31"/>
  <c r="V59" i="31"/>
  <c r="P55" i="31"/>
  <c r="O55" i="31" s="1"/>
  <c r="T55" i="31"/>
  <c r="H59" i="31"/>
  <c r="P52" i="31"/>
  <c r="T52" i="31"/>
  <c r="M54" i="31"/>
  <c r="P54" i="31"/>
  <c r="T54" i="31"/>
  <c r="H58" i="31"/>
  <c r="G58" i="31" s="1"/>
  <c r="E57" i="31"/>
  <c r="J57" i="31" a="1"/>
  <c r="J57" i="31" s="1"/>
  <c r="I57" i="31" a="1"/>
  <c r="I57" i="31" s="1"/>
  <c r="K57" i="31" s="1"/>
  <c r="H51" i="31"/>
  <c r="E51" i="31"/>
  <c r="G57" i="31"/>
  <c r="L62" i="31"/>
  <c r="P38" i="31"/>
  <c r="O38" i="31" s="1"/>
  <c r="P53" i="31"/>
  <c r="T53" i="31"/>
  <c r="T59" i="31"/>
  <c r="P59" i="31"/>
  <c r="M59" i="31" s="1"/>
  <c r="V39" i="31"/>
  <c r="T42" i="31"/>
  <c r="P42" i="31"/>
  <c r="X24" i="32"/>
  <c r="W24" i="32"/>
  <c r="H28" i="35"/>
  <c r="J34" i="32"/>
  <c r="X34" i="32"/>
  <c r="Y34" i="32" a="1"/>
  <c r="Y34" i="32" s="1"/>
  <c r="C34" i="32" a="1"/>
  <c r="C34" i="32" s="1"/>
  <c r="AA34" i="32"/>
  <c r="D34" i="32" a="1"/>
  <c r="D34" i="32" s="1"/>
  <c r="H34" i="32"/>
  <c r="I34" i="32"/>
  <c r="Z34" i="32" a="1"/>
  <c r="Z34" i="32" s="1"/>
  <c r="AB34" i="32"/>
  <c r="L34" i="32" a="1"/>
  <c r="L34" i="32" s="1"/>
  <c r="P34" i="32"/>
  <c r="Q34" i="32"/>
  <c r="K34" i="32" a="1"/>
  <c r="K34" i="32" s="1"/>
  <c r="M34" i="32" a="1"/>
  <c r="M34" i="32" s="1"/>
  <c r="E34" i="32" a="1"/>
  <c r="E34" i="32" s="1"/>
  <c r="R34" i="32" a="1"/>
  <c r="R34" i="32" s="1"/>
  <c r="S34" i="32" a="1"/>
  <c r="S34" i="32" s="1"/>
  <c r="W34" i="32"/>
  <c r="T34" i="32" a="1"/>
  <c r="T34" i="32" s="1"/>
  <c r="Y36" i="35"/>
  <c r="T36" i="35" s="1"/>
  <c r="X35" i="35"/>
  <c r="Y35" i="35"/>
  <c r="P41" i="35"/>
  <c r="Q41" i="35" s="1"/>
  <c r="R17" i="35"/>
  <c r="M17" i="35" s="1"/>
  <c r="R32" i="35"/>
  <c r="Q32" i="35" s="1"/>
  <c r="H22" i="32"/>
  <c r="I22" i="32"/>
  <c r="J22" i="32" s="1"/>
  <c r="L50" i="32" a="1"/>
  <c r="L50" i="32" s="1"/>
  <c r="E50" i="32" a="1"/>
  <c r="E50" i="32" s="1"/>
  <c r="Y50" i="32" a="1"/>
  <c r="Y50" i="32" s="1"/>
  <c r="M50" i="32" a="1"/>
  <c r="M50" i="32" s="1"/>
  <c r="X50" i="32"/>
  <c r="Q50" i="32"/>
  <c r="K50" i="32" a="1"/>
  <c r="K50" i="32" s="1"/>
  <c r="H50" i="32"/>
  <c r="Z50" i="32" a="1"/>
  <c r="Z50" i="32" s="1"/>
  <c r="R50" i="32" a="1"/>
  <c r="R50" i="32" s="1"/>
  <c r="I50" i="32"/>
  <c r="T50" i="32" a="1"/>
  <c r="T50" i="32" s="1"/>
  <c r="W50" i="32"/>
  <c r="D50" i="32" a="1"/>
  <c r="D50" i="32" s="1"/>
  <c r="S50" i="32" a="1"/>
  <c r="S50" i="32" s="1"/>
  <c r="AA50" i="32"/>
  <c r="J50" i="32"/>
  <c r="C50" i="32" a="1"/>
  <c r="C50" i="32" s="1"/>
  <c r="P50" i="32"/>
  <c r="AB50" i="32"/>
  <c r="W21" i="32"/>
  <c r="X21" i="32"/>
  <c r="X22" i="32"/>
  <c r="I11" i="32"/>
  <c r="J11" i="32" s="1"/>
  <c r="T45" i="31"/>
  <c r="P45" i="31"/>
  <c r="M45" i="31" s="1"/>
  <c r="E55" i="31"/>
  <c r="J55" i="31" a="1"/>
  <c r="J55" i="31" s="1"/>
  <c r="I55" i="31" a="1"/>
  <c r="I55" i="31" s="1"/>
  <c r="V49" i="31"/>
  <c r="V40" i="31"/>
  <c r="H49" i="31"/>
  <c r="H40" i="31"/>
  <c r="V51" i="31"/>
  <c r="O51" i="31"/>
  <c r="V57" i="31"/>
  <c r="T44" i="31"/>
  <c r="P44" i="31"/>
  <c r="M44" i="31" s="1"/>
  <c r="G55" i="31"/>
  <c r="H52" i="31"/>
  <c r="E52" i="31" s="1"/>
  <c r="P47" i="31"/>
  <c r="T47" i="31"/>
  <c r="N62" i="31"/>
  <c r="V38" i="31"/>
  <c r="X43" i="32"/>
  <c r="Z43" i="32" a="1"/>
  <c r="Z43" i="32" s="1"/>
  <c r="Q43" i="32"/>
  <c r="C43" i="32" a="1"/>
  <c r="C43" i="32" s="1"/>
  <c r="E43" i="32" a="1"/>
  <c r="E43" i="32" s="1"/>
  <c r="T43" i="32" a="1"/>
  <c r="T43" i="32" s="1"/>
  <c r="P43" i="32"/>
  <c r="H43" i="32"/>
  <c r="AB43" i="32"/>
  <c r="S43" i="32" a="1"/>
  <c r="S43" i="32" s="1"/>
  <c r="D43" i="32" a="1"/>
  <c r="D43" i="32" s="1"/>
  <c r="AA43" i="32"/>
  <c r="I43" i="32"/>
  <c r="J43" i="32" s="1"/>
  <c r="W43" i="32"/>
  <c r="M43" i="32" a="1"/>
  <c r="M43" i="32" s="1"/>
  <c r="R43" i="32" a="1"/>
  <c r="R43" i="32" s="1"/>
  <c r="K43" i="32" a="1"/>
  <c r="K43" i="32" s="1"/>
  <c r="Y43" i="32" a="1"/>
  <c r="Y43" i="32" s="1"/>
  <c r="L43" i="32" a="1"/>
  <c r="L43" i="32" s="1"/>
  <c r="R25" i="35"/>
  <c r="Q25" i="35" s="1"/>
  <c r="K33" i="35"/>
  <c r="J33" i="35" s="1"/>
  <c r="L41" i="35"/>
  <c r="M41" i="35" s="1"/>
  <c r="AF33" i="30"/>
  <c r="I21" i="32"/>
  <c r="J21" i="32" s="1"/>
  <c r="X6" i="32"/>
  <c r="P57" i="31"/>
  <c r="O57" i="31" s="1"/>
  <c r="T57" i="31"/>
  <c r="E53" i="31"/>
  <c r="J53" i="31" a="1"/>
  <c r="J53" i="31" s="1"/>
  <c r="I53" i="31" a="1"/>
  <c r="I53" i="31" s="1"/>
  <c r="P49" i="31"/>
  <c r="M49" i="31" s="1"/>
  <c r="T49" i="31"/>
  <c r="X49" i="31" s="1"/>
  <c r="T56" i="31"/>
  <c r="P56" i="31"/>
  <c r="V50" i="31"/>
  <c r="V45" i="31"/>
  <c r="O45" i="31"/>
  <c r="H56" i="31"/>
  <c r="V46" i="31"/>
  <c r="H45" i="31"/>
  <c r="G45" i="31" s="1"/>
  <c r="E45" i="31"/>
  <c r="V55" i="31"/>
  <c r="H46" i="31"/>
  <c r="P43" i="31"/>
  <c r="K17" i="35"/>
  <c r="G41" i="35"/>
  <c r="H41" i="35" s="1"/>
  <c r="L51" i="32" a="1"/>
  <c r="L51" i="32" s="1"/>
  <c r="T51" i="32" a="1"/>
  <c r="T51" i="32" s="1"/>
  <c r="Z51" i="32" a="1"/>
  <c r="Z51" i="32" s="1"/>
  <c r="AB51" i="32"/>
  <c r="Q51" i="32"/>
  <c r="D51" i="32" a="1"/>
  <c r="D51" i="32" s="1"/>
  <c r="R51" i="32" a="1"/>
  <c r="R51" i="32" s="1"/>
  <c r="S51" i="32" a="1"/>
  <c r="S51" i="32" s="1"/>
  <c r="H51" i="32"/>
  <c r="P51" i="32"/>
  <c r="I51" i="32"/>
  <c r="J51" i="32" s="1"/>
  <c r="M51" i="32" a="1"/>
  <c r="M51" i="32" s="1"/>
  <c r="X51" i="32"/>
  <c r="Y51" i="32" a="1"/>
  <c r="Y51" i="32" s="1"/>
  <c r="W51" i="32"/>
  <c r="E51" i="32" a="1"/>
  <c r="E51" i="32" s="1"/>
  <c r="AA51" i="32"/>
  <c r="K51" i="32" a="1"/>
  <c r="K51" i="32" s="1"/>
  <c r="C51" i="32" a="1"/>
  <c r="C51" i="32" s="1"/>
  <c r="W11" i="32"/>
  <c r="X11" i="32"/>
  <c r="I24" i="32"/>
  <c r="J24" i="32" s="1"/>
  <c r="H24" i="32"/>
  <c r="R22" i="35"/>
  <c r="Q22" i="35" s="1"/>
  <c r="R36" i="35"/>
  <c r="M36" i="35" s="1"/>
  <c r="V25" i="35"/>
  <c r="Y23" i="35"/>
  <c r="T19" i="35"/>
  <c r="Y30" i="35"/>
  <c r="V30" i="35" s="1"/>
  <c r="T51" i="31"/>
  <c r="P51" i="31"/>
  <c r="G59" i="31"/>
  <c r="G39" i="31"/>
  <c r="V58" i="31"/>
  <c r="H50" i="31"/>
  <c r="E50" i="31" s="1"/>
  <c r="O53" i="31"/>
  <c r="V53" i="31"/>
  <c r="V56" i="31"/>
  <c r="P50" i="31"/>
  <c r="O50" i="31" s="1"/>
  <c r="T50" i="31"/>
  <c r="X50" i="31" s="1"/>
  <c r="G53" i="31"/>
  <c r="V47" i="31"/>
  <c r="T58" i="31"/>
  <c r="P58" i="31"/>
  <c r="O58" i="31" s="1"/>
  <c r="P39" i="31"/>
  <c r="M39" i="31" s="1"/>
  <c r="T39" i="31"/>
  <c r="V41" i="31"/>
  <c r="H44" i="31"/>
  <c r="E44" i="31" s="1"/>
  <c r="V54" i="31"/>
  <c r="P8" i="36" a="1"/>
  <c r="AH22" i="36" a="1"/>
  <c r="AH18" i="36" a="1"/>
  <c r="P24" i="36" a="1"/>
  <c r="AH24" i="36" a="1"/>
  <c r="U9" i="36" a="1"/>
  <c r="AH21" i="36" a="1"/>
  <c r="AH25" i="36" a="1"/>
  <c r="P25" i="36" a="1"/>
  <c r="P7" i="36" a="1"/>
  <c r="U13" i="36" a="1"/>
  <c r="U18" i="36" a="1"/>
  <c r="U22" i="36" a="1"/>
  <c r="U7" i="36" a="1"/>
  <c r="P18" i="36" a="1"/>
  <c r="P14" i="36" a="1"/>
  <c r="P9" i="36" a="1"/>
  <c r="P19" i="36" a="1"/>
  <c r="U23" i="36" a="1"/>
  <c r="P6" i="36" a="1"/>
  <c r="U21" i="36" a="1"/>
  <c r="AH15" i="36" a="1"/>
  <c r="AH20" i="36" a="1"/>
  <c r="AH7" i="36" a="1"/>
  <c r="AH13" i="36" a="1"/>
  <c r="P11" i="36" a="1"/>
  <c r="U15" i="36" a="1"/>
  <c r="AH10" i="36" a="1"/>
  <c r="U11" i="36" a="1"/>
  <c r="AH16" i="36" a="1"/>
  <c r="P10" i="36" a="1"/>
  <c r="U24" i="36" a="1"/>
  <c r="P22" i="36" a="1"/>
  <c r="P20" i="36" a="1"/>
  <c r="P21" i="36" a="1"/>
  <c r="AH23" i="36" a="1"/>
  <c r="AH14" i="36" a="1"/>
  <c r="P12" i="36" a="1"/>
  <c r="U6" i="36" a="1"/>
  <c r="P17" i="36" a="1"/>
  <c r="AH9" i="36" a="1"/>
  <c r="AH6" i="36" a="1"/>
  <c r="U12" i="36" a="1"/>
  <c r="U20" i="36" a="1"/>
  <c r="U16" i="36" a="1"/>
  <c r="P15" i="36" a="1"/>
  <c r="AH11" i="36" a="1"/>
  <c r="U8" i="36" a="1"/>
  <c r="P13" i="36" a="1"/>
  <c r="U10" i="36" a="1"/>
  <c r="P16" i="36" a="1"/>
  <c r="AH17" i="36" a="1"/>
  <c r="P23" i="36" a="1"/>
  <c r="U14" i="36" a="1"/>
  <c r="U25" i="36" a="1"/>
  <c r="AH12" i="36" a="1"/>
  <c r="U19" i="36" a="1"/>
  <c r="AH19" i="36" a="1"/>
  <c r="AH8" i="36" a="1"/>
  <c r="U17" i="36" a="1"/>
  <c r="G50" i="31" l="1"/>
  <c r="X39" i="31"/>
  <c r="Z39" i="31" s="1" a="1"/>
  <c r="Z39" i="31" s="1"/>
  <c r="Q36" i="35"/>
  <c r="X36" i="35"/>
  <c r="Q28" i="35"/>
  <c r="K55" i="31"/>
  <c r="X40" i="31"/>
  <c r="O28" i="35"/>
  <c r="J28" i="35"/>
  <c r="X55" i="31"/>
  <c r="U55" i="31" s="1"/>
  <c r="Q19" i="35"/>
  <c r="T22" i="35"/>
  <c r="T20" i="35"/>
  <c r="V29" i="35"/>
  <c r="V24" i="35"/>
  <c r="X24" i="35"/>
  <c r="U17" i="36"/>
  <c r="AH8" i="36"/>
  <c r="AH19" i="36"/>
  <c r="U19" i="36"/>
  <c r="AH12" i="36"/>
  <c r="U25" i="36"/>
  <c r="U14" i="36"/>
  <c r="P23" i="36"/>
  <c r="AH17" i="36"/>
  <c r="P16" i="36"/>
  <c r="U10" i="36"/>
  <c r="P13" i="36"/>
  <c r="U8" i="36"/>
  <c r="AH11" i="36"/>
  <c r="P15" i="36"/>
  <c r="U16" i="36"/>
  <c r="U20" i="36"/>
  <c r="U12" i="36"/>
  <c r="AH6" i="36"/>
  <c r="AH9" i="36"/>
  <c r="P17" i="36"/>
  <c r="U6" i="36"/>
  <c r="P12" i="36"/>
  <c r="AH14" i="36"/>
  <c r="AH23" i="36"/>
  <c r="P21" i="36"/>
  <c r="P20" i="36"/>
  <c r="P22" i="36"/>
  <c r="U24" i="36"/>
  <c r="P10" i="36"/>
  <c r="AH16" i="36"/>
  <c r="U11" i="36"/>
  <c r="AH10" i="36"/>
  <c r="U15" i="36"/>
  <c r="P11" i="36"/>
  <c r="AH13" i="36"/>
  <c r="AH7" i="36"/>
  <c r="AH20" i="36"/>
  <c r="AH15" i="36"/>
  <c r="U21" i="36"/>
  <c r="P6" i="36"/>
  <c r="U23" i="36"/>
  <c r="P19" i="36"/>
  <c r="P9" i="36"/>
  <c r="P14" i="36"/>
  <c r="P18" i="36"/>
  <c r="U7" i="36"/>
  <c r="U22" i="36"/>
  <c r="U18" i="36"/>
  <c r="U13" i="36"/>
  <c r="P7" i="36"/>
  <c r="P25" i="36"/>
  <c r="AH25" i="36"/>
  <c r="AH21" i="36"/>
  <c r="U9" i="36"/>
  <c r="AH24" i="36"/>
  <c r="P24" i="36"/>
  <c r="AH18" i="36"/>
  <c r="AH22" i="36"/>
  <c r="P8" i="36"/>
  <c r="M48" i="31"/>
  <c r="T48" i="31"/>
  <c r="P48" i="31"/>
  <c r="E43" i="31"/>
  <c r="I43" i="31" a="1"/>
  <c r="I43" i="31" s="1"/>
  <c r="J43" i="31" a="1"/>
  <c r="J43" i="31" s="1"/>
  <c r="E30" i="36"/>
  <c r="E31" i="36" s="1"/>
  <c r="X30" i="36"/>
  <c r="X31" i="36" s="1"/>
  <c r="W30" i="36"/>
  <c r="W31" i="36" s="1"/>
  <c r="D62" i="31"/>
  <c r="H38" i="31"/>
  <c r="E54" i="31"/>
  <c r="J54" i="31" a="1"/>
  <c r="J54" i="31" s="1"/>
  <c r="I54" i="31" a="1"/>
  <c r="I54" i="31" s="1"/>
  <c r="J30" i="36"/>
  <c r="J31" i="36" s="1"/>
  <c r="AG30" i="36"/>
  <c r="AG31" i="36" s="1"/>
  <c r="G43" i="31"/>
  <c r="H47" i="31"/>
  <c r="E47" i="31" s="1"/>
  <c r="U50" i="31"/>
  <c r="Y50" i="31" a="1"/>
  <c r="Y50" i="31" s="1"/>
  <c r="Z50" i="31" a="1"/>
  <c r="Z50" i="31" s="1"/>
  <c r="M51" i="31"/>
  <c r="Q51" i="31" a="1"/>
  <c r="Q51" i="31" s="1"/>
  <c r="R51" i="31" a="1"/>
  <c r="R51" i="31" s="1"/>
  <c r="F23" i="35"/>
  <c r="M32" i="35"/>
  <c r="T43" i="31"/>
  <c r="J45" i="31" a="1"/>
  <c r="J45" i="31" s="1"/>
  <c r="I45" i="31" a="1"/>
  <c r="I45" i="31" s="1"/>
  <c r="M56" i="31"/>
  <c r="Q56" i="31" a="1"/>
  <c r="Q56" i="31" s="1"/>
  <c r="R56" i="31" a="1"/>
  <c r="R56" i="31" s="1"/>
  <c r="M47" i="31"/>
  <c r="R47" i="31" a="1"/>
  <c r="R47" i="31" s="1"/>
  <c r="Q47" i="31" a="1"/>
  <c r="Q47" i="31" s="1"/>
  <c r="E49" i="31"/>
  <c r="J49" i="31" a="1"/>
  <c r="J49" i="31" s="1"/>
  <c r="I49" i="31" a="1"/>
  <c r="I49" i="31" s="1"/>
  <c r="V43" i="31"/>
  <c r="X45" i="31"/>
  <c r="U45" i="31" s="1"/>
  <c r="T35" i="35"/>
  <c r="V35" i="35"/>
  <c r="X42" i="31"/>
  <c r="U42" i="31" s="1"/>
  <c r="M53" i="31"/>
  <c r="R53" i="31" a="1"/>
  <c r="R53" i="31" s="1"/>
  <c r="Q53" i="31" a="1"/>
  <c r="Q53" i="31" s="1"/>
  <c r="R54" i="31" a="1"/>
  <c r="R54" i="31" s="1"/>
  <c r="Q54" i="31" a="1"/>
  <c r="Q54" i="31" s="1"/>
  <c r="Q52" i="31" a="1"/>
  <c r="Q52" i="31" s="1"/>
  <c r="R52" i="31" a="1"/>
  <c r="R52" i="31" s="1"/>
  <c r="M55" i="31"/>
  <c r="R55" i="31" a="1"/>
  <c r="R55" i="31" s="1"/>
  <c r="Q55" i="31" a="1"/>
  <c r="Q55" i="31" s="1"/>
  <c r="S55" i="31" s="1"/>
  <c r="M40" i="31"/>
  <c r="R40" i="31" a="1"/>
  <c r="R40" i="31" s="1"/>
  <c r="Q40" i="31" a="1"/>
  <c r="Q40" i="31" s="1"/>
  <c r="O30" i="35"/>
  <c r="M30" i="35"/>
  <c r="J36" i="35"/>
  <c r="X28" i="35"/>
  <c r="T17" i="35"/>
  <c r="Y41" i="35"/>
  <c r="X17" i="35"/>
  <c r="V28" i="35"/>
  <c r="M35" i="35"/>
  <c r="Q35" i="35"/>
  <c r="O23" i="35"/>
  <c r="M22" i="35"/>
  <c r="Q20" i="35"/>
  <c r="O20" i="35"/>
  <c r="V27" i="35"/>
  <c r="Z55" i="32"/>
  <c r="Y55" i="32"/>
  <c r="V22" i="35"/>
  <c r="H35" i="35"/>
  <c r="X27" i="33"/>
  <c r="V27" i="33"/>
  <c r="V30" i="36"/>
  <c r="V31" i="36" s="1"/>
  <c r="AB30" i="36"/>
  <c r="AB31" i="36" s="1"/>
  <c r="Q30" i="36"/>
  <c r="Q31" i="36" s="1"/>
  <c r="M30" i="36"/>
  <c r="M31" i="36" s="1"/>
  <c r="O52" i="31"/>
  <c r="V52" i="31"/>
  <c r="AD30" i="36"/>
  <c r="AD31" i="36" s="1"/>
  <c r="L30" i="36"/>
  <c r="L31" i="36" s="1"/>
  <c r="K30" i="36"/>
  <c r="K31" i="36" s="1"/>
  <c r="O30" i="36"/>
  <c r="O31" i="36" s="1"/>
  <c r="W42" i="31"/>
  <c r="H41" i="31"/>
  <c r="G41" i="31" s="1"/>
  <c r="U39" i="31"/>
  <c r="X58" i="31"/>
  <c r="U58" i="31" s="1"/>
  <c r="T30" i="35"/>
  <c r="X30" i="35"/>
  <c r="F17" i="35"/>
  <c r="K41" i="35"/>
  <c r="J17" i="35"/>
  <c r="I46" i="31" a="1"/>
  <c r="I46" i="31" s="1"/>
  <c r="J46" i="31" a="1"/>
  <c r="J46" i="31" s="1"/>
  <c r="J56" i="31" a="1"/>
  <c r="J56" i="31" s="1"/>
  <c r="I56" i="31" a="1"/>
  <c r="I56" i="31" s="1"/>
  <c r="U49" i="31"/>
  <c r="Z49" i="31" a="1"/>
  <c r="Z49" i="31" s="1"/>
  <c r="Y49" i="31" a="1"/>
  <c r="Y49" i="31" s="1"/>
  <c r="AA49" i="31" s="1"/>
  <c r="B49" i="31" s="1"/>
  <c r="R57" i="31" a="1"/>
  <c r="R57" i="31" s="1"/>
  <c r="Q57" i="31" a="1"/>
  <c r="Q57" i="31" s="1"/>
  <c r="X47" i="31"/>
  <c r="U47" i="31"/>
  <c r="X57" i="31"/>
  <c r="W57" i="31" s="1"/>
  <c r="E40" i="31"/>
  <c r="I40" i="31" a="1"/>
  <c r="I40" i="31" s="1"/>
  <c r="J40" i="31" a="1"/>
  <c r="J40" i="31" s="1"/>
  <c r="G46" i="31"/>
  <c r="O42" i="31"/>
  <c r="Q42" i="31" a="1"/>
  <c r="Q42" i="31" s="1"/>
  <c r="R42" i="31" a="1"/>
  <c r="R42" i="31" s="1"/>
  <c r="X53" i="31"/>
  <c r="U53" i="31"/>
  <c r="L31" i="31"/>
  <c r="X54" i="31"/>
  <c r="X52" i="31"/>
  <c r="Y55" i="31" a="1"/>
  <c r="Y55" i="31" s="1"/>
  <c r="U40" i="31"/>
  <c r="Y40" i="31" a="1"/>
  <c r="Y40" i="31" s="1"/>
  <c r="Z40" i="31" a="1"/>
  <c r="Z40" i="31" s="1"/>
  <c r="H36" i="35"/>
  <c r="J44" i="31" a="1"/>
  <c r="J44" i="31" s="1"/>
  <c r="I44" i="31" a="1"/>
  <c r="I44" i="31" s="1"/>
  <c r="Q39" i="31" a="1"/>
  <c r="Q39" i="31" s="1"/>
  <c r="R39" i="31" a="1"/>
  <c r="R39" i="31" s="1"/>
  <c r="M50" i="31"/>
  <c r="Q50" i="31" a="1"/>
  <c r="Q50" i="31" s="1"/>
  <c r="R50" i="31" a="1"/>
  <c r="R50" i="31" s="1"/>
  <c r="X51" i="31"/>
  <c r="U51" i="31" s="1"/>
  <c r="V23" i="35"/>
  <c r="T23" i="35"/>
  <c r="H17" i="35"/>
  <c r="M43" i="31"/>
  <c r="R43" i="31" a="1"/>
  <c r="R43" i="31" s="1"/>
  <c r="Q43" i="31" a="1"/>
  <c r="Q43" i="31" s="1"/>
  <c r="W45" i="31"/>
  <c r="X56" i="31"/>
  <c r="U56" i="31" s="1"/>
  <c r="O49" i="31"/>
  <c r="Q49" i="31" a="1"/>
  <c r="Q49" i="31" s="1"/>
  <c r="R49" i="31" a="1"/>
  <c r="R49" i="31" s="1"/>
  <c r="U57" i="31"/>
  <c r="R44" i="31" a="1"/>
  <c r="R44" i="31" s="1"/>
  <c r="Q44" i="31" a="1"/>
  <c r="Q44" i="31" s="1"/>
  <c r="W40" i="31"/>
  <c r="O43" i="31"/>
  <c r="M42" i="31"/>
  <c r="R59" i="31" a="1"/>
  <c r="R59" i="31" s="1"/>
  <c r="Q59" i="31" a="1"/>
  <c r="Q59" i="31" s="1"/>
  <c r="S59" i="31" s="1"/>
  <c r="M38" i="31"/>
  <c r="Q38" i="31" a="1"/>
  <c r="Q38" i="31" s="1"/>
  <c r="R38" i="31" a="1"/>
  <c r="R38" i="31" s="1"/>
  <c r="J59" i="31" a="1"/>
  <c r="J59" i="31" s="1"/>
  <c r="I59" i="31" a="1"/>
  <c r="I59" i="31" s="1"/>
  <c r="O59" i="31"/>
  <c r="J29" i="35"/>
  <c r="F29" i="35"/>
  <c r="J32" i="35"/>
  <c r="H32" i="35"/>
  <c r="O32" i="35"/>
  <c r="V17" i="35"/>
  <c r="H30" i="36"/>
  <c r="H31" i="36" s="1"/>
  <c r="G30" i="36"/>
  <c r="G31" i="36" s="1"/>
  <c r="H48" i="31"/>
  <c r="E48" i="31"/>
  <c r="R30" i="36"/>
  <c r="R31" i="36" s="1"/>
  <c r="D30" i="36"/>
  <c r="H42" i="31"/>
  <c r="E42" i="31"/>
  <c r="O48" i="31"/>
  <c r="V48" i="31"/>
  <c r="AE30" i="36"/>
  <c r="AE31" i="36" s="1"/>
  <c r="AC30" i="36"/>
  <c r="AC31" i="36" s="1"/>
  <c r="Z30" i="36"/>
  <c r="Z31" i="36" s="1"/>
  <c r="E39" i="31"/>
  <c r="J39" i="31" a="1"/>
  <c r="J39" i="31" s="1"/>
  <c r="I39" i="31" a="1"/>
  <c r="I39" i="31" s="1"/>
  <c r="K39" i="31" s="1"/>
  <c r="P41" i="31"/>
  <c r="T41" i="31"/>
  <c r="X19" i="35"/>
  <c r="O35" i="35"/>
  <c r="O36" i="35"/>
  <c r="H20" i="35"/>
  <c r="O54" i="31"/>
  <c r="M58" i="31"/>
  <c r="R58" i="31" a="1"/>
  <c r="R58" i="31" s="1"/>
  <c r="Q58" i="31" a="1"/>
  <c r="Q58" i="31" s="1"/>
  <c r="S58" i="31" s="1"/>
  <c r="O47" i="31"/>
  <c r="O56" i="31"/>
  <c r="J50" i="31" a="1"/>
  <c r="J50" i="31" s="1"/>
  <c r="I50" i="31" a="1"/>
  <c r="I50" i="31" s="1"/>
  <c r="K50" i="31" s="1"/>
  <c r="G40" i="31"/>
  <c r="X23" i="35"/>
  <c r="O22" i="35"/>
  <c r="E46" i="31"/>
  <c r="G56" i="31"/>
  <c r="F62" i="31"/>
  <c r="E56" i="31"/>
  <c r="W50" i="31"/>
  <c r="G49" i="31"/>
  <c r="K53" i="31"/>
  <c r="M57" i="31"/>
  <c r="M25" i="35"/>
  <c r="O25" i="35"/>
  <c r="N31" i="31"/>
  <c r="G52" i="31"/>
  <c r="J52" i="31" a="1"/>
  <c r="J52" i="31" s="1"/>
  <c r="I52" i="31" a="1"/>
  <c r="I52" i="31" s="1"/>
  <c r="O40" i="31"/>
  <c r="W49" i="31"/>
  <c r="Q45" i="31" a="1"/>
  <c r="Q45" i="31" s="1"/>
  <c r="R45" i="31" a="1"/>
  <c r="R45" i="31" s="1"/>
  <c r="Q17" i="35"/>
  <c r="R41" i="35"/>
  <c r="O39" i="31"/>
  <c r="X59" i="31"/>
  <c r="W59" i="31" s="1"/>
  <c r="T38" i="31"/>
  <c r="G51" i="31"/>
  <c r="I51" i="31" a="1"/>
  <c r="I51" i="31" s="1"/>
  <c r="J51" i="31" a="1"/>
  <c r="J51" i="31" s="1"/>
  <c r="E58" i="31"/>
  <c r="I58" i="31" a="1"/>
  <c r="I58" i="31" s="1"/>
  <c r="J58" i="31" a="1"/>
  <c r="J58" i="31" s="1"/>
  <c r="M52" i="31"/>
  <c r="E59" i="31"/>
  <c r="X32" i="35"/>
  <c r="V32" i="35"/>
  <c r="X29" i="35"/>
  <c r="X20" i="35"/>
  <c r="F32" i="35"/>
  <c r="H29" i="35"/>
  <c r="J20" i="35"/>
  <c r="O29" i="35"/>
  <c r="M29" i="35"/>
  <c r="H25" i="35"/>
  <c r="W27" i="33"/>
  <c r="Q27" i="35"/>
  <c r="M27" i="35"/>
  <c r="T32" i="35"/>
  <c r="H23" i="35"/>
  <c r="J35" i="35"/>
  <c r="O17" i="35"/>
  <c r="F30" i="36"/>
  <c r="F31" i="36" s="1"/>
  <c r="Y30" i="36"/>
  <c r="Y31" i="36" s="1"/>
  <c r="I30" i="36"/>
  <c r="I31" i="36" s="1"/>
  <c r="S30" i="36"/>
  <c r="S31" i="36" s="1"/>
  <c r="P46" i="31"/>
  <c r="T46" i="31"/>
  <c r="AA30" i="36"/>
  <c r="AA31" i="36" s="1"/>
  <c r="N30" i="36"/>
  <c r="N31" i="36" s="1"/>
  <c r="G54" i="31"/>
  <c r="G44" i="31"/>
  <c r="V44" i="31"/>
  <c r="V62" i="31" s="1"/>
  <c r="O44" i="31"/>
  <c r="K51" i="31" l="1"/>
  <c r="K52" i="31"/>
  <c r="S38" i="31"/>
  <c r="S49" i="31"/>
  <c r="K46" i="31"/>
  <c r="Y39" i="31" a="1"/>
  <c r="Y39" i="31" s="1"/>
  <c r="AA39" i="31" s="1"/>
  <c r="B39" i="31" s="1"/>
  <c r="AA50" i="31"/>
  <c r="W56" i="31"/>
  <c r="P62" i="31"/>
  <c r="S62" i="31" s="1"/>
  <c r="S31" i="31" s="1"/>
  <c r="W55" i="31"/>
  <c r="Z55" i="31" a="1"/>
  <c r="Z55" i="31" s="1"/>
  <c r="AA55" i="31" s="1"/>
  <c r="B55" i="31" s="1"/>
  <c r="W39" i="31"/>
  <c r="S47" i="31"/>
  <c r="S56" i="31"/>
  <c r="S51" i="31"/>
  <c r="S50" i="31"/>
  <c r="AA40" i="31"/>
  <c r="B40" i="31" s="1"/>
  <c r="S42" i="31"/>
  <c r="K40" i="31"/>
  <c r="S52" i="31"/>
  <c r="K43" i="31"/>
  <c r="P31" i="31"/>
  <c r="M62" i="31"/>
  <c r="M31" i="31" s="1"/>
  <c r="O62" i="31"/>
  <c r="O31" i="31" s="1"/>
  <c r="U52" i="31"/>
  <c r="Y52" i="31" a="1"/>
  <c r="Y52" i="31" s="1"/>
  <c r="Z52" i="31" a="1"/>
  <c r="Z52" i="31" s="1"/>
  <c r="I55" i="32"/>
  <c r="F55" i="32"/>
  <c r="W55" i="32"/>
  <c r="H55" i="32"/>
  <c r="X55" i="32"/>
  <c r="G55" i="32"/>
  <c r="K58" i="31"/>
  <c r="S45" i="31"/>
  <c r="X44" i="31"/>
  <c r="W44" i="31" s="1"/>
  <c r="X41" i="31"/>
  <c r="U41" i="31"/>
  <c r="I42" i="31" a="1"/>
  <c r="I42" i="31" s="1"/>
  <c r="J42" i="31" a="1"/>
  <c r="J42" i="31" s="1"/>
  <c r="G42" i="31"/>
  <c r="G48" i="31"/>
  <c r="J48" i="31" a="1"/>
  <c r="J48" i="31" s="1"/>
  <c r="I48" i="31" a="1"/>
  <c r="I48" i="31" s="1"/>
  <c r="S44" i="31"/>
  <c r="Z56" i="31" a="1"/>
  <c r="Z56" i="31" s="1"/>
  <c r="Y56" i="31" a="1"/>
  <c r="Y56" i="31" s="1"/>
  <c r="S43" i="31"/>
  <c r="S39" i="31"/>
  <c r="U54" i="31"/>
  <c r="Y54" i="31" a="1"/>
  <c r="Y54" i="31" s="1"/>
  <c r="Z54" i="31" a="1"/>
  <c r="Z54" i="31" s="1"/>
  <c r="W53" i="31"/>
  <c r="Y53" i="31" a="1"/>
  <c r="Y53" i="31" s="1"/>
  <c r="Z53" i="31" a="1"/>
  <c r="Z53" i="31" s="1"/>
  <c r="W47" i="31"/>
  <c r="Y47" i="31" a="1"/>
  <c r="Y47" i="31" s="1"/>
  <c r="Z47" i="31" a="1"/>
  <c r="Z47" i="31" s="1"/>
  <c r="Q55" i="32"/>
  <c r="AA55" i="32"/>
  <c r="P55" i="32"/>
  <c r="O55" i="32"/>
  <c r="N55" i="32"/>
  <c r="S40" i="31"/>
  <c r="S54" i="31"/>
  <c r="K49" i="31"/>
  <c r="E38" i="31"/>
  <c r="H62" i="31"/>
  <c r="I38" i="31" a="1"/>
  <c r="I38" i="31" s="1"/>
  <c r="J38" i="31" a="1"/>
  <c r="J38" i="31" s="1"/>
  <c r="G38" i="31"/>
  <c r="R48" i="31" a="1"/>
  <c r="R48" i="31" s="1"/>
  <c r="Q48" i="31" a="1"/>
  <c r="Q48" i="31" s="1"/>
  <c r="AH30" i="36"/>
  <c r="AH31" i="36" s="1"/>
  <c r="Y59" i="31" a="1"/>
  <c r="Y59" i="31" s="1"/>
  <c r="AA59" i="31" s="1"/>
  <c r="Z59" i="31" a="1"/>
  <c r="Z59" i="31" s="1"/>
  <c r="X43" i="31"/>
  <c r="U43" i="31"/>
  <c r="U46" i="31"/>
  <c r="X46" i="31"/>
  <c r="T62" i="31"/>
  <c r="X38" i="31"/>
  <c r="U38" i="31" s="1"/>
  <c r="F31" i="31"/>
  <c r="G62" i="31"/>
  <c r="G31" i="31" s="1"/>
  <c r="M41" i="31"/>
  <c r="D31" i="36"/>
  <c r="S57" i="31"/>
  <c r="W58" i="31"/>
  <c r="Z58" i="31" a="1"/>
  <c r="Z58" i="31" s="1"/>
  <c r="Y58" i="31" a="1"/>
  <c r="Y58" i="31" s="1"/>
  <c r="W54" i="31"/>
  <c r="W52" i="31"/>
  <c r="K45" i="31"/>
  <c r="G47" i="31"/>
  <c r="I47" i="31" a="1"/>
  <c r="I47" i="31" s="1"/>
  <c r="J47" i="31" a="1"/>
  <c r="J47" i="31" s="1"/>
  <c r="K54" i="31"/>
  <c r="D31" i="31"/>
  <c r="E62" i="31"/>
  <c r="E31" i="31" s="1"/>
  <c r="X48" i="31"/>
  <c r="U48" i="31" s="1"/>
  <c r="U30" i="36"/>
  <c r="U31" i="36" s="1"/>
  <c r="V31" i="31"/>
  <c r="M46" i="31"/>
  <c r="R46" i="31" a="1"/>
  <c r="R46" i="31" s="1"/>
  <c r="Q46" i="31" a="1"/>
  <c r="Q46" i="31" s="1"/>
  <c r="S46" i="31" s="1"/>
  <c r="O46" i="31"/>
  <c r="U59" i="31"/>
  <c r="O41" i="31"/>
  <c r="R41" i="31" a="1"/>
  <c r="R41" i="31" s="1"/>
  <c r="Q41" i="31" a="1"/>
  <c r="Q41" i="31" s="1"/>
  <c r="K59" i="31"/>
  <c r="W51" i="31"/>
  <c r="Z51" i="31" a="1"/>
  <c r="Z51" i="31" s="1"/>
  <c r="Y51" i="31" a="1"/>
  <c r="Y51" i="31" s="1"/>
  <c r="K44" i="31"/>
  <c r="Y57" i="31" a="1"/>
  <c r="Y57" i="31" s="1"/>
  <c r="AA57" i="31" s="1"/>
  <c r="B57" i="31" s="1"/>
  <c r="Z57" i="31" a="1"/>
  <c r="Z57" i="31" s="1"/>
  <c r="K56" i="31"/>
  <c r="E41" i="31"/>
  <c r="I41" i="31" a="1"/>
  <c r="I41" i="31" s="1"/>
  <c r="K41" i="31" s="1"/>
  <c r="J41" i="31" a="1"/>
  <c r="J41" i="31" s="1"/>
  <c r="S53" i="31"/>
  <c r="Z42" i="31" a="1"/>
  <c r="Z42" i="31" s="1"/>
  <c r="Y42" i="31" a="1"/>
  <c r="Y42" i="31" s="1"/>
  <c r="Z45" i="31" a="1"/>
  <c r="Z45" i="31" s="1"/>
  <c r="Y45" i="31" a="1"/>
  <c r="Y45" i="31" s="1"/>
  <c r="AA45" i="31" s="1"/>
  <c r="B45" i="31" s="1"/>
  <c r="B50" i="31"/>
  <c r="P30" i="36"/>
  <c r="P31" i="36" s="1"/>
  <c r="K47" i="31" l="1"/>
  <c r="S48" i="31"/>
  <c r="AA58" i="31"/>
  <c r="B58" i="31" s="1"/>
  <c r="K48" i="31"/>
  <c r="AA53" i="31"/>
  <c r="B53" i="31" s="1"/>
  <c r="T31" i="31"/>
  <c r="Y43" i="31" a="1"/>
  <c r="Y43" i="31" s="1"/>
  <c r="Z43" i="31" a="1"/>
  <c r="Z43" i="31" s="1"/>
  <c r="K38" i="31"/>
  <c r="AA47" i="31"/>
  <c r="B47" i="31" s="1"/>
  <c r="Y41" i="31" a="1"/>
  <c r="Y41" i="31" s="1"/>
  <c r="Z41" i="31" a="1"/>
  <c r="Z41" i="31" s="1"/>
  <c r="W41" i="31"/>
  <c r="B30" i="36"/>
  <c r="W46" i="31"/>
  <c r="Z46" i="31" a="1"/>
  <c r="Z46" i="31" s="1"/>
  <c r="Y46" i="31" a="1"/>
  <c r="Y46" i="31" s="1"/>
  <c r="H31" i="31"/>
  <c r="K62" i="31"/>
  <c r="K31" i="31" s="1"/>
  <c r="S55" i="32"/>
  <c r="C55" i="32"/>
  <c r="E55" i="32"/>
  <c r="J55" i="32"/>
  <c r="L55" i="32"/>
  <c r="D55" i="32"/>
  <c r="K55" i="32"/>
  <c r="T55" i="32"/>
  <c r="R55" i="32"/>
  <c r="M55" i="32"/>
  <c r="Z44" i="31" a="1"/>
  <c r="Z44" i="31" s="1"/>
  <c r="Y44" i="31" a="1"/>
  <c r="Y44" i="31" s="1"/>
  <c r="U44" i="31"/>
  <c r="W43" i="31"/>
  <c r="AA52" i="31"/>
  <c r="B52" i="31" s="1"/>
  <c r="AA42" i="31"/>
  <c r="B42" i="31" s="1"/>
  <c r="AA51" i="31"/>
  <c r="B51" i="31" s="1"/>
  <c r="S41" i="31"/>
  <c r="X62" i="31"/>
  <c r="W48" i="31"/>
  <c r="Z48" i="31" a="1"/>
  <c r="Z48" i="31" s="1"/>
  <c r="Y48" i="31" a="1"/>
  <c r="Y48" i="31" s="1"/>
  <c r="B31" i="36"/>
  <c r="Y38" i="31" a="1"/>
  <c r="Y38" i="31" s="1"/>
  <c r="Z38" i="31" a="1"/>
  <c r="Z38" i="31" s="1"/>
  <c r="W38" i="31"/>
  <c r="B59" i="31"/>
  <c r="AA54" i="31"/>
  <c r="B54" i="31" s="1"/>
  <c r="AA56" i="31"/>
  <c r="B56" i="31" s="1"/>
  <c r="K42" i="31"/>
  <c r="AA44" i="31" l="1"/>
  <c r="B44" i="31" s="1"/>
  <c r="AA41" i="31"/>
  <c r="B41" i="31" s="1"/>
  <c r="AA43" i="31"/>
  <c r="B43" i="31" s="1"/>
  <c r="W62" i="31"/>
  <c r="W31" i="31" s="1"/>
  <c r="X31" i="31"/>
  <c r="U62" i="31"/>
  <c r="U31" i="31" s="1"/>
  <c r="AA38" i="31"/>
  <c r="B38" i="31" s="1"/>
  <c r="AA48" i="31"/>
  <c r="B48" i="31" s="1"/>
  <c r="AA46" i="31"/>
  <c r="B46" i="31" s="1"/>
  <c r="O29" i="31" l="1"/>
  <c r="T29" i="31"/>
  <c r="Y29" i="31"/>
  <c r="AD30" i="31"/>
  <c r="F29" i="31"/>
  <c r="AB7" i="31" a="1"/>
  <c r="AB7" i="31" s="1"/>
  <c r="M29" i="31"/>
  <c r="X29" i="31"/>
  <c r="S30" i="31"/>
  <c r="AB19" i="31"/>
  <c r="Z29" i="31"/>
  <c r="F30" i="31"/>
  <c r="AB21" i="31"/>
  <c r="C30" i="31"/>
  <c r="AA30" i="31"/>
  <c r="C29" i="31"/>
  <c r="T30" i="31"/>
  <c r="M30" i="31"/>
  <c r="U29" i="31"/>
  <c r="S29" i="31"/>
  <c r="AA29" i="31"/>
  <c r="AD29" i="31"/>
  <c r="V30" i="31"/>
  <c r="U30" i="31"/>
  <c r="AB26" i="31"/>
  <c r="E30" i="31"/>
  <c r="E29" i="31"/>
  <c r="AB11" i="31"/>
  <c r="L30" i="31"/>
  <c r="W30" i="31"/>
  <c r="AB23" i="31"/>
  <c r="AB13" i="31"/>
  <c r="AB12" i="31"/>
  <c r="P30" i="31"/>
  <c r="R30" i="31"/>
  <c r="V29" i="31"/>
  <c r="AB16" i="31"/>
  <c r="K29" i="31"/>
  <c r="AF28" i="34" s="1"/>
  <c r="AF127" i="34" s="1"/>
  <c r="D30" i="31"/>
  <c r="N29" i="31"/>
  <c r="AB22" i="31"/>
  <c r="H29" i="31"/>
  <c r="AB25" i="31"/>
  <c r="AB17" i="31"/>
  <c r="P29" i="31"/>
  <c r="W29" i="31"/>
  <c r="AB24" i="31"/>
  <c r="J30" i="31"/>
  <c r="AB8" i="31"/>
  <c r="R29" i="31"/>
  <c r="Q30" i="31"/>
  <c r="N30" i="31"/>
  <c r="K30" i="31"/>
  <c r="Q29" i="31"/>
  <c r="AB10" i="31"/>
  <c r="Z30" i="31"/>
  <c r="I29" i="31"/>
  <c r="AD28" i="34" s="1"/>
  <c r="AD127" i="34" s="1"/>
  <c r="J29" i="31"/>
  <c r="AE28" i="34" s="1"/>
  <c r="AE127" i="34" s="1"/>
  <c r="L29" i="31"/>
  <c r="AB9" i="31"/>
  <c r="AB18" i="31"/>
  <c r="X30" i="31"/>
  <c r="D29" i="31"/>
  <c r="I30" i="31"/>
  <c r="O30" i="31"/>
  <c r="AB15" i="31"/>
  <c r="AB14" i="31"/>
  <c r="Y30" i="31"/>
  <c r="G30" i="31"/>
  <c r="G29" i="31"/>
  <c r="AB20" i="31"/>
  <c r="H30" i="31"/>
  <c r="AB28" i="31"/>
  <c r="J11" i="31" l="1"/>
  <c r="L11" i="31"/>
  <c r="R11" i="31"/>
  <c r="X11" i="31"/>
  <c r="Z11" i="31"/>
  <c r="Y11" i="31"/>
  <c r="O11" i="31"/>
  <c r="AA11" i="31"/>
  <c r="H11" i="31"/>
  <c r="M11" i="31"/>
  <c r="G11" i="31"/>
  <c r="C11" i="31"/>
  <c r="T11" i="31"/>
  <c r="D11" i="31"/>
  <c r="F11" i="31"/>
  <c r="P11" i="31"/>
  <c r="V11" i="31"/>
  <c r="Q11" i="31"/>
  <c r="W11" i="31"/>
  <c r="N11" i="31"/>
  <c r="U11" i="31"/>
  <c r="E11" i="31"/>
  <c r="AC11" i="31"/>
  <c r="A11" i="31" s="1"/>
  <c r="A73" i="31" s="1"/>
  <c r="AC73" i="31" s="1"/>
  <c r="K11" i="31"/>
  <c r="S11" i="31"/>
  <c r="AD11" i="31"/>
  <c r="I11" i="31"/>
  <c r="D20" i="31"/>
  <c r="AC20" i="31"/>
  <c r="A20" i="31" s="1"/>
  <c r="A82" i="31" s="1"/>
  <c r="AC82" i="31" s="1"/>
  <c r="AD20" i="31"/>
  <c r="K20" i="31"/>
  <c r="M20" i="31"/>
  <c r="Y20" i="31"/>
  <c r="O20" i="31"/>
  <c r="Z20" i="31"/>
  <c r="G20" i="31"/>
  <c r="U20" i="31"/>
  <c r="L20" i="31"/>
  <c r="P20" i="31"/>
  <c r="H20" i="31"/>
  <c r="N20" i="31"/>
  <c r="Q20" i="31"/>
  <c r="W20" i="31"/>
  <c r="T20" i="31"/>
  <c r="AA20" i="31"/>
  <c r="X20" i="31"/>
  <c r="R20" i="31"/>
  <c r="J20" i="31"/>
  <c r="I20" i="31"/>
  <c r="E20" i="31"/>
  <c r="S20" i="31"/>
  <c r="F20" i="31"/>
  <c r="V20" i="31"/>
  <c r="C20" i="31"/>
  <c r="W14" i="31"/>
  <c r="E14" i="31"/>
  <c r="V14" i="31"/>
  <c r="H14" i="31"/>
  <c r="T14" i="31"/>
  <c r="Z14" i="31"/>
  <c r="O14" i="31"/>
  <c r="L14" i="31"/>
  <c r="R14" i="31"/>
  <c r="I14" i="31"/>
  <c r="AA14" i="31"/>
  <c r="M14" i="31"/>
  <c r="C14" i="31"/>
  <c r="Y14" i="31"/>
  <c r="D14" i="31"/>
  <c r="AD14" i="31"/>
  <c r="F14" i="31"/>
  <c r="G14" i="31"/>
  <c r="AC14" i="31"/>
  <c r="A14" i="31" s="1"/>
  <c r="A76" i="31" s="1"/>
  <c r="AC76" i="31" s="1"/>
  <c r="Q14" i="31"/>
  <c r="S14" i="31"/>
  <c r="K14" i="31"/>
  <c r="J14" i="31"/>
  <c r="P14" i="31"/>
  <c r="U14" i="31"/>
  <c r="X14" i="31"/>
  <c r="N14" i="31"/>
  <c r="C10" i="31"/>
  <c r="Q10" i="31"/>
  <c r="F10" i="31"/>
  <c r="P10" i="31"/>
  <c r="L10" i="31"/>
  <c r="AD10" i="31"/>
  <c r="Z10" i="31"/>
  <c r="R10" i="31"/>
  <c r="X10" i="31"/>
  <c r="I10" i="31"/>
  <c r="H10" i="31"/>
  <c r="J10" i="31"/>
  <c r="K10" i="31"/>
  <c r="W10" i="31"/>
  <c r="AC10" i="31"/>
  <c r="A10" i="31" s="1"/>
  <c r="A72" i="31" s="1"/>
  <c r="AC72" i="31" s="1"/>
  <c r="G10" i="31"/>
  <c r="Y10" i="31"/>
  <c r="S10" i="31"/>
  <c r="M10" i="31"/>
  <c r="V10" i="31"/>
  <c r="U10" i="31"/>
  <c r="AA10" i="31"/>
  <c r="N10" i="31"/>
  <c r="T10" i="31"/>
  <c r="D10" i="31"/>
  <c r="O10" i="31"/>
  <c r="E10" i="31"/>
  <c r="L24" i="31"/>
  <c r="J24" i="31"/>
  <c r="M24" i="31"/>
  <c r="AD24" i="31"/>
  <c r="Q24" i="31"/>
  <c r="R24" i="31"/>
  <c r="W24" i="31"/>
  <c r="C24" i="31"/>
  <c r="Y24" i="31"/>
  <c r="X24" i="31"/>
  <c r="AC24" i="31"/>
  <c r="A24" i="31" s="1"/>
  <c r="A86" i="31" s="1"/>
  <c r="AC86" i="31" s="1"/>
  <c r="F24" i="31"/>
  <c r="G24" i="31"/>
  <c r="K24" i="31"/>
  <c r="E24" i="31"/>
  <c r="U24" i="31"/>
  <c r="I24" i="31"/>
  <c r="T24" i="31"/>
  <c r="V24" i="31"/>
  <c r="H24" i="31"/>
  <c r="S24" i="31"/>
  <c r="O24" i="31"/>
  <c r="D24" i="31"/>
  <c r="N24" i="31"/>
  <c r="Z24" i="31"/>
  <c r="AA24" i="31"/>
  <c r="P24" i="31"/>
  <c r="J25" i="31"/>
  <c r="S25" i="31"/>
  <c r="H25" i="31"/>
  <c r="I25" i="31"/>
  <c r="D25" i="31"/>
  <c r="W25" i="31"/>
  <c r="K25" i="31"/>
  <c r="X25" i="31"/>
  <c r="F25" i="31"/>
  <c r="AA25" i="31"/>
  <c r="N25" i="31"/>
  <c r="AD25" i="31"/>
  <c r="T25" i="31"/>
  <c r="V25" i="31"/>
  <c r="Z25" i="31"/>
  <c r="R25" i="31"/>
  <c r="E25" i="31"/>
  <c r="O25" i="31"/>
  <c r="G25" i="31"/>
  <c r="L25" i="31"/>
  <c r="C25" i="31"/>
  <c r="Y25" i="31"/>
  <c r="Q25" i="31"/>
  <c r="U25" i="31"/>
  <c r="AC25" i="31"/>
  <c r="A25" i="31" s="1"/>
  <c r="A87" i="31" s="1"/>
  <c r="AC87" i="31" s="1"/>
  <c r="M25" i="31"/>
  <c r="P25" i="31"/>
  <c r="O23" i="31"/>
  <c r="M23" i="31"/>
  <c r="I23" i="31"/>
  <c r="R23" i="31"/>
  <c r="F23" i="31"/>
  <c r="Y23" i="31"/>
  <c r="AD23" i="31"/>
  <c r="U23" i="31"/>
  <c r="V23" i="31"/>
  <c r="C23" i="31"/>
  <c r="S23" i="31"/>
  <c r="X23" i="31"/>
  <c r="AA23" i="31"/>
  <c r="Q23" i="31"/>
  <c r="L23" i="31"/>
  <c r="N23" i="31"/>
  <c r="D23" i="31"/>
  <c r="E23" i="31"/>
  <c r="W23" i="31"/>
  <c r="P23" i="31"/>
  <c r="K23" i="31"/>
  <c r="AC23" i="31"/>
  <c r="A23" i="31" s="1"/>
  <c r="A85" i="31" s="1"/>
  <c r="AC85" i="31" s="1"/>
  <c r="T23" i="31"/>
  <c r="H23" i="31"/>
  <c r="G23" i="31"/>
  <c r="J23" i="31"/>
  <c r="Z23" i="31"/>
  <c r="V15" i="31"/>
  <c r="T15" i="31"/>
  <c r="S15" i="31"/>
  <c r="W15" i="31"/>
  <c r="AA15" i="31"/>
  <c r="M15" i="31"/>
  <c r="X15" i="31"/>
  <c r="P15" i="31"/>
  <c r="O15" i="31"/>
  <c r="F15" i="31"/>
  <c r="R15" i="31"/>
  <c r="Z15" i="31"/>
  <c r="Y15" i="31"/>
  <c r="L15" i="31"/>
  <c r="Q15" i="31"/>
  <c r="C15" i="31"/>
  <c r="AC15" i="31"/>
  <c r="A15" i="31" s="1"/>
  <c r="A77" i="31" s="1"/>
  <c r="AC77" i="31" s="1"/>
  <c r="I15" i="31"/>
  <c r="N15" i="31"/>
  <c r="K15" i="31"/>
  <c r="AD15" i="31"/>
  <c r="J15" i="31"/>
  <c r="G15" i="31"/>
  <c r="E15" i="31"/>
  <c r="H15" i="31"/>
  <c r="D15" i="31"/>
  <c r="U15" i="31"/>
  <c r="I19" i="31"/>
  <c r="P19" i="31"/>
  <c r="J19" i="31"/>
  <c r="H19" i="31"/>
  <c r="W19" i="31"/>
  <c r="Y19" i="31"/>
  <c r="V19" i="31"/>
  <c r="O19" i="31"/>
  <c r="X19" i="31"/>
  <c r="L19" i="31"/>
  <c r="K19" i="31"/>
  <c r="E19" i="31"/>
  <c r="R19" i="31"/>
  <c r="C19" i="31"/>
  <c r="AA19" i="31"/>
  <c r="G19" i="31"/>
  <c r="Q19" i="31"/>
  <c r="U19" i="31"/>
  <c r="M19" i="31"/>
  <c r="S19" i="31"/>
  <c r="Z19" i="31"/>
  <c r="AC19" i="31"/>
  <c r="A19" i="31" s="1"/>
  <c r="A81" i="31" s="1"/>
  <c r="AC81" i="31" s="1"/>
  <c r="D19" i="31"/>
  <c r="F19" i="31"/>
  <c r="AD19" i="31"/>
  <c r="N19" i="31"/>
  <c r="T19" i="31"/>
  <c r="AC7" i="31"/>
  <c r="A7" i="31" s="1"/>
  <c r="A69" i="31" s="1"/>
  <c r="AC69" i="31" s="1"/>
  <c r="N7" i="31"/>
  <c r="K7" i="31"/>
  <c r="U7" i="31"/>
  <c r="Y7" i="31"/>
  <c r="F7" i="31"/>
  <c r="X7" i="31"/>
  <c r="D7" i="31"/>
  <c r="O7" i="31"/>
  <c r="G7" i="31"/>
  <c r="Q7" i="31"/>
  <c r="W7" i="31"/>
  <c r="P7" i="31"/>
  <c r="S7" i="31"/>
  <c r="C7" i="31"/>
  <c r="M7" i="31"/>
  <c r="V7" i="31"/>
  <c r="E7" i="31"/>
  <c r="Z7" i="31"/>
  <c r="H7" i="31"/>
  <c r="R7" i="31"/>
  <c r="AA7" i="31"/>
  <c r="I7" i="31"/>
  <c r="T7" i="31"/>
  <c r="J7" i="31"/>
  <c r="AD7" i="31"/>
  <c r="L7" i="31"/>
  <c r="H9" i="31"/>
  <c r="F9" i="31"/>
  <c r="O9" i="31"/>
  <c r="AA9" i="31"/>
  <c r="N9" i="31"/>
  <c r="AD9" i="31"/>
  <c r="Z9" i="31"/>
  <c r="Q9" i="31"/>
  <c r="X9" i="31"/>
  <c r="U9" i="31"/>
  <c r="L9" i="31"/>
  <c r="J9" i="31"/>
  <c r="S9" i="31"/>
  <c r="E9" i="31"/>
  <c r="G9" i="31"/>
  <c r="P9" i="31"/>
  <c r="R9" i="31"/>
  <c r="I9" i="31"/>
  <c r="M9" i="31"/>
  <c r="C9" i="31"/>
  <c r="W9" i="31"/>
  <c r="T9" i="31"/>
  <c r="Y9" i="31"/>
  <c r="D9" i="31"/>
  <c r="V9" i="31"/>
  <c r="K9" i="31"/>
  <c r="AC9" i="31"/>
  <c r="A9" i="31" s="1"/>
  <c r="A71" i="31" s="1"/>
  <c r="AC71" i="31" s="1"/>
  <c r="G17" i="31"/>
  <c r="S17" i="31"/>
  <c r="O17" i="31"/>
  <c r="AC17" i="31"/>
  <c r="A17" i="31" s="1"/>
  <c r="A79" i="31" s="1"/>
  <c r="AC79" i="31" s="1"/>
  <c r="T17" i="31"/>
  <c r="Q17" i="31"/>
  <c r="K17" i="31"/>
  <c r="N17" i="31"/>
  <c r="H17" i="31"/>
  <c r="P17" i="31"/>
  <c r="C17" i="31"/>
  <c r="W17" i="31"/>
  <c r="AD17" i="31"/>
  <c r="I17" i="31"/>
  <c r="F17" i="31"/>
  <c r="M17" i="31"/>
  <c r="R17" i="31"/>
  <c r="Z17" i="31"/>
  <c r="Y17" i="31"/>
  <c r="U17" i="31"/>
  <c r="AA17" i="31"/>
  <c r="V17" i="31"/>
  <c r="E17" i="31"/>
  <c r="L17" i="31"/>
  <c r="J17" i="31"/>
  <c r="D17" i="31"/>
  <c r="X17" i="31"/>
  <c r="I13" i="31"/>
  <c r="H13" i="31"/>
  <c r="T13" i="31"/>
  <c r="S13" i="31"/>
  <c r="X13" i="31"/>
  <c r="G13" i="31"/>
  <c r="Y13" i="31"/>
  <c r="AC13" i="31"/>
  <c r="A13" i="31" s="1"/>
  <c r="A75" i="31" s="1"/>
  <c r="AC75" i="31" s="1"/>
  <c r="L13" i="31"/>
  <c r="C13" i="31"/>
  <c r="Z13" i="31"/>
  <c r="K13" i="31"/>
  <c r="V13" i="31"/>
  <c r="D13" i="31"/>
  <c r="AD13" i="31"/>
  <c r="Q13" i="31"/>
  <c r="O13" i="31"/>
  <c r="AA13" i="31"/>
  <c r="W13" i="31"/>
  <c r="N13" i="31"/>
  <c r="M13" i="31"/>
  <c r="P13" i="31"/>
  <c r="R13" i="31"/>
  <c r="U13" i="31"/>
  <c r="E13" i="31"/>
  <c r="J13" i="31"/>
  <c r="F13" i="31"/>
  <c r="P28" i="31"/>
  <c r="T28" i="31"/>
  <c r="S28" i="31"/>
  <c r="H28" i="31"/>
  <c r="AA28" i="31"/>
  <c r="D28" i="31"/>
  <c r="V28" i="31"/>
  <c r="W28" i="31"/>
  <c r="Z28" i="31"/>
  <c r="E28" i="31"/>
  <c r="M28" i="31"/>
  <c r="L28" i="31"/>
  <c r="N28" i="31"/>
  <c r="J28" i="31"/>
  <c r="K28" i="31"/>
  <c r="AD28" i="31"/>
  <c r="I28" i="31"/>
  <c r="F28" i="31"/>
  <c r="Y28" i="31"/>
  <c r="Q28" i="31"/>
  <c r="C28" i="31"/>
  <c r="C90" i="31" s="1"/>
  <c r="R28" i="31"/>
  <c r="AC28" i="31"/>
  <c r="A28" i="31" s="1"/>
  <c r="A90" i="31" s="1"/>
  <c r="AC90" i="31" s="1"/>
  <c r="G28" i="31"/>
  <c r="U28" i="31"/>
  <c r="X28" i="31"/>
  <c r="O28" i="31"/>
  <c r="S18" i="31"/>
  <c r="AA18" i="31"/>
  <c r="AD18" i="31"/>
  <c r="Y18" i="31"/>
  <c r="T18" i="31"/>
  <c r="L18" i="31"/>
  <c r="Q18" i="31"/>
  <c r="W18" i="31"/>
  <c r="N18" i="31"/>
  <c r="Z18" i="31"/>
  <c r="AC18" i="31"/>
  <c r="A18" i="31" s="1"/>
  <c r="A80" i="31" s="1"/>
  <c r="AC80" i="31" s="1"/>
  <c r="V18" i="31"/>
  <c r="H18" i="31"/>
  <c r="P18" i="31"/>
  <c r="J18" i="31"/>
  <c r="F18" i="31"/>
  <c r="I18" i="31"/>
  <c r="O18" i="31"/>
  <c r="U18" i="31"/>
  <c r="R18" i="31"/>
  <c r="G18" i="31"/>
  <c r="K18" i="31"/>
  <c r="X18" i="31"/>
  <c r="M18" i="31"/>
  <c r="C18" i="31"/>
  <c r="D18" i="31"/>
  <c r="E18" i="31"/>
  <c r="J8" i="31"/>
  <c r="N8" i="31"/>
  <c r="W8" i="31"/>
  <c r="K8" i="31"/>
  <c r="AD8" i="31"/>
  <c r="U8" i="31"/>
  <c r="Y8" i="31"/>
  <c r="AC8" i="31"/>
  <c r="A8" i="31" s="1"/>
  <c r="A70" i="31" s="1"/>
  <c r="AC70" i="31" s="1"/>
  <c r="E8" i="31"/>
  <c r="Q8" i="31"/>
  <c r="I8" i="31"/>
  <c r="D8" i="31"/>
  <c r="X8" i="31"/>
  <c r="T8" i="31"/>
  <c r="Z8" i="31"/>
  <c r="M8" i="31"/>
  <c r="R8" i="31"/>
  <c r="C8" i="31"/>
  <c r="F8" i="31"/>
  <c r="G8" i="31"/>
  <c r="P8" i="31"/>
  <c r="AA8" i="31"/>
  <c r="S8" i="31"/>
  <c r="V8" i="31"/>
  <c r="O8" i="31"/>
  <c r="H8" i="31"/>
  <c r="L8" i="31"/>
  <c r="F22" i="31"/>
  <c r="G22" i="31"/>
  <c r="O22" i="31"/>
  <c r="H22" i="31"/>
  <c r="T22" i="31"/>
  <c r="S22" i="31"/>
  <c r="D22" i="31"/>
  <c r="R22" i="31"/>
  <c r="K22" i="31"/>
  <c r="J22" i="31"/>
  <c r="Z22" i="31"/>
  <c r="U22" i="31"/>
  <c r="M22" i="31"/>
  <c r="C22" i="31"/>
  <c r="P22" i="31"/>
  <c r="AC22" i="31"/>
  <c r="A22" i="31" s="1"/>
  <c r="A84" i="31" s="1"/>
  <c r="AC84" i="31" s="1"/>
  <c r="X22" i="31"/>
  <c r="Y22" i="31"/>
  <c r="L22" i="31"/>
  <c r="E22" i="31"/>
  <c r="AA22" i="31"/>
  <c r="V22" i="31"/>
  <c r="Q22" i="31"/>
  <c r="AD22" i="31"/>
  <c r="I22" i="31"/>
  <c r="N22" i="31"/>
  <c r="W22" i="31"/>
  <c r="T16" i="31"/>
  <c r="D16" i="31"/>
  <c r="M16" i="31"/>
  <c r="W16" i="31"/>
  <c r="E16" i="31"/>
  <c r="AC16" i="31"/>
  <c r="A16" i="31" s="1"/>
  <c r="A78" i="31" s="1"/>
  <c r="AC78" i="31" s="1"/>
  <c r="J16" i="31"/>
  <c r="AA16" i="31"/>
  <c r="AD16" i="31"/>
  <c r="C16" i="31"/>
  <c r="V16" i="31"/>
  <c r="H16" i="31"/>
  <c r="X16" i="31"/>
  <c r="K16" i="31"/>
  <c r="P16" i="31"/>
  <c r="I16" i="31"/>
  <c r="G16" i="31"/>
  <c r="Q16" i="31"/>
  <c r="S16" i="31"/>
  <c r="N16" i="31"/>
  <c r="O16" i="31"/>
  <c r="Y16" i="31"/>
  <c r="F16" i="31"/>
  <c r="L16" i="31"/>
  <c r="R16" i="31"/>
  <c r="Z16" i="31"/>
  <c r="U16" i="31"/>
  <c r="G12" i="31"/>
  <c r="C12" i="31"/>
  <c r="H12" i="31"/>
  <c r="D12" i="31"/>
  <c r="M12" i="31"/>
  <c r="U12" i="31"/>
  <c r="T12" i="31"/>
  <c r="O12" i="31"/>
  <c r="AA12" i="31"/>
  <c r="AD12" i="31"/>
  <c r="E12" i="31"/>
  <c r="Z12" i="31"/>
  <c r="R12" i="31"/>
  <c r="Y12" i="31"/>
  <c r="X12" i="31"/>
  <c r="V12" i="31"/>
  <c r="I12" i="31"/>
  <c r="J12" i="31"/>
  <c r="S12" i="31"/>
  <c r="P12" i="31"/>
  <c r="AC12" i="31"/>
  <c r="A12" i="31" s="1"/>
  <c r="A74" i="31" s="1"/>
  <c r="AC74" i="31" s="1"/>
  <c r="N12" i="31"/>
  <c r="F12" i="31"/>
  <c r="Q12" i="31"/>
  <c r="W12" i="31"/>
  <c r="L12" i="31"/>
  <c r="K12" i="31"/>
  <c r="I26" i="31"/>
  <c r="W26" i="31"/>
  <c r="AC26" i="31"/>
  <c r="A26" i="31" s="1"/>
  <c r="A88" i="31" s="1"/>
  <c r="AC88" i="31" s="1"/>
  <c r="Z26" i="31"/>
  <c r="L26" i="31"/>
  <c r="F26" i="31"/>
  <c r="H26" i="31"/>
  <c r="D26" i="31"/>
  <c r="R26" i="31"/>
  <c r="K26" i="31"/>
  <c r="Y26" i="31"/>
  <c r="J26" i="31"/>
  <c r="E26" i="31"/>
  <c r="Q26" i="31"/>
  <c r="C26" i="31"/>
  <c r="S26" i="31"/>
  <c r="T26" i="31"/>
  <c r="X26" i="31"/>
  <c r="AD26" i="31"/>
  <c r="G26" i="31"/>
  <c r="AA26" i="31"/>
  <c r="N26" i="31"/>
  <c r="O26" i="31"/>
  <c r="V26" i="31"/>
  <c r="U26" i="31"/>
  <c r="M26" i="31"/>
  <c r="P26" i="31"/>
  <c r="V21" i="31"/>
  <c r="AA21" i="31"/>
  <c r="S21" i="31"/>
  <c r="E21" i="31"/>
  <c r="D21" i="31"/>
  <c r="W21" i="31"/>
  <c r="AC21" i="31"/>
  <c r="A21" i="31" s="1"/>
  <c r="A83" i="31" s="1"/>
  <c r="AC83" i="31" s="1"/>
  <c r="I21" i="31"/>
  <c r="R21" i="31"/>
  <c r="L21" i="31"/>
  <c r="Q21" i="31"/>
  <c r="G21" i="31"/>
  <c r="Y21" i="31"/>
  <c r="H21" i="31"/>
  <c r="F21" i="31"/>
  <c r="AD21" i="31"/>
  <c r="M21" i="31"/>
  <c r="P21" i="31"/>
  <c r="Z21" i="31"/>
  <c r="O21" i="31"/>
  <c r="J21" i="31"/>
  <c r="U21" i="31"/>
  <c r="K21" i="31"/>
  <c r="N21" i="31"/>
  <c r="X21" i="31"/>
  <c r="T21" i="31"/>
  <c r="C21" i="31"/>
  <c r="C23" i="34" l="1"/>
  <c r="C88" i="31"/>
  <c r="AE88" i="31" s="1"/>
  <c r="C8" i="34"/>
  <c r="C73" i="31"/>
  <c r="AE73" i="31" s="1"/>
  <c r="C83" i="31"/>
  <c r="AE83" i="31" s="1"/>
  <c r="C18" i="34"/>
  <c r="C70" i="31"/>
  <c r="AE70" i="31" s="1"/>
  <c r="C5" i="34"/>
  <c r="C15" i="34"/>
  <c r="C80" i="31"/>
  <c r="AE80" i="31" s="1"/>
  <c r="C11" i="34"/>
  <c r="C76" i="31"/>
  <c r="AE76" i="31" s="1"/>
  <c r="C9" i="34"/>
  <c r="C74" i="31"/>
  <c r="AE74" i="31" s="1"/>
  <c r="C84" i="31"/>
  <c r="AE84" i="31" s="1"/>
  <c r="C19" i="34"/>
  <c r="C75" i="31"/>
  <c r="AE75" i="31" s="1"/>
  <c r="C10" i="34"/>
  <c r="C71" i="31"/>
  <c r="AE71" i="31" s="1"/>
  <c r="C6" i="34"/>
  <c r="C4" i="34"/>
  <c r="C69" i="31"/>
  <c r="C16" i="34"/>
  <c r="C81" i="31"/>
  <c r="AE81" i="31" s="1"/>
  <c r="C72" i="31"/>
  <c r="AE72" i="31" s="1"/>
  <c r="C7" i="34"/>
  <c r="C17" i="34"/>
  <c r="C82" i="31"/>
  <c r="AE82" i="31" s="1"/>
  <c r="C79" i="31"/>
  <c r="AE79" i="31" s="1"/>
  <c r="C14" i="34"/>
  <c r="C85" i="31"/>
  <c r="AE85" i="31" s="1"/>
  <c r="C20" i="34"/>
  <c r="C87" i="31"/>
  <c r="AE87" i="31" s="1"/>
  <c r="C22" i="34"/>
  <c r="C21" i="34"/>
  <c r="C86" i="31"/>
  <c r="AE86" i="31" s="1"/>
  <c r="C78" i="31"/>
  <c r="AE78" i="31" s="1"/>
  <c r="C13" i="34"/>
  <c r="C12" i="34"/>
  <c r="C77" i="31"/>
  <c r="AE77" i="31" s="1"/>
  <c r="Z37" i="34"/>
  <c r="X30" i="34"/>
  <c r="Z35" i="34"/>
  <c r="X34" i="34"/>
  <c r="Z36" i="34"/>
  <c r="X36" i="34"/>
  <c r="AA29" i="34"/>
  <c r="Y36" i="34"/>
  <c r="X35" i="34"/>
  <c r="AA30" i="34"/>
  <c r="AA36" i="34"/>
  <c r="Z31" i="34"/>
  <c r="Y31" i="34"/>
  <c r="Z32" i="34"/>
  <c r="AA35" i="34"/>
  <c r="AC28" i="34"/>
  <c r="Y30" i="34"/>
  <c r="AA34" i="34"/>
  <c r="X31" i="34"/>
  <c r="Y29" i="34"/>
  <c r="AA32" i="34"/>
  <c r="AA31" i="34"/>
  <c r="X29" i="34"/>
  <c r="Y35" i="34"/>
  <c r="Y37" i="34"/>
  <c r="AA37" i="34"/>
  <c r="Y32" i="34"/>
  <c r="Y34" i="34"/>
  <c r="X32" i="34"/>
  <c r="Z30" i="34"/>
  <c r="Z29" i="34"/>
  <c r="X37" i="34"/>
  <c r="Z34" i="34"/>
  <c r="AC127" i="34" l="1"/>
  <c r="V85" i="31"/>
  <c r="Y85" i="31" a="1"/>
  <c r="Y85" i="31" s="1"/>
  <c r="L85" i="31" a="1"/>
  <c r="L85" i="31" s="1"/>
  <c r="I85" i="31" a="1"/>
  <c r="I85" i="31" s="1"/>
  <c r="E85" i="31"/>
  <c r="B85" i="31"/>
  <c r="R85" i="31" a="1"/>
  <c r="R85" i="31" s="1"/>
  <c r="W85" i="31"/>
  <c r="M85" i="31"/>
  <c r="H85" i="31"/>
  <c r="D85" i="31" a="1"/>
  <c r="D85" i="31" s="1"/>
  <c r="K85" i="31"/>
  <c r="Q85" i="31" a="1"/>
  <c r="Q85" i="31" s="1"/>
  <c r="J85" i="31" a="1"/>
  <c r="J85" i="31" s="1"/>
  <c r="X85" i="31"/>
  <c r="Z85" i="31" a="1"/>
  <c r="Z85" i="31" s="1"/>
  <c r="G85" i="31"/>
  <c r="F85" i="31" a="1"/>
  <c r="F85" i="31" s="1"/>
  <c r="U85" i="31"/>
  <c r="S85" i="31"/>
  <c r="O85" i="31"/>
  <c r="N85" i="31" a="1"/>
  <c r="N85" i="31" s="1"/>
  <c r="AA85" i="31"/>
  <c r="P85" i="31"/>
  <c r="T85" i="31"/>
  <c r="AB85" i="31"/>
  <c r="C56" i="34"/>
  <c r="C86" i="34"/>
  <c r="AC86" i="34" s="1"/>
  <c r="B16" i="34"/>
  <c r="P2" i="34" s="1"/>
  <c r="P3" i="34"/>
  <c r="B6" i="34"/>
  <c r="F2" i="34" s="1"/>
  <c r="C76" i="34"/>
  <c r="AC76" i="34" s="1"/>
  <c r="C46" i="34"/>
  <c r="F3" i="34"/>
  <c r="AA76" i="31"/>
  <c r="B76" i="31" s="1"/>
  <c r="K76" i="31"/>
  <c r="J76" i="31" a="1"/>
  <c r="J76" i="31" s="1"/>
  <c r="V76" i="31"/>
  <c r="T76" i="31"/>
  <c r="P76" i="31"/>
  <c r="M76" i="31" s="1"/>
  <c r="O76" i="31"/>
  <c r="Z76" i="31" a="1"/>
  <c r="Z76" i="31" s="1"/>
  <c r="I76" i="31" a="1"/>
  <c r="I76" i="31" s="1"/>
  <c r="H76" i="31"/>
  <c r="Y76" i="31" a="1"/>
  <c r="Y76" i="31" s="1"/>
  <c r="X76" i="31"/>
  <c r="W76" i="31"/>
  <c r="D76" i="31" a="1"/>
  <c r="D76" i="31" s="1"/>
  <c r="E76" i="31"/>
  <c r="G76" i="31"/>
  <c r="AB76" i="31"/>
  <c r="U76" i="31"/>
  <c r="L76" i="31" a="1"/>
  <c r="L76" i="31" s="1"/>
  <c r="N76" i="31" a="1"/>
  <c r="N76" i="31" s="1"/>
  <c r="Q76" i="31" a="1"/>
  <c r="Q76" i="31" s="1"/>
  <c r="F76" i="31" a="1"/>
  <c r="F76" i="31" s="1"/>
  <c r="S76" i="31"/>
  <c r="R76" i="31" a="1"/>
  <c r="R76" i="31" s="1"/>
  <c r="U73" i="31"/>
  <c r="AB73" i="31"/>
  <c r="AA73" i="31"/>
  <c r="B73" i="31" s="1"/>
  <c r="K73" i="31"/>
  <c r="P73" i="31"/>
  <c r="G73" i="31"/>
  <c r="Q73" i="31" a="1"/>
  <c r="Q73" i="31" s="1"/>
  <c r="X73" i="31"/>
  <c r="Y73" i="31" a="1"/>
  <c r="Y73" i="31" s="1"/>
  <c r="O73" i="31"/>
  <c r="N73" i="31" a="1"/>
  <c r="N73" i="31" s="1"/>
  <c r="V73" i="31"/>
  <c r="W73" i="31"/>
  <c r="R73" i="31" a="1"/>
  <c r="R73" i="31" s="1"/>
  <c r="S73" i="31"/>
  <c r="E73" i="31"/>
  <c r="F73" i="31" a="1"/>
  <c r="F73" i="31" s="1"/>
  <c r="I73" i="31" a="1"/>
  <c r="I73" i="31" s="1"/>
  <c r="D73" i="31" a="1"/>
  <c r="D73" i="31" s="1"/>
  <c r="H73" i="31"/>
  <c r="T73" i="31"/>
  <c r="J73" i="31" a="1"/>
  <c r="J73" i="31" s="1"/>
  <c r="M73" i="31"/>
  <c r="Z73" i="31" a="1"/>
  <c r="Z73" i="31" s="1"/>
  <c r="L73" i="31" a="1"/>
  <c r="L73" i="31" s="1"/>
  <c r="C53" i="34"/>
  <c r="M3" i="34"/>
  <c r="B13" i="34"/>
  <c r="M2" i="34" s="1"/>
  <c r="C83" i="34"/>
  <c r="AC83" i="34" s="1"/>
  <c r="V3" i="34"/>
  <c r="B22" i="34"/>
  <c r="V2" i="34" s="1"/>
  <c r="C92" i="34"/>
  <c r="AC92" i="34" s="1"/>
  <c r="C62" i="34"/>
  <c r="C54" i="34"/>
  <c r="N3" i="34"/>
  <c r="B14" i="34"/>
  <c r="N2" i="34" s="1"/>
  <c r="C84" i="34"/>
  <c r="AC84" i="34" s="1"/>
  <c r="G3" i="34"/>
  <c r="B7" i="34"/>
  <c r="G2" i="34" s="1"/>
  <c r="C77" i="34"/>
  <c r="AC77" i="34" s="1"/>
  <c r="C47" i="34"/>
  <c r="AE69" i="31"/>
  <c r="U50" i="32"/>
  <c r="G50" i="32"/>
  <c r="O52" i="32"/>
  <c r="U52" i="32"/>
  <c r="G34" i="32"/>
  <c r="U34" i="32"/>
  <c r="F43" i="32"/>
  <c r="V40" i="32"/>
  <c r="O40" i="32"/>
  <c r="G38" i="32"/>
  <c r="O38" i="32"/>
  <c r="F51" i="32"/>
  <c r="F36" i="32"/>
  <c r="G36" i="32"/>
  <c r="O50" i="32"/>
  <c r="N52" i="32"/>
  <c r="G52" i="32"/>
  <c r="O34" i="32"/>
  <c r="O43" i="32"/>
  <c r="G40" i="32"/>
  <c r="F40" i="32"/>
  <c r="F38" i="32"/>
  <c r="N38" i="32"/>
  <c r="V50" i="32"/>
  <c r="V52" i="32"/>
  <c r="V34" i="32"/>
  <c r="V43" i="32"/>
  <c r="U43" i="32"/>
  <c r="U40" i="32"/>
  <c r="U38" i="32"/>
  <c r="N50" i="32"/>
  <c r="F50" i="32"/>
  <c r="F52" i="32"/>
  <c r="N34" i="32"/>
  <c r="F34" i="32"/>
  <c r="N43" i="32"/>
  <c r="G43" i="32"/>
  <c r="N40" i="32"/>
  <c r="V38" i="32"/>
  <c r="N51" i="32"/>
  <c r="U36" i="32"/>
  <c r="V37" i="32"/>
  <c r="U39" i="32"/>
  <c r="N44" i="32"/>
  <c r="U44" i="32"/>
  <c r="N45" i="32"/>
  <c r="O45" i="32"/>
  <c r="F47" i="32"/>
  <c r="V48" i="32"/>
  <c r="U49" i="32"/>
  <c r="F49" i="32"/>
  <c r="V46" i="32"/>
  <c r="O46" i="32"/>
  <c r="F41" i="32"/>
  <c r="F42" i="32"/>
  <c r="O42" i="32"/>
  <c r="U35" i="32"/>
  <c r="U33" i="32"/>
  <c r="O33" i="32"/>
  <c r="V49" i="32"/>
  <c r="N49" i="32"/>
  <c r="N46" i="32"/>
  <c r="U46" i="32"/>
  <c r="O41" i="32"/>
  <c r="N41" i="32"/>
  <c r="V42" i="32"/>
  <c r="G42" i="32"/>
  <c r="O35" i="32"/>
  <c r="N35" i="32"/>
  <c r="G33" i="32"/>
  <c r="V33" i="32"/>
  <c r="U51" i="32"/>
  <c r="V36" i="32"/>
  <c r="N37" i="32"/>
  <c r="U37" i="32"/>
  <c r="F39" i="32"/>
  <c r="O39" i="32"/>
  <c r="G44" i="32"/>
  <c r="F44" i="32"/>
  <c r="V45" i="32"/>
  <c r="U45" i="32"/>
  <c r="O47" i="32"/>
  <c r="U47" i="32"/>
  <c r="O48" i="32"/>
  <c r="F48" i="32"/>
  <c r="G49" i="32"/>
  <c r="G46" i="32"/>
  <c r="U41" i="32"/>
  <c r="U42" i="32"/>
  <c r="V35" i="32"/>
  <c r="F33" i="32"/>
  <c r="F45" i="32"/>
  <c r="N47" i="32"/>
  <c r="N48" i="32"/>
  <c r="O51" i="32"/>
  <c r="O36" i="32"/>
  <c r="O37" i="32"/>
  <c r="F37" i="32"/>
  <c r="G39" i="32"/>
  <c r="N39" i="32"/>
  <c r="O44" i="32"/>
  <c r="G45" i="32"/>
  <c r="G47" i="32"/>
  <c r="V47" i="32"/>
  <c r="U48" i="32"/>
  <c r="G48" i="32"/>
  <c r="O49" i="32"/>
  <c r="F46" i="32"/>
  <c r="V41" i="32"/>
  <c r="G41" i="32"/>
  <c r="N42" i="32"/>
  <c r="G35" i="32"/>
  <c r="F35" i="32"/>
  <c r="N33" i="32"/>
  <c r="V51" i="32"/>
  <c r="G51" i="32"/>
  <c r="N36" i="32"/>
  <c r="G37" i="32"/>
  <c r="V39" i="32"/>
  <c r="V44" i="32"/>
  <c r="I71" i="31" a="1"/>
  <c r="I71" i="31" s="1"/>
  <c r="S71" i="31"/>
  <c r="P71" i="31"/>
  <c r="N71" i="31" a="1"/>
  <c r="N71" i="31" s="1"/>
  <c r="Z71" i="31" a="1"/>
  <c r="Z71" i="31" s="1"/>
  <c r="X71" i="31"/>
  <c r="M71" i="31"/>
  <c r="T71" i="31"/>
  <c r="AA71" i="31"/>
  <c r="B71" i="31" s="1"/>
  <c r="Y71" i="31" a="1"/>
  <c r="Y71" i="31" s="1"/>
  <c r="D71" i="31" a="1"/>
  <c r="D71" i="31" s="1"/>
  <c r="AB71" i="31"/>
  <c r="W71" i="31"/>
  <c r="O71" i="31"/>
  <c r="U71" i="31"/>
  <c r="K71" i="31"/>
  <c r="E71" i="31"/>
  <c r="Q71" i="31" a="1"/>
  <c r="Q71" i="31" s="1"/>
  <c r="G71" i="31"/>
  <c r="H71" i="31"/>
  <c r="V71" i="31"/>
  <c r="L71" i="31" a="1"/>
  <c r="L71" i="31" s="1"/>
  <c r="J71" i="31" a="1"/>
  <c r="J71" i="31" s="1"/>
  <c r="R71" i="31" a="1"/>
  <c r="R71" i="31" s="1"/>
  <c r="F71" i="31" a="1"/>
  <c r="F71" i="31" s="1"/>
  <c r="J84" i="31" a="1"/>
  <c r="J84" i="31" s="1"/>
  <c r="L84" i="31" a="1"/>
  <c r="L84" i="31" s="1"/>
  <c r="E84" i="31"/>
  <c r="W84" i="31"/>
  <c r="O84" i="31"/>
  <c r="X84" i="31"/>
  <c r="U84" i="31" s="1"/>
  <c r="K84" i="31"/>
  <c r="V84" i="31"/>
  <c r="Y84" i="31" a="1"/>
  <c r="Y84" i="31" s="1"/>
  <c r="Q84" i="31" a="1"/>
  <c r="Q84" i="31" s="1"/>
  <c r="R84" i="31" a="1"/>
  <c r="R84" i="31" s="1"/>
  <c r="D84" i="31" a="1"/>
  <c r="D84" i="31" s="1"/>
  <c r="N84" i="31" a="1"/>
  <c r="N84" i="31" s="1"/>
  <c r="AB84" i="31"/>
  <c r="Z84" i="31" a="1"/>
  <c r="Z84" i="31" s="1"/>
  <c r="S84" i="31"/>
  <c r="F84" i="31" a="1"/>
  <c r="F84" i="31" s="1"/>
  <c r="T84" i="31"/>
  <c r="I84" i="31" a="1"/>
  <c r="I84" i="31" s="1"/>
  <c r="AA84" i="31"/>
  <c r="B84" i="31" s="1"/>
  <c r="H84" i="31"/>
  <c r="G84" i="31" s="1"/>
  <c r="P84" i="31"/>
  <c r="M84" i="31" s="1"/>
  <c r="K3" i="34"/>
  <c r="B11" i="34"/>
  <c r="K2" i="34" s="1"/>
  <c r="C81" i="34"/>
  <c r="AC81" i="34" s="1"/>
  <c r="C51" i="34"/>
  <c r="P70" i="31"/>
  <c r="M70" i="31" s="1"/>
  <c r="I70" i="31" a="1"/>
  <c r="I70" i="31" s="1"/>
  <c r="U70" i="31"/>
  <c r="Q70" i="31" a="1"/>
  <c r="Q70" i="31" s="1"/>
  <c r="E70" i="31"/>
  <c r="Z70" i="31" a="1"/>
  <c r="Z70" i="31" s="1"/>
  <c r="R70" i="31" a="1"/>
  <c r="R70" i="31" s="1"/>
  <c r="V70" i="31"/>
  <c r="L70" i="31" a="1"/>
  <c r="L70" i="31" s="1"/>
  <c r="J70" i="31" a="1"/>
  <c r="J70" i="31" s="1"/>
  <c r="Y70" i="31" a="1"/>
  <c r="Y70" i="31" s="1"/>
  <c r="T70" i="31"/>
  <c r="S70" i="31"/>
  <c r="AA70" i="31"/>
  <c r="B70" i="31" s="1"/>
  <c r="O70" i="31"/>
  <c r="AB70" i="31"/>
  <c r="H70" i="31"/>
  <c r="N70" i="31" a="1"/>
  <c r="N70" i="31" s="1"/>
  <c r="D70" i="31" a="1"/>
  <c r="D70" i="31" s="1"/>
  <c r="X70" i="31"/>
  <c r="F70" i="31" a="1"/>
  <c r="F70" i="31" s="1"/>
  <c r="W70" i="31"/>
  <c r="K70" i="31"/>
  <c r="G70" i="31"/>
  <c r="C78" i="34"/>
  <c r="AC78" i="34" s="1"/>
  <c r="C48" i="34"/>
  <c r="B8" i="34"/>
  <c r="H2" i="34" s="1"/>
  <c r="H3" i="34"/>
  <c r="L3" i="34"/>
  <c r="C52" i="34"/>
  <c r="C82" i="34"/>
  <c r="AC82" i="34" s="1"/>
  <c r="B12" i="34"/>
  <c r="L2" i="34" s="1"/>
  <c r="S3" i="34"/>
  <c r="B19" i="34"/>
  <c r="S2" i="34" s="1"/>
  <c r="C89" i="34"/>
  <c r="AC89" i="34" s="1"/>
  <c r="C59" i="34"/>
  <c r="T78" i="31"/>
  <c r="D78" i="31" a="1"/>
  <c r="D78" i="31" s="1"/>
  <c r="H78" i="31"/>
  <c r="E78" i="31" s="1"/>
  <c r="M78" i="31"/>
  <c r="P78" i="31"/>
  <c r="O78" i="31" s="1"/>
  <c r="Y78" i="31" a="1"/>
  <c r="Y78" i="31" s="1"/>
  <c r="R78" i="31" a="1"/>
  <c r="R78" i="31" s="1"/>
  <c r="X78" i="31"/>
  <c r="U78" i="31" s="1"/>
  <c r="F78" i="31" a="1"/>
  <c r="F78" i="31" s="1"/>
  <c r="Z78" i="31" a="1"/>
  <c r="Z78" i="31" s="1"/>
  <c r="S78" i="31"/>
  <c r="AA78" i="31"/>
  <c r="B78" i="31" s="1"/>
  <c r="W78" i="31"/>
  <c r="V78" i="31"/>
  <c r="N78" i="31" a="1"/>
  <c r="N78" i="31" s="1"/>
  <c r="G78" i="31"/>
  <c r="J78" i="31" a="1"/>
  <c r="J78" i="31" s="1"/>
  <c r="Q78" i="31" a="1"/>
  <c r="Q78" i="31" s="1"/>
  <c r="K78" i="31"/>
  <c r="L78" i="31" a="1"/>
  <c r="L78" i="31" s="1"/>
  <c r="AB78" i="31"/>
  <c r="I78" i="31" a="1"/>
  <c r="I78" i="31" s="1"/>
  <c r="Y87" i="31" a="1"/>
  <c r="Y87" i="31" s="1"/>
  <c r="E87" i="31"/>
  <c r="Q87" i="31" a="1"/>
  <c r="Q87" i="31" s="1"/>
  <c r="F87" i="31" a="1"/>
  <c r="F87" i="31" s="1"/>
  <c r="N87" i="31" a="1"/>
  <c r="N87" i="31" s="1"/>
  <c r="O87" i="31"/>
  <c r="R87" i="31" a="1"/>
  <c r="R87" i="31" s="1"/>
  <c r="AB87" i="31"/>
  <c r="L87" i="31" a="1"/>
  <c r="L87" i="31" s="1"/>
  <c r="U87" i="31"/>
  <c r="S87" i="31"/>
  <c r="D87" i="31" a="1"/>
  <c r="D87" i="31" s="1"/>
  <c r="W87" i="31"/>
  <c r="V87" i="31"/>
  <c r="H87" i="31"/>
  <c r="G87" i="31"/>
  <c r="B87" i="31"/>
  <c r="M87" i="31"/>
  <c r="Z87" i="31" a="1"/>
  <c r="Z87" i="31" s="1"/>
  <c r="X87" i="31"/>
  <c r="K87" i="31"/>
  <c r="P87" i="31"/>
  <c r="AA87" i="31"/>
  <c r="J87" i="31" a="1"/>
  <c r="J87" i="31" s="1"/>
  <c r="I87" i="31" a="1"/>
  <c r="I87" i="31" s="1"/>
  <c r="T87" i="31"/>
  <c r="U79" i="31"/>
  <c r="Q79" i="31" a="1"/>
  <c r="Q79" i="31" s="1"/>
  <c r="I79" i="31" a="1"/>
  <c r="I79" i="31" s="1"/>
  <c r="N79" i="31" a="1"/>
  <c r="N79" i="31" s="1"/>
  <c r="O79" i="31"/>
  <c r="Z79" i="31" a="1"/>
  <c r="Z79" i="31" s="1"/>
  <c r="P79" i="31"/>
  <c r="V79" i="31"/>
  <c r="W79" i="31"/>
  <c r="D79" i="31" a="1"/>
  <c r="D79" i="31" s="1"/>
  <c r="AB79" i="31"/>
  <c r="R79" i="31" a="1"/>
  <c r="R79" i="31" s="1"/>
  <c r="J79" i="31" a="1"/>
  <c r="J79" i="31" s="1"/>
  <c r="L79" i="31" a="1"/>
  <c r="L79" i="31" s="1"/>
  <c r="E79" i="31"/>
  <c r="Y79" i="31" a="1"/>
  <c r="Y79" i="31" s="1"/>
  <c r="AA79" i="31"/>
  <c r="B79" i="31" s="1"/>
  <c r="H79" i="31"/>
  <c r="G79" i="31" s="1"/>
  <c r="M79" i="31"/>
  <c r="S79" i="31"/>
  <c r="X79" i="31"/>
  <c r="F79" i="31" a="1"/>
  <c r="F79" i="31" s="1"/>
  <c r="K79" i="31"/>
  <c r="T79" i="31"/>
  <c r="X72" i="31"/>
  <c r="Q72" i="31" a="1"/>
  <c r="Q72" i="31" s="1"/>
  <c r="P72" i="31"/>
  <c r="AA72" i="31"/>
  <c r="B72" i="31" s="1"/>
  <c r="J72" i="31" a="1"/>
  <c r="J72" i="31" s="1"/>
  <c r="H72" i="31"/>
  <c r="G72" i="31"/>
  <c r="S72" i="31"/>
  <c r="D72" i="31" a="1"/>
  <c r="D72" i="31" s="1"/>
  <c r="F72" i="31" a="1"/>
  <c r="F72" i="31" s="1"/>
  <c r="N72" i="31" a="1"/>
  <c r="N72" i="31" s="1"/>
  <c r="V72" i="31"/>
  <c r="O72" i="31"/>
  <c r="Y72" i="31" a="1"/>
  <c r="Y72" i="31" s="1"/>
  <c r="T72" i="31"/>
  <c r="I72" i="31" a="1"/>
  <c r="I72" i="31" s="1"/>
  <c r="Z72" i="31" a="1"/>
  <c r="Z72" i="31" s="1"/>
  <c r="R72" i="31" a="1"/>
  <c r="R72" i="31" s="1"/>
  <c r="U72" i="31"/>
  <c r="W72" i="31"/>
  <c r="K72" i="31"/>
  <c r="E72" i="31"/>
  <c r="L72" i="31" a="1"/>
  <c r="L72" i="31" s="1"/>
  <c r="M72" i="31"/>
  <c r="AB72" i="31"/>
  <c r="C80" i="34"/>
  <c r="AC80" i="34" s="1"/>
  <c r="C50" i="34"/>
  <c r="B10" i="34"/>
  <c r="J2" i="34" s="1"/>
  <c r="J3" i="34"/>
  <c r="AB74" i="31"/>
  <c r="X74" i="31"/>
  <c r="W74" i="31" s="1"/>
  <c r="R74" i="31" a="1"/>
  <c r="R74" i="31" s="1"/>
  <c r="S74" i="31"/>
  <c r="Y74" i="31" a="1"/>
  <c r="Y74" i="31" s="1"/>
  <c r="H74" i="31"/>
  <c r="E74" i="31" s="1"/>
  <c r="J74" i="31" a="1"/>
  <c r="J74" i="31" s="1"/>
  <c r="M74" i="31"/>
  <c r="L74" i="31" a="1"/>
  <c r="L74" i="31" s="1"/>
  <c r="T74" i="31"/>
  <c r="N74" i="31" a="1"/>
  <c r="N74" i="31" s="1"/>
  <c r="I74" i="31" a="1"/>
  <c r="I74" i="31" s="1"/>
  <c r="D74" i="31" a="1"/>
  <c r="D74" i="31" s="1"/>
  <c r="AA74" i="31"/>
  <c r="B74" i="31" s="1"/>
  <c r="Q74" i="31" a="1"/>
  <c r="Q74" i="31" s="1"/>
  <c r="U74" i="31"/>
  <c r="V74" i="31"/>
  <c r="K74" i="31"/>
  <c r="Z74" i="31" a="1"/>
  <c r="Z74" i="31" s="1"/>
  <c r="P74" i="31"/>
  <c r="O74" i="31"/>
  <c r="G74" i="31"/>
  <c r="F74" i="31" a="1"/>
  <c r="F74" i="31" s="1"/>
  <c r="D80" i="31" a="1"/>
  <c r="D80" i="31" s="1"/>
  <c r="P80" i="31"/>
  <c r="M80" i="31" s="1"/>
  <c r="H80" i="31"/>
  <c r="L80" i="31" a="1"/>
  <c r="L80" i="31" s="1"/>
  <c r="O80" i="31"/>
  <c r="V80" i="31"/>
  <c r="X80" i="31"/>
  <c r="U80" i="31" s="1"/>
  <c r="N80" i="31" a="1"/>
  <c r="N80" i="31" s="1"/>
  <c r="E80" i="31"/>
  <c r="I80" i="31" a="1"/>
  <c r="I80" i="31" s="1"/>
  <c r="S80" i="31"/>
  <c r="G80" i="31"/>
  <c r="T80" i="31"/>
  <c r="R80" i="31" a="1"/>
  <c r="R80" i="31" s="1"/>
  <c r="F80" i="31" a="1"/>
  <c r="F80" i="31" s="1"/>
  <c r="AB80" i="31"/>
  <c r="Y80" i="31" a="1"/>
  <c r="Y80" i="31" s="1"/>
  <c r="AA80" i="31"/>
  <c r="B80" i="31" s="1"/>
  <c r="K80" i="31"/>
  <c r="W80" i="31"/>
  <c r="Z80" i="31" a="1"/>
  <c r="Z80" i="31" s="1"/>
  <c r="Q80" i="31" a="1"/>
  <c r="Q80" i="31" s="1"/>
  <c r="J80" i="31" a="1"/>
  <c r="J80" i="31" s="1"/>
  <c r="C88" i="34"/>
  <c r="AC88" i="34" s="1"/>
  <c r="C58" i="34"/>
  <c r="R3" i="34"/>
  <c r="B18" i="34"/>
  <c r="R2" i="34" s="1"/>
  <c r="W88" i="31"/>
  <c r="AA88" i="31"/>
  <c r="K88" i="31"/>
  <c r="Y88" i="31" a="1"/>
  <c r="Y88" i="31" s="1"/>
  <c r="Z88" i="31" a="1"/>
  <c r="Z88" i="31" s="1"/>
  <c r="X88" i="31"/>
  <c r="L88" i="31" a="1"/>
  <c r="L88" i="31" s="1"/>
  <c r="J88" i="31" a="1"/>
  <c r="J88" i="31" s="1"/>
  <c r="AB88" i="31"/>
  <c r="O88" i="31"/>
  <c r="V88" i="31"/>
  <c r="Q88" i="31" a="1"/>
  <c r="Q88" i="31" s="1"/>
  <c r="B88" i="31"/>
  <c r="T88" i="31"/>
  <c r="M88" i="31"/>
  <c r="I88" i="31" a="1"/>
  <c r="I88" i="31" s="1"/>
  <c r="U88" i="31"/>
  <c r="S88" i="31"/>
  <c r="N88" i="31" a="1"/>
  <c r="N88" i="31" s="1"/>
  <c r="P88" i="31"/>
  <c r="F88" i="31" a="1"/>
  <c r="F88" i="31" s="1"/>
  <c r="E88" i="31"/>
  <c r="G88" i="31"/>
  <c r="R88" i="31" a="1"/>
  <c r="R88" i="31" s="1"/>
  <c r="D88" i="31" a="1"/>
  <c r="D88" i="31" s="1"/>
  <c r="H88" i="31"/>
  <c r="C91" i="34"/>
  <c r="AC91" i="34" s="1"/>
  <c r="B21" i="34"/>
  <c r="U2" i="34" s="1"/>
  <c r="U3" i="34"/>
  <c r="C61" i="34"/>
  <c r="C87" i="34"/>
  <c r="AC87" i="34" s="1"/>
  <c r="Q3" i="34"/>
  <c r="C57" i="34"/>
  <c r="B17" i="34"/>
  <c r="Q2" i="34" s="1"/>
  <c r="C75" i="34"/>
  <c r="AC75" i="34" s="1"/>
  <c r="C45" i="34"/>
  <c r="B5" i="34"/>
  <c r="E2" i="34" s="1"/>
  <c r="E3" i="34"/>
  <c r="Y77" i="31" a="1"/>
  <c r="Y77" i="31" s="1"/>
  <c r="X77" i="31"/>
  <c r="N77" i="31" a="1"/>
  <c r="N77" i="31" s="1"/>
  <c r="Q77" i="31" a="1"/>
  <c r="Q77" i="31" s="1"/>
  <c r="S77" i="31"/>
  <c r="I77" i="31" a="1"/>
  <c r="I77" i="31" s="1"/>
  <c r="M77" i="31"/>
  <c r="J77" i="31" a="1"/>
  <c r="J77" i="31" s="1"/>
  <c r="G77" i="31"/>
  <c r="K77" i="31"/>
  <c r="V77" i="31"/>
  <c r="D77" i="31" a="1"/>
  <c r="D77" i="31" s="1"/>
  <c r="O77" i="31"/>
  <c r="H77" i="31"/>
  <c r="R77" i="31" a="1"/>
  <c r="R77" i="31" s="1"/>
  <c r="AB77" i="31"/>
  <c r="P77" i="31"/>
  <c r="AA77" i="31"/>
  <c r="B77" i="31" s="1"/>
  <c r="F77" i="31" a="1"/>
  <c r="F77" i="31" s="1"/>
  <c r="W77" i="31"/>
  <c r="E77" i="31"/>
  <c r="L77" i="31" a="1"/>
  <c r="L77" i="31" s="1"/>
  <c r="T77" i="31"/>
  <c r="U77" i="31"/>
  <c r="Z77" i="31" a="1"/>
  <c r="Z77" i="31" s="1"/>
  <c r="AB86" i="31"/>
  <c r="Y86" i="31" a="1"/>
  <c r="Y86" i="31" s="1"/>
  <c r="D86" i="31" a="1"/>
  <c r="D86" i="31" s="1"/>
  <c r="F86" i="31" a="1"/>
  <c r="F86" i="31" s="1"/>
  <c r="B86" i="31"/>
  <c r="I86" i="31" a="1"/>
  <c r="I86" i="31" s="1"/>
  <c r="H86" i="31"/>
  <c r="P86" i="31"/>
  <c r="U86" i="31"/>
  <c r="N86" i="31" a="1"/>
  <c r="N86" i="31" s="1"/>
  <c r="T86" i="31"/>
  <c r="AA86" i="31"/>
  <c r="G86" i="31"/>
  <c r="E86" i="31"/>
  <c r="Z86" i="31" a="1"/>
  <c r="Z86" i="31" s="1"/>
  <c r="W86" i="31"/>
  <c r="L86" i="31" a="1"/>
  <c r="L86" i="31" s="1"/>
  <c r="V86" i="31"/>
  <c r="M86" i="31"/>
  <c r="R86" i="31" a="1"/>
  <c r="R86" i="31" s="1"/>
  <c r="J86" i="31" a="1"/>
  <c r="J86" i="31" s="1"/>
  <c r="X86" i="31"/>
  <c r="K86" i="31"/>
  <c r="O86" i="31"/>
  <c r="Q86" i="31" a="1"/>
  <c r="Q86" i="31" s="1"/>
  <c r="S86" i="31"/>
  <c r="T3" i="34"/>
  <c r="C60" i="34"/>
  <c r="C90" i="34"/>
  <c r="AC90" i="34" s="1"/>
  <c r="B20" i="34"/>
  <c r="T2" i="34" s="1"/>
  <c r="L82" i="31" a="1"/>
  <c r="L82" i="31" s="1"/>
  <c r="J82" i="31" a="1"/>
  <c r="J82" i="31" s="1"/>
  <c r="D82" i="31" a="1"/>
  <c r="D82" i="31" s="1"/>
  <c r="Y82" i="31" a="1"/>
  <c r="Y82" i="31" s="1"/>
  <c r="P82" i="31"/>
  <c r="M82" i="31" s="1"/>
  <c r="R82" i="31" a="1"/>
  <c r="R82" i="31" s="1"/>
  <c r="T82" i="31"/>
  <c r="Q82" i="31" a="1"/>
  <c r="Q82" i="31" s="1"/>
  <c r="H82" i="31"/>
  <c r="N82" i="31" a="1"/>
  <c r="N82" i="31" s="1"/>
  <c r="W82" i="31"/>
  <c r="I82" i="31" a="1"/>
  <c r="I82" i="31" s="1"/>
  <c r="G82" i="31"/>
  <c r="X82" i="31"/>
  <c r="U82" i="31" s="1"/>
  <c r="Z82" i="31" a="1"/>
  <c r="Z82" i="31" s="1"/>
  <c r="O82" i="31"/>
  <c r="AA82" i="31"/>
  <c r="B82" i="31" s="1"/>
  <c r="K82" i="31"/>
  <c r="F82" i="31" a="1"/>
  <c r="F82" i="31" s="1"/>
  <c r="S82" i="31"/>
  <c r="V82" i="31"/>
  <c r="AB82" i="31"/>
  <c r="E82" i="31"/>
  <c r="V81" i="31"/>
  <c r="G81" i="31"/>
  <c r="X81" i="31"/>
  <c r="I81" i="31" a="1"/>
  <c r="I81" i="31" s="1"/>
  <c r="D81" i="31" a="1"/>
  <c r="D81" i="31" s="1"/>
  <c r="S81" i="31"/>
  <c r="W81" i="31"/>
  <c r="Z81" i="31" a="1"/>
  <c r="Z81" i="31" s="1"/>
  <c r="H81" i="31"/>
  <c r="E81" i="31" s="1"/>
  <c r="Y81" i="31" a="1"/>
  <c r="Y81" i="31" s="1"/>
  <c r="K81" i="31"/>
  <c r="N81" i="31" a="1"/>
  <c r="N81" i="31" s="1"/>
  <c r="M81" i="31"/>
  <c r="AB81" i="31"/>
  <c r="R81" i="31" a="1"/>
  <c r="R81" i="31" s="1"/>
  <c r="L81" i="31" a="1"/>
  <c r="L81" i="31" s="1"/>
  <c r="F81" i="31" a="1"/>
  <c r="F81" i="31" s="1"/>
  <c r="T81" i="31"/>
  <c r="P81" i="31"/>
  <c r="O81" i="31" s="1"/>
  <c r="Q81" i="31" a="1"/>
  <c r="Q81" i="31" s="1"/>
  <c r="J81" i="31" a="1"/>
  <c r="J81" i="31" s="1"/>
  <c r="U81" i="31"/>
  <c r="AA81" i="31"/>
  <c r="B81" i="31" s="1"/>
  <c r="C44" i="34"/>
  <c r="C74" i="34"/>
  <c r="AC74" i="34" s="1"/>
  <c r="AC98" i="34" s="1"/>
  <c r="D3" i="34"/>
  <c r="B4" i="34"/>
  <c r="H75" i="31"/>
  <c r="S75" i="31"/>
  <c r="G75" i="31"/>
  <c r="N75" i="31" a="1"/>
  <c r="N75" i="31" s="1"/>
  <c r="X75" i="31"/>
  <c r="U75" i="31" s="1"/>
  <c r="L75" i="31" a="1"/>
  <c r="L75" i="31" s="1"/>
  <c r="Y75" i="31" a="1"/>
  <c r="Y75" i="31" s="1"/>
  <c r="J75" i="31" a="1"/>
  <c r="J75" i="31" s="1"/>
  <c r="AB75" i="31"/>
  <c r="V75" i="31"/>
  <c r="M75" i="31"/>
  <c r="D75" i="31" a="1"/>
  <c r="D75" i="31" s="1"/>
  <c r="R75" i="31" a="1"/>
  <c r="R75" i="31" s="1"/>
  <c r="E75" i="31"/>
  <c r="P75" i="31"/>
  <c r="T75" i="31"/>
  <c r="Q75" i="31" a="1"/>
  <c r="Q75" i="31" s="1"/>
  <c r="AA75" i="31"/>
  <c r="B75" i="31" s="1"/>
  <c r="F75" i="31" a="1"/>
  <c r="F75" i="31" s="1"/>
  <c r="I75" i="31" a="1"/>
  <c r="I75" i="31" s="1"/>
  <c r="Z75" i="31" a="1"/>
  <c r="Z75" i="31" s="1"/>
  <c r="O75" i="31"/>
  <c r="K75" i="31"/>
  <c r="W75" i="31"/>
  <c r="C79" i="34"/>
  <c r="AC79" i="34" s="1"/>
  <c r="I3" i="34"/>
  <c r="B9" i="34"/>
  <c r="I2" i="34" s="1"/>
  <c r="C49" i="34"/>
  <c r="C55" i="34"/>
  <c r="B15" i="34"/>
  <c r="O2" i="34" s="1"/>
  <c r="O3" i="34"/>
  <c r="C85" i="34"/>
  <c r="AC85" i="34" s="1"/>
  <c r="W83" i="31"/>
  <c r="S83" i="31"/>
  <c r="AB83" i="31"/>
  <c r="L83" i="31" a="1"/>
  <c r="L83" i="31" s="1"/>
  <c r="F83" i="31" a="1"/>
  <c r="F83" i="31" s="1"/>
  <c r="Z83" i="31" a="1"/>
  <c r="Z83" i="31" s="1"/>
  <c r="R83" i="31" a="1"/>
  <c r="R83" i="31" s="1"/>
  <c r="D83" i="31" a="1"/>
  <c r="D83" i="31" s="1"/>
  <c r="P83" i="31"/>
  <c r="O83" i="31" s="1"/>
  <c r="Y83" i="31" a="1"/>
  <c r="Y83" i="31" s="1"/>
  <c r="H83" i="31"/>
  <c r="G83" i="31"/>
  <c r="I83" i="31" a="1"/>
  <c r="I83" i="31" s="1"/>
  <c r="J83" i="31" a="1"/>
  <c r="J83" i="31" s="1"/>
  <c r="X83" i="31"/>
  <c r="K83" i="31"/>
  <c r="U83" i="31"/>
  <c r="E83" i="31"/>
  <c r="M83" i="31"/>
  <c r="Q83" i="31" a="1"/>
  <c r="Q83" i="31" s="1"/>
  <c r="N83" i="31" a="1"/>
  <c r="N83" i="31" s="1"/>
  <c r="V83" i="31"/>
  <c r="AA83" i="31"/>
  <c r="B83" i="31" s="1"/>
  <c r="T83" i="31"/>
  <c r="B23" i="34"/>
  <c r="W2" i="34" s="1"/>
  <c r="C93" i="34"/>
  <c r="AC93" i="34" s="1"/>
  <c r="W3" i="34"/>
  <c r="C63" i="34"/>
  <c r="AC16" i="34"/>
  <c r="AC6" i="34"/>
  <c r="AE6" i="34"/>
  <c r="AC13" i="34"/>
  <c r="AE11" i="34"/>
  <c r="AD8" i="34"/>
  <c r="AD12" i="34"/>
  <c r="AD19" i="34"/>
  <c r="AF10" i="34"/>
  <c r="AE18" i="34"/>
  <c r="AC17" i="34"/>
  <c r="AF5" i="34"/>
  <c r="AC20" i="34"/>
  <c r="AF4" i="34"/>
  <c r="AF9" i="34"/>
  <c r="AE15" i="34"/>
  <c r="AC23" i="34"/>
  <c r="AD6" i="34"/>
  <c r="AD13" i="34"/>
  <c r="AD14" i="34"/>
  <c r="AF7" i="34"/>
  <c r="AF18" i="34"/>
  <c r="AE20" i="34"/>
  <c r="AE9" i="34"/>
  <c r="AD23" i="34"/>
  <c r="AF16" i="34"/>
  <c r="AF6" i="34"/>
  <c r="AF13" i="34"/>
  <c r="AF22" i="34"/>
  <c r="AD22" i="34"/>
  <c r="AF14" i="34"/>
  <c r="AE7" i="34"/>
  <c r="AD11" i="34"/>
  <c r="AE8" i="34"/>
  <c r="AC19" i="34"/>
  <c r="AD10" i="34"/>
  <c r="AD18" i="34"/>
  <c r="AC21" i="34"/>
  <c r="AD17" i="34"/>
  <c r="AE5" i="34"/>
  <c r="AD20" i="34"/>
  <c r="AE4" i="34"/>
  <c r="AC9" i="34"/>
  <c r="AC15" i="34"/>
  <c r="AD15" i="34"/>
  <c r="AF23" i="34"/>
  <c r="AC22" i="34"/>
  <c r="AD7" i="34"/>
  <c r="AF11" i="34"/>
  <c r="AF12" i="34"/>
  <c r="AE17" i="34"/>
  <c r="AD5" i="34"/>
  <c r="AD16" i="34"/>
  <c r="AE16" i="34"/>
  <c r="AE13" i="34"/>
  <c r="AE22" i="34"/>
  <c r="AE14" i="34"/>
  <c r="AC14" i="34"/>
  <c r="AC7" i="34"/>
  <c r="AC11" i="34"/>
  <c r="AC8" i="34"/>
  <c r="AC12" i="34"/>
  <c r="AE12" i="34"/>
  <c r="AF19" i="34"/>
  <c r="AC10" i="34"/>
  <c r="AC18" i="34"/>
  <c r="AE21" i="34"/>
  <c r="AF17" i="34"/>
  <c r="AC5" i="34"/>
  <c r="AF20" i="34"/>
  <c r="AC4" i="34"/>
  <c r="AD9" i="34"/>
  <c r="AF15" i="34"/>
  <c r="AF8" i="34"/>
  <c r="AE19" i="34"/>
  <c r="AE10" i="34"/>
  <c r="AF21" i="34"/>
  <c r="AD21" i="34"/>
  <c r="AD4" i="34"/>
  <c r="AE23" i="34"/>
  <c r="D98" i="34" l="1"/>
  <c r="D73" i="34"/>
  <c r="D43" i="34"/>
  <c r="E98" i="34"/>
  <c r="E73" i="34"/>
  <c r="E43" i="34"/>
  <c r="M73" i="34"/>
  <c r="M43" i="34"/>
  <c r="M98" i="34"/>
  <c r="F73" i="34"/>
  <c r="F43" i="34"/>
  <c r="F98" i="34"/>
  <c r="I43" i="34"/>
  <c r="I98" i="34"/>
  <c r="I73" i="34"/>
  <c r="C117" i="34"/>
  <c r="C108" i="34"/>
  <c r="C116" i="34"/>
  <c r="C103" i="34"/>
  <c r="C111" i="34"/>
  <c r="C122" i="34"/>
  <c r="C107" i="34"/>
  <c r="C105" i="34"/>
  <c r="C115" i="34"/>
  <c r="C123" i="34"/>
  <c r="C118" i="34"/>
  <c r="C106" i="34"/>
  <c r="C126" i="34"/>
  <c r="C114" i="34"/>
  <c r="C125" i="34"/>
  <c r="D2" i="34"/>
  <c r="C109" i="34"/>
  <c r="C110" i="34"/>
  <c r="C104" i="34"/>
  <c r="C113" i="34"/>
  <c r="C112" i="34"/>
  <c r="C121" i="34"/>
  <c r="C124" i="34"/>
  <c r="C119" i="34"/>
  <c r="C120" i="34"/>
  <c r="H73" i="34"/>
  <c r="H43" i="34"/>
  <c r="H98" i="34"/>
  <c r="W98" i="34"/>
  <c r="W73" i="34"/>
  <c r="W43" i="34"/>
  <c r="O98" i="34"/>
  <c r="O43" i="34"/>
  <c r="O73" i="34"/>
  <c r="T43" i="34"/>
  <c r="T98" i="34"/>
  <c r="T73" i="34"/>
  <c r="Q43" i="34"/>
  <c r="Q73" i="34"/>
  <c r="Q98" i="34"/>
  <c r="U73" i="34"/>
  <c r="U43" i="34"/>
  <c r="U98" i="34"/>
  <c r="R73" i="34"/>
  <c r="R98" i="34"/>
  <c r="R43" i="34"/>
  <c r="J98" i="34"/>
  <c r="J43" i="34"/>
  <c r="J73" i="34"/>
  <c r="S73" i="34"/>
  <c r="S98" i="34"/>
  <c r="S43" i="34"/>
  <c r="L73" i="34"/>
  <c r="L43" i="34"/>
  <c r="L98" i="34"/>
  <c r="K73" i="34"/>
  <c r="K98" i="34"/>
  <c r="K43" i="34"/>
  <c r="V69" i="31"/>
  <c r="V91" i="31" s="1"/>
  <c r="M69" i="31"/>
  <c r="R69" i="31" a="1"/>
  <c r="R69" i="31" s="1"/>
  <c r="P69" i="31"/>
  <c r="P91" i="31" s="1"/>
  <c r="W69" i="31"/>
  <c r="K69" i="31"/>
  <c r="AA69" i="31"/>
  <c r="B69" i="31" s="1"/>
  <c r="H69" i="31"/>
  <c r="H91" i="31" s="1"/>
  <c r="K91" i="31" s="1"/>
  <c r="Q69" i="31" a="1"/>
  <c r="Q69" i="31" s="1"/>
  <c r="Q91" i="31" s="1"/>
  <c r="T69" i="31"/>
  <c r="T91" i="31" s="1"/>
  <c r="E69" i="31"/>
  <c r="Z69" i="31" a="1"/>
  <c r="Z69" i="31" s="1"/>
  <c r="X69" i="31"/>
  <c r="X91" i="31" s="1"/>
  <c r="U69" i="31"/>
  <c r="F69" i="31" a="1"/>
  <c r="F69" i="31" s="1"/>
  <c r="F91" i="31" s="1"/>
  <c r="N69" i="31" a="1"/>
  <c r="N69" i="31" s="1"/>
  <c r="N91" i="31" s="1"/>
  <c r="D69" i="31" a="1"/>
  <c r="D69" i="31" s="1"/>
  <c r="D91" i="31" s="1"/>
  <c r="E91" i="31" s="1"/>
  <c r="AB69" i="31"/>
  <c r="G69" i="31"/>
  <c r="O69" i="31"/>
  <c r="S69" i="31"/>
  <c r="I69" i="31" a="1"/>
  <c r="I69" i="31" s="1"/>
  <c r="L69" i="31" a="1"/>
  <c r="L69" i="31" s="1"/>
  <c r="L91" i="31" s="1"/>
  <c r="J69" i="31" a="1"/>
  <c r="J69" i="31" s="1"/>
  <c r="J91" i="31" s="1"/>
  <c r="Y69" i="31" a="1"/>
  <c r="Y69" i="31" s="1"/>
  <c r="Y91" i="31" s="1"/>
  <c r="G43" i="34"/>
  <c r="G73" i="34"/>
  <c r="G98" i="34"/>
  <c r="N43" i="34"/>
  <c r="N98" i="34"/>
  <c r="N73" i="34"/>
  <c r="V73" i="34"/>
  <c r="V43" i="34"/>
  <c r="V98" i="34"/>
  <c r="P98" i="34"/>
  <c r="P43" i="34"/>
  <c r="P73" i="34"/>
  <c r="E31" i="34"/>
  <c r="E35" i="34"/>
  <c r="M32" i="34"/>
  <c r="F31" i="34"/>
  <c r="I29" i="34"/>
  <c r="AD135" i="34"/>
  <c r="AD134" i="34"/>
  <c r="H36" i="34"/>
  <c r="H29" i="34"/>
  <c r="W36" i="34"/>
  <c r="O37" i="34"/>
  <c r="O30" i="34"/>
  <c r="O31" i="34"/>
  <c r="T30" i="34"/>
  <c r="T36" i="34"/>
  <c r="Q32" i="34"/>
  <c r="U34" i="34"/>
  <c r="U35" i="34"/>
  <c r="U30" i="34"/>
  <c r="R35" i="34"/>
  <c r="R29" i="34"/>
  <c r="J32" i="34"/>
  <c r="S34" i="34"/>
  <c r="L36" i="34"/>
  <c r="L29" i="34"/>
  <c r="K37" i="34"/>
  <c r="K31" i="34"/>
  <c r="K35" i="34"/>
  <c r="G37" i="34"/>
  <c r="G36" i="34"/>
  <c r="G34" i="34"/>
  <c r="N30" i="34"/>
  <c r="N32" i="34"/>
  <c r="P36" i="34"/>
  <c r="P30" i="34"/>
  <c r="P37" i="34"/>
  <c r="G31" i="34"/>
  <c r="N31" i="34"/>
  <c r="V30" i="34"/>
  <c r="V34" i="34"/>
  <c r="W34" i="34"/>
  <c r="W37" i="34"/>
  <c r="O32" i="34"/>
  <c r="T29" i="34"/>
  <c r="Q30" i="34"/>
  <c r="R32" i="34"/>
  <c r="R31" i="34"/>
  <c r="S32" i="34"/>
  <c r="L37" i="34"/>
  <c r="K36" i="34"/>
  <c r="G32" i="34"/>
  <c r="N34" i="34"/>
  <c r="P31" i="34"/>
  <c r="D29" i="34"/>
  <c r="D30" i="34"/>
  <c r="D35" i="34"/>
  <c r="E30" i="34"/>
  <c r="E32" i="34"/>
  <c r="E36" i="34"/>
  <c r="M35" i="34"/>
  <c r="M34" i="34"/>
  <c r="F35" i="34"/>
  <c r="F34" i="34"/>
  <c r="F32" i="34"/>
  <c r="I30" i="34"/>
  <c r="I35" i="34"/>
  <c r="I37" i="34"/>
  <c r="AE131" i="34"/>
  <c r="AD131" i="34"/>
  <c r="H37" i="34"/>
  <c r="H30" i="34"/>
  <c r="H35" i="34"/>
  <c r="W31" i="34"/>
  <c r="W35" i="34"/>
  <c r="W32" i="34"/>
  <c r="O29" i="34"/>
  <c r="O35" i="34"/>
  <c r="T34" i="34"/>
  <c r="Q29" i="34"/>
  <c r="Q35" i="34"/>
  <c r="U31" i="34"/>
  <c r="U36" i="34"/>
  <c r="U29" i="34"/>
  <c r="R37" i="34"/>
  <c r="R34" i="34"/>
  <c r="J37" i="34"/>
  <c r="J35" i="34"/>
  <c r="J36" i="34"/>
  <c r="S30" i="34"/>
  <c r="S37" i="34"/>
  <c r="S29" i="34"/>
  <c r="L32" i="34"/>
  <c r="L31" i="34"/>
  <c r="L35" i="34"/>
  <c r="K32" i="34"/>
  <c r="K30" i="34"/>
  <c r="G29" i="34"/>
  <c r="N36" i="34"/>
  <c r="V37" i="34"/>
  <c r="P35" i="34"/>
  <c r="AE130" i="34"/>
  <c r="T31" i="34"/>
  <c r="U32" i="34"/>
  <c r="R36" i="34"/>
  <c r="J29" i="34"/>
  <c r="S31" i="34"/>
  <c r="K29" i="34"/>
  <c r="V35" i="34"/>
  <c r="D37" i="34"/>
  <c r="D32" i="34"/>
  <c r="D34" i="34"/>
  <c r="E34" i="34"/>
  <c r="M37" i="34"/>
  <c r="M36" i="34"/>
  <c r="F36" i="34"/>
  <c r="F37" i="34"/>
  <c r="F29" i="34"/>
  <c r="I32" i="34"/>
  <c r="I31" i="34"/>
  <c r="I34" i="34"/>
  <c r="AE135" i="34"/>
  <c r="AE134" i="34"/>
  <c r="H34" i="34"/>
  <c r="H31" i="34"/>
  <c r="H32" i="34"/>
  <c r="W29" i="34"/>
  <c r="W30" i="34"/>
  <c r="O36" i="34"/>
  <c r="T37" i="34"/>
  <c r="T32" i="34"/>
  <c r="Q37" i="34"/>
  <c r="Q31" i="34"/>
  <c r="Q36" i="34"/>
  <c r="U37" i="34"/>
  <c r="R30" i="34"/>
  <c r="J31" i="34"/>
  <c r="J34" i="34"/>
  <c r="S35" i="34"/>
  <c r="S36" i="34"/>
  <c r="L34" i="34"/>
  <c r="K34" i="34"/>
  <c r="G35" i="34"/>
  <c r="N29" i="34"/>
  <c r="N37" i="34"/>
  <c r="V31" i="34"/>
  <c r="V29" i="34"/>
  <c r="V32" i="34"/>
  <c r="P34" i="34"/>
  <c r="P32" i="34"/>
  <c r="D31" i="34"/>
  <c r="D36" i="34"/>
  <c r="E37" i="34"/>
  <c r="E29" i="34"/>
  <c r="M30" i="34"/>
  <c r="M31" i="34"/>
  <c r="M29" i="34"/>
  <c r="F30" i="34"/>
  <c r="I36" i="34"/>
  <c r="AD130" i="34"/>
  <c r="O34" i="34"/>
  <c r="T35" i="34"/>
  <c r="Q34" i="34"/>
  <c r="J30" i="34"/>
  <c r="L30" i="34"/>
  <c r="G30" i="34"/>
  <c r="N35" i="34"/>
  <c r="V36" i="34"/>
  <c r="P29" i="34"/>
  <c r="M91" i="31" l="1"/>
  <c r="G91" i="31"/>
  <c r="R91" i="31"/>
  <c r="S91" i="31" s="1"/>
  <c r="O91" i="31"/>
  <c r="I91" i="31"/>
  <c r="AF113" i="34"/>
  <c r="AC113" i="34"/>
  <c r="N102" i="34"/>
  <c r="AD113" i="34"/>
  <c r="AE113" i="34"/>
  <c r="AD125" i="34"/>
  <c r="AC125" i="34"/>
  <c r="AE125" i="34"/>
  <c r="Z102" i="34"/>
  <c r="AF125" i="34"/>
  <c r="AF118" i="34"/>
  <c r="AC118" i="34"/>
  <c r="S102" i="34"/>
  <c r="AE118" i="34"/>
  <c r="AD118" i="34"/>
  <c r="AD117" i="34"/>
  <c r="AE117" i="34"/>
  <c r="AC117" i="34"/>
  <c r="AF117" i="34"/>
  <c r="R102" i="34"/>
  <c r="U91" i="31"/>
  <c r="AC120" i="34"/>
  <c r="AD120" i="34"/>
  <c r="AF120" i="34"/>
  <c r="U102" i="34"/>
  <c r="AE120" i="34"/>
  <c r="AF124" i="34"/>
  <c r="Y102" i="34"/>
  <c r="AD124" i="34"/>
  <c r="AC124" i="34"/>
  <c r="AE124" i="34"/>
  <c r="AE104" i="34"/>
  <c r="E102" i="34"/>
  <c r="AC104" i="34"/>
  <c r="AD104" i="34"/>
  <c r="AF104" i="34"/>
  <c r="O102" i="34"/>
  <c r="AF114" i="34"/>
  <c r="AC114" i="34"/>
  <c r="AE114" i="34"/>
  <c r="AD114" i="34"/>
  <c r="X102" i="34"/>
  <c r="AE123" i="34"/>
  <c r="AC123" i="34"/>
  <c r="AF123" i="34"/>
  <c r="AD123" i="34"/>
  <c r="AC103" i="34"/>
  <c r="AF103" i="34"/>
  <c r="D102" i="34"/>
  <c r="AD103" i="34"/>
  <c r="AE103" i="34"/>
  <c r="AF107" i="34"/>
  <c r="AC107" i="34"/>
  <c r="H102" i="34"/>
  <c r="AD107" i="34"/>
  <c r="AE107" i="34"/>
  <c r="W91" i="31"/>
  <c r="AC119" i="34"/>
  <c r="AF119" i="34"/>
  <c r="T102" i="34"/>
  <c r="AD119" i="34"/>
  <c r="AE119" i="34"/>
  <c r="AD121" i="34"/>
  <c r="AF121" i="34"/>
  <c r="AE121" i="34"/>
  <c r="AC121" i="34"/>
  <c r="V102" i="34"/>
  <c r="AF110" i="34"/>
  <c r="AE110" i="34"/>
  <c r="AC110" i="34"/>
  <c r="K102" i="34"/>
  <c r="AD110" i="34"/>
  <c r="AD126" i="34"/>
  <c r="AA102" i="34"/>
  <c r="AE126" i="34"/>
  <c r="AC126" i="34"/>
  <c r="AF126" i="34"/>
  <c r="AF115" i="34"/>
  <c r="P102" i="34"/>
  <c r="AE115" i="34"/>
  <c r="AC115" i="34"/>
  <c r="AD115" i="34"/>
  <c r="Q102" i="34"/>
  <c r="AC116" i="34"/>
  <c r="AF116" i="34"/>
  <c r="AE116" i="34"/>
  <c r="AD116" i="34"/>
  <c r="AD111" i="34"/>
  <c r="AC111" i="34"/>
  <c r="AE111" i="34"/>
  <c r="AF111" i="34"/>
  <c r="L102" i="34"/>
  <c r="Z91" i="31"/>
  <c r="AA91" i="31" s="1"/>
  <c r="M102" i="34"/>
  <c r="AE112" i="34"/>
  <c r="AC112" i="34"/>
  <c r="AD112" i="34"/>
  <c r="AF112" i="34"/>
  <c r="AF109" i="34"/>
  <c r="AD109" i="34"/>
  <c r="AE109" i="34"/>
  <c r="AC109" i="34"/>
  <c r="J102" i="34"/>
  <c r="AC106" i="34"/>
  <c r="G102" i="34"/>
  <c r="AD106" i="34"/>
  <c r="AF106" i="34"/>
  <c r="AE106" i="34"/>
  <c r="AD105" i="34"/>
  <c r="AC105" i="34"/>
  <c r="AE105" i="34"/>
  <c r="AF105" i="34"/>
  <c r="F102" i="34"/>
  <c r="AC122" i="34"/>
  <c r="W102" i="34"/>
  <c r="AE122" i="34"/>
  <c r="AF122" i="34"/>
  <c r="AD122" i="34"/>
  <c r="AF108" i="34"/>
  <c r="AE108" i="34"/>
  <c r="AC108" i="34"/>
  <c r="I102" i="34"/>
  <c r="AD108" i="34"/>
  <c r="L126" i="34" l="1"/>
  <c r="L112" i="34"/>
  <c r="L120" i="34"/>
  <c r="L106" i="34"/>
  <c r="L113" i="34"/>
  <c r="L136" i="34"/>
  <c r="L117" i="34"/>
  <c r="L135" i="34"/>
  <c r="L119" i="34"/>
  <c r="L123" i="34"/>
  <c r="L133" i="34"/>
  <c r="L130" i="34"/>
  <c r="L108" i="34"/>
  <c r="L131" i="34"/>
  <c r="L121" i="34"/>
  <c r="L111" i="34"/>
  <c r="L134" i="34"/>
  <c r="L105" i="34"/>
  <c r="L109" i="34"/>
  <c r="L104" i="34"/>
  <c r="L116" i="34"/>
  <c r="L114" i="34"/>
  <c r="L124" i="34"/>
  <c r="L107" i="34"/>
  <c r="L128" i="34"/>
  <c r="L115" i="34"/>
  <c r="L103" i="34"/>
  <c r="L110" i="34"/>
  <c r="L118" i="34"/>
  <c r="L129" i="34"/>
  <c r="L122" i="34"/>
  <c r="L125" i="34"/>
  <c r="T104" i="34"/>
  <c r="T122" i="34"/>
  <c r="T115" i="34"/>
  <c r="T124" i="34"/>
  <c r="T114" i="34"/>
  <c r="T134" i="34"/>
  <c r="T106" i="34"/>
  <c r="T117" i="34"/>
  <c r="T120" i="34"/>
  <c r="T125" i="34"/>
  <c r="T133" i="34"/>
  <c r="T110" i="34"/>
  <c r="T107" i="34"/>
  <c r="T135" i="34"/>
  <c r="T112" i="34"/>
  <c r="T109" i="34"/>
  <c r="T131" i="34"/>
  <c r="T128" i="34"/>
  <c r="T136" i="34"/>
  <c r="T111" i="34"/>
  <c r="T126" i="34"/>
  <c r="T118" i="34"/>
  <c r="T119" i="34"/>
  <c r="T108" i="34"/>
  <c r="T105" i="34"/>
  <c r="T130" i="34"/>
  <c r="T123" i="34"/>
  <c r="T113" i="34"/>
  <c r="T103" i="34"/>
  <c r="T121" i="34"/>
  <c r="T129" i="34"/>
  <c r="T116" i="34"/>
  <c r="Y131" i="34"/>
  <c r="Y130" i="34"/>
  <c r="Y115" i="34"/>
  <c r="Y121" i="34"/>
  <c r="Y109" i="34"/>
  <c r="Y136" i="34"/>
  <c r="Y114" i="34"/>
  <c r="Y119" i="34"/>
  <c r="Y105" i="34"/>
  <c r="Y110" i="34"/>
  <c r="Y108" i="34"/>
  <c r="Y111" i="34"/>
  <c r="Y126" i="34"/>
  <c r="Y104" i="34"/>
  <c r="Y135" i="34"/>
  <c r="Y103" i="34"/>
  <c r="Y112" i="34"/>
  <c r="Y129" i="34"/>
  <c r="Y113" i="34"/>
  <c r="Y122" i="34"/>
  <c r="Y134" i="34"/>
  <c r="Y133" i="34"/>
  <c r="Y107" i="34"/>
  <c r="Y125" i="34"/>
  <c r="Y124" i="34"/>
  <c r="Y120" i="34"/>
  <c r="Y117" i="34"/>
  <c r="Y123" i="34"/>
  <c r="Y128" i="34"/>
  <c r="Y118" i="34"/>
  <c r="Y116" i="34"/>
  <c r="Y106" i="34"/>
  <c r="R103" i="34"/>
  <c r="R113" i="34"/>
  <c r="R107" i="34"/>
  <c r="R133" i="34"/>
  <c r="R128" i="34"/>
  <c r="R110" i="34"/>
  <c r="R136" i="34"/>
  <c r="R115" i="34"/>
  <c r="R116" i="34"/>
  <c r="R111" i="34"/>
  <c r="R125" i="34"/>
  <c r="R109" i="34"/>
  <c r="R130" i="34"/>
  <c r="R104" i="34"/>
  <c r="R120" i="34"/>
  <c r="R114" i="34"/>
  <c r="R134" i="34"/>
  <c r="R118" i="34"/>
  <c r="R119" i="34"/>
  <c r="R126" i="34"/>
  <c r="R106" i="34"/>
  <c r="R124" i="34"/>
  <c r="R117" i="34"/>
  <c r="R123" i="34"/>
  <c r="R122" i="34"/>
  <c r="R121" i="34"/>
  <c r="R129" i="34"/>
  <c r="R112" i="34"/>
  <c r="R131" i="34"/>
  <c r="R135" i="34"/>
  <c r="R105" i="34"/>
  <c r="R108" i="34"/>
  <c r="W118" i="34"/>
  <c r="W125" i="34"/>
  <c r="W124" i="34"/>
  <c r="W120" i="34"/>
  <c r="W113" i="34"/>
  <c r="W123" i="34"/>
  <c r="W111" i="34"/>
  <c r="W108" i="34"/>
  <c r="W105" i="34"/>
  <c r="W110" i="34"/>
  <c r="W126" i="34"/>
  <c r="W136" i="34"/>
  <c r="W112" i="34"/>
  <c r="W114" i="34"/>
  <c r="W116" i="34"/>
  <c r="W133" i="34"/>
  <c r="W103" i="34"/>
  <c r="W122" i="34"/>
  <c r="W117" i="34"/>
  <c r="W109" i="34"/>
  <c r="W119" i="34"/>
  <c r="W134" i="34"/>
  <c r="W115" i="34"/>
  <c r="W129" i="34"/>
  <c r="W130" i="34"/>
  <c r="W104" i="34"/>
  <c r="W121" i="34"/>
  <c r="W107" i="34"/>
  <c r="W106" i="34"/>
  <c r="W128" i="34"/>
  <c r="W131" i="34"/>
  <c r="W135" i="34"/>
  <c r="J136" i="34"/>
  <c r="J104" i="34"/>
  <c r="J115" i="34"/>
  <c r="J130" i="34"/>
  <c r="J106" i="34"/>
  <c r="J105" i="34"/>
  <c r="J118" i="34"/>
  <c r="J129" i="34"/>
  <c r="J103" i="34"/>
  <c r="J114" i="34"/>
  <c r="J112" i="34"/>
  <c r="J108" i="34"/>
  <c r="J117" i="34"/>
  <c r="J120" i="34"/>
  <c r="J133" i="34"/>
  <c r="J128" i="34"/>
  <c r="J109" i="34"/>
  <c r="J135" i="34"/>
  <c r="J107" i="34"/>
  <c r="J125" i="34"/>
  <c r="J111" i="34"/>
  <c r="J134" i="34"/>
  <c r="J110" i="34"/>
  <c r="J124" i="34"/>
  <c r="J122" i="34"/>
  <c r="J113" i="34"/>
  <c r="J126" i="34"/>
  <c r="J123" i="34"/>
  <c r="J121" i="34"/>
  <c r="J116" i="34"/>
  <c r="J131" i="34"/>
  <c r="J119" i="34"/>
  <c r="Q125" i="34"/>
  <c r="Q110" i="34"/>
  <c r="Q130" i="34"/>
  <c r="Q135" i="34"/>
  <c r="Q117" i="34"/>
  <c r="Q122" i="34"/>
  <c r="Q121" i="34"/>
  <c r="Q118" i="34"/>
  <c r="Q111" i="34"/>
  <c r="Q104" i="34"/>
  <c r="Q131" i="34"/>
  <c r="Q107" i="34"/>
  <c r="Q103" i="34"/>
  <c r="Q136" i="34"/>
  <c r="Q128" i="34"/>
  <c r="Q112" i="34"/>
  <c r="Q108" i="34"/>
  <c r="Q114" i="34"/>
  <c r="Q124" i="34"/>
  <c r="Q113" i="34"/>
  <c r="Q126" i="34"/>
  <c r="Q105" i="34"/>
  <c r="Q119" i="34"/>
  <c r="Q123" i="34"/>
  <c r="Q115" i="34"/>
  <c r="Q106" i="34"/>
  <c r="Q134" i="34"/>
  <c r="Q129" i="34"/>
  <c r="Q109" i="34"/>
  <c r="Q116" i="34"/>
  <c r="Q133" i="34"/>
  <c r="Q120" i="34"/>
  <c r="P131" i="34"/>
  <c r="P117" i="34"/>
  <c r="P134" i="34"/>
  <c r="P115" i="34"/>
  <c r="P130" i="34"/>
  <c r="P124" i="34"/>
  <c r="P133" i="34"/>
  <c r="P109" i="34"/>
  <c r="P119" i="34"/>
  <c r="P113" i="34"/>
  <c r="P114" i="34"/>
  <c r="P135" i="34"/>
  <c r="P126" i="34"/>
  <c r="P110" i="34"/>
  <c r="P122" i="34"/>
  <c r="P111" i="34"/>
  <c r="P108" i="34"/>
  <c r="P104" i="34"/>
  <c r="P123" i="34"/>
  <c r="P128" i="34"/>
  <c r="P105" i="34"/>
  <c r="P106" i="34"/>
  <c r="P120" i="34"/>
  <c r="P107" i="34"/>
  <c r="P116" i="34"/>
  <c r="P118" i="34"/>
  <c r="P112" i="34"/>
  <c r="P129" i="34"/>
  <c r="P136" i="34"/>
  <c r="P121" i="34"/>
  <c r="P125" i="34"/>
  <c r="P103" i="34"/>
  <c r="K126" i="34"/>
  <c r="K130" i="34"/>
  <c r="K136" i="34"/>
  <c r="K133" i="34"/>
  <c r="K121" i="34"/>
  <c r="K113" i="34"/>
  <c r="K112" i="34"/>
  <c r="K117" i="34"/>
  <c r="K106" i="34"/>
  <c r="K118" i="34"/>
  <c r="K116" i="34"/>
  <c r="K107" i="34"/>
  <c r="K129" i="34"/>
  <c r="K108" i="34"/>
  <c r="K105" i="34"/>
  <c r="K125" i="34"/>
  <c r="K119" i="34"/>
  <c r="K131" i="34"/>
  <c r="K135" i="34"/>
  <c r="K134" i="34"/>
  <c r="K104" i="34"/>
  <c r="K122" i="34"/>
  <c r="K115" i="34"/>
  <c r="K128" i="34"/>
  <c r="K111" i="34"/>
  <c r="K123" i="34"/>
  <c r="K110" i="34"/>
  <c r="K114" i="34"/>
  <c r="K120" i="34"/>
  <c r="K109" i="34"/>
  <c r="K103" i="34"/>
  <c r="K124" i="34"/>
  <c r="V112" i="34"/>
  <c r="V129" i="34"/>
  <c r="V134" i="34"/>
  <c r="V118" i="34"/>
  <c r="V131" i="34"/>
  <c r="V116" i="34"/>
  <c r="V124" i="34"/>
  <c r="V115" i="34"/>
  <c r="V121" i="34"/>
  <c r="V119" i="34"/>
  <c r="V114" i="34"/>
  <c r="V106" i="34"/>
  <c r="V113" i="34"/>
  <c r="V104" i="34"/>
  <c r="V108" i="34"/>
  <c r="V133" i="34"/>
  <c r="V126" i="34"/>
  <c r="V135" i="34"/>
  <c r="V111" i="34"/>
  <c r="V130" i="34"/>
  <c r="V136" i="34"/>
  <c r="V107" i="34"/>
  <c r="V109" i="34"/>
  <c r="V125" i="34"/>
  <c r="V117" i="34"/>
  <c r="V103" i="34"/>
  <c r="V122" i="34"/>
  <c r="V120" i="34"/>
  <c r="V110" i="34"/>
  <c r="V105" i="34"/>
  <c r="V128" i="34"/>
  <c r="V123" i="34"/>
  <c r="N128" i="34"/>
  <c r="N111" i="34"/>
  <c r="N117" i="34"/>
  <c r="N121" i="34"/>
  <c r="N130" i="34"/>
  <c r="N118" i="34"/>
  <c r="N131" i="34"/>
  <c r="N107" i="34"/>
  <c r="N119" i="34"/>
  <c r="N136" i="34"/>
  <c r="N103" i="34"/>
  <c r="N115" i="34"/>
  <c r="N105" i="34"/>
  <c r="N112" i="34"/>
  <c r="N114" i="34"/>
  <c r="N122" i="34"/>
  <c r="N125" i="34"/>
  <c r="N108" i="34"/>
  <c r="N133" i="34"/>
  <c r="N113" i="34"/>
  <c r="N123" i="34"/>
  <c r="N129" i="34"/>
  <c r="N116" i="34"/>
  <c r="N126" i="34"/>
  <c r="N124" i="34"/>
  <c r="N135" i="34"/>
  <c r="N120" i="34"/>
  <c r="N134" i="34"/>
  <c r="N110" i="34"/>
  <c r="N104" i="34"/>
  <c r="N106" i="34"/>
  <c r="N109" i="34"/>
  <c r="I129" i="34"/>
  <c r="I136" i="34"/>
  <c r="I108" i="34"/>
  <c r="I115" i="34"/>
  <c r="I106" i="34"/>
  <c r="I134" i="34"/>
  <c r="I113" i="34"/>
  <c r="I104" i="34"/>
  <c r="I111" i="34"/>
  <c r="I133" i="34"/>
  <c r="I135" i="34"/>
  <c r="I117" i="34"/>
  <c r="I109" i="34"/>
  <c r="I121" i="34"/>
  <c r="I128" i="34"/>
  <c r="I124" i="34"/>
  <c r="I120" i="34"/>
  <c r="I122" i="34"/>
  <c r="I125" i="34"/>
  <c r="I123" i="34"/>
  <c r="I112" i="34"/>
  <c r="I118" i="34"/>
  <c r="I110" i="34"/>
  <c r="I130" i="34"/>
  <c r="I116" i="34"/>
  <c r="I107" i="34"/>
  <c r="I114" i="34"/>
  <c r="I103" i="34"/>
  <c r="I105" i="34"/>
  <c r="I126" i="34"/>
  <c r="I119" i="34"/>
  <c r="I131" i="34"/>
  <c r="M103" i="34"/>
  <c r="M107" i="34"/>
  <c r="M121" i="34"/>
  <c r="M104" i="34"/>
  <c r="M135" i="34"/>
  <c r="M122" i="34"/>
  <c r="M120" i="34"/>
  <c r="M125" i="34"/>
  <c r="M128" i="34"/>
  <c r="M134" i="34"/>
  <c r="M130" i="34"/>
  <c r="M133" i="34"/>
  <c r="M111" i="34"/>
  <c r="M117" i="34"/>
  <c r="M118" i="34"/>
  <c r="M131" i="34"/>
  <c r="M114" i="34"/>
  <c r="M106" i="34"/>
  <c r="M129" i="34"/>
  <c r="M115" i="34"/>
  <c r="M113" i="34"/>
  <c r="M119" i="34"/>
  <c r="M116" i="34"/>
  <c r="M126" i="34"/>
  <c r="M110" i="34"/>
  <c r="M108" i="34"/>
  <c r="M136" i="34"/>
  <c r="M105" i="34"/>
  <c r="M109" i="34"/>
  <c r="M123" i="34"/>
  <c r="M124" i="34"/>
  <c r="M112" i="34"/>
  <c r="AA122" i="34"/>
  <c r="AA124" i="34"/>
  <c r="AA129" i="34"/>
  <c r="AA120" i="34"/>
  <c r="AA125" i="34"/>
  <c r="AA107" i="34"/>
  <c r="AA133" i="34"/>
  <c r="AA112" i="34"/>
  <c r="AA116" i="34"/>
  <c r="AA113" i="34"/>
  <c r="AA131" i="34"/>
  <c r="AA115" i="34"/>
  <c r="AA114" i="34"/>
  <c r="AA128" i="34"/>
  <c r="AA111" i="34"/>
  <c r="AA110" i="34"/>
  <c r="AA136" i="34"/>
  <c r="AA130" i="34"/>
  <c r="AA119" i="34"/>
  <c r="AA134" i="34"/>
  <c r="AA108" i="34"/>
  <c r="AA109" i="34"/>
  <c r="AA121" i="34"/>
  <c r="AA104" i="34"/>
  <c r="AA126" i="34"/>
  <c r="AA123" i="34"/>
  <c r="AA105" i="34"/>
  <c r="AA117" i="34"/>
  <c r="AA106" i="34"/>
  <c r="AA135" i="34"/>
  <c r="AA118" i="34"/>
  <c r="AA103" i="34"/>
  <c r="H123" i="34"/>
  <c r="H112" i="34"/>
  <c r="H117" i="34"/>
  <c r="H115" i="34"/>
  <c r="H120" i="34"/>
  <c r="H109" i="34"/>
  <c r="H108" i="34"/>
  <c r="H124" i="34"/>
  <c r="H104" i="34"/>
  <c r="H125" i="34"/>
  <c r="H105" i="34"/>
  <c r="H113" i="34"/>
  <c r="H126" i="34"/>
  <c r="H136" i="34"/>
  <c r="H128" i="34"/>
  <c r="H107" i="34"/>
  <c r="H114" i="34"/>
  <c r="H134" i="34"/>
  <c r="H122" i="34"/>
  <c r="H106" i="34"/>
  <c r="H118" i="34"/>
  <c r="H119" i="34"/>
  <c r="H130" i="34"/>
  <c r="H121" i="34"/>
  <c r="H103" i="34"/>
  <c r="H111" i="34"/>
  <c r="H116" i="34"/>
  <c r="H135" i="34"/>
  <c r="H110" i="34"/>
  <c r="H131" i="34"/>
  <c r="H133" i="34"/>
  <c r="H129" i="34"/>
  <c r="X105" i="34"/>
  <c r="X123" i="34"/>
  <c r="X111" i="34"/>
  <c r="X103" i="34"/>
  <c r="X117" i="34"/>
  <c r="X109" i="34"/>
  <c r="X120" i="34"/>
  <c r="X104" i="34"/>
  <c r="X116" i="34"/>
  <c r="X110" i="34"/>
  <c r="X114" i="34"/>
  <c r="X115" i="34"/>
  <c r="X124" i="34"/>
  <c r="X129" i="34"/>
  <c r="X130" i="34"/>
  <c r="X128" i="34"/>
  <c r="X126" i="34"/>
  <c r="X119" i="34"/>
  <c r="X136" i="34"/>
  <c r="X113" i="34"/>
  <c r="X122" i="34"/>
  <c r="X112" i="34"/>
  <c r="X107" i="34"/>
  <c r="X133" i="34"/>
  <c r="X106" i="34"/>
  <c r="X134" i="34"/>
  <c r="X135" i="34"/>
  <c r="X108" i="34"/>
  <c r="X131" i="34"/>
  <c r="X121" i="34"/>
  <c r="X125" i="34"/>
  <c r="X118" i="34"/>
  <c r="F124" i="34"/>
  <c r="F129" i="34"/>
  <c r="F105" i="34"/>
  <c r="F128" i="34"/>
  <c r="F118" i="34"/>
  <c r="F136" i="34"/>
  <c r="F121" i="34"/>
  <c r="F135" i="34"/>
  <c r="F115" i="34"/>
  <c r="F110" i="34"/>
  <c r="F113" i="34"/>
  <c r="F109" i="34"/>
  <c r="F103" i="34"/>
  <c r="F122" i="34"/>
  <c r="F119" i="34"/>
  <c r="F133" i="34"/>
  <c r="F131" i="34"/>
  <c r="F112" i="34"/>
  <c r="F116" i="34"/>
  <c r="F117" i="34"/>
  <c r="F114" i="34"/>
  <c r="F111" i="34"/>
  <c r="F130" i="34"/>
  <c r="F108" i="34"/>
  <c r="F123" i="34"/>
  <c r="F120" i="34"/>
  <c r="F107" i="34"/>
  <c r="F106" i="34"/>
  <c r="F134" i="34"/>
  <c r="F104" i="34"/>
  <c r="F126" i="34"/>
  <c r="F125" i="34"/>
  <c r="G118" i="34"/>
  <c r="G116" i="34"/>
  <c r="G121" i="34"/>
  <c r="G107" i="34"/>
  <c r="G124" i="34"/>
  <c r="G115" i="34"/>
  <c r="G114" i="34"/>
  <c r="G135" i="34"/>
  <c r="G126" i="34"/>
  <c r="G123" i="34"/>
  <c r="G112" i="34"/>
  <c r="G106" i="34"/>
  <c r="G109" i="34"/>
  <c r="G105" i="34"/>
  <c r="G122" i="34"/>
  <c r="G103" i="34"/>
  <c r="G108" i="34"/>
  <c r="G131" i="34"/>
  <c r="G111" i="34"/>
  <c r="G104" i="34"/>
  <c r="G136" i="34"/>
  <c r="G119" i="34"/>
  <c r="G130" i="34"/>
  <c r="G129" i="34"/>
  <c r="G117" i="34"/>
  <c r="G125" i="34"/>
  <c r="G120" i="34"/>
  <c r="G133" i="34"/>
  <c r="G128" i="34"/>
  <c r="G113" i="34"/>
  <c r="G110" i="34"/>
  <c r="G134" i="34"/>
  <c r="D107" i="34"/>
  <c r="D122" i="34"/>
  <c r="D114" i="34"/>
  <c r="D131" i="34"/>
  <c r="D106" i="34"/>
  <c r="D113" i="34"/>
  <c r="D117" i="34"/>
  <c r="D128" i="34"/>
  <c r="D111" i="34"/>
  <c r="D120" i="34"/>
  <c r="D136" i="34"/>
  <c r="D112" i="34"/>
  <c r="D126" i="34"/>
  <c r="D115" i="34"/>
  <c r="D118" i="34"/>
  <c r="D125" i="34"/>
  <c r="D123" i="34"/>
  <c r="D104" i="34"/>
  <c r="D129" i="34"/>
  <c r="D116" i="34"/>
  <c r="D124" i="34"/>
  <c r="D119" i="34"/>
  <c r="D133" i="34"/>
  <c r="D121" i="34"/>
  <c r="D103" i="34"/>
  <c r="D108" i="34"/>
  <c r="D134" i="34"/>
  <c r="D135" i="34"/>
  <c r="D109" i="34"/>
  <c r="D110" i="34"/>
  <c r="D130" i="34"/>
  <c r="D105" i="34"/>
  <c r="O136" i="34"/>
  <c r="O134" i="34"/>
  <c r="O133" i="34"/>
  <c r="O106" i="34"/>
  <c r="O103" i="34"/>
  <c r="O124" i="34"/>
  <c r="O120" i="34"/>
  <c r="O117" i="34"/>
  <c r="O122" i="34"/>
  <c r="O118" i="34"/>
  <c r="O112" i="34"/>
  <c r="O126" i="34"/>
  <c r="O129" i="34"/>
  <c r="O104" i="34"/>
  <c r="O113" i="34"/>
  <c r="O115" i="34"/>
  <c r="O110" i="34"/>
  <c r="O119" i="34"/>
  <c r="O105" i="34"/>
  <c r="O114" i="34"/>
  <c r="O130" i="34"/>
  <c r="O109" i="34"/>
  <c r="O135" i="34"/>
  <c r="O121" i="34"/>
  <c r="O128" i="34"/>
  <c r="O123" i="34"/>
  <c r="O108" i="34"/>
  <c r="O116" i="34"/>
  <c r="O107" i="34"/>
  <c r="O131" i="34"/>
  <c r="O125" i="34"/>
  <c r="O111" i="34"/>
  <c r="E119" i="34"/>
  <c r="E135" i="34"/>
  <c r="E126" i="34"/>
  <c r="E120" i="34"/>
  <c r="E124" i="34"/>
  <c r="E106" i="34"/>
  <c r="E110" i="34"/>
  <c r="E113" i="34"/>
  <c r="E117" i="34"/>
  <c r="E112" i="34"/>
  <c r="E111" i="34"/>
  <c r="E134" i="34"/>
  <c r="E108" i="34"/>
  <c r="E118" i="34"/>
  <c r="E105" i="34"/>
  <c r="E133" i="34"/>
  <c r="E115" i="34"/>
  <c r="E129" i="34"/>
  <c r="E123" i="34"/>
  <c r="E104" i="34"/>
  <c r="E122" i="34"/>
  <c r="E130" i="34"/>
  <c r="E121" i="34"/>
  <c r="E107" i="34"/>
  <c r="E116" i="34"/>
  <c r="E128" i="34"/>
  <c r="E109" i="34"/>
  <c r="E136" i="34"/>
  <c r="E103" i="34"/>
  <c r="E125" i="34"/>
  <c r="E131" i="34"/>
  <c r="E114" i="34"/>
  <c r="U105" i="34"/>
  <c r="U130" i="34"/>
  <c r="U113" i="34"/>
  <c r="U126" i="34"/>
  <c r="U111" i="34"/>
  <c r="U125" i="34"/>
  <c r="U121" i="34"/>
  <c r="U119" i="34"/>
  <c r="U135" i="34"/>
  <c r="U136" i="34"/>
  <c r="U129" i="34"/>
  <c r="U133" i="34"/>
  <c r="U106" i="34"/>
  <c r="U120" i="34"/>
  <c r="U122" i="34"/>
  <c r="U134" i="34"/>
  <c r="U104" i="34"/>
  <c r="U131" i="34"/>
  <c r="U109" i="34"/>
  <c r="U118" i="34"/>
  <c r="U110" i="34"/>
  <c r="U128" i="34"/>
  <c r="U112" i="34"/>
  <c r="U114" i="34"/>
  <c r="U116" i="34"/>
  <c r="U108" i="34"/>
  <c r="U124" i="34"/>
  <c r="U117" i="34"/>
  <c r="U103" i="34"/>
  <c r="U115" i="34"/>
  <c r="U107" i="34"/>
  <c r="U123" i="34"/>
  <c r="S129" i="34"/>
  <c r="S131" i="34"/>
  <c r="S124" i="34"/>
  <c r="S120" i="34"/>
  <c r="S118" i="34"/>
  <c r="S113" i="34"/>
  <c r="S110" i="34"/>
  <c r="S133" i="34"/>
  <c r="S130" i="34"/>
  <c r="S109" i="34"/>
  <c r="S126" i="34"/>
  <c r="S119" i="34"/>
  <c r="S115" i="34"/>
  <c r="S125" i="34"/>
  <c r="S116" i="34"/>
  <c r="S104" i="34"/>
  <c r="S122" i="34"/>
  <c r="S128" i="34"/>
  <c r="S134" i="34"/>
  <c r="S123" i="34"/>
  <c r="S106" i="34"/>
  <c r="S117" i="34"/>
  <c r="S105" i="34"/>
  <c r="S111" i="34"/>
  <c r="S107" i="34"/>
  <c r="S112" i="34"/>
  <c r="S135" i="34"/>
  <c r="S103" i="34"/>
  <c r="S121" i="34"/>
  <c r="S136" i="34"/>
  <c r="S108" i="34"/>
  <c r="S114" i="34"/>
  <c r="Z126" i="34"/>
  <c r="Z117" i="34"/>
  <c r="Z128" i="34"/>
  <c r="Z106" i="34"/>
  <c r="Z110" i="34"/>
  <c r="Z134" i="34"/>
  <c r="Z113" i="34"/>
  <c r="Z124" i="34"/>
  <c r="Z130" i="34"/>
  <c r="Z129" i="34"/>
  <c r="Z125" i="34"/>
  <c r="Z136" i="34"/>
  <c r="Z118" i="34"/>
  <c r="Z120" i="34"/>
  <c r="Z116" i="34"/>
  <c r="Z119" i="34"/>
  <c r="Z103" i="34"/>
  <c r="Z112" i="34"/>
  <c r="Z131" i="34"/>
  <c r="Z105" i="34"/>
  <c r="Z122" i="34"/>
  <c r="Z133" i="34"/>
  <c r="Z104" i="34"/>
  <c r="Z123" i="34"/>
  <c r="Z109" i="34"/>
  <c r="Z115" i="34"/>
  <c r="Z135" i="34"/>
  <c r="Z111" i="34"/>
  <c r="Z121" i="34"/>
  <c r="Z107" i="34"/>
  <c r="Z114" i="34"/>
  <c r="Z108" i="34"/>
</calcChain>
</file>

<file path=xl/comments1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RM/LM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Z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RW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SS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福岡</t>
        </r>
      </text>
    </comment>
    <comment ref="K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1-1</t>
        </r>
      </text>
    </comment>
    <comment ref="Q24" authorId="1">
      <text>
        <r>
          <rPr>
            <b/>
            <sz val="9"/>
            <color indexed="81"/>
            <rFont val="Tahoma"/>
            <family val="2"/>
          </rPr>
          <t>-0.31</t>
        </r>
      </text>
    </comment>
    <comment ref="K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@73' when 1-1</t>
        </r>
      </text>
    </comment>
    <comment ref="Q26" authorId="1">
      <text>
        <r>
          <rPr>
            <b/>
            <sz val="9"/>
            <color indexed="81"/>
            <rFont val="Tahoma"/>
            <family val="2"/>
          </rPr>
          <t>0.37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@71' when Avispa Fukuoka 1-0
late goal @87' when Avispa Fukuoka 1-0
late goal @90' when 1-1
late goal @90+5' when Avispa Fukuoka 1-2
</t>
        </r>
      </text>
    </comment>
    <comment ref="J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0-0</t>
        </r>
      </text>
    </comment>
    <comment ref="Q35" authorId="1">
      <text>
        <r>
          <rPr>
            <b/>
            <sz val="9"/>
            <color indexed="81"/>
            <rFont val="Tahoma"/>
            <family val="2"/>
          </rPr>
          <t>0.22</t>
        </r>
      </text>
    </comment>
    <comment ref="J36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4-0</t>
        </r>
      </text>
    </comment>
    <comment ref="Q38" authorId="1">
      <text>
        <r>
          <rPr>
            <b/>
            <sz val="9"/>
            <color indexed="81"/>
            <rFont val="Tahoma"/>
            <family val="2"/>
          </rPr>
          <t>0.9</t>
        </r>
      </text>
    </comment>
    <comment ref="BO38" authorId="3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Q39" authorId="1">
      <text>
        <r>
          <rPr>
            <b/>
            <sz val="9"/>
            <color indexed="81"/>
            <rFont val="Tahoma"/>
            <family val="2"/>
          </rPr>
          <t>0.9</t>
        </r>
      </text>
    </comment>
    <comment ref="BN39" authorId="3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S40" authorId="3">
      <text>
        <r>
          <rPr>
            <b/>
            <sz val="9"/>
            <color indexed="81"/>
            <rFont val="Tahoma"/>
            <family val="2"/>
          </rPr>
          <t>2.43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2-1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@59' when Avispa Fukuoka 0-1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3-2</t>
        </r>
      </text>
    </comment>
    <comment ref="K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3-1</t>
        </r>
      </text>
    </comment>
    <comment ref="BG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@45'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0-0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0.18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43" authorId="3">
      <text>
        <r>
          <rPr>
            <b/>
            <sz val="9"/>
            <color indexed="81"/>
            <rFont val="Tahoma"/>
            <family val="2"/>
          </rPr>
          <t>from Korean university</t>
        </r>
      </text>
    </comment>
    <comment ref="BM44" authorId="3">
      <text>
        <r>
          <rPr>
            <b/>
            <sz val="9"/>
            <color indexed="81"/>
            <rFont val="Tahoma"/>
            <family val="2"/>
          </rPr>
          <t>to JEF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2.54</t>
        </r>
      </text>
    </comment>
    <comment ref="K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@75' when 2-1</t>
        </r>
      </text>
    </comment>
    <comment ref="BJ47" authorId="3">
      <text>
        <r>
          <rPr>
            <b/>
            <sz val="9"/>
            <color indexed="81"/>
            <rFont val="Tahoma"/>
            <family val="2"/>
          </rPr>
          <t>from YFM</t>
        </r>
      </text>
    </comment>
    <comment ref="Q51" authorId="3">
      <text>
        <r>
          <rPr>
            <b/>
            <sz val="9"/>
            <color indexed="81"/>
            <rFont val="Tahoma"/>
            <family val="2"/>
          </rPr>
          <t>0.15</t>
        </r>
      </text>
    </comment>
    <comment ref="K5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@45' when 0-0</t>
        </r>
      </text>
    </comment>
    <comment ref="S52" authorId="3">
      <text>
        <r>
          <rPr>
            <b/>
            <sz val="9"/>
            <color indexed="81"/>
            <rFont val="Tahoma"/>
            <family val="2"/>
          </rPr>
          <t>2.45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5" authorId="3">
      <text>
        <r>
          <rPr>
            <b/>
            <sz val="9"/>
            <color indexed="81"/>
            <rFont val="Tahoma"/>
            <family val="2"/>
          </rPr>
          <t>late goal @86'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2-0</t>
        </r>
      </text>
    </comment>
    <comment ref="Q58" authorId="1">
      <text>
        <r>
          <rPr>
            <b/>
            <sz val="9"/>
            <color indexed="81"/>
            <rFont val="Tahoma"/>
            <family val="2"/>
          </rPr>
          <t>0.38</t>
        </r>
      </text>
    </comment>
    <comment ref="K59" authorId="3">
      <text>
        <r>
          <rPr>
            <b/>
            <sz val="9"/>
            <color indexed="81"/>
            <rFont val="Tahoma"/>
            <family val="2"/>
          </rPr>
          <t>late goal @90+5'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@90+6' when 0-1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0.6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6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@38'</t>
        </r>
      </text>
    </comment>
    <comment ref="BF6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@85' 90+6'</t>
        </r>
      </text>
    </comment>
    <comment ref="S63" authorId="3">
      <text>
        <r>
          <rPr>
            <b/>
            <sz val="9"/>
            <color indexed="81"/>
            <rFont val="Tahoma"/>
            <family val="2"/>
          </rPr>
          <t>2.78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0.13</t>
        </r>
      </text>
    </comment>
    <comment ref="BJ6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@45+1'</t>
        </r>
      </text>
    </comment>
  </commentList>
</comments>
</file>

<file path=xl/comments2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9" authorId="1">
      <text>
        <r>
          <rPr>
            <b/>
            <sz val="9"/>
            <color indexed="81"/>
            <rFont val="Tahoma"/>
            <family val="2"/>
          </rPr>
          <t>RB/DM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LM/RM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CM/DM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RW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RW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RB/RW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LB/RW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爱媛</t>
        </r>
      </text>
    </comment>
    <comment ref="AT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@38'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Ehime 2-1</t>
        </r>
      </text>
    </comment>
    <comment ref="K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Ehime 1-0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0-0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Ehime 1-2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2-2</t>
        </r>
      </text>
    </comment>
    <comment ref="J36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Q40" authorId="3">
      <text>
        <r>
          <rPr>
            <b/>
            <sz val="9"/>
            <color indexed="81"/>
            <rFont val="Tahoma"/>
            <family val="2"/>
          </rPr>
          <t>0.08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2-2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Ehime 3-2</t>
        </r>
      </text>
    </comment>
    <comment ref="A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@19'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1-1</t>
        </r>
      </text>
    </comment>
    <comment ref="AK42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0-0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-0.18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-0.4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2.33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0-1</t>
        </r>
      </text>
    </comment>
    <comment ref="J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ET 2-3</t>
        </r>
      </text>
    </comment>
    <comment ref="AS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ET goal @111'</t>
        </r>
      </text>
    </comment>
    <comment ref="K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Ehime 2-1</t>
        </r>
      </text>
    </comment>
    <comment ref="K4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@61' when Ehime 1-0</t>
        </r>
      </text>
    </comment>
    <comment ref="K5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4-6</t>
        </r>
      </text>
    </comment>
    <comment ref="S52" authorId="3">
      <text>
        <r>
          <rPr>
            <b/>
            <sz val="9"/>
            <color indexed="81"/>
            <rFont val="Tahoma"/>
            <family val="2"/>
          </rPr>
          <t>2.38</t>
        </r>
      </text>
    </comment>
    <comment ref="K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@35' when 0-0</t>
        </r>
      </text>
    </comment>
    <comment ref="K5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0-2</t>
        </r>
      </text>
    </comment>
    <comment ref="K5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1-1</t>
        </r>
      </text>
    </comment>
    <comment ref="AT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@27'</t>
        </r>
      </text>
    </comment>
    <comment ref="J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1-3</t>
        </r>
      </text>
    </comment>
    <comment ref="K59" authorId="5">
      <text>
        <r>
          <rPr>
            <b/>
            <sz val="9"/>
            <color indexed="81"/>
            <rFont val="Tahoma"/>
            <family val="2"/>
          </rPr>
          <t>late goal @ 90+4'</t>
        </r>
      </text>
    </comment>
    <comment ref="J6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J6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@90+5' when 1-2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-0.48</t>
        </r>
      </text>
    </comment>
    <comment ref="A64" authorId="4">
      <text>
        <r>
          <rPr>
            <b/>
            <sz val="9"/>
            <color indexed="81"/>
            <rFont val="Tahoma"/>
            <family val="2"/>
          </rPr>
          <t>from 2017/9/16</t>
        </r>
      </text>
    </comment>
    <comment ref="J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3-2</t>
        </r>
      </text>
    </comment>
    <comment ref="Q66" authorId="3">
      <text>
        <r>
          <rPr>
            <b/>
            <sz val="9"/>
            <color indexed="81"/>
            <rFont val="Tahoma"/>
            <family val="2"/>
          </rPr>
          <t>-0.83</t>
        </r>
      </text>
    </comment>
  </commentList>
</comments>
</file>

<file path=xl/comments3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RB/RW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AX19" authorId="1">
      <text>
        <r>
          <rPr>
            <b/>
            <sz val="9"/>
            <color indexed="81"/>
            <rFont val="Tahoma"/>
            <family val="2"/>
          </rPr>
          <t>CB/LM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岡山</t>
        </r>
      </text>
    </comment>
    <comment ref="BI23" authorId="3">
      <text>
        <r>
          <rPr>
            <b/>
            <sz val="9"/>
            <color indexed="81"/>
            <rFont val="Tahoma"/>
            <family val="2"/>
          </rPr>
          <t>out for 3-5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Fagiano Okayama 1-0</t>
        </r>
      </text>
    </comment>
    <comment ref="J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Fagiano Okayama 0-1
late goal @90+4' when 1-1</t>
        </r>
      </text>
    </comment>
    <comment ref="BC26" authorId="3">
      <text>
        <r>
          <rPr>
            <b/>
            <sz val="9"/>
            <color indexed="81"/>
            <rFont val="Tahoma"/>
            <family val="2"/>
          </rPr>
          <t>out for 4-6 weeks</t>
        </r>
      </text>
    </comment>
    <comment ref="BH27" authorId="3">
      <text>
        <r>
          <rPr>
            <b/>
            <sz val="9"/>
            <color indexed="81"/>
            <rFont val="Tahoma"/>
            <family val="2"/>
          </rPr>
          <t>early sub @41'</t>
        </r>
      </text>
    </comment>
    <comment ref="BI27" authorId="3">
      <text>
        <r>
          <rPr>
            <b/>
            <sz val="9"/>
            <color indexed="81"/>
            <rFont val="Tahoma"/>
            <family val="2"/>
          </rPr>
          <t>sub in @41'
PG
sub out @74'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0-0</t>
        </r>
      </text>
    </comment>
    <comment ref="Q29" authorId="1">
      <text>
        <r>
          <rPr>
            <b/>
            <sz val="9"/>
            <color indexed="81"/>
            <rFont val="Tahoma"/>
            <family val="2"/>
          </rPr>
          <t>0.48</t>
        </r>
      </text>
    </comment>
    <comment ref="AS29" authorId="3">
      <text>
        <r>
          <rPr>
            <b/>
            <sz val="9"/>
            <color indexed="81"/>
            <rFont val="Tahoma"/>
            <family val="2"/>
          </rPr>
          <t>out for 2-3 weeks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Fagiano Okayama 1-0</t>
        </r>
      </text>
    </comment>
    <comment ref="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@52' when Fagiano Okayama 1-0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goal@90+2' when 1-0</t>
        </r>
      </text>
    </comment>
    <comment ref="AU32" authorId="3">
      <text>
        <r>
          <rPr>
            <b/>
            <sz val="9"/>
            <color indexed="81"/>
            <rFont val="Tahoma"/>
            <family val="2"/>
          </rPr>
          <t>out for 8-10 weeks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0-0</t>
        </r>
      </text>
    </comment>
    <comment ref="Q35" authorId="1">
      <text>
        <r>
          <rPr>
            <b/>
            <sz val="9"/>
            <color indexed="81"/>
            <rFont val="Tahoma"/>
            <family val="2"/>
          </rPr>
          <t>-0.22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2-0</t>
        </r>
      </text>
    </comment>
    <comment ref="AS37" authorId="3">
      <text>
        <r>
          <rPr>
            <b/>
            <sz val="9"/>
            <color indexed="81"/>
            <rFont val="Tahoma"/>
            <family val="2"/>
          </rPr>
          <t>out for 2-4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0" authorId="3">
      <text>
        <r>
          <rPr>
            <b/>
            <sz val="9"/>
            <color indexed="81"/>
            <rFont val="Tahoma"/>
            <family val="2"/>
          </rPr>
          <t>out for 2-4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41" authorId="3">
      <text>
        <r>
          <rPr>
            <b/>
            <sz val="9"/>
            <color indexed="81"/>
            <rFont val="Tahoma"/>
            <family val="2"/>
          </rPr>
          <t>out for 4-6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2" authorId="3">
      <text>
        <r>
          <rPr>
            <b/>
            <sz val="9"/>
            <color indexed="81"/>
            <rFont val="Tahoma"/>
            <family val="2"/>
          </rPr>
          <t>PK Okayama 5-3</t>
        </r>
      </text>
    </comment>
    <comment ref="BB43" authorId="3">
      <text>
        <r>
          <rPr>
            <b/>
            <sz val="9"/>
            <color indexed="81"/>
            <rFont val="Tahoma"/>
            <family val="2"/>
          </rPr>
          <t>out for 2-4 weeks</t>
        </r>
      </text>
    </comment>
    <comment ref="BC43" authorId="3">
      <text>
        <r>
          <rPr>
            <b/>
            <sz val="9"/>
            <color indexed="81"/>
            <rFont val="Tahoma"/>
            <family val="2"/>
          </rPr>
          <t>out for 6-8 weeks</t>
        </r>
      </text>
    </comment>
    <comment ref="J44" authorId="3">
      <text>
        <r>
          <rPr>
            <b/>
            <sz val="9"/>
            <color indexed="81"/>
            <rFont val="Tahoma"/>
            <family val="2"/>
          </rPr>
          <t>late goal @90+1'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-0.03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2.23</t>
        </r>
      </text>
    </comment>
    <comment ref="AN45" authorId="3">
      <text>
        <r>
          <rPr>
            <b/>
            <sz val="9"/>
            <color indexed="81"/>
            <rFont val="Tahoma"/>
            <family val="2"/>
          </rPr>
          <t>out for 4-6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7" authorId="3">
      <text>
        <r>
          <rPr>
            <b/>
            <sz val="9"/>
            <color indexed="81"/>
            <rFont val="Tahoma"/>
            <family val="2"/>
          </rPr>
          <t>from Suwon Bluewings</t>
        </r>
      </text>
    </comment>
    <comment ref="BM47" authorId="3">
      <text>
        <r>
          <rPr>
            <b/>
            <sz val="9"/>
            <color indexed="81"/>
            <rFont val="Tahoma"/>
            <family val="2"/>
          </rPr>
          <t>from Tokushima</t>
        </r>
      </text>
    </comment>
    <comment ref="K4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2-0</t>
        </r>
      </text>
    </comment>
    <comment ref="AR49" authorId="3">
      <text>
        <r>
          <rPr>
            <b/>
            <sz val="9"/>
            <color indexed="81"/>
            <rFont val="Tahoma"/>
            <family val="2"/>
          </rPr>
          <t>out for 6-8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1-0</t>
        </r>
      </text>
    </comment>
    <comment ref="BI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SUB OUT @36'</t>
        </r>
      </text>
    </comment>
    <comment ref="S52" authorId="3">
      <text>
        <r>
          <rPr>
            <b/>
            <sz val="9"/>
            <color indexed="81"/>
            <rFont val="Tahoma"/>
            <family val="2"/>
          </rPr>
          <t>2.38</t>
        </r>
      </text>
    </comment>
    <comment ref="AM54" authorId="3">
      <text>
        <r>
          <rPr>
            <b/>
            <sz val="9"/>
            <color indexed="81"/>
            <rFont val="Tahoma"/>
            <family val="2"/>
          </rPr>
          <t>out for 6-8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-0.4</t>
        </r>
      </text>
    </comment>
    <comment ref="K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1-0</t>
        </r>
      </text>
    </comment>
    <comment ref="Q57" authorId="3">
      <text>
        <r>
          <rPr>
            <b/>
            <sz val="9"/>
            <color indexed="81"/>
            <rFont val="Tahoma"/>
            <family val="2"/>
          </rPr>
          <t>-0.53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59" authorId="3">
      <text>
        <r>
          <rPr>
            <b/>
            <sz val="9"/>
            <color indexed="81"/>
            <rFont val="Tahoma"/>
            <family val="2"/>
          </rPr>
          <t>early sub @38'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1.15</t>
        </r>
      </text>
    </comment>
    <comment ref="BM62" authorId="3">
      <text>
        <r>
          <rPr>
            <b/>
            <sz val="9"/>
            <color indexed="81"/>
            <rFont val="Tahoma"/>
            <family val="2"/>
          </rPr>
          <t>out for 2-4 weeks</t>
        </r>
      </text>
    </comment>
    <comment ref="J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0-1</t>
        </r>
      </text>
    </comment>
    <comment ref="S64" authorId="3">
      <text>
        <r>
          <rPr>
            <b/>
            <sz val="9"/>
            <color indexed="81"/>
            <rFont val="Tahoma"/>
            <family val="2"/>
          </rPr>
          <t>2.95</t>
        </r>
      </text>
    </comment>
    <comment ref="J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0-1</t>
        </r>
      </text>
    </comment>
  </commentList>
</comments>
</file>

<file path=xl/comments4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CB/DM</t>
        </r>
      </text>
    </comment>
    <comment ref="AQ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DM/RM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LW/CF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岐阜</t>
        </r>
      </text>
    </comment>
    <comment ref="AW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@25'</t>
        </r>
      </text>
    </comment>
    <comment ref="K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Gifu 1-0</t>
        </r>
      </text>
    </comment>
    <comment ref="AW24" authorId="3">
      <text>
        <r>
          <rPr>
            <b/>
            <sz val="9"/>
            <color indexed="81"/>
            <rFont val="Tahoma"/>
            <family val="2"/>
          </rPr>
          <t>out for 2-3 weeks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@71' when Gifu 2-0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Gifu 3-2</t>
        </r>
      </text>
    </comment>
    <comment ref="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2-1</t>
        </r>
      </text>
    </comment>
    <comment ref="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@82' when 0-2</t>
        </r>
      </text>
    </comment>
    <comment ref="K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1-0</t>
        </r>
      </text>
    </comment>
    <comment ref="Q36" authorId="1">
      <text>
        <r>
          <rPr>
            <b/>
            <sz val="9"/>
            <color indexed="81"/>
            <rFont val="Tahoma"/>
            <family val="2"/>
          </rPr>
          <t>0.42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Gifu 2-4
late goal @90+5' when Gifu 3-4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Gifu 2-3</t>
        </r>
      </text>
    </comment>
    <comment ref="J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@90+4' when 1-1</t>
        </r>
      </text>
    </comment>
    <comment ref="AJ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@57' 90+4'</t>
        </r>
      </text>
    </comment>
    <comment ref="Q40" authorId="3">
      <text>
        <r>
          <rPr>
            <b/>
            <sz val="9"/>
            <color indexed="81"/>
            <rFont val="Tahoma"/>
            <family val="2"/>
          </rPr>
          <t>-0.08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@42'</t>
        </r>
      </text>
    </comment>
    <comment ref="AW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@45'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2.58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@54' when 2-2</t>
        </r>
      </text>
    </comment>
    <comment ref="BB46" authorId="3">
      <text>
        <r>
          <rPr>
            <b/>
            <sz val="9"/>
            <color indexed="81"/>
            <rFont val="Tahoma"/>
            <family val="2"/>
          </rPr>
          <t>from YFM</t>
        </r>
      </text>
    </comment>
    <comment ref="J4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0-2</t>
        </r>
      </text>
    </comment>
    <comment ref="Q48" authorId="1">
      <text>
        <r>
          <rPr>
            <b/>
            <sz val="9"/>
            <color indexed="81"/>
            <rFont val="Tahoma"/>
            <family val="2"/>
          </rPr>
          <t>-0.12</t>
        </r>
      </text>
    </comment>
    <comment ref="AV4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@90+2'</t>
        </r>
      </text>
    </comment>
    <comment ref="K5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@90+6' when 1-1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-0.43</t>
        </r>
      </text>
    </comment>
    <comment ref="S50" authorId="3">
      <text>
        <r>
          <rPr>
            <b/>
            <sz val="9"/>
            <color indexed="81"/>
            <rFont val="Tahoma"/>
            <family val="2"/>
          </rPr>
          <t>2.25</t>
        </r>
      </text>
    </comment>
    <comment ref="BA51" authorId="3">
      <text>
        <r>
          <rPr>
            <b/>
            <sz val="9"/>
            <color indexed="81"/>
            <rFont val="Tahoma"/>
            <family val="2"/>
          </rPr>
          <t>early sub @6'</t>
        </r>
      </text>
    </comment>
    <comment ref="Q52" authorId="3">
      <text>
        <r>
          <rPr>
            <b/>
            <sz val="9"/>
            <color indexed="81"/>
            <rFont val="Tahoma"/>
            <family val="2"/>
          </rPr>
          <t>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4" authorId="1">
      <text>
        <r>
          <rPr>
            <b/>
            <sz val="9"/>
            <color indexed="81"/>
            <rFont val="Tahoma"/>
            <family val="2"/>
          </rPr>
          <t>-0.78</t>
        </r>
      </text>
    </comment>
    <comment ref="J5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1-1</t>
        </r>
      </text>
    </comment>
    <comment ref="J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@70' when 0-1
late goal @90' when 1-1</t>
        </r>
      </text>
    </comment>
    <comment ref="J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0-0</t>
        </r>
      </text>
    </comment>
    <comment ref="K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@39' when 0-0</t>
        </r>
      </text>
    </comment>
    <comment ref="J5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0-2</t>
        </r>
      </text>
    </comment>
    <comment ref="Q58" authorId="1">
      <text>
        <r>
          <rPr>
            <b/>
            <sz val="9"/>
            <color indexed="81"/>
            <rFont val="Tahoma"/>
            <family val="2"/>
          </rPr>
          <t>-0.38</t>
        </r>
      </text>
    </comment>
    <comment ref="K60" authorId="5">
      <text>
        <r>
          <rPr>
            <b/>
            <sz val="9"/>
            <color indexed="81"/>
            <rFont val="Tahoma"/>
            <family val="2"/>
          </rPr>
          <t>OG @ 23'</t>
        </r>
      </text>
    </comment>
    <comment ref="K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0-1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-0.4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-0.7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3" authorId="3">
      <text>
        <r>
          <rPr>
            <b/>
            <sz val="9"/>
            <color indexed="81"/>
            <rFont val="Tahoma"/>
            <family val="2"/>
          </rPr>
          <t>2.78</t>
        </r>
      </text>
    </comment>
    <comment ref="K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1-0</t>
        </r>
      </text>
    </comment>
  </commentList>
</comments>
</file>

<file path=xl/comments5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DM/RM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DM/RM</t>
        </r>
      </text>
    </comment>
    <comment ref="AZ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CM/RM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RM/LM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千叶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1-0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-0.68</t>
        </r>
      </text>
    </comment>
    <comment ref="J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JEF United 1-2</t>
        </r>
      </text>
    </comment>
    <comment ref="BP28" authorId="3">
      <text>
        <r>
          <rPr>
            <b/>
            <sz val="9"/>
            <color indexed="81"/>
            <rFont val="Tahoma"/>
            <family val="2"/>
          </rPr>
          <t>to Machida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early goal @5'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late goal@90+4' when 1-0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10 men@14' when 0-0</t>
        </r>
      </text>
    </comment>
    <comment ref="S32" authorId="3">
      <text>
        <r>
          <rPr>
            <b/>
            <sz val="9"/>
            <color indexed="81"/>
            <rFont val="Tahoma"/>
            <family val="2"/>
          </rPr>
          <t>2.3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@53' when JEF United 1-2</t>
        </r>
      </text>
    </comment>
    <comment ref="K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@27' when 0-0
10 men @34' when JEF United 0-1</t>
        </r>
      </text>
    </comment>
    <comment ref="AP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@53'</t>
        </r>
      </text>
    </comment>
    <comment ref="Q36" authorId="1">
      <text>
        <r>
          <rPr>
            <b/>
            <sz val="9"/>
            <color indexed="81"/>
            <rFont val="Tahoma"/>
            <family val="2"/>
          </rPr>
          <t>-0.14</t>
        </r>
      </text>
    </comment>
    <comment ref="S36" authorId="1">
      <text>
        <r>
          <rPr>
            <b/>
            <sz val="9"/>
            <color indexed="81"/>
            <rFont val="Tahoma"/>
            <family val="2"/>
          </rPr>
          <t>2.34</t>
        </r>
      </text>
    </comment>
    <comment ref="Q37" authorId="1">
      <text>
        <r>
          <rPr>
            <b/>
            <sz val="9"/>
            <color indexed="81"/>
            <rFont val="Tahoma"/>
            <family val="2"/>
          </rPr>
          <t>0.48</t>
        </r>
      </text>
    </comment>
    <comment ref="S37" authorId="1">
      <text>
        <r>
          <rPr>
            <b/>
            <sz val="9"/>
            <color indexed="81"/>
            <rFont val="Tahoma"/>
            <family val="2"/>
          </rPr>
          <t>2.4</t>
        </r>
      </text>
    </comment>
    <comment ref="S40" authorId="3">
      <text>
        <r>
          <rPr>
            <b/>
            <sz val="9"/>
            <color indexed="81"/>
            <rFont val="Tahoma"/>
            <family val="2"/>
          </rPr>
          <t>2.43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0-3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2.58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44" authorId="3">
      <text>
        <r>
          <rPr>
            <b/>
            <sz val="9"/>
            <color indexed="81"/>
            <rFont val="Tahoma"/>
            <family val="2"/>
          </rPr>
          <t>to Gamba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@74' when 2-2</t>
        </r>
      </text>
    </comment>
    <comment ref="AO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@45+3' 74'</t>
        </r>
      </text>
    </comment>
    <comment ref="J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@90+3' when 0-2</t>
        </r>
      </text>
    </comment>
    <comment ref="AR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Y@42' ,1 R@90+3'</t>
        </r>
      </text>
    </comment>
    <comment ref="Q47" authorId="1">
      <text>
        <r>
          <rPr>
            <b/>
            <sz val="9"/>
            <color indexed="81"/>
            <rFont val="Tahoma"/>
            <family val="2"/>
          </rPr>
          <t>0.34</t>
        </r>
      </text>
    </comment>
    <comment ref="BF47" authorId="3">
      <text>
        <r>
          <rPr>
            <b/>
            <sz val="9"/>
            <color indexed="81"/>
            <rFont val="Tahoma"/>
            <family val="2"/>
          </rPr>
          <t>from Fukuoka</t>
        </r>
      </text>
    </comment>
    <comment ref="BG47" authorId="3">
      <text>
        <r>
          <rPr>
            <b/>
            <sz val="9"/>
            <color indexed="81"/>
            <rFont val="Tahoma"/>
            <family val="2"/>
          </rPr>
          <t>from Nagoya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@38'</t>
        </r>
      </text>
    </comment>
    <comment ref="J4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down to 10 men @61' when 0-1</t>
        </r>
      </text>
    </comment>
    <comment ref="AX4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2y @39' 61'</t>
        </r>
      </text>
    </comment>
    <comment ref="J51" authorId="3">
      <text>
        <r>
          <rPr>
            <b/>
            <sz val="9"/>
            <color indexed="81"/>
            <rFont val="Tahoma"/>
            <family val="2"/>
          </rPr>
          <t>late goal @90+3' when 1-1</t>
        </r>
      </text>
    </comment>
    <comment ref="K5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1-0</t>
        </r>
      </text>
    </comment>
    <comment ref="BN51" authorId="3">
      <text>
        <r>
          <rPr>
            <b/>
            <sz val="9"/>
            <color indexed="81"/>
            <rFont val="Tahoma"/>
            <family val="2"/>
          </rPr>
          <t>to Sanuki</t>
        </r>
      </text>
    </comment>
    <comment ref="J5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1-1</t>
        </r>
      </text>
    </comment>
    <comment ref="K5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2-1</t>
        </r>
      </text>
    </comment>
    <comment ref="Q53" authorId="1">
      <text>
        <r>
          <rPr>
            <b/>
            <sz val="9"/>
            <color indexed="81"/>
            <rFont val="Tahoma"/>
            <family val="2"/>
          </rPr>
          <t>-0.12</t>
        </r>
      </text>
    </comment>
    <comment ref="Q54" authorId="1">
      <text>
        <r>
          <rPr>
            <b/>
            <sz val="9"/>
            <color indexed="81"/>
            <rFont val="Tahoma"/>
            <family val="2"/>
          </rPr>
          <t>0.78</t>
        </r>
      </text>
    </comment>
    <comment ref="J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@90+4' when 0-2</t>
        </r>
      </text>
    </comment>
    <comment ref="S56" authorId="3">
      <text>
        <r>
          <rPr>
            <b/>
            <sz val="9"/>
            <color indexed="81"/>
            <rFont val="Tahoma"/>
            <family val="2"/>
          </rPr>
          <t>2.58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@23' 90+4'</t>
        </r>
      </text>
    </comment>
    <comment ref="K5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@90+7' when 1-1</t>
        </r>
      </text>
    </comment>
    <comment ref="K59" authorId="3">
      <text>
        <r>
          <rPr>
            <b/>
            <sz val="9"/>
            <color indexed="81"/>
            <rFont val="Tahoma"/>
            <family val="2"/>
          </rPr>
          <t>late goal @90' 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4-1</t>
        </r>
      </text>
    </comment>
    <comment ref="K6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@85' when 4-1</t>
        </r>
      </text>
    </comment>
    <comment ref="Q61" authorId="1">
      <text>
        <r>
          <rPr>
            <b/>
            <sz val="9"/>
            <color indexed="81"/>
            <rFont val="Tahoma"/>
            <family val="2"/>
          </rPr>
          <t>0.18</t>
        </r>
      </text>
    </comment>
    <comment ref="K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@90+6' when 1-0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-0.6</t>
        </r>
      </text>
    </comment>
    <comment ref="AT6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@40'</t>
        </r>
      </text>
    </comment>
    <comment ref="J6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1-1</t>
        </r>
      </text>
    </comment>
    <comment ref="K6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@1' when 0-0</t>
        </r>
      </text>
    </comment>
    <comment ref="Q67" authorId="3">
      <text>
        <r>
          <rPr>
            <b/>
            <sz val="9"/>
            <color indexed="81"/>
            <rFont val="Tahoma"/>
            <family val="2"/>
          </rPr>
          <t>-0.18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DM/RM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CB/CM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RW/SS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CM/RW</t>
        </r>
      </text>
    </comment>
    <comment ref="BB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AM/LW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RB/RM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BH19" authorId="1">
      <text>
        <r>
          <rPr>
            <b/>
            <sz val="9"/>
            <color indexed="81"/>
            <rFont val="Tahoma"/>
            <family val="2"/>
          </rPr>
          <t>LW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讃岐</t>
        </r>
      </text>
    </comment>
    <comment ref="J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1-1</t>
        </r>
      </text>
    </comment>
    <comment ref="K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Kamatamare Sanuki 2-1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Kamatamare Sanuki 1-2</t>
        </r>
      </text>
    </comment>
    <comment ref="AT27" authorId="3">
      <text>
        <r>
          <rPr>
            <b/>
            <sz val="9"/>
            <color indexed="81"/>
            <rFont val="Tahoma"/>
            <family val="2"/>
          </rPr>
          <t>early sub @40'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1-1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Kamatamare Sanuki 0-1</t>
        </r>
      </text>
    </comment>
    <comment ref="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1-2</t>
        </r>
      </text>
    </comment>
    <comment ref="BI31" authorId="3">
      <text>
        <r>
          <rPr>
            <b/>
            <sz val="9"/>
            <color indexed="81"/>
            <rFont val="Tahoma"/>
            <family val="2"/>
          </rPr>
          <t>out for 3-4 weeks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10 men@60' when 0-1
9 men@67' when 0-2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goal@90+5' when 3-0</t>
        </r>
      </text>
    </comment>
    <comment ref="Q32" authorId="3">
      <text>
        <r>
          <rPr>
            <b/>
            <sz val="9"/>
            <color indexed="81"/>
            <rFont val="Tahoma"/>
            <family val="2"/>
          </rPr>
          <t>-0.75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32" authorId="4">
      <text>
        <r>
          <rPr>
            <b/>
            <sz val="9"/>
            <color indexed="81"/>
            <rFont val="Tahoma"/>
            <family val="2"/>
          </rPr>
          <t>2 y@66' 67'</t>
        </r>
      </text>
    </comment>
    <comment ref="AT32" authorId="4">
      <text>
        <r>
          <rPr>
            <b/>
            <sz val="9"/>
            <color indexed="81"/>
            <rFont val="Tahoma"/>
            <family val="2"/>
          </rPr>
          <t>2 y@12' 60'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-0.1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33" authorId="3">
      <text>
        <r>
          <rPr>
            <b/>
            <sz val="9"/>
            <color indexed="81"/>
            <rFont val="Tahoma"/>
            <family val="2"/>
          </rPr>
          <t>PG</t>
        </r>
      </text>
    </comment>
    <comment ref="K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@77' when 0-1</t>
        </r>
      </text>
    </comment>
    <comment ref="A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@23'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8" authorId="1">
      <text>
        <r>
          <rPr>
            <b/>
            <sz val="9"/>
            <color indexed="81"/>
            <rFont val="Tahoma"/>
            <family val="2"/>
          </rPr>
          <t>2.27</t>
        </r>
      </text>
    </comment>
    <comment ref="Q39" authorId="1">
      <text>
        <r>
          <rPr>
            <b/>
            <sz val="9"/>
            <color indexed="81"/>
            <rFont val="Tahoma"/>
            <family val="2"/>
          </rPr>
          <t>-0.9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@71' when 1-1</t>
        </r>
      </text>
    </comment>
    <comment ref="K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1-1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1-1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-0.7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2.35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@74' when 2-2</t>
        </r>
      </text>
    </comment>
    <comment ref="K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Kamatamare Sanuki 3-2</t>
        </r>
      </text>
    </comment>
    <comment ref="Q49" authorId="3">
      <text>
        <r>
          <rPr>
            <b/>
            <sz val="9"/>
            <color indexed="81"/>
            <rFont val="Tahoma"/>
            <family val="2"/>
          </rPr>
          <t>-0.4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4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SUB OUT @19'</t>
        </r>
      </text>
    </comment>
    <comment ref="AS49" authorId="3">
      <text>
        <r>
          <rPr>
            <b/>
            <sz val="9"/>
            <color indexed="81"/>
            <rFont val="Tahoma"/>
            <family val="2"/>
          </rPr>
          <t>from JEF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1-1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-0.13</t>
        </r>
      </text>
    </comment>
    <comment ref="AN50" authorId="3">
      <text>
        <r>
          <rPr>
            <b/>
            <sz val="9"/>
            <color indexed="81"/>
            <rFont val="Tahoma"/>
            <family val="2"/>
          </rPr>
          <t>out for 3 months</t>
        </r>
      </text>
    </comment>
    <comment ref="J54" authorId="3">
      <text>
        <r>
          <rPr>
            <b/>
            <sz val="9"/>
            <color indexed="81"/>
            <rFont val="Tahoma"/>
            <family val="2"/>
          </rPr>
          <t>late goal @86'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5" authorId="3">
      <text>
        <r>
          <rPr>
            <b/>
            <sz val="9"/>
            <color indexed="81"/>
            <rFont val="Tahoma"/>
            <family val="2"/>
          </rPr>
          <t>2.43</t>
        </r>
      </text>
    </comment>
    <comment ref="BH55" authorId="3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AZ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@40'</t>
        </r>
      </text>
    </comment>
    <comment ref="AQ58" authorId="3">
      <text>
        <r>
          <rPr>
            <b/>
            <sz val="9"/>
            <color indexed="81"/>
            <rFont val="Tahoma"/>
            <family val="2"/>
          </rPr>
          <t>2y @45' 75'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9" authorId="1">
      <text>
        <r>
          <rPr>
            <b/>
            <sz val="9"/>
            <color indexed="81"/>
            <rFont val="Tahoma"/>
            <family val="2"/>
          </rPr>
          <t>-0.07</t>
        </r>
      </text>
    </comment>
    <comment ref="K6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-0.5</t>
        </r>
      </text>
    </comment>
    <comment ref="AQ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20'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-1</t>
        </r>
      </text>
    </comment>
    <comment ref="BA64" authorId="5">
      <text>
        <r>
          <rPr>
            <b/>
            <sz val="9"/>
            <color indexed="81"/>
            <rFont val="Tahoma"/>
            <family val="2"/>
          </rPr>
          <t>zhangbowen:
early sub @35'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-0.4</t>
        </r>
      </text>
    </comment>
  </commentList>
</comments>
</file>

<file path=xl/comments7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DM/CF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Q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京都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Kyoto Sanga 0-2</t>
        </r>
      </text>
    </comment>
    <comment ref="J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0-0</t>
        </r>
      </text>
    </comment>
    <comment ref="K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Kyoto Sanga 1-0
late goal @90+4' when 1-1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0.38</t>
        </r>
      </text>
    </comment>
    <comment ref="K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Kyoto Sanga 2-1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2-2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Kyoto Sanga 2-1</t>
        </r>
      </text>
    </comment>
    <comment ref="K33" authorId="3">
      <text>
        <r>
          <rPr>
            <b/>
            <sz val="9"/>
            <color indexed="81"/>
            <rFont val="Tahoma"/>
            <family val="2"/>
          </rPr>
          <t>late goal @90+1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-0.58</t>
        </r>
      </text>
    </comment>
    <comment ref="AX33" authorId="3">
      <text>
        <r>
          <rPr>
            <b/>
            <sz val="9"/>
            <color indexed="81"/>
            <rFont val="Tahoma"/>
            <family val="2"/>
          </rPr>
          <t>early sub @27'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@77' when 1-0</t>
        </r>
      </text>
    </comment>
    <comment ref="BC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@77'</t>
        </r>
      </text>
    </comment>
    <comment ref="K40" authorId="3">
      <text>
        <r>
          <rPr>
            <b/>
            <sz val="9"/>
            <color indexed="81"/>
            <rFont val="Tahoma"/>
            <family val="2"/>
          </rPr>
          <t>late goal @89'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40" authorId="3">
      <text>
        <r>
          <rPr>
            <b/>
            <sz val="9"/>
            <color indexed="81"/>
            <rFont val="Tahoma"/>
            <family val="2"/>
          </rPr>
          <t>PG @58'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4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0.75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2.53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@54' when 2-2</t>
        </r>
      </text>
    </comment>
    <comment ref="Q48" authorId="1">
      <text>
        <r>
          <rPr>
            <b/>
            <sz val="9"/>
            <color indexed="81"/>
            <rFont val="Tahoma"/>
            <family val="2"/>
          </rPr>
          <t>-0.14</t>
        </r>
      </text>
    </comment>
    <comment ref="J49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0-1</t>
        </r>
      </text>
    </comment>
    <comment ref="AV49" authorId="3">
      <text>
        <r>
          <rPr>
            <b/>
            <sz val="9"/>
            <color indexed="81"/>
            <rFont val="Tahoma"/>
            <family val="2"/>
          </rPr>
          <t>from Kofu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-0.15</t>
        </r>
      </text>
    </comment>
    <comment ref="J51" authorId="3">
      <text>
        <r>
          <rPr>
            <b/>
            <sz val="9"/>
            <color indexed="81"/>
            <rFont val="Tahoma"/>
            <family val="2"/>
          </rPr>
          <t>down to 10 men @58' when 0-1
down to 9 men @85' when 0-2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1" authorId="3">
      <text>
        <r>
          <rPr>
            <b/>
            <sz val="9"/>
            <color indexed="81"/>
            <rFont val="Tahoma"/>
            <family val="2"/>
          </rPr>
          <t xml:space="preserve">-0.13
</t>
        </r>
      </text>
    </comment>
    <comment ref="AU51" authorId="3">
      <text>
        <r>
          <rPr>
            <b/>
            <sz val="9"/>
            <color indexed="81"/>
            <rFont val="Tahoma"/>
            <family val="2"/>
          </rPr>
          <t>1 r @58'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51" authorId="3">
      <text>
        <r>
          <rPr>
            <b/>
            <sz val="9"/>
            <color indexed="81"/>
            <rFont val="Tahoma"/>
            <family val="2"/>
          </rPr>
          <t>2 y @85' 85'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@90+3' when 1-2</t>
        </r>
      </text>
    </comment>
    <comment ref="Q53" authorId="1">
      <text>
        <r>
          <rPr>
            <b/>
            <sz val="9"/>
            <color indexed="81"/>
            <rFont val="Tahoma"/>
            <family val="2"/>
          </rPr>
          <t>-0.24</t>
        </r>
      </text>
    </comment>
    <comment ref="J57" authorId="3">
      <text>
        <r>
          <rPr>
            <b/>
            <sz val="9"/>
            <color indexed="81"/>
            <rFont val="Tahoma"/>
            <family val="2"/>
          </rPr>
          <t>late goal @90' 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8" authorId="1">
      <text>
        <r>
          <rPr>
            <b/>
            <sz val="9"/>
            <color indexed="81"/>
            <rFont val="Tahoma"/>
            <family val="2"/>
          </rPr>
          <t>0.07</t>
        </r>
      </text>
    </comment>
    <comment ref="K59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@22' when 0-0</t>
        </r>
      </text>
    </comment>
    <comment ref="Q60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  <comment ref="J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@22' when 1-0
OG @73' when 1-2</t>
        </r>
      </text>
    </comment>
    <comment ref="AX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@7' 22'</t>
        </r>
      </text>
    </comment>
    <comment ref="A63" authorId="4">
      <text>
        <r>
          <rPr>
            <b/>
            <sz val="9"/>
            <color indexed="81"/>
            <rFont val="Tahoma"/>
            <family val="2"/>
          </rPr>
          <t>from 17/9/16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-0.28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-1.05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RB/DM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RB/RM</t>
        </r>
      </text>
    </comment>
    <comment ref="AZ19" authorId="1">
      <text>
        <r>
          <rPr>
            <b/>
            <sz val="9"/>
            <color indexed="81"/>
            <rFont val="Tahoma"/>
            <family val="2"/>
          </rPr>
          <t>CM/AM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LW/CF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I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町田</t>
        </r>
      </text>
    </comment>
    <comment ref="BC23" authorId="3">
      <text>
        <r>
          <rPr>
            <b/>
            <sz val="9"/>
            <color indexed="81"/>
            <rFont val="Tahoma"/>
            <family val="2"/>
          </rPr>
          <t>out for 5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Machida Zelvia 1-2</t>
        </r>
      </text>
    </comment>
    <comment ref="K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1-1</t>
        </r>
      </text>
    </comment>
    <comment ref="AQ27" authorId="3">
      <text>
        <r>
          <rPr>
            <b/>
            <sz val="9"/>
            <color indexed="81"/>
            <rFont val="Tahoma"/>
            <family val="2"/>
          </rPr>
          <t>loan from Niigata</t>
        </r>
      </text>
    </comment>
    <comment ref="BA27" authorId="3">
      <text>
        <r>
          <rPr>
            <b/>
            <sz val="9"/>
            <color indexed="81"/>
            <rFont val="Tahoma"/>
            <family val="2"/>
          </rPr>
          <t>loan from JEF</t>
        </r>
      </text>
    </comment>
    <comment ref="AS28" authorId="3">
      <text>
        <r>
          <rPr>
            <b/>
            <sz val="9"/>
            <color indexed="81"/>
            <rFont val="Tahoma"/>
            <family val="2"/>
          </rPr>
          <t>out for 10-12 weeks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@71' when Machida Zelvia 0-1
late goal @87' when Machida Zelvia 0-1
late goal @90' when 1-1
late goal @90+5' when Machida Zelvia 2-1</t>
        </r>
      </text>
    </comment>
    <comment ref="AQ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@40' 71'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@74' when 0-0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late goal@90+2' when 1-3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J40" authorId="3">
      <text>
        <r>
          <rPr>
            <b/>
            <sz val="9"/>
            <color indexed="81"/>
            <rFont val="Tahoma"/>
            <family val="2"/>
          </rPr>
          <t>late goal @89'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0" authorId="3">
      <text>
        <r>
          <rPr>
            <b/>
            <sz val="9"/>
            <color indexed="81"/>
            <rFont val="Tahoma"/>
            <family val="2"/>
          </rPr>
          <t>out for 8 weeks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@37' when Machida Zelvia 0-1</t>
        </r>
      </text>
    </comment>
    <comment ref="K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2-3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1-4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44" authorId="3">
      <text>
        <r>
          <rPr>
            <b/>
            <sz val="9"/>
            <color indexed="81"/>
            <rFont val="Tahoma"/>
            <family val="2"/>
          </rPr>
          <t>early sub @37'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44" authorId="3">
      <text>
        <r>
          <rPr>
            <b/>
            <sz val="9"/>
            <color indexed="81"/>
            <rFont val="Tahoma"/>
            <family val="2"/>
          </rPr>
          <t>sub in @37'
sub out @83'</t>
        </r>
      </text>
    </comment>
    <comment ref="K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2-0</t>
        </r>
      </text>
    </comment>
    <comment ref="Q47" authorId="1">
      <text>
        <r>
          <rPr>
            <b/>
            <sz val="9"/>
            <color indexed="81"/>
            <rFont val="Tahoma"/>
            <family val="2"/>
          </rPr>
          <t>0.12</t>
        </r>
      </text>
    </comment>
    <comment ref="Q48" authorId="1">
      <text>
        <r>
          <rPr>
            <b/>
            <sz val="9"/>
            <color indexed="81"/>
            <rFont val="Tahoma"/>
            <family val="2"/>
          </rPr>
          <t>0.14</t>
        </r>
      </text>
    </comment>
    <comment ref="J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@11' when 0-0</t>
        </r>
      </text>
    </comment>
    <comment ref="J51" authorId="3">
      <text>
        <r>
          <rPr>
            <b/>
            <sz val="9"/>
            <color indexed="81"/>
            <rFont val="Tahoma"/>
            <family val="2"/>
          </rPr>
          <t>down to 10 men @89' when 3-3</t>
        </r>
      </text>
    </comment>
    <comment ref="K51" authorId="3">
      <text>
        <r>
          <rPr>
            <b/>
            <sz val="9"/>
            <color indexed="81"/>
            <rFont val="Tahoma"/>
            <family val="2"/>
          </rPr>
          <t>late goal @90+3' when 3-3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51" authorId="3">
      <text>
        <r>
          <rPr>
            <b/>
            <sz val="9"/>
            <color indexed="81"/>
            <rFont val="Tahoma"/>
            <family val="2"/>
          </rPr>
          <t>1 r @89'</t>
        </r>
      </text>
    </comment>
    <comment ref="J5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@35' when 0-0</t>
        </r>
      </text>
    </comment>
    <comment ref="J5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0-2</t>
        </r>
      </text>
    </comment>
    <comment ref="Q54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  <comment ref="J5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0-1</t>
        </r>
      </text>
    </comment>
    <comment ref="AL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@11'</t>
        </r>
      </text>
    </comment>
    <comment ref="AS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sub in @11'
sub out @86'</t>
        </r>
      </text>
    </comment>
    <comment ref="K59" authorId="6">
      <text>
        <r>
          <rPr>
            <b/>
            <sz val="9"/>
            <color indexed="81"/>
            <rFont val="Tahoma"/>
            <family val="2"/>
          </rPr>
          <t>OG @ 58'</t>
        </r>
      </text>
    </comment>
    <comment ref="Q59" authorId="1">
      <text>
        <r>
          <rPr>
            <b/>
            <sz val="9"/>
            <color indexed="81"/>
            <rFont val="Tahoma"/>
            <family val="2"/>
          </rPr>
          <t>0.13</t>
        </r>
      </text>
    </comment>
  </commentList>
</comments>
</file>

<file path=xl/comments9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RB/RM</t>
        </r>
      </text>
    </comment>
    <comment ref="AZ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CM/RW</t>
        </r>
      </text>
    </comment>
    <comment ref="BB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RM/LM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松本</t>
        </r>
      </text>
    </comment>
    <comment ref="Q23" authorId="1">
      <text>
        <r>
          <rPr>
            <b/>
            <sz val="9"/>
            <color indexed="81"/>
            <rFont val="Tahoma"/>
            <family val="2"/>
          </rPr>
          <t>0.14</t>
        </r>
      </text>
    </comment>
    <comment ref="BG27" authorId="3">
      <text>
        <r>
          <rPr>
            <b/>
            <sz val="9"/>
            <color indexed="81"/>
            <rFont val="Tahoma"/>
            <family val="2"/>
          </rPr>
          <t>PG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late goal@90+5' when 3-0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10 men@60' when 0-1
9 men@67' when 0-2</t>
        </r>
      </text>
    </comment>
    <comment ref="Q32" authorId="3">
      <text>
        <r>
          <rPr>
            <b/>
            <sz val="9"/>
            <color indexed="81"/>
            <rFont val="Tahoma"/>
            <family val="2"/>
          </rPr>
          <t>0.75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4-0</t>
        </r>
      </text>
    </comment>
    <comment ref="Q38" authorId="1">
      <text>
        <r>
          <rPr>
            <b/>
            <sz val="9"/>
            <color indexed="81"/>
            <rFont val="Tahoma"/>
            <family val="2"/>
          </rPr>
          <t>0.21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@90' when 2-0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3-0</t>
        </r>
      </text>
    </comment>
    <comment ref="K44" authorId="3">
      <text>
        <r>
          <rPr>
            <b/>
            <sz val="9"/>
            <color indexed="81"/>
            <rFont val="Tahoma"/>
            <family val="2"/>
          </rPr>
          <t>down to 10 men @90+5' when 1-2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3-0</t>
        </r>
      </text>
    </comment>
    <comment ref="BE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@25'</t>
        </r>
      </text>
    </comment>
    <comment ref="BL47" authorId="3">
      <text>
        <r>
          <rPr>
            <b/>
            <sz val="9"/>
            <color indexed="81"/>
            <rFont val="Tahoma"/>
            <family val="2"/>
          </rPr>
          <t>last year in Kofu</t>
        </r>
      </text>
    </comment>
    <comment ref="BN47" authorId="3">
      <text>
        <r>
          <rPr>
            <b/>
            <sz val="9"/>
            <color indexed="81"/>
            <rFont val="Tahoma"/>
            <family val="2"/>
          </rPr>
          <t>to Fukushima</t>
        </r>
      </text>
    </comment>
    <comment ref="K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@32' when 1-0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-0.25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1" authorId="3">
      <text>
        <r>
          <rPr>
            <b/>
            <sz val="9"/>
            <color indexed="81"/>
            <rFont val="Tahoma"/>
            <family val="2"/>
          </rPr>
          <t>late PG @90+5' when1-5</t>
        </r>
      </text>
    </comment>
    <comment ref="K5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@33' when 0-0
late goal @88' when 1-4</t>
        </r>
      </text>
    </comment>
    <comment ref="AZ51" authorId="3">
      <text>
        <r>
          <rPr>
            <b/>
            <sz val="9"/>
            <color indexed="81"/>
            <rFont val="Tahoma"/>
            <family val="2"/>
          </rPr>
          <t>PG @90+5'</t>
        </r>
      </text>
    </comment>
    <comment ref="Q52" authorId="3">
      <text>
        <r>
          <rPr>
            <b/>
            <sz val="9"/>
            <color indexed="81"/>
            <rFont val="Tahoma"/>
            <family val="2"/>
          </rPr>
          <t>0.6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2-0</t>
        </r>
      </text>
    </comment>
    <comment ref="AZ54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K55" authorId="3">
      <text>
        <r>
          <rPr>
            <b/>
            <sz val="9"/>
            <color indexed="81"/>
            <rFont val="Tahoma"/>
            <family val="2"/>
          </rPr>
          <t>down to 10 men @84' when 3-1</t>
        </r>
      </text>
    </comment>
    <comment ref="BH55" authorId="3">
      <text>
        <r>
          <rPr>
            <b/>
            <sz val="9"/>
            <color indexed="81"/>
            <rFont val="Tahoma"/>
            <family val="2"/>
          </rPr>
          <t>sub in @85'
sub out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-0.15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2-0</t>
        </r>
      </text>
    </comment>
    <comment ref="S57" authorId="3">
      <text>
        <r>
          <rPr>
            <b/>
            <sz val="9"/>
            <color indexed="81"/>
            <rFont val="Tahoma"/>
            <family val="2"/>
          </rPr>
          <t>2.7</t>
        </r>
      </text>
    </comment>
    <comment ref="AM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@32'</t>
        </r>
      </text>
    </comment>
    <comment ref="J5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@47' when 1-0</t>
        </r>
      </text>
    </comment>
    <comment ref="K5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2-1
late goal @90+1' when 2-2</t>
        </r>
      </text>
    </comment>
    <comment ref="S60" authorId="3">
      <text>
        <r>
          <rPr>
            <b/>
            <sz val="9"/>
            <color indexed="81"/>
            <rFont val="Tahoma"/>
            <family val="2"/>
          </rPr>
          <t>2.33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@85' when 1-4</t>
        </r>
      </text>
    </comment>
    <comment ref="K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1-4</t>
        </r>
      </text>
    </comment>
    <comment ref="Q62" authorId="1">
      <text>
        <r>
          <rPr>
            <b/>
            <sz val="9"/>
            <color indexed="81"/>
            <rFont val="Tahoma"/>
            <family val="2"/>
          </rPr>
          <t>-0.18</t>
        </r>
      </text>
    </comment>
    <comment ref="BC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@36' 85'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0.68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0.7</t>
        </r>
      </text>
    </comment>
    <comment ref="S64" authorId="3">
      <text>
        <r>
          <rPr>
            <b/>
            <sz val="9"/>
            <color indexed="81"/>
            <rFont val="Tahoma"/>
            <family val="2"/>
          </rPr>
          <t>2.78</t>
        </r>
      </text>
    </comment>
    <comment ref="AX6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@15'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0.5</t>
        </r>
      </text>
    </comment>
    <comment ref="Q67" authorId="3">
      <text>
        <r>
          <rPr>
            <b/>
            <sz val="9"/>
            <color indexed="81"/>
            <rFont val="Tahoma"/>
            <family val="2"/>
          </rPr>
          <t>1.05</t>
        </r>
      </text>
    </comment>
  </commentList>
</comments>
</file>

<file path=xl/comments10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RM/LW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LB/DM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CM/AM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水户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@54' when 0-1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0-3</t>
        </r>
      </text>
    </comment>
    <comment ref="AM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@29' 54'</t>
        </r>
      </text>
    </comment>
    <comment ref="K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@25' when 0-0</t>
        </r>
      </text>
    </comment>
    <comment ref="BL26" authorId="3">
      <text>
        <r>
          <rPr>
            <b/>
            <sz val="9"/>
            <color indexed="81"/>
            <rFont val="Tahoma"/>
            <family val="2"/>
          </rPr>
          <t>loan from Iwata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@71' when Mito Hollyhock 0-2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goal@90+2' when 1-3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Mito Hollyhock 0-1</t>
        </r>
      </text>
    </comment>
    <comment ref="S37" authorId="1">
      <text>
        <r>
          <rPr>
            <b/>
            <sz val="9"/>
            <color indexed="81"/>
            <rFont val="Tahoma"/>
            <family val="2"/>
          </rPr>
          <t>2.1</t>
        </r>
      </text>
    </comment>
    <comment ref="J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1-0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3-0</t>
        </r>
      </text>
    </comment>
    <comment ref="K42" authorId="3">
      <text>
        <r>
          <rPr>
            <b/>
            <sz val="9"/>
            <color indexed="81"/>
            <rFont val="Tahoma"/>
            <family val="2"/>
          </rPr>
          <t>ET Kumamoto 1-2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1-1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4" authorId="3">
      <text>
        <r>
          <rPr>
            <b/>
            <sz val="9"/>
            <color indexed="81"/>
            <rFont val="Tahoma"/>
            <family val="2"/>
          </rPr>
          <t>late goal @90+1'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0.03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1-1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Mito Hollyhock 2-1</t>
        </r>
      </text>
    </comment>
    <comment ref="AR46" authorId="3">
      <text>
        <r>
          <rPr>
            <b/>
            <sz val="9"/>
            <color indexed="81"/>
            <rFont val="Tahoma"/>
            <family val="2"/>
          </rPr>
          <t>from Sapporo</t>
        </r>
      </text>
    </comment>
    <comment ref="BM46" authorId="3">
      <text>
        <r>
          <rPr>
            <b/>
            <sz val="9"/>
            <color indexed="81"/>
            <rFont val="Tahoma"/>
            <family val="2"/>
          </rPr>
          <t>from Kumamoto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47" authorId="3">
      <text>
        <r>
          <rPr>
            <b/>
            <sz val="9"/>
            <color indexed="81"/>
            <rFont val="Tahoma"/>
            <family val="2"/>
          </rPr>
          <t>to FC Ryukyu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47" authorId="3">
      <text>
        <r>
          <rPr>
            <b/>
            <sz val="9"/>
            <color indexed="81"/>
            <rFont val="Tahoma"/>
            <family val="2"/>
          </rPr>
          <t>to FC Fujieda</t>
        </r>
      </text>
    </comment>
    <comment ref="J4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OG @78' when Mito Hollyhock 1-1
late goal @90+5' when 2-2</t>
        </r>
      </text>
    </comment>
    <comment ref="K4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late goal @90' when Mito Hollyhock 2-1</t>
        </r>
      </text>
    </comment>
    <comment ref="Q49" authorId="3">
      <text>
        <r>
          <rPr>
            <b/>
            <sz val="9"/>
            <color indexed="81"/>
            <rFont val="Tahoma"/>
            <family val="2"/>
          </rPr>
          <t>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1" authorId="3">
      <text>
        <r>
          <rPr>
            <b/>
            <sz val="9"/>
            <color indexed="81"/>
            <rFont val="Tahoma"/>
            <family val="2"/>
          </rPr>
          <t>down to 10 men @58' when 1-0
down to 9 men @85' when 2-0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1" authorId="3">
      <text>
        <r>
          <rPr>
            <b/>
            <sz val="9"/>
            <color indexed="81"/>
            <rFont val="Tahoma"/>
            <family val="2"/>
          </rPr>
          <t>0.13</t>
        </r>
      </text>
    </comment>
    <comment ref="BC5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@15'</t>
        </r>
      </text>
    </comment>
    <comment ref="K5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@70' when 1-0
late goal @90' when 1-1</t>
        </r>
      </text>
    </comment>
    <comment ref="J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@81' when 3-0</t>
        </r>
      </text>
    </comment>
    <comment ref="S58" authorId="3">
      <text>
        <r>
          <rPr>
            <b/>
            <sz val="9"/>
            <color indexed="81"/>
            <rFont val="Tahoma"/>
            <family val="2"/>
          </rPr>
          <t>2.33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9" authorId="6">
      <text>
        <r>
          <rPr>
            <b/>
            <sz val="9"/>
            <color indexed="81"/>
            <rFont val="Tahoma"/>
            <family val="2"/>
          </rPr>
          <t>zhangrui: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2-1</t>
        </r>
      </text>
    </comment>
    <comment ref="K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3-1</t>
        </r>
      </text>
    </comment>
    <comment ref="K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0-1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-0.13</t>
        </r>
      </text>
    </comment>
  </commentList>
</comments>
</file>

<file path=xl/comments11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CB/LM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Q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LB/DM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AX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山形</t>
        </r>
      </text>
    </comment>
    <comment ref="K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Montedio Yamagata 2-0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Montedio Yamagata 1-0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K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0-1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2-2</t>
        </r>
      </text>
    </comment>
    <comment ref="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@52' when Montedio Yamagata 0-1</t>
        </r>
      </text>
    </comment>
    <comment ref="BC33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2-2
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Montedio Yamagata 2-1</t>
        </r>
      </text>
    </comment>
    <comment ref="Q37" authorId="1">
      <text>
        <r>
          <rPr>
            <b/>
            <sz val="9"/>
            <color indexed="81"/>
            <rFont val="Tahoma"/>
            <family val="2"/>
          </rPr>
          <t>0.61</t>
        </r>
      </text>
    </comment>
    <comment ref="BB37" authorId="3">
      <text>
        <r>
          <rPr>
            <b/>
            <sz val="9"/>
            <color indexed="81"/>
            <rFont val="Tahoma"/>
            <family val="2"/>
          </rPr>
          <t>out for 3-4 weeks</t>
        </r>
      </text>
    </comment>
    <comment ref="J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0-0</t>
        </r>
      </text>
    </comment>
    <comment ref="K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@90+4' when 1-1</t>
        </r>
      </text>
    </comment>
    <comment ref="BI40" authorId="3">
      <text>
        <r>
          <rPr>
            <b/>
            <sz val="9"/>
            <color indexed="81"/>
            <rFont val="Tahoma"/>
            <family val="2"/>
          </rPr>
          <t>missed PG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0-0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@77' when 0-0
ET 1-0</t>
        </r>
      </text>
    </comment>
    <comment ref="BH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ET goal @113'</t>
        </r>
      </text>
    </comment>
    <comment ref="B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@59' 77'</t>
        </r>
      </text>
    </comment>
    <comment ref="BK42" authorId="3">
      <text>
        <r>
          <rPr>
            <b/>
            <sz val="9"/>
            <color indexed="81"/>
            <rFont val="Tahoma"/>
            <family val="2"/>
          </rPr>
          <t>out for 4-6 weeks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0-6</t>
        </r>
      </text>
    </comment>
    <comment ref="A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@13'</t>
        </r>
      </text>
    </comment>
    <comment ref="AO45" authorId="3">
      <text>
        <r>
          <rPr>
            <b/>
            <sz val="9"/>
            <color indexed="81"/>
            <rFont val="Tahoma"/>
            <family val="2"/>
          </rPr>
          <t>out for 3-4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5" authorId="3">
      <text>
        <r>
          <rPr>
            <b/>
            <sz val="9"/>
            <color indexed="81"/>
            <rFont val="Tahoma"/>
            <family val="2"/>
          </rPr>
          <t>out for 3-4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0-4</t>
        </r>
      </text>
    </comment>
    <comment ref="BD47" authorId="3">
      <text>
        <r>
          <rPr>
            <b/>
            <sz val="9"/>
            <color indexed="81"/>
            <rFont val="Tahoma"/>
            <family val="2"/>
          </rPr>
          <t>from Kashiwa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7" authorId="3">
      <text>
        <r>
          <rPr>
            <b/>
            <sz val="9"/>
            <color indexed="81"/>
            <rFont val="Tahoma"/>
            <family val="2"/>
          </rPr>
          <t>from Tosu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0.43</t>
        </r>
      </text>
    </comment>
    <comment ref="J5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goal @1' when 0-0</t>
        </r>
      </text>
    </comment>
    <comment ref="Q52" authorId="3">
      <text>
        <r>
          <rPr>
            <b/>
            <sz val="9"/>
            <color indexed="81"/>
            <rFont val="Tahoma"/>
            <family val="2"/>
          </rPr>
          <t>-0.6</t>
        </r>
      </text>
    </comment>
    <comment ref="J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1-2</t>
        </r>
      </text>
    </comment>
    <comment ref="K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1-1</t>
        </r>
      </text>
    </comment>
    <comment ref="Q53" authorId="1">
      <text>
        <r>
          <rPr>
            <b/>
            <sz val="9"/>
            <color indexed="81"/>
            <rFont val="Tahoma"/>
            <family val="2"/>
          </rPr>
          <t>0.12</t>
        </r>
      </text>
    </comment>
    <comment ref="BK54" authorId="3">
      <text>
        <r>
          <rPr>
            <b/>
            <sz val="9"/>
            <color indexed="81"/>
            <rFont val="Tahoma"/>
            <family val="2"/>
          </rPr>
          <t>out for 4-6 months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  <comment ref="K5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J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@87' when 2-0</t>
        </r>
      </text>
    </comment>
    <comment ref="BG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@26' 87'</t>
        </r>
      </text>
    </comment>
    <comment ref="K6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@90+5' when 2-1</t>
        </r>
      </text>
    </comment>
    <comment ref="J6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0-0</t>
        </r>
      </text>
    </comment>
    <comment ref="K6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1-0</t>
        </r>
      </text>
    </comment>
  </commentList>
</comments>
</file>

<file path=xl/comments12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LM/AM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CM/RW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LW/CF</t>
        </r>
      </text>
    </comment>
    <comment ref="BI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SS/CF</t>
        </r>
      </text>
    </comment>
    <comment ref="BQ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名古屋</t>
        </r>
      </text>
    </comment>
    <comment ref="J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Nagoya Grampus 0-1</t>
        </r>
      </text>
    </comment>
    <comment ref="AT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@33'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0-1</t>
        </r>
      </text>
    </comment>
    <comment ref="J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@25' when 0-0</t>
        </r>
      </text>
    </comment>
    <comment ref="BF27" authorId="3">
      <text>
        <r>
          <rPr>
            <b/>
            <sz val="9"/>
            <color indexed="81"/>
            <rFont val="Tahoma"/>
            <family val="2"/>
          </rPr>
          <t>sub in @46'
sub out @90+2'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1-1</t>
        </r>
      </text>
    </comment>
    <comment ref="AW29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BD29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Q31" authorId="1">
      <text>
        <r>
          <rPr>
            <b/>
            <sz val="9"/>
            <color indexed="81"/>
            <rFont val="Tahoma"/>
            <family val="2"/>
          </rPr>
          <t>0.77</t>
        </r>
      </text>
    </comment>
    <comment ref="B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@28'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late goal@90+1' when 3-1</t>
        </r>
      </text>
    </comment>
    <comment ref="S32" authorId="3">
      <text>
        <r>
          <rPr>
            <b/>
            <sz val="9"/>
            <color indexed="81"/>
            <rFont val="Tahoma"/>
            <family val="2"/>
          </rPr>
          <t>2.43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32" authorId="4">
      <text>
        <r>
          <rPr>
            <b/>
            <sz val="9"/>
            <color indexed="81"/>
            <rFont val="Tahoma"/>
            <family val="2"/>
          </rPr>
          <t>sub out@28'</t>
        </r>
      </text>
    </comment>
    <comment ref="J33" authorId="3">
      <text>
        <r>
          <rPr>
            <b/>
            <sz val="9"/>
            <color indexed="81"/>
            <rFont val="Tahoma"/>
            <family val="2"/>
          </rPr>
          <t>late goal @90+1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0.58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34" authorId="3">
      <text>
        <r>
          <rPr>
            <b/>
            <sz val="9"/>
            <color indexed="81"/>
            <rFont val="Tahoma"/>
            <family val="2"/>
          </rPr>
          <t>out for 5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1-3</t>
        </r>
      </text>
    </comment>
    <comment ref="J36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K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@85' when 2-1</t>
        </r>
      </text>
    </comment>
    <comment ref="K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2-2</t>
        </r>
      </text>
    </comment>
    <comment ref="AG40" authorId="3">
      <text>
        <r>
          <rPr>
            <b/>
            <sz val="9"/>
            <color indexed="81"/>
            <rFont val="Tahoma"/>
            <family val="2"/>
          </rPr>
          <t>out for 2-3 weeks</t>
        </r>
      </text>
    </comment>
    <comment ref="BG40" authorId="3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@59' when Nagoya Grampus 1-0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1-2</t>
        </r>
      </text>
    </comment>
    <comment ref="AU41" authorId="3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BE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@59'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4-0
late goal @90+2' when 5-0</t>
        </r>
      </text>
    </comment>
    <comment ref="AM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@45'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@34' when 0-0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0.6</t>
        </r>
      </text>
    </comment>
    <comment ref="BR43" authorId="3">
      <text>
        <r>
          <rPr>
            <b/>
            <sz val="9"/>
            <color indexed="81"/>
            <rFont val="Tahoma"/>
            <family val="2"/>
          </rPr>
          <t>to Niigata</t>
        </r>
      </text>
    </comment>
    <comment ref="BQ44" authorId="3">
      <text>
        <r>
          <rPr>
            <b/>
            <sz val="9"/>
            <color indexed="81"/>
            <rFont val="Tahoma"/>
            <family val="2"/>
          </rPr>
          <t>released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45" authorId="1">
      <text>
        <r>
          <rPr>
            <b/>
            <sz val="9"/>
            <color indexed="81"/>
            <rFont val="Tahoma"/>
            <family val="2"/>
          </rPr>
          <t>0.39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2.54</t>
        </r>
      </text>
    </comment>
    <comment ref="AV45" authorId="3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@33'</t>
        </r>
      </text>
    </comment>
    <comment ref="BC45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6" authorId="3">
      <text>
        <r>
          <rPr>
            <b/>
            <sz val="9"/>
            <color indexed="81"/>
            <rFont val="Tahoma"/>
            <family val="2"/>
          </rPr>
          <t>last 35 minutes played at 8.2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6" authorId="3">
      <text>
        <r>
          <rPr>
            <b/>
            <sz val="9"/>
            <color indexed="81"/>
            <rFont val="Tahoma"/>
            <family val="2"/>
          </rPr>
          <t>sub in @65'
sub out @73'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47" authorId="3">
      <text>
        <r>
          <rPr>
            <b/>
            <sz val="9"/>
            <color indexed="81"/>
            <rFont val="Tahoma"/>
            <family val="2"/>
          </rPr>
          <t>from Vitória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8" authorId="3">
      <text>
        <r>
          <rPr>
            <b/>
            <sz val="9"/>
            <color indexed="81"/>
            <rFont val="Tahoma"/>
            <family val="2"/>
          </rPr>
          <t>to Niigata</t>
        </r>
      </text>
    </comment>
    <comment ref="BN48" authorId="3">
      <text>
        <r>
          <rPr>
            <b/>
            <sz val="9"/>
            <color indexed="81"/>
            <rFont val="Tahoma"/>
            <family val="2"/>
          </rPr>
          <t>to JEF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48" authorId="3">
      <text>
        <r>
          <rPr>
            <b/>
            <sz val="9"/>
            <color indexed="81"/>
            <rFont val="Tahoma"/>
            <family val="2"/>
          </rPr>
          <t>to Shonan</t>
        </r>
      </text>
    </comment>
    <comment ref="BP48" authorId="3">
      <text>
        <r>
          <rPr>
            <b/>
            <sz val="9"/>
            <color indexed="81"/>
            <rFont val="Tahoma"/>
            <family val="2"/>
          </rPr>
          <t>to Sendai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49" authorId="3">
      <text>
        <r>
          <rPr>
            <b/>
            <sz val="9"/>
            <color indexed="81"/>
            <rFont val="Tahoma"/>
            <family val="2"/>
          </rPr>
          <t>from university</t>
        </r>
      </text>
    </comment>
    <comment ref="J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6-4</t>
        </r>
      </text>
    </comment>
    <comment ref="AQ50" authorId="3">
      <text>
        <r>
          <rPr>
            <b/>
            <sz val="9"/>
            <color indexed="81"/>
            <rFont val="Tahoma"/>
            <family val="2"/>
          </rPr>
          <t>from YFM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@33' when 0-0
late goal @88' when 4-1</t>
        </r>
      </text>
    </comment>
    <comment ref="K51" authorId="3">
      <text>
        <r>
          <rPr>
            <b/>
            <sz val="9"/>
            <color indexed="81"/>
            <rFont val="Tahoma"/>
            <family val="2"/>
          </rPr>
          <t>late PG @90+5' when 5-1</t>
        </r>
      </text>
    </comment>
    <comment ref="J52" authorId="3">
      <text>
        <r>
          <rPr>
            <b/>
            <sz val="9"/>
            <color indexed="81"/>
            <rFont val="Tahoma"/>
            <family val="2"/>
          </rPr>
          <t>late goal @90+3' when 3-3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2" authorId="3">
      <text>
        <r>
          <rPr>
            <b/>
            <sz val="9"/>
            <color indexed="81"/>
            <rFont val="Tahoma"/>
            <family val="2"/>
          </rPr>
          <t>down to 10 men @89' when 3-3</t>
        </r>
      </text>
    </comment>
    <comment ref="J5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@53' when 2-1</t>
        </r>
      </text>
    </comment>
    <comment ref="AR5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@38' 53'</t>
        </r>
      </text>
    </comment>
    <comment ref="BD54" authorId="3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K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0.73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61" authorId="1">
      <text>
        <r>
          <rPr>
            <b/>
            <sz val="9"/>
            <color indexed="81"/>
            <rFont val="Tahoma"/>
            <family val="2"/>
          </rPr>
          <t>0.35</t>
        </r>
      </text>
    </comment>
    <comment ref="S61" authorId="1">
      <text>
        <r>
          <rPr>
            <b/>
            <sz val="9"/>
            <color indexed="81"/>
            <rFont val="Tahoma"/>
            <family val="2"/>
          </rPr>
          <t>3.02</t>
        </r>
      </text>
    </comment>
    <comment ref="J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0-0</t>
        </r>
      </text>
    </comment>
    <comment ref="K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1-0</t>
        </r>
      </text>
    </comment>
    <comment ref="J6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3-2</t>
        </r>
      </text>
    </comment>
    <comment ref="S64" authorId="3">
      <text>
        <r>
          <rPr>
            <b/>
            <sz val="9"/>
            <color indexed="81"/>
            <rFont val="Tahoma"/>
            <family val="2"/>
          </rPr>
          <t>3.25</t>
        </r>
      </text>
    </comment>
    <comment ref="S65" authorId="3">
      <text>
        <r>
          <rPr>
            <b/>
            <sz val="9"/>
            <color indexed="81"/>
            <rFont val="Tahoma"/>
            <family val="2"/>
          </rPr>
          <t>2.95</t>
        </r>
      </text>
    </comment>
    <comment ref="Q67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  <comment ref="Q68" authorId="3">
      <text>
        <r>
          <rPr>
            <b/>
            <sz val="9"/>
            <color indexed="81"/>
            <rFont val="Tahoma"/>
            <family val="2"/>
          </rPr>
          <t>-0.03</t>
        </r>
      </text>
    </comment>
  </commentList>
</comments>
</file>

<file path=xl/comments13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AM/LW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大分</t>
        </r>
      </text>
    </comment>
    <comment ref="J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1-1</t>
        </r>
      </text>
    </comment>
    <comment ref="J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Oita Trinita 0-1</t>
        </r>
      </text>
    </comment>
    <comment ref="AU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@32'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2-2</t>
        </r>
      </text>
    </comment>
    <comment ref="AU29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1-0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@82' when 2-0</t>
        </r>
      </text>
    </comment>
    <comment ref="J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3-1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late goal @90+6'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0-1</t>
        </r>
      </text>
    </comment>
    <comment ref="K4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Oita Trinita 2-1</t>
        </r>
      </text>
    </comment>
    <comment ref="BD40" authorId="3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@71' when 1-1</t>
        </r>
      </text>
    </comment>
    <comment ref="AI41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3-2</t>
        </r>
      </text>
    </comment>
    <comment ref="K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@37' when Oita Trinita 1-0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2.23</t>
        </r>
      </text>
    </comment>
    <comment ref="J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@90+1' when 0-2</t>
        </r>
      </text>
    </comment>
    <comment ref="BC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@90+1'</t>
        </r>
      </text>
    </comment>
    <comment ref="J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Oita Trinita 1-2</t>
        </r>
      </text>
    </comment>
    <comment ref="AT47" authorId="3">
      <text>
        <r>
          <rPr>
            <b/>
            <sz val="9"/>
            <color indexed="81"/>
            <rFont val="Tahoma"/>
            <family val="2"/>
          </rPr>
          <t>from Shonan</t>
        </r>
      </text>
    </comment>
    <comment ref="J5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1-1</t>
        </r>
      </text>
    </comment>
    <comment ref="K5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@11' when 0-0</t>
        </r>
      </text>
    </comment>
    <comment ref="K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@90+3' when 2-1</t>
        </r>
      </text>
    </comment>
    <comment ref="J5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2-2</t>
        </r>
      </text>
    </comment>
    <comment ref="J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-0.73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1-1</t>
        </r>
      </text>
    </comment>
    <comment ref="J60" authorId="5">
      <text>
        <r>
          <rPr>
            <b/>
            <sz val="9"/>
            <color indexed="81"/>
            <rFont val="Tahoma"/>
            <family val="2"/>
          </rPr>
          <t>OG @ 23'</t>
        </r>
      </text>
    </comment>
    <comment ref="J6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0-1</t>
        </r>
      </text>
    </comment>
    <comment ref="K64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0-0</t>
        </r>
      </text>
    </comment>
    <comment ref="K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@89'when 0-0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-0.4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0-1
late goal @89' when 1-1</t>
        </r>
      </text>
    </comment>
    <comment ref="Q66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</commentList>
</comments>
</file>

<file path=xl/comments14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LB/LW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DM/AM</t>
        </r>
      </text>
    </comment>
    <comment ref="AX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BB19" authorId="1">
      <text>
        <r>
          <rPr>
            <b/>
            <sz val="9"/>
            <color indexed="81"/>
            <rFont val="Tahoma"/>
            <family val="2"/>
          </rPr>
          <t>LW/SS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山口</t>
        </r>
      </text>
    </comment>
    <comment ref="Q24" authorId="1">
      <text>
        <r>
          <rPr>
            <b/>
            <sz val="9"/>
            <color indexed="81"/>
            <rFont val="Tahoma"/>
            <family val="2"/>
          </rPr>
          <t>0.31</t>
        </r>
      </text>
    </comment>
    <comment ref="AX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@27'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Renofa Yamaguchi 1-0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Q31" authorId="1">
      <text>
        <r>
          <rPr>
            <b/>
            <sz val="9"/>
            <color indexed="81"/>
            <rFont val="Tahoma"/>
            <family val="2"/>
          </rPr>
          <t>-0.77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-0.45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Renofa Yamaguchi 1-2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2-2</t>
        </r>
      </text>
    </comment>
    <comment ref="Q37" authorId="1">
      <text>
        <r>
          <rPr>
            <b/>
            <sz val="9"/>
            <color indexed="81"/>
            <rFont val="Tahoma"/>
            <family val="2"/>
          </rPr>
          <t>-0.61</t>
        </r>
      </text>
    </comment>
    <comment ref="AV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@11'</t>
        </r>
      </text>
    </comment>
    <comment ref="BD39" authorId="3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@19' when 0-0</t>
        </r>
      </text>
    </comment>
    <comment ref="AV41" authorId="3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41" authorId="3">
      <text>
        <r>
          <rPr>
            <b/>
            <sz val="9"/>
            <color indexed="81"/>
            <rFont val="Tahoma"/>
            <family val="2"/>
          </rPr>
          <t>out for 3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4" authorId="3">
      <text>
        <r>
          <rPr>
            <b/>
            <sz val="9"/>
            <color indexed="81"/>
            <rFont val="Tahoma"/>
            <family val="2"/>
          </rPr>
          <t>down to 10 men @90+5' when 1-2</t>
        </r>
      </text>
    </comment>
    <comment ref="AX44" authorId="3">
      <text>
        <r>
          <rPr>
            <b/>
            <sz val="9"/>
            <color indexed="81"/>
            <rFont val="Tahoma"/>
            <family val="2"/>
          </rPr>
          <t>2 y @83' 90+5'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45" authorId="3">
      <text>
        <r>
          <rPr>
            <b/>
            <sz val="9"/>
            <color indexed="81"/>
            <rFont val="Tahoma"/>
            <family val="2"/>
          </rPr>
          <t>out for 3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46" authorId="3">
      <text>
        <r>
          <rPr>
            <b/>
            <sz val="9"/>
            <color indexed="81"/>
            <rFont val="Tahoma"/>
            <family val="2"/>
          </rPr>
          <t>from Club Blooming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0-2</t>
        </r>
      </text>
    </comment>
    <comment ref="BF47" authorId="3">
      <text>
        <r>
          <rPr>
            <b/>
            <sz val="9"/>
            <color indexed="81"/>
            <rFont val="Tahoma"/>
            <family val="2"/>
          </rPr>
          <t>from Atlanta(Argentina)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down to 10 men @75' when 0-1
late goal @88' when 0-2</t>
        </r>
      </text>
    </comment>
    <comment ref="K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late goal @86' when 0-1</t>
        </r>
      </text>
    </comment>
    <comment ref="AY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2y @ 74' 75'</t>
        </r>
      </text>
    </comment>
    <comment ref="Q49" authorId="3">
      <text>
        <r>
          <rPr>
            <b/>
            <sz val="9"/>
            <color indexed="81"/>
            <rFont val="Tahoma"/>
            <family val="2"/>
          </rPr>
          <t>0.38</t>
        </r>
      </text>
    </comment>
    <comment ref="AG49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0-1</t>
        </r>
      </text>
    </comment>
    <comment ref="K50" authorId="3">
      <text>
        <r>
          <rPr>
            <b/>
            <sz val="9"/>
            <color indexed="81"/>
            <rFont val="Tahoma"/>
            <family val="2"/>
          </rPr>
          <t>late goal @90+3' when 1-1</t>
        </r>
      </text>
    </comment>
    <comment ref="Q51" authorId="3">
      <text>
        <r>
          <rPr>
            <b/>
            <sz val="9"/>
            <color indexed="81"/>
            <rFont val="Tahoma"/>
            <family val="2"/>
          </rPr>
          <t>0.85</t>
        </r>
      </text>
    </comment>
    <comment ref="K5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0-4</t>
        </r>
      </text>
    </comment>
    <comment ref="K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2-2</t>
        </r>
      </text>
    </comment>
    <comment ref="J5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@90+3' when 2-5</t>
        </r>
      </text>
    </comment>
    <comment ref="K5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@43' when 2-1</t>
        </r>
      </text>
    </comment>
    <comment ref="J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@39' when 0-0</t>
        </r>
      </text>
    </comment>
    <comment ref="K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0-0</t>
        </r>
      </text>
    </comment>
    <comment ref="BF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1r @39'</t>
        </r>
      </text>
    </comment>
    <comment ref="J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1-2
late goal @90+1' when 2-2</t>
        </r>
      </text>
    </comment>
    <comment ref="K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@47' when 0-1</t>
        </r>
      </text>
    </comment>
    <comment ref="J58" authorId="3">
      <text>
        <r>
          <rPr>
            <b/>
            <sz val="9"/>
            <color indexed="81"/>
            <rFont val="Tahoma"/>
            <family val="2"/>
          </rPr>
          <t>late goal @90+5'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9" authorId="1">
      <text>
        <r>
          <rPr>
            <b/>
            <sz val="9"/>
            <color indexed="81"/>
            <rFont val="Tahoma"/>
            <family val="2"/>
          </rPr>
          <t>-0.35</t>
        </r>
      </text>
    </comment>
    <comment ref="S59" authorId="1">
      <text>
        <r>
          <rPr>
            <b/>
            <sz val="9"/>
            <color indexed="81"/>
            <rFont val="Tahoma"/>
            <family val="2"/>
          </rPr>
          <t>3.02</t>
        </r>
      </text>
    </comment>
    <comment ref="K62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0-0</t>
        </r>
      </text>
    </comment>
    <comment ref="J6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@72' when 0-1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-0.7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0.83</t>
        </r>
      </text>
    </comment>
  </commentList>
</comments>
</file>

<file path=xl/comments15.xml><?xml version="1.0" encoding="utf-8"?>
<comments xmlns="http://schemas.openxmlformats.org/spreadsheetml/2006/main">
  <authors>
    <author>Edmund</author>
    <author>zhangwenkang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CM/RW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A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K19" authorId="1">
      <text>
        <r>
          <rPr>
            <b/>
            <sz val="9"/>
            <color indexed="81"/>
            <rFont val="Tahoma"/>
            <family val="2"/>
          </rPr>
          <t>AM/LW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Team Name: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熊本</t>
        </r>
      </text>
    </comment>
    <comment ref="J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Roasso Kumamoto 0-1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Roasso Kumamoto 0-1</t>
        </r>
      </text>
    </comment>
    <comment ref="AQ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@26'</t>
        </r>
      </text>
    </comment>
    <comment ref="J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@73' when 1-1</t>
        </r>
      </text>
    </comment>
    <comment ref="Q26" authorId="1">
      <text>
        <r>
          <rPr>
            <b/>
            <sz val="9"/>
            <color indexed="81"/>
            <rFont val="Tahoma"/>
            <family val="2"/>
          </rPr>
          <t>-0.37</t>
        </r>
      </text>
    </comment>
    <comment ref="AT2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@73'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@88' when 0-0</t>
        </r>
      </text>
    </comment>
    <comment ref="BD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@40'</t>
        </r>
      </text>
    </comment>
    <comment ref="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1-0</t>
        </r>
      </text>
    </comment>
    <comment ref="AI32" authorId="2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AZ32" authorId="2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BK32" authorId="2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S33" authorId="2">
      <text>
        <r>
          <rPr>
            <b/>
            <sz val="9"/>
            <color indexed="81"/>
            <rFont val="Tahoma"/>
            <family val="2"/>
          </rPr>
          <t>2.13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1-1</t>
        </r>
      </text>
    </comment>
    <comment ref="AQ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@24'</t>
        </r>
      </text>
    </comment>
    <comment ref="K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Q36" authorId="1">
      <text>
        <r>
          <rPr>
            <b/>
            <sz val="9"/>
            <color indexed="81"/>
            <rFont val="Tahoma"/>
            <family val="2"/>
          </rPr>
          <t>-0.42</t>
        </r>
      </text>
    </comment>
    <comment ref="Q37" authorId="1">
      <text>
        <r>
          <rPr>
            <b/>
            <sz val="9"/>
            <color indexed="81"/>
            <rFont val="Tahoma"/>
            <family val="2"/>
          </rPr>
          <t>-0.48</t>
        </r>
      </text>
    </comment>
    <comment ref="S37" authorId="1">
      <text>
        <r>
          <rPr>
            <b/>
            <sz val="9"/>
            <color indexed="81"/>
            <rFont val="Tahoma"/>
            <family val="2"/>
          </rPr>
          <t>2.4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0-2</t>
        </r>
      </text>
    </comment>
    <comment ref="BA41" authorId="2">
      <text>
        <r>
          <rPr>
            <b/>
            <sz val="9"/>
            <color indexed="81"/>
            <rFont val="Tahoma"/>
            <family val="2"/>
          </rPr>
          <t>out for 3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2" authorId="2">
      <text>
        <r>
          <rPr>
            <b/>
            <sz val="9"/>
            <color indexed="81"/>
            <rFont val="Tahoma"/>
            <family val="2"/>
          </rPr>
          <t>ET Kumamoto 2-1</t>
        </r>
      </text>
    </comment>
    <comment ref="BC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ET goal @118'</t>
        </r>
      </text>
    </comment>
    <comment ref="Q44" authorId="2">
      <text>
        <r>
          <rPr>
            <b/>
            <sz val="9"/>
            <color indexed="81"/>
            <rFont val="Tahoma"/>
            <family val="2"/>
          </rPr>
          <t>-0.38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Roasso Kumamoto 1-2</t>
        </r>
      </text>
    </comment>
    <comment ref="K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1-1</t>
        </r>
      </text>
    </comment>
    <comment ref="Q47" authorId="1">
      <text>
        <r>
          <rPr>
            <b/>
            <sz val="9"/>
            <color indexed="81"/>
            <rFont val="Tahoma"/>
            <family val="2"/>
          </rPr>
          <t>-0.34</t>
        </r>
      </text>
    </comment>
    <comment ref="BO48" authorId="2">
      <text>
        <r>
          <rPr>
            <b/>
            <sz val="9"/>
            <color indexed="81"/>
            <rFont val="Tahoma"/>
            <family val="2"/>
          </rPr>
          <t>to J3</t>
        </r>
      </text>
    </comment>
    <comment ref="BP48" authorId="2">
      <text>
        <r>
          <rPr>
            <b/>
            <sz val="9"/>
            <color indexed="81"/>
            <rFont val="Tahoma"/>
            <family val="2"/>
          </rPr>
          <t>to Mito</t>
        </r>
      </text>
    </comment>
    <comment ref="AS49" authorId="2">
      <text>
        <r>
          <rPr>
            <b/>
            <sz val="9"/>
            <color indexed="81"/>
            <rFont val="Tahoma"/>
            <family val="2"/>
          </rPr>
          <t>from Metropolitano</t>
        </r>
      </text>
    </comment>
    <comment ref="BB49" authorId="2">
      <text>
        <r>
          <rPr>
            <b/>
            <sz val="9"/>
            <color indexed="81"/>
            <rFont val="Tahoma"/>
            <family val="2"/>
          </rPr>
          <t>from Nagoya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0" authorId="2">
      <text>
        <r>
          <rPr>
            <b/>
            <sz val="9"/>
            <color indexed="81"/>
            <rFont val="Tahoma"/>
            <family val="2"/>
          </rPr>
          <t>-0.38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1" authorId="2">
      <text>
        <r>
          <rPr>
            <b/>
            <sz val="9"/>
            <color indexed="81"/>
            <rFont val="Tahoma"/>
            <family val="2"/>
          </rPr>
          <t>down to 10 men @11 when 0-0'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1" authorId="2">
      <text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AU51" authorId="2">
      <text>
        <r>
          <rPr>
            <b/>
            <sz val="9"/>
            <color indexed="81"/>
            <rFont val="Tahoma"/>
            <family val="2"/>
          </rPr>
          <t>1r @11'</t>
        </r>
      </text>
    </comment>
    <comment ref="AX51" authorId="2">
      <text>
        <r>
          <rPr>
            <b/>
            <sz val="9"/>
            <color indexed="81"/>
            <rFont val="Tahoma"/>
            <family val="2"/>
          </rPr>
          <t>early sub @24'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2" authorId="2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Q55" authorId="2">
      <text>
        <r>
          <rPr>
            <b/>
            <sz val="9"/>
            <color indexed="81"/>
            <rFont val="Tahoma"/>
            <family val="2"/>
          </rPr>
          <t>-0.4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6" authorId="2">
      <text>
        <r>
          <rPr>
            <b/>
            <sz val="9"/>
            <color indexed="81"/>
            <rFont val="Tahoma"/>
            <family val="2"/>
          </rPr>
          <t>2.43</t>
        </r>
      </text>
    </comment>
    <comment ref="AU56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@41'</t>
        </r>
      </text>
    </comment>
    <comment ref="AS57" authorId="2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AU57" authorId="2">
      <text>
        <r>
          <rPr>
            <b/>
            <sz val="9"/>
            <color indexed="81"/>
            <rFont val="Tahoma"/>
            <family val="2"/>
          </rPr>
          <t>out of season</t>
        </r>
      </text>
    </comment>
    <comment ref="AY57" authorId="2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J58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J61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@22' when 0-0</t>
        </r>
      </text>
    </comment>
    <comment ref="S63" authorId="2">
      <text>
        <r>
          <rPr>
            <b/>
            <sz val="9"/>
            <color indexed="81"/>
            <rFont val="Tahoma"/>
            <family val="2"/>
          </rPr>
          <t>2.3</t>
        </r>
      </text>
    </comment>
    <comment ref="J65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0-4</t>
        </r>
      </text>
    </comment>
    <comment ref="K65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0-3</t>
        </r>
      </text>
    </comment>
    <comment ref="K66" authorId="3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1-0
late goal @89' when 1-1</t>
        </r>
      </text>
    </comment>
    <comment ref="Q66" authorId="2">
      <text>
        <r>
          <rPr>
            <b/>
            <sz val="9"/>
            <color indexed="81"/>
            <rFont val="Tahoma"/>
            <family val="2"/>
          </rPr>
          <t>-0.4</t>
        </r>
      </text>
    </comment>
  </commentList>
</comments>
</file>

<file path=xl/comments16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songjuxiong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AZ19" authorId="1">
      <text>
        <r>
          <rPr>
            <b/>
            <sz val="9"/>
            <color indexed="81"/>
            <rFont val="Tahoma"/>
            <family val="2"/>
          </rPr>
          <t>RB/RW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I19" authorId="1">
      <text>
        <r>
          <rPr>
            <b/>
            <sz val="9"/>
            <color indexed="81"/>
            <rFont val="Tahoma"/>
            <family val="2"/>
          </rPr>
          <t>AM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LM/SS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湘南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0.68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H27" authorId="3">
      <text>
        <r>
          <rPr>
            <b/>
            <sz val="9"/>
            <color indexed="81"/>
            <rFont val="Tahoma"/>
            <family val="2"/>
          </rPr>
          <t>out for 3 months</t>
        </r>
      </text>
    </comment>
    <comment ref="BJ28" authorId="3">
      <text>
        <r>
          <rPr>
            <b/>
            <sz val="9"/>
            <color indexed="81"/>
            <rFont val="Tahoma"/>
            <family val="2"/>
          </rPr>
          <t>out for 8 months</t>
        </r>
      </text>
    </comment>
    <comment ref="K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Shonan Bellmare 3-1</t>
        </r>
      </text>
    </comment>
    <comment ref="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Shonan Bellmare 2-3</t>
        </r>
      </text>
    </comment>
    <comment ref="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0-1</t>
        </r>
      </text>
    </comment>
    <comment ref="A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@45' 90+2'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late goal@90+2' when 1-0</t>
        </r>
      </text>
    </comment>
    <comment ref="Q33" authorId="3">
      <text>
        <r>
          <rPr>
            <b/>
            <sz val="9"/>
            <color indexed="81"/>
            <rFont val="Tahoma"/>
            <family val="2"/>
          </rPr>
          <t>0.45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@31'</t>
        </r>
      </text>
    </comment>
    <comment ref="J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0-0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0-0</t>
        </r>
      </text>
    </comment>
    <comment ref="J42" authorId="3">
      <text>
        <r>
          <rPr>
            <b/>
            <sz val="9"/>
            <color indexed="81"/>
            <rFont val="Tahoma"/>
            <family val="2"/>
          </rPr>
          <t>ET Shonan 1-0</t>
        </r>
      </text>
    </comment>
    <comment ref="BF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ET goal @108'</t>
        </r>
      </text>
    </comment>
    <comment ref="J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@35' when 0-0</t>
        </r>
      </text>
    </comment>
    <comment ref="BO43" authorId="3">
      <text>
        <r>
          <rPr>
            <b/>
            <sz val="9"/>
            <color indexed="81"/>
            <rFont val="Tahoma"/>
            <family val="2"/>
          </rPr>
          <t>to Oita</t>
        </r>
      </text>
    </comment>
    <comment ref="BM44" authorId="3">
      <text>
        <r>
          <rPr>
            <b/>
            <sz val="9"/>
            <color indexed="81"/>
            <rFont val="Tahoma"/>
            <family val="2"/>
          </rPr>
          <t>to Fukushima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2.23</t>
        </r>
      </text>
    </comment>
    <comment ref="BA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@84'</t>
        </r>
      </text>
    </comment>
    <comment ref="J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0-4</t>
        </r>
      </text>
    </comment>
    <comment ref="K46" authorId="5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0-3</t>
        </r>
      </text>
    </comment>
    <comment ref="AS47" authorId="3">
      <text>
        <r>
          <rPr>
            <b/>
            <sz val="9"/>
            <color indexed="81"/>
            <rFont val="Tahoma"/>
            <family val="2"/>
          </rPr>
          <t>from Nagoya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7" authorId="3">
      <text>
        <r>
          <rPr>
            <b/>
            <sz val="9"/>
            <color indexed="81"/>
            <rFont val="Tahoma"/>
            <family val="2"/>
          </rPr>
          <t>from Omiya</t>
        </r>
      </text>
    </comment>
    <comment ref="BD49" authorId="3">
      <text>
        <r>
          <rPr>
            <b/>
            <sz val="9"/>
            <color indexed="81"/>
            <rFont val="Tahoma"/>
            <family val="2"/>
          </rPr>
          <t>from university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0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 32' when 0-1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0.25</t>
        </r>
      </text>
    </comment>
    <comment ref="J54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@1' when 0-0</t>
        </r>
      </text>
    </comment>
    <comment ref="AQ54" authorId="3">
      <text>
        <r>
          <rPr>
            <b/>
            <sz val="9"/>
            <color indexed="81"/>
            <rFont val="Tahoma"/>
            <family val="2"/>
          </rPr>
          <t>out for 2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5" authorId="3">
      <text>
        <r>
          <rPr>
            <b/>
            <sz val="9"/>
            <color indexed="81"/>
            <rFont val="Tahoma"/>
            <family val="2"/>
          </rPr>
          <t>late goal @90+5'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0.68</t>
        </r>
      </text>
    </comment>
    <comment ref="J56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@43' when 1-2</t>
        </r>
      </text>
    </comment>
    <comment ref="K56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@90+3' when 5-2</t>
        </r>
      </text>
    </comment>
    <comment ref="Q59" authorId="3">
      <text>
        <r>
          <rPr>
            <b/>
            <sz val="9"/>
            <color indexed="81"/>
            <rFont val="Tahoma"/>
            <family val="2"/>
          </rPr>
          <t>1.13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59" authorId="3">
      <text>
        <r>
          <rPr>
            <b/>
            <sz val="9"/>
            <color indexed="81"/>
            <rFont val="Tahoma"/>
            <family val="2"/>
          </rPr>
          <t>early sub @19'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0" authorId="7">
      <text>
        <r>
          <rPr>
            <b/>
            <sz val="9"/>
            <color indexed="81"/>
            <rFont val="Tahoma"/>
            <family val="2"/>
          </rPr>
          <t>zhangrui: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3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1-0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-0.13</t>
        </r>
      </text>
    </comment>
    <comment ref="J65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0-1</t>
        </r>
      </text>
    </comment>
    <comment ref="AY66" authorId="6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41'</t>
        </r>
      </text>
    </comment>
  </commentList>
</comments>
</file>

<file path=xl/comments17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LB/LM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AM/LW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C19" authorId="1">
      <text>
        <r>
          <rPr>
            <b/>
            <sz val="9"/>
            <color indexed="81"/>
            <rFont val="Tahoma"/>
            <family val="2"/>
          </rPr>
          <t>AM</t>
        </r>
      </text>
    </comment>
    <comment ref="BK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BM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德岛</t>
        </r>
      </text>
    </comment>
    <comment ref="K2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0-0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Tokushima Vortis 2-1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@87' when Tokushima Vortis 2-1
9 men @88' when Tokushima Vortis 2-1
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Tokushima Vortis 0-1</t>
        </r>
      </text>
    </comment>
    <comment ref="BJ29" authorId="3">
      <text>
        <r>
          <rPr>
            <b/>
            <sz val="9"/>
            <color indexed="81"/>
            <rFont val="Tahoma"/>
            <family val="2"/>
          </rPr>
          <t>out for 8 weeks</t>
        </r>
      </text>
    </comment>
    <comment ref="J32" authorId="4">
      <text>
        <r>
          <rPr>
            <b/>
            <sz val="9"/>
            <color indexed="81"/>
            <rFont val="Tahoma"/>
            <family val="2"/>
          </rPr>
          <t>10 men@14' when 0-0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goal@90+4' when 1-0</t>
        </r>
      </text>
    </comment>
    <comment ref="S32" authorId="3">
      <text>
        <r>
          <rPr>
            <b/>
            <sz val="9"/>
            <color indexed="81"/>
            <rFont val="Tahoma"/>
            <family val="2"/>
          </rPr>
          <t>2.3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32" authorId="4">
      <text>
        <r>
          <rPr>
            <b/>
            <sz val="9"/>
            <color indexed="81"/>
            <rFont val="Tahoma"/>
            <family val="2"/>
          </rPr>
          <t>1 r@14'</t>
        </r>
      </text>
    </comment>
    <comment ref="AY34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J3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0-1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Tokushima Vortis 1-0</t>
        </r>
      </text>
    </comment>
    <comment ref="S37" authorId="1">
      <text>
        <r>
          <rPr>
            <b/>
            <sz val="9"/>
            <color indexed="81"/>
            <rFont val="Tahoma"/>
            <family val="2"/>
          </rPr>
          <t>2.1</t>
        </r>
      </text>
    </comment>
    <comment ref="S38" authorId="1">
      <text>
        <r>
          <rPr>
            <b/>
            <sz val="9"/>
            <color indexed="81"/>
            <rFont val="Tahoma"/>
            <family val="2"/>
          </rPr>
          <t>2.27</t>
        </r>
      </text>
    </comment>
    <comment ref="J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1-0</t>
        </r>
      </text>
    </comment>
    <comment ref="S39" authorId="1">
      <text>
        <r>
          <rPr>
            <b/>
            <sz val="9"/>
            <color indexed="81"/>
            <rFont val="Tahoma"/>
            <family val="2"/>
          </rPr>
          <t>2.35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2-0</t>
        </r>
      </text>
    </comment>
    <comment ref="BA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@45'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6-0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2.33</t>
        </r>
      </text>
    </comment>
    <comment ref="Q45" authorId="1">
      <text>
        <r>
          <rPr>
            <b/>
            <sz val="9"/>
            <color indexed="81"/>
            <rFont val="Tahoma"/>
            <family val="2"/>
          </rPr>
          <t>-0.39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2.54</t>
        </r>
      </text>
    </comment>
    <comment ref="BG46" authorId="3">
      <text>
        <r>
          <rPr>
            <b/>
            <sz val="9"/>
            <color indexed="81"/>
            <rFont val="Tahoma"/>
            <family val="2"/>
          </rPr>
          <t>from Cerezo Osaka</t>
        </r>
      </text>
    </comment>
    <comment ref="AQ49" authorId="3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0" authorId="3">
      <text>
        <r>
          <rPr>
            <b/>
            <sz val="9"/>
            <color indexed="81"/>
            <rFont val="Tahoma"/>
            <family val="2"/>
          </rPr>
          <t>late goal @90+5' when 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4-0</t>
        </r>
      </text>
    </comment>
    <comment ref="J54" authorId="3">
      <text>
        <r>
          <rPr>
            <b/>
            <sz val="9"/>
            <color indexed="81"/>
            <rFont val="Tahoma"/>
            <family val="2"/>
          </rPr>
          <t>down to 10 men @84' when 1-3</t>
        </r>
      </text>
    </comment>
    <comment ref="AL54" authorId="3">
      <text>
        <r>
          <rPr>
            <b/>
            <sz val="9"/>
            <color indexed="81"/>
            <rFont val="Tahoma"/>
            <family val="2"/>
          </rPr>
          <t>2 y @44' 84'</t>
        </r>
      </text>
    </comment>
    <comment ref="AU54" authorId="3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0.53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9" authorId="6">
      <text>
        <r>
          <rPr>
            <b/>
            <sz val="9"/>
            <color indexed="81"/>
            <rFont val="Tahoma"/>
            <family val="2"/>
          </rPr>
          <t>late goal @ 90+5'</t>
        </r>
      </text>
    </comment>
    <comment ref="J6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1-0</t>
        </r>
      </text>
    </comment>
    <comment ref="J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1-3</t>
        </r>
      </text>
    </comment>
    <comment ref="K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1-2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0.48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@89'when 0-0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0.4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BK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@38'</t>
        </r>
      </text>
    </comment>
  </commentList>
</comments>
</file>

<file path=xl/comments18.xml><?xml version="1.0" encoding="utf-8"?>
<comments xmlns="http://schemas.openxmlformats.org/spreadsheetml/2006/main">
  <authors>
    <author>Edmund</author>
    <author>zhangwenkang</author>
    <author>KAEMANKMCHAN</author>
    <author>chenjiaqi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RB/CB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AY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H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群马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early goal @5'</t>
        </r>
      </text>
    </comment>
    <comment ref="BJ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@30'</t>
        </r>
      </text>
    </comment>
    <comment ref="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1-2</t>
        </r>
      </text>
    </comment>
    <comment ref="K32" authorId="3">
      <text>
        <r>
          <rPr>
            <b/>
            <sz val="9"/>
            <color indexed="81"/>
            <rFont val="Tahoma"/>
            <family val="2"/>
          </rPr>
          <t>late goal@90+1' when 3-1</t>
        </r>
      </text>
    </comment>
    <comment ref="S32" authorId="4">
      <text>
        <r>
          <rPr>
            <b/>
            <sz val="9"/>
            <color indexed="81"/>
            <rFont val="Tahoma"/>
            <family val="2"/>
          </rPr>
          <t>2.43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1-1</t>
        </r>
      </text>
    </comment>
    <comment ref="Q38" authorId="1">
      <text>
        <r>
          <rPr>
            <b/>
            <sz val="9"/>
            <color indexed="81"/>
            <rFont val="Tahoma"/>
            <family val="2"/>
          </rPr>
          <t>-0.9</t>
        </r>
      </text>
    </comment>
    <comment ref="K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0-1</t>
        </r>
      </text>
    </comment>
    <comment ref="S39" authorId="1">
      <text>
        <r>
          <rPr>
            <b/>
            <sz val="9"/>
            <color indexed="81"/>
            <rFont val="Tahoma"/>
            <family val="2"/>
          </rPr>
          <t>2.35</t>
        </r>
      </text>
    </comment>
    <comment ref="AX40" authorId="4">
      <text>
        <r>
          <rPr>
            <b/>
            <sz val="9"/>
            <color indexed="81"/>
            <rFont val="Tahoma"/>
            <family val="2"/>
          </rPr>
          <t>early sub @27'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@90' when 0-2</t>
        </r>
      </text>
    </comment>
    <comment ref="AX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Y @45+1'
1 R @90'</t>
        </r>
      </text>
    </comment>
    <comment ref="K44" authorId="4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Q44" authorId="4">
      <text>
        <r>
          <rPr>
            <b/>
            <sz val="9"/>
            <color indexed="81"/>
            <rFont val="Tahoma"/>
            <family val="2"/>
          </rPr>
          <t>-0.75</t>
        </r>
      </text>
    </comment>
    <comment ref="S44" authorId="4">
      <text>
        <r>
          <rPr>
            <b/>
            <sz val="9"/>
            <color indexed="81"/>
            <rFont val="Tahoma"/>
            <family val="2"/>
          </rPr>
          <t>2.53</t>
        </r>
      </text>
    </comment>
    <comment ref="AT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@30'</t>
        </r>
      </text>
    </comment>
    <comment ref="J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@75' when 1-2</t>
        </r>
      </text>
    </comment>
    <comment ref="BD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@18' 75'</t>
        </r>
      </text>
    </comment>
    <comment ref="BU48" authorId="4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BA4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early sub @38'</t>
        </r>
      </text>
    </comment>
    <comment ref="BV49" authorId="4">
      <text>
        <r>
          <rPr>
            <b/>
            <sz val="9"/>
            <color indexed="81"/>
            <rFont val="Tahoma"/>
            <family val="2"/>
          </rPr>
          <t>to Fukushima United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</t>
        </r>
      </text>
    </comment>
    <comment ref="Q50" authorId="4">
      <text>
        <r>
          <rPr>
            <b/>
            <sz val="9"/>
            <color indexed="81"/>
            <rFont val="Tahoma"/>
            <family val="2"/>
          </rPr>
          <t>-0.43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@89' when 1-1</t>
        </r>
      </text>
    </comment>
    <comment ref="Q51" authorId="4">
      <text>
        <r>
          <rPr>
            <b/>
            <sz val="9"/>
            <color indexed="81"/>
            <rFont val="Tahoma"/>
            <family val="2"/>
          </rPr>
          <t>0.13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2" authorId="4">
      <text>
        <r>
          <rPr>
            <b/>
            <sz val="9"/>
            <color indexed="81"/>
            <rFont val="Tahoma"/>
            <family val="2"/>
          </rPr>
          <t>-0.85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@1' when 0-0</t>
        </r>
      </text>
    </comment>
    <comment ref="K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@90+4' when 2-0</t>
        </r>
      </text>
    </comment>
    <comment ref="S56" authorId="4">
      <text>
        <r>
          <rPr>
            <b/>
            <sz val="9"/>
            <color indexed="81"/>
            <rFont val="Tahoma"/>
            <family val="2"/>
          </rPr>
          <t>2.58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@29'</t>
        </r>
      </text>
    </comment>
    <comment ref="K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0-2</t>
        </r>
      </text>
    </comment>
    <comment ref="S57" authorId="4">
      <text>
        <r>
          <rPr>
            <b/>
            <sz val="9"/>
            <color indexed="81"/>
            <rFont val="Tahoma"/>
            <family val="2"/>
          </rPr>
          <t>2.7</t>
        </r>
      </text>
    </comment>
    <comment ref="K5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@81' when 0-3</t>
        </r>
      </text>
    </comment>
    <comment ref="K60" authorId="6">
      <text>
        <r>
          <rPr>
            <b/>
            <sz val="9"/>
            <color indexed="81"/>
            <rFont val="Tahoma"/>
            <family val="2"/>
          </rPr>
          <t>late goal @ 90+5'</t>
        </r>
      </text>
    </comment>
    <comment ref="K61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Q61" authorId="1">
      <text>
        <r>
          <rPr>
            <b/>
            <sz val="9"/>
            <color indexed="81"/>
            <rFont val="Tahoma"/>
            <family val="2"/>
          </rPr>
          <t>-0.69</t>
        </r>
      </text>
    </comment>
    <comment ref="Q62" authorId="4">
      <text>
        <r>
          <rPr>
            <b/>
            <sz val="9"/>
            <color indexed="81"/>
            <rFont val="Tahoma"/>
            <family val="2"/>
          </rPr>
          <t>-1.15</t>
        </r>
      </text>
    </comment>
    <comment ref="K6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2-3</t>
        </r>
      </text>
    </comment>
    <comment ref="S63" authorId="4">
      <text>
        <r>
          <rPr>
            <b/>
            <sz val="9"/>
            <color indexed="81"/>
            <rFont val="Tahoma"/>
            <family val="2"/>
          </rPr>
          <t>3.25</t>
        </r>
      </text>
    </comment>
    <comment ref="K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2-3</t>
        </r>
      </text>
    </comment>
    <comment ref="K6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@73' when 0-3</t>
        </r>
      </text>
    </comment>
    <comment ref="Q66" authorId="4">
      <text>
        <r>
          <rPr>
            <b/>
            <sz val="9"/>
            <color indexed="81"/>
            <rFont val="Tahoma"/>
            <family val="2"/>
          </rPr>
          <t>-0.98</t>
        </r>
      </text>
    </comment>
    <comment ref="AQ6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@30'</t>
        </r>
      </text>
    </comment>
  </commentList>
</comments>
</file>

<file path=xl/comments19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K19" authorId="1">
      <text>
        <r>
          <rPr>
            <b/>
            <sz val="9"/>
            <color indexed="81"/>
            <rFont val="Tahoma"/>
            <family val="2"/>
          </rPr>
          <t>DM/RM</t>
        </r>
      </text>
    </comment>
    <comment ref="AL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LW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B19" authorId="1">
      <text>
        <r>
          <rPr>
            <b/>
            <sz val="9"/>
            <color indexed="81"/>
            <rFont val="Tahoma"/>
            <family val="2"/>
          </rPr>
          <t>LW/CF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LB/RW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东京</t>
        </r>
        <r>
          <rPr>
            <sz val="18"/>
            <color indexed="81"/>
            <rFont val="Tahoma"/>
            <family val="2"/>
          </rPr>
          <t>V</t>
        </r>
      </text>
    </comment>
    <comment ref="AS2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@40'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@90+2' when 3-0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@54' when 1-0</t>
        </r>
      </text>
    </comment>
    <comment ref="AP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@12'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Tokyo Verdy 1-3</t>
        </r>
      </text>
    </comment>
    <comment ref="J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2-1</t>
        </r>
      </text>
    </comment>
    <comment ref="Q36" authorId="1">
      <text>
        <r>
          <rPr>
            <b/>
            <sz val="9"/>
            <color indexed="81"/>
            <rFont val="Tahoma"/>
            <family val="2"/>
          </rPr>
          <t>0.14</t>
        </r>
      </text>
    </comment>
    <comment ref="S36" authorId="1">
      <text>
        <r>
          <rPr>
            <b/>
            <sz val="9"/>
            <color indexed="81"/>
            <rFont val="Tahoma"/>
            <family val="2"/>
          </rPr>
          <t>2.34</t>
        </r>
      </text>
    </comment>
    <comment ref="AY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IN @78',SUB OUT @84'</t>
        </r>
      </text>
    </comment>
    <comment ref="BF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@37'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Tokyo Verdy 2-3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2-2</t>
        </r>
      </text>
    </comment>
    <comment ref="BF41" authorId="3">
      <text>
        <r>
          <rPr>
            <b/>
            <sz val="9"/>
            <color indexed="81"/>
            <rFont val="Tahoma"/>
            <family val="2"/>
          </rPr>
          <t>PG @90+3'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4-1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44" authorId="3">
      <text>
        <r>
          <rPr>
            <b/>
            <sz val="9"/>
            <color indexed="81"/>
            <rFont val="Tahoma"/>
            <family val="2"/>
          </rPr>
          <t>0.38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2.23</t>
        </r>
      </text>
    </comment>
    <comment ref="BG46" authorId="3">
      <text>
        <r>
          <rPr>
            <b/>
            <sz val="9"/>
            <color indexed="81"/>
            <rFont val="Tahoma"/>
            <family val="2"/>
          </rPr>
          <t>from Villarreal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Tokyo Verdy 2-3</t>
        </r>
      </text>
    </comment>
    <comment ref="J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late goal @90' when 1-2</t>
        </r>
      </text>
    </comment>
    <comment ref="K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late goal @90+5' when 2-2</t>
        </r>
      </text>
    </comment>
    <comment ref="BJ48" authorId="3">
      <text>
        <r>
          <rPr>
            <b/>
            <sz val="9"/>
            <color indexed="81"/>
            <rFont val="Tahoma"/>
            <family val="2"/>
          </rPr>
          <t>to FC Imabari</t>
        </r>
      </text>
    </comment>
    <comment ref="Q49" authorId="3">
      <text>
        <r>
          <rPr>
            <b/>
            <sz val="9"/>
            <color indexed="81"/>
            <rFont val="Tahoma"/>
            <family val="2"/>
          </rPr>
          <t>0.3</t>
        </r>
      </text>
    </comment>
    <comment ref="S49" authorId="3">
      <text>
        <r>
          <rPr>
            <b/>
            <sz val="9"/>
            <color indexed="81"/>
            <rFont val="Tahoma"/>
            <family val="2"/>
          </rPr>
          <t>2.48</t>
        </r>
      </text>
    </comment>
    <comment ref="J50" authorId="3">
      <text>
        <r>
          <rPr>
            <b/>
            <sz val="9"/>
            <color indexed="81"/>
            <rFont val="Tahoma"/>
            <family val="2"/>
          </rPr>
          <t>late goal @89' when 0-0</t>
        </r>
      </text>
    </comment>
    <comment ref="K50" authorId="3">
      <text>
        <r>
          <rPr>
            <b/>
            <sz val="9"/>
            <color indexed="81"/>
            <rFont val="Tahoma"/>
            <family val="2"/>
          </rPr>
          <t>down to 10 men @11 when 0-0'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5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2-0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0.15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-0.18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0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Q60" authorId="1">
      <text>
        <r>
          <rPr>
            <b/>
            <sz val="9"/>
            <color indexed="81"/>
            <rFont val="Tahoma"/>
            <family val="2"/>
          </rPr>
          <t>0.69</t>
        </r>
      </text>
    </comment>
    <comment ref="Q61" authorId="3">
      <text>
        <r>
          <rPr>
            <b/>
            <sz val="9"/>
            <color indexed="81"/>
            <rFont val="Tahoma"/>
            <family val="2"/>
          </rPr>
          <t>0.4</t>
        </r>
      </text>
    </comment>
    <comment ref="AW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@27'</t>
        </r>
      </text>
    </comment>
    <comment ref="S62" authorId="3">
      <text>
        <r>
          <rPr>
            <b/>
            <sz val="9"/>
            <color indexed="81"/>
            <rFont val="Tahoma"/>
            <family val="2"/>
          </rPr>
          <t>2.78</t>
        </r>
      </text>
    </comment>
    <comment ref="K6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@72' when 1-0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0.7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0.28</t>
        </r>
      </text>
    </comment>
    <comment ref="J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1-1</t>
        </r>
      </text>
    </comment>
  </commentList>
</comments>
</file>

<file path=xl/comments20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RB/LM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CM/CF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AM/RW</t>
        </r>
      </text>
    </comment>
    <comment ref="BM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长崎</t>
        </r>
      </text>
    </comment>
    <comment ref="J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@87' when V-Varen Nagasaki 1-2
9 men @88' when V-Varen Nagasaki 1-2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V-Varen Nagasaki 1-2</t>
        </r>
      </text>
    </comment>
    <comment ref="AK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@59' 88'</t>
        </r>
      </text>
    </comment>
    <comment ref="AM2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2 Y @17' 87'</t>
        </r>
      </text>
    </comment>
    <comment ref="Q27" authorId="3">
      <text>
        <r>
          <rPr>
            <b/>
            <sz val="9"/>
            <color indexed="81"/>
            <rFont val="Tahoma"/>
            <family val="2"/>
          </rPr>
          <t>-0.38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1-0</t>
        </r>
      </text>
    </comment>
    <comment ref="AW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@42'</t>
        </r>
      </text>
    </comment>
    <comment ref="AM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@27'</t>
        </r>
      </text>
    </comment>
    <comment ref="S33" authorId="3">
      <text>
        <r>
          <rPr>
            <b/>
            <sz val="9"/>
            <color indexed="81"/>
            <rFont val="Tahoma"/>
            <family val="2"/>
          </rPr>
          <t>2.38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6" authorId="3">
      <text>
        <r>
          <rPr>
            <b/>
            <sz val="9"/>
            <color indexed="81"/>
            <rFont val="Tahoma"/>
            <family val="2"/>
          </rPr>
          <t>late goal @90+6'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V-Varen Nagasaki 3-2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V-Varen Nagasaki 4-2
late goal @90+5' when V-Varen Nagasaki 4-3</t>
        </r>
      </text>
    </comment>
    <comment ref="Q40" authorId="3">
      <text>
        <r>
          <rPr>
            <b/>
            <sz val="9"/>
            <color indexed="81"/>
            <rFont val="Tahoma"/>
            <family val="2"/>
          </rPr>
          <t>0.55</t>
        </r>
      </text>
    </comment>
    <comment ref="K42" authorId="3">
      <text>
        <r>
          <rPr>
            <b/>
            <sz val="9"/>
            <color indexed="81"/>
            <rFont val="Tahoma"/>
            <family val="2"/>
          </rPr>
          <t xml:space="preserve">zhangwenkang:
</t>
        </r>
        <r>
          <rPr>
            <sz val="9"/>
            <color indexed="81"/>
            <rFont val="Tahoma"/>
            <family val="2"/>
          </rPr>
          <t>10 men @77' when 0-0
ET 0-1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@34' when 0-0</t>
        </r>
      </text>
    </comment>
    <comment ref="Q43" authorId="3">
      <text>
        <r>
          <rPr>
            <b/>
            <sz val="9"/>
            <color indexed="81"/>
            <rFont val="Tahoma"/>
            <family val="2"/>
          </rPr>
          <t>-0.6</t>
        </r>
      </text>
    </comment>
    <comment ref="S44" authorId="3">
      <text>
        <r>
          <rPr>
            <b/>
            <sz val="9"/>
            <color indexed="81"/>
            <rFont val="Tahoma"/>
            <family val="2"/>
          </rPr>
          <t>2.35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1-0</t>
        </r>
      </text>
    </comment>
    <comment ref="BH46" authorId="3">
      <text>
        <r>
          <rPr>
            <b/>
            <sz val="9"/>
            <color indexed="81"/>
            <rFont val="Tahoma"/>
            <family val="2"/>
          </rPr>
          <t>from Cerezo Osaka</t>
        </r>
      </text>
    </comment>
    <comment ref="AQ48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early sub @43'</t>
        </r>
      </text>
    </comment>
    <comment ref="J49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@90+6' when 1-1</t>
        </r>
      </text>
    </comment>
    <comment ref="Q49" authorId="3">
      <text>
        <r>
          <rPr>
            <b/>
            <sz val="9"/>
            <color indexed="81"/>
            <rFont val="Tahoma"/>
            <family val="2"/>
          </rPr>
          <t>0.43</t>
        </r>
      </text>
    </comment>
    <comment ref="S49" authorId="3">
      <text>
        <r>
          <rPr>
            <b/>
            <sz val="9"/>
            <color indexed="81"/>
            <rFont val="Tahoma"/>
            <family val="2"/>
          </rPr>
          <t>2.25</t>
        </r>
      </text>
    </comment>
    <comment ref="J5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@45' when 0-0</t>
        </r>
      </text>
    </comment>
    <comment ref="S51" authorId="3">
      <text>
        <r>
          <rPr>
            <b/>
            <sz val="9"/>
            <color indexed="81"/>
            <rFont val="Tahoma"/>
            <family val="2"/>
          </rPr>
          <t>2.45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3" authorId="1">
      <text>
        <r>
          <rPr>
            <b/>
            <sz val="9"/>
            <color indexed="81"/>
            <rFont val="Tahoma"/>
            <family val="2"/>
          </rPr>
          <t>0.24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J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@86' when 1-1</t>
        </r>
      </text>
    </comment>
    <comment ref="AU56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@44'</t>
        </r>
      </text>
    </comment>
    <comment ref="J57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@90+7' when 1-1</t>
        </r>
      </text>
    </comment>
    <comment ref="J59" authorId="5">
      <text>
        <r>
          <rPr>
            <b/>
            <sz val="9"/>
            <color indexed="81"/>
            <rFont val="Tahoma"/>
            <family val="2"/>
          </rPr>
          <t>OG @ 58'</t>
        </r>
      </text>
    </comment>
    <comment ref="J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@90' when 0-1</t>
        </r>
      </text>
    </comment>
    <comment ref="K6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@88' when 0-0</t>
        </r>
      </text>
    </comment>
    <comment ref="S62" authorId="3">
      <text>
        <r>
          <rPr>
            <b/>
            <sz val="9"/>
            <color indexed="81"/>
            <rFont val="Tahoma"/>
            <family val="2"/>
          </rPr>
          <t>2.3</t>
        </r>
      </text>
    </comment>
    <comment ref="J6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@90+4' when 1-0</t>
        </r>
      </text>
    </comment>
    <comment ref="Q63" authorId="3">
      <text>
        <r>
          <rPr>
            <b/>
            <sz val="9"/>
            <color indexed="81"/>
            <rFont val="Tahoma"/>
            <family val="2"/>
          </rPr>
          <t>0.13</t>
        </r>
      </text>
    </comment>
    <comment ref="Q64" authorId="3">
      <text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@73' when 3-0</t>
        </r>
      </text>
    </comment>
    <comment ref="Q65" authorId="3">
      <text>
        <r>
          <rPr>
            <b/>
            <sz val="9"/>
            <color indexed="81"/>
            <rFont val="Tahoma"/>
            <family val="2"/>
          </rPr>
          <t>0.98</t>
        </r>
      </text>
    </comment>
  </commentList>
</comments>
</file>

<file path=xl/comments21.xml><?xml version="1.0" encoding="utf-8"?>
<comments xmlns="http://schemas.openxmlformats.org/spreadsheetml/2006/main">
  <authors>
    <author>Edmund</author>
    <author>zhangwenkang</author>
    <author>KAEMANKMCHAN</author>
    <author>wutieyun</author>
    <author>chenjiaqi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DM/LM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LB/DM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LW/SS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LW/RW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横滨</t>
        </r>
        <r>
          <rPr>
            <sz val="18"/>
            <color indexed="81"/>
            <rFont val="Tahoma"/>
            <family val="2"/>
          </rPr>
          <t>FC</t>
        </r>
      </text>
    </comment>
    <comment ref="Q23" authorId="1">
      <text>
        <r>
          <rPr>
            <b/>
            <sz val="9"/>
            <color indexed="81"/>
            <rFont val="Tahoma"/>
            <family val="2"/>
          </rPr>
          <t>-0.14</t>
        </r>
      </text>
    </comment>
    <comment ref="BN26" authorId="3">
      <text>
        <r>
          <rPr>
            <b/>
            <sz val="9"/>
            <color indexed="81"/>
            <rFont val="Tahoma"/>
            <family val="2"/>
          </rPr>
          <t>loan to Kagoshima</t>
        </r>
      </text>
    </comment>
    <comment ref="K3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@74' when 0-0</t>
        </r>
      </text>
    </comment>
    <comment ref="AL32" authorId="4">
      <text>
        <r>
          <rPr>
            <b/>
            <sz val="9"/>
            <color indexed="81"/>
            <rFont val="Tahoma"/>
            <family val="2"/>
          </rPr>
          <t>sub out@23'</t>
        </r>
      </text>
    </comment>
    <comment ref="J36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@85' when 0-2</t>
        </r>
      </text>
    </comment>
    <comment ref="J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@85' when 1-2</t>
        </r>
      </text>
    </comment>
    <comment ref="AW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@85'</t>
        </r>
      </text>
    </comment>
    <comment ref="J40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Yokohama 1-2</t>
        </r>
      </text>
    </comment>
    <comment ref="BG40" authorId="3">
      <text>
        <r>
          <rPr>
            <b/>
            <sz val="9"/>
            <color indexed="81"/>
            <rFont val="Tahoma"/>
            <family val="2"/>
          </rPr>
          <t>PG 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@90+5' when 0-0</t>
        </r>
      </text>
    </comment>
    <comment ref="K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0-1</t>
        </r>
      </text>
    </comment>
    <comment ref="AY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@7'</t>
        </r>
      </text>
    </comment>
    <comment ref="K43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@35' when 0-0</t>
        </r>
      </text>
    </comment>
    <comment ref="J45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@89' when 0-3</t>
        </r>
      </text>
    </comment>
    <comment ref="BK46" authorId="3">
      <text>
        <r>
          <rPr>
            <b/>
            <sz val="9"/>
            <color indexed="81"/>
            <rFont val="Tahoma"/>
            <family val="2"/>
          </rPr>
          <t>from Portuguesa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late goal @86' when 1-0</t>
        </r>
      </text>
    </comment>
    <comment ref="K48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down to 10 men @75' when 1-0
late goal @88' when 2-0</t>
        </r>
      </text>
    </comment>
    <comment ref="K49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J50" authorId="3">
      <text>
        <r>
          <rPr>
            <b/>
            <sz val="9"/>
            <color indexed="81"/>
            <rFont val="Tahoma"/>
            <family val="2"/>
          </rPr>
          <t>late goal @90+5' when 1-2</t>
        </r>
      </text>
    </comment>
    <comment ref="K53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@53' when 1-2</t>
        </r>
      </text>
    </comment>
    <comment ref="J54" authorId="3">
      <text>
        <r>
          <rPr>
            <b/>
            <sz val="9"/>
            <color indexed="81"/>
            <rFont val="Tahoma"/>
            <family val="2"/>
          </rPr>
          <t>late goal @90+5'</t>
        </r>
      </text>
    </comment>
    <comment ref="Q54" authorId="3">
      <text>
        <r>
          <rPr>
            <b/>
            <sz val="9"/>
            <color indexed="81"/>
            <rFont val="Tahoma"/>
            <family val="2"/>
          </rPr>
          <t>-0.68</t>
        </r>
      </text>
    </comment>
    <comment ref="Q55" authorId="3">
      <text>
        <r>
          <rPr>
            <b/>
            <sz val="9"/>
            <color indexed="81"/>
            <rFont val="Tahoma"/>
            <family val="2"/>
          </rPr>
          <t>0.83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0.18</t>
        </r>
      </text>
    </comment>
    <comment ref="AS56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@7'</t>
        </r>
      </text>
    </comment>
    <comment ref="K57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3-1</t>
        </r>
      </text>
    </comment>
    <comment ref="AR59" authorId="6">
      <text>
        <r>
          <rPr>
            <b/>
            <sz val="9"/>
            <color indexed="81"/>
            <rFont val="Tahoma"/>
            <family val="2"/>
          </rPr>
          <t>early sub @ 37'</t>
        </r>
      </text>
    </comment>
    <comment ref="BG59" authorId="6">
      <text>
        <r>
          <rPr>
            <b/>
            <sz val="9"/>
            <color indexed="81"/>
            <rFont val="Tahoma"/>
            <family val="2"/>
          </rPr>
          <t>early sub @ 36'</t>
        </r>
      </text>
    </comment>
    <comment ref="K60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@87' when 0-2</t>
        </r>
      </text>
    </comment>
    <comment ref="A61" authorId="3">
      <text>
        <r>
          <rPr>
            <b/>
            <sz val="9"/>
            <color indexed="81"/>
            <rFont val="Tahoma"/>
            <family val="2"/>
          </rPr>
          <t>coach changed before this game</t>
        </r>
      </text>
    </comment>
    <comment ref="K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down to 10 men @22' when 0-1
OG @73' when 2-1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-0.15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62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sub @31'</t>
        </r>
      </text>
    </comment>
    <comment ref="K64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1-0</t>
        </r>
      </text>
    </comment>
    <comment ref="J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OG @1' when 0-0</t>
        </r>
      </text>
    </comment>
    <comment ref="K65" authorId="5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1-1</t>
        </r>
      </text>
    </comment>
  </commentList>
</comments>
</file>

<file path=xl/comments22.xml><?xml version="1.0" encoding="utf-8"?>
<comments xmlns="http://schemas.openxmlformats.org/spreadsheetml/2006/main">
  <authors>
    <author>Edmund</author>
    <author>zhangwenkang</author>
    <author>KAEMANKMCHAN</author>
    <author>wutieyun</author>
    <author>zhangbowen</author>
    <author>zhangrui</author>
  </authors>
  <commentList>
    <comment ref="T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9" authorId="1">
      <text>
        <r>
          <rPr>
            <b/>
            <sz val="9"/>
            <color indexed="81"/>
            <rFont val="Tahoma"/>
            <family val="2"/>
          </rPr>
          <t>CB/LM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X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I19" authorId="1">
      <text>
        <r>
          <rPr>
            <b/>
            <sz val="9"/>
            <color indexed="81"/>
            <rFont val="Tahoma"/>
            <family val="2"/>
          </rPr>
          <t>LW/CF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CM/RW</t>
        </r>
      </text>
    </comment>
    <comment ref="G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8"/>
            <color indexed="81"/>
            <rFont val="宋体"/>
            <family val="3"/>
            <charset val="134"/>
          </rPr>
          <t>金沢</t>
        </r>
      </text>
    </comment>
    <comment ref="J2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@90+3' when 0-0</t>
        </r>
      </text>
    </comment>
    <comment ref="Q29" authorId="1">
      <text>
        <r>
          <rPr>
            <b/>
            <sz val="9"/>
            <color indexed="81"/>
            <rFont val="Tahoma"/>
            <family val="2"/>
          </rPr>
          <t>-0.48</t>
        </r>
      </text>
    </comment>
    <comment ref="K3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0-1</t>
        </r>
      </text>
    </comment>
    <comment ref="J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@27' when 0-0
10 men @34' when Zweigen Kanazawa 1-0</t>
        </r>
      </text>
    </comment>
    <comment ref="K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@53' when Zweigen Kanazawa 2-1</t>
        </r>
      </text>
    </comment>
    <comment ref="AP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@34'</t>
        </r>
      </text>
    </comment>
    <comment ref="AZ34" authorId="3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34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@37'</t>
        </r>
      </text>
    </comment>
    <comment ref="K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0-4</t>
        </r>
      </text>
    </comment>
    <comment ref="AT37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SUB OUT @29'</t>
        </r>
      </text>
    </comment>
    <comment ref="J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10 men @90+2' when 0-4</t>
        </r>
      </text>
    </comment>
    <comment ref="Q38" authorId="1">
      <text>
        <r>
          <rPr>
            <b/>
            <sz val="9"/>
            <color indexed="81"/>
            <rFont val="Tahoma"/>
            <family val="2"/>
          </rPr>
          <t>-0.21</t>
        </r>
      </text>
    </comment>
    <comment ref="AT38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1 R @90+2'</t>
        </r>
      </text>
    </comment>
    <comment ref="J39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@87' when 2-2</t>
        </r>
      </text>
    </comment>
    <comment ref="J41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OG @19' when 0-0</t>
        </r>
      </text>
    </comment>
    <comment ref="AV41" authorId="3">
      <text>
        <r>
          <rPr>
            <b/>
            <sz val="9"/>
            <color indexed="81"/>
            <rFont val="Tahoma"/>
            <family val="2"/>
          </rPr>
          <t>from Cerezo Osaka</t>
        </r>
      </text>
    </comment>
    <comment ref="J42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1-0</t>
        </r>
      </text>
    </comment>
    <comment ref="S43" authorId="3">
      <text>
        <r>
          <rPr>
            <b/>
            <sz val="9"/>
            <color indexed="81"/>
            <rFont val="Tahoma"/>
            <family val="2"/>
          </rPr>
          <t>2.23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5" authorId="1">
      <text>
        <r>
          <rPr>
            <b/>
            <sz val="9"/>
            <color indexed="81"/>
            <rFont val="Tahoma"/>
            <family val="2"/>
          </rPr>
          <t>2.54</t>
        </r>
      </text>
    </comment>
    <comment ref="K46" authorId="1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@86' when 1-2</t>
        </r>
      </text>
    </comment>
    <comment ref="AW47" authorId="3">
      <text>
        <r>
          <rPr>
            <b/>
            <sz val="9"/>
            <color indexed="81"/>
            <rFont val="Tahoma"/>
            <family val="2"/>
          </rPr>
          <t>from Shimizu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0" authorId="3">
      <text>
        <r>
          <rPr>
            <b/>
            <sz val="9"/>
            <color indexed="81"/>
            <rFont val="Tahoma"/>
            <family val="2"/>
          </rPr>
          <t>-0.3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0" authorId="3">
      <text>
        <r>
          <rPr>
            <b/>
            <sz val="9"/>
            <color indexed="81"/>
            <rFont val="Tahoma"/>
            <family val="2"/>
          </rPr>
          <t>2.48</t>
        </r>
      </text>
    </comment>
    <comment ref="BN50" authorId="3">
      <text>
        <r>
          <rPr>
            <b/>
            <sz val="9"/>
            <color indexed="81"/>
            <rFont val="Tahoma"/>
            <family val="2"/>
          </rPr>
          <t>to Iwaki FC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1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early goal @1' when 0-0</t>
        </r>
      </text>
    </comment>
    <comment ref="BB52" authorId="3">
      <text>
        <r>
          <rPr>
            <b/>
            <sz val="9"/>
            <color indexed="81"/>
            <rFont val="Tahoma"/>
            <family val="2"/>
          </rPr>
          <t>early sub @22'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52" authorId="3">
      <text>
        <r>
          <rPr>
            <b/>
            <sz val="9"/>
            <color indexed="81"/>
            <rFont val="Tahoma"/>
            <family val="2"/>
          </rPr>
          <t>sub in @22'
sub out @66'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56" authorId="3">
      <text>
        <r>
          <rPr>
            <b/>
            <sz val="9"/>
            <color indexed="81"/>
            <rFont val="Tahoma"/>
            <family val="2"/>
          </rPr>
          <t>-0.83</t>
        </r>
      </text>
    </comment>
    <comment ref="Q59" authorId="3">
      <text>
        <r>
          <rPr>
            <b/>
            <sz val="9"/>
            <color indexed="81"/>
            <rFont val="Tahoma"/>
            <family val="2"/>
          </rPr>
          <t>-1.13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60" authorId="5">
      <text>
        <r>
          <rPr>
            <b/>
            <sz val="9"/>
            <color indexed="81"/>
            <rFont val="Tahoma"/>
            <family val="2"/>
          </rPr>
          <t>late goal @ 90+4'</t>
        </r>
      </text>
    </comment>
    <comment ref="Q62" authorId="3">
      <text>
        <r>
          <rPr>
            <b/>
            <sz val="9"/>
            <color indexed="81"/>
            <rFont val="Tahoma"/>
            <family val="2"/>
          </rPr>
          <t>-0.4</t>
        </r>
      </text>
    </comment>
    <comment ref="J63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@90+2' when 0-0</t>
        </r>
      </text>
    </comment>
    <comment ref="J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@87' when 3-0</t>
        </r>
      </text>
    </comment>
    <comment ref="K65" authorId="4">
      <text>
        <r>
          <rPr>
            <b/>
            <sz val="9"/>
            <color indexed="81"/>
            <rFont val="Tahoma"/>
            <family val="2"/>
          </rPr>
          <t>zhangbowen: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late goal @90+1' when 4-0</t>
        </r>
      </text>
    </comment>
  </commentList>
</comments>
</file>

<file path=xl/comments23.xml><?xml version="1.0" encoding="utf-8"?>
<comments xmlns="http://schemas.openxmlformats.org/spreadsheetml/2006/main">
  <authors>
    <author>Author</author>
  </authors>
  <commentList>
    <comment ref="J3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playersheet球员顺序换了要更新squad相应整行</t>
        </r>
      </text>
    </comment>
  </commentList>
</comments>
</file>

<file path=xl/comments24.xml><?xml version="1.0" encoding="utf-8"?>
<comments xmlns="http://schemas.openxmlformats.org/spreadsheetml/2006/main">
  <authors>
    <author>KAEMANKMCHAN</author>
    <author>Kaeman CHAN</author>
  </authors>
  <commentList>
    <comment ref="C1" authorId="0">
      <text>
        <r>
          <rPr>
            <b/>
            <sz val="8"/>
            <color indexed="81"/>
            <rFont val="Tahoma"/>
            <family val="2"/>
          </rPr>
          <t>KAEMANKMCHAN:</t>
        </r>
        <r>
          <rPr>
            <sz val="8"/>
            <color indexed="81"/>
            <rFont val="Tahoma"/>
            <family val="2"/>
          </rPr>
          <t xml:space="preserve">
type league code</t>
        </r>
      </text>
    </comment>
    <comment ref="AP3" authorId="1">
      <text>
        <r>
          <rPr>
            <b/>
            <sz val="8"/>
            <color indexed="81"/>
            <rFont val="Tahoma"/>
            <family val="2"/>
          </rPr>
          <t>Kaeman CHAN:</t>
        </r>
        <r>
          <rPr>
            <sz val="8"/>
            <color indexed="81"/>
            <rFont val="Tahoma"/>
            <family val="2"/>
          </rPr>
          <t xml:space="preserve">
no. of teams to be relegated</t>
        </r>
      </text>
    </comment>
    <comment ref="K4" authorId="0">
      <text>
        <r>
          <rPr>
            <sz val="12"/>
            <color indexed="81"/>
            <rFont val="Tahoma"/>
            <family val="2"/>
          </rPr>
          <t xml:space="preserve">"1" </t>
        </r>
        <r>
          <rPr>
            <sz val="10"/>
            <color indexed="81"/>
            <rFont val="Tahoma"/>
            <family val="2"/>
          </rPr>
          <t xml:space="preserve">for most of the leagues but </t>
        </r>
        <r>
          <rPr>
            <sz val="14"/>
            <color indexed="81"/>
            <rFont val="Tahoma"/>
            <family val="2"/>
          </rPr>
          <t>"19/11"</t>
        </r>
        <r>
          <rPr>
            <sz val="10"/>
            <color indexed="81"/>
            <rFont val="Tahoma"/>
            <family val="2"/>
          </rPr>
          <t xml:space="preserve"> for Scotland (only if its system remained as in 2004-05)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5" authorId="1">
      <text>
        <r>
          <rPr>
            <b/>
            <sz val="8"/>
            <color indexed="81"/>
            <rFont val="Tahoma"/>
            <family val="2"/>
          </rPr>
          <t>Kaeman CHAN:</t>
        </r>
        <r>
          <rPr>
            <sz val="8"/>
            <color indexed="81"/>
            <rFont val="Tahoma"/>
            <family val="2"/>
          </rPr>
          <t xml:space="preserve">
no. of teams go to relgation playoff
</t>
        </r>
      </text>
    </comment>
    <comment ref="C37" authorId="0">
      <text>
        <r>
          <rPr>
            <b/>
            <sz val="8"/>
            <color indexed="81"/>
            <rFont val="Tahoma"/>
            <family val="2"/>
          </rPr>
          <t>fill in the "worksheet" name of each team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37" authorId="0">
      <text>
        <r>
          <rPr>
            <b/>
            <sz val="8"/>
            <color indexed="81"/>
            <rFont val="Tahoma"/>
            <family val="2"/>
          </rPr>
          <t>delete the"Y" for those teams to be excluded from analysis (the exclusion will not affect the table and the overall analysis)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KAEMANKMCHAN</author>
  </authors>
  <commentList>
    <comment ref="U6" authorId="0">
      <text>
        <r>
          <rPr>
            <b/>
            <sz val="8"/>
            <color indexed="81"/>
            <rFont val="Tahoma"/>
            <family val="2"/>
          </rPr>
          <t>KAEMANKMCHAN: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put in the handicap line to be checked</t>
        </r>
      </text>
    </comment>
  </commentList>
</comments>
</file>

<file path=xl/comments26.xml><?xml version="1.0" encoding="utf-8"?>
<comments xmlns="http://schemas.openxmlformats.org/spreadsheetml/2006/main">
  <authors>
    <author>KAEMANKMCHAN</author>
  </authors>
  <commentList>
    <comment ref="Q1" authorId="0">
      <text>
        <r>
          <rPr>
            <b/>
            <sz val="8"/>
            <color indexed="81"/>
            <rFont val="Tahoma"/>
            <family val="2"/>
          </rPr>
          <t>Change HiLo line here [1.5];[2.5],[3.5].... etc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7.xml><?xml version="1.0" encoding="utf-8"?>
<comments xmlns="http://schemas.openxmlformats.org/spreadsheetml/2006/main">
  <authors>
    <author>Edmund</author>
    <author>KAEMANKMCHAN</author>
  </authors>
  <commentList>
    <comment ref="A1" authorId="0">
      <text>
        <r>
          <rPr>
            <b/>
            <sz val="12"/>
            <color indexed="81"/>
            <rFont val="Tahoma"/>
            <family val="2"/>
          </rPr>
          <t>KEJ: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10"/>
            <rFont val="Tahoma"/>
            <family val="2"/>
          </rPr>
          <t>Don't change this cell!!!</t>
        </r>
      </text>
    </comment>
    <comment ref="C2" authorId="0">
      <text>
        <r>
          <rPr>
            <b/>
            <sz val="12"/>
            <color indexed="81"/>
            <rFont val="Tahoma"/>
            <family val="2"/>
          </rPr>
          <t>KEJ: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10"/>
            <rFont val="Tahoma"/>
            <family val="2"/>
          </rPr>
          <t>Don't change this cell!!!</t>
        </r>
      </text>
    </comment>
    <comment ref="AC2" authorId="1">
      <text>
        <r>
          <rPr>
            <b/>
            <sz val="8"/>
            <color indexed="81"/>
            <rFont val="Tahoma"/>
            <family val="2"/>
          </rPr>
          <t>Type "Hi" or "Lo"</t>
        </r>
      </text>
    </comment>
    <comment ref="B32" authorId="1">
      <text>
        <r>
          <rPr>
            <sz val="10"/>
            <color indexed="81"/>
            <rFont val="Tahoma"/>
            <family val="2"/>
          </rPr>
          <t>Change the cell "AC2" for switching between Hi and Lo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7" authorId="1">
      <text>
        <r>
          <rPr>
            <sz val="10"/>
            <color indexed="81"/>
            <rFont val="Tahoma"/>
            <family val="2"/>
          </rPr>
          <t>Change the cell "AC2" for switching between Hi and Lo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<sst xmlns="http://schemas.openxmlformats.org/spreadsheetml/2006/main" count="43624" uniqueCount="3612">
  <si>
    <t>Team</t>
  </si>
  <si>
    <t>Played</t>
  </si>
  <si>
    <t>W</t>
  </si>
  <si>
    <t>D</t>
  </si>
  <si>
    <t>L</t>
  </si>
  <si>
    <t>Pt</t>
  </si>
  <si>
    <t>A. Pt</t>
  </si>
  <si>
    <t>HDC</t>
  </si>
  <si>
    <t>A. HDC</t>
  </si>
  <si>
    <t>GS</t>
  </si>
  <si>
    <t>A. GS</t>
  </si>
  <si>
    <t>GC</t>
  </si>
  <si>
    <t>A. GC</t>
  </si>
  <si>
    <t>Position</t>
  </si>
  <si>
    <t>Date</t>
  </si>
  <si>
    <t>H/A</t>
  </si>
  <si>
    <t>Comp</t>
  </si>
  <si>
    <t>F</t>
  </si>
  <si>
    <t>A</t>
  </si>
  <si>
    <t>Total</t>
  </si>
  <si>
    <t>u/o</t>
  </si>
  <si>
    <t>Player Count</t>
  </si>
  <si>
    <t>H</t>
  </si>
  <si>
    <t>UEL</t>
  </si>
  <si>
    <t>No</t>
  </si>
  <si>
    <t>Paste Here</t>
  </si>
  <si>
    <t>Don't Paste Here</t>
  </si>
  <si>
    <t>Pos</t>
  </si>
  <si>
    <t>Team:</t>
  </si>
  <si>
    <t>Pos.</t>
  </si>
  <si>
    <t>No.</t>
  </si>
  <si>
    <t>Name</t>
  </si>
  <si>
    <t/>
  </si>
  <si>
    <t>Check</t>
  </si>
  <si>
    <t>X</t>
  </si>
  <si>
    <t>X-</t>
  </si>
  <si>
    <t>s</t>
  </si>
  <si>
    <t>Sub Up-Down</t>
  </si>
  <si>
    <t>Goal Check</t>
  </si>
  <si>
    <t>UCL</t>
  </si>
  <si>
    <t>Comp:</t>
    <phoneticPr fontId="8" type="noConversion"/>
  </si>
  <si>
    <t>Played:</t>
    <phoneticPr fontId="8" type="noConversion"/>
  </si>
  <si>
    <t>WHICH</t>
    <phoneticPr fontId="8" type="noConversion"/>
  </si>
  <si>
    <t>No. of Team</t>
    <phoneticPr fontId="8" type="noConversion"/>
  </si>
  <si>
    <t>CAN</t>
  </si>
  <si>
    <t>No. of times of each team plays each other Home and Away</t>
    <phoneticPr fontId="8" type="noConversion"/>
  </si>
  <si>
    <t>THEY</t>
  </si>
  <si>
    <t>Relegate</t>
    <phoneticPr fontId="8" type="noConversion"/>
  </si>
  <si>
    <t>Table by Team Position</t>
    <phoneticPr fontId="8" type="noConversion"/>
  </si>
  <si>
    <t>STILL</t>
  </si>
  <si>
    <t>WIN</t>
  </si>
  <si>
    <t>Relegation</t>
    <phoneticPr fontId="8" type="noConversion"/>
  </si>
  <si>
    <t>Name</t>
    <phoneticPr fontId="8" type="noConversion"/>
  </si>
  <si>
    <t>H</t>
    <phoneticPr fontId="8" type="noConversion"/>
  </si>
  <si>
    <t>A</t>
    <phoneticPr fontId="8" type="noConversion"/>
  </si>
  <si>
    <t>Overall</t>
    <phoneticPr fontId="8" type="noConversion"/>
  </si>
  <si>
    <t>Checking</t>
    <phoneticPr fontId="8" type="noConversion"/>
  </si>
  <si>
    <t>LEAGUE?</t>
  </si>
  <si>
    <t>Playoff</t>
    <phoneticPr fontId="8" type="noConversion"/>
  </si>
  <si>
    <t>Pos</t>
    <phoneticPr fontId="8" type="noConversion"/>
  </si>
  <si>
    <t>Team</t>
    <phoneticPr fontId="8" type="noConversion"/>
  </si>
  <si>
    <t>Sheet</t>
    <phoneticPr fontId="8" type="noConversion"/>
  </si>
  <si>
    <t>Ply</t>
    <phoneticPr fontId="8" type="noConversion"/>
  </si>
  <si>
    <t>W</t>
    <phoneticPr fontId="8" type="noConversion"/>
  </si>
  <si>
    <t>D</t>
    <phoneticPr fontId="8" type="noConversion"/>
  </si>
  <si>
    <t>L</t>
    <phoneticPr fontId="8" type="noConversion"/>
  </si>
  <si>
    <t>F</t>
    <phoneticPr fontId="8" type="noConversion"/>
  </si>
  <si>
    <t>Diff</t>
    <phoneticPr fontId="8" type="noConversion"/>
  </si>
  <si>
    <t>Pts</t>
    <phoneticPr fontId="8" type="noConversion"/>
  </si>
  <si>
    <t>(MAX Points)</t>
    <phoneticPr fontId="8" type="noConversion"/>
  </si>
  <si>
    <t>?</t>
    <phoneticPr fontId="8" type="noConversion"/>
  </si>
  <si>
    <t>Relegation</t>
  </si>
  <si>
    <t>Table by Team Name</t>
    <phoneticPr fontId="8" type="noConversion"/>
  </si>
  <si>
    <t>Excluded</t>
    <phoneticPr fontId="8" type="noConversion"/>
  </si>
  <si>
    <t>3W+1X+AB/100+Z/100000</t>
    <phoneticPr fontId="8" type="noConversion"/>
  </si>
  <si>
    <t>Team(s)</t>
    <phoneticPr fontId="8" type="noConversion"/>
  </si>
  <si>
    <t>Summary of HiLo (O/U)</t>
    <phoneticPr fontId="8" type="noConversion"/>
  </si>
  <si>
    <t>HiLo Line</t>
    <phoneticPr fontId="8" type="noConversion"/>
  </si>
  <si>
    <t>By TG</t>
    <phoneticPr fontId="8" type="noConversion"/>
  </si>
  <si>
    <t xml:space="preserve">Total Goal </t>
    <phoneticPr fontId="8" type="noConversion"/>
  </si>
  <si>
    <t>H</t>
    <phoneticPr fontId="0" type="noConversion"/>
  </si>
  <si>
    <t>A</t>
    <phoneticPr fontId="0" type="noConversion"/>
  </si>
  <si>
    <t>Overall</t>
    <phoneticPr fontId="0" type="noConversion"/>
  </si>
  <si>
    <t>Ranking</t>
    <phoneticPr fontId="8" type="noConversion"/>
  </si>
  <si>
    <t>TEAM</t>
    <phoneticPr fontId="8" type="noConversion"/>
  </si>
  <si>
    <t>O</t>
    <phoneticPr fontId="0" type="noConversion"/>
  </si>
  <si>
    <t>U</t>
    <phoneticPr fontId="8" type="noConversion"/>
  </si>
  <si>
    <t>Goal</t>
    <phoneticPr fontId="8" type="noConversion"/>
  </si>
  <si>
    <t>Draw</t>
    <phoneticPr fontId="8" type="noConversion"/>
  </si>
  <si>
    <t>ply</t>
    <phoneticPr fontId="8" type="noConversion"/>
  </si>
  <si>
    <t>%</t>
    <phoneticPr fontId="8" type="noConversion"/>
  </si>
  <si>
    <t>%</t>
  </si>
  <si>
    <t>Av G</t>
  </si>
  <si>
    <t>By League Position</t>
    <phoneticPr fontId="8" type="noConversion"/>
  </si>
  <si>
    <t>Total Goal</t>
    <phoneticPr fontId="8" type="noConversion"/>
  </si>
  <si>
    <t>SHEET</t>
    <phoneticPr fontId="8" type="noConversion"/>
  </si>
  <si>
    <t>Av G</t>
    <phoneticPr fontId="8" type="noConversion"/>
  </si>
  <si>
    <t>Average</t>
    <phoneticPr fontId="8" type="noConversion"/>
  </si>
  <si>
    <t>Selected Teams excluded (Please go to the cells AO38 to AO61 in "Table" sheet to select the excluded teams)</t>
    <phoneticPr fontId="8" type="noConversion"/>
  </si>
  <si>
    <t>Percentage of HAD</t>
    <phoneticPr fontId="8" type="noConversion"/>
  </si>
  <si>
    <t>H</t>
    <phoneticPr fontId="8" type="noConversion"/>
  </si>
  <si>
    <t>A</t>
    <phoneticPr fontId="8" type="noConversion"/>
  </si>
  <si>
    <t>Overall</t>
    <phoneticPr fontId="8" type="noConversion"/>
  </si>
  <si>
    <t xml:space="preserve"> </t>
    <phoneticPr fontId="8" type="noConversion"/>
  </si>
  <si>
    <t>Pos</t>
    <phoneticPr fontId="8" type="noConversion"/>
  </si>
  <si>
    <t>Team</t>
    <phoneticPr fontId="8" type="noConversion"/>
  </si>
  <si>
    <t>W</t>
    <phoneticPr fontId="8" type="noConversion"/>
  </si>
  <si>
    <t>D</t>
    <phoneticPr fontId="8" type="noConversion"/>
  </si>
  <si>
    <t>L</t>
    <phoneticPr fontId="8" type="noConversion"/>
  </si>
  <si>
    <t>F</t>
    <phoneticPr fontId="8" type="noConversion"/>
  </si>
  <si>
    <t>GT (F+A)</t>
    <phoneticPr fontId="8" type="noConversion"/>
  </si>
  <si>
    <t>GD (F-A)</t>
    <phoneticPr fontId="8" type="noConversion"/>
  </si>
  <si>
    <t>(HGD-AGD)/2</t>
    <phoneticPr fontId="8" type="noConversion"/>
  </si>
  <si>
    <t>HAD with Selected Teams Excluded (Please go to the cells AO38 to AO61 in "Table" sheet to select the excluded teams)</t>
    <phoneticPr fontId="8" type="noConversion"/>
  </si>
  <si>
    <t>Played</t>
    <phoneticPr fontId="8" type="noConversion"/>
  </si>
  <si>
    <t>Total</t>
    <phoneticPr fontId="8" type="noConversion"/>
  </si>
  <si>
    <t>Team Sheet</t>
    <phoneticPr fontId="8" type="noConversion"/>
  </si>
  <si>
    <t>Team No</t>
    <phoneticPr fontId="8" type="noConversion"/>
  </si>
  <si>
    <t>Summary of Handicap</t>
    <phoneticPr fontId="8" type="noConversion"/>
  </si>
  <si>
    <t>Position</t>
    <phoneticPr fontId="8" type="noConversion"/>
  </si>
  <si>
    <t>HD</t>
    <phoneticPr fontId="8" type="noConversion"/>
  </si>
  <si>
    <t>Overall</t>
  </si>
  <si>
    <t>HD Line</t>
    <phoneticPr fontId="8" type="noConversion"/>
  </si>
  <si>
    <t>Freq</t>
    <phoneticPr fontId="0" type="noConversion"/>
  </si>
  <si>
    <t>Vs HD</t>
    <phoneticPr fontId="8" type="noConversion"/>
  </si>
  <si>
    <t>Freq</t>
  </si>
  <si>
    <t>Vs HD</t>
  </si>
  <si>
    <t>2010-2011</t>
  </si>
  <si>
    <t>VRS</t>
  </si>
  <si>
    <t>2-1</t>
    <phoneticPr fontId="8" type="noConversion"/>
  </si>
  <si>
    <t>3-0</t>
    <phoneticPr fontId="8" type="noConversion"/>
  </si>
  <si>
    <t>3-2</t>
    <phoneticPr fontId="8" type="noConversion"/>
  </si>
  <si>
    <t>4-0</t>
    <phoneticPr fontId="8" type="noConversion"/>
  </si>
  <si>
    <t>4-1</t>
    <phoneticPr fontId="8" type="noConversion"/>
  </si>
  <si>
    <t>4-2</t>
    <phoneticPr fontId="8" type="noConversion"/>
  </si>
  <si>
    <t>5-0</t>
    <phoneticPr fontId="8" type="noConversion"/>
  </si>
  <si>
    <t>5-1</t>
    <phoneticPr fontId="8" type="noConversion"/>
  </si>
  <si>
    <t>5-2</t>
    <phoneticPr fontId="8" type="noConversion"/>
  </si>
  <si>
    <t>HO</t>
    <phoneticPr fontId="8" type="noConversion"/>
  </si>
  <si>
    <t>0-0</t>
    <phoneticPr fontId="8" type="noConversion"/>
  </si>
  <si>
    <t>1-1</t>
    <phoneticPr fontId="8" type="noConversion"/>
  </si>
  <si>
    <t>2-2</t>
    <phoneticPr fontId="8" type="noConversion"/>
  </si>
  <si>
    <t>3-3</t>
    <phoneticPr fontId="8" type="noConversion"/>
  </si>
  <si>
    <t>DO</t>
    <phoneticPr fontId="8" type="noConversion"/>
  </si>
  <si>
    <t>0-1</t>
    <phoneticPr fontId="8" type="noConversion"/>
  </si>
  <si>
    <t>0-2</t>
    <phoneticPr fontId="8" type="noConversion"/>
  </si>
  <si>
    <t>1-2</t>
    <phoneticPr fontId="8" type="noConversion"/>
  </si>
  <si>
    <t>0-3</t>
    <phoneticPr fontId="8" type="noConversion"/>
  </si>
  <si>
    <t>1-3</t>
    <phoneticPr fontId="8" type="noConversion"/>
  </si>
  <si>
    <t>2-3</t>
    <phoneticPr fontId="8" type="noConversion"/>
  </si>
  <si>
    <t>0-4</t>
    <phoneticPr fontId="8" type="noConversion"/>
  </si>
  <si>
    <t>1-4</t>
    <phoneticPr fontId="8" type="noConversion"/>
  </si>
  <si>
    <t>2-4</t>
    <phoneticPr fontId="8" type="noConversion"/>
  </si>
  <si>
    <t>0-5</t>
    <phoneticPr fontId="8" type="noConversion"/>
  </si>
  <si>
    <t>1-5</t>
    <phoneticPr fontId="8" type="noConversion"/>
  </si>
  <si>
    <t>2-5</t>
    <phoneticPr fontId="8" type="noConversion"/>
  </si>
  <si>
    <t>AO</t>
    <phoneticPr fontId="8" type="noConversion"/>
  </si>
  <si>
    <t>3-1</t>
  </si>
  <si>
    <t>1-0</t>
  </si>
  <si>
    <t>2-0</t>
  </si>
  <si>
    <t>Team no.</t>
    <phoneticPr fontId="15" type="noConversion"/>
  </si>
  <si>
    <t xml:space="preserve">Summary of HHAD </t>
    <phoneticPr fontId="8" type="noConversion"/>
  </si>
  <si>
    <t>H</t>
    <phoneticPr fontId="2" type="noConversion"/>
  </si>
  <si>
    <t>A</t>
    <phoneticPr fontId="2" type="noConversion"/>
  </si>
  <si>
    <t>Overall</t>
    <phoneticPr fontId="2" type="noConversion"/>
  </si>
  <si>
    <t>HHAD</t>
    <phoneticPr fontId="8" type="noConversion"/>
  </si>
  <si>
    <t>Ttl (H)</t>
    <phoneticPr fontId="15" type="noConversion"/>
  </si>
  <si>
    <t>Ttl (A)</t>
    <phoneticPr fontId="15" type="noConversion"/>
  </si>
  <si>
    <t>Total</t>
    <phoneticPr fontId="15" type="noConversion"/>
  </si>
  <si>
    <t>Summary of Team's HHAD Performance- inlc [0], [1] &amp; [2])</t>
    <phoneticPr fontId="8" type="noConversion"/>
  </si>
  <si>
    <t>Sheets</t>
    <phoneticPr fontId="15" type="noConversion"/>
  </si>
  <si>
    <t>Tot (H)</t>
    <phoneticPr fontId="15" type="noConversion"/>
  </si>
  <si>
    <t>Tot (A)</t>
    <phoneticPr fontId="15" type="noConversion"/>
  </si>
  <si>
    <t>"'"&amp;$c47&amp;"'!</t>
  </si>
  <si>
    <t>TTG Matrix</t>
    <phoneticPr fontId="8" type="noConversion"/>
  </si>
  <si>
    <t>Away</t>
    <phoneticPr fontId="8" type="noConversion"/>
  </si>
  <si>
    <t>League Position</t>
    <phoneticPr fontId="8" type="noConversion"/>
  </si>
  <si>
    <t>Lo</t>
    <phoneticPr fontId="8" type="noConversion"/>
  </si>
  <si>
    <t>Av. Home F</t>
    <phoneticPr fontId="8" type="noConversion"/>
  </si>
  <si>
    <t>Av. Home A</t>
    <phoneticPr fontId="8" type="noConversion"/>
  </si>
  <si>
    <t>Av. Home TG</t>
    <phoneticPr fontId="8" type="noConversion"/>
  </si>
  <si>
    <t>Home</t>
    <phoneticPr fontId="8" type="noConversion"/>
  </si>
  <si>
    <t>HDC</t>
    <phoneticPr fontId="8" type="noConversion"/>
  </si>
  <si>
    <t>1 -1.5</t>
    <phoneticPr fontId="8" type="noConversion"/>
  </si>
  <si>
    <t>&gt;=1.75</t>
    <phoneticPr fontId="8" type="noConversion"/>
  </si>
  <si>
    <t>Away F</t>
    <phoneticPr fontId="8" type="noConversion"/>
  </si>
  <si>
    <t>Away A</t>
    <phoneticPr fontId="8" type="noConversion"/>
  </si>
  <si>
    <t>Hi</t>
    <phoneticPr fontId="8" type="noConversion"/>
  </si>
  <si>
    <t>Away TG</t>
    <phoneticPr fontId="8" type="noConversion"/>
  </si>
  <si>
    <t>Total F</t>
    <phoneticPr fontId="8" type="noConversion"/>
  </si>
  <si>
    <t>Total A</t>
    <phoneticPr fontId="8" type="noConversion"/>
  </si>
  <si>
    <t>TG</t>
    <phoneticPr fontId="8" type="noConversion"/>
  </si>
  <si>
    <t>HDC Line Matrix</t>
    <phoneticPr fontId="8" type="noConversion"/>
  </si>
  <si>
    <t>vs HDC</t>
  </si>
  <si>
    <t>home</t>
    <phoneticPr fontId="8" type="noConversion"/>
  </si>
  <si>
    <t>away</t>
    <phoneticPr fontId="8" type="noConversion"/>
  </si>
  <si>
    <t>draw</t>
    <phoneticPr fontId="8" type="noConversion"/>
  </si>
  <si>
    <t>vs HDC Matrix</t>
    <phoneticPr fontId="8" type="noConversion"/>
  </si>
  <si>
    <t>Home HDC Result</t>
    <phoneticPr fontId="8" type="noConversion"/>
  </si>
  <si>
    <t>Away HDC Result</t>
    <phoneticPr fontId="8" type="noConversion"/>
  </si>
  <si>
    <t>G</t>
  </si>
  <si>
    <t>M</t>
  </si>
  <si>
    <t>Alex</t>
  </si>
  <si>
    <t>Played:</t>
  </si>
  <si>
    <t>matches per team</t>
  </si>
  <si>
    <t>Comp:</t>
  </si>
  <si>
    <t>-</t>
  </si>
  <si>
    <t>Sheet</t>
  </si>
  <si>
    <t>score &amp; yellow card &amp; RED CARD</t>
  </si>
  <si>
    <t>1 or 1y or r</t>
  </si>
  <si>
    <t>Sup</t>
  </si>
  <si>
    <t>Vs Sup</t>
  </si>
  <si>
    <t>TTG</t>
  </si>
  <si>
    <t>Vs TTG</t>
  </si>
  <si>
    <t>Sat</t>
  </si>
  <si>
    <t>Tue</t>
  </si>
  <si>
    <t>Niklas Backman</t>
  </si>
  <si>
    <t>Back</t>
  </si>
  <si>
    <t>Per Karlsson</t>
  </si>
  <si>
    <t>Nils-Eric Johansson</t>
  </si>
  <si>
    <t>Robert Åhman Persson</t>
  </si>
  <si>
    <t>Mittfältare</t>
  </si>
  <si>
    <t>Alexander Milošević</t>
  </si>
  <si>
    <t>Helgi Daníelsson</t>
  </si>
  <si>
    <t>Daniel Tjernström</t>
  </si>
  <si>
    <t>Martin Kayongo-Mutumba</t>
  </si>
  <si>
    <t>Celso Borges</t>
  </si>
  <si>
    <t>Forward</t>
  </si>
  <si>
    <t>Lalawélé Atakora</t>
  </si>
  <si>
    <t>Christian Kouakou</t>
  </si>
  <si>
    <t>Kyriakos Stamatopoulos</t>
  </si>
  <si>
    <t>Målvakt</t>
  </si>
  <si>
    <t>Robin Quaison</t>
  </si>
  <si>
    <t>Martin Lorentzson</t>
  </si>
  <si>
    <t>Sal Jobarteh</t>
  </si>
  <si>
    <t>Nicklas Maripuu</t>
  </si>
  <si>
    <t>Alhassan Kamara</t>
  </si>
  <si>
    <t>Pontus Engblom</t>
  </si>
  <si>
    <t>Kwame Amponsah Karikari</t>
  </si>
  <si>
    <t>Edward Owusu</t>
  </si>
  <si>
    <t>Daniel Gustavsson</t>
  </si>
  <si>
    <t>Ivan Turina</t>
  </si>
  <si>
    <t>Viktor Lundberg</t>
  </si>
  <si>
    <t>Gabriel Özkan</t>
  </si>
  <si>
    <t>Henrik Gustavsson</t>
  </si>
  <si>
    <t>Gustav Jansson</t>
  </si>
  <si>
    <t>Allan Olesen</t>
  </si>
  <si>
    <t>Erik Moberg</t>
  </si>
  <si>
    <t>George Tanzi</t>
  </si>
  <si>
    <t>Daniel Hallingström</t>
  </si>
  <si>
    <t>Alberis da Silva</t>
  </si>
  <si>
    <t>Andreas Johansson</t>
  </si>
  <si>
    <t>Jesper Arvidsson</t>
  </si>
  <si>
    <t>Anton Tinnerholm</t>
  </si>
  <si>
    <t>Tom Pettersson</t>
  </si>
  <si>
    <t>Kristian Bergström</t>
  </si>
  <si>
    <t>Christoffer Karlsson</t>
  </si>
  <si>
    <t>Petrit Zhubi</t>
  </si>
  <si>
    <t>Tobias Nilsson</t>
  </si>
  <si>
    <t>Bruno Marinho</t>
  </si>
  <si>
    <t>Alain Junior Ollé Ollé</t>
  </si>
  <si>
    <t>Amir Suljic</t>
  </si>
  <si>
    <t>Emmanuel Dogbe</t>
  </si>
  <si>
    <t>Viktor Prodell</t>
  </si>
  <si>
    <t>Oscar Möller</t>
  </si>
  <si>
    <t>Mattias Mete</t>
  </si>
  <si>
    <t>Magnus Eriksson</t>
  </si>
  <si>
    <t>Målvakter</t>
  </si>
  <si>
    <t>Kasper Jensen</t>
  </si>
  <si>
    <t>Tommi Vaiho</t>
  </si>
  <si>
    <t>Försvar</t>
  </si>
  <si>
    <t>Joona Toivio</t>
  </si>
  <si>
    <t>Marc Pedersen</t>
  </si>
  <si>
    <t>Petter Gustafsson</t>
  </si>
  <si>
    <t>Peter Nymann</t>
  </si>
  <si>
    <t>Emil Bergström</t>
  </si>
  <si>
    <t>Kebba Ceesay</t>
  </si>
  <si>
    <t>Joel Riddez</t>
  </si>
  <si>
    <t>Andreas Dahlén</t>
  </si>
  <si>
    <t>Daniel Jarl</t>
  </si>
  <si>
    <t>Mittfält</t>
  </si>
  <si>
    <t>Yussif Chibsah</t>
  </si>
  <si>
    <t>Martin Broberg</t>
  </si>
  <si>
    <t>Christer Youssef</t>
  </si>
  <si>
    <t>Daniel Sjölund</t>
  </si>
  <si>
    <t>Brian Span</t>
  </si>
  <si>
    <t>Kasper Hämäläinen</t>
  </si>
  <si>
    <t>Nahir Oyal</t>
  </si>
  <si>
    <t>Philip Hellquist</t>
  </si>
  <si>
    <t>Sebastian Rajalakso</t>
  </si>
  <si>
    <t>Yosif Ayuba</t>
  </si>
  <si>
    <t>Anfall</t>
  </si>
  <si>
    <t>James Keene</t>
  </si>
  <si>
    <t>Ricardo Santos</t>
  </si>
  <si>
    <t>Kennedy Igboananike</t>
  </si>
  <si>
    <t>Christoffer Matwiejew</t>
  </si>
  <si>
    <t>Simon Tibbling</t>
  </si>
  <si>
    <t>Niklas Pentillä</t>
  </si>
  <si>
    <t>Adam Kasa</t>
  </si>
  <si>
    <t>Philip Sparrdal Mantilla</t>
  </si>
  <si>
    <t>Trimi Makolli</t>
  </si>
  <si>
    <t>K. Stamatopoulos</t>
  </si>
  <si>
    <t>I. Turina</t>
  </si>
  <si>
    <t>L. Baxter</t>
  </si>
  <si>
    <t>N. Backman</t>
  </si>
  <si>
    <t>P. Karlsson</t>
  </si>
  <si>
    <t>N. Johansson</t>
  </si>
  <si>
    <t>A. Milosevic</t>
  </si>
  <si>
    <t>M. Lorentzson</t>
  </si>
  <si>
    <t>E. Owusu</t>
  </si>
  <si>
    <t>R. Persson</t>
  </si>
  <si>
    <t>H. Danielsson</t>
  </si>
  <si>
    <t>D. Tjernström</t>
  </si>
  <si>
    <t>M. Mutumba</t>
  </si>
  <si>
    <t>C. Borges</t>
  </si>
  <si>
    <t>A. Lalawelé</t>
  </si>
  <si>
    <t>R. Quaison</t>
  </si>
  <si>
    <t>S. Jobarteh</t>
  </si>
  <si>
    <t>N. Maripuu</t>
  </si>
  <si>
    <t>D. Gustavsson</t>
  </si>
  <si>
    <t>V. Lundberg</t>
  </si>
  <si>
    <t>G. Özkan</t>
  </si>
  <si>
    <t>C. Kouakou</t>
  </si>
  <si>
    <t>A. Kamara</t>
  </si>
  <si>
    <t>P. Engblom</t>
  </si>
  <si>
    <t>H. Gustavsson</t>
  </si>
  <si>
    <t>G. Jansson</t>
  </si>
  <si>
    <t>A. Olesen</t>
  </si>
  <si>
    <t>E. Moberg</t>
  </si>
  <si>
    <t>D. Hallingström</t>
  </si>
  <si>
    <t>Alberis Silva</t>
  </si>
  <si>
    <t>A. Johansson</t>
  </si>
  <si>
    <t>J. Arvidsson</t>
  </si>
  <si>
    <t>A. Tinnerholm</t>
  </si>
  <si>
    <t>T. Pettersson</t>
  </si>
  <si>
    <t>G. Tanzi</t>
  </si>
  <si>
    <t>K. Bergström</t>
  </si>
  <si>
    <t>C. Karlsson</t>
  </si>
  <si>
    <t>T. Nilsson</t>
  </si>
  <si>
    <t>Marinho</t>
  </si>
  <si>
    <t>A. Ollé Ollé</t>
  </si>
  <si>
    <t>A. Suljic</t>
  </si>
  <si>
    <t>E. Dogbe</t>
  </si>
  <si>
    <t>V. Prodell</t>
  </si>
  <si>
    <t>O. Moller</t>
  </si>
  <si>
    <t>M. Mete</t>
  </si>
  <si>
    <t>M. Eriksson</t>
  </si>
  <si>
    <t>K. Jensen</t>
  </si>
  <si>
    <t>C. Matwiejew</t>
  </si>
  <si>
    <t>T. Vaiho</t>
  </si>
  <si>
    <t>J. Toivio</t>
  </si>
  <si>
    <t>P. Gustafsson</t>
  </si>
  <si>
    <t>E. Bergström</t>
  </si>
  <si>
    <t>K. Ceesay</t>
  </si>
  <si>
    <t>J. Riddez</t>
  </si>
  <si>
    <t>D. Jarl</t>
  </si>
  <si>
    <t>P. Sparrdal-Mantilla</t>
  </si>
  <si>
    <t>F. Espling</t>
  </si>
  <si>
    <t>Y. Chibsah</t>
  </si>
  <si>
    <t>P. Nymann</t>
  </si>
  <si>
    <t>D. Sjölund</t>
  </si>
  <si>
    <t>B. Span</t>
  </si>
  <si>
    <t>K. Hämäläinen</t>
  </si>
  <si>
    <t>N. Oyal</t>
  </si>
  <si>
    <t>A. Dahlén</t>
  </si>
  <si>
    <t>P. Hellquist</t>
  </si>
  <si>
    <t>S. Rajalakso</t>
  </si>
  <si>
    <t>S. Tibbling</t>
  </si>
  <si>
    <t>T. Makolli</t>
  </si>
  <si>
    <t>M. Broberg</t>
  </si>
  <si>
    <t>J. Keene</t>
  </si>
  <si>
    <t>C. Youssef</t>
  </si>
  <si>
    <t>K. Igboananike</t>
  </si>
  <si>
    <t>I. Fofanah</t>
  </si>
  <si>
    <t>Y. Ayuba</t>
  </si>
  <si>
    <t>K. Stuhr-Ellegaard</t>
  </si>
  <si>
    <t>K. Høie</t>
  </si>
  <si>
    <t>A. Andersson</t>
  </si>
  <si>
    <t>S. Fridgeirsson</t>
  </si>
  <si>
    <t>S. Larsson</t>
  </si>
  <si>
    <t>M. Andersson</t>
  </si>
  <si>
    <t>J. Jönsson</t>
  </si>
  <si>
    <t>S. Holmén</t>
  </si>
  <si>
    <t>A. Klarstrom</t>
  </si>
  <si>
    <t>S. Hedlund</t>
  </si>
  <si>
    <t>C. Wede</t>
  </si>
  <si>
    <t>A. Augustsson</t>
  </si>
  <si>
    <t>J. Jørgensen</t>
  </si>
  <si>
    <t>J. Larsson</t>
  </si>
  <si>
    <t>A. Svensson</t>
  </si>
  <si>
    <t>D. Mobaeck</t>
  </si>
  <si>
    <t>O. Hiljemark</t>
  </si>
  <si>
    <t>V. Claesson</t>
  </si>
  <si>
    <t>N. Hult</t>
  </si>
  <si>
    <t>S. Ishizaki</t>
  </si>
  <si>
    <t>M. Rohdén</t>
  </si>
  <si>
    <t>L. Nilsson</t>
  </si>
  <si>
    <t>D. Elm</t>
  </si>
  <si>
    <t>A. Jawo</t>
  </si>
  <si>
    <t>M. Abdulrahman</t>
  </si>
  <si>
    <t>D. Jankulovski</t>
  </si>
  <si>
    <t>H. Sillanpää</t>
  </si>
  <si>
    <t>K. Videhult</t>
  </si>
  <si>
    <t>R. Ekunde</t>
  </si>
  <si>
    <t>M. Mujcic</t>
  </si>
  <si>
    <t>J. Tamandi</t>
  </si>
  <si>
    <t>C. Angus</t>
  </si>
  <si>
    <t>E. Johansson</t>
  </si>
  <si>
    <t>K. Gustafsson</t>
  </si>
  <si>
    <t>R. Ayarna</t>
  </si>
  <si>
    <t>J. Olsson</t>
  </si>
  <si>
    <t>R. Spong</t>
  </si>
  <si>
    <t>J. Florén</t>
  </si>
  <si>
    <t>F. Lundgren</t>
  </si>
  <si>
    <t>L. Tornblad</t>
  </si>
  <si>
    <t>A. Angelin</t>
  </si>
  <si>
    <t>E. Bassombeng</t>
  </si>
  <si>
    <t>J. Aubynn</t>
  </si>
  <si>
    <t>Wanderson</t>
  </si>
  <si>
    <t>Romarinho</t>
  </si>
  <si>
    <t>M. Gustafsson</t>
  </si>
  <si>
    <t>P. Ijeh</t>
  </si>
  <si>
    <t>J. Edström</t>
  </si>
  <si>
    <t>M. Celik</t>
  </si>
  <si>
    <t>M</t>
    <phoneticPr fontId="21" type="noConversion"/>
  </si>
  <si>
    <t>E. Maljici</t>
    <phoneticPr fontId="21" type="noConversion"/>
  </si>
  <si>
    <t>M. Hugosson</t>
  </si>
  <si>
    <t>E. Hedvall</t>
  </si>
  <si>
    <t>O. Mård</t>
  </si>
  <si>
    <t>L. Malmborg</t>
  </si>
  <si>
    <t>S. Senatore</t>
  </si>
  <si>
    <t>P. Asp</t>
  </si>
  <si>
    <t>J. Hellström</t>
  </si>
  <si>
    <t>D. Bernhardsson</t>
  </si>
  <si>
    <t>W. Lundin</t>
  </si>
  <si>
    <t>J. Portin</t>
  </si>
  <si>
    <t>D. Fällman</t>
  </si>
  <si>
    <t>E. Larsson</t>
  </si>
  <si>
    <t>Z. Abdullai</t>
  </si>
  <si>
    <t>A. Faltsetas</t>
  </si>
  <si>
    <t>S. Lundevall</t>
  </si>
  <si>
    <t>H. Öhagen</t>
  </si>
  <si>
    <t>J. Lantto</t>
  </si>
  <si>
    <t>M. Hansson</t>
  </si>
  <si>
    <t>J. Adukor</t>
  </si>
  <si>
    <t>J. Orlov</t>
  </si>
  <si>
    <t>M. Dahlberg</t>
  </si>
  <si>
    <t>E. Tornros</t>
  </si>
  <si>
    <t>J. Svantesson</t>
  </si>
  <si>
    <t>J. Oremo</t>
  </si>
  <si>
    <t>O. Berglund</t>
  </si>
  <si>
    <t>T. Naurin</t>
  </si>
  <si>
    <t>N. Larsson</t>
  </si>
  <si>
    <t>C. Brink</t>
  </si>
  <si>
    <t>D. Myrestam</t>
  </si>
  <si>
    <t>S. Ålander</t>
  </si>
  <si>
    <t>P. Rikama</t>
  </si>
  <si>
    <t>F. Jonson</t>
  </si>
  <si>
    <t>R. Lundström</t>
  </si>
  <si>
    <t>M. Danielsson</t>
  </si>
  <si>
    <t>R. Risholt</t>
  </si>
  <si>
    <t>D. Sliper</t>
  </si>
  <si>
    <t>A. Skúlason</t>
  </si>
  <si>
    <t>F. Holster</t>
  </si>
  <si>
    <t>S. Helg</t>
  </si>
  <si>
    <t>Michel</t>
  </si>
  <si>
    <t>K. Walker</t>
  </si>
  <si>
    <t>N. Mustafi</t>
  </si>
  <si>
    <t>J. Eklund</t>
  </si>
  <si>
    <t>P. Dibba</t>
  </si>
  <si>
    <t>Santos</t>
  </si>
  <si>
    <t>E. Forsberg</t>
  </si>
  <si>
    <t>C. Källqvist</t>
  </si>
  <si>
    <t>D. Mehic</t>
  </si>
  <si>
    <t>M. Östberg</t>
  </si>
  <si>
    <t>M. Khan</t>
  </si>
  <si>
    <t>E. Wahlström</t>
  </si>
  <si>
    <t>K. Arkivuo</t>
  </si>
  <si>
    <t>T. Joza</t>
  </si>
  <si>
    <t>B. Anklev</t>
  </si>
  <si>
    <t>D. Forsell</t>
  </si>
  <si>
    <t>T. Söderberg</t>
  </si>
  <si>
    <t>P. Johansson</t>
  </si>
  <si>
    <t>A. Almroth</t>
  </si>
  <si>
    <t>D. Frölund</t>
  </si>
  <si>
    <t>J. Bjurström</t>
  </si>
  <si>
    <t>J. Elvby</t>
  </si>
  <si>
    <t>A. Drugge</t>
  </si>
  <si>
    <t>A. Vásquez</t>
  </si>
  <si>
    <t>O. Lewicki</t>
  </si>
  <si>
    <t>M. Ericsson</t>
  </si>
  <si>
    <t>L. Zuta</t>
  </si>
  <si>
    <t>D. Chatto</t>
  </si>
  <si>
    <t>J. Henriksson</t>
  </si>
  <si>
    <t>R. Makondele</t>
  </si>
  <si>
    <t>H. Andersson</t>
  </si>
  <si>
    <t>S. Sandberg</t>
  </si>
  <si>
    <t>D. Williams</t>
  </si>
  <si>
    <t>A. Waris</t>
  </si>
  <si>
    <t>J. Johansson</t>
  </si>
  <si>
    <t>E. Hernandez</t>
  </si>
  <si>
    <t>H. Palmqvist</t>
  </si>
  <si>
    <t>J. Westermark</t>
  </si>
  <si>
    <t>Maranhao</t>
  </si>
  <si>
    <t>D. Andersson</t>
  </si>
  <si>
    <t>A. Linde</t>
  </si>
  <si>
    <t>P. Hansson</t>
  </si>
  <si>
    <t>W. Atta</t>
  </si>
  <si>
    <t>E. Edman</t>
  </si>
  <si>
    <t>E. Krafth</t>
  </si>
  <si>
    <t>J. Baffo</t>
  </si>
  <si>
    <t>C. Andersson</t>
  </si>
  <si>
    <t>E. Wahlstedt</t>
  </si>
  <si>
    <t>E. Hanstveit</t>
  </si>
  <si>
    <t>J. Uronen</t>
  </si>
  <si>
    <t>M. Bergholtz</t>
  </si>
  <si>
    <t>L. Sadiku</t>
  </si>
  <si>
    <t>D. Nordmark</t>
  </si>
  <si>
    <t>M. Mahlangu</t>
  </si>
  <si>
    <t>M. Lindström</t>
  </si>
  <si>
    <t>A. Gashi</t>
  </si>
  <si>
    <t>E. Sundin</t>
  </si>
  <si>
    <t>R. Bouaouzan</t>
  </si>
  <si>
    <t>R. Lindgren</t>
  </si>
  <si>
    <t>Álvaro Santos</t>
  </si>
  <si>
    <t>T. Sørum</t>
  </si>
  <si>
    <t>A. Finnbogason</t>
  </si>
  <si>
    <t>J. Alvbåge</t>
  </si>
  <si>
    <t>A. Strömberg</t>
  </si>
  <si>
    <t>E. Dahlin</t>
  </si>
  <si>
    <t>H. Valgardsson</t>
  </si>
  <si>
    <t>K. Wæhler</t>
  </si>
  <si>
    <t>H. Jónsson</t>
  </si>
  <si>
    <t>E. Lund</t>
  </si>
  <si>
    <t>M. Dyrestam</t>
  </si>
  <si>
    <t>M. Iksander</t>
  </si>
  <si>
    <t>E. Salomonsson</t>
  </si>
  <si>
    <t>P. Haglund</t>
  </si>
  <si>
    <t>N. Gerzić</t>
  </si>
  <si>
    <t>S. Selakovic</t>
  </si>
  <si>
    <t>Daniel Sobralense</t>
  </si>
  <si>
    <t>P. Farnerud</t>
  </si>
  <si>
    <t>T. Sana</t>
  </si>
  <si>
    <t>J. Allansson</t>
  </si>
  <si>
    <t>T. Hysén</t>
  </si>
  <si>
    <t>R. Söder</t>
  </si>
  <si>
    <t>H. Stiller</t>
  </si>
  <si>
    <t>D. Moberg-Karlsson</t>
  </si>
  <si>
    <t>M. Sandberg</t>
  </si>
  <si>
    <t>S. Eriksson</t>
  </si>
  <si>
    <t>P. Ericsson</t>
  </si>
  <si>
    <t>N. Bärkroth</t>
  </si>
  <si>
    <t>P. Wastå</t>
  </si>
  <si>
    <t>E. Berisha</t>
  </si>
  <si>
    <t>L. Hägg-Johansson</t>
  </si>
  <si>
    <t>M. Thorbjörnsson</t>
  </si>
  <si>
    <t>T. Carlsson</t>
  </si>
  <si>
    <t>P. Arajuuri</t>
  </si>
  <si>
    <t>E. Nouri</t>
  </si>
  <si>
    <t>L. Öhman</t>
  </si>
  <si>
    <t>M. Pavic</t>
  </si>
  <si>
    <t>R. Sjöstedt</t>
  </si>
  <si>
    <t>N. Đjordjević</t>
  </si>
  <si>
    <t>L. Leci</t>
  </si>
  <si>
    <t>E. Israelsson</t>
  </si>
  <si>
    <t>M. Solheim</t>
  </si>
  <si>
    <t>H. Rydström</t>
  </si>
  <si>
    <t>K. Fagercrantz</t>
  </si>
  <si>
    <t>J. Skjelvik</t>
  </si>
  <si>
    <t>J. Bertilsson</t>
  </si>
  <si>
    <t>A. Gutu</t>
  </si>
  <si>
    <t>T. Eriksson</t>
  </si>
  <si>
    <t>M. Söderqvist</t>
  </si>
  <si>
    <t>S. Andersson</t>
  </si>
  <si>
    <t>A. Dauda</t>
  </si>
  <si>
    <t>Daniel Mendes</t>
  </si>
  <si>
    <t>J. McDonald</t>
  </si>
  <si>
    <t>B. Rrustemaj</t>
  </si>
  <si>
    <t>M. Hallberg</t>
  </si>
  <si>
    <t>P. Diouf</t>
  </si>
  <si>
    <t>M. Jung</t>
  </si>
  <si>
    <t>R. Olsen</t>
  </si>
  <si>
    <t>J. Dahlin</t>
  </si>
  <si>
    <t>V. Noring</t>
  </si>
  <si>
    <t>U. Vinzents</t>
  </si>
  <si>
    <t>J. Sudić</t>
  </si>
  <si>
    <t>P. Jansson</t>
  </si>
  <si>
    <t>M. Halsti</t>
  </si>
  <si>
    <t>Miiko Albornoz</t>
  </si>
  <si>
    <t>Ricardinho</t>
  </si>
  <si>
    <t>F. Stenström</t>
  </si>
  <si>
    <t>F. Helander</t>
  </si>
  <si>
    <t>E. Friberg</t>
  </si>
  <si>
    <t>Wílton Figueiredo</t>
  </si>
  <si>
    <t>J. Hamad</t>
  </si>
  <si>
    <t>S. Thern</t>
  </si>
  <si>
    <t>I. Pekalski</t>
  </si>
  <si>
    <t>A. Nazari</t>
  </si>
  <si>
    <t>J. Durmaz</t>
  </si>
  <si>
    <t>T. Lewicki</t>
  </si>
  <si>
    <t>D. Larsson</t>
  </si>
  <si>
    <t>M. Ranégie</t>
  </si>
  <si>
    <t>D. Rexhepi</t>
  </si>
  <si>
    <t>A. Nilsson</t>
  </si>
  <si>
    <t>S. Kroon</t>
  </si>
  <si>
    <t>M. Asper</t>
  </si>
  <si>
    <t>A. Lundin</t>
  </si>
  <si>
    <t>M. Özen</t>
  </si>
  <si>
    <t>A. Wikström</t>
  </si>
  <si>
    <t>D. Ivanovski</t>
  </si>
  <si>
    <t>W. Leandersson</t>
  </si>
  <si>
    <t>P. Rosengren</t>
  </si>
  <si>
    <t>V. Agardius</t>
  </si>
  <si>
    <t>R. Cederberg</t>
  </si>
  <si>
    <t>A. Dahlström</t>
  </si>
  <si>
    <t>G. Arokoyo</t>
  </si>
  <si>
    <t>Dominiqui</t>
  </si>
  <si>
    <t>H. Radetinac</t>
  </si>
  <si>
    <t>D. Nilsson</t>
  </si>
  <si>
    <t>D. Nicklasson</t>
  </si>
  <si>
    <t>R. Strömberg</t>
  </si>
  <si>
    <t>C. Henderson</t>
  </si>
  <si>
    <t>P. Zavadil</t>
  </si>
  <si>
    <t>S. Nilsson</t>
  </si>
  <si>
    <t>A. Blomqvist</t>
  </si>
  <si>
    <t>E. Fejzullahu</t>
  </si>
  <si>
    <t>M. Ekenberg</t>
  </si>
  <si>
    <t>A. Berner</t>
  </si>
  <si>
    <t>M. Pode</t>
  </si>
  <si>
    <t>S. Petrone</t>
  </si>
  <si>
    <t>A. Hassan</t>
  </si>
  <si>
    <t>A. Lindberg</t>
  </si>
  <si>
    <t>M. Skjønsberg</t>
  </si>
  <si>
    <t>M. Florén</t>
  </si>
  <si>
    <t>N. Tkalčić</t>
  </si>
  <si>
    <t>M. Falk-Olander</t>
  </si>
  <si>
    <t>B. Friberg</t>
  </si>
  <si>
    <t>D. Wiklander</t>
  </si>
  <si>
    <t>M. Smedberg-Dalance</t>
  </si>
  <si>
    <t>A. Ajdarevic</t>
  </si>
  <si>
    <t>C. Telo</t>
  </si>
  <si>
    <t>L. Gerson</t>
  </si>
  <si>
    <t>J. Frempong</t>
  </si>
  <si>
    <t>M. Barrow</t>
  </si>
  <si>
    <t>I. Khalili</t>
  </si>
  <si>
    <t>A. Tankovic</t>
  </si>
  <si>
    <t>M. Tankovic</t>
  </si>
  <si>
    <t>C. Nyman</t>
  </si>
  <si>
    <t>G. Thorvaldsson</t>
  </si>
  <si>
    <t>S. Hasani</t>
  </si>
  <si>
    <t>I. Thelin</t>
  </si>
  <si>
    <t>J. Tamm</t>
  </si>
  <si>
    <t>M. Johansson</t>
  </si>
  <si>
    <t>J. Sandqvist</t>
  </si>
  <si>
    <t>T. Chencinski</t>
  </si>
  <si>
    <t>P. Haginge</t>
  </si>
  <si>
    <t>P. Anttonen</t>
  </si>
  <si>
    <t>M. Wikström</t>
  </si>
  <si>
    <t>I. Berisha</t>
  </si>
  <si>
    <t>T. Wirtanen</t>
  </si>
  <si>
    <t>S. Wowoah</t>
  </si>
  <si>
    <t>C. Wiktorsson</t>
  </si>
  <si>
    <t>E. Sigurbjörnsson</t>
  </si>
  <si>
    <t>B. Lumbana</t>
  </si>
  <si>
    <t>E. Berger</t>
  </si>
  <si>
    <t>T. Grahn</t>
  </si>
  <si>
    <t>M. Saied</t>
  </si>
  <si>
    <t>J. Ibrahim</t>
  </si>
  <si>
    <t>M. Astvald</t>
  </si>
  <si>
    <t>A. Yasin</t>
  </si>
  <si>
    <t>Daniel Bamberg</t>
  </si>
  <si>
    <t>V. Rama</t>
  </si>
  <si>
    <t>A. Alimi</t>
  </si>
  <si>
    <t>A. Haddad</t>
  </si>
  <si>
    <t>P. Samuelsson</t>
  </si>
  <si>
    <t>K. Holmberg</t>
  </si>
  <si>
    <t>W. Atashkadeh</t>
  </si>
  <si>
    <t>K. Lushtaku</t>
  </si>
  <si>
    <t>D. Abdulahi</t>
  </si>
  <si>
    <t>P. Oliviera</t>
  </si>
  <si>
    <t>D. Garaca</t>
  </si>
  <si>
    <t>D. Miller</t>
  </si>
  <si>
    <t>B. Salah</t>
  </si>
  <si>
    <t>L. Staw</t>
  </si>
  <si>
    <t>S. Sleyman</t>
  </si>
  <si>
    <t>I. Demir</t>
  </si>
  <si>
    <t>O. Jawo</t>
  </si>
  <si>
    <t>R. Elia</t>
  </si>
  <si>
    <t>G. Somi</t>
  </si>
  <si>
    <t>H. Skenderović</t>
  </si>
  <si>
    <t>R. George</t>
  </si>
  <si>
    <t>J. Arneng</t>
  </si>
  <si>
    <t>R. Massi</t>
  </si>
  <si>
    <t>Gondra</t>
  </si>
  <si>
    <t>B. Kunic</t>
  </si>
  <si>
    <t>Sharbel Touma</t>
  </si>
  <si>
    <t>Y. Saleh</t>
  </si>
  <si>
    <t>A. Bååth-Sjöblom</t>
  </si>
  <si>
    <t>L. Ismail</t>
  </si>
  <si>
    <t>A. Michel</t>
  </si>
  <si>
    <t>Louay Chanko</t>
  </si>
  <si>
    <t>M. Mbuta</t>
  </si>
  <si>
    <t>Ö. Yasar</t>
  </si>
  <si>
    <t>A. Aganovic</t>
  </si>
  <si>
    <t>George Mourad</t>
  </si>
  <si>
    <t>D. Felic</t>
  </si>
  <si>
    <t>S. Mete</t>
  </si>
  <si>
    <t>M. Kabia</t>
  </si>
  <si>
    <t>O. Ikechukwu</t>
  </si>
  <si>
    <t>注意事项</t>
  </si>
  <si>
    <t>Player Cell</t>
  </si>
  <si>
    <t>Score Cell</t>
  </si>
  <si>
    <t>首发球员</t>
  </si>
  <si>
    <t>大写“X"，并check首发人数，人数不为11人会标红提示</t>
  </si>
  <si>
    <t>替补球员</t>
  </si>
  <si>
    <t>小写”S"</t>
  </si>
  <si>
    <t>赛果</t>
  </si>
  <si>
    <t>注意进球和失球，并check Table页面，有红色提示说明赛果输入错误</t>
  </si>
  <si>
    <t>Goal</t>
  </si>
  <si>
    <t>加粗处理，例如：X-1</t>
  </si>
  <si>
    <t>Own Goal</t>
  </si>
  <si>
    <t>标注Comments</t>
  </si>
  <si>
    <t>Penalty</t>
  </si>
  <si>
    <t>mark PK/Pen when a player score from a penalty/or miss a penalty.</t>
  </si>
  <si>
    <t>Sub</t>
  </si>
  <si>
    <r>
      <t>替补球员被换下，需要标红大写“</t>
    </r>
    <r>
      <rPr>
        <sz val="11"/>
        <color rgb="FFFF0000"/>
        <rFont val="宋体"/>
        <family val="2"/>
        <scheme val="minor"/>
      </rPr>
      <t>S-</t>
    </r>
    <r>
      <rPr>
        <sz val="11"/>
        <color theme="1"/>
        <rFont val="宋体"/>
        <family val="2"/>
        <scheme val="minor"/>
      </rPr>
      <t>”</t>
    </r>
  </si>
  <si>
    <t>Red Card</t>
  </si>
  <si>
    <t xml:space="preserve">红牌（2 yellow需要在球员的红色cell上comment）. </t>
  </si>
  <si>
    <t xml:space="preserve">Comments will be something like “Team A down to 10 men @ 50 min, score 1-1”. </t>
  </si>
  <si>
    <t>early red</t>
  </si>
  <si>
    <t>红牌（2 yellow需要在球员的红色cell上comment）. 
红牌标注时间</t>
  </si>
  <si>
    <r>
      <t>比赛中的红牌若发生的较早且对比赛结果产生了明显影响，应在前面Score信息中加入</t>
    </r>
    <r>
      <rPr>
        <sz val="11"/>
        <color rgb="FFFF0000"/>
        <rFont val="宋体"/>
        <family val="2"/>
        <scheme val="minor"/>
      </rPr>
      <t>红色background</t>
    </r>
    <r>
      <rPr>
        <sz val="11"/>
        <color rgb="FF000000"/>
        <rFont val="宋体"/>
        <family val="2"/>
        <scheme val="minor"/>
      </rPr>
      <t>并标注得牌时间；</t>
    </r>
  </si>
  <si>
    <t>early sub</t>
  </si>
  <si>
    <t>上半场结束之前便被替换下场称为“Early Sub”，该信息需要标红大写“S”，并在sub out的player上标注Comments写入替换时间</t>
  </si>
  <si>
    <t>late goal</t>
  </si>
  <si>
    <t>85’以后的进球，并对赛果有影响的，需要在Score中加入Comments，例如“Late goal @ 89’”；</t>
  </si>
  <si>
    <t>Fri</t>
  </si>
  <si>
    <t>ELI</t>
  </si>
  <si>
    <t>Odds</t>
  </si>
  <si>
    <t>Mon</t>
  </si>
  <si>
    <t>15/04/13</t>
  </si>
  <si>
    <t>17/05/13</t>
  </si>
  <si>
    <t>21/05/13</t>
  </si>
  <si>
    <t>24/06/13</t>
  </si>
  <si>
    <t>29/07/13</t>
  </si>
  <si>
    <t>19/08/13</t>
  </si>
  <si>
    <t>26/08/13</t>
  </si>
  <si>
    <t>16/09/13</t>
  </si>
  <si>
    <t>23/09/13</t>
  </si>
  <si>
    <t>30/09/13</t>
  </si>
  <si>
    <t>Hønefoss</t>
  </si>
  <si>
    <t>Viking</t>
  </si>
  <si>
    <t>Sandnes Ulf</t>
  </si>
  <si>
    <t>21/10/13</t>
  </si>
  <si>
    <t>Tromsø</t>
  </si>
  <si>
    <t>28/10/13</t>
  </si>
  <si>
    <t>Aalesund</t>
  </si>
  <si>
    <t>Rosenborg</t>
  </si>
  <si>
    <t>Sarpsborg 08</t>
  </si>
  <si>
    <t>Brann</t>
  </si>
  <si>
    <t>Haugesund</t>
  </si>
  <si>
    <t>Lillestrøm</t>
  </si>
  <si>
    <t>Molde</t>
  </si>
  <si>
    <t>Odd</t>
  </si>
  <si>
    <t>Sogndal</t>
  </si>
  <si>
    <t>Start</t>
  </si>
  <si>
    <t>Strømsgodset</t>
  </si>
  <si>
    <t>Vålerenga</t>
  </si>
  <si>
    <t>Honefoss</t>
  </si>
  <si>
    <t>Lillestrom</t>
  </si>
  <si>
    <t>Sandnes</t>
  </si>
  <si>
    <t>Sarpsborg</t>
  </si>
  <si>
    <t>Stromsgodset</t>
  </si>
  <si>
    <t>Tromso</t>
  </si>
  <si>
    <t>Valerenga</t>
  </si>
  <si>
    <t>18/03/13</t>
  </si>
  <si>
    <t>22/04/13</t>
  </si>
  <si>
    <t>15/07/13</t>
  </si>
  <si>
    <t>29/04/13</t>
  </si>
  <si>
    <t>M. Høibråten</t>
  </si>
  <si>
    <t>P. Moen</t>
  </si>
  <si>
    <t>B. Thomas</t>
  </si>
  <si>
    <t>M. Hamoud</t>
  </si>
  <si>
    <t>K. Madsen</t>
  </si>
  <si>
    <t>L. Vilsvik</t>
  </si>
  <si>
    <t>G. Wikheim</t>
  </si>
  <si>
    <t>View events</t>
  </si>
  <si>
    <t xml:space="preserve"> </t>
  </si>
  <si>
    <t>E. Pettersen</t>
  </si>
  <si>
    <t>Wed</t>
  </si>
  <si>
    <t>Hcap</t>
  </si>
  <si>
    <t>Vs Hcap</t>
  </si>
  <si>
    <t>Matches Per Team</t>
  </si>
  <si>
    <t>2012-13</t>
    <phoneticPr fontId="6" type="noConversion"/>
  </si>
  <si>
    <t>Team No</t>
  </si>
  <si>
    <t>Summary of SUP</t>
  </si>
  <si>
    <t>Supremacy - Handicap Line Lookup</t>
  </si>
  <si>
    <t>From</t>
  </si>
  <si>
    <t>Until</t>
  </si>
  <si>
    <t>Line</t>
  </si>
  <si>
    <t>Vs SUP</t>
  </si>
  <si>
    <t>SUP</t>
  </si>
  <si>
    <t>Summary of TTG</t>
  </si>
  <si>
    <t>s1</t>
  </si>
  <si>
    <t>I. Fossum</t>
  </si>
  <si>
    <t>进球</t>
    <phoneticPr fontId="21" type="noConversion"/>
  </si>
  <si>
    <t>粗体 蓝色</t>
    <phoneticPr fontId="21" type="noConversion"/>
  </si>
  <si>
    <t>点球</t>
    <phoneticPr fontId="21" type="noConversion"/>
  </si>
  <si>
    <t>粗体 蓝色 下划线</t>
    <phoneticPr fontId="21" type="noConversion"/>
  </si>
  <si>
    <t>上半场换人</t>
    <phoneticPr fontId="21" type="noConversion"/>
  </si>
  <si>
    <t>S大写 被换下和换上球员 红色</t>
    <phoneticPr fontId="21" type="noConversion"/>
  </si>
  <si>
    <t>More info</t>
  </si>
  <si>
    <t>0 - 1</t>
  </si>
  <si>
    <t>Thu</t>
  </si>
  <si>
    <t>14/05/13</t>
  </si>
  <si>
    <t>25/05/13</t>
  </si>
  <si>
    <t>Odd</t>
    <phoneticPr fontId="21" type="noConversion"/>
  </si>
  <si>
    <t>M. Rønning</t>
  </si>
  <si>
    <t>M. Abu</t>
  </si>
  <si>
    <t>F. Kastrati</t>
  </si>
  <si>
    <t>All</t>
  </si>
  <si>
    <t>St</t>
  </si>
  <si>
    <t>dPts</t>
  </si>
  <si>
    <t>Home</t>
  </si>
  <si>
    <t>Away</t>
  </si>
  <si>
    <t>SBO</t>
  </si>
  <si>
    <t>Shot</t>
    <phoneticPr fontId="21" type="noConversion"/>
  </si>
  <si>
    <t>Shot Against</t>
    <phoneticPr fontId="21" type="noConversion"/>
  </si>
  <si>
    <t>Lineup</t>
    <phoneticPr fontId="21" type="noConversion"/>
  </si>
  <si>
    <t>Shooting Attempts</t>
  </si>
  <si>
    <t>Opponent Shooting Attempts</t>
  </si>
  <si>
    <t>Shooting on Target</t>
  </si>
  <si>
    <t>Opponent Shooting on Target</t>
  </si>
  <si>
    <t>Possession</t>
  </si>
  <si>
    <t>Opponent Possession</t>
  </si>
  <si>
    <t>Infor</t>
    <phoneticPr fontId="21" type="noConversion"/>
  </si>
  <si>
    <t>Opponent Infor</t>
    <phoneticPr fontId="21" type="noConversion"/>
  </si>
  <si>
    <t>射门</t>
    <phoneticPr fontId="21" type="noConversion"/>
  </si>
  <si>
    <t>控球率</t>
    <phoneticPr fontId="21" type="noConversion"/>
  </si>
  <si>
    <t>射正</t>
    <phoneticPr fontId="21" type="noConversion"/>
  </si>
  <si>
    <t>X-y</t>
  </si>
  <si>
    <t xml:space="preserve">E. Pettersen </t>
  </si>
  <si>
    <t xml:space="preserve">L. Vilsvik </t>
  </si>
  <si>
    <t xml:space="preserve">M. Abu Substituted </t>
  </si>
  <si>
    <t xml:space="preserve">M. Rønning </t>
  </si>
  <si>
    <t xml:space="preserve">G. Wikheim </t>
  </si>
  <si>
    <t>85'</t>
  </si>
  <si>
    <t xml:space="preserve">I. Fossum </t>
  </si>
  <si>
    <t xml:space="preserve">F. Kastrati Substituted </t>
  </si>
  <si>
    <t>P. Moen Substituted</t>
  </si>
  <si>
    <t>B. Jradi Substituted</t>
  </si>
  <si>
    <t xml:space="preserve">T. Nguen </t>
  </si>
  <si>
    <t>F. Hanin</t>
  </si>
  <si>
    <t>G. Valsvik</t>
  </si>
  <si>
    <t>B. Jradi</t>
  </si>
  <si>
    <t xml:space="preserve">K. Madsen </t>
  </si>
  <si>
    <t xml:space="preserve">M. Hamoud </t>
  </si>
  <si>
    <t xml:space="preserve">G. Valsvik </t>
  </si>
  <si>
    <t>55'</t>
  </si>
  <si>
    <t>45+2'</t>
  </si>
  <si>
    <t xml:space="preserve">M. Ogunjimi Substituted </t>
  </si>
  <si>
    <t>33'</t>
  </si>
  <si>
    <t>for F. Kastrati 58'</t>
  </si>
  <si>
    <t>90+5'</t>
  </si>
  <si>
    <t>for M. Abu 84'</t>
  </si>
  <si>
    <t>T. Sørum Substituted</t>
  </si>
  <si>
    <t>for M. Ogunjimi 87'</t>
  </si>
  <si>
    <t>y</t>
    <phoneticPr fontId="21" type="noConversion"/>
  </si>
  <si>
    <t>M. Ogunjimi</t>
  </si>
  <si>
    <t>Xy</t>
  </si>
  <si>
    <t>X</t>
    <phoneticPr fontId="21" type="noConversion"/>
  </si>
  <si>
    <t>X-</t>
    <phoneticPr fontId="21" type="noConversion"/>
  </si>
  <si>
    <t>Machida Zelvia</t>
  </si>
  <si>
    <t>Mito Hollyhock</t>
  </si>
  <si>
    <t>Montedio Yamagata</t>
  </si>
  <si>
    <t>Zweigen Kanazawa</t>
  </si>
  <si>
    <t>JEF United</t>
  </si>
  <si>
    <t>Shimizu S-Pulse</t>
  </si>
  <si>
    <t>Consadole Sapporo</t>
  </si>
  <si>
    <t>Kyoto Sanga</t>
  </si>
  <si>
    <t>Matsumoto Yamaga</t>
  </si>
  <si>
    <t>Ehime</t>
  </si>
  <si>
    <t>Renofa Yamaguchi</t>
  </si>
  <si>
    <t>Yokohama</t>
  </si>
  <si>
    <t>Fagiano Okayama</t>
  </si>
  <si>
    <t>Kamatamare Sanuki</t>
  </si>
  <si>
    <t>V-Varen Nagasaki</t>
  </si>
  <si>
    <t>Gifu</t>
  </si>
  <si>
    <t>Tokushima Vortis</t>
  </si>
  <si>
    <t>Tokyo Verdy</t>
  </si>
  <si>
    <t>Roasso Kumamoto</t>
  </si>
  <si>
    <t>J2L</t>
  </si>
  <si>
    <t>Cerezo Osaka</t>
  </si>
  <si>
    <t>GIRAVANZ KITAKYUSHU</t>
  </si>
  <si>
    <t>THESPAKUSATSU GUNMA</t>
  </si>
  <si>
    <t>ThespaKusatsu Gunma</t>
    <phoneticPr fontId="21" type="noConversion"/>
  </si>
  <si>
    <t>GK</t>
  </si>
  <si>
    <t>玉林　睦実</t>
  </si>
  <si>
    <t>西岡　大輝</t>
  </si>
  <si>
    <t>茂木　力也</t>
  </si>
  <si>
    <t>深谷　友基</t>
  </si>
  <si>
    <t>鈴木　隆雅</t>
  </si>
  <si>
    <t>白井　康介</t>
  </si>
  <si>
    <t>瀬沼　優司</t>
  </si>
  <si>
    <t>表原　玄太</t>
  </si>
  <si>
    <t>阪野　豊史</t>
  </si>
  <si>
    <t>河原　和寿</t>
  </si>
  <si>
    <t>似鳥　康太</t>
  </si>
  <si>
    <t>伊藤　大介</t>
  </si>
  <si>
    <t>岡本　英也</t>
  </si>
  <si>
    <t>高木　義成</t>
  </si>
  <si>
    <t>阿部　正紀</t>
  </si>
  <si>
    <t>田中　パウロ淳一</t>
  </si>
  <si>
    <t>小野　悠斗</t>
  </si>
  <si>
    <t>遠藤　純輝</t>
  </si>
  <si>
    <t>難波　宏明</t>
  </si>
  <si>
    <t>田中　達也</t>
  </si>
  <si>
    <t>岡本　昌弘</t>
  </si>
  <si>
    <t>藤嶋　栄介</t>
  </si>
  <si>
    <t>佐藤　優也</t>
  </si>
  <si>
    <t>大野　哲煥</t>
  </si>
  <si>
    <t>北爪　健吾</t>
  </si>
  <si>
    <t>比嘉　祐介</t>
  </si>
  <si>
    <t>大久保　裕樹</t>
  </si>
  <si>
    <t>若狭　大志</t>
  </si>
  <si>
    <t>イ　ジュヨン</t>
  </si>
  <si>
    <t>阿部　翔平</t>
  </si>
  <si>
    <t>乾　貴哉</t>
  </si>
  <si>
    <t>山本　真希</t>
  </si>
  <si>
    <t>小池　純輝</t>
  </si>
  <si>
    <t>船山　貴之</t>
  </si>
  <si>
    <t>菅嶋　弘希</t>
  </si>
  <si>
    <t>清水　健太</t>
  </si>
  <si>
    <t>瀬口　拓弥</t>
  </si>
  <si>
    <t>藤井　航大</t>
  </si>
  <si>
    <t>武田　有祐</t>
  </si>
  <si>
    <t>西　弘則</t>
  </si>
  <si>
    <t>エブソン</t>
  </si>
  <si>
    <t>大沢　朋也</t>
  </si>
  <si>
    <t>綱田　大志</t>
  </si>
  <si>
    <t>玉城　史也</t>
  </si>
  <si>
    <t>山本　翔平</t>
  </si>
  <si>
    <t>馬場　賢治</t>
  </si>
  <si>
    <t>福家　勇輝</t>
  </si>
  <si>
    <t>森川　裕基</t>
  </si>
  <si>
    <t>清水　圭介</t>
  </si>
  <si>
    <t>山田　元気</t>
  </si>
  <si>
    <t>菅沼　駿哉</t>
  </si>
  <si>
    <t>牟田　雄祐</t>
  </si>
  <si>
    <t>高橋　祐治</t>
  </si>
  <si>
    <t>内田　恭兵</t>
  </si>
  <si>
    <t>下畠　翔吾</t>
  </si>
  <si>
    <t>齊藤　隆成</t>
  </si>
  <si>
    <t>山瀬　功治</t>
  </si>
  <si>
    <t>荻野　広大</t>
  </si>
  <si>
    <t>イ　ヨンジェ</t>
  </si>
  <si>
    <t>内藤　圭佑</t>
  </si>
  <si>
    <t>髙原　寿康</t>
  </si>
  <si>
    <t>金　聖基</t>
  </si>
  <si>
    <t>戸高　弘貴</t>
  </si>
  <si>
    <t>井上　裕大</t>
  </si>
  <si>
    <t>森村　昂太</t>
  </si>
  <si>
    <t>中島　裕希</t>
  </si>
  <si>
    <t>鈴木　智幸</t>
  </si>
  <si>
    <t>白井　裕人</t>
  </si>
  <si>
    <t>田中　隼磨</t>
  </si>
  <si>
    <t>後藤　圭太</t>
  </si>
  <si>
    <t>酒井　隆介</t>
  </si>
  <si>
    <t>岩間　雄大</t>
  </si>
  <si>
    <t>武井　択也</t>
  </si>
  <si>
    <t>喜山　康平</t>
  </si>
  <si>
    <t>宮阪　政樹</t>
  </si>
  <si>
    <t>工藤　浩平</t>
  </si>
  <si>
    <t>志知　孝明</t>
  </si>
  <si>
    <t>前田　大然</t>
  </si>
  <si>
    <t>本間　幸司</t>
  </si>
  <si>
    <t>笠原　昂史</t>
  </si>
  <si>
    <t>岡田　明久</t>
  </si>
  <si>
    <t>細川　淳矢</t>
  </si>
  <si>
    <t>船谷　圭祐</t>
  </si>
  <si>
    <t>湯澤　洋介</t>
  </si>
  <si>
    <t>白井　永地</t>
  </si>
  <si>
    <t>斎藤　翔太</t>
  </si>
  <si>
    <t>萬代　宏樹</t>
  </si>
  <si>
    <t>三島　康平</t>
  </si>
  <si>
    <t>角口　大征</t>
  </si>
  <si>
    <t>山村　佑樹</t>
  </si>
  <si>
    <t>摂津　颯登</t>
  </si>
  <si>
    <t>石川　竜也</t>
  </si>
  <si>
    <t>イ　ジェスン</t>
  </si>
  <si>
    <t>荒堀　謙次</t>
  </si>
  <si>
    <t>汰木　康也</t>
  </si>
  <si>
    <t>林　陵平</t>
  </si>
  <si>
    <t>村上　昌謙</t>
  </si>
  <si>
    <t>宮城　雅史</t>
  </si>
  <si>
    <t>黒木　恭平</t>
  </si>
  <si>
    <t>廣木　雄磨</t>
  </si>
  <si>
    <t>北谷　史孝</t>
  </si>
  <si>
    <t>奥山　政幸</t>
  </si>
  <si>
    <t>望月　嶺臣</t>
  </si>
  <si>
    <t>島屋　八徳</t>
  </si>
  <si>
    <t>庄司　悦大</t>
  </si>
  <si>
    <t>永井　建成</t>
  </si>
  <si>
    <t>佐藤　昭大</t>
  </si>
  <si>
    <t>黒木　晃平</t>
  </si>
  <si>
    <t>岡本　賢明</t>
  </si>
  <si>
    <t>上原　拓郎</t>
  </si>
  <si>
    <t>中山　雄登</t>
  </si>
  <si>
    <t>上村　周平</t>
  </si>
  <si>
    <t>平繁　龍一</t>
  </si>
  <si>
    <t>齋藤　恵太</t>
  </si>
  <si>
    <t>清水　慶記</t>
  </si>
  <si>
    <t>鈴木　雄太</t>
  </si>
  <si>
    <t>朴　昇利</t>
  </si>
  <si>
    <t>舩津　徹也</t>
  </si>
  <si>
    <t>川岸　祐輔</t>
  </si>
  <si>
    <t>一柳　夢吾</t>
  </si>
  <si>
    <t>中村　俊貴</t>
  </si>
  <si>
    <t>小林　竜樹</t>
  </si>
  <si>
    <t>志村　駿太</t>
  </si>
  <si>
    <t>松下　裕樹</t>
  </si>
  <si>
    <t>中村　駿</t>
  </si>
  <si>
    <t>高橋　駿太</t>
  </si>
  <si>
    <t>相澤　貴志</t>
  </si>
  <si>
    <t>井筒　陸也</t>
  </si>
  <si>
    <t>内田　裕斗</t>
  </si>
  <si>
    <t>広瀬　陸斗</t>
  </si>
  <si>
    <t>橋内　優也</t>
  </si>
  <si>
    <t>木村　祐志</t>
  </si>
  <si>
    <t>大﨑　淳矢</t>
  </si>
  <si>
    <t>前川　大河</t>
  </si>
  <si>
    <t>渡　大生</t>
  </si>
  <si>
    <t>柴崎　貴広</t>
  </si>
  <si>
    <t>太田　岳志</t>
  </si>
  <si>
    <t>平　智広</t>
  </si>
  <si>
    <t>安在　和樹</t>
  </si>
  <si>
    <t>林　昇吾</t>
  </si>
  <si>
    <t>高木　純平</t>
  </si>
  <si>
    <t>中野　雅臣</t>
  </si>
  <si>
    <t>杉本　竜士</t>
  </si>
  <si>
    <t>富澤　雅也</t>
  </si>
  <si>
    <t>三浦　雄也</t>
  </si>
  <si>
    <t>李　栄直</t>
  </si>
  <si>
    <t>養父　雄仁</t>
  </si>
  <si>
    <t>中村　慶太</t>
  </si>
  <si>
    <t>宮本　航汰</t>
  </si>
  <si>
    <t>梶川　諒太</t>
  </si>
  <si>
    <t>北川　滉平</t>
  </si>
  <si>
    <t>佐藤　洸一</t>
  </si>
  <si>
    <t>渋谷　飛翔</t>
  </si>
  <si>
    <t>南　雄太</t>
  </si>
  <si>
    <t>西河　翔吾</t>
  </si>
  <si>
    <t>市村　篤司</t>
  </si>
  <si>
    <t>永田　拓也</t>
  </si>
  <si>
    <t>中里　崇宏</t>
  </si>
  <si>
    <t>寺田　紳一</t>
  </si>
  <si>
    <t>野崎　陽介</t>
  </si>
  <si>
    <t>野村　直輝</t>
  </si>
  <si>
    <t>石井　圭太</t>
  </si>
  <si>
    <t>前嶋　洋太</t>
  </si>
  <si>
    <t>津田　知宏</t>
  </si>
  <si>
    <t>三浦　知良</t>
  </si>
  <si>
    <t>齋藤　功佑</t>
  </si>
  <si>
    <t>原田　直樹</t>
  </si>
  <si>
    <t>原田　欽庸</t>
  </si>
  <si>
    <t>阿渡　真也</t>
  </si>
  <si>
    <t>小柳　達司</t>
  </si>
  <si>
    <t>太田　康介</t>
  </si>
  <si>
    <t>メンデス</t>
  </si>
  <si>
    <t>野田　紘史</t>
  </si>
  <si>
    <t>嶺岸　佳介</t>
  </si>
  <si>
    <t>馬渡　和彰</t>
  </si>
  <si>
    <t>廣井　友信</t>
  </si>
  <si>
    <t>キム　ヨンホン</t>
  </si>
  <si>
    <t>熊谷　アンドリュー</t>
  </si>
  <si>
    <t>富田　康仁</t>
  </si>
  <si>
    <t>金子　昌広</t>
  </si>
  <si>
    <t>中美　慶哉</t>
  </si>
  <si>
    <t>坂井　達弥</t>
  </si>
  <si>
    <t>二川　孝広</t>
  </si>
  <si>
    <t>渡邉　大剛</t>
  </si>
  <si>
    <t>碓井　鉄平</t>
  </si>
  <si>
    <t>畑　潤基</t>
  </si>
  <si>
    <t>Oita Trinita</t>
  </si>
  <si>
    <t>Avispa Fukuoka</t>
  </si>
  <si>
    <t>Nagoya Grampus</t>
  </si>
  <si>
    <t>Shonan Bellmare</t>
  </si>
  <si>
    <t>ThespaKusatsu Gunma</t>
  </si>
  <si>
    <t>富居　大樹</t>
  </si>
  <si>
    <t>瀬川　和樹</t>
  </si>
  <si>
    <t>加賀　健一</t>
  </si>
  <si>
    <t>高木　利弥</t>
  </si>
  <si>
    <t>髙橋　成樹</t>
  </si>
  <si>
    <t>風間　宏希</t>
  </si>
  <si>
    <t>本田　拓也</t>
  </si>
  <si>
    <t>鈴木　雄斗</t>
  </si>
  <si>
    <t>中山　仁斗</t>
  </si>
  <si>
    <t>田向　泰輝</t>
  </si>
  <si>
    <t>佐藤　和樹</t>
  </si>
  <si>
    <t>伊藤　槙人</t>
  </si>
  <si>
    <t>今瀬　淳也</t>
  </si>
  <si>
    <t>浜崎　拓磨</t>
  </si>
  <si>
    <t>パウロン</t>
  </si>
  <si>
    <t>内田　航平</t>
  </si>
  <si>
    <t>佐藤　和弘</t>
  </si>
  <si>
    <t>田中　恵太</t>
  </si>
  <si>
    <t>中川　洋介</t>
  </si>
  <si>
    <t>小島　幹敏</t>
  </si>
  <si>
    <t>クォン　ヨンジン</t>
  </si>
  <si>
    <t>宮本　拓弥</t>
  </si>
  <si>
    <t>牲川　歩見</t>
  </si>
  <si>
    <t>市川　恵多</t>
  </si>
  <si>
    <t>藤原　雅斗</t>
  </si>
  <si>
    <t>鈴木　崇文</t>
  </si>
  <si>
    <t>マテウス</t>
  </si>
  <si>
    <t>パク　ゴン</t>
  </si>
  <si>
    <t>高井　和馬</t>
  </si>
  <si>
    <t>出岡　大輝</t>
  </si>
  <si>
    <t>岡庭　裕貴</t>
  </si>
  <si>
    <t>佐藤　遵樹</t>
  </si>
  <si>
    <t>小牟田　洋佑</t>
  </si>
  <si>
    <t>石田　雅俊</t>
  </si>
  <si>
    <t>岡田　翔平</t>
  </si>
  <si>
    <t>川田　拳登</t>
  </si>
  <si>
    <t>岩田　拓也</t>
  </si>
  <si>
    <t>小林　祐太</t>
  </si>
  <si>
    <t>盛田　剛平</t>
  </si>
  <si>
    <t>山本　海人</t>
  </si>
  <si>
    <t>近藤　直也</t>
  </si>
  <si>
    <t>多々良　敦斗</t>
  </si>
  <si>
    <t>溝渕　雄志</t>
  </si>
  <si>
    <t>西野　貴治</t>
  </si>
  <si>
    <t>佐藤　勇人</t>
  </si>
  <si>
    <t>アランダ</t>
  </si>
  <si>
    <t>羽生　直剛</t>
  </si>
  <si>
    <t>清武　功暉</t>
  </si>
  <si>
    <t>ラリベイ</t>
  </si>
  <si>
    <t>武田　博行</t>
  </si>
  <si>
    <t>安西　幸輝</t>
  </si>
  <si>
    <t>中後　雅喜</t>
  </si>
  <si>
    <t>内田　達也</t>
  </si>
  <si>
    <t>田村　直也</t>
  </si>
  <si>
    <t>橋本　英郎</t>
  </si>
  <si>
    <t>渡辺　皓太</t>
  </si>
  <si>
    <t>高木　大輔</t>
  </si>
  <si>
    <t>碓井　健平</t>
  </si>
  <si>
    <t>渡辺　健太</t>
  </si>
  <si>
    <t>ボリス　タタール</t>
  </si>
  <si>
    <t>大田　隼輔</t>
  </si>
  <si>
    <t>松本　怜大</t>
  </si>
  <si>
    <t>大谷　尚輝</t>
  </si>
  <si>
    <t>谷澤　達也</t>
  </si>
  <si>
    <t>吉濱　遼平</t>
  </si>
  <si>
    <t>平戸　太貴</t>
  </si>
  <si>
    <t>高丘　陽平</t>
  </si>
  <si>
    <t>市川　暉記</t>
  </si>
  <si>
    <t>藤井　悠太</t>
  </si>
  <si>
    <t>渡邉　将基</t>
  </si>
  <si>
    <t>新井　純平</t>
  </si>
  <si>
    <t>カルフィン　ヨン　ア　ピン</t>
  </si>
  <si>
    <t>小宮山　尊信</t>
  </si>
  <si>
    <t>佐藤　謙介</t>
  </si>
  <si>
    <t>増山　朝陽</t>
  </si>
  <si>
    <t>イバ</t>
  </si>
  <si>
    <t>中山　雄希</t>
  </si>
  <si>
    <t>秋元　陽太</t>
  </si>
  <si>
    <t>後藤　雅明</t>
  </si>
  <si>
    <t>岡﨑　亮平</t>
  </si>
  <si>
    <t>坪井　慶介</t>
  </si>
  <si>
    <t>石原　広教</t>
  </si>
  <si>
    <t>杉岡　大暉</t>
  </si>
  <si>
    <t>岡本　拓也</t>
  </si>
  <si>
    <t>菊地　俊介</t>
  </si>
  <si>
    <t>秋野　央樹</t>
  </si>
  <si>
    <t>石川　俊輝</t>
  </si>
  <si>
    <t>神谷　優太</t>
  </si>
  <si>
    <t>山田　直輝</t>
  </si>
  <si>
    <t>山根　視来</t>
  </si>
  <si>
    <t>藤田　征也</t>
  </si>
  <si>
    <t>齊藤　未月</t>
  </si>
  <si>
    <t>下田　北斗</t>
  </si>
  <si>
    <t>奈良輪　雄太</t>
  </si>
  <si>
    <t>藤田　祥史</t>
  </si>
  <si>
    <t>村山　智彦</t>
  </si>
  <si>
    <t>ゴ　ドンミン</t>
  </si>
  <si>
    <t>當間　建文</t>
  </si>
  <si>
    <t>星原　健太</t>
  </si>
  <si>
    <t>那須川　将大</t>
  </si>
  <si>
    <t>下川　陽太</t>
  </si>
  <si>
    <t>セルジーニョ</t>
  </si>
  <si>
    <t>パウリーニョ</t>
  </si>
  <si>
    <t>石原　崇兆</t>
  </si>
  <si>
    <t>岡本　知剛</t>
  </si>
  <si>
    <t>高崎　寛之</t>
  </si>
  <si>
    <t>山本　大貴</t>
  </si>
  <si>
    <t>岡　佳樹</t>
  </si>
  <si>
    <t>作田　裕次</t>
  </si>
  <si>
    <t>榎本　滉大</t>
  </si>
  <si>
    <t>石田　崚真</t>
  </si>
  <si>
    <t>大橋　尚志</t>
  </si>
  <si>
    <t>山藤　健太</t>
  </si>
  <si>
    <t>杉浦　恭平</t>
  </si>
  <si>
    <t>宮崎　幾笑</t>
  </si>
  <si>
    <t>大槻　優平</t>
  </si>
  <si>
    <t>星野　有亮</t>
  </si>
  <si>
    <t>垣田　裕暉</t>
  </si>
  <si>
    <t>山﨑　雅人</t>
  </si>
  <si>
    <t>武田　洋平</t>
  </si>
  <si>
    <t>荻　晃太</t>
  </si>
  <si>
    <t>櫛引　一紀</t>
  </si>
  <si>
    <t>古林　将太</t>
  </si>
  <si>
    <t>宮地　元貴</t>
  </si>
  <si>
    <t>内田　健太</t>
  </si>
  <si>
    <t>磯村　亮太</t>
  </si>
  <si>
    <t>田鍋　陵太</t>
  </si>
  <si>
    <t>宮原　和也</t>
  </si>
  <si>
    <t>小林　裕紀</t>
  </si>
  <si>
    <t>杉森　考起</t>
  </si>
  <si>
    <t>深堀　隼平</t>
  </si>
  <si>
    <t>梶山　幹太</t>
  </si>
  <si>
    <t>押谷　祐樹</t>
  </si>
  <si>
    <t>松本　孝平</t>
  </si>
  <si>
    <t>ビクトル</t>
  </si>
  <si>
    <t>田代　雅也</t>
  </si>
  <si>
    <t>福村　貴幸</t>
  </si>
  <si>
    <t>大本　祐槻</t>
  </si>
  <si>
    <t>野澤　英之</t>
  </si>
  <si>
    <t>風間　宏矢</t>
  </si>
  <si>
    <t>田森　大己</t>
  </si>
  <si>
    <t>永島　悠史</t>
  </si>
  <si>
    <t>古橋　亨梧</t>
  </si>
  <si>
    <t>薮内　健人</t>
  </si>
  <si>
    <t>菅野　孝憲</t>
  </si>
  <si>
    <t>若原　智哉</t>
  </si>
  <si>
    <t>湯澤　聖人</t>
  </si>
  <si>
    <t>本多　勇喜</t>
  </si>
  <si>
    <t>染谷　悠太</t>
  </si>
  <si>
    <t>麻田　将吾</t>
  </si>
  <si>
    <t>石櫃　洋祐</t>
  </si>
  <si>
    <t>田村　亮介</t>
  </si>
  <si>
    <t>ハ　ソンミン</t>
  </si>
  <si>
    <t>仙頭　啓矢</t>
  </si>
  <si>
    <t>小屋松　知哉</t>
  </si>
  <si>
    <t>島村　拓弥</t>
  </si>
  <si>
    <t>岩崎　悠人</t>
  </si>
  <si>
    <t>大黒　将志</t>
  </si>
  <si>
    <t>櫛引　政敏</t>
  </si>
  <si>
    <t>イ　キョンテ</t>
  </si>
  <si>
    <t>久木田　紳吾</t>
  </si>
  <si>
    <t>竹田　忠嗣</t>
  </si>
  <si>
    <t>下口　稚葉</t>
  </si>
  <si>
    <t>チャン　ソグォン</t>
  </si>
  <si>
    <t>大竹　洋平</t>
  </si>
  <si>
    <t>関戸　健二</t>
  </si>
  <si>
    <t>武田　将平</t>
  </si>
  <si>
    <t>塚川　孝輝</t>
  </si>
  <si>
    <t>片山　瑛一</t>
  </si>
  <si>
    <t>豊川　雄太</t>
  </si>
  <si>
    <t>石川　隆汰</t>
  </si>
  <si>
    <t>吉満　大介</t>
  </si>
  <si>
    <t>渡辺　広大</t>
  </si>
  <si>
    <t>福元　洋平</t>
  </si>
  <si>
    <t>前　貴之</t>
  </si>
  <si>
    <t>香川　勇気</t>
  </si>
  <si>
    <t>星　雄次</t>
  </si>
  <si>
    <t>小野瀬　康介</t>
  </si>
  <si>
    <t>池上　丈二</t>
  </si>
  <si>
    <t>清永　丈瑠</t>
  </si>
  <si>
    <t>小塚　和季</t>
  </si>
  <si>
    <t>岸田　和人</t>
  </si>
  <si>
    <t>米澤　令衣</t>
  </si>
  <si>
    <t>大石　治寿</t>
  </si>
  <si>
    <t>松原　修平</t>
  </si>
  <si>
    <t>中島　大貴</t>
  </si>
  <si>
    <t>長澤　拓哉</t>
  </si>
  <si>
    <t>永田　亮太</t>
  </si>
  <si>
    <t>高木　和正</t>
  </si>
  <si>
    <t>仲間　隼斗</t>
  </si>
  <si>
    <t>我那覇　和樹</t>
  </si>
  <si>
    <t>木島　徹也</t>
  </si>
  <si>
    <t>木島　良輔</t>
  </si>
  <si>
    <t>梶川　裕嗣</t>
  </si>
  <si>
    <t>松澤　香輝</t>
  </si>
  <si>
    <t>大﨑　玲央</t>
  </si>
  <si>
    <t>冨田　大介</t>
  </si>
  <si>
    <t>川上　エドオジョン　智慧</t>
  </si>
  <si>
    <t>杉本　太郎</t>
  </si>
  <si>
    <t>小西　雄大</t>
  </si>
  <si>
    <t>山﨑　凌吾</t>
  </si>
  <si>
    <t>馬渡　洋樹</t>
  </si>
  <si>
    <t>三原　向平</t>
  </si>
  <si>
    <t>藤田　息吹</t>
  </si>
  <si>
    <t>近藤　貴司</t>
  </si>
  <si>
    <t>安田　晃大</t>
  </si>
  <si>
    <t>神田　夢実</t>
  </si>
  <si>
    <t>小暮　大器</t>
  </si>
  <si>
    <t>有田　光希</t>
  </si>
  <si>
    <t>丹羽　詩温</t>
  </si>
  <si>
    <t>神山　竜一</t>
  </si>
  <si>
    <t>山ノ井　拓己</t>
  </si>
  <si>
    <t>濱田　水輝</t>
  </si>
  <si>
    <t>駒野　友一</t>
  </si>
  <si>
    <t>實藤　友紀</t>
  </si>
  <si>
    <t>冨安　健洋</t>
  </si>
  <si>
    <t>亀川　諒史</t>
  </si>
  <si>
    <t>堤　俊輔</t>
  </si>
  <si>
    <t>下坂　晃城</t>
  </si>
  <si>
    <t>岩下　敬輔</t>
  </si>
  <si>
    <t>ダニルソン</t>
  </si>
  <si>
    <t>三門　雄大</t>
  </si>
  <si>
    <t>為田　大貴</t>
  </si>
  <si>
    <t>末吉　隼也</t>
  </si>
  <si>
    <t>ジウシーニョ</t>
  </si>
  <si>
    <t>三島　勇太</t>
  </si>
  <si>
    <t>中原　貴之</t>
  </si>
  <si>
    <t>城後　寿</t>
  </si>
  <si>
    <t>坂田　大輔</t>
  </si>
  <si>
    <t>石津　大介</t>
  </si>
  <si>
    <t>ウェリントン</t>
  </si>
  <si>
    <t>邦本　宜裕</t>
  </si>
  <si>
    <t>崎村　祐丞</t>
  </si>
  <si>
    <t>増田　卓也</t>
  </si>
  <si>
    <t>奥田　達朗</t>
  </si>
  <si>
    <t>田代　真一</t>
  </si>
  <si>
    <t>髙杉　亮太</t>
  </si>
  <si>
    <t>乾　大知</t>
  </si>
  <si>
    <t>村上　佑介</t>
  </si>
  <si>
    <t>福田　健介</t>
  </si>
  <si>
    <t>前田　悠佑</t>
  </si>
  <si>
    <t>田中　輝希</t>
  </si>
  <si>
    <t>古部　健太</t>
  </si>
  <si>
    <t>吉岡　雅和</t>
  </si>
  <si>
    <t>林田　隆介</t>
  </si>
  <si>
    <t>野村　政孝</t>
  </si>
  <si>
    <t>園田　拓也</t>
  </si>
  <si>
    <t>片山　奨典</t>
  </si>
  <si>
    <t>小谷　祐喜</t>
  </si>
  <si>
    <t>光永　祐也</t>
  </si>
  <si>
    <t>安　柄俊</t>
  </si>
  <si>
    <t>グスタボ</t>
  </si>
  <si>
    <t>林　祥太</t>
  </si>
  <si>
    <t>修行　智仁</t>
  </si>
  <si>
    <t>上福元　直人</t>
  </si>
  <si>
    <t>高木　駿</t>
  </si>
  <si>
    <t>山口　貴弘</t>
  </si>
  <si>
    <t>鈴木　義宜</t>
  </si>
  <si>
    <t>福森　直也</t>
  </si>
  <si>
    <t>岸田　翔平</t>
  </si>
  <si>
    <t>佐藤　昂洋</t>
  </si>
  <si>
    <t>岩田　智輝</t>
  </si>
  <si>
    <t>黄　誠秀</t>
  </si>
  <si>
    <t>小手川　宏基</t>
  </si>
  <si>
    <t>姫野　宥弥</t>
  </si>
  <si>
    <t>坂井　大将</t>
  </si>
  <si>
    <t>前田　凌佑</t>
  </si>
  <si>
    <t>野上　拓哉</t>
  </si>
  <si>
    <t>伊佐　耕平</t>
  </si>
  <si>
    <t>三平　和司</t>
  </si>
  <si>
    <t>川西　翔太</t>
  </si>
  <si>
    <t>Ryuichi Kamiyama</t>
  </si>
  <si>
    <t>Akishige Kaneda</t>
  </si>
  <si>
    <t>Takumi Yamanoi</t>
  </si>
  <si>
    <t>Mizuki Hamada</t>
  </si>
  <si>
    <t>Yuichi Komano</t>
  </si>
  <si>
    <t>Yuki Saneto</t>
  </si>
  <si>
    <t>Masashi Kamekawa</t>
  </si>
  <si>
    <t>Shunsuke Tsutsumi</t>
  </si>
  <si>
    <t>Hokuto Nakamura</t>
  </si>
  <si>
    <t>Koki Shimosaka</t>
  </si>
  <si>
    <t>Danilson</t>
  </si>
  <si>
    <t>Hirotaka Tameda</t>
  </si>
  <si>
    <t>Toshiya Sueyoshi</t>
  </si>
  <si>
    <t>Koji Yamase</t>
  </si>
  <si>
    <t>Yuta Mishima</t>
  </si>
  <si>
    <t>Riki Matsuda</t>
  </si>
  <si>
    <t>Takayuki Nakahara</t>
  </si>
  <si>
    <t>Hisashi Jogo</t>
  </si>
  <si>
    <t>Daisuke Sakata</t>
  </si>
  <si>
    <t>Daisuke Ishizu</t>
  </si>
  <si>
    <t>Takahiro Kunimoto</t>
  </si>
  <si>
    <t>Yusuke Sakimura</t>
  </si>
  <si>
    <t>Seong-Su Park</t>
  </si>
  <si>
    <t>Daiki Nishioka</t>
  </si>
  <si>
    <t>Kohei Mihara</t>
  </si>
  <si>
    <t>Shuhei Hotta</t>
  </si>
  <si>
    <t>Yuki Fukaya</t>
  </si>
  <si>
    <t>Makoto Rindo</t>
  </si>
  <si>
    <t>Ibuki Fujita</t>
  </si>
  <si>
    <t>Kodai Yasuda</t>
  </si>
  <si>
    <t>Kosuke Shirai</t>
  </si>
  <si>
    <t>Daiki Kogure</t>
  </si>
  <si>
    <t>Junki Koike</t>
  </si>
  <si>
    <t>Koki Arita</t>
  </si>
  <si>
    <t>Go Nishida</t>
  </si>
  <si>
    <t>Kazuhisa Kawahara</t>
  </si>
  <si>
    <t>Kazuma Shiina</t>
  </si>
  <si>
    <t>Masatoshi Kushibiki</t>
  </si>
  <si>
    <t>Jun Ichimori</t>
  </si>
  <si>
    <t>Kota Nitadori</t>
  </si>
  <si>
    <t>Tadashi Takeda</t>
  </si>
  <si>
    <t>Akira Kaji</t>
  </si>
  <si>
    <t>Yoshitatsu Itano</t>
  </si>
  <si>
    <t>Hideki Ishige</t>
  </si>
  <si>
    <t>Yohei Otake</t>
  </si>
  <si>
    <t>Kohei Kiyama</t>
  </si>
  <si>
    <t>Kenji Sekido</t>
  </si>
  <si>
    <t>Hyung-Jin Park</t>
  </si>
  <si>
    <t>Makoto Mimura</t>
  </si>
  <si>
    <t>Yuki Tanaka</t>
  </si>
  <si>
    <t>Satoshi Tokizawa</t>
  </si>
  <si>
    <t>Yoshinari Takagi</t>
  </si>
  <si>
    <t>Víctor Ibáñez</t>
  </si>
  <si>
    <t>Masaya Tashiro</t>
  </si>
  <si>
    <t>Kentaro Kai</t>
  </si>
  <si>
    <t>Jun Suzuki</t>
  </si>
  <si>
    <t>Go Iwase</t>
  </si>
  <si>
    <t>Tsubasa Aoki</t>
  </si>
  <si>
    <t>Paulo Junichi Tanaka</t>
  </si>
  <si>
    <t>Hideyuki Nozawa</t>
  </si>
  <si>
    <t>Koya Kazama</t>
  </si>
  <si>
    <t>Yuto Ono</t>
  </si>
  <si>
    <t>Yushi Nagashima</t>
  </si>
  <si>
    <t>Ryo Takiya</t>
  </si>
  <si>
    <t>Hiroaki Namba</t>
  </si>
  <si>
    <t>Masahiro Okamoto</t>
  </si>
  <si>
    <t>Yuya Sato</t>
  </si>
  <si>
    <t>Kaito Yamamoto</t>
  </si>
  <si>
    <t>Chorufan Ono</t>
  </si>
  <si>
    <t>Kengo Kitazume</t>
  </si>
  <si>
    <t>Atsuto Tatara</t>
  </si>
  <si>
    <t>Masashi Wakasa</t>
  </si>
  <si>
    <t>Dae-Heon Lee</t>
  </si>
  <si>
    <t>Yusuke Higa</t>
  </si>
  <si>
    <t>Shohei Abe</t>
  </si>
  <si>
    <t>Takaharu Nishino</t>
  </si>
  <si>
    <t>Masaki Yamamoto</t>
  </si>
  <si>
    <t>Eduardo Aranda</t>
  </si>
  <si>
    <t>Jorge Salinas</t>
  </si>
  <si>
    <t>Naotake Hanyu</t>
  </si>
  <si>
    <t>Koki Kiyotake</t>
  </si>
  <si>
    <t>Joaquín Larrivey</t>
  </si>
  <si>
    <t>Takayuki Funayama</t>
  </si>
  <si>
    <t>Hiroki Sugajima</t>
  </si>
  <si>
    <t>Shuhei Matsubara</t>
  </si>
  <si>
    <t>Takuya Seguchi</t>
  </si>
  <si>
    <t>Taiki Nakajima</t>
  </si>
  <si>
    <t>Atsushi Ichimura</t>
  </si>
  <si>
    <t>Yusuke Takeda</t>
  </si>
  <si>
    <t>Hironori Nishi</t>
  </si>
  <si>
    <t>Kota Ogino</t>
  </si>
  <si>
    <t>Daigo Watanabe</t>
  </si>
  <si>
    <t>Ryota Nagata</t>
  </si>
  <si>
    <t>Tomoya Osawa</t>
  </si>
  <si>
    <t>Kazumasa Takagi</t>
  </si>
  <si>
    <t>Kenji Baba</t>
  </si>
  <si>
    <t>Taishi Tsunada</t>
  </si>
  <si>
    <t>Kazuki Ganaha</t>
  </si>
  <si>
    <t>Yuki Fuke</t>
  </si>
  <si>
    <t>Yuki Morikawa</t>
  </si>
  <si>
    <t>Ryosuke Kijima</t>
  </si>
  <si>
    <t>Takanori Sugeno</t>
  </si>
  <si>
    <t>Keisuke Shimizu</t>
  </si>
  <si>
    <t>Tatsunari Nagai</t>
  </si>
  <si>
    <t>Masato Yuzawa</t>
  </si>
  <si>
    <t>Yuki Honda</t>
  </si>
  <si>
    <t>Yusuke Muta</t>
  </si>
  <si>
    <t>Kyohei Uchida</t>
  </si>
  <si>
    <t>Ryosuke Tamura</t>
  </si>
  <si>
    <t>Reo Mochizuki</t>
  </si>
  <si>
    <t>Shun Ito</t>
  </si>
  <si>
    <t>Tomoya Koyamatsu</t>
  </si>
  <si>
    <t>Kevin Oris</t>
  </si>
  <si>
    <t>Yong-Jae Lee</t>
  </si>
  <si>
    <t>Masashi Oguro</t>
  </si>
  <si>
    <t>Toshiyasu Takahara</t>
  </si>
  <si>
    <t>Kempei Usui</t>
  </si>
  <si>
    <t>Kenta Watanabe</t>
  </si>
  <si>
    <t>Kodai Fujii</t>
  </si>
  <si>
    <t>Boris Tatar</t>
  </si>
  <si>
    <t>Satoru Hoshino</t>
  </si>
  <si>
    <t>Song-Gi Kim</t>
  </si>
  <si>
    <t>Ryohei Yoshihama</t>
  </si>
  <si>
    <t>Kota Morimura</t>
  </si>
  <si>
    <t>Hiroki Todaka</t>
  </si>
  <si>
    <t>Koji Suzuki</t>
  </si>
  <si>
    <t>Junki Endo</t>
  </si>
  <si>
    <t>Yuki Nakashima</t>
  </si>
  <si>
    <t>Kentaro Shigematsu</t>
  </si>
  <si>
    <t>Tomohiko Murayama</t>
  </si>
  <si>
    <t>Tomoyuki Suzuki</t>
  </si>
  <si>
    <t>Eisuke Fujishima</t>
  </si>
  <si>
    <t>Sung-Hye Yeo</t>
  </si>
  <si>
    <t>Hayuma Tanaka</t>
  </si>
  <si>
    <t>Jun Ando</t>
  </si>
  <si>
    <t>Keita Goto</t>
  </si>
  <si>
    <t>Diego</t>
  </si>
  <si>
    <t>Takefumi Toma</t>
  </si>
  <si>
    <t>Masahiro Nasukawa</t>
  </si>
  <si>
    <t>Kenshiro Tanioku</t>
  </si>
  <si>
    <t>Yuya Hashiuchi</t>
  </si>
  <si>
    <t>Yu Yasukawa</t>
  </si>
  <si>
    <t>Yudai Iwama</t>
  </si>
  <si>
    <t>Takuya Takei</t>
  </si>
  <si>
    <t>Kohei Kudo</t>
  </si>
  <si>
    <t>Paulinho</t>
  </si>
  <si>
    <t>Takayoshi Ishihara</t>
  </si>
  <si>
    <t>Tomotaka Okamoto</t>
  </si>
  <si>
    <t>Takaaki Shichi</t>
  </si>
  <si>
    <t>Hiroyuki Takasaki</t>
  </si>
  <si>
    <t>Kohei Mishima</t>
  </si>
  <si>
    <t>Yoshiki Oka</t>
  </si>
  <si>
    <t>Koji Homma</t>
  </si>
  <si>
    <t>Takashi Kasahara</t>
  </si>
  <si>
    <t>Akihisa Okada</t>
  </si>
  <si>
    <t>Taiki Tamukai</t>
  </si>
  <si>
    <t>Kazuki Sato</t>
  </si>
  <si>
    <t>Makito Ito</t>
  </si>
  <si>
    <t>Junya Imase</t>
  </si>
  <si>
    <t>Paulao</t>
  </si>
  <si>
    <t>Ryusei Saito</t>
  </si>
  <si>
    <t>Kohei Uchida</t>
  </si>
  <si>
    <t>Keisuke Funatani</t>
  </si>
  <si>
    <t>Keita Tanaka</t>
  </si>
  <si>
    <t>Sho Sato</t>
  </si>
  <si>
    <t>Yosuke Yuzawa</t>
  </si>
  <si>
    <t>Eiji Shirai</t>
  </si>
  <si>
    <t>Yosuke Nakagawa</t>
  </si>
  <si>
    <t>Masato Kojima</t>
  </si>
  <si>
    <t>Shota Saito</t>
  </si>
  <si>
    <t>Young-Jin Kwon</t>
  </si>
  <si>
    <t>Ryohei Hayashi</t>
  </si>
  <si>
    <t>Hiroki Bandai</t>
  </si>
  <si>
    <t>Taisei Kadoguchi</t>
  </si>
  <si>
    <t>Yuki Yamamura</t>
  </si>
  <si>
    <t>Takuya Miyamoto</t>
  </si>
  <si>
    <t>Tsuyoshi Kodama</t>
  </si>
  <si>
    <t>Daiki Tomii</t>
  </si>
  <si>
    <t>Hayato Settsu</t>
  </si>
  <si>
    <t>Kazuki Segawa</t>
  </si>
  <si>
    <t>Tatsuya Ishikawa</t>
  </si>
  <si>
    <t>Kenichi Kaga</t>
  </si>
  <si>
    <t>Je-Seung Lee</t>
  </si>
  <si>
    <t>Kenji Arabori</t>
  </si>
  <si>
    <t>Toshiya Takagi</t>
  </si>
  <si>
    <t>Koki Kazama</t>
  </si>
  <si>
    <t>Shun Nakamura</t>
  </si>
  <si>
    <t>Koya Yuruki</t>
  </si>
  <si>
    <t>Bon-Hyeok Koo</t>
  </si>
  <si>
    <t>Yuto Suzuki</t>
  </si>
  <si>
    <t>Toyofumi Sakano</t>
  </si>
  <si>
    <t>Ayumu Nagato</t>
  </si>
  <si>
    <t>Masato Nakayama</t>
  </si>
  <si>
    <t>Yohei Takeda</t>
  </si>
  <si>
    <t>Tsubasa Shibuya</t>
  </si>
  <si>
    <t>Kota Ogi</t>
  </si>
  <si>
    <t>Kazuki Kushibiki</t>
  </si>
  <si>
    <t>Charles</t>
  </si>
  <si>
    <t>Shun Obu</t>
  </si>
  <si>
    <t>Shota Kobayashi</t>
  </si>
  <si>
    <t>Ryo Takahashi</t>
  </si>
  <si>
    <t>Ryusuke Sakai</t>
  </si>
  <si>
    <t>Ryota Tanabe</t>
  </si>
  <si>
    <t>Kazuya Miyahara</t>
  </si>
  <si>
    <t>Yuki Kobayashi</t>
  </si>
  <si>
    <t>Asahi Yada</t>
  </si>
  <si>
    <t>Koki Sugimori</t>
  </si>
  <si>
    <t>Kanta Kajiyama</t>
  </si>
  <si>
    <t>Felipe Garcia</t>
  </si>
  <si>
    <t>Ryuji Sugimoto</t>
  </si>
  <si>
    <t>Tomohito Shugyo</t>
  </si>
  <si>
    <t>Naoto Kamifukumoto</t>
  </si>
  <si>
    <t>Takahiro Yamaguchi</t>
  </si>
  <si>
    <t>Kyohei Kuroki</t>
  </si>
  <si>
    <t>Yoshinori Suzuki</t>
  </si>
  <si>
    <t>Naoya Fukumori</t>
  </si>
  <si>
    <t>Shohei Kishida</t>
  </si>
  <si>
    <t>Koyo Sato</t>
  </si>
  <si>
    <t>Tomoki Iwata</t>
  </si>
  <si>
    <t>Tatsuya Sakai</t>
  </si>
  <si>
    <t>Song-Su Hwang</t>
  </si>
  <si>
    <t>Satoru Yamagishi</t>
  </si>
  <si>
    <t>Shintaro Kokubu</t>
  </si>
  <si>
    <t>Koki Kotegawa</t>
  </si>
  <si>
    <t>Yuya Himeno</t>
  </si>
  <si>
    <t>Daisuke Sakai</t>
  </si>
  <si>
    <t>Ryosuke Maeda</t>
  </si>
  <si>
    <t>Yohei Hayashi</t>
  </si>
  <si>
    <t>Kohei Isa</t>
  </si>
  <si>
    <t>Yosei Otsu</t>
  </si>
  <si>
    <t>Kazushi Mitsuhira</t>
  </si>
  <si>
    <t>Tsubasa Yoshihara</t>
  </si>
  <si>
    <t>Masaaki Murakami</t>
  </si>
  <si>
    <t>Genki Yamada</t>
  </si>
  <si>
    <t>Daisuke Yoshimitsu</t>
  </si>
  <si>
    <t>Chan-Yong Park</t>
  </si>
  <si>
    <t>Yuki Kagawa</t>
  </si>
  <si>
    <t>Yuji Hoshi</t>
  </si>
  <si>
    <t>Yuma Hiroki</t>
  </si>
  <si>
    <t>Kentaro Sato</t>
  </si>
  <si>
    <t>Kosuke Onose</t>
  </si>
  <si>
    <t>Hideya Okamoto</t>
  </si>
  <si>
    <t>Kazuhito Kishida</t>
  </si>
  <si>
    <t>Rei Yonezawa</t>
  </si>
  <si>
    <t>Tsugutoshi Oishi</t>
  </si>
  <si>
    <t>Akihiro Sato</t>
  </si>
  <si>
    <t>Minoru Hata</t>
  </si>
  <si>
    <t>Masataka Nomura</t>
  </si>
  <si>
    <t>Ryujiro Ueda</t>
  </si>
  <si>
    <t>Shosuke Katayama</t>
  </si>
  <si>
    <t>Yuya Mitsunaga</t>
  </si>
  <si>
    <t>Jun Sonoda</t>
  </si>
  <si>
    <t>Hayate Hachikubo</t>
  </si>
  <si>
    <t>Takuro Uehara</t>
  </si>
  <si>
    <t>Yuto Nakayama</t>
  </si>
  <si>
    <t>Shusuke Yonehara</t>
  </si>
  <si>
    <t>Shuhei Kamimura</t>
  </si>
  <si>
    <t>Minoru Suganuma</t>
  </si>
  <si>
    <t>Ryuichi Hirashige</t>
  </si>
  <si>
    <t>Gustavo</t>
  </si>
  <si>
    <t>Tatsuya Tanaka</t>
  </si>
  <si>
    <t>Keita Saito</t>
  </si>
  <si>
    <t>Seiichiro Maki</t>
  </si>
  <si>
    <t>Yota Akimoto</t>
  </si>
  <si>
    <t>Go Ito</t>
  </si>
  <si>
    <t>Ryohei Okazaki</t>
  </si>
  <si>
    <t>Keisuke Tsuboi</t>
  </si>
  <si>
    <t>Hirokazu Ishihara</t>
  </si>
  <si>
    <t>Tsuyoshi Shimamura</t>
  </si>
  <si>
    <t>Takuya Okamoto</t>
  </si>
  <si>
    <t>Hiroki Akino</t>
  </si>
  <si>
    <t>Toshiki Ishikawa</t>
  </si>
  <si>
    <t>Yuta Kamiya</t>
  </si>
  <si>
    <t>Naoki Yamada</t>
  </si>
  <si>
    <t>Chiquinho</t>
  </si>
  <si>
    <t>Miki Yamane</t>
  </si>
  <si>
    <t>Mitsuki Saito</t>
  </si>
  <si>
    <t>Eijiro Takeda</t>
  </si>
  <si>
    <t>Hokuto Shimoda</t>
  </si>
  <si>
    <t>Yuta Narawa</t>
  </si>
  <si>
    <t>Akira Ando</t>
  </si>
  <si>
    <t>Yoshihito Fujita</t>
  </si>
  <si>
    <t>Ryunosuke Noda</t>
  </si>
  <si>
    <t>Jin Hanato</t>
  </si>
  <si>
    <t>Genta Omotehara</t>
  </si>
  <si>
    <t>Tsuyoshi Miyaichi</t>
  </si>
  <si>
    <t>Keiki Shimizu</t>
  </si>
  <si>
    <t>Yuta Suzuki</t>
  </si>
  <si>
    <t>b</t>
    <phoneticPr fontId="21" type="noConversion"/>
  </si>
  <si>
    <t>児玉　剛</t>
  </si>
  <si>
    <t>ク　ボンヒョク</t>
  </si>
  <si>
    <t>永藤　歩</t>
  </si>
  <si>
    <t>橋本　晃司</t>
  </si>
  <si>
    <t>佐藤　祥</t>
  </si>
  <si>
    <t>外山　凌</t>
  </si>
  <si>
    <t>ハン　ホドン</t>
  </si>
  <si>
    <t>阿部　巧</t>
  </si>
  <si>
    <t>村田　翔</t>
  </si>
  <si>
    <t>早坂　龍之介</t>
  </si>
  <si>
    <t>永井　雄一郎</t>
  </si>
  <si>
    <t>イ　ガンウ</t>
  </si>
  <si>
    <t>ホルヘ　サリーナス</t>
  </si>
  <si>
    <t>吉田　眞紀人</t>
  </si>
  <si>
    <t>古川　大悟</t>
  </si>
  <si>
    <t>FW</t>
    <phoneticPr fontId="21" type="noConversion"/>
  </si>
  <si>
    <t>井林　章</t>
  </si>
  <si>
    <t>畠中　槙之輔</t>
  </si>
  <si>
    <t>ドウグラス　ヴィエイラ</t>
  </si>
  <si>
    <t>平本　一樹</t>
  </si>
  <si>
    <t>星野　悟</t>
  </si>
  <si>
    <t>重松　健太郎</t>
  </si>
  <si>
    <t>橋村　龍ジョセフ</t>
  </si>
  <si>
    <t>田所　諒</t>
  </si>
  <si>
    <t>楠元　秀真</t>
  </si>
  <si>
    <t>ナ　ソンス</t>
  </si>
  <si>
    <t>山本　凌太郎</t>
  </si>
  <si>
    <t>伊藤　剛</t>
  </si>
  <si>
    <t>タンドウ　ベラピ</t>
  </si>
  <si>
    <t>アンドレ　バイア</t>
  </si>
  <si>
    <t>島村　毅</t>
  </si>
  <si>
    <t>シキーニョ</t>
  </si>
  <si>
    <t>武田　英二郎</t>
  </si>
  <si>
    <t>安東　輝</t>
  </si>
  <si>
    <t>ジネイ</t>
  </si>
  <si>
    <t>野田　隆之介</t>
  </si>
  <si>
    <t>端戸　仁</t>
  </si>
  <si>
    <t>宮市　剛</t>
  </si>
  <si>
    <t>ヨ　ソンヘ</t>
  </si>
  <si>
    <t>安藤　淳</t>
  </si>
  <si>
    <t>ジエゴ</t>
  </si>
  <si>
    <t>谷奥　健四郎</t>
  </si>
  <si>
    <t>安川　有</t>
  </si>
  <si>
    <t>秋葉　勝</t>
  </si>
  <si>
    <t>キム　テソン</t>
  </si>
  <si>
    <t>シャルレス</t>
  </si>
  <si>
    <t>大武　峻</t>
  </si>
  <si>
    <t>高橋　諒</t>
  </si>
  <si>
    <t>ワシントン</t>
  </si>
  <si>
    <t>矢田　旭</t>
  </si>
  <si>
    <t>シモビッチ</t>
  </si>
  <si>
    <t>常澤　聡</t>
  </si>
  <si>
    <t>甲斐　健太郎</t>
  </si>
  <si>
    <t>鈴木　潤</t>
  </si>
  <si>
    <t>磐瀬　剛</t>
  </si>
  <si>
    <t>ヘニキ</t>
  </si>
  <si>
    <t>青木　翼</t>
  </si>
  <si>
    <t>シシーニョ</t>
  </si>
  <si>
    <t>山田　晃平</t>
  </si>
  <si>
    <t>クリスチャン</t>
  </si>
  <si>
    <t>瀧谷　亮</t>
  </si>
  <si>
    <t>MF</t>
    <phoneticPr fontId="21" type="noConversion"/>
  </si>
  <si>
    <t>田中　マルクス闘莉王</t>
  </si>
  <si>
    <t>伊東　俊</t>
  </si>
  <si>
    <t>ケヴィン　オリス</t>
  </si>
  <si>
    <t>エスクデロ　競飛王</t>
  </si>
  <si>
    <t>大野　耀平</t>
  </si>
  <si>
    <t>椎名　一馬</t>
  </si>
  <si>
    <t>一森　純</t>
  </si>
  <si>
    <t>加地　亮</t>
  </si>
  <si>
    <t>篠原　弘次郎</t>
  </si>
  <si>
    <t>石毛　秀樹</t>
  </si>
  <si>
    <t>パク　ヒョンジン</t>
  </si>
  <si>
    <t>三村　真</t>
  </si>
  <si>
    <t>佐藤　健太郎</t>
  </si>
  <si>
    <t>髙柳　一誠</t>
  </si>
  <si>
    <t>原　一樹</t>
  </si>
  <si>
    <t>長谷川　徹</t>
  </si>
  <si>
    <t>ヴァシリェヴィッチ</t>
  </si>
  <si>
    <t>藤原　広太朗</t>
  </si>
  <si>
    <t>石井　秀典</t>
  </si>
  <si>
    <t>キム　ジョンピル</t>
  </si>
  <si>
    <t>久米　航太郎</t>
  </si>
  <si>
    <t>カルリーニョス</t>
  </si>
  <si>
    <t>岩尾　憲</t>
  </si>
  <si>
    <t>松村　亮</t>
  </si>
  <si>
    <t>濱田　武</t>
  </si>
  <si>
    <t>井澤　惇</t>
  </si>
  <si>
    <t>アシチェリッチ</t>
  </si>
  <si>
    <t>藤原　志龍</t>
  </si>
  <si>
    <t>パク　ソンス</t>
  </si>
  <si>
    <t>堀田　秀平</t>
  </si>
  <si>
    <t>林堂　眞</t>
  </si>
  <si>
    <t>小島　秀仁</t>
  </si>
  <si>
    <t>西田　剛</t>
  </si>
  <si>
    <t>兼田　亜季重</t>
  </si>
  <si>
    <t>松田　力</t>
  </si>
  <si>
    <t>ウィリアン　ポッピ</t>
  </si>
  <si>
    <t>飯尾　竜太朗</t>
  </si>
  <si>
    <t>幸野　志有人</t>
  </si>
  <si>
    <t>木村　裕</t>
  </si>
  <si>
    <t>翁長　聖</t>
  </si>
  <si>
    <t>澤田　崇</t>
  </si>
  <si>
    <t>畑　実</t>
  </si>
  <si>
    <t>イム　ジンウ</t>
  </si>
  <si>
    <t>植田　龍仁朗</t>
  </si>
  <si>
    <t>ヤン　サンジュン</t>
  </si>
  <si>
    <t>薗田　淳</t>
  </si>
  <si>
    <t>八久保　颯</t>
  </si>
  <si>
    <t>上里　一将</t>
  </si>
  <si>
    <t>米原　秀亮</t>
  </si>
  <si>
    <t>菅沼　実</t>
  </si>
  <si>
    <t>巻　誠一郎</t>
  </si>
  <si>
    <t>竹内　彬</t>
  </si>
  <si>
    <t>山岸　智</t>
  </si>
  <si>
    <t>國分　伸太郎</t>
  </si>
  <si>
    <t>鈴木　惇</t>
  </si>
  <si>
    <t>大津　耀誠</t>
  </si>
  <si>
    <t>吉平　翼</t>
  </si>
  <si>
    <t>Seung-Ri Park</t>
  </si>
  <si>
    <t>Ayumi Niekawa</t>
  </si>
  <si>
    <t>Tetsuya Funatsu</t>
  </si>
  <si>
    <t>Yusuke Kawagishi</t>
  </si>
  <si>
    <t>Takumi Abe</t>
  </si>
  <si>
    <t>Keita Ichikawa</t>
  </si>
  <si>
    <t>Toshiki Nakamura</t>
  </si>
  <si>
    <t>Tatsuki Kobayashi</t>
  </si>
  <si>
    <t>Matheus</t>
  </si>
  <si>
    <t>Sho Murata</t>
  </si>
  <si>
    <t>Daiki Deoka</t>
  </si>
  <si>
    <t>Junki Sato</t>
  </si>
  <si>
    <t>Shunta Shimura</t>
  </si>
  <si>
    <t>Shunta Takahashi</t>
  </si>
  <si>
    <t>Yuichiro Nagai</t>
  </si>
  <si>
    <t>Yosuke Komuta</t>
  </si>
  <si>
    <t>Shohei Okada</t>
  </si>
  <si>
    <t>Kento Kawata</t>
  </si>
  <si>
    <t>Takuya Iwata</t>
  </si>
  <si>
    <t>Kang-Uk Lee</t>
  </si>
  <si>
    <t>Kohei Morita</t>
  </si>
  <si>
    <t>Toru Hasegawa</t>
  </si>
  <si>
    <t>Takashi Aizawa</t>
  </si>
  <si>
    <t>Yuji Kajikawa</t>
  </si>
  <si>
    <t>Koki Matsuzawa</t>
  </si>
  <si>
    <t>Nikola Vasiljevic</t>
  </si>
  <si>
    <t>Leo Osaki</t>
  </si>
  <si>
    <t>Hidenori Ishii</t>
  </si>
  <si>
    <t>Rikuya Izutsu</t>
  </si>
  <si>
    <t>Yuto Uchida</t>
  </si>
  <si>
    <t>Jong-Pil Kim</t>
  </si>
  <si>
    <t>Rikuto Hirose</t>
  </si>
  <si>
    <t>Daisuke Tomita</t>
  </si>
  <si>
    <t>Yuji Kimura</t>
  </si>
  <si>
    <t>Ken Iwao</t>
  </si>
  <si>
    <t>Junya Osaki</t>
  </si>
  <si>
    <t>Yatsunori Shimaya</t>
  </si>
  <si>
    <t>Ryo Matsumura</t>
  </si>
  <si>
    <t>Takeshi Hamada</t>
  </si>
  <si>
    <t>Atsushi Izawa</t>
  </si>
  <si>
    <t>Yudai Konishi</t>
  </si>
  <si>
    <t>Nikola Asceric</t>
  </si>
  <si>
    <t>Daiki Watari</t>
  </si>
  <si>
    <t>Ryogo Yamasaki</t>
  </si>
  <si>
    <t>Taiga Maekawa</t>
  </si>
  <si>
    <t>Takahiro Shibasaki</t>
  </si>
  <si>
    <t>Gakuji Ota</t>
  </si>
  <si>
    <t>Hiroyuki Takeda</t>
  </si>
  <si>
    <t>Keisuke Naito</t>
  </si>
  <si>
    <t>Koki Anzai</t>
  </si>
  <si>
    <t>Akira Ibayashi</t>
  </si>
  <si>
    <t>Shinnosuke Hatanaka</t>
  </si>
  <si>
    <t>Tomohiro Taira</t>
  </si>
  <si>
    <t>Kazuki Anzai</t>
  </si>
  <si>
    <t>Shogo Hayashi</t>
  </si>
  <si>
    <t>Jumpei Takaki</t>
  </si>
  <si>
    <t>Masaki Chugo</t>
  </si>
  <si>
    <t>Tatsuya Uchida</t>
  </si>
  <si>
    <t>Naoya Tamura</t>
  </si>
  <si>
    <t>Hideo Hashimoto</t>
  </si>
  <si>
    <t>Takahiro Futagawa</t>
  </si>
  <si>
    <t>Kota Watanabe</t>
  </si>
  <si>
    <t>Ryota Kajikawa</t>
  </si>
  <si>
    <t>Douglas Vieira</t>
  </si>
  <si>
    <t>Daisuke Takagi</t>
  </si>
  <si>
    <t>Kazuki Hiramoto</t>
  </si>
  <si>
    <t>Yuta Minami</t>
  </si>
  <si>
    <t>Yohei Takaoka</t>
  </si>
  <si>
    <t>Masaki Watanabe</t>
  </si>
  <si>
    <t>Shogo Nishikawa</t>
  </si>
  <si>
    <t>Jumpei Arai</t>
  </si>
  <si>
    <t>Shuma Kusumoto</t>
  </si>
  <si>
    <t>Takanobu Komiyama</t>
  </si>
  <si>
    <t>Takahiro Nakazato</t>
  </si>
  <si>
    <t>Naoki Nomura</t>
  </si>
  <si>
    <t>Shinichi Terada</t>
  </si>
  <si>
    <t>Yosuke Nozaki</t>
  </si>
  <si>
    <t>Asahi Masuyama</t>
  </si>
  <si>
    <t>Sung-Soo Na</t>
  </si>
  <si>
    <t>Keita Ishii</t>
  </si>
  <si>
    <t>Yota Maejima</t>
  </si>
  <si>
    <t>Tomohiro Tsuda</t>
  </si>
  <si>
    <t>Ibba Laajab</t>
  </si>
  <si>
    <t>Yuki Nakayama</t>
  </si>
  <si>
    <t>Kosuke Saito</t>
  </si>
  <si>
    <t>Tetsuya Okubo</t>
  </si>
  <si>
    <t>Yuto Shirai</t>
  </si>
  <si>
    <t>Yoshinobu Harada</t>
  </si>
  <si>
    <t>Naoki Harada</t>
  </si>
  <si>
    <t>Shinya Awatari</t>
  </si>
  <si>
    <t>Yuji Sakuda</t>
  </si>
  <si>
    <t>Kodai Enomoto</t>
  </si>
  <si>
    <t>Mendes</t>
  </si>
  <si>
    <t>Koji Noda</t>
  </si>
  <si>
    <t>Keisuke Minegishi</t>
  </si>
  <si>
    <t>Hisashi Ohashi</t>
  </si>
  <si>
    <t>Masaru Akiba</t>
  </si>
  <si>
    <t>Kenta Yamafuji</t>
  </si>
  <si>
    <t>Kyohei Sugiura</t>
  </si>
  <si>
    <t>Yuhei Otsuki</t>
  </si>
  <si>
    <t>Yusuke Hoshino</t>
  </si>
  <si>
    <t>Tae-Sung Kim</t>
  </si>
  <si>
    <t>Koichi Sato</t>
  </si>
  <si>
    <t>Masahiro Kaneko</t>
  </si>
  <si>
    <t>Yuki Kakita</t>
  </si>
  <si>
    <t>Masato Yamazaki</t>
  </si>
  <si>
    <t>Avispa Fukuoka</t>
    <phoneticPr fontId="21" type="noConversion"/>
  </si>
  <si>
    <t>Oita Trinita</t>
    <phoneticPr fontId="21" type="noConversion"/>
  </si>
  <si>
    <t>Shonan Bellmare</t>
    <phoneticPr fontId="21" type="noConversion"/>
  </si>
  <si>
    <t>Nagoya Grampus</t>
    <phoneticPr fontId="21" type="noConversion"/>
  </si>
  <si>
    <t>b</t>
  </si>
  <si>
    <t>X-1</t>
    <phoneticPr fontId="21" type="noConversion"/>
  </si>
  <si>
    <t>X1</t>
    <phoneticPr fontId="21" type="noConversion"/>
  </si>
  <si>
    <t>X2</t>
    <phoneticPr fontId="21" type="noConversion"/>
  </si>
  <si>
    <t>S</t>
    <phoneticPr fontId="21" type="noConversion"/>
  </si>
  <si>
    <t>X-2</t>
    <phoneticPr fontId="21" type="noConversion"/>
  </si>
  <si>
    <t>s1</t>
    <phoneticPr fontId="21" type="noConversion"/>
  </si>
  <si>
    <t>LT</t>
    <phoneticPr fontId="21" type="noConversion"/>
  </si>
  <si>
    <t>??</t>
    <phoneticPr fontId="21" type="noConversion"/>
  </si>
  <si>
    <t>inj</t>
    <phoneticPr fontId="21" type="noConversion"/>
  </si>
  <si>
    <t>Hiroki MAWATARI</t>
    <phoneticPr fontId="21" type="noConversion"/>
  </si>
  <si>
    <t>Yumemi KANDA</t>
  </si>
  <si>
    <t>Ryuga SUZUKI</t>
  </si>
  <si>
    <t>Shion NIWA</t>
  </si>
  <si>
    <t>LEE Kyungtae</t>
  </si>
  <si>
    <t>Shohei TAKEDA</t>
  </si>
  <si>
    <t>Yuki OMOTO</t>
  </si>
  <si>
    <t>Kohei YAMADA</t>
  </si>
  <si>
    <t>CRISTIAN</t>
  </si>
  <si>
    <t>Kyogo FURUHASHI</t>
  </si>
  <si>
    <t>Kento YABUUCHI</t>
  </si>
  <si>
    <t>Yushi MIZOBUCHI</t>
  </si>
  <si>
    <t>Issei TAKAHASHI</t>
  </si>
  <si>
    <t>Daigo FURUKAWA</t>
  </si>
  <si>
    <t>Takuya NAGASAWA</t>
  </si>
  <si>
    <t>Fumiya TAMAKI</t>
  </si>
  <si>
    <t>Shogo ASADA</t>
  </si>
  <si>
    <t>Takuya SHIMAMURA</t>
  </si>
  <si>
    <t>Shunsuke OTA</t>
  </si>
  <si>
    <t>Ryujoseph HASHIMURA</t>
  </si>
  <si>
    <t>GOH Dong Min</t>
  </si>
  <si>
    <t>Kenta HOSHIHARA</t>
  </si>
  <si>
    <t>Yota SHIMOKAWA</t>
  </si>
  <si>
    <t>Takuma HAMASAKI</t>
  </si>
  <si>
    <t>Koji HASHIMOTO</t>
  </si>
  <si>
    <t>Ryo TOYAMA</t>
  </si>
  <si>
    <t>Naruki TAKAHASHI</t>
  </si>
  <si>
    <t>Genki MIYACHI</t>
  </si>
  <si>
    <t>Ryota ISOMURA</t>
  </si>
  <si>
    <t>Shumpei FUKAHORI</t>
  </si>
  <si>
    <t>Kohei MATSUMOTO</t>
  </si>
  <si>
    <t>Takuya NOGAMI</t>
  </si>
  <si>
    <t>Issei TAKAYANAGI</t>
  </si>
  <si>
    <t>Joji IKEGAMI</t>
  </si>
  <si>
    <t>Takeru KIYONAGA</t>
  </si>
  <si>
    <t>LIM Jin Woo</t>
  </si>
  <si>
    <t>YANG Sang Jun</t>
  </si>
  <si>
    <t>Yasuaki OKAMOTO</t>
  </si>
  <si>
    <t>Shota HAYASHI</t>
  </si>
  <si>
    <t>Masaaki GOTO</t>
  </si>
  <si>
    <t>HAN Ho Dong</t>
  </si>
  <si>
    <t>Masato FUJIWARA</t>
  </si>
  <si>
    <t>Kazuma TAKAI</t>
  </si>
  <si>
    <t>Yuki OKANIWA</t>
  </si>
  <si>
    <t>Ryunosuke HAYASAKA</t>
  </si>
  <si>
    <t>Yuta KOBAYASHI</t>
  </si>
  <si>
    <t>Kotaro KUME</t>
  </si>
  <si>
    <t>Chie EDOOJON KAWAKAMI</t>
  </si>
  <si>
    <t>Shiryu FUJIWARA</t>
  </si>
  <si>
    <t>Masaomi NAKANO</t>
  </si>
  <si>
    <t>Akinori ICHIKAWA</t>
  </si>
  <si>
    <t>JEONG Chung Geun</t>
  </si>
  <si>
    <t>Ryotaro YAMAMOTO</t>
  </si>
  <si>
    <t>KIM Young Heon</t>
  </si>
  <si>
    <t>Yasuhito TOMITA</t>
  </si>
  <si>
    <t>鈴木　孝司</t>
    <phoneticPr fontId="21" type="noConversion"/>
  </si>
  <si>
    <t>s1</t>
    <phoneticPr fontId="21" type="noConversion"/>
  </si>
  <si>
    <t>X2</t>
    <phoneticPr fontId="21" type="noConversion"/>
  </si>
  <si>
    <t>OG</t>
    <phoneticPr fontId="21" type="noConversion"/>
  </si>
  <si>
    <t>X-1</t>
    <phoneticPr fontId="21" type="noConversion"/>
  </si>
  <si>
    <t>X-1</t>
    <phoneticPr fontId="21" type="noConversion"/>
  </si>
  <si>
    <t>X1</t>
    <phoneticPr fontId="21" type="noConversion"/>
  </si>
  <si>
    <t>S</t>
    <phoneticPr fontId="21" type="noConversion"/>
  </si>
  <si>
    <t>X1</t>
    <phoneticPr fontId="21" type="noConversion"/>
  </si>
  <si>
    <t>X2</t>
    <phoneticPr fontId="21" type="noConversion"/>
  </si>
  <si>
    <t>LT</t>
    <phoneticPr fontId="21" type="noConversion"/>
  </si>
  <si>
    <t>X1</t>
    <phoneticPr fontId="21" type="noConversion"/>
  </si>
  <si>
    <t>inj</t>
    <phoneticPr fontId="21" type="noConversion"/>
  </si>
  <si>
    <t>inj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</si>
  <si>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</si>
  <si>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</si>
  <si>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</si>
  <si>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</si>
  <si>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inj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</si>
  <si>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</si>
  <si>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</si>
  <si>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</si>
  <si>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</si>
  <si>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</si>
  <si>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s1</t>
    <phoneticPr fontId="21" type="noConversion"/>
  </si>
  <si>
    <t>X</t>
    <phoneticPr fontId="21" type="noConversion"/>
  </si>
  <si>
    <t>X-</t>
    <phoneticPr fontId="21" type="noConversion"/>
  </si>
  <si>
    <t>X</t>
    <phoneticPr fontId="21" type="noConversion"/>
  </si>
  <si>
    <t>b</t>
    <phoneticPr fontId="21" type="noConversion"/>
  </si>
  <si>
    <t>b</t>
    <phoneticPr fontId="21" type="noConversion"/>
  </si>
  <si>
    <t>s</t>
    <phoneticPr fontId="21" type="noConversion"/>
  </si>
  <si>
    <t>X-1</t>
    <phoneticPr fontId="21" type="noConversion"/>
  </si>
  <si>
    <t>OG</t>
    <phoneticPr fontId="21" type="noConversion"/>
  </si>
  <si>
    <t>X1</t>
    <phoneticPr fontId="21" type="noConversion"/>
  </si>
  <si>
    <t>S-</t>
    <phoneticPr fontId="21" type="noConversion"/>
  </si>
  <si>
    <t>X2</t>
    <phoneticPr fontId="21" type="noConversion"/>
  </si>
  <si>
    <t>s</t>
    <phoneticPr fontId="21" type="noConversion"/>
  </si>
  <si>
    <t>X-1</t>
    <phoneticPr fontId="21" type="noConversion"/>
  </si>
  <si>
    <t>X-1</t>
    <phoneticPr fontId="21" type="noConversion"/>
  </si>
  <si>
    <t>Keiya Sento</t>
    <phoneticPr fontId="21" type="noConversion"/>
  </si>
  <si>
    <t>Tomoya Wakahara</t>
    <phoneticPr fontId="21" type="noConversion"/>
  </si>
  <si>
    <t>Yohei Ono</t>
    <phoneticPr fontId="21" type="noConversion"/>
  </si>
  <si>
    <t>CB</t>
    <phoneticPr fontId="21" type="noConversion"/>
  </si>
  <si>
    <t>CB</t>
    <phoneticPr fontId="21" type="noConversion"/>
  </si>
  <si>
    <t>RB</t>
    <phoneticPr fontId="21" type="noConversion"/>
  </si>
  <si>
    <t>RB</t>
    <phoneticPr fontId="21" type="noConversion"/>
  </si>
  <si>
    <t>LB</t>
    <phoneticPr fontId="21" type="noConversion"/>
  </si>
  <si>
    <t>DM</t>
    <phoneticPr fontId="21" type="noConversion"/>
  </si>
  <si>
    <t>CM</t>
    <phoneticPr fontId="21" type="noConversion"/>
  </si>
  <si>
    <t>LM</t>
    <phoneticPr fontId="21" type="noConversion"/>
  </si>
  <si>
    <t>SS</t>
    <phoneticPr fontId="21" type="noConversion"/>
  </si>
  <si>
    <t>RM</t>
    <phoneticPr fontId="21" type="noConversion"/>
  </si>
  <si>
    <t>CF</t>
    <phoneticPr fontId="21" type="noConversion"/>
  </si>
  <si>
    <t>RW</t>
    <phoneticPr fontId="21" type="noConversion"/>
  </si>
  <si>
    <t>LW</t>
    <phoneticPr fontId="21" type="noConversion"/>
  </si>
  <si>
    <t>FW</t>
    <phoneticPr fontId="21" type="noConversion"/>
  </si>
  <si>
    <t>CB</t>
    <phoneticPr fontId="21" type="noConversion"/>
  </si>
  <si>
    <t>AM</t>
    <phoneticPr fontId="21" type="noConversion"/>
  </si>
  <si>
    <t>CF</t>
    <phoneticPr fontId="21" type="noConversion"/>
  </si>
  <si>
    <t>MF</t>
    <phoneticPr fontId="21" type="noConversion"/>
  </si>
  <si>
    <t>FW</t>
    <phoneticPr fontId="21" type="noConversion"/>
  </si>
  <si>
    <t>inj</t>
    <phoneticPr fontId="21" type="noConversion"/>
  </si>
  <si>
    <t>LT</t>
    <phoneticPr fontId="21" type="noConversion"/>
  </si>
  <si>
    <t>inj</t>
    <phoneticPr fontId="21" type="noConversion"/>
  </si>
  <si>
    <t>inj</t>
    <phoneticPr fontId="21" type="noConversion"/>
  </si>
  <si>
    <t>LT</t>
    <phoneticPr fontId="21" type="noConversion"/>
  </si>
  <si>
    <t>LT</t>
    <phoneticPr fontId="21" type="noConversion"/>
  </si>
  <si>
    <t>LT</t>
    <phoneticPr fontId="21" type="noConversion"/>
  </si>
  <si>
    <t>Takuya Honda</t>
    <phoneticPr fontId="21" type="noConversion"/>
  </si>
  <si>
    <t>Yuki Kotani</t>
    <phoneticPr fontId="21" type="noConversion"/>
  </si>
  <si>
    <t>OG</t>
    <phoneticPr fontId="21" type="noConversion"/>
  </si>
  <si>
    <t>LT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</si>
  <si>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</si>
  <si>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</si>
  <si>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</si>
  <si>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CB</t>
    <phoneticPr fontId="21" type="noConversion"/>
  </si>
  <si>
    <t>LB</t>
    <phoneticPr fontId="21" type="noConversion"/>
  </si>
  <si>
    <t>DM</t>
    <phoneticPr fontId="21" type="noConversion"/>
  </si>
  <si>
    <t>AM</t>
    <phoneticPr fontId="21" type="noConversion"/>
  </si>
  <si>
    <t>CM</t>
    <phoneticPr fontId="21" type="noConversion"/>
  </si>
  <si>
    <t>SS</t>
    <phoneticPr fontId="21" type="noConversion"/>
  </si>
  <si>
    <t>LM</t>
    <phoneticPr fontId="21" type="noConversion"/>
  </si>
  <si>
    <t>RM</t>
    <phoneticPr fontId="21" type="noConversion"/>
  </si>
  <si>
    <t>CF</t>
    <phoneticPr fontId="21" type="noConversion"/>
  </si>
  <si>
    <t>CB</t>
    <phoneticPr fontId="21" type="noConversion"/>
  </si>
  <si>
    <t>RB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</si>
  <si>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</si>
  <si>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</si>
  <si>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</si>
  <si>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FW</t>
    <phoneticPr fontId="21" type="noConversion"/>
  </si>
  <si>
    <t>CB</t>
    <phoneticPr fontId="21" type="noConversion"/>
  </si>
  <si>
    <t>RB</t>
    <phoneticPr fontId="21" type="noConversion"/>
  </si>
  <si>
    <t>RW</t>
    <phoneticPr fontId="21" type="noConversion"/>
  </si>
  <si>
    <t>LW</t>
    <phoneticPr fontId="21" type="noConversion"/>
  </si>
  <si>
    <t>RB</t>
    <phoneticPr fontId="21" type="noConversion"/>
  </si>
  <si>
    <t>CB</t>
    <phoneticPr fontId="21" type="noConversion"/>
  </si>
  <si>
    <t>LB</t>
    <phoneticPr fontId="21" type="noConversion"/>
  </si>
  <si>
    <t>LB</t>
    <phoneticPr fontId="21" type="noConversion"/>
  </si>
  <si>
    <t>DM</t>
    <phoneticPr fontId="21" type="noConversion"/>
  </si>
  <si>
    <t>AM</t>
    <phoneticPr fontId="21" type="noConversion"/>
  </si>
  <si>
    <t>AM</t>
    <phoneticPr fontId="21" type="noConversion"/>
  </si>
  <si>
    <t>CF</t>
    <phoneticPr fontId="21" type="noConversion"/>
  </si>
  <si>
    <t>CF</t>
    <phoneticPr fontId="21" type="noConversion"/>
  </si>
  <si>
    <t>SS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</si>
  <si>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</si>
  <si>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</si>
  <si>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</si>
  <si>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CM</t>
    <phoneticPr fontId="21" type="noConversion"/>
  </si>
  <si>
    <t>LW</t>
    <phoneticPr fontId="21" type="noConversion"/>
  </si>
  <si>
    <t>LM</t>
    <phoneticPr fontId="21" type="noConversion"/>
  </si>
  <si>
    <t>RM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</si>
  <si>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</si>
  <si>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</si>
  <si>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</si>
  <si>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LB</t>
    <phoneticPr fontId="21" type="noConversion"/>
  </si>
  <si>
    <t>CB</t>
    <phoneticPr fontId="21" type="noConversion"/>
  </si>
  <si>
    <t>RB</t>
    <phoneticPr fontId="21" type="noConversion"/>
  </si>
  <si>
    <t>CM</t>
    <phoneticPr fontId="21" type="noConversion"/>
  </si>
  <si>
    <t>DM</t>
    <phoneticPr fontId="21" type="noConversion"/>
  </si>
  <si>
    <t>AM</t>
    <phoneticPr fontId="21" type="noConversion"/>
  </si>
  <si>
    <t>DM</t>
    <phoneticPr fontId="21" type="noConversion"/>
  </si>
  <si>
    <t>CF</t>
    <phoneticPr fontId="21" type="noConversion"/>
  </si>
  <si>
    <t>LW</t>
    <phoneticPr fontId="21" type="noConversion"/>
  </si>
  <si>
    <t>CM</t>
    <phoneticPr fontId="21" type="noConversion"/>
  </si>
  <si>
    <t>LW</t>
    <phoneticPr fontId="21" type="noConversion"/>
  </si>
  <si>
    <t>SS</t>
    <phoneticPr fontId="21" type="noConversion"/>
  </si>
  <si>
    <t>RW</t>
    <phoneticPr fontId="21" type="noConversion"/>
  </si>
  <si>
    <t>LM</t>
    <phoneticPr fontId="21" type="noConversion"/>
  </si>
  <si>
    <t>RM</t>
    <phoneticPr fontId="21" type="noConversion"/>
  </si>
  <si>
    <t>LM</t>
    <phoneticPr fontId="21" type="noConversion"/>
  </si>
  <si>
    <t>CB</t>
    <phoneticPr fontId="21" type="noConversion"/>
  </si>
  <si>
    <t>DM</t>
    <phoneticPr fontId="21" type="noConversion"/>
  </si>
  <si>
    <t>LB</t>
    <phoneticPr fontId="21" type="noConversion"/>
  </si>
  <si>
    <t>RB</t>
    <phoneticPr fontId="21" type="noConversion"/>
  </si>
  <si>
    <t>RW</t>
    <phoneticPr fontId="21" type="noConversion"/>
  </si>
  <si>
    <t>RW</t>
    <phoneticPr fontId="21" type="noConversion"/>
  </si>
  <si>
    <t>CM</t>
    <phoneticPr fontId="21" type="noConversion"/>
  </si>
  <si>
    <t>AM</t>
    <phoneticPr fontId="21" type="noConversion"/>
  </si>
  <si>
    <t>CF</t>
    <phoneticPr fontId="21" type="noConversion"/>
  </si>
  <si>
    <t>LW</t>
    <phoneticPr fontId="21" type="noConversion"/>
  </si>
  <si>
    <t>DF</t>
    <phoneticPr fontId="21" type="noConversion"/>
  </si>
  <si>
    <t>MF</t>
    <phoneticPr fontId="21" type="noConversion"/>
  </si>
  <si>
    <t>RM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</si>
  <si>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</si>
  <si>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</si>
  <si>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</si>
  <si>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RM</t>
    <phoneticPr fontId="21" type="noConversion"/>
  </si>
  <si>
    <t>SS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</si>
  <si>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</si>
  <si>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</si>
  <si>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</si>
  <si>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Kazuhiro Sato</t>
    <phoneticPr fontId="21" type="noConversion"/>
  </si>
  <si>
    <t>OG</t>
    <phoneticPr fontId="21" type="noConversion"/>
  </si>
  <si>
    <t>X1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</si>
  <si>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</si>
  <si>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</si>
  <si>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</si>
  <si>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ban</t>
    <phoneticPr fontId="21" type="noConversion"/>
  </si>
  <si>
    <t>ミゲル　パジャルド</t>
  </si>
  <si>
    <t>X-1</t>
    <phoneticPr fontId="21" type="noConversion"/>
  </si>
  <si>
    <t>X1</t>
    <phoneticPr fontId="21" type="noConversion"/>
  </si>
  <si>
    <t>inj</t>
    <phoneticPr fontId="21" type="noConversion"/>
  </si>
  <si>
    <t>s2</t>
    <phoneticPr fontId="21" type="noConversion"/>
  </si>
  <si>
    <t>LT</t>
    <phoneticPr fontId="21" type="noConversion"/>
  </si>
  <si>
    <t>X1</t>
    <phoneticPr fontId="21" type="noConversion"/>
  </si>
  <si>
    <t>X-2</t>
    <phoneticPr fontId="21" type="noConversion"/>
  </si>
  <si>
    <t>KIM Byeom Yong</t>
  </si>
  <si>
    <t>キム　ボムヨン</t>
  </si>
  <si>
    <t>DF</t>
    <phoneticPr fontId="21" type="noConversion"/>
  </si>
  <si>
    <t>Hiroshi IBUSUKI</t>
  </si>
  <si>
    <t>指宿　洋史</t>
  </si>
  <si>
    <t>FW</t>
    <phoneticPr fontId="21" type="noConversion"/>
  </si>
  <si>
    <t>s1</t>
    <phoneticPr fontId="21" type="noConversion"/>
  </si>
  <si>
    <t>X1</t>
    <phoneticPr fontId="21" type="noConversion"/>
  </si>
  <si>
    <t>s1</t>
    <phoneticPr fontId="21" type="noConversion"/>
  </si>
  <si>
    <t>S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</si>
  <si>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</si>
  <si>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</si>
  <si>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</si>
  <si>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</si>
  <si>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</si>
  <si>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inj</t>
    <phoneticPr fontId="21" type="noConversion"/>
  </si>
  <si>
    <t>inj</t>
    <phoneticPr fontId="21" type="noConversion"/>
  </si>
  <si>
    <t>int</t>
    <phoneticPr fontId="21" type="noConversion"/>
  </si>
  <si>
    <t>LT</t>
    <phoneticPr fontId="21" type="noConversion"/>
  </si>
  <si>
    <t>Seiya Fujita</t>
    <phoneticPr fontId="21" type="noConversion"/>
  </si>
  <si>
    <t>CB</t>
    <phoneticPr fontId="21" type="noConversion"/>
  </si>
  <si>
    <t>Kohei Kuroki</t>
    <phoneticPr fontId="21" type="noConversion"/>
  </si>
  <si>
    <t>X</t>
    <phoneticPr fontId="21" type="noConversion"/>
  </si>
  <si>
    <t>Takafumi SHIMIZU</t>
  </si>
  <si>
    <t>清水　貴文</t>
  </si>
  <si>
    <t>X-1</t>
    <phoneticPr fontId="21" type="noConversion"/>
  </si>
  <si>
    <t>S-1</t>
    <phoneticPr fontId="21" type="noConversion"/>
  </si>
  <si>
    <t>X1</t>
    <phoneticPr fontId="21" type="noConversion"/>
  </si>
  <si>
    <t>X-1</t>
    <phoneticPr fontId="21" type="noConversion"/>
  </si>
  <si>
    <t>??</t>
    <phoneticPr fontId="21" type="noConversion"/>
  </si>
  <si>
    <t>S-</t>
    <phoneticPr fontId="21" type="noConversion"/>
  </si>
  <si>
    <t>X1</t>
    <phoneticPr fontId="21" type="noConversion"/>
  </si>
  <si>
    <t>X1</t>
    <phoneticPr fontId="21" type="noConversion"/>
  </si>
  <si>
    <t>int</t>
    <phoneticPr fontId="21" type="noConversion"/>
  </si>
  <si>
    <t>s1</t>
    <phoneticPr fontId="21" type="noConversion"/>
  </si>
  <si>
    <t>髙橋　壱晟</t>
    <phoneticPr fontId="21" type="noConversion"/>
  </si>
  <si>
    <t>X-</t>
    <phoneticPr fontId="21" type="noConversion"/>
  </si>
  <si>
    <t>inj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</si>
  <si>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</si>
  <si>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</si>
  <si>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</si>
  <si>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ban</t>
    <phoneticPr fontId="21" type="noConversion"/>
  </si>
  <si>
    <t>int</t>
    <phoneticPr fontId="21" type="noConversion"/>
  </si>
  <si>
    <t>Sergio Ariel Escudero</t>
    <phoneticPr fontId="21" type="noConversion"/>
  </si>
  <si>
    <t>土岐田　洸平</t>
    <phoneticPr fontId="21" type="noConversion"/>
  </si>
  <si>
    <t>Yamato Machida</t>
    <phoneticPr fontId="21" type="noConversion"/>
  </si>
  <si>
    <t>町田　也真人</t>
    <phoneticPr fontId="21" type="noConversion"/>
  </si>
  <si>
    <t>Taishi Taguchi</t>
    <phoneticPr fontId="21" type="noConversion"/>
  </si>
  <si>
    <t>田口　泰士</t>
    <phoneticPr fontId="21" type="noConversion"/>
  </si>
  <si>
    <t>増田　繁人</t>
  </si>
  <si>
    <t>X1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</si>
  <si>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</si>
  <si>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</si>
  <si>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</si>
  <si>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inj</t>
    <phoneticPr fontId="21" type="noConversion"/>
  </si>
  <si>
    <t>X1</t>
    <phoneticPr fontId="21" type="noConversion"/>
  </si>
  <si>
    <t>S</t>
    <phoneticPr fontId="21" type="noConversion"/>
  </si>
  <si>
    <t>X-1</t>
    <phoneticPr fontId="21" type="noConversion"/>
  </si>
  <si>
    <t>s2</t>
    <phoneticPr fontId="21" type="noConversion"/>
  </si>
  <si>
    <t>X1</t>
    <phoneticPr fontId="21" type="noConversion"/>
  </si>
  <si>
    <t>X-1</t>
    <phoneticPr fontId="21" type="noConversion"/>
  </si>
  <si>
    <t>X-2</t>
    <phoneticPr fontId="21" type="noConversion"/>
  </si>
  <si>
    <t>X1</t>
    <phoneticPr fontId="21" type="noConversion"/>
  </si>
  <si>
    <t>LT</t>
    <phoneticPr fontId="21" type="noConversion"/>
  </si>
  <si>
    <t>s1</t>
    <phoneticPr fontId="21" type="noConversion"/>
  </si>
  <si>
    <t>YOON Seon Ho</t>
  </si>
  <si>
    <t>ユン　ソンホ</t>
  </si>
  <si>
    <t>DF</t>
    <phoneticPr fontId="21" type="noConversion"/>
  </si>
  <si>
    <t>s</t>
    <phoneticPr fontId="21" type="noConversion"/>
  </si>
  <si>
    <t>Makito Yoshida</t>
    <phoneticPr fontId="21" type="noConversion"/>
  </si>
  <si>
    <t>吉田　眞紀人</t>
    <phoneticPr fontId="21" type="noConversion"/>
  </si>
  <si>
    <t>CF</t>
    <phoneticPr fontId="21" type="noConversion"/>
  </si>
  <si>
    <t>s</t>
    <phoneticPr fontId="21" type="noConversion"/>
  </si>
  <si>
    <t>CB</t>
    <phoneticPr fontId="21" type="noConversion"/>
  </si>
  <si>
    <t>LT</t>
    <phoneticPr fontId="21" type="noConversion"/>
  </si>
  <si>
    <t>inj</t>
    <phoneticPr fontId="21" type="noConversion"/>
  </si>
  <si>
    <t>inj</t>
    <phoneticPr fontId="21" type="noConversion"/>
  </si>
  <si>
    <t>X-</t>
    <phoneticPr fontId="21" type="noConversion"/>
  </si>
  <si>
    <t>inj</t>
    <phoneticPr fontId="21" type="noConversion"/>
  </si>
  <si>
    <t>inj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</si>
  <si>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</si>
  <si>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</si>
  <si>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</si>
  <si>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inj</t>
    <phoneticPr fontId="21" type="noConversion"/>
  </si>
  <si>
    <t>X-1</t>
    <phoneticPr fontId="21" type="noConversion"/>
  </si>
  <si>
    <t>s1</t>
    <phoneticPr fontId="21" type="noConversion"/>
  </si>
  <si>
    <t>X-1</t>
    <phoneticPr fontId="21" type="noConversion"/>
  </si>
  <si>
    <t>X1</t>
    <phoneticPr fontId="21" type="noConversion"/>
  </si>
  <si>
    <t>X2</t>
    <phoneticPr fontId="21" type="noConversion"/>
  </si>
  <si>
    <t>s1</t>
    <phoneticPr fontId="21" type="noConversion"/>
  </si>
  <si>
    <t>X3</t>
    <phoneticPr fontId="21" type="noConversion"/>
  </si>
  <si>
    <t>inj</t>
    <phoneticPr fontId="21" type="noConversion"/>
  </si>
  <si>
    <t>inj</t>
    <phoneticPr fontId="21" type="noConversion"/>
  </si>
  <si>
    <t>inj</t>
    <phoneticPr fontId="21" type="noConversion"/>
  </si>
  <si>
    <t>X1</t>
    <phoneticPr fontId="21" type="noConversion"/>
  </si>
  <si>
    <t>X2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</si>
  <si>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</si>
  <si>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</si>
  <si>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</si>
  <si>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CB</t>
    <phoneticPr fontId="21" type="noConversion"/>
  </si>
  <si>
    <t>LB</t>
    <phoneticPr fontId="21" type="noConversion"/>
  </si>
  <si>
    <t>DM</t>
    <phoneticPr fontId="21" type="noConversion"/>
  </si>
  <si>
    <t>CM</t>
    <phoneticPr fontId="21" type="noConversion"/>
  </si>
  <si>
    <t>AM</t>
    <phoneticPr fontId="21" type="noConversion"/>
  </si>
  <si>
    <t>LW</t>
    <phoneticPr fontId="21" type="noConversion"/>
  </si>
  <si>
    <t>LM</t>
    <phoneticPr fontId="21" type="noConversion"/>
  </si>
  <si>
    <t>CF</t>
    <phoneticPr fontId="21" type="noConversion"/>
  </si>
  <si>
    <t>SS</t>
    <phoneticPr fontId="21" type="noConversion"/>
  </si>
  <si>
    <t>GK</t>
    <phoneticPr fontId="21" type="noConversion"/>
  </si>
  <si>
    <t>RB</t>
    <phoneticPr fontId="21" type="noConversion"/>
  </si>
  <si>
    <t>DF</t>
    <phoneticPr fontId="21" type="noConversion"/>
  </si>
  <si>
    <t>MF</t>
    <phoneticPr fontId="21" type="noConversion"/>
  </si>
  <si>
    <t>FW</t>
    <phoneticPr fontId="21" type="noConversion"/>
  </si>
  <si>
    <t>RW</t>
    <phoneticPr fontId="21" type="noConversion"/>
  </si>
  <si>
    <t>RM</t>
    <phoneticPr fontId="21" type="noConversion"/>
  </si>
  <si>
    <t>GK</t>
    <phoneticPr fontId="21" type="noConversion"/>
  </si>
  <si>
    <t>GK</t>
    <phoneticPr fontId="21" type="noConversion"/>
  </si>
  <si>
    <t>DF</t>
    <phoneticPr fontId="21" type="noConversion"/>
  </si>
  <si>
    <t>MF</t>
    <phoneticPr fontId="21" type="noConversion"/>
  </si>
  <si>
    <t>Shigeto MASUDA</t>
    <phoneticPr fontId="21" type="noConversion"/>
  </si>
  <si>
    <t>inj</t>
    <phoneticPr fontId="21" type="noConversion"/>
  </si>
  <si>
    <t>LT</t>
    <phoneticPr fontId="21" type="noConversion"/>
  </si>
  <si>
    <t>X-1</t>
    <phoneticPr fontId="21" type="noConversion"/>
  </si>
  <si>
    <t>s1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</si>
  <si>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</si>
  <si>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</si>
  <si>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</si>
  <si>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</si>
  <si>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</si>
  <si>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ban</t>
    <phoneticPr fontId="21" type="noConversion"/>
  </si>
  <si>
    <t>OG</t>
    <phoneticPr fontId="21" type="noConversion"/>
  </si>
  <si>
    <t>X3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</si>
  <si>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</si>
  <si>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</si>
  <si>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</si>
  <si>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</si>
  <si>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</si>
  <si>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</si>
  <si>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s1</t>
    <phoneticPr fontId="21" type="noConversion"/>
  </si>
  <si>
    <t>X-1</t>
    <phoneticPr fontId="21" type="noConversion"/>
  </si>
  <si>
    <t>Ryuji Izumi</t>
    <phoneticPr fontId="21" type="noConversion"/>
  </si>
  <si>
    <t>和泉　竜司</t>
    <phoneticPr fontId="21" type="noConversion"/>
  </si>
  <si>
    <t>佐藤　寿人</t>
    <phoneticPr fontId="21" type="noConversion"/>
  </si>
  <si>
    <t>三幸　秀稔</t>
    <phoneticPr fontId="21" type="noConversion"/>
  </si>
  <si>
    <t>Naoto Sawai</t>
    <phoneticPr fontId="21" type="noConversion"/>
  </si>
  <si>
    <t>澤井　直人</t>
    <phoneticPr fontId="21" type="noConversion"/>
  </si>
  <si>
    <t>inj</t>
    <phoneticPr fontId="21" type="noConversion"/>
  </si>
  <si>
    <t>Shion Inoue</t>
    <phoneticPr fontId="21" type="noConversion"/>
  </si>
  <si>
    <t>井上　潮音</t>
    <phoneticPr fontId="21" type="noConversion"/>
  </si>
  <si>
    <t>Mitsuru Nagata</t>
    <phoneticPr fontId="21" type="noConversion"/>
  </si>
  <si>
    <t>永田　充</t>
    <phoneticPr fontId="21" type="noConversion"/>
  </si>
  <si>
    <t>Yuko Takase</t>
    <phoneticPr fontId="21" type="noConversion"/>
  </si>
  <si>
    <t>高瀬　優孝</t>
    <phoneticPr fontId="21" type="noConversion"/>
  </si>
  <si>
    <t>Shusuke Tsubouchi</t>
    <phoneticPr fontId="21" type="noConversion"/>
  </si>
  <si>
    <t>坪内　秀介</t>
    <phoneticPr fontId="21" type="noConversion"/>
  </si>
  <si>
    <t>Kohei Tokita</t>
    <phoneticPr fontId="21" type="noConversion"/>
  </si>
  <si>
    <t>Yuya Nakamura</t>
    <phoneticPr fontId="21" type="noConversion"/>
  </si>
  <si>
    <t>中村　祐也</t>
    <phoneticPr fontId="21" type="noConversion"/>
  </si>
  <si>
    <t>Akihiro Sato</t>
    <phoneticPr fontId="21" type="noConversion"/>
  </si>
  <si>
    <t>佐藤　晃大</t>
    <phoneticPr fontId="21" type="noConversion"/>
  </si>
  <si>
    <t>Ryutaro Shibata</t>
    <phoneticPr fontId="21" type="noConversion"/>
  </si>
  <si>
    <t>柴田　隆太朗</t>
    <phoneticPr fontId="21" type="noConversion"/>
  </si>
  <si>
    <t>飯田　真輝</t>
    <phoneticPr fontId="21" type="noConversion"/>
  </si>
  <si>
    <t>inj</t>
    <phoneticPr fontId="21" type="noConversion"/>
  </si>
  <si>
    <t>Hiroto Tanaka</t>
    <phoneticPr fontId="21" type="noConversion"/>
  </si>
  <si>
    <t>田中　裕人</t>
    <phoneticPr fontId="21" type="noConversion"/>
  </si>
  <si>
    <t>Yutaro Hara</t>
    <phoneticPr fontId="21" type="noConversion"/>
  </si>
  <si>
    <t>原　裕太郎</t>
    <phoneticPr fontId="21" type="noConversion"/>
  </si>
  <si>
    <t>田上　大地</t>
    <phoneticPr fontId="21" type="noConversion"/>
  </si>
  <si>
    <t>島田　譲</t>
    <phoneticPr fontId="21" type="noConversion"/>
  </si>
  <si>
    <t>Tando Velaphi</t>
    <phoneticPr fontId="21" type="noConversion"/>
  </si>
  <si>
    <t>Kaoru Takayama</t>
    <phoneticPr fontId="21" type="noConversion"/>
  </si>
  <si>
    <t>高山　薫</t>
    <phoneticPr fontId="21" type="noConversion"/>
  </si>
  <si>
    <t>Rei Matsumoto</t>
    <phoneticPr fontId="21" type="noConversion"/>
  </si>
  <si>
    <t>松本　怜</t>
    <phoneticPr fontId="21" type="noConversion"/>
  </si>
  <si>
    <t>Takumi Kiyomoto</t>
    <phoneticPr fontId="21" type="noConversion"/>
  </si>
  <si>
    <t>清本　拓己</t>
    <phoneticPr fontId="21" type="noConversion"/>
  </si>
  <si>
    <t>Suk-Won Jang</t>
    <phoneticPr fontId="21" type="noConversion"/>
  </si>
  <si>
    <t>Yoshiki Fujimoto</t>
    <phoneticPr fontId="21" type="noConversion"/>
  </si>
  <si>
    <t>藤本　佳希</t>
    <phoneticPr fontId="21" type="noConversion"/>
  </si>
  <si>
    <t>澤口　雅彦</t>
    <phoneticPr fontId="21" type="noConversion"/>
  </si>
  <si>
    <t>Naoki Kuriyama</t>
    <phoneticPr fontId="21" type="noConversion"/>
  </si>
  <si>
    <t>栗山　直樹</t>
    <phoneticPr fontId="21" type="noConversion"/>
  </si>
  <si>
    <t>Hirokazu Usami</t>
    <phoneticPr fontId="21" type="noConversion"/>
  </si>
  <si>
    <t>宇佐美　宏和</t>
    <phoneticPr fontId="21" type="noConversion"/>
  </si>
  <si>
    <t>Yuhei Sato</t>
    <phoneticPr fontId="21" type="noConversion"/>
  </si>
  <si>
    <t>佐藤　優平</t>
    <phoneticPr fontId="21" type="noConversion"/>
  </si>
  <si>
    <t>Shuto Minami</t>
    <phoneticPr fontId="21" type="noConversion"/>
  </si>
  <si>
    <t>南　秀仁</t>
    <phoneticPr fontId="21" type="noConversion"/>
  </si>
  <si>
    <t>Kazuya Sunamori</t>
    <phoneticPr fontId="21" type="noConversion"/>
  </si>
  <si>
    <t>砂森　和也</t>
    <phoneticPr fontId="21" type="noConversion"/>
  </si>
  <si>
    <t>Kai Miki</t>
    <phoneticPr fontId="21" type="noConversion"/>
  </si>
  <si>
    <t>三鬼　海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</si>
  <si>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</si>
  <si>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</si>
  <si>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</si>
  <si>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X1</t>
    <phoneticPr fontId="21" type="noConversion"/>
  </si>
  <si>
    <t>X-1</t>
    <phoneticPr fontId="21" type="noConversion"/>
  </si>
  <si>
    <t>LT</t>
    <phoneticPr fontId="21" type="noConversion"/>
  </si>
  <si>
    <t>inj</t>
    <phoneticPr fontId="21" type="noConversion"/>
  </si>
  <si>
    <t>X1</t>
    <phoneticPr fontId="21" type="noConversion"/>
  </si>
  <si>
    <t>X2</t>
    <phoneticPr fontId="21" type="noConversion"/>
  </si>
  <si>
    <t>CHOI Joongi</t>
  </si>
  <si>
    <t>チェ　ジュンギ</t>
  </si>
  <si>
    <t>DF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</si>
  <si>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</si>
  <si>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</si>
  <si>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</si>
  <si>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</si>
  <si>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X-2</t>
    <phoneticPr fontId="21" type="noConversion"/>
  </si>
  <si>
    <t>inj</t>
    <phoneticPr fontId="21" type="noConversion"/>
  </si>
  <si>
    <t>LT</t>
    <phoneticPr fontId="21" type="noConversion"/>
  </si>
  <si>
    <t>s1</t>
    <phoneticPr fontId="21" type="noConversion"/>
  </si>
  <si>
    <t>s1</t>
    <phoneticPr fontId="21" type="noConversion"/>
  </si>
  <si>
    <t>X-1</t>
    <phoneticPr fontId="21" type="noConversion"/>
  </si>
  <si>
    <t>モルベッキ</t>
  </si>
  <si>
    <t>MORBECK</t>
  </si>
  <si>
    <t>FW</t>
    <phoneticPr fontId="21" type="noConversion"/>
  </si>
  <si>
    <t>X1</t>
    <phoneticPr fontId="21" type="noConversion"/>
  </si>
  <si>
    <t>X-1</t>
    <phoneticPr fontId="21" type="noConversion"/>
  </si>
  <si>
    <t>André Bahia</t>
    <phoneticPr fontId="21" type="noConversion"/>
  </si>
  <si>
    <t>Tsubasa Kubo</t>
    <phoneticPr fontId="21" type="noConversion"/>
  </si>
  <si>
    <t>久保　飛翔</t>
    <phoneticPr fontId="21" type="noConversion"/>
  </si>
  <si>
    <t>??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</si>
  <si>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</si>
  <si>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</si>
  <si>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</si>
  <si>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</si>
  <si>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</si>
  <si>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</si>
  <si>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</si>
  <si>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</si>
  <si>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</si>
  <si>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</si>
  <si>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</si>
  <si>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</si>
  <si>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</si>
  <si>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</si>
  <si>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</si>
  <si>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</si>
  <si>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s</t>
    <phoneticPr fontId="21" type="noConversion"/>
  </si>
  <si>
    <t>b</t>
    <phoneticPr fontId="21" type="noConversion"/>
  </si>
  <si>
    <t>s</t>
    <phoneticPr fontId="21" type="noConversion"/>
  </si>
  <si>
    <t>b</t>
    <phoneticPr fontId="21" type="noConversion"/>
  </si>
  <si>
    <t>X-</t>
    <phoneticPr fontId="21" type="noConversion"/>
  </si>
  <si>
    <t>X-</t>
    <phoneticPr fontId="21" type="noConversion"/>
  </si>
  <si>
    <t>X-</t>
    <phoneticPr fontId="21" type="noConversion"/>
  </si>
  <si>
    <t>X-3</t>
    <phoneticPr fontId="21" type="noConversion"/>
  </si>
  <si>
    <t>X-1</t>
    <phoneticPr fontId="21" type="noConversion"/>
  </si>
  <si>
    <t>X1</t>
    <phoneticPr fontId="21" type="noConversion"/>
  </si>
  <si>
    <t>b</t>
    <phoneticPr fontId="21" type="noConversion"/>
  </si>
  <si>
    <t>X-</t>
    <phoneticPr fontId="21" type="noConversion"/>
  </si>
  <si>
    <t>X-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</si>
  <si>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</si>
  <si>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</si>
  <si>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</si>
  <si>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X-</t>
    <phoneticPr fontId="21" type="noConversion"/>
  </si>
  <si>
    <t>s1</t>
    <phoneticPr fontId="21" type="noConversion"/>
  </si>
  <si>
    <t>X-</t>
    <phoneticPr fontId="21" type="noConversion"/>
  </si>
  <si>
    <t>X1</t>
    <phoneticPr fontId="21" type="noConversion"/>
  </si>
  <si>
    <t>X-</t>
    <phoneticPr fontId="21" type="noConversion"/>
  </si>
  <si>
    <t>X-</t>
    <phoneticPr fontId="21" type="noConversion"/>
  </si>
  <si>
    <t>X-</t>
    <phoneticPr fontId="21" type="noConversion"/>
  </si>
  <si>
    <t>X</t>
    <phoneticPr fontId="21" type="noConversion"/>
  </si>
  <si>
    <t>X-</t>
    <phoneticPr fontId="21" type="noConversion"/>
  </si>
  <si>
    <t>X1</t>
    <phoneticPr fontId="21" type="noConversion"/>
  </si>
  <si>
    <t>b</t>
    <phoneticPr fontId="21" type="noConversion"/>
  </si>
  <si>
    <t>X1</t>
    <phoneticPr fontId="21" type="noConversion"/>
  </si>
  <si>
    <t>X-1</t>
    <phoneticPr fontId="21" type="noConversion"/>
  </si>
  <si>
    <t>X-1</t>
    <phoneticPr fontId="21" type="noConversion"/>
  </si>
  <si>
    <t>X-</t>
    <phoneticPr fontId="21" type="noConversion"/>
  </si>
  <si>
    <t>X-</t>
    <phoneticPr fontId="21" type="noConversion"/>
  </si>
  <si>
    <t>s1</t>
    <phoneticPr fontId="21" type="noConversion"/>
  </si>
  <si>
    <t>X-1</t>
    <phoneticPr fontId="21" type="noConversion"/>
  </si>
  <si>
    <t>X-</t>
    <phoneticPr fontId="21" type="noConversion"/>
  </si>
  <si>
    <t>S</t>
    <phoneticPr fontId="21" type="noConversion"/>
  </si>
  <si>
    <t>X-3</t>
    <phoneticPr fontId="21" type="noConversion"/>
  </si>
  <si>
    <t>X1</t>
    <phoneticPr fontId="21" type="noConversion"/>
  </si>
  <si>
    <t>X-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</si>
  <si>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</si>
  <si>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</si>
  <si>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</si>
  <si>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X-</t>
    <phoneticPr fontId="21" type="noConversion"/>
  </si>
  <si>
    <t>X-</t>
    <phoneticPr fontId="21" type="noConversion"/>
  </si>
  <si>
    <t>s</t>
    <phoneticPr fontId="21" type="noConversion"/>
  </si>
  <si>
    <t>b</t>
    <phoneticPr fontId="21" type="noConversion"/>
  </si>
  <si>
    <t>X-</t>
    <phoneticPr fontId="21" type="noConversion"/>
  </si>
  <si>
    <t>X1</t>
    <phoneticPr fontId="21" type="noConversion"/>
  </si>
  <si>
    <t>X-</t>
    <phoneticPr fontId="21" type="noConversion"/>
  </si>
  <si>
    <t>s</t>
    <phoneticPr fontId="21" type="noConversion"/>
  </si>
  <si>
    <t>b</t>
    <phoneticPr fontId="21" type="noConversion"/>
  </si>
  <si>
    <t>X-1</t>
    <phoneticPr fontId="21" type="noConversion"/>
  </si>
  <si>
    <t>inj</t>
    <phoneticPr fontId="21" type="noConversion"/>
  </si>
  <si>
    <t>inj</t>
    <phoneticPr fontId="21" type="noConversion"/>
  </si>
  <si>
    <t>Evson</t>
    <phoneticPr fontId="21" type="noConversion"/>
  </si>
  <si>
    <t>Yong-Jik Ri</t>
    <phoneticPr fontId="21" type="noConversion"/>
  </si>
  <si>
    <t>ban</t>
    <phoneticPr fontId="21" type="noConversion"/>
  </si>
  <si>
    <t>??</t>
    <phoneticPr fontId="21" type="noConversion"/>
  </si>
  <si>
    <t>??</t>
    <phoneticPr fontId="21" type="noConversion"/>
  </si>
  <si>
    <t>Yuta Fujii</t>
    <phoneticPr fontId="21" type="noConversion"/>
  </si>
  <si>
    <t>Kazuyoshi Miura</t>
    <phoneticPr fontId="21" type="noConversion"/>
  </si>
  <si>
    <t>inj</t>
    <phoneticPr fontId="21" type="noConversion"/>
  </si>
  <si>
    <t>X-1</t>
    <phoneticPr fontId="21" type="noConversion"/>
  </si>
  <si>
    <t>X-2</t>
    <phoneticPr fontId="21" type="noConversion"/>
  </si>
  <si>
    <t>ban</t>
    <phoneticPr fontId="21" type="noConversion"/>
  </si>
  <si>
    <t>X-1</t>
    <phoneticPr fontId="21" type="noConversion"/>
  </si>
  <si>
    <t>X-1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</si>
  <si>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</si>
  <si>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</si>
  <si>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</si>
  <si>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</si>
  <si>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</si>
  <si>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</si>
  <si>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</si>
  <si>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inj</t>
    <phoneticPr fontId="21" type="noConversion"/>
  </si>
  <si>
    <t>X1</t>
    <phoneticPr fontId="21" type="noConversion"/>
  </si>
  <si>
    <t>S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</si>
  <si>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</si>
  <si>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</si>
  <si>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</si>
  <si>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</si>
  <si>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</si>
  <si>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inj</t>
    <phoneticPr fontId="21" type="noConversion"/>
  </si>
  <si>
    <t>??</t>
    <phoneticPr fontId="21" type="noConversion"/>
  </si>
  <si>
    <t>Kenta Uchida</t>
    <phoneticPr fontId="21" type="noConversion"/>
  </si>
  <si>
    <t>Daisuke Ito</t>
    <phoneticPr fontId="21" type="noConversion"/>
  </si>
  <si>
    <t>Kazuki Hara</t>
    <phoneticPr fontId="21" type="noConversion"/>
  </si>
  <si>
    <t>X1</t>
    <phoneticPr fontId="21" type="noConversion"/>
  </si>
  <si>
    <t>OG</t>
    <phoneticPr fontId="21" type="noConversion"/>
  </si>
  <si>
    <t>X1</t>
    <phoneticPr fontId="21" type="noConversion"/>
  </si>
  <si>
    <t>S</t>
    <phoneticPr fontId="21" type="noConversion"/>
  </si>
  <si>
    <t>inj</t>
    <phoneticPr fontId="21" type="noConversion"/>
  </si>
  <si>
    <t>X-1</t>
    <phoneticPr fontId="21" type="noConversion"/>
  </si>
  <si>
    <t>X1</t>
    <phoneticPr fontId="21" type="noConversion"/>
  </si>
  <si>
    <t>s1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</si>
  <si>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</si>
  <si>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</si>
  <si>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</si>
  <si>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</si>
  <si>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OG</t>
    <phoneticPr fontId="21" type="noConversion"/>
  </si>
  <si>
    <t>X2</t>
    <phoneticPr fontId="21" type="noConversion"/>
  </si>
  <si>
    <t>X-1</t>
    <phoneticPr fontId="21" type="noConversion"/>
  </si>
  <si>
    <t>X-1</t>
    <phoneticPr fontId="21" type="noConversion"/>
  </si>
  <si>
    <t>s1</t>
    <phoneticPr fontId="21" type="noConversion"/>
  </si>
  <si>
    <t>??</t>
    <phoneticPr fontId="21" type="noConversion"/>
  </si>
  <si>
    <t>Yuto Iwasaki</t>
    <phoneticPr fontId="21" type="noConversion"/>
  </si>
  <si>
    <t>Takehiro Tomiyasu</t>
    <phoneticPr fontId="21" type="noConversion"/>
  </si>
  <si>
    <t>Daiki SUGIOKA</t>
    <phoneticPr fontId="21" type="noConversion"/>
  </si>
  <si>
    <t>inj</t>
    <phoneticPr fontId="21" type="noConversion"/>
  </si>
  <si>
    <t>X1</t>
    <phoneticPr fontId="21" type="noConversion"/>
  </si>
  <si>
    <t>ban</t>
    <phoneticPr fontId="21" type="noConversion"/>
  </si>
  <si>
    <t>X-1</t>
    <phoneticPr fontId="21" type="noConversion"/>
  </si>
  <si>
    <t>カン　スイル</t>
  </si>
  <si>
    <t>FW</t>
    <phoneticPr fontId="21" type="noConversion"/>
  </si>
  <si>
    <t>X</t>
    <phoneticPr fontId="21" type="noConversion"/>
  </si>
  <si>
    <t>X-1</t>
    <phoneticPr fontId="21" type="noConversion"/>
  </si>
  <si>
    <t>X2</t>
    <phoneticPr fontId="21" type="noConversion"/>
  </si>
  <si>
    <t>X-1</t>
    <phoneticPr fontId="21" type="noConversion"/>
  </si>
  <si>
    <t>X-1</t>
    <phoneticPr fontId="21" type="noConversion"/>
  </si>
  <si>
    <t>X1</t>
    <phoneticPr fontId="21" type="noConversion"/>
  </si>
  <si>
    <t>int</t>
    <phoneticPr fontId="21" type="noConversion"/>
  </si>
  <si>
    <t>X3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</si>
  <si>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</si>
  <si>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</si>
  <si>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</si>
  <si>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ban</t>
    <phoneticPr fontId="21" type="noConversion"/>
  </si>
  <si>
    <t>X2</t>
    <phoneticPr fontId="21" type="noConversion"/>
  </si>
  <si>
    <t>X3</t>
    <phoneticPr fontId="21" type="noConversion"/>
  </si>
  <si>
    <t>ban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</si>
  <si>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</si>
  <si>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</si>
  <si>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</si>
  <si>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</si>
  <si>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</si>
  <si>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??</t>
    <phoneticPr fontId="21" type="noConversion"/>
  </si>
  <si>
    <t>??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</si>
  <si>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</si>
  <si>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</si>
  <si>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</si>
  <si>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</si>
  <si>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</si>
  <si>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</si>
  <si>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</si>
  <si>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</si>
  <si>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ban</t>
    <phoneticPr fontId="21" type="noConversion"/>
  </si>
  <si>
    <t>X-1</t>
    <phoneticPr fontId="21" type="noConversion"/>
  </si>
  <si>
    <t>inj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</si>
  <si>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</si>
  <si>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</si>
  <si>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</si>
  <si>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</si>
  <si>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ban</t>
    <phoneticPr fontId="21" type="noConversion"/>
  </si>
  <si>
    <t>??</t>
    <phoneticPr fontId="21" type="noConversion"/>
  </si>
  <si>
    <t>X-2</t>
    <phoneticPr fontId="21" type="noConversion"/>
  </si>
  <si>
    <t>??</t>
    <phoneticPr fontId="21" type="noConversion"/>
  </si>
  <si>
    <t>X1</t>
    <phoneticPr fontId="21" type="noConversion"/>
  </si>
  <si>
    <t>Willian Popp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</si>
  <si>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</si>
  <si>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</si>
  <si>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</si>
  <si>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s2</t>
    <phoneticPr fontId="21" type="noConversion"/>
  </si>
  <si>
    <t>X-1</t>
    <phoneticPr fontId="21" type="noConversion"/>
  </si>
  <si>
    <t>X2</t>
    <phoneticPr fontId="21" type="noConversion"/>
  </si>
  <si>
    <t>inj</t>
    <phoneticPr fontId="21" type="noConversion"/>
  </si>
  <si>
    <t>LT</t>
    <phoneticPr fontId="21" type="noConversion"/>
  </si>
  <si>
    <t>s1</t>
    <phoneticPr fontId="21" type="noConversion"/>
  </si>
  <si>
    <t>X-1</t>
    <phoneticPr fontId="21" type="noConversion"/>
  </si>
  <si>
    <t>X-1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</si>
  <si>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</si>
  <si>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</si>
  <si>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</si>
  <si>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</si>
  <si>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s1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</si>
  <si>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</si>
  <si>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</si>
  <si>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</si>
  <si>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inj</t>
    <phoneticPr fontId="21" type="noConversion"/>
  </si>
  <si>
    <t>??</t>
    <phoneticPr fontId="21" type="noConversion"/>
  </si>
  <si>
    <t>int</t>
    <phoneticPr fontId="21" type="noConversion"/>
  </si>
  <si>
    <t>OG</t>
    <phoneticPr fontId="21" type="noConversion"/>
  </si>
  <si>
    <t>inj</t>
    <phoneticPr fontId="21" type="noConversion"/>
  </si>
  <si>
    <t>Masahiko Sawaguchi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</si>
  <si>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</si>
  <si>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</si>
  <si>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</si>
  <si>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</si>
  <si>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</si>
  <si>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int</t>
    <phoneticPr fontId="21" type="noConversion"/>
  </si>
  <si>
    <t>s1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</si>
  <si>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</si>
  <si>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</si>
  <si>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</si>
  <si>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X2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</si>
  <si>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</si>
  <si>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</si>
  <si>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</si>
  <si>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</si>
  <si>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Tomonobu Hiroi</t>
    <phoneticPr fontId="21" type="noConversion"/>
  </si>
  <si>
    <t>Shunsuke Kikuchi</t>
    <phoneticPr fontId="21" type="noConversion"/>
  </si>
  <si>
    <t>Kensuke Sato</t>
    <phoneticPr fontId="21" type="noConversion"/>
  </si>
  <si>
    <t>Kun Park</t>
    <phoneticPr fontId="21" type="noConversion"/>
  </si>
  <si>
    <t>inj</t>
    <phoneticPr fontId="21" type="noConversion"/>
  </si>
  <si>
    <t>inj</t>
    <phoneticPr fontId="21" type="noConversion"/>
  </si>
  <si>
    <t>Yuya Torikai</t>
    <phoneticPr fontId="21" type="noConversion"/>
  </si>
  <si>
    <t>鳥養　祐矢</t>
    <phoneticPr fontId="21" type="noConversion"/>
  </si>
  <si>
    <t>X</t>
    <phoneticPr fontId="21" type="noConversion"/>
  </si>
  <si>
    <t>X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</si>
  <si>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</si>
  <si>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</si>
  <si>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</si>
  <si>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??</t>
    <phoneticPr fontId="21" type="noConversion"/>
  </si>
  <si>
    <t>s1</t>
    <phoneticPr fontId="21" type="noConversion"/>
  </si>
  <si>
    <t>ban</t>
    <phoneticPr fontId="21" type="noConversion"/>
  </si>
  <si>
    <t>s1</t>
    <phoneticPr fontId="21" type="noConversion"/>
  </si>
  <si>
    <t>X-2</t>
    <phoneticPr fontId="21" type="noConversion"/>
  </si>
  <si>
    <t>ban</t>
    <phoneticPr fontId="21" type="noConversion"/>
  </si>
  <si>
    <t>inj</t>
    <phoneticPr fontId="21" type="noConversion"/>
  </si>
  <si>
    <t>X1</t>
    <phoneticPr fontId="21" type="noConversion"/>
  </si>
  <si>
    <t>S</t>
    <phoneticPr fontId="21" type="noConversion"/>
  </si>
  <si>
    <t>X-1</t>
    <phoneticPr fontId="21" type="noConversion"/>
  </si>
  <si>
    <t>X-1</t>
    <phoneticPr fontId="21" type="noConversion"/>
  </si>
  <si>
    <t>s</t>
    <phoneticPr fontId="21" type="noConversion"/>
  </si>
  <si>
    <t>s-</t>
    <phoneticPr fontId="21" type="noConversion"/>
  </si>
  <si>
    <t>b</t>
    <phoneticPr fontId="21" type="noConversion"/>
  </si>
  <si>
    <t>X2</t>
    <phoneticPr fontId="21" type="noConversion"/>
  </si>
  <si>
    <t>X1</t>
    <phoneticPr fontId="21" type="noConversion"/>
  </si>
  <si>
    <t>ban</t>
    <phoneticPr fontId="21" type="noConversion"/>
  </si>
  <si>
    <t>Kenta Shimizu</t>
    <phoneticPr fontId="21" type="noConversion"/>
  </si>
  <si>
    <t>Henik</t>
    <phoneticPr fontId="21" type="noConversion"/>
  </si>
  <si>
    <t>林　容平</t>
    <phoneticPr fontId="21" type="noConversion"/>
  </si>
  <si>
    <t>渡邊　一仁</t>
    <phoneticPr fontId="21" type="noConversion"/>
  </si>
  <si>
    <t>X1</t>
    <phoneticPr fontId="21" type="noConversion"/>
  </si>
  <si>
    <t>X1</t>
    <phoneticPr fontId="21" type="noConversion"/>
  </si>
  <si>
    <t>X2</t>
    <phoneticPr fontId="21" type="noConversion"/>
  </si>
  <si>
    <t>s2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</si>
  <si>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</si>
  <si>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</si>
  <si>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</si>
  <si>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</si>
  <si>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??</t>
    <phoneticPr fontId="21" type="noConversion"/>
  </si>
  <si>
    <t>X1</t>
    <phoneticPr fontId="21" type="noConversion"/>
  </si>
  <si>
    <t>X1</t>
    <phoneticPr fontId="21" type="noConversion"/>
  </si>
  <si>
    <t>田尻　健</t>
    <phoneticPr fontId="21" type="noConversion"/>
  </si>
  <si>
    <t>Ken Tajiri</t>
    <phoneticPr fontId="21" type="noConversion"/>
  </si>
  <si>
    <t>b</t>
    <phoneticPr fontId="21" type="noConversion"/>
  </si>
  <si>
    <t>s1</t>
    <phoneticPr fontId="21" type="noConversion"/>
  </si>
  <si>
    <t>X-1</t>
    <phoneticPr fontId="21" type="noConversion"/>
  </si>
  <si>
    <t>inj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</si>
  <si>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</si>
  <si>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</si>
  <si>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</si>
  <si>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ban</t>
    <phoneticPr fontId="21" type="noConversion"/>
  </si>
  <si>
    <t>X-1</t>
    <phoneticPr fontId="21" type="noConversion"/>
  </si>
  <si>
    <t>inj</t>
    <phoneticPr fontId="21" type="noConversion"/>
  </si>
  <si>
    <t>inj</t>
    <phoneticPr fontId="21" type="noConversion"/>
  </si>
  <si>
    <t>玉田　圭司</t>
    <phoneticPr fontId="21" type="noConversion"/>
  </si>
  <si>
    <t>楢﨑　正剛</t>
    <phoneticPr fontId="21" type="noConversion"/>
  </si>
  <si>
    <t>Kohei Hattanda</t>
    <phoneticPr fontId="21" type="noConversion"/>
  </si>
  <si>
    <t>八反田　康平</t>
    <phoneticPr fontId="21" type="noConversion"/>
  </si>
  <si>
    <t>??</t>
    <phoneticPr fontId="21" type="noConversion"/>
  </si>
  <si>
    <t>高木　善朗</t>
    <phoneticPr fontId="21" type="noConversion"/>
  </si>
  <si>
    <t>Taiki Kato</t>
    <phoneticPr fontId="21" type="noConversion"/>
  </si>
  <si>
    <t>加藤　大樹</t>
    <phoneticPr fontId="21" type="noConversion"/>
  </si>
  <si>
    <t>??</t>
    <phoneticPr fontId="21" type="noConversion"/>
  </si>
  <si>
    <t>??</t>
    <phoneticPr fontId="21" type="noConversion"/>
  </si>
  <si>
    <t>山岸　祐也</t>
    <phoneticPr fontId="21" type="noConversion"/>
  </si>
  <si>
    <t>李　漢宰</t>
    <phoneticPr fontId="21" type="noConversion"/>
  </si>
  <si>
    <t>戸島　章</t>
    <phoneticPr fontId="21" type="noConversion"/>
  </si>
  <si>
    <t>??</t>
    <phoneticPr fontId="21" type="noConversion"/>
  </si>
  <si>
    <t>Keiji Tamada</t>
    <phoneticPr fontId="21" type="noConversion"/>
  </si>
  <si>
    <t>Seigo Narazak</t>
    <phoneticPr fontId="21" type="noConversion"/>
  </si>
  <si>
    <t>Takuya Masuda</t>
    <phoneticPr fontId="21" type="noConversion"/>
  </si>
  <si>
    <t>Masaya Tomizawa</t>
    <phoneticPr fontId="21" type="noConversion"/>
  </si>
  <si>
    <t>Tatsuro Okuda</t>
    <phoneticPr fontId="21" type="noConversion"/>
  </si>
  <si>
    <t>Yuya Miura</t>
    <phoneticPr fontId="21" type="noConversion"/>
  </si>
  <si>
    <t>Masakazu Tashiro</t>
    <phoneticPr fontId="21" type="noConversion"/>
  </si>
  <si>
    <t>Daichi Tagami</t>
    <phoneticPr fontId="21" type="noConversion"/>
  </si>
  <si>
    <t>Fumitaka Kitatani</t>
    <phoneticPr fontId="21" type="noConversion"/>
  </si>
  <si>
    <t>Yusuke Murakami</t>
    <phoneticPr fontId="21" type="noConversion"/>
  </si>
  <si>
    <t>Kensuke Fukuda</t>
    <phoneticPr fontId="21" type="noConversion"/>
  </si>
  <si>
    <t>Yusuke Maeda</t>
    <phoneticPr fontId="21" type="noConversion"/>
  </si>
  <si>
    <t>Shuto Kono</t>
    <phoneticPr fontId="21" type="noConversion"/>
  </si>
  <si>
    <t>Yuji Yabu</t>
    <phoneticPr fontId="21" type="noConversion"/>
  </si>
  <si>
    <t>Teruki Tanaka</t>
    <phoneticPr fontId="21" type="noConversion"/>
  </si>
  <si>
    <t>Kota Miyamoto</t>
    <phoneticPr fontId="21" type="noConversion"/>
  </si>
  <si>
    <t>Kenta Furube</t>
    <phoneticPr fontId="21" type="noConversion"/>
  </si>
  <si>
    <t>Masakazu YOSHIOKA</t>
    <phoneticPr fontId="21" type="noConversion"/>
  </si>
  <si>
    <t>Keita Nakamura</t>
    <phoneticPr fontId="21" type="noConversion"/>
  </si>
  <si>
    <t>Ryusuke Hayashida</t>
    <phoneticPr fontId="21" type="noConversion"/>
  </si>
  <si>
    <t>Kohei Kitagawa</t>
    <phoneticPr fontId="21" type="noConversion"/>
  </si>
  <si>
    <t>Teppei Usui</t>
    <phoneticPr fontId="21" type="noConversion"/>
  </si>
  <si>
    <t>Hijiri ONAGA</t>
    <phoneticPr fontId="21" type="noConversion"/>
  </si>
  <si>
    <t>MIGUEL PALLARDO</t>
    <phoneticPr fontId="21" type="noConversion"/>
  </si>
  <si>
    <t>Junki Hata</t>
    <phoneticPr fontId="21" type="noConversion"/>
  </si>
  <si>
    <t>Takashi Sawada</t>
    <phoneticPr fontId="21" type="noConversion"/>
  </si>
  <si>
    <t>Yu Kimura</t>
    <phoneticPr fontId="21" type="noConversion"/>
  </si>
  <si>
    <t>Han-Jae Ri</t>
    <phoneticPr fontId="21" type="noConversion"/>
  </si>
  <si>
    <t>Akira Toshima</t>
    <phoneticPr fontId="21" type="noConversion"/>
  </si>
  <si>
    <t>Kazuhito Watanabe</t>
    <phoneticPr fontId="21" type="noConversion"/>
  </si>
  <si>
    <t>Masashi Wada</t>
    <phoneticPr fontId="21" type="noConversion"/>
  </si>
  <si>
    <t>和田　昌士</t>
    <phoneticPr fontId="21" type="noConversion"/>
  </si>
  <si>
    <t>EMC</t>
    <phoneticPr fontId="21" type="noConversion"/>
  </si>
  <si>
    <t>H</t>
    <phoneticPr fontId="21" type="noConversion"/>
  </si>
  <si>
    <t>A</t>
    <phoneticPr fontId="21" type="noConversion"/>
  </si>
  <si>
    <t>Imabari</t>
  </si>
  <si>
    <t>Kokushikan University</t>
    <phoneticPr fontId="21" type="noConversion"/>
  </si>
  <si>
    <t>EMC</t>
    <phoneticPr fontId="21" type="noConversion"/>
  </si>
  <si>
    <t>MD Nagasaki</t>
    <phoneticPr fontId="21" type="noConversion"/>
  </si>
  <si>
    <t>SRC Hiroshima</t>
    <phoneticPr fontId="21" type="noConversion"/>
  </si>
  <si>
    <t>Azul Claro Numazu</t>
    <phoneticPr fontId="21" type="noConversion"/>
  </si>
  <si>
    <t>Miyazaki Sangyo-Keiei</t>
    <phoneticPr fontId="21" type="noConversion"/>
  </si>
  <si>
    <t>Shun Takagi</t>
    <phoneticPr fontId="21" type="noConversion"/>
  </si>
  <si>
    <t>Tetsushi Kondo</t>
    <phoneticPr fontId="21" type="noConversion"/>
  </si>
  <si>
    <t>近藤　徹志</t>
    <phoneticPr fontId="21" type="noConversion"/>
  </si>
  <si>
    <t>ban</t>
    <phoneticPr fontId="21" type="noConversion"/>
  </si>
  <si>
    <t>s2</t>
    <phoneticPr fontId="21" type="noConversion"/>
  </si>
  <si>
    <t>s1</t>
    <phoneticPr fontId="21" type="noConversion"/>
  </si>
  <si>
    <t>inj</t>
    <phoneticPr fontId="21" type="noConversion"/>
  </si>
  <si>
    <t>inj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</si>
  <si>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</si>
  <si>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</si>
  <si>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</si>
  <si>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X-</t>
    <phoneticPr fontId="21" type="noConversion"/>
  </si>
  <si>
    <t>??</t>
    <phoneticPr fontId="21" type="noConversion"/>
  </si>
  <si>
    <t>X1</t>
    <phoneticPr fontId="21" type="noConversion"/>
  </si>
  <si>
    <t>X2</t>
    <phoneticPr fontId="21" type="noConversion"/>
  </si>
  <si>
    <t>s1</t>
    <phoneticPr fontId="21" type="noConversion"/>
  </si>
  <si>
    <t>X1</t>
    <phoneticPr fontId="21" type="noConversion"/>
  </si>
  <si>
    <t>inj</t>
    <phoneticPr fontId="21" type="noConversion"/>
  </si>
  <si>
    <t>inj</t>
    <phoneticPr fontId="21" type="noConversion"/>
  </si>
  <si>
    <t>X-1</t>
    <phoneticPr fontId="21" type="noConversion"/>
  </si>
  <si>
    <t>S</t>
    <phoneticPr fontId="21" type="noConversion"/>
  </si>
  <si>
    <t>inj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</si>
  <si>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</si>
  <si>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</si>
  <si>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</si>
  <si>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ban</t>
    <phoneticPr fontId="21" type="noConversion"/>
  </si>
  <si>
    <t>X-1</t>
    <phoneticPr fontId="21" type="noConversion"/>
  </si>
  <si>
    <t>OG</t>
    <phoneticPr fontId="21" type="noConversion"/>
  </si>
  <si>
    <t>ファンマ</t>
    <phoneticPr fontId="21" type="noConversion"/>
  </si>
  <si>
    <t>X1</t>
    <phoneticPr fontId="21" type="noConversion"/>
  </si>
  <si>
    <t>X1</t>
    <phoneticPr fontId="21" type="noConversion"/>
  </si>
  <si>
    <t>X2</t>
    <phoneticPr fontId="21" type="noConversion"/>
  </si>
  <si>
    <t>X1</t>
    <phoneticPr fontId="21" type="noConversion"/>
  </si>
  <si>
    <t>北野　貴之</t>
    <phoneticPr fontId="21" type="noConversion"/>
  </si>
  <si>
    <t>Takashi KITANO</t>
    <phoneticPr fontId="21" type="noConversion"/>
  </si>
  <si>
    <t>鞠　楓</t>
    <phoneticPr fontId="21" type="noConversion"/>
  </si>
  <si>
    <t>JU Feng</t>
    <phoneticPr fontId="21" type="noConversion"/>
  </si>
  <si>
    <t>MF</t>
    <phoneticPr fontId="21" type="noConversion"/>
  </si>
  <si>
    <t>Mutsumi Tamabayashi</t>
    <phoneticPr fontId="21" type="noConversion"/>
  </si>
  <si>
    <t>Keisuke Iwashita</t>
    <phoneticPr fontId="21" type="noConversion"/>
  </si>
  <si>
    <t>Yuki Oshitani</t>
    <phoneticPr fontId="21" type="noConversion"/>
  </si>
  <si>
    <t>Byong-Jun An</t>
    <phoneticPr fontId="21" type="noConversion"/>
  </si>
  <si>
    <t>Takayuki Mae</t>
    <phoneticPr fontId="21" type="noConversion"/>
  </si>
  <si>
    <t>Yuya Yamagishi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</si>
  <si>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</si>
  <si>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</si>
  <si>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</si>
  <si>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S</t>
    <phoneticPr fontId="21" type="noConversion"/>
  </si>
  <si>
    <t>s1</t>
    <phoneticPr fontId="21" type="noConversion"/>
  </si>
  <si>
    <t>S</t>
    <phoneticPr fontId="21" type="noConversion"/>
  </si>
  <si>
    <t>X-1</t>
    <phoneticPr fontId="21" type="noConversion"/>
  </si>
  <si>
    <t>X-</t>
    <phoneticPr fontId="21" type="noConversion"/>
  </si>
  <si>
    <t>X-</t>
    <phoneticPr fontId="21" type="noConversion"/>
  </si>
  <si>
    <t>X-</t>
    <phoneticPr fontId="21" type="noConversion"/>
  </si>
  <si>
    <t>s</t>
    <phoneticPr fontId="21" type="noConversion"/>
  </si>
  <si>
    <t>s</t>
    <phoneticPr fontId="21" type="noConversion"/>
  </si>
  <si>
    <t>X1</t>
    <phoneticPr fontId="21" type="noConversion"/>
  </si>
  <si>
    <t>X2</t>
    <phoneticPr fontId="21" type="noConversion"/>
  </si>
  <si>
    <t>X-1</t>
    <phoneticPr fontId="21" type="noConversion"/>
  </si>
  <si>
    <t>X1</t>
    <phoneticPr fontId="21" type="noConversion"/>
  </si>
  <si>
    <t>S2</t>
    <phoneticPr fontId="21" type="noConversion"/>
  </si>
  <si>
    <t>X-1</t>
    <phoneticPr fontId="21" type="noConversion"/>
  </si>
  <si>
    <t>s1</t>
    <phoneticPr fontId="21" type="noConversion"/>
  </si>
  <si>
    <t>S</t>
    <phoneticPr fontId="21" type="noConversion"/>
  </si>
  <si>
    <t>アラン　ピニェイロ</t>
    <phoneticPr fontId="21" type="noConversion"/>
  </si>
  <si>
    <r>
      <t>カルロス</t>
    </r>
    <r>
      <rPr>
        <b/>
        <sz val="12"/>
        <rFont val="宋体"/>
        <family val="3"/>
        <charset val="128"/>
        <scheme val="minor"/>
      </rPr>
      <t>　</t>
    </r>
    <r>
      <rPr>
        <b/>
        <sz val="12"/>
        <rFont val="宋体"/>
        <family val="3"/>
        <charset val="134"/>
        <scheme val="minor"/>
      </rPr>
      <t>マルティネス</t>
    </r>
    <phoneticPr fontId="21" type="noConversion"/>
  </si>
  <si>
    <t>Marcelo Vidal</t>
    <phoneticPr fontId="21" type="noConversion"/>
  </si>
  <si>
    <t>パク　チャニョン</t>
    <phoneticPr fontId="21" type="noConversion"/>
  </si>
  <si>
    <r>
      <t>マルセロ</t>
    </r>
    <r>
      <rPr>
        <b/>
        <sz val="12"/>
        <rFont val="宋体"/>
        <family val="3"/>
        <charset val="128"/>
        <scheme val="minor"/>
      </rPr>
      <t>　</t>
    </r>
    <r>
      <rPr>
        <b/>
        <sz val="12"/>
        <rFont val="宋体"/>
        <family val="3"/>
        <charset val="134"/>
        <scheme val="minor"/>
      </rPr>
      <t>ビダル</t>
    </r>
    <phoneticPr fontId="21" type="noConversion"/>
  </si>
  <si>
    <t>ジョン　チュングン</t>
    <phoneticPr fontId="21" type="noConversion"/>
  </si>
  <si>
    <t>inj</t>
    <phoneticPr fontId="21" type="noConversion"/>
  </si>
  <si>
    <t>嶋田　慎太郎</t>
    <phoneticPr fontId="21" type="noConversion"/>
  </si>
  <si>
    <t>inj</t>
    <phoneticPr fontId="21" type="noConversion"/>
  </si>
  <si>
    <t>inj</t>
    <phoneticPr fontId="21" type="noConversion"/>
  </si>
  <si>
    <t>inj</t>
    <phoneticPr fontId="21" type="noConversion"/>
  </si>
  <si>
    <t>X1</t>
    <phoneticPr fontId="21" type="noConversion"/>
  </si>
  <si>
    <t>X-2</t>
    <phoneticPr fontId="21" type="noConversion"/>
  </si>
  <si>
    <t>X2</t>
    <phoneticPr fontId="21" type="noConversion"/>
  </si>
  <si>
    <t>s1</t>
    <phoneticPr fontId="21" type="noConversion"/>
  </si>
  <si>
    <t>X-1</t>
    <phoneticPr fontId="21" type="noConversion"/>
  </si>
  <si>
    <t>X-1</t>
    <phoneticPr fontId="21" type="noConversion"/>
  </si>
  <si>
    <t>OG</t>
    <phoneticPr fontId="21" type="noConversion"/>
  </si>
  <si>
    <t>inj</t>
    <phoneticPr fontId="21" type="noConversion"/>
  </si>
  <si>
    <t>X1</t>
    <phoneticPr fontId="21" type="noConversion"/>
  </si>
  <si>
    <t>X-2</t>
    <phoneticPr fontId="21" type="noConversion"/>
  </si>
  <si>
    <t>X-1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</si>
  <si>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</si>
  <si>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</si>
  <si>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</si>
  <si>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ban</t>
    <phoneticPr fontId="21" type="noConversion"/>
  </si>
  <si>
    <t>ban</t>
    <phoneticPr fontId="21" type="noConversion"/>
  </si>
  <si>
    <t>inj</t>
    <phoneticPr fontId="21" type="noConversion"/>
  </si>
  <si>
    <t>X1</t>
    <phoneticPr fontId="21" type="noConversion"/>
  </si>
  <si>
    <t>ban</t>
    <phoneticPr fontId="21" type="noConversion"/>
  </si>
  <si>
    <t>X3</t>
    <phoneticPr fontId="21" type="noConversion"/>
  </si>
  <si>
    <t>s1</t>
    <phoneticPr fontId="21" type="noConversion"/>
  </si>
  <si>
    <t>中村　北斗</t>
    <phoneticPr fontId="21" type="noConversion"/>
  </si>
  <si>
    <t>DF</t>
    <phoneticPr fontId="21" type="noConversion"/>
  </si>
  <si>
    <t>Won Dujae</t>
    <phoneticPr fontId="21" type="noConversion"/>
  </si>
  <si>
    <t>inj</t>
    <phoneticPr fontId="21" type="noConversion"/>
  </si>
  <si>
    <t>A</t>
    <phoneticPr fontId="21" type="noConversion"/>
  </si>
  <si>
    <t>Kashima Antlers</t>
  </si>
  <si>
    <t>Urawa Reds</t>
  </si>
  <si>
    <t>Omiya Ardija</t>
  </si>
  <si>
    <t>A</t>
    <phoneticPr fontId="21" type="noConversion"/>
  </si>
  <si>
    <t>Kashiwa Reysol</t>
  </si>
  <si>
    <t>Kawasaki Frontale</t>
  </si>
  <si>
    <t>Parceiro Nagano</t>
  </si>
  <si>
    <t>Júbilo Iwata</t>
  </si>
  <si>
    <t>Gamba Osaka</t>
  </si>
  <si>
    <t>Vissel Kobe</t>
  </si>
  <si>
    <t>Sanfrecce Hiroshima</t>
    <phoneticPr fontId="21" type="noConversion"/>
  </si>
  <si>
    <t>Sagan Tosu</t>
  </si>
  <si>
    <t>Tsukuba University</t>
    <phoneticPr fontId="21" type="noConversion"/>
  </si>
  <si>
    <t>Vanraure Hachinohe</t>
  </si>
  <si>
    <t>浦田　延尚</t>
    <phoneticPr fontId="21" type="noConversion"/>
  </si>
  <si>
    <t>??</t>
    <phoneticPr fontId="21" type="noConversion"/>
  </si>
  <si>
    <t>LM</t>
  </si>
  <si>
    <t>大久保　哲哉</t>
    <phoneticPr fontId="21" type="noConversion"/>
  </si>
  <si>
    <t>CF</t>
    <phoneticPr fontId="21" type="noConversion"/>
  </si>
  <si>
    <t>Leandro Domingues</t>
    <phoneticPr fontId="21" type="noConversion"/>
  </si>
  <si>
    <t>inj</t>
    <phoneticPr fontId="21" type="noConversion"/>
  </si>
  <si>
    <t>Soichi Tanaka</t>
    <phoneticPr fontId="21" type="noConversion"/>
  </si>
  <si>
    <t>田中　奏一</t>
    <phoneticPr fontId="21" type="noConversion"/>
  </si>
  <si>
    <t>Kento Kato</t>
    <phoneticPr fontId="21" type="noConversion"/>
  </si>
  <si>
    <t>加藤　健人</t>
    <phoneticPr fontId="21" type="noConversion"/>
  </si>
  <si>
    <t>吉野　恭平</t>
    <phoneticPr fontId="21" type="noConversion"/>
  </si>
  <si>
    <t>CF</t>
  </si>
  <si>
    <t>DRAGAN MRDJA</t>
  </si>
  <si>
    <t>ドラガン　ムルジャ</t>
  </si>
  <si>
    <t>ban</t>
    <phoneticPr fontId="21" type="noConversion"/>
  </si>
  <si>
    <t>CB</t>
  </si>
  <si>
    <t>BYEON Jun Byum</t>
  </si>
  <si>
    <t>ビョン　ジュンボン</t>
  </si>
  <si>
    <t>s1</t>
    <phoneticPr fontId="21" type="noConversion"/>
  </si>
  <si>
    <t>S-</t>
    <phoneticPr fontId="21" type="noConversion"/>
  </si>
  <si>
    <t>X1</t>
    <phoneticPr fontId="21" type="noConversion"/>
  </si>
  <si>
    <t>X2</t>
    <phoneticPr fontId="21" type="noConversion"/>
  </si>
  <si>
    <t>X1</t>
    <phoneticPr fontId="21" type="noConversion"/>
  </si>
  <si>
    <t>X-1</t>
    <phoneticPr fontId="21" type="noConversion"/>
  </si>
  <si>
    <t>X-2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</si>
  <si>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</si>
  <si>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</si>
  <si>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</si>
  <si>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X1</t>
    <phoneticPr fontId="21" type="noConversion"/>
  </si>
  <si>
    <t>Honoya SHOJI</t>
  </si>
  <si>
    <t>庄司　朋乃也</t>
  </si>
  <si>
    <t>s</t>
    <phoneticPr fontId="21" type="noConversion"/>
  </si>
  <si>
    <t>X2</t>
    <phoneticPr fontId="21" type="noConversion"/>
  </si>
  <si>
    <t>X2</t>
    <phoneticPr fontId="21" type="noConversion"/>
  </si>
  <si>
    <t>s1</t>
    <phoneticPr fontId="21" type="noConversion"/>
  </si>
  <si>
    <t>X1</t>
    <phoneticPr fontId="21" type="noConversion"/>
  </si>
  <si>
    <t>Owngoal</t>
    <phoneticPr fontId="21" type="noConversion"/>
  </si>
  <si>
    <t>X-2</t>
    <phoneticPr fontId="21" type="noConversion"/>
  </si>
  <si>
    <t>X-1</t>
    <phoneticPr fontId="21" type="noConversion"/>
  </si>
  <si>
    <t>X1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</si>
  <si>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</si>
  <si>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</si>
  <si>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</si>
  <si>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ThespaKusatsu Gunma</t>
    <phoneticPr fontId="21" type="noConversion"/>
  </si>
  <si>
    <t>Naoki Otani</t>
    <phoneticPr fontId="21" type="noConversion"/>
  </si>
  <si>
    <t>Shogo Shimohata</t>
    <phoneticPr fontId="21" type="noConversion"/>
  </si>
  <si>
    <t>inj</t>
    <phoneticPr fontId="21" type="noConversion"/>
  </si>
  <si>
    <t>Rikihiro Sugiyama</t>
    <phoneticPr fontId="21" type="noConversion"/>
  </si>
  <si>
    <t>杉山　力裕</t>
    <phoneticPr fontId="21" type="noConversion"/>
  </si>
  <si>
    <t>Takumi Yamada</t>
    <phoneticPr fontId="21" type="noConversion"/>
  </si>
  <si>
    <t>Ryosuke Matsuoka</t>
    <phoneticPr fontId="21" type="noConversion"/>
  </si>
  <si>
    <t>山田　拓巳</t>
    <phoneticPr fontId="21" type="noConversion"/>
  </si>
  <si>
    <t>松岡　亮輔</t>
    <phoneticPr fontId="21" type="noConversion"/>
  </si>
  <si>
    <t>Ryota Aoki</t>
    <phoneticPr fontId="21" type="noConversion"/>
  </si>
  <si>
    <t>青木　亮太</t>
    <phoneticPr fontId="21" type="noConversion"/>
  </si>
  <si>
    <t>Ryo Nagai</t>
    <phoneticPr fontId="21" type="noConversion"/>
  </si>
  <si>
    <t>永井　龍</t>
    <phoneticPr fontId="21" type="noConversion"/>
  </si>
  <si>
    <t>X1</t>
    <phoneticPr fontId="21" type="noConversion"/>
  </si>
  <si>
    <t>s1</t>
    <phoneticPr fontId="21" type="noConversion"/>
  </si>
  <si>
    <t>X3</t>
    <phoneticPr fontId="21" type="noConversion"/>
  </si>
  <si>
    <t>s1</t>
    <phoneticPr fontId="21" type="noConversion"/>
  </si>
  <si>
    <t>X2</t>
    <phoneticPr fontId="21" type="noConversion"/>
  </si>
  <si>
    <t>S</t>
    <phoneticPr fontId="21" type="noConversion"/>
  </si>
  <si>
    <t>X-2</t>
    <phoneticPr fontId="21" type="noConversion"/>
  </si>
  <si>
    <t>inj</t>
    <phoneticPr fontId="21" type="noConversion"/>
  </si>
  <si>
    <t>X-1</t>
    <phoneticPr fontId="21" type="noConversion"/>
  </si>
  <si>
    <t>X2</t>
    <phoneticPr fontId="21" type="noConversion"/>
  </si>
  <si>
    <t>inj</t>
    <phoneticPr fontId="21" type="noConversion"/>
  </si>
  <si>
    <t>X</t>
    <phoneticPr fontId="21" type="noConversion"/>
  </si>
  <si>
    <t>ban</t>
    <phoneticPr fontId="21" type="noConversion"/>
  </si>
  <si>
    <t>s-</t>
    <phoneticPr fontId="21" type="noConversion"/>
  </si>
  <si>
    <t>X-1</t>
    <phoneticPr fontId="21" type="noConversion"/>
  </si>
  <si>
    <t>ban</t>
    <phoneticPr fontId="21" type="noConversion"/>
  </si>
  <si>
    <t>S</t>
    <phoneticPr fontId="21" type="noConversion"/>
  </si>
  <si>
    <t>inj</t>
    <phoneticPr fontId="21" type="noConversion"/>
  </si>
  <si>
    <t>X-1</t>
    <phoneticPr fontId="21" type="noConversion"/>
  </si>
  <si>
    <t>inj</t>
    <phoneticPr fontId="21" type="noConversion"/>
  </si>
  <si>
    <t>X-1</t>
    <phoneticPr fontId="21" type="noConversion"/>
  </si>
  <si>
    <t>X1</t>
    <phoneticPr fontId="21" type="noConversion"/>
  </si>
  <si>
    <t>H</t>
    <phoneticPr fontId="21" type="noConversion"/>
  </si>
  <si>
    <t>Yugo Ichiyanagi</t>
    <phoneticPr fontId="21" type="noConversion"/>
  </si>
  <si>
    <t>Yuki Okubo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</si>
  <si>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</si>
  <si>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</si>
  <si>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</si>
  <si>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X-</t>
    <phoneticPr fontId="21" type="noConversion"/>
  </si>
  <si>
    <t>X-</t>
    <phoneticPr fontId="21" type="noConversion"/>
  </si>
  <si>
    <t>X1</t>
    <phoneticPr fontId="21" type="noConversion"/>
  </si>
  <si>
    <t>s</t>
    <phoneticPr fontId="21" type="noConversion"/>
  </si>
  <si>
    <t>Takeru NISHI</t>
    <phoneticPr fontId="21" type="noConversion"/>
  </si>
  <si>
    <t>b</t>
    <phoneticPr fontId="21" type="noConversion"/>
  </si>
  <si>
    <t>西　洸瑠</t>
    <phoneticPr fontId="21" type="noConversion"/>
  </si>
  <si>
    <t>AM</t>
  </si>
  <si>
    <t>Kensei NAKASHIMA</t>
  </si>
  <si>
    <t>中島　賢星</t>
  </si>
  <si>
    <t>KIM Jong Min</t>
    <phoneticPr fontId="21" type="noConversion"/>
  </si>
  <si>
    <t>inj</t>
    <phoneticPr fontId="21" type="noConversion"/>
  </si>
  <si>
    <t>inj</t>
    <phoneticPr fontId="21" type="noConversion"/>
  </si>
  <si>
    <t>Kazuya Okamura</t>
    <phoneticPr fontId="21" type="noConversion"/>
  </si>
  <si>
    <t>岡村　和哉</t>
    <phoneticPr fontId="21" type="noConversion"/>
  </si>
  <si>
    <t>Jun Okano</t>
    <phoneticPr fontId="21" type="noConversion"/>
  </si>
  <si>
    <t>岡野　洵</t>
    <phoneticPr fontId="21" type="noConversion"/>
  </si>
  <si>
    <t>Yusuke Goto</t>
    <phoneticPr fontId="21" type="noConversion"/>
  </si>
  <si>
    <t>後藤　優介</t>
    <phoneticPr fontId="21" type="noConversion"/>
  </si>
  <si>
    <t>CARLOS MARTINEZ</t>
    <phoneticPr fontId="21" type="noConversion"/>
  </si>
  <si>
    <t>ban</t>
    <phoneticPr fontId="21" type="noConversion"/>
  </si>
  <si>
    <t>ban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</si>
  <si>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</si>
  <si>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</si>
  <si>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</si>
  <si>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</si>
  <si>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</si>
  <si>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</si>
  <si>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</si>
  <si>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int</t>
    <phoneticPr fontId="21" type="noConversion"/>
  </si>
  <si>
    <t>ban</t>
    <phoneticPr fontId="21" type="noConversion"/>
  </si>
  <si>
    <t>inj</t>
    <phoneticPr fontId="21" type="noConversion"/>
  </si>
  <si>
    <t>s1</t>
    <phoneticPr fontId="21" type="noConversion"/>
  </si>
  <si>
    <t>ban</t>
    <phoneticPr fontId="21" type="noConversion"/>
  </si>
  <si>
    <t>X-1</t>
    <phoneticPr fontId="21" type="noConversion"/>
  </si>
  <si>
    <t>安西　海斗</t>
  </si>
  <si>
    <t>Kaito ANZAI</t>
  </si>
  <si>
    <t>MF</t>
    <phoneticPr fontId="21" type="noConversion"/>
  </si>
  <si>
    <t>inj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</si>
  <si>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</si>
  <si>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</si>
  <si>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</si>
  <si>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</si>
  <si>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S</t>
    <phoneticPr fontId="21" type="noConversion"/>
  </si>
  <si>
    <t>X2</t>
    <phoneticPr fontId="21" type="noConversion"/>
  </si>
  <si>
    <t>X1</t>
    <phoneticPr fontId="21" type="noConversion"/>
  </si>
  <si>
    <t>X-1</t>
    <phoneticPr fontId="21" type="noConversion"/>
  </si>
  <si>
    <t>MF</t>
    <phoneticPr fontId="21" type="noConversion"/>
  </si>
  <si>
    <t>s1</t>
    <phoneticPr fontId="21" type="noConversion"/>
  </si>
  <si>
    <t>X-1</t>
    <phoneticPr fontId="21" type="noConversion"/>
  </si>
  <si>
    <t>レアンドロ　ドミンゲス</t>
  </si>
  <si>
    <t>X1</t>
    <phoneticPr fontId="21" type="noConversion"/>
  </si>
  <si>
    <t>ban</t>
    <phoneticPr fontId="21" type="noConversion"/>
  </si>
  <si>
    <t>YEO Sung Hae</t>
  </si>
  <si>
    <t>DF</t>
    <phoneticPr fontId="21" type="noConversion"/>
  </si>
  <si>
    <t>X</t>
    <phoneticPr fontId="21" type="noConversion"/>
  </si>
  <si>
    <t>X-2</t>
    <phoneticPr fontId="21" type="noConversion"/>
  </si>
  <si>
    <t>s1</t>
    <phoneticPr fontId="21" type="noConversion"/>
  </si>
  <si>
    <t>X-1</t>
    <phoneticPr fontId="21" type="noConversion"/>
  </si>
  <si>
    <t>inj</t>
    <phoneticPr fontId="21" type="noConversion"/>
  </si>
  <si>
    <t>Yuji Senuma</t>
    <phoneticPr fontId="21" type="noConversion"/>
  </si>
  <si>
    <t>Masafumi Miyagi</t>
    <phoneticPr fontId="21" type="noConversion"/>
  </si>
  <si>
    <t>Yoshihiro Shoji</t>
    <phoneticPr fontId="21" type="noConversion"/>
  </si>
  <si>
    <t>Yuto NAGASAKA</t>
  </si>
  <si>
    <t>永坂　勇人</t>
  </si>
  <si>
    <t>内山　圭</t>
    <phoneticPr fontId="21" type="noConversion"/>
  </si>
  <si>
    <t>GK</t>
    <phoneticPr fontId="21" type="noConversion"/>
  </si>
  <si>
    <t>Kei Uchiyama</t>
    <phoneticPr fontId="21" type="noConversion"/>
  </si>
  <si>
    <t>ダヴィ</t>
    <phoneticPr fontId="21" type="noConversion"/>
  </si>
  <si>
    <t>David</t>
    <phoneticPr fontId="21" type="noConversion"/>
  </si>
  <si>
    <t>仲川　輝人</t>
  </si>
  <si>
    <t>Shohei KIYOHARA</t>
  </si>
  <si>
    <t>清原　翔平</t>
  </si>
  <si>
    <t>Mitsuru MARUOKA</t>
  </si>
  <si>
    <t>丸岡　満</t>
  </si>
  <si>
    <t>RW</t>
    <phoneticPr fontId="21" type="noConversion"/>
  </si>
  <si>
    <t>Tetsuro OTA</t>
  </si>
  <si>
    <t>太田　徹郎</t>
  </si>
  <si>
    <t>X1</t>
    <phoneticPr fontId="21" type="noConversion"/>
  </si>
  <si>
    <t>s1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</si>
  <si>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</si>
  <si>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</si>
  <si>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</si>
  <si>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</si>
  <si>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X-1</t>
    <phoneticPr fontId="21" type="noConversion"/>
  </si>
  <si>
    <t>s1</t>
    <phoneticPr fontId="21" type="noConversion"/>
  </si>
  <si>
    <t>inj</t>
    <phoneticPr fontId="21" type="noConversion"/>
  </si>
  <si>
    <t>アレックス</t>
  </si>
  <si>
    <t>DF</t>
    <phoneticPr fontId="21" type="noConversion"/>
  </si>
  <si>
    <t>s1</t>
    <phoneticPr fontId="21" type="noConversion"/>
  </si>
  <si>
    <t>X</t>
    <phoneticPr fontId="21" type="noConversion"/>
  </si>
  <si>
    <t>X1</t>
    <phoneticPr fontId="21" type="noConversion"/>
  </si>
  <si>
    <t>s1</t>
    <phoneticPr fontId="21" type="noConversion"/>
  </si>
  <si>
    <t>inj</t>
    <phoneticPr fontId="21" type="noConversion"/>
  </si>
  <si>
    <t>inj</t>
    <phoneticPr fontId="21" type="noConversion"/>
  </si>
  <si>
    <t>ban</t>
    <phoneticPr fontId="21" type="noConversion"/>
  </si>
  <si>
    <t>s2</t>
    <phoneticPr fontId="21" type="noConversion"/>
  </si>
  <si>
    <t>X-1</t>
    <phoneticPr fontId="21" type="noConversion"/>
  </si>
  <si>
    <t>X1</t>
    <phoneticPr fontId="21" type="noConversion"/>
  </si>
  <si>
    <t>inj</t>
    <phoneticPr fontId="21" type="noConversion"/>
  </si>
  <si>
    <t>レオナルド　ラモス</t>
  </si>
  <si>
    <t>s</t>
    <phoneticPr fontId="21" type="noConversion"/>
  </si>
  <si>
    <t>s</t>
    <phoneticPr fontId="21" type="noConversion"/>
  </si>
  <si>
    <t>s1</t>
    <phoneticPr fontId="21" type="noConversion"/>
  </si>
  <si>
    <t>X</t>
    <phoneticPr fontId="21" type="noConversion"/>
  </si>
  <si>
    <t>X-1</t>
    <phoneticPr fontId="21" type="noConversion"/>
  </si>
  <si>
    <t>X1</t>
    <phoneticPr fontId="21" type="noConversion"/>
  </si>
  <si>
    <t>inj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</si>
  <si>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</si>
  <si>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</si>
  <si>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</si>
  <si>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S</t>
    <phoneticPr fontId="21" type="noConversion"/>
  </si>
  <si>
    <t>inj</t>
    <phoneticPr fontId="21" type="noConversion"/>
  </si>
  <si>
    <t>X-1</t>
    <phoneticPr fontId="21" type="noConversion"/>
  </si>
  <si>
    <t>X1</t>
    <phoneticPr fontId="21" type="noConversion"/>
  </si>
  <si>
    <t>S</t>
    <phoneticPr fontId="21" type="noConversion"/>
  </si>
  <si>
    <t>LIM Seung Gyeom</t>
    <phoneticPr fontId="21" type="noConversion"/>
  </si>
  <si>
    <t>イム　スンギョム</t>
  </si>
  <si>
    <t>Rikiya Motegi</t>
    <phoneticPr fontId="21" type="noConversion"/>
  </si>
  <si>
    <t>Yuji Takahashi</t>
    <phoneticPr fontId="21" type="noConversion"/>
  </si>
  <si>
    <t>inj</t>
    <phoneticPr fontId="21" type="noConversion"/>
  </si>
  <si>
    <t>Kosuke Ota</t>
    <phoneticPr fontId="21" type="noConversion"/>
  </si>
  <si>
    <t>Calvin Jong-A-Pin</t>
    <phoneticPr fontId="21" type="noConversion"/>
  </si>
  <si>
    <t>CM</t>
  </si>
  <si>
    <t>Mun Kyung Gun</t>
    <phoneticPr fontId="21" type="noConversion"/>
  </si>
  <si>
    <t>ムン　キョンゴン</t>
    <phoneticPr fontId="21" type="noConversion"/>
  </si>
  <si>
    <t>GK</t>
    <phoneticPr fontId="21" type="noConversion"/>
  </si>
  <si>
    <t>DF</t>
    <phoneticPr fontId="21" type="noConversion"/>
  </si>
  <si>
    <t>JUNIOR Jader Fell</t>
    <phoneticPr fontId="21" type="noConversion"/>
  </si>
  <si>
    <t>ジュニオール</t>
    <phoneticPr fontId="21" type="noConversion"/>
  </si>
  <si>
    <t>inj</t>
    <phoneticPr fontId="21" type="noConversion"/>
  </si>
  <si>
    <t>MF</t>
    <phoneticPr fontId="21" type="noConversion"/>
  </si>
  <si>
    <t>Yosuke AKIYAMA</t>
  </si>
  <si>
    <t>秋山　陽介</t>
    <phoneticPr fontId="21" type="noConversion"/>
  </si>
  <si>
    <t>X-</t>
    <phoneticPr fontId="21" type="noConversion"/>
  </si>
  <si>
    <t>X-</t>
    <phoneticPr fontId="21" type="noConversion"/>
  </si>
  <si>
    <t>S-</t>
    <phoneticPr fontId="21" type="noConversion"/>
  </si>
  <si>
    <t>s</t>
    <phoneticPr fontId="21" type="noConversion"/>
  </si>
  <si>
    <t>s</t>
    <phoneticPr fontId="21" type="noConversion"/>
  </si>
  <si>
    <t>s1</t>
    <phoneticPr fontId="21" type="noConversion"/>
  </si>
  <si>
    <t>X-1</t>
    <phoneticPr fontId="21" type="noConversion"/>
  </si>
  <si>
    <t>ban</t>
    <phoneticPr fontId="21" type="noConversion"/>
  </si>
  <si>
    <t>ban</t>
    <phoneticPr fontId="21" type="noConversion"/>
  </si>
  <si>
    <t>??</t>
    <phoneticPr fontId="21" type="noConversion"/>
  </si>
  <si>
    <t>??</t>
    <phoneticPr fontId="21" type="noConversion"/>
  </si>
  <si>
    <t>X1</t>
    <phoneticPr fontId="21" type="noConversion"/>
  </si>
  <si>
    <t>X1</t>
    <phoneticPr fontId="21" type="noConversion"/>
  </si>
  <si>
    <t>inj</t>
    <phoneticPr fontId="21" type="noConversion"/>
  </si>
  <si>
    <t>X-1</t>
    <phoneticPr fontId="21" type="noConversion"/>
  </si>
  <si>
    <t>s1</t>
    <phoneticPr fontId="21" type="noConversion"/>
  </si>
  <si>
    <t>ban</t>
    <phoneticPr fontId="21" type="noConversion"/>
  </si>
  <si>
    <t>ban</t>
    <phoneticPr fontId="21" type="noConversion"/>
  </si>
  <si>
    <t>X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</si>
  <si>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</si>
  <si>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</si>
  <si>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</si>
  <si>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</si>
  <si>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</si>
  <si>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</si>
  <si>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inj</t>
    <phoneticPr fontId="21" type="noConversion"/>
  </si>
  <si>
    <t>ban</t>
    <phoneticPr fontId="21" type="noConversion"/>
  </si>
  <si>
    <t>X1</t>
    <phoneticPr fontId="21" type="noConversion"/>
  </si>
  <si>
    <t>inj</t>
    <phoneticPr fontId="21" type="noConversion"/>
  </si>
  <si>
    <t>X-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</si>
  <si>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</si>
  <si>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</si>
  <si>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</si>
  <si>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</si>
  <si>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</si>
  <si>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</si>
  <si>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inj</t>
    <phoneticPr fontId="21" type="noConversion"/>
  </si>
  <si>
    <t>inj</t>
    <phoneticPr fontId="21" type="noConversion"/>
  </si>
  <si>
    <t>inj</t>
    <phoneticPr fontId="21" type="noConversion"/>
  </si>
  <si>
    <t>X1</t>
    <phoneticPr fontId="21" type="noConversion"/>
  </si>
  <si>
    <t>S</t>
    <phoneticPr fontId="21" type="noConversion"/>
  </si>
  <si>
    <t>X-</t>
    <phoneticPr fontId="21" type="noConversion"/>
  </si>
  <si>
    <t>X-1</t>
    <phoneticPr fontId="21" type="noConversion"/>
  </si>
  <si>
    <t>X-1</t>
    <phoneticPr fontId="21" type="noConversion"/>
  </si>
  <si>
    <t>X2</t>
    <phoneticPr fontId="21" type="noConversion"/>
  </si>
  <si>
    <t>X3</t>
    <phoneticPr fontId="21" type="noConversion"/>
  </si>
  <si>
    <t>X1</t>
    <phoneticPr fontId="21" type="noConversion"/>
  </si>
  <si>
    <t>s2</t>
    <phoneticPr fontId="21" type="noConversion"/>
  </si>
  <si>
    <t>X1</t>
    <phoneticPr fontId="21" type="noConversion"/>
  </si>
  <si>
    <t>??</t>
    <phoneticPr fontId="21" type="noConversion"/>
  </si>
  <si>
    <t>ban</t>
    <phoneticPr fontId="21" type="noConversion"/>
  </si>
  <si>
    <t>ウォン　ドゥジェ</t>
  </si>
  <si>
    <t>Temma MATSUDA</t>
  </si>
  <si>
    <t>松田　天馬</t>
  </si>
  <si>
    <t>MF</t>
    <phoneticPr fontId="21" type="noConversion"/>
  </si>
  <si>
    <t>X-</t>
    <phoneticPr fontId="21" type="noConversion"/>
  </si>
  <si>
    <t>inj</t>
    <phoneticPr fontId="21" type="noConversion"/>
  </si>
  <si>
    <t>Yukio TSUCHIYA</t>
  </si>
  <si>
    <t>土屋　征夫</t>
  </si>
  <si>
    <t>ALEX</t>
    <phoneticPr fontId="21" type="noConversion"/>
  </si>
  <si>
    <t>Shingo Akamine</t>
    <phoneticPr fontId="21" type="noConversion"/>
  </si>
  <si>
    <t>赤嶺　真吾</t>
    <phoneticPr fontId="21" type="noConversion"/>
  </si>
  <si>
    <t>Yosuke Ishibitsu</t>
    <phoneticPr fontId="21" type="noConversion"/>
  </si>
  <si>
    <t>Akira Takeuchi</t>
    <phoneticPr fontId="21" type="noConversion"/>
  </si>
  <si>
    <t>Ryota Matsumoto</t>
    <phoneticPr fontId="21" type="noConversion"/>
  </si>
  <si>
    <t>Washington</t>
    <phoneticPr fontId="21" type="noConversion"/>
  </si>
  <si>
    <t>b</t>
    <phoneticPr fontId="21" type="noConversion"/>
  </si>
  <si>
    <t>X</t>
    <phoneticPr fontId="21" type="noConversion"/>
  </si>
  <si>
    <t>??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</si>
  <si>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</si>
  <si>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</si>
  <si>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</si>
  <si>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</si>
  <si>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</si>
  <si>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</si>
  <si>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X1</t>
    <phoneticPr fontId="21" type="noConversion"/>
  </si>
  <si>
    <t>キム　ジョンミン</t>
    <phoneticPr fontId="21" type="noConversion"/>
  </si>
  <si>
    <t>s1</t>
    <phoneticPr fontId="21" type="noConversion"/>
  </si>
  <si>
    <t>ban</t>
    <phoneticPr fontId="21" type="noConversion"/>
  </si>
  <si>
    <t>X2</t>
    <phoneticPr fontId="21" type="noConversion"/>
  </si>
  <si>
    <t>X-2</t>
    <phoneticPr fontId="21" type="noConversion"/>
  </si>
  <si>
    <t>s1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</si>
  <si>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</si>
  <si>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</si>
  <si>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</si>
  <si>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</si>
  <si>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Yokohama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</si>
  <si>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</si>
  <si>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</si>
  <si>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</si>
  <si>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X-</t>
    <phoneticPr fontId="21" type="noConversion"/>
  </si>
  <si>
    <t>??</t>
    <phoneticPr fontId="21" type="noConversion"/>
  </si>
  <si>
    <t>ban</t>
    <phoneticPr fontId="21" type="noConversion"/>
  </si>
  <si>
    <t>s1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</si>
  <si>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</si>
  <si>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</si>
  <si>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</si>
  <si>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</si>
  <si>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S-</t>
    <phoneticPr fontId="21" type="noConversion"/>
  </si>
  <si>
    <t>オルシーニ</t>
    <phoneticPr fontId="21" type="noConversion"/>
  </si>
  <si>
    <t>s</t>
    <phoneticPr fontId="21" type="noConversion"/>
  </si>
  <si>
    <t>X1</t>
    <phoneticPr fontId="21" type="noConversion"/>
  </si>
  <si>
    <t>X-2</t>
    <phoneticPr fontId="21" type="noConversion"/>
  </si>
  <si>
    <t>DF</t>
    <phoneticPr fontId="21" type="noConversion"/>
  </si>
  <si>
    <t>OG</t>
    <phoneticPr fontId="21" type="noConversion"/>
  </si>
  <si>
    <t>X-2</t>
    <phoneticPr fontId="21" type="noConversion"/>
  </si>
  <si>
    <t>Junya Hosokawa</t>
    <phoneticPr fontId="21" type="noConversion"/>
  </si>
  <si>
    <t>Takafumi Suzuki</t>
    <phoneticPr fontId="21" type="noConversion"/>
  </si>
  <si>
    <t>Kiwara Miyazaki</t>
    <phoneticPr fontId="21" type="noConversion"/>
  </si>
  <si>
    <t>Keiya Nakami</t>
    <phoneticPr fontId="21" type="noConversion"/>
  </si>
  <si>
    <t>Tulio</t>
    <phoneticPr fontId="21" type="noConversion"/>
  </si>
  <si>
    <t>Yuta Someya</t>
    <phoneticPr fontId="21" type="noConversion"/>
  </si>
  <si>
    <t>Kyohei Yoshino</t>
    <phoneticPr fontId="21" type="noConversion"/>
  </si>
  <si>
    <t>Takayuki Fukumura</t>
    <phoneticPr fontId="21" type="noConversion"/>
  </si>
  <si>
    <t>Yuta Toyokawa</t>
    <phoneticPr fontId="21" type="noConversion"/>
  </si>
  <si>
    <t>Takashi Kondo</t>
    <phoneticPr fontId="21" type="noConversion"/>
  </si>
  <si>
    <t>Taiki Hirato</t>
    <phoneticPr fontId="21" type="noConversion"/>
  </si>
  <si>
    <t>X-</t>
    <phoneticPr fontId="21" type="noConversion"/>
  </si>
  <si>
    <t>深津　康太</t>
    <phoneticPr fontId="21" type="noConversion"/>
  </si>
  <si>
    <t>s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</si>
  <si>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</si>
  <si>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</si>
  <si>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</si>
  <si>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ban</t>
    <phoneticPr fontId="21" type="noConversion"/>
  </si>
  <si>
    <t>X2</t>
    <phoneticPr fontId="21" type="noConversion"/>
  </si>
  <si>
    <t>ban</t>
    <phoneticPr fontId="21" type="noConversion"/>
  </si>
  <si>
    <t>ban</t>
    <phoneticPr fontId="21" type="noConversion"/>
  </si>
  <si>
    <t>X-1</t>
    <phoneticPr fontId="21" type="noConversion"/>
  </si>
  <si>
    <t>s1</t>
    <phoneticPr fontId="21" type="noConversion"/>
  </si>
  <si>
    <t>inj</t>
    <phoneticPr fontId="21" type="noConversion"/>
  </si>
  <si>
    <t>inj</t>
    <phoneticPr fontId="21" type="noConversion"/>
  </si>
  <si>
    <t>X-1</t>
    <phoneticPr fontId="21" type="noConversion"/>
  </si>
  <si>
    <t>FW</t>
    <phoneticPr fontId="21" type="noConversion"/>
  </si>
  <si>
    <t>鈴木　武蔵</t>
  </si>
  <si>
    <t>Musashi SUZUKI</t>
  </si>
  <si>
    <t>DF</t>
    <phoneticPr fontId="21" type="noConversion"/>
  </si>
  <si>
    <t>Keigo NUMATA</t>
  </si>
  <si>
    <t>沼田　圭悟</t>
  </si>
  <si>
    <t>X</t>
    <phoneticPr fontId="21" type="noConversion"/>
  </si>
  <si>
    <t>平松　宗</t>
    <phoneticPr fontId="21" type="noConversion"/>
  </si>
  <si>
    <t>Shu HIRAMATSU</t>
  </si>
  <si>
    <t>inj</t>
    <phoneticPr fontId="21" type="noConversion"/>
  </si>
  <si>
    <t>??</t>
  </si>
  <si>
    <t>X3</t>
    <phoneticPr fontId="21" type="noConversion"/>
  </si>
  <si>
    <t>LT</t>
  </si>
  <si>
    <t>ban</t>
    <phoneticPr fontId="21" type="noConversion"/>
  </si>
  <si>
    <t>Kodai Watanabe</t>
    <phoneticPr fontId="21" type="noConversion"/>
  </si>
  <si>
    <t>Juanma Delgado</t>
    <phoneticPr fontId="21" type="noConversion"/>
  </si>
  <si>
    <t>Kazumasa Uesato</t>
    <phoneticPr fontId="21" type="noConversion"/>
  </si>
  <si>
    <t>??</t>
    <phoneticPr fontId="21" type="noConversion"/>
  </si>
  <si>
    <t>Kosuke Fujioka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</si>
  <si>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</si>
  <si>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</si>
  <si>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</si>
  <si>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</si>
  <si>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</si>
  <si>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ban</t>
    <phoneticPr fontId="21" type="noConversion"/>
  </si>
  <si>
    <t>GK</t>
    <phoneticPr fontId="21" type="noConversion"/>
  </si>
  <si>
    <t>X</t>
    <phoneticPr fontId="21" type="noConversion"/>
  </si>
  <si>
    <t>ルイス　オヘーダ</t>
  </si>
  <si>
    <t>LUIS OJEDA</t>
  </si>
  <si>
    <t>X-1</t>
    <phoneticPr fontId="21" type="noConversion"/>
  </si>
  <si>
    <t>X-3</t>
    <phoneticPr fontId="21" type="noConversion"/>
  </si>
  <si>
    <t>ban</t>
    <phoneticPr fontId="21" type="noConversion"/>
  </si>
  <si>
    <t>inj</t>
    <phoneticPr fontId="21" type="noConversion"/>
  </si>
  <si>
    <t>LT</t>
    <phoneticPr fontId="21" type="noConversion"/>
  </si>
  <si>
    <t>X</t>
    <phoneticPr fontId="21" type="noConversion"/>
  </si>
  <si>
    <t>inj</t>
    <phoneticPr fontId="21" type="noConversion"/>
  </si>
  <si>
    <t>X1</t>
    <phoneticPr fontId="21" type="noConversion"/>
  </si>
  <si>
    <t>??</t>
    <phoneticPr fontId="21" type="noConversion"/>
  </si>
  <si>
    <t>S</t>
    <phoneticPr fontId="21" type="noConversion"/>
  </si>
  <si>
    <t>X2</t>
    <phoneticPr fontId="21" type="noConversion"/>
  </si>
  <si>
    <t>Yuji KIMURA</t>
  </si>
  <si>
    <t>X-</t>
    <phoneticPr fontId="21" type="noConversion"/>
  </si>
  <si>
    <t>inj</t>
    <phoneticPr fontId="21" type="noConversion"/>
  </si>
  <si>
    <t>inj</t>
    <phoneticPr fontId="21" type="noConversion"/>
  </si>
  <si>
    <t>ban</t>
    <phoneticPr fontId="21" type="noConversion"/>
  </si>
  <si>
    <t>X1</t>
    <phoneticPr fontId="21" type="noConversion"/>
  </si>
  <si>
    <t>X-1</t>
    <phoneticPr fontId="21" type="noConversion"/>
  </si>
  <si>
    <t>??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</si>
  <si>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</si>
  <si>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</si>
  <si>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</si>
  <si>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</si>
  <si>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X-1</t>
    <phoneticPr fontId="21" type="noConversion"/>
  </si>
  <si>
    <t>X-1</t>
    <phoneticPr fontId="21" type="noConversion"/>
  </si>
  <si>
    <t>s</t>
    <phoneticPr fontId="21" type="noConversion"/>
  </si>
  <si>
    <t>S-</t>
    <phoneticPr fontId="21" type="noConversion"/>
  </si>
  <si>
    <t>X-2</t>
    <phoneticPr fontId="21" type="noConversion"/>
  </si>
  <si>
    <t>s1</t>
    <phoneticPr fontId="21" type="noConversion"/>
  </si>
  <si>
    <t>X</t>
    <phoneticPr fontId="21" type="noConversion"/>
  </si>
  <si>
    <t>X1</t>
    <phoneticPr fontId="21" type="noConversion"/>
  </si>
  <si>
    <t>アベル　ルシアッティ</t>
    <phoneticPr fontId="21" type="noConversion"/>
  </si>
  <si>
    <t>CB</t>
    <phoneticPr fontId="21" type="noConversion"/>
  </si>
  <si>
    <t>ABEL LUCIATTI</t>
    <phoneticPr fontId="21" type="noConversion"/>
  </si>
  <si>
    <t>int</t>
    <phoneticPr fontId="21" type="noConversion"/>
  </si>
  <si>
    <t>X1</t>
    <phoneticPr fontId="21" type="noConversion"/>
  </si>
  <si>
    <t>X2</t>
    <phoneticPr fontId="21" type="noConversion"/>
  </si>
  <si>
    <t>X2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</si>
  <si>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</si>
  <si>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</si>
  <si>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</si>
  <si>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X-</t>
    <phoneticPr fontId="21" type="noConversion"/>
  </si>
  <si>
    <t>s</t>
    <phoneticPr fontId="21" type="noConversion"/>
  </si>
  <si>
    <t>X-</t>
    <phoneticPr fontId="21" type="noConversion"/>
  </si>
  <si>
    <t>X-</t>
    <phoneticPr fontId="21" type="noConversion"/>
  </si>
  <si>
    <t>DF</t>
    <phoneticPr fontId="21" type="noConversion"/>
  </si>
  <si>
    <t>EULLER</t>
  </si>
  <si>
    <t>エウレー</t>
  </si>
  <si>
    <t>X1</t>
    <phoneticPr fontId="21" type="noConversion"/>
  </si>
  <si>
    <t>s1</t>
    <phoneticPr fontId="21" type="noConversion"/>
  </si>
  <si>
    <t>X-1</t>
    <phoneticPr fontId="21" type="noConversion"/>
  </si>
  <si>
    <t>ban</t>
    <phoneticPr fontId="21" type="noConversion"/>
  </si>
  <si>
    <t>Ryo Tadokoro</t>
    <phoneticPr fontId="21" type="noConversion"/>
  </si>
  <si>
    <t>Hisato Sato</t>
    <phoneticPr fontId="21" type="noConversion"/>
  </si>
  <si>
    <t>Shota Kawanishi</t>
    <phoneticPr fontId="21" type="noConversion"/>
  </si>
  <si>
    <t>Tatsuya Yazawa</t>
    <phoneticPr fontId="21" type="noConversion"/>
  </si>
  <si>
    <t>Kotaro Fujiwara</t>
    <phoneticPr fontId="21" type="noConversion"/>
  </si>
  <si>
    <t>Serginho</t>
    <phoneticPr fontId="21" type="noConversion"/>
  </si>
  <si>
    <t>Naoya Kondo</t>
    <phoneticPr fontId="21" type="noConversion"/>
  </si>
  <si>
    <t>Andrew Kumagai</t>
    <phoneticPr fontId="21" type="noConversion"/>
  </si>
  <si>
    <t>inj</t>
    <phoneticPr fontId="21" type="noConversion"/>
  </si>
  <si>
    <t>Carlinhos</t>
    <phoneticPr fontId="21" type="noConversion"/>
  </si>
  <si>
    <t>inj</t>
    <phoneticPr fontId="21" type="noConversion"/>
  </si>
  <si>
    <t>MF</t>
    <phoneticPr fontId="21" type="noConversion"/>
  </si>
  <si>
    <t>Yoichi NAGANUMA</t>
  </si>
  <si>
    <t>長沼　洋一</t>
  </si>
  <si>
    <t>s</t>
    <phoneticPr fontId="21" type="noConversion"/>
  </si>
  <si>
    <t>X1</t>
    <phoneticPr fontId="21" type="noConversion"/>
  </si>
  <si>
    <t>X-1</t>
    <phoneticPr fontId="21" type="noConversion"/>
  </si>
  <si>
    <t>ban</t>
    <phoneticPr fontId="21" type="noConversion"/>
  </si>
  <si>
    <t>X1</t>
    <phoneticPr fontId="21" type="noConversion"/>
  </si>
  <si>
    <t>??</t>
    <phoneticPr fontId="21" type="noConversion"/>
  </si>
  <si>
    <t>s1</t>
    <phoneticPr fontId="21" type="noConversion"/>
  </si>
  <si>
    <t>LT</t>
    <phoneticPr fontId="21" type="noConversion"/>
  </si>
  <si>
    <t>X3</t>
    <phoneticPr fontId="21" type="noConversion"/>
  </si>
  <si>
    <t>ban</t>
    <phoneticPr fontId="21" type="noConversion"/>
  </si>
  <si>
    <t>X1</t>
    <phoneticPr fontId="21" type="noConversion"/>
  </si>
  <si>
    <t>DF</t>
    <phoneticPr fontId="21" type="noConversion"/>
  </si>
  <si>
    <t>川﨑　裕大</t>
  </si>
  <si>
    <t>Yasumasa KAWASAKI</t>
  </si>
  <si>
    <t>S</t>
    <phoneticPr fontId="21" type="noConversion"/>
  </si>
  <si>
    <t>??</t>
    <phoneticPr fontId="21" type="noConversion"/>
  </si>
  <si>
    <t>inj</t>
    <phoneticPr fontId="21" type="noConversion"/>
  </si>
  <si>
    <t>s1</t>
    <phoneticPr fontId="21" type="noConversion"/>
  </si>
  <si>
    <t>S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</si>
  <si>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</si>
  <si>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</si>
  <si>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</si>
  <si>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</si>
  <si>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</si>
  <si>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</si>
  <si>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??</t>
    <phoneticPr fontId="21" type="noConversion"/>
  </si>
  <si>
    <t>inj</t>
    <phoneticPr fontId="21" type="noConversion"/>
  </si>
  <si>
    <t>Ikki ARAI</t>
    <phoneticPr fontId="21" type="noConversion"/>
  </si>
  <si>
    <t>新井　一耀</t>
    <phoneticPr fontId="21" type="noConversion"/>
  </si>
  <si>
    <t>村上　巧</t>
    <phoneticPr fontId="21" type="noConversion"/>
  </si>
  <si>
    <t>inj</t>
    <phoneticPr fontId="21" type="noConversion"/>
  </si>
  <si>
    <t>X1</t>
    <phoneticPr fontId="21" type="noConversion"/>
  </si>
  <si>
    <t>S1</t>
    <phoneticPr fontId="21" type="noConversion"/>
  </si>
  <si>
    <t>s1</t>
    <phoneticPr fontId="21" type="noConversion"/>
  </si>
  <si>
    <t>??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</si>
  <si>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</si>
  <si>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</si>
  <si>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</si>
  <si>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</si>
  <si>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</t>
    <phoneticPr fontId="21" type="noConversion"/>
  </si>
  <si>
    <t>X-</t>
    <phoneticPr fontId="21" type="noConversion"/>
  </si>
  <si>
    <t>b</t>
    <phoneticPr fontId="21" type="noConversion"/>
  </si>
  <si>
    <t>s</t>
    <phoneticPr fontId="21" type="noConversion"/>
  </si>
  <si>
    <t>S-1</t>
    <phoneticPr fontId="21" type="noConversion"/>
  </si>
  <si>
    <t>ban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</si>
  <si>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</si>
  <si>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</si>
  <si>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</si>
  <si>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LT</t>
    <phoneticPr fontId="21" type="noConversion"/>
  </si>
  <si>
    <t>X</t>
    <phoneticPr fontId="21" type="noConversion"/>
  </si>
  <si>
    <t>S</t>
    <phoneticPr fontId="21" type="noConversion"/>
  </si>
  <si>
    <t>X2</t>
    <phoneticPr fontId="21" type="noConversion"/>
  </si>
  <si>
    <t>S</t>
    <phoneticPr fontId="21" type="noConversion"/>
  </si>
  <si>
    <t>X-1</t>
    <phoneticPr fontId="21" type="noConversion"/>
  </si>
  <si>
    <t>s</t>
    <phoneticPr fontId="21" type="noConversion"/>
  </si>
  <si>
    <t>??</t>
    <phoneticPr fontId="21" type="noConversion"/>
  </si>
  <si>
    <t>X1</t>
    <phoneticPr fontId="21" type="noConversion"/>
  </si>
  <si>
    <t>X1</t>
    <phoneticPr fontId="21" type="noConversion"/>
  </si>
  <si>
    <t>inj</t>
    <phoneticPr fontId="21" type="noConversion"/>
  </si>
  <si>
    <t>??</t>
    <phoneticPr fontId="21" type="noConversion"/>
  </si>
  <si>
    <t>Shohei Yamamoto</t>
    <phoneticPr fontId="21" type="noConversion"/>
  </si>
  <si>
    <t>Tetsuya Kijima</t>
    <phoneticPr fontId="21" type="noConversion"/>
  </si>
  <si>
    <t>ban</t>
    <phoneticPr fontId="21" type="noConversion"/>
  </si>
  <si>
    <t>Eiichi Katayama</t>
    <phoneticPr fontId="21" type="noConversion"/>
  </si>
  <si>
    <t>Yudai Inoue</t>
    <phoneticPr fontId="21" type="noConversion"/>
  </si>
  <si>
    <t>Wellington</t>
    <phoneticPr fontId="21" type="noConversion"/>
  </si>
  <si>
    <t>Ryoma Ishida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</si>
  <si>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</si>
  <si>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</si>
  <si>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</si>
  <si>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b</t>
    <phoneticPr fontId="21" type="noConversion"/>
  </si>
  <si>
    <t>b</t>
    <phoneticPr fontId="21" type="noConversion"/>
  </si>
  <si>
    <t>Shunya Suganuma</t>
    <phoneticPr fontId="21" type="noConversion"/>
  </si>
  <si>
    <t>Takumi Murakami</t>
    <phoneticPr fontId="21" type="noConversion"/>
  </si>
  <si>
    <t>Shuto Kojima</t>
    <phoneticPr fontId="21" type="noConversion"/>
  </si>
  <si>
    <t>??</t>
    <phoneticPr fontId="21" type="noConversion"/>
  </si>
  <si>
    <t>Takuya Nagata</t>
    <phoneticPr fontId="21" type="noConversion"/>
  </si>
  <si>
    <t>Ryutaro Iio</t>
    <phoneticPr fontId="21" type="noConversion"/>
  </si>
  <si>
    <t>Yuto Sato</t>
    <phoneticPr fontId="21" type="noConversion"/>
  </si>
  <si>
    <t>Robin Simovic</t>
    <phoneticPr fontId="21" type="noConversion"/>
  </si>
  <si>
    <t>Yoshiaki Takagi</t>
    <phoneticPr fontId="21" type="noConversion"/>
  </si>
  <si>
    <t>LEONARDO RAMOS</t>
    <phoneticPr fontId="21" type="noConversion"/>
  </si>
  <si>
    <t>??</t>
    <phoneticPr fontId="21" type="noConversion"/>
  </si>
  <si>
    <t>b</t>
    <phoneticPr fontId="21" type="noConversion"/>
  </si>
  <si>
    <t>s</t>
    <phoneticPr fontId="21" type="noConversion"/>
  </si>
  <si>
    <t>X</t>
    <phoneticPr fontId="21" type="noConversion"/>
  </si>
  <si>
    <t>ban</t>
    <phoneticPr fontId="21" type="noConversion"/>
  </si>
  <si>
    <t>inj</t>
    <phoneticPr fontId="21" type="noConversion"/>
  </si>
  <si>
    <t>??</t>
    <phoneticPr fontId="21" type="noConversion"/>
  </si>
  <si>
    <t>s1</t>
    <phoneticPr fontId="21" type="noConversion"/>
  </si>
  <si>
    <t>X</t>
    <phoneticPr fontId="21" type="noConversion"/>
  </si>
  <si>
    <t>s</t>
    <phoneticPr fontId="21" type="noConversion"/>
  </si>
  <si>
    <t>MF</t>
    <phoneticPr fontId="21" type="noConversion"/>
  </si>
  <si>
    <t>佐々木　匠</t>
  </si>
  <si>
    <t>Takumi SASAKI</t>
  </si>
  <si>
    <t>s</t>
    <phoneticPr fontId="21" type="noConversion"/>
  </si>
  <si>
    <t>X2</t>
    <phoneticPr fontId="21" type="noConversion"/>
  </si>
  <si>
    <t>X</t>
    <phoneticPr fontId="21" type="noConversion"/>
  </si>
  <si>
    <t>X-</t>
    <phoneticPr fontId="21" type="noConversion"/>
  </si>
  <si>
    <t>b</t>
    <phoneticPr fontId="21" type="noConversion"/>
  </si>
  <si>
    <t>s</t>
    <phoneticPr fontId="21" type="noConversion"/>
  </si>
  <si>
    <t>X1</t>
    <phoneticPr fontId="21" type="noConversion"/>
  </si>
  <si>
    <t>伊藤　涼太郎</t>
  </si>
  <si>
    <t>Ryotaro ITO</t>
  </si>
  <si>
    <t>X2</t>
    <phoneticPr fontId="21" type="noConversion"/>
  </si>
  <si>
    <t>OG</t>
    <phoneticPr fontId="21" type="noConversion"/>
  </si>
  <si>
    <t>X1</t>
    <phoneticPr fontId="21" type="noConversion"/>
  </si>
  <si>
    <t>ban</t>
    <phoneticPr fontId="21" type="noConversion"/>
  </si>
  <si>
    <t>s1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</si>
  <si>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</si>
  <si>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</si>
  <si>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</si>
  <si>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</si>
  <si>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s1</t>
    <phoneticPr fontId="21" type="noConversion"/>
  </si>
  <si>
    <t>??</t>
    <phoneticPr fontId="21" type="noConversion"/>
  </si>
  <si>
    <t>X-2</t>
    <phoneticPr fontId="21" type="noConversion"/>
  </si>
  <si>
    <t>X-1</t>
    <phoneticPr fontId="21" type="noConversion"/>
  </si>
  <si>
    <t>inj</t>
    <phoneticPr fontId="21" type="noConversion"/>
  </si>
  <si>
    <t>X1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</si>
  <si>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</si>
  <si>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</si>
  <si>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</si>
  <si>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</si>
  <si>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inj</t>
    <phoneticPr fontId="21" type="noConversion"/>
  </si>
  <si>
    <t>??</t>
    <phoneticPr fontId="21" type="noConversion"/>
  </si>
  <si>
    <t>Hidetoshi Miyuki</t>
    <phoneticPr fontId="21" type="noConversion"/>
  </si>
  <si>
    <t>Yohei Fukumoto</t>
    <phoneticPr fontId="21" type="noConversion"/>
  </si>
  <si>
    <t>Yuzuru Shimada</t>
    <phoneticPr fontId="21" type="noConversion"/>
  </si>
  <si>
    <t>Ryoji Fukui</t>
    <phoneticPr fontId="21" type="noConversion"/>
  </si>
  <si>
    <t>Daizen Maeda</t>
    <phoneticPr fontId="21" type="noConversion"/>
  </si>
  <si>
    <t>Hiroki Yamamoto</t>
    <phoneticPr fontId="21" type="noConversion"/>
  </si>
  <si>
    <t>Masaki Iida</t>
    <phoneticPr fontId="21" type="noConversion"/>
  </si>
  <si>
    <t>DF</t>
    <phoneticPr fontId="21" type="noConversion"/>
  </si>
  <si>
    <t>西村　竜馬</t>
  </si>
  <si>
    <t>Ryoma Nishimura</t>
    <phoneticPr fontId="21" type="noConversion"/>
  </si>
  <si>
    <t>X1</t>
    <phoneticPr fontId="21" type="noConversion"/>
  </si>
  <si>
    <t>s1</t>
    <phoneticPr fontId="21" type="noConversion"/>
  </si>
  <si>
    <t>??</t>
    <phoneticPr fontId="21" type="noConversion"/>
  </si>
  <si>
    <t>s1</t>
    <phoneticPr fontId="21" type="noConversion"/>
  </si>
  <si>
    <t>X-1</t>
    <phoneticPr fontId="21" type="noConversion"/>
  </si>
  <si>
    <t>X3</t>
    <phoneticPr fontId="21" type="noConversion"/>
  </si>
  <si>
    <t>X1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</si>
  <si>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</si>
  <si>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</si>
  <si>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</si>
  <si>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</si>
  <si>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X1</t>
    <phoneticPr fontId="21" type="noConversion"/>
  </si>
  <si>
    <t>福井　諒司</t>
    <phoneticPr fontId="21" type="noConversion"/>
  </si>
  <si>
    <t>X-1</t>
    <phoneticPr fontId="21" type="noConversion"/>
  </si>
  <si>
    <t>X1</t>
    <phoneticPr fontId="21" type="noConversion"/>
  </si>
  <si>
    <t>X-1</t>
    <phoneticPr fontId="21" type="noConversion"/>
  </si>
  <si>
    <t>X-1</t>
    <phoneticPr fontId="21" type="noConversion"/>
  </si>
  <si>
    <t>s1</t>
    <phoneticPr fontId="21" type="noConversion"/>
  </si>
  <si>
    <t>S</t>
    <phoneticPr fontId="21" type="noConversion"/>
  </si>
  <si>
    <t>ban</t>
    <phoneticPr fontId="21" type="noConversion"/>
  </si>
  <si>
    <t>??</t>
    <phoneticPr fontId="21" type="noConversion"/>
  </si>
  <si>
    <t>S</t>
    <phoneticPr fontId="21" type="noConversion"/>
  </si>
  <si>
    <t>アラン</t>
    <phoneticPr fontId="21" type="noConversion"/>
  </si>
  <si>
    <t>X1</t>
    <phoneticPr fontId="21" type="noConversion"/>
  </si>
  <si>
    <t>X1</t>
    <phoneticPr fontId="21" type="noConversion"/>
  </si>
  <si>
    <t>s</t>
    <phoneticPr fontId="21" type="noConversion"/>
  </si>
  <si>
    <t>Taro Sugimoto</t>
    <phoneticPr fontId="21" type="noConversion"/>
  </si>
  <si>
    <t>KANG Soo Il</t>
    <phoneticPr fontId="21" type="noConversion"/>
  </si>
  <si>
    <t>Kazuki Kozuka</t>
    <phoneticPr fontId="21" type="noConversion"/>
  </si>
  <si>
    <t>Shingo Kukita</t>
    <phoneticPr fontId="21" type="noConversion"/>
  </si>
  <si>
    <t>Kota Fukatsu</t>
    <phoneticPr fontId="21" type="noConversion"/>
  </si>
  <si>
    <t>Makito Yoshida</t>
    <phoneticPr fontId="21" type="noConversion"/>
  </si>
  <si>
    <t>Ryota Takasugi</t>
    <phoneticPr fontId="21" type="noConversion"/>
  </si>
  <si>
    <t>Daichi Inui</t>
    <phoneticPr fontId="21" type="noConversion"/>
  </si>
  <si>
    <t>??</t>
    <phoneticPr fontId="21" type="noConversion"/>
  </si>
  <si>
    <t>inj</t>
    <phoneticPr fontId="21" type="noConversion"/>
  </si>
  <si>
    <t>out</t>
    <phoneticPr fontId="21" type="noConversion"/>
  </si>
  <si>
    <t>ban</t>
    <phoneticPr fontId="21" type="noConversion"/>
  </si>
  <si>
    <t>int</t>
    <phoneticPr fontId="21" type="noConversion"/>
  </si>
  <si>
    <t>??</t>
    <phoneticPr fontId="21" type="noConversion"/>
  </si>
  <si>
    <t>ban</t>
    <phoneticPr fontId="21" type="noConversion"/>
  </si>
  <si>
    <t>X1</t>
    <phoneticPr fontId="21" type="noConversion"/>
  </si>
  <si>
    <t>X1</t>
    <phoneticPr fontId="21" type="noConversion"/>
  </si>
  <si>
    <t>X-2</t>
    <phoneticPr fontId="21" type="noConversion"/>
  </si>
  <si>
    <t>X1</t>
    <phoneticPr fontId="21" type="noConversion"/>
  </si>
  <si>
    <t>X1</t>
    <phoneticPr fontId="21" type="noConversion"/>
  </si>
  <si>
    <t>s1</t>
    <phoneticPr fontId="21" type="noConversion"/>
  </si>
  <si>
    <t>X-1</t>
    <phoneticPr fontId="21" type="noConversion"/>
  </si>
  <si>
    <t>out</t>
    <phoneticPr fontId="21" type="noConversion"/>
  </si>
  <si>
    <t>int</t>
    <phoneticPr fontId="21" type="noConversion"/>
  </si>
  <si>
    <t>X-2</t>
    <phoneticPr fontId="21" type="noConversion"/>
  </si>
  <si>
    <t>s1</t>
    <phoneticPr fontId="21" type="noConversion"/>
  </si>
  <si>
    <t>X-1</t>
    <phoneticPr fontId="21" type="noConversion"/>
  </si>
  <si>
    <t>??</t>
    <phoneticPr fontId="21" type="noConversion"/>
  </si>
  <si>
    <t>X1</t>
    <phoneticPr fontId="21" type="noConversion"/>
  </si>
  <si>
    <t>X-1</t>
    <phoneticPr fontId="21" type="noConversion"/>
  </si>
  <si>
    <t>X-1</t>
    <phoneticPr fontId="21" type="noConversion"/>
  </si>
  <si>
    <t>X2</t>
    <phoneticPr fontId="21" type="noConversion"/>
  </si>
  <si>
    <t>OG</t>
    <phoneticPr fontId="21" type="noConversion"/>
  </si>
  <si>
    <t>s1</t>
    <phoneticPr fontId="21" type="noConversion"/>
  </si>
  <si>
    <t>X-1</t>
    <phoneticPr fontId="21" type="noConversion"/>
  </si>
  <si>
    <t>inj</t>
    <phoneticPr fontId="21" type="noConversion"/>
  </si>
  <si>
    <t>S</t>
    <phoneticPr fontId="21" type="noConversion"/>
  </si>
  <si>
    <t>s2</t>
    <phoneticPr fontId="21" type="noConversion"/>
  </si>
  <si>
    <t>s1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</si>
  <si>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</si>
  <si>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</si>
  <si>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</si>
  <si>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</si>
  <si>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</t>
    <phoneticPr fontId="21" type="noConversion"/>
  </si>
  <si>
    <t>??</t>
    <phoneticPr fontId="21" type="noConversion"/>
  </si>
  <si>
    <t>??</t>
    <phoneticPr fontId="21" type="noConversion"/>
  </si>
  <si>
    <t>ban</t>
    <phoneticPr fontId="21" type="noConversion"/>
  </si>
  <si>
    <t>X1</t>
    <phoneticPr fontId="21" type="noConversion"/>
  </si>
  <si>
    <t>b</t>
    <phoneticPr fontId="21" type="noConversion"/>
  </si>
  <si>
    <t>??</t>
    <phoneticPr fontId="21" type="noConversion"/>
  </si>
  <si>
    <t>X-2</t>
    <phoneticPr fontId="21" type="noConversion"/>
  </si>
  <si>
    <t>s1</t>
    <phoneticPr fontId="21" type="noConversion"/>
  </si>
  <si>
    <t>X1</t>
    <phoneticPr fontId="21" type="noConversion"/>
  </si>
  <si>
    <t>ban</t>
    <phoneticPr fontId="21" type="noConversion"/>
  </si>
  <si>
    <t>b</t>
    <phoneticPr fontId="21" type="noConversion"/>
  </si>
  <si>
    <t>X1</t>
    <phoneticPr fontId="21" type="noConversion"/>
  </si>
  <si>
    <t>out</t>
    <phoneticPr fontId="21" type="noConversion"/>
  </si>
  <si>
    <t>X-1</t>
    <phoneticPr fontId="21" type="noConversion"/>
  </si>
  <si>
    <t>OG</t>
    <phoneticPr fontId="21" type="noConversion"/>
  </si>
  <si>
    <t>s1</t>
    <phoneticPr fontId="21" type="noConversion"/>
  </si>
  <si>
    <t>X</t>
    <phoneticPr fontId="21" type="noConversion"/>
  </si>
  <si>
    <t>inj</t>
    <phoneticPr fontId="21" type="noConversion"/>
  </si>
  <si>
    <t>LT</t>
    <phoneticPr fontId="21" type="noConversion"/>
  </si>
  <si>
    <t>X2</t>
    <phoneticPr fontId="21" type="noConversion"/>
  </si>
  <si>
    <t>s1</t>
    <phoneticPr fontId="21" type="noConversion"/>
  </si>
  <si>
    <t>X</t>
    <phoneticPr fontId="21" type="noConversion"/>
  </si>
  <si>
    <t>X-1</t>
    <phoneticPr fontId="21" type="noConversion"/>
  </si>
  <si>
    <t>ban</t>
    <phoneticPr fontId="21" type="noConversion"/>
  </si>
  <si>
    <t>吉田　直矢</t>
  </si>
  <si>
    <t>Naoya YOSHIDA</t>
  </si>
  <si>
    <t>MF</t>
    <phoneticPr fontId="21" type="noConversion"/>
  </si>
  <si>
    <t>X-</t>
    <phoneticPr fontId="21" type="noConversion"/>
  </si>
  <si>
    <t>Masaki Miyasaka</t>
    <phoneticPr fontId="21" type="noConversion"/>
  </si>
  <si>
    <t>Dinei</t>
    <phoneticPr fontId="21" type="noConversion"/>
  </si>
  <si>
    <t>Nobuhisa Urata</t>
    <phoneticPr fontId="21" type="noConversion"/>
  </si>
  <si>
    <t>Daiki Tamori</t>
    <phoneticPr fontId="21" type="noConversion"/>
  </si>
  <si>
    <t>Alan Pinheiro</t>
    <phoneticPr fontId="21" type="noConversion"/>
  </si>
  <si>
    <t>Takuya Sonoda</t>
    <phoneticPr fontId="21" type="noConversion"/>
  </si>
  <si>
    <t>Kojiro Shinohara</t>
    <phoneticPr fontId="21" type="noConversion"/>
  </si>
  <si>
    <t>Gilsinho</t>
    <phoneticPr fontId="21" type="noConversion"/>
  </si>
  <si>
    <t>Hirotaka Tameda</t>
    <phoneticPr fontId="21" type="noConversion"/>
  </si>
  <si>
    <t>inj</t>
    <phoneticPr fontId="21" type="noConversion"/>
  </si>
  <si>
    <t>ORSINI</t>
    <phoneticPr fontId="21" type="noConversion"/>
  </si>
  <si>
    <t>ban</t>
    <phoneticPr fontId="21" type="noConversion"/>
  </si>
  <si>
    <t>??</t>
    <phoneticPr fontId="21" type="noConversion"/>
  </si>
  <si>
    <t>X-2</t>
    <phoneticPr fontId="21" type="noConversion"/>
  </si>
  <si>
    <t>X</t>
    <phoneticPr fontId="21" type="noConversion"/>
  </si>
  <si>
    <t>??</t>
    <phoneticPr fontId="21" type="noConversion"/>
  </si>
  <si>
    <t>s1</t>
    <phoneticPr fontId="21" type="noConversion"/>
  </si>
  <si>
    <t>X-1</t>
    <phoneticPr fontId="21" type="noConversion"/>
  </si>
  <si>
    <t>X1</t>
    <phoneticPr fontId="21" type="noConversion"/>
  </si>
  <si>
    <t>ban</t>
    <phoneticPr fontId="21" type="noConversion"/>
  </si>
  <si>
    <t>X1</t>
    <phoneticPr fontId="21" type="noConversion"/>
  </si>
  <si>
    <t>X2</t>
    <phoneticPr fontId="21" type="noConversion"/>
  </si>
  <si>
    <t>S</t>
    <phoneticPr fontId="21" type="noConversion"/>
  </si>
  <si>
    <t>LT</t>
    <phoneticPr fontId="21" type="noConversion"/>
  </si>
  <si>
    <t>X1</t>
    <phoneticPr fontId="21" type="noConversion"/>
  </si>
  <si>
    <t>S</t>
    <phoneticPr fontId="21" type="noConversion"/>
  </si>
  <si>
    <t>ine</t>
    <phoneticPr fontId="21" type="noConversion"/>
  </si>
  <si>
    <t>X-1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</si>
  <si>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</si>
  <si>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</si>
  <si>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</si>
  <si>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ban</t>
    <phoneticPr fontId="21" type="noConversion"/>
  </si>
  <si>
    <t>MF</t>
    <phoneticPr fontId="21" type="noConversion"/>
  </si>
  <si>
    <t>Yuki KAGAWA</t>
  </si>
  <si>
    <t>X1</t>
    <phoneticPr fontId="21" type="noConversion"/>
  </si>
  <si>
    <t>X-1</t>
    <phoneticPr fontId="21" type="noConversion"/>
  </si>
  <si>
    <t>??</t>
    <phoneticPr fontId="21" type="noConversion"/>
  </si>
  <si>
    <t>ban</t>
    <phoneticPr fontId="21" type="noConversion"/>
  </si>
  <si>
    <t>ban</t>
    <phoneticPr fontId="21" type="noConversion"/>
  </si>
  <si>
    <t>ban</t>
    <phoneticPr fontId="21" type="noConversion"/>
  </si>
  <si>
    <t>OG</t>
    <phoneticPr fontId="21" type="noConversion"/>
  </si>
  <si>
    <t>X2</t>
    <phoneticPr fontId="21" type="noConversion"/>
  </si>
  <si>
    <t>S</t>
    <phoneticPr fontId="21" type="noConversion"/>
  </si>
  <si>
    <t>X-1</t>
    <phoneticPr fontId="21" type="noConversion"/>
  </si>
  <si>
    <t>s1</t>
    <phoneticPr fontId="21" type="noConversion"/>
  </si>
  <si>
    <t>X1</t>
    <phoneticPr fontId="21" type="noConversion"/>
  </si>
  <si>
    <t>X-1</t>
    <phoneticPr fontId="21" type="noConversion"/>
  </si>
  <si>
    <t>out</t>
    <phoneticPr fontId="21" type="noConversion"/>
  </si>
  <si>
    <t>X-1</t>
    <phoneticPr fontId="21" type="noConversion"/>
  </si>
  <si>
    <t>ban</t>
    <phoneticPr fontId="21" type="noConversion"/>
  </si>
  <si>
    <t>X-1</t>
    <phoneticPr fontId="21" type="noConversion"/>
  </si>
  <si>
    <t>inj</t>
    <phoneticPr fontId="21" type="noConversion"/>
  </si>
  <si>
    <t>Shintaro Shimada</t>
    <phoneticPr fontId="21" type="noConversion"/>
  </si>
  <si>
    <t>GABRIEL XAVIER</t>
    <phoneticPr fontId="21" type="noConversion"/>
  </si>
  <si>
    <t>フェリペ　ガルシア</t>
    <phoneticPr fontId="21" type="noConversion"/>
  </si>
  <si>
    <t>ガブリエル　シャビエル</t>
    <phoneticPr fontId="21" type="noConversion"/>
  </si>
  <si>
    <t>Tatsushi Koyanagi</t>
    <phoneticPr fontId="21" type="noConversion"/>
  </si>
  <si>
    <t>Kazuaki Mawatari</t>
    <phoneticPr fontId="21" type="noConversion"/>
  </si>
  <si>
    <t>Yuta Mikado</t>
    <phoneticPr fontId="21" type="noConversion"/>
  </si>
  <si>
    <t>??</t>
    <phoneticPr fontId="21" type="noConversion"/>
  </si>
  <si>
    <t>Masatoshi Ishida</t>
    <phoneticPr fontId="21" type="noConversion"/>
  </si>
  <si>
    <t>Sung-Min Ha</t>
    <phoneticPr fontId="21" type="noConversion"/>
  </si>
  <si>
    <t>X1</t>
    <phoneticPr fontId="21" type="noConversion"/>
  </si>
  <si>
    <t>s1</t>
    <phoneticPr fontId="21" type="noConversion"/>
  </si>
  <si>
    <t>ban</t>
    <phoneticPr fontId="21" type="noConversion"/>
  </si>
  <si>
    <t>X-1</t>
    <phoneticPr fontId="21" type="noConversion"/>
  </si>
  <si>
    <t>X-1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</si>
  <si>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</si>
  <si>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</si>
  <si>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</si>
  <si>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S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</si>
  <si>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</si>
  <si>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</si>
  <si>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</si>
  <si>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X-1</t>
    <phoneticPr fontId="21" type="noConversion"/>
  </si>
  <si>
    <t>OG</t>
    <phoneticPr fontId="21" type="noConversion"/>
  </si>
  <si>
    <t>S1</t>
    <phoneticPr fontId="21" type="noConversion"/>
  </si>
  <si>
    <t>s1</t>
    <phoneticPr fontId="21" type="noConversion"/>
  </si>
  <si>
    <t>Takaya Inui</t>
    <phoneticPr fontId="21" type="noConversion"/>
  </si>
  <si>
    <t>Teruhito NAKAGAWA</t>
    <phoneticPr fontId="21" type="noConversion"/>
  </si>
  <si>
    <t>Masanori Abe</t>
    <phoneticPr fontId="21" type="noConversion"/>
  </si>
  <si>
    <t>Sisinio</t>
    <phoneticPr fontId="21" type="noConversion"/>
  </si>
  <si>
    <t>Hayato Nakama</t>
    <phoneticPr fontId="21" type="noConversion"/>
  </si>
  <si>
    <t>Allan</t>
    <phoneticPr fontId="21" type="noConversion"/>
  </si>
  <si>
    <t>Masayuki Okuyama</t>
    <phoneticPr fontId="21" type="noConversion"/>
  </si>
  <si>
    <t>Yuki Matsushita</t>
    <phoneticPr fontId="21" type="noConversion"/>
  </si>
  <si>
    <t>X1</t>
    <phoneticPr fontId="21" type="noConversion"/>
  </si>
  <si>
    <t>s1</t>
    <phoneticPr fontId="21" type="noConversion"/>
  </si>
  <si>
    <t>X-2</t>
    <phoneticPr fontId="21" type="noConversion"/>
  </si>
  <si>
    <t>X1</t>
    <phoneticPr fontId="21" type="noConversion"/>
  </si>
  <si>
    <t>s1</t>
    <phoneticPr fontId="21" type="noConversion"/>
  </si>
  <si>
    <t>X1</t>
    <phoneticPr fontId="21" type="noConversion"/>
  </si>
  <si>
    <t>s1</t>
    <phoneticPr fontId="21" type="noConversion"/>
  </si>
  <si>
    <t>X-1</t>
    <phoneticPr fontId="21" type="noConversion"/>
  </si>
  <si>
    <t>X-1</t>
    <phoneticPr fontId="21" type="noConversion"/>
  </si>
  <si>
    <t>s1</t>
    <phoneticPr fontId="21" type="noConversion"/>
  </si>
  <si>
    <t>??</t>
    <phoneticPr fontId="21" type="noConversion"/>
  </si>
  <si>
    <t>ban</t>
    <phoneticPr fontId="21" type="noConversion"/>
  </si>
  <si>
    <t>X-1</t>
    <phoneticPr fontId="21" type="noConversion"/>
  </si>
  <si>
    <t>X1</t>
    <phoneticPr fontId="21" type="noConversion"/>
  </si>
  <si>
    <t>X1</t>
    <phoneticPr fontId="21" type="noConversion"/>
  </si>
  <si>
    <t>ban</t>
    <phoneticPr fontId="21" type="noConversion"/>
  </si>
  <si>
    <t>??</t>
    <phoneticPr fontId="21" type="noConversion"/>
  </si>
  <si>
    <t>X1</t>
    <phoneticPr fontId="21" type="noConversion"/>
  </si>
  <si>
    <t>S</t>
    <phoneticPr fontId="21" type="noConversion"/>
  </si>
  <si>
    <t>X1</t>
    <phoneticPr fontId="21" type="noConversion"/>
  </si>
  <si>
    <t>??</t>
    <phoneticPr fontId="21" type="noConversion"/>
  </si>
  <si>
    <t>X1</t>
    <phoneticPr fontId="21" type="noConversion"/>
  </si>
  <si>
    <t>ban</t>
    <phoneticPr fontId="21" type="noConversion"/>
  </si>
  <si>
    <t>X-2</t>
    <phoneticPr fontId="21" type="noConversion"/>
  </si>
  <si>
    <t>s1</t>
    <phoneticPr fontId="21" type="noConversion"/>
  </si>
  <si>
    <t>X2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</si>
  <si>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</si>
  <si>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</si>
  <si>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</si>
  <si>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</si>
  <si>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ban</t>
    <phoneticPr fontId="21" type="noConversion"/>
  </si>
  <si>
    <t>X1</t>
    <phoneticPr fontId="21" type="noConversion"/>
  </si>
  <si>
    <t>X1</t>
    <phoneticPr fontId="21" type="noConversion"/>
  </si>
  <si>
    <t>??</t>
    <phoneticPr fontId="21" type="noConversion"/>
  </si>
  <si>
    <t>X-1</t>
    <phoneticPr fontId="21" type="noConversion"/>
  </si>
  <si>
    <t>ban</t>
    <phoneticPr fontId="21" type="noConversion"/>
  </si>
  <si>
    <t>S</t>
    <phoneticPr fontId="21" type="noConversion"/>
  </si>
  <si>
    <t>S-</t>
    <phoneticPr fontId="21" type="noConversion"/>
  </si>
  <si>
    <t>s</t>
    <phoneticPr fontId="21" type="noConversion"/>
  </si>
  <si>
    <t>b</t>
    <phoneticPr fontId="21" type="noConversion"/>
  </si>
  <si>
    <t>X-1</t>
    <phoneticPr fontId="21" type="noConversion"/>
  </si>
  <si>
    <t>s1</t>
    <phoneticPr fontId="21" type="noConversion"/>
  </si>
  <si>
    <t>s1</t>
    <phoneticPr fontId="21" type="noConversion"/>
  </si>
  <si>
    <t>X2</t>
    <phoneticPr fontId="21" type="noConversion"/>
  </si>
  <si>
    <t>X-1</t>
    <phoneticPr fontId="21" type="noConversion"/>
  </si>
  <si>
    <t>S</t>
    <phoneticPr fontId="21" type="noConversion"/>
  </si>
  <si>
    <t>N</t>
    <phoneticPr fontId="21" type="noConversion"/>
  </si>
  <si>
    <t>N</t>
    <phoneticPr fontId="21" type="noConversion"/>
  </si>
  <si>
    <t>H</t>
    <phoneticPr fontId="21" type="noConversion"/>
  </si>
  <si>
    <t>X</t>
    <phoneticPr fontId="21" type="noConversion"/>
  </si>
  <si>
    <t>X</t>
    <phoneticPr fontId="21" type="noConversion"/>
  </si>
  <si>
    <t>b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</si>
  <si>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</si>
  <si>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</si>
  <si>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</si>
  <si>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b</t>
    <phoneticPr fontId="21" type="noConversion"/>
  </si>
  <si>
    <t>X</t>
    <phoneticPr fontId="21" type="noConversion"/>
  </si>
  <si>
    <t>X</t>
    <phoneticPr fontId="21" type="noConversion"/>
  </si>
  <si>
    <t>X</t>
    <phoneticPr fontId="21" type="noConversion"/>
  </si>
  <si>
    <t>b</t>
    <phoneticPr fontId="21" type="noConversion"/>
  </si>
  <si>
    <t>b</t>
    <phoneticPr fontId="21" type="noConversion"/>
  </si>
  <si>
    <t>s</t>
    <phoneticPr fontId="21" type="noConversion"/>
  </si>
  <si>
    <t>X-</t>
    <phoneticPr fontId="21" type="noConversion"/>
  </si>
  <si>
    <t>s</t>
    <phoneticPr fontId="21" type="noConversion"/>
  </si>
  <si>
    <t>H</t>
    <phoneticPr fontId="21" type="noConversion"/>
  </si>
  <si>
    <t>X3</t>
    <phoneticPr fontId="21" type="noConversion"/>
  </si>
  <si>
    <t>X-</t>
    <phoneticPr fontId="21" type="noConversion"/>
  </si>
  <si>
    <t>X1</t>
    <phoneticPr fontId="21" type="noConversion"/>
  </si>
  <si>
    <t>X-</t>
    <phoneticPr fontId="21" type="noConversion"/>
  </si>
  <si>
    <t>X-1</t>
    <phoneticPr fontId="21" type="noConversion"/>
  </si>
  <si>
    <t>X-</t>
    <phoneticPr fontId="21" type="noConversion"/>
  </si>
  <si>
    <t>X-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</si>
</sst>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¥&quot;#,##0;&quot;¥&quot;\-#,##0"/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[$-409]d\-mmm\-yy;@"/>
    <numFmt numFmtId="179" formatCode="_-* #,##0.00_-;\-* #,##0.00_-;_-* &quot;-&quot;??_-;_-@_-"/>
    <numFmt numFmtId="180" formatCode="_-&quot;£&quot;* #,##0.00_-;\-&quot;£&quot;* #,##0.00_-;_-&quot;£&quot;* &quot;-&quot;??_-;_-@_-"/>
    <numFmt numFmtId="181" formatCode="dd/mm/yy"/>
    <numFmt numFmtId="182" formatCode="0.00_ "/>
    <numFmt numFmtId="183" formatCode="0.00_ ;[Red]\-0.00\ "/>
    <numFmt numFmtId="184" formatCode="[$-F800]dddd\,\ mmmm\ dd\,\ yyyy"/>
  </numFmts>
  <fonts count="104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12"/>
      <name val="新細明體"/>
      <family val="1"/>
    </font>
    <font>
      <u/>
      <sz val="9"/>
      <color indexed="12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1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6"/>
      <color theme="1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1"/>
      <color rgb="FFFFC000"/>
      <name val="宋体"/>
      <family val="2"/>
      <scheme val="minor"/>
    </font>
    <font>
      <sz val="11"/>
      <name val="宋体"/>
      <family val="2"/>
      <charset val="134"/>
      <scheme val="minor"/>
    </font>
    <font>
      <sz val="10"/>
      <color rgb="FFFF0000"/>
      <name val="Arial"/>
      <family val="2"/>
    </font>
    <font>
      <sz val="9"/>
      <name val="宋体"/>
      <family val="3"/>
      <charset val="134"/>
      <scheme val="minor"/>
    </font>
    <font>
      <sz val="11"/>
      <name val="Arial"/>
      <family val="2"/>
    </font>
    <font>
      <sz val="6"/>
      <name val="Arial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sz val="14"/>
      <color indexed="81"/>
      <name val="Tahoma"/>
      <family val="2"/>
    </font>
    <font>
      <b/>
      <u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8.4"/>
      <name val="Arial"/>
      <family val="2"/>
    </font>
    <font>
      <b/>
      <sz val="12"/>
      <color indexed="81"/>
      <name val="Tahoma"/>
      <family val="2"/>
    </font>
    <font>
      <sz val="12"/>
      <color indexed="10"/>
      <name val="Tahoma"/>
      <family val="2"/>
    </font>
    <font>
      <sz val="11"/>
      <color theme="1"/>
      <name val="Calibri"/>
      <family val="2"/>
    </font>
    <font>
      <b/>
      <sz val="12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11"/>
      <color rgb="FF000000"/>
      <name val="宋体"/>
      <family val="2"/>
      <scheme val="minor"/>
    </font>
    <font>
      <sz val="11"/>
      <color rgb="FF1F497D"/>
      <name val="宋体"/>
      <family val="2"/>
      <scheme val="minor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1"/>
      <color indexed="8"/>
      <name val="Calibri"/>
      <family val="2"/>
    </font>
    <font>
      <sz val="11"/>
      <color indexed="8"/>
      <name val="新細明體"/>
      <family val="1"/>
      <charset val="136"/>
    </font>
    <font>
      <sz val="12"/>
      <name val="宋体"/>
      <family val="3"/>
      <charset val="134"/>
    </font>
    <font>
      <u/>
      <sz val="8.0500000000000007"/>
      <color theme="10"/>
      <name val="Calibri"/>
      <family val="2"/>
    </font>
    <font>
      <u/>
      <sz val="11"/>
      <color theme="10"/>
      <name val="Calibri"/>
      <family val="2"/>
    </font>
    <font>
      <u/>
      <sz val="11"/>
      <color indexed="12"/>
      <name val="Calibri"/>
      <family val="2"/>
    </font>
    <font>
      <u/>
      <sz val="8.0500000000000007"/>
      <color indexed="12"/>
      <name val="Calibri"/>
      <family val="2"/>
    </font>
    <font>
      <u/>
      <sz val="11"/>
      <color theme="1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12"/>
      <name val="Times New Roman"/>
      <family val="1"/>
    </font>
    <font>
      <sz val="12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u/>
      <sz val="11"/>
      <color theme="10"/>
      <name val="宋体"/>
      <family val="2"/>
      <charset val="134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2"/>
      <color theme="1"/>
      <name val="Arial"/>
      <family val="2"/>
    </font>
    <font>
      <sz val="10"/>
      <name val="宋体"/>
      <family val="3"/>
      <charset val="134"/>
    </font>
    <font>
      <b/>
      <sz val="11"/>
      <color theme="1"/>
      <name val="Calibri"/>
      <family val="2"/>
    </font>
    <font>
      <sz val="10"/>
      <name val="Calibri"/>
      <family val="2"/>
    </font>
    <font>
      <b/>
      <sz val="12"/>
      <name val="宋体"/>
      <family val="3"/>
      <charset val="134"/>
      <scheme val="minor"/>
    </font>
    <font>
      <b/>
      <sz val="12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宋体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Calibri"/>
      <family val="2"/>
    </font>
    <font>
      <sz val="18"/>
      <color indexed="81"/>
      <name val="宋体"/>
      <family val="3"/>
      <charset val="134"/>
    </font>
    <font>
      <sz val="18"/>
      <color indexed="81"/>
      <name val="Tahoma"/>
      <family val="2"/>
    </font>
    <font>
      <b/>
      <sz val="12"/>
      <name val="宋体"/>
      <family val="3"/>
      <charset val="128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</borders>
  <cellStyleXfs count="755">
    <xf numFmtId="178" fontId="0" fillId="0" borderId="0"/>
    <xf numFmtId="178" fontId="6" fillId="0" borderId="0"/>
    <xf numFmtId="178" fontId="7" fillId="0" borderId="0" applyNumberFormat="0" applyFill="0" applyBorder="0" applyAlignment="0" applyProtection="0">
      <alignment vertical="top"/>
      <protection locked="0"/>
    </xf>
    <xf numFmtId="178" fontId="4" fillId="0" borderId="0"/>
    <xf numFmtId="177" fontId="15" fillId="0" borderId="0">
      <alignment vertical="center"/>
    </xf>
    <xf numFmtId="178" fontId="11" fillId="0" borderId="0"/>
    <xf numFmtId="178" fontId="11" fillId="0" borderId="0"/>
    <xf numFmtId="178" fontId="11" fillId="0" borderId="0"/>
    <xf numFmtId="178" fontId="11" fillId="0" borderId="0"/>
    <xf numFmtId="178" fontId="15" fillId="0" borderId="0">
      <alignment vertical="center"/>
    </xf>
    <xf numFmtId="177" fontId="15" fillId="0" borderId="0">
      <alignment vertical="center"/>
    </xf>
    <xf numFmtId="177" fontId="15" fillId="0" borderId="0">
      <alignment vertical="center"/>
    </xf>
    <xf numFmtId="177" fontId="14" fillId="10" borderId="1" applyNumberFormat="0" applyAlignment="0" applyProtection="0"/>
    <xf numFmtId="177" fontId="12" fillId="8" borderId="0" applyNumberFormat="0" applyBorder="0" applyAlignment="0" applyProtection="0"/>
    <xf numFmtId="177" fontId="13" fillId="9" borderId="0" applyNumberFormat="0" applyBorder="0" applyAlignment="0" applyProtection="0"/>
    <xf numFmtId="177" fontId="15" fillId="0" borderId="0">
      <alignment vertical="center"/>
    </xf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78" fontId="4" fillId="0" borderId="0"/>
    <xf numFmtId="178" fontId="4" fillId="0" borderId="0"/>
    <xf numFmtId="179" fontId="4" fillId="0" borderId="0" applyFont="0" applyFill="0" applyBorder="0" applyAlignment="0" applyProtection="0"/>
    <xf numFmtId="178" fontId="4" fillId="0" borderId="0"/>
    <xf numFmtId="178" fontId="41" fillId="26" borderId="0" applyNumberFormat="0" applyBorder="0" applyAlignment="0" applyProtection="0">
      <alignment vertical="center"/>
    </xf>
    <xf numFmtId="178" fontId="41" fillId="27" borderId="0" applyNumberFormat="0" applyBorder="0" applyAlignment="0" applyProtection="0">
      <alignment vertical="center"/>
    </xf>
    <xf numFmtId="178" fontId="41" fillId="28" borderId="0" applyNumberFormat="0" applyBorder="0" applyAlignment="0" applyProtection="0">
      <alignment vertical="center"/>
    </xf>
    <xf numFmtId="178" fontId="41" fillId="29" borderId="0" applyNumberFormat="0" applyBorder="0" applyAlignment="0" applyProtection="0">
      <alignment vertical="center"/>
    </xf>
    <xf numFmtId="178" fontId="41" fillId="30" borderId="0" applyNumberFormat="0" applyBorder="0" applyAlignment="0" applyProtection="0">
      <alignment vertical="center"/>
    </xf>
    <xf numFmtId="178" fontId="41" fillId="31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78" fontId="41" fillId="33" borderId="0" applyNumberFormat="0" applyBorder="0" applyAlignment="0" applyProtection="0">
      <alignment vertical="center"/>
    </xf>
    <xf numFmtId="178" fontId="41" fillId="34" borderId="0" applyNumberFormat="0" applyBorder="0" applyAlignment="0" applyProtection="0">
      <alignment vertical="center"/>
    </xf>
    <xf numFmtId="178" fontId="41" fillId="29" borderId="0" applyNumberFormat="0" applyBorder="0" applyAlignment="0" applyProtection="0">
      <alignment vertical="center"/>
    </xf>
    <xf numFmtId="178" fontId="41" fillId="32" borderId="0" applyNumberFormat="0" applyBorder="0" applyAlignment="0" applyProtection="0">
      <alignment vertical="center"/>
    </xf>
    <xf numFmtId="178" fontId="41" fillId="35" borderId="0" applyNumberFormat="0" applyBorder="0" applyAlignment="0" applyProtection="0">
      <alignment vertical="center"/>
    </xf>
    <xf numFmtId="178" fontId="42" fillId="36" borderId="0" applyNumberFormat="0" applyBorder="0" applyAlignment="0" applyProtection="0">
      <alignment vertical="center"/>
    </xf>
    <xf numFmtId="178" fontId="42" fillId="33" borderId="0" applyNumberFormat="0" applyBorder="0" applyAlignment="0" applyProtection="0">
      <alignment vertical="center"/>
    </xf>
    <xf numFmtId="178" fontId="42" fillId="34" borderId="0" applyNumberFormat="0" applyBorder="0" applyAlignment="0" applyProtection="0">
      <alignment vertical="center"/>
    </xf>
    <xf numFmtId="178" fontId="42" fillId="37" borderId="0" applyNumberFormat="0" applyBorder="0" applyAlignment="0" applyProtection="0">
      <alignment vertical="center"/>
    </xf>
    <xf numFmtId="178" fontId="42" fillId="38" borderId="0" applyNumberFormat="0" applyBorder="0" applyAlignment="0" applyProtection="0">
      <alignment vertical="center"/>
    </xf>
    <xf numFmtId="178" fontId="42" fillId="39" borderId="0" applyNumberFormat="0" applyBorder="0" applyAlignment="0" applyProtection="0">
      <alignment vertical="center"/>
    </xf>
    <xf numFmtId="179" fontId="4" fillId="0" borderId="0" applyFont="0" applyFill="0" applyBorder="0" applyAlignment="0" applyProtection="0"/>
    <xf numFmtId="176" fontId="43" fillId="0" borderId="0" applyFont="0" applyFill="0" applyBorder="0" applyAlignment="0" applyProtection="0"/>
    <xf numFmtId="176" fontId="44" fillId="0" borderId="0" applyFont="0" applyFill="0" applyBorder="0" applyAlignment="0" applyProtection="0"/>
    <xf numFmtId="176" fontId="44" fillId="0" borderId="0" applyFont="0" applyFill="0" applyBorder="0" applyAlignment="0" applyProtection="0"/>
    <xf numFmtId="176" fontId="43" fillId="0" borderId="0" applyFont="0" applyFill="0" applyBorder="0" applyAlignment="0" applyProtection="0"/>
    <xf numFmtId="176" fontId="43" fillId="0" borderId="0" applyFont="0" applyFill="0" applyBorder="0" applyAlignment="0" applyProtection="0"/>
    <xf numFmtId="176" fontId="4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>
      <alignment vertical="center"/>
    </xf>
    <xf numFmtId="179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78" fontId="46" fillId="0" borderId="0" applyNumberFormat="0" applyFill="0" applyBorder="0" applyAlignment="0" applyProtection="0">
      <alignment vertical="top"/>
      <protection locked="0"/>
    </xf>
    <xf numFmtId="178" fontId="47" fillId="0" borderId="0" applyNumberFormat="0" applyFill="0" applyBorder="0" applyAlignment="0" applyProtection="0">
      <alignment vertical="top"/>
      <protection locked="0"/>
    </xf>
    <xf numFmtId="178" fontId="48" fillId="0" borderId="0" applyNumberFormat="0" applyFill="0" applyBorder="0" applyAlignment="0" applyProtection="0">
      <alignment vertical="top"/>
      <protection locked="0"/>
    </xf>
    <xf numFmtId="178" fontId="48" fillId="0" borderId="0" applyNumberFormat="0" applyFill="0" applyBorder="0" applyAlignment="0" applyProtection="0">
      <alignment vertical="top"/>
      <protection locked="0"/>
    </xf>
    <xf numFmtId="178" fontId="47" fillId="0" borderId="0" applyNumberFormat="0" applyFill="0" applyBorder="0" applyAlignment="0" applyProtection="0">
      <alignment vertical="top"/>
      <protection locked="0"/>
    </xf>
    <xf numFmtId="178" fontId="49" fillId="0" borderId="0" applyNumberFormat="0" applyFill="0" applyBorder="0" applyAlignment="0" applyProtection="0">
      <alignment vertical="top"/>
      <protection locked="0"/>
    </xf>
    <xf numFmtId="178" fontId="46" fillId="0" borderId="0" applyNumberFormat="0" applyFill="0" applyBorder="0" applyAlignment="0" applyProtection="0">
      <alignment vertical="top"/>
      <protection locked="0"/>
    </xf>
    <xf numFmtId="178" fontId="50" fillId="0" borderId="0" applyNumberFormat="0" applyFill="0" applyBorder="0" applyAlignment="0" applyProtection="0">
      <alignment vertical="top"/>
      <protection locked="0"/>
    </xf>
    <xf numFmtId="178" fontId="51" fillId="0" borderId="0" applyNumberFormat="0" applyFill="0" applyBorder="0" applyAlignment="0" applyProtection="0">
      <alignment vertical="top"/>
      <protection locked="0"/>
    </xf>
    <xf numFmtId="178" fontId="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>
      <alignment vertical="center"/>
    </xf>
    <xf numFmtId="178" fontId="44" fillId="0" borderId="0">
      <alignment vertical="center"/>
    </xf>
    <xf numFmtId="178" fontId="35" fillId="0" borderId="0"/>
    <xf numFmtId="178" fontId="35" fillId="0" borderId="0"/>
    <xf numFmtId="178" fontId="35" fillId="0" borderId="0"/>
    <xf numFmtId="178" fontId="52" fillId="0" borderId="0"/>
    <xf numFmtId="178" fontId="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4" fillId="0" borderId="0"/>
    <xf numFmtId="178" fontId="35" fillId="0" borderId="0"/>
    <xf numFmtId="178" fontId="44" fillId="0" borderId="0"/>
    <xf numFmtId="178" fontId="4" fillId="0" borderId="0"/>
    <xf numFmtId="178" fontId="35" fillId="0" borderId="0"/>
    <xf numFmtId="178" fontId="44" fillId="0" borderId="0"/>
    <xf numFmtId="178" fontId="52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>
      <alignment vertical="center"/>
    </xf>
    <xf numFmtId="178" fontId="44" fillId="0" borderId="0">
      <alignment vertical="center"/>
    </xf>
    <xf numFmtId="178" fontId="35" fillId="0" borderId="0">
      <alignment vertical="center"/>
    </xf>
    <xf numFmtId="178" fontId="44" fillId="0" borderId="0">
      <alignment vertical="center"/>
    </xf>
    <xf numFmtId="178" fontId="44" fillId="0" borderId="0"/>
    <xf numFmtId="178" fontId="35" fillId="0" borderId="0"/>
    <xf numFmtId="178" fontId="44" fillId="0" borderId="0"/>
    <xf numFmtId="178" fontId="35" fillId="0" borderId="0">
      <alignment vertical="center"/>
    </xf>
    <xf numFmtId="178" fontId="44" fillId="0" borderId="0">
      <alignment vertical="center"/>
    </xf>
    <xf numFmtId="178" fontId="52" fillId="0" borderId="0"/>
    <xf numFmtId="178" fontId="52" fillId="0" borderId="0"/>
    <xf numFmtId="178" fontId="52" fillId="0" borderId="0"/>
    <xf numFmtId="178" fontId="35" fillId="0" borderId="0">
      <alignment vertical="center"/>
    </xf>
    <xf numFmtId="178" fontId="44" fillId="0" borderId="0">
      <alignment vertical="center"/>
    </xf>
    <xf numFmtId="178" fontId="52" fillId="0" borderId="0"/>
    <xf numFmtId="178" fontId="35" fillId="0" borderId="0">
      <alignment vertical="center"/>
    </xf>
    <xf numFmtId="178" fontId="44" fillId="0" borderId="0">
      <alignment vertical="center"/>
    </xf>
    <xf numFmtId="178" fontId="52" fillId="0" borderId="0"/>
    <xf numFmtId="178" fontId="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53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" fillId="0" borderId="0"/>
    <xf numFmtId="178" fontId="35" fillId="0" borderId="0"/>
    <xf numFmtId="178" fontId="4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52" fillId="0" borderId="0"/>
    <xf numFmtId="178" fontId="35" fillId="0" borderId="0"/>
    <xf numFmtId="178" fontId="44" fillId="0" borderId="0"/>
    <xf numFmtId="178" fontId="4" fillId="0" borderId="0"/>
    <xf numFmtId="178" fontId="35" fillId="0" borderId="0"/>
    <xf numFmtId="178" fontId="4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35" fillId="0" borderId="0"/>
    <xf numFmtId="178" fontId="44" fillId="0" borderId="0"/>
    <xf numFmtId="178" fontId="35" fillId="0" borderId="0">
      <alignment vertical="center"/>
    </xf>
    <xf numFmtId="178" fontId="44" fillId="0" borderId="0">
      <alignment vertical="center"/>
    </xf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5" fillId="0" borderId="0">
      <alignment vertical="center"/>
    </xf>
    <xf numFmtId="178" fontId="45" fillId="0" borderId="0">
      <alignment vertical="center"/>
    </xf>
    <xf numFmtId="178" fontId="45" fillId="0" borderId="0">
      <alignment vertical="center"/>
    </xf>
    <xf numFmtId="178" fontId="45" fillId="0" borderId="0">
      <alignment vertical="center"/>
    </xf>
    <xf numFmtId="178" fontId="45" fillId="0" borderId="0">
      <alignment vertical="center"/>
    </xf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52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35" fillId="0" borderId="0"/>
    <xf numFmtId="178" fontId="44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4" fillId="0" borderId="0">
      <alignment vertical="center"/>
    </xf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178" fontId="35" fillId="0" borderId="0"/>
    <xf numFmtId="178" fontId="44" fillId="0" borderId="0"/>
    <xf numFmtId="9" fontId="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4" fillId="0" borderId="0" applyFont="0" applyFill="0" applyBorder="0" applyAlignment="0" applyProtection="0"/>
    <xf numFmtId="178" fontId="54" fillId="40" borderId="0" applyNumberFormat="0" applyBorder="0" applyAlignment="0" applyProtection="0">
      <alignment vertical="center"/>
    </xf>
    <xf numFmtId="178" fontId="4" fillId="41" borderId="85" applyNumberFormat="0" applyFont="0" applyAlignment="0" applyProtection="0">
      <alignment vertical="center"/>
    </xf>
    <xf numFmtId="176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8" fontId="55" fillId="0" borderId="86" applyNumberFormat="0" applyFill="0" applyAlignment="0" applyProtection="0">
      <alignment vertical="center"/>
    </xf>
    <xf numFmtId="178" fontId="56" fillId="27" borderId="0" applyNumberFormat="0" applyBorder="0" applyAlignment="0" applyProtection="0">
      <alignment vertical="center"/>
    </xf>
    <xf numFmtId="178" fontId="57" fillId="28" borderId="0" applyNumberFormat="0" applyBorder="0" applyAlignment="0" applyProtection="0">
      <alignment vertical="center"/>
    </xf>
    <xf numFmtId="178" fontId="35" fillId="0" borderId="0">
      <alignment vertical="center"/>
    </xf>
    <xf numFmtId="178" fontId="44" fillId="0" borderId="0">
      <alignment vertical="center"/>
    </xf>
    <xf numFmtId="178" fontId="4" fillId="0" borderId="0"/>
    <xf numFmtId="178" fontId="53" fillId="0" borderId="0">
      <alignment vertical="center"/>
    </xf>
    <xf numFmtId="178" fontId="53" fillId="0" borderId="0">
      <alignment vertical="center"/>
    </xf>
    <xf numFmtId="178" fontId="58" fillId="0" borderId="87" applyNumberFormat="0" applyFill="0" applyAlignment="0" applyProtection="0">
      <alignment vertical="center"/>
    </xf>
    <xf numFmtId="178" fontId="59" fillId="0" borderId="88" applyNumberFormat="0" applyFill="0" applyAlignment="0" applyProtection="0">
      <alignment vertical="center"/>
    </xf>
    <xf numFmtId="178" fontId="60" fillId="0" borderId="89" applyNumberFormat="0" applyFill="0" applyAlignment="0" applyProtection="0">
      <alignment vertical="center"/>
    </xf>
    <xf numFmtId="178" fontId="60" fillId="0" borderId="0" applyNumberFormat="0" applyFill="0" applyBorder="0" applyAlignment="0" applyProtection="0">
      <alignment vertical="center"/>
    </xf>
    <xf numFmtId="178" fontId="61" fillId="0" borderId="0" applyNumberFormat="0" applyFill="0" applyBorder="0" applyAlignment="0" applyProtection="0">
      <alignment vertical="center"/>
    </xf>
    <xf numFmtId="178" fontId="62" fillId="42" borderId="90" applyNumberFormat="0" applyAlignment="0" applyProtection="0">
      <alignment vertical="center"/>
    </xf>
    <xf numFmtId="9" fontId="4" fillId="0" borderId="0" applyFont="0" applyFill="0" applyBorder="0" applyAlignment="0" applyProtection="0"/>
    <xf numFmtId="178" fontId="63" fillId="43" borderId="91" applyNumberFormat="0" applyAlignment="0" applyProtection="0">
      <alignment vertical="center"/>
    </xf>
    <xf numFmtId="178" fontId="64" fillId="0" borderId="0" applyNumberFormat="0" applyFill="0" applyBorder="0" applyAlignment="0" applyProtection="0">
      <alignment vertical="center"/>
    </xf>
    <xf numFmtId="178" fontId="65" fillId="0" borderId="0" applyNumberFormat="0" applyFill="0" applyBorder="0" applyAlignment="0" applyProtection="0">
      <alignment vertical="center"/>
    </xf>
    <xf numFmtId="178" fontId="42" fillId="44" borderId="0" applyNumberFormat="0" applyBorder="0" applyAlignment="0" applyProtection="0">
      <alignment vertical="center"/>
    </xf>
    <xf numFmtId="178" fontId="42" fillId="45" borderId="0" applyNumberFormat="0" applyBorder="0" applyAlignment="0" applyProtection="0">
      <alignment vertical="center"/>
    </xf>
    <xf numFmtId="178" fontId="42" fillId="46" borderId="0" applyNumberFormat="0" applyBorder="0" applyAlignment="0" applyProtection="0">
      <alignment vertical="center"/>
    </xf>
    <xf numFmtId="178" fontId="42" fillId="37" borderId="0" applyNumberFormat="0" applyBorder="0" applyAlignment="0" applyProtection="0">
      <alignment vertical="center"/>
    </xf>
    <xf numFmtId="178" fontId="42" fillId="38" borderId="0" applyNumberFormat="0" applyBorder="0" applyAlignment="0" applyProtection="0">
      <alignment vertical="center"/>
    </xf>
    <xf numFmtId="178" fontId="42" fillId="47" borderId="0" applyNumberFormat="0" applyBorder="0" applyAlignment="0" applyProtection="0">
      <alignment vertical="center"/>
    </xf>
    <xf numFmtId="178" fontId="66" fillId="31" borderId="91" applyNumberFormat="0" applyAlignment="0" applyProtection="0">
      <alignment vertical="center"/>
    </xf>
    <xf numFmtId="178" fontId="67" fillId="43" borderId="92" applyNumberFormat="0" applyAlignment="0" applyProtection="0">
      <alignment vertical="center"/>
    </xf>
    <xf numFmtId="178" fontId="68" fillId="0" borderId="93" applyNumberFormat="0" applyFill="0" applyAlignment="0" applyProtection="0">
      <alignment vertical="center"/>
    </xf>
    <xf numFmtId="0" fontId="11" fillId="0" borderId="0"/>
    <xf numFmtId="0" fontId="11" fillId="0" borderId="0"/>
    <xf numFmtId="0" fontId="7" fillId="0" borderId="0" applyNumberFormat="0" applyFill="0" applyBorder="0" applyAlignment="0" applyProtection="0">
      <alignment vertical="top"/>
      <protection locked="0"/>
    </xf>
    <xf numFmtId="177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11" fillId="0" borderId="0"/>
    <xf numFmtId="177" fontId="1" fillId="0" borderId="0">
      <alignment vertical="center"/>
    </xf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4" fillId="0" borderId="0"/>
    <xf numFmtId="0" fontId="11" fillId="0" borderId="0">
      <alignment vertical="center"/>
    </xf>
    <xf numFmtId="9" fontId="4" fillId="0" borderId="0" applyFon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11" fillId="0" borderId="0"/>
    <xf numFmtId="177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0" fontId="4" fillId="0" borderId="0"/>
    <xf numFmtId="0" fontId="11" fillId="0" borderId="0">
      <alignment vertical="center"/>
    </xf>
    <xf numFmtId="0" fontId="47" fillId="0" borderId="0" applyNumberFormat="0" applyFill="0" applyBorder="0" applyAlignment="0" applyProtection="0">
      <alignment vertical="top"/>
      <protection locked="0"/>
    </xf>
    <xf numFmtId="0" fontId="6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53" fillId="0" borderId="0"/>
    <xf numFmtId="0" fontId="11" fillId="0" borderId="0"/>
    <xf numFmtId="0" fontId="11" fillId="0" borderId="0"/>
    <xf numFmtId="0" fontId="1" fillId="0" borderId="0">
      <alignment vertical="center"/>
    </xf>
    <xf numFmtId="0" fontId="4" fillId="0" borderId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43" fillId="33" borderId="0" applyNumberFormat="0" applyBorder="0" applyAlignment="0" applyProtection="0"/>
    <xf numFmtId="0" fontId="43" fillId="34" borderId="0" applyNumberFormat="0" applyBorder="0" applyAlignment="0" applyProtection="0"/>
    <xf numFmtId="0" fontId="43" fillId="29" borderId="0" applyNumberFormat="0" applyBorder="0" applyAlignment="0" applyProtection="0"/>
    <xf numFmtId="0" fontId="43" fillId="32" borderId="0" applyNumberFormat="0" applyBorder="0" applyAlignment="0" applyProtection="0"/>
    <xf numFmtId="0" fontId="43" fillId="35" borderId="0" applyNumberFormat="0" applyBorder="0" applyAlignment="0" applyProtection="0"/>
    <xf numFmtId="0" fontId="79" fillId="36" borderId="0" applyNumberFormat="0" applyBorder="0" applyAlignment="0" applyProtection="0"/>
    <xf numFmtId="0" fontId="79" fillId="33" borderId="0" applyNumberFormat="0" applyBorder="0" applyAlignment="0" applyProtection="0"/>
    <xf numFmtId="0" fontId="79" fillId="34" borderId="0" applyNumberFormat="0" applyBorder="0" applyAlignment="0" applyProtection="0"/>
    <xf numFmtId="0" fontId="79" fillId="37" borderId="0" applyNumberFormat="0" applyBorder="0" applyAlignment="0" applyProtection="0"/>
    <xf numFmtId="0" fontId="79" fillId="38" borderId="0" applyNumberFormat="0" applyBorder="0" applyAlignment="0" applyProtection="0"/>
    <xf numFmtId="0" fontId="79" fillId="39" borderId="0" applyNumberFormat="0" applyBorder="0" applyAlignment="0" applyProtection="0"/>
    <xf numFmtId="0" fontId="79" fillId="44" borderId="0" applyNumberFormat="0" applyBorder="0" applyAlignment="0" applyProtection="0"/>
    <xf numFmtId="0" fontId="79" fillId="45" borderId="0" applyNumberFormat="0" applyBorder="0" applyAlignment="0" applyProtection="0"/>
    <xf numFmtId="0" fontId="79" fillId="46" borderId="0" applyNumberFormat="0" applyBorder="0" applyAlignment="0" applyProtection="0"/>
    <xf numFmtId="0" fontId="79" fillId="37" borderId="0" applyNumberFormat="0" applyBorder="0" applyAlignment="0" applyProtection="0"/>
    <xf numFmtId="0" fontId="79" fillId="38" borderId="0" applyNumberFormat="0" applyBorder="0" applyAlignment="0" applyProtection="0"/>
    <xf numFmtId="0" fontId="79" fillId="47" borderId="0" applyNumberFormat="0" applyBorder="0" applyAlignment="0" applyProtection="0"/>
    <xf numFmtId="0" fontId="80" fillId="27" borderId="0" applyNumberFormat="0" applyBorder="0" applyAlignment="0" applyProtection="0"/>
    <xf numFmtId="0" fontId="81" fillId="43" borderId="91" applyNumberFormat="0" applyAlignment="0" applyProtection="0"/>
    <xf numFmtId="0" fontId="82" fillId="42" borderId="90" applyNumberFormat="0" applyAlignment="0" applyProtection="0"/>
    <xf numFmtId="179" fontId="4" fillId="0" borderId="0" applyFont="0" applyFill="0" applyBorder="0" applyAlignment="0" applyProtection="0"/>
    <xf numFmtId="0" fontId="83" fillId="0" borderId="0" applyNumberFormat="0" applyFill="0" applyBorder="0" applyAlignment="0" applyProtection="0"/>
    <xf numFmtId="0" fontId="84" fillId="28" borderId="0" applyNumberFormat="0" applyBorder="0" applyAlignment="0" applyProtection="0"/>
    <xf numFmtId="0" fontId="85" fillId="0" borderId="87" applyNumberFormat="0" applyFill="0" applyAlignment="0" applyProtection="0"/>
    <xf numFmtId="0" fontId="86" fillId="0" borderId="88" applyNumberFormat="0" applyFill="0" applyAlignment="0" applyProtection="0"/>
    <xf numFmtId="0" fontId="87" fillId="0" borderId="89" applyNumberFormat="0" applyFill="0" applyAlignment="0" applyProtection="0"/>
    <xf numFmtId="0" fontId="87" fillId="0" borderId="0" applyNumberFormat="0" applyFill="0" applyBorder="0" applyAlignment="0" applyProtection="0"/>
    <xf numFmtId="0" fontId="88" fillId="31" borderId="91" applyNumberFormat="0" applyAlignment="0" applyProtection="0"/>
    <xf numFmtId="0" fontId="89" fillId="0" borderId="93" applyNumberFormat="0" applyFill="0" applyAlignment="0" applyProtection="0"/>
    <xf numFmtId="0" fontId="90" fillId="40" borderId="0" applyNumberFormat="0" applyBorder="0" applyAlignment="0" applyProtection="0"/>
    <xf numFmtId="0" fontId="4" fillId="41" borderId="85" applyNumberFormat="0" applyFont="0" applyAlignment="0" applyProtection="0"/>
    <xf numFmtId="0" fontId="91" fillId="43" borderId="92" applyNumberFormat="0" applyAlignment="0" applyProtection="0"/>
    <xf numFmtId="9" fontId="4" fillId="0" borderId="0" applyFont="0" applyFill="0" applyBorder="0" applyAlignment="0" applyProtection="0"/>
    <xf numFmtId="0" fontId="92" fillId="0" borderId="0" applyNumberFormat="0" applyFill="0" applyBorder="0" applyAlignment="0" applyProtection="0"/>
    <xf numFmtId="0" fontId="93" fillId="0" borderId="86" applyNumberFormat="0" applyFill="0" applyAlignment="0" applyProtection="0"/>
    <xf numFmtId="0" fontId="94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0" fontId="69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1" fillId="0" borderId="0"/>
    <xf numFmtId="0" fontId="11" fillId="0" borderId="0"/>
    <xf numFmtId="177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7" fontId="1" fillId="0" borderId="0">
      <alignment vertical="center"/>
    </xf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/>
    <xf numFmtId="9" fontId="11" fillId="0" borderId="0" applyFont="0" applyFill="0" applyBorder="0" applyAlignment="0" applyProtection="0"/>
    <xf numFmtId="184" fontId="1" fillId="0" borderId="0">
      <alignment vertical="center"/>
    </xf>
    <xf numFmtId="184" fontId="1" fillId="0" borderId="0">
      <alignment vertical="center"/>
    </xf>
    <xf numFmtId="184" fontId="11" fillId="0" borderId="0"/>
    <xf numFmtId="178" fontId="11" fillId="0" borderId="0"/>
    <xf numFmtId="0" fontId="96" fillId="0" borderId="0"/>
    <xf numFmtId="184" fontId="1" fillId="0" borderId="0">
      <alignment vertical="center"/>
    </xf>
    <xf numFmtId="178" fontId="11" fillId="0" borderId="0">
      <alignment vertical="center"/>
    </xf>
    <xf numFmtId="178" fontId="11" fillId="0" borderId="0">
      <alignment vertical="center"/>
    </xf>
    <xf numFmtId="178" fontId="95" fillId="0" borderId="91" applyBorder="0" applyAlignment="0">
      <alignment horizontal="left"/>
      <protection locked="0"/>
    </xf>
    <xf numFmtId="0" fontId="1" fillId="0" borderId="0">
      <alignment vertical="center"/>
    </xf>
    <xf numFmtId="0" fontId="4" fillId="0" borderId="0"/>
    <xf numFmtId="178" fontId="11" fillId="0" borderId="0"/>
    <xf numFmtId="0" fontId="4" fillId="0" borderId="0"/>
    <xf numFmtId="178" fontId="11" fillId="0" borderId="0"/>
    <xf numFmtId="9" fontId="11" fillId="0" borderId="0" applyFont="0" applyFill="0" applyBorder="0" applyAlignment="0" applyProtection="0"/>
    <xf numFmtId="178" fontId="11" fillId="0" borderId="0"/>
    <xf numFmtId="0" fontId="11" fillId="0" borderId="0">
      <alignment vertical="center"/>
    </xf>
    <xf numFmtId="177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78" fontId="11" fillId="0" borderId="0"/>
    <xf numFmtId="178" fontId="1" fillId="0" borderId="0">
      <alignment vertical="center"/>
    </xf>
    <xf numFmtId="178" fontId="1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/>
    <xf numFmtId="0" fontId="11" fillId="0" borderId="0"/>
    <xf numFmtId="0" fontId="11" fillId="0" borderId="0"/>
    <xf numFmtId="0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9" fontId="11" fillId="0" borderId="0" applyFont="0" applyFill="0" applyBorder="0" applyAlignment="0" applyProtection="0"/>
    <xf numFmtId="177" fontId="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47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1" fillId="0" borderId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>
      <alignment vertical="center"/>
    </xf>
    <xf numFmtId="17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5" fontId="78" fillId="0" borderId="0"/>
    <xf numFmtId="0" fontId="4" fillId="0" borderId="0"/>
    <xf numFmtId="0" fontId="4" fillId="0" borderId="0"/>
    <xf numFmtId="0" fontId="4" fillId="0" borderId="0"/>
    <xf numFmtId="0" fontId="4" fillId="41" borderId="85" applyNumberFormat="0" applyFont="0" applyAlignment="0" applyProtection="0"/>
    <xf numFmtId="0" fontId="91" fillId="43" borderId="92" applyNumberFormat="0" applyAlignment="0" applyProtection="0"/>
    <xf numFmtId="0" fontId="93" fillId="0" borderId="86" applyNumberFormat="0" applyFill="0" applyAlignment="0" applyProtection="0"/>
    <xf numFmtId="0" fontId="4" fillId="0" borderId="0"/>
    <xf numFmtId="0" fontId="7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5" fontId="78" fillId="0" borderId="0">
      <alignment vertical="center"/>
    </xf>
    <xf numFmtId="0" fontId="4" fillId="0" borderId="0"/>
    <xf numFmtId="0" fontId="78" fillId="0" borderId="0">
      <alignment vertical="center"/>
    </xf>
    <xf numFmtId="0" fontId="78" fillId="0" borderId="0"/>
    <xf numFmtId="0" fontId="4" fillId="0" borderId="0"/>
    <xf numFmtId="0" fontId="4" fillId="41" borderId="85" applyNumberFormat="0" applyFont="0" applyAlignment="0" applyProtection="0"/>
    <xf numFmtId="0" fontId="91" fillId="43" borderId="92" applyNumberFormat="0" applyAlignment="0" applyProtection="0"/>
    <xf numFmtId="0" fontId="93" fillId="0" borderId="86" applyNumberFormat="0" applyFill="0" applyAlignment="0" applyProtection="0"/>
    <xf numFmtId="0" fontId="11" fillId="0" borderId="0"/>
    <xf numFmtId="0" fontId="4" fillId="0" borderId="0"/>
    <xf numFmtId="178" fontId="11" fillId="0" borderId="0"/>
    <xf numFmtId="0" fontId="96" fillId="0" borderId="0"/>
    <xf numFmtId="178" fontId="11" fillId="0" borderId="0">
      <alignment vertical="center"/>
    </xf>
    <xf numFmtId="0" fontId="4" fillId="0" borderId="0"/>
    <xf numFmtId="178" fontId="11" fillId="0" borderId="0"/>
    <xf numFmtId="0" fontId="4" fillId="0" borderId="0"/>
    <xf numFmtId="178" fontId="11" fillId="0" borderId="0"/>
    <xf numFmtId="178" fontId="11" fillId="0" borderId="0"/>
    <xf numFmtId="0" fontId="11" fillId="0" borderId="0">
      <alignment vertical="center"/>
    </xf>
    <xf numFmtId="177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178" fontId="11" fillId="0" borderId="0"/>
    <xf numFmtId="178" fontId="1" fillId="0" borderId="0">
      <alignment vertical="center"/>
    </xf>
    <xf numFmtId="178" fontId="1" fillId="0" borderId="0">
      <alignment vertical="center"/>
    </xf>
    <xf numFmtId="0" fontId="1" fillId="0" borderId="0">
      <alignment vertical="center"/>
    </xf>
    <xf numFmtId="0" fontId="78" fillId="0" borderId="0">
      <alignment vertical="center"/>
    </xf>
    <xf numFmtId="5" fontId="78" fillId="0" borderId="0">
      <alignment vertical="center"/>
    </xf>
    <xf numFmtId="0" fontId="78" fillId="0" borderId="0">
      <alignment vertical="center"/>
    </xf>
    <xf numFmtId="5" fontId="78" fillId="0" borderId="0"/>
    <xf numFmtId="0" fontId="78" fillId="0" borderId="0"/>
    <xf numFmtId="0" fontId="78" fillId="0" borderId="0">
      <alignment vertical="center"/>
    </xf>
    <xf numFmtId="5" fontId="78" fillId="0" borderId="0">
      <alignment vertical="center"/>
    </xf>
    <xf numFmtId="0" fontId="78" fillId="0" borderId="0">
      <alignment vertical="center"/>
    </xf>
    <xf numFmtId="5" fontId="78" fillId="0" borderId="0"/>
    <xf numFmtId="0" fontId="78" fillId="0" borderId="0"/>
  </cellStyleXfs>
  <cellXfs count="952">
    <xf numFmtId="178" fontId="0" fillId="0" borderId="0" xfId="0"/>
    <xf numFmtId="0" fontId="16" fillId="6" borderId="0" xfId="9" applyNumberFormat="1" applyFont="1" applyFill="1" applyAlignment="1"/>
    <xf numFmtId="0" fontId="16" fillId="0" borderId="0" xfId="9" applyNumberFormat="1" applyFont="1" applyAlignment="1"/>
    <xf numFmtId="0" fontId="16" fillId="0" borderId="0" xfId="9" applyNumberFormat="1" applyFont="1" applyFill="1" applyAlignment="1"/>
    <xf numFmtId="0" fontId="0" fillId="0" borderId="0" xfId="9" applyNumberFormat="1" applyFont="1" applyFill="1" applyAlignment="1"/>
    <xf numFmtId="0" fontId="15" fillId="0" borderId="0" xfId="10" applyNumberFormat="1" applyAlignment="1"/>
    <xf numFmtId="0" fontId="0" fillId="0" borderId="0" xfId="9" applyNumberFormat="1" applyFont="1" applyAlignment="1"/>
    <xf numFmtId="0" fontId="0" fillId="6" borderId="0" xfId="9" applyNumberFormat="1" applyFont="1" applyFill="1" applyAlignment="1"/>
    <xf numFmtId="0" fontId="0" fillId="7" borderId="0" xfId="9" applyNumberFormat="1" applyFont="1" applyFill="1" applyAlignment="1"/>
    <xf numFmtId="0" fontId="17" fillId="6" borderId="0" xfId="9" applyNumberFormat="1" applyFont="1" applyFill="1" applyAlignment="1"/>
    <xf numFmtId="0" fontId="2" fillId="0" borderId="0" xfId="9" applyNumberFormat="1" applyFont="1" applyAlignment="1"/>
    <xf numFmtId="0" fontId="2" fillId="11" borderId="0" xfId="9" applyNumberFormat="1" applyFont="1" applyFill="1" applyAlignment="1"/>
    <xf numFmtId="0" fontId="0" fillId="5" borderId="0" xfId="9" applyNumberFormat="1" applyFont="1" applyFill="1" applyAlignment="1"/>
    <xf numFmtId="0" fontId="0" fillId="12" borderId="0" xfId="9" applyNumberFormat="1" applyFont="1" applyFill="1" applyAlignment="1"/>
    <xf numFmtId="0" fontId="18" fillId="13" borderId="0" xfId="9" applyNumberFormat="1" applyFont="1" applyFill="1" applyAlignment="1"/>
    <xf numFmtId="0" fontId="0" fillId="13" borderId="0" xfId="9" applyNumberFormat="1" applyFont="1" applyFill="1" applyAlignment="1"/>
    <xf numFmtId="0" fontId="19" fillId="0" borderId="0" xfId="9" applyNumberFormat="1" applyFont="1" applyAlignment="1"/>
    <xf numFmtId="0" fontId="15" fillId="0" borderId="0" xfId="11" applyNumberFormat="1">
      <alignment vertical="center"/>
    </xf>
    <xf numFmtId="0" fontId="0" fillId="14" borderId="0" xfId="9" applyNumberFormat="1" applyFont="1" applyFill="1" applyAlignment="1"/>
    <xf numFmtId="0" fontId="1" fillId="0" borderId="0" xfId="11" applyNumberFormat="1" applyFont="1">
      <alignment vertical="center"/>
    </xf>
    <xf numFmtId="0" fontId="0" fillId="0" borderId="0" xfId="9" applyNumberFormat="1" applyFont="1" applyAlignment="1">
      <alignment horizontal="center" vertical="center"/>
    </xf>
    <xf numFmtId="0" fontId="0" fillId="0" borderId="0" xfId="9" applyNumberFormat="1" applyFont="1" applyFill="1" applyAlignment="1">
      <alignment horizontal="center" vertical="center"/>
    </xf>
    <xf numFmtId="0" fontId="0" fillId="15" borderId="0" xfId="9" applyNumberFormat="1" applyFont="1" applyFill="1" applyAlignment="1"/>
    <xf numFmtId="0" fontId="3" fillId="18" borderId="25" xfId="71" applyNumberFormat="1" applyFont="1" applyFill="1" applyBorder="1"/>
    <xf numFmtId="0" fontId="4" fillId="0" borderId="0" xfId="71" applyNumberFormat="1" applyFill="1"/>
    <xf numFmtId="0" fontId="4" fillId="0" borderId="25" xfId="71" applyNumberFormat="1" applyFont="1" applyFill="1" applyBorder="1" applyAlignment="1">
      <alignment horizontal="center"/>
    </xf>
    <xf numFmtId="0" fontId="4" fillId="0" borderId="0" xfId="20" applyNumberFormat="1"/>
    <xf numFmtId="0" fontId="4" fillId="0" borderId="0" xfId="20" applyNumberFormat="1" applyFill="1"/>
    <xf numFmtId="0" fontId="4" fillId="0" borderId="25" xfId="71" applyNumberFormat="1" applyFont="1" applyFill="1" applyBorder="1"/>
    <xf numFmtId="0" fontId="3" fillId="0" borderId="0" xfId="71" applyNumberFormat="1" applyFont="1"/>
    <xf numFmtId="0" fontId="4" fillId="0" borderId="0" xfId="71" applyNumberFormat="1" applyFont="1"/>
    <xf numFmtId="0" fontId="4" fillId="0" borderId="0" xfId="20" applyNumberFormat="1" applyFont="1"/>
    <xf numFmtId="0" fontId="4" fillId="0" borderId="0" xfId="71" applyNumberFormat="1"/>
    <xf numFmtId="0" fontId="27" fillId="0" borderId="0" xfId="71" applyNumberFormat="1" applyFont="1"/>
    <xf numFmtId="0" fontId="4" fillId="0" borderId="0" xfId="71" applyNumberFormat="1" applyFill="1" applyBorder="1"/>
    <xf numFmtId="0" fontId="4" fillId="0" borderId="52" xfId="71" applyNumberFormat="1" applyFont="1" applyBorder="1"/>
    <xf numFmtId="0" fontId="4" fillId="0" borderId="52" xfId="71" applyNumberFormat="1" applyBorder="1" applyAlignment="1">
      <alignment horizontal="center"/>
    </xf>
    <xf numFmtId="0" fontId="3" fillId="0" borderId="9" xfId="71" applyNumberFormat="1" applyFont="1" applyBorder="1" applyAlignment="1">
      <alignment horizontal="centerContinuous"/>
    </xf>
    <xf numFmtId="0" fontId="3" fillId="0" borderId="11" xfId="71" applyNumberFormat="1" applyFont="1" applyBorder="1" applyAlignment="1">
      <alignment horizontal="centerContinuous"/>
    </xf>
    <xf numFmtId="0" fontId="4" fillId="0" borderId="11" xfId="71" applyNumberFormat="1" applyBorder="1" applyAlignment="1">
      <alignment horizontal="centerContinuous"/>
    </xf>
    <xf numFmtId="0" fontId="3" fillId="0" borderId="0" xfId="71" applyNumberFormat="1" applyFont="1" applyFill="1" applyBorder="1" applyAlignment="1">
      <alignment horizontal="center"/>
    </xf>
    <xf numFmtId="0" fontId="3" fillId="0" borderId="0" xfId="71" applyNumberFormat="1" applyFont="1" applyFill="1" applyBorder="1" applyAlignment="1">
      <alignment horizontal="centerContinuous"/>
    </xf>
    <xf numFmtId="0" fontId="4" fillId="0" borderId="0" xfId="71" applyNumberFormat="1" applyFill="1" applyBorder="1" applyAlignment="1">
      <alignment horizontal="centerContinuous"/>
    </xf>
    <xf numFmtId="0" fontId="4" fillId="0" borderId="0" xfId="71" applyNumberFormat="1" applyFill="1" applyBorder="1" applyAlignment="1">
      <alignment horizontal="center"/>
    </xf>
    <xf numFmtId="0" fontId="3" fillId="0" borderId="57" xfId="71" applyNumberFormat="1" applyFont="1" applyBorder="1"/>
    <xf numFmtId="0" fontId="4" fillId="0" borderId="57" xfId="71" applyNumberFormat="1" applyBorder="1"/>
    <xf numFmtId="0" fontId="4" fillId="0" borderId="16" xfId="71" applyNumberFormat="1" applyFont="1" applyBorder="1" applyAlignment="1">
      <alignment horizontal="center"/>
    </xf>
    <xf numFmtId="0" fontId="3" fillId="0" borderId="17" xfId="71" applyNumberFormat="1" applyFont="1" applyBorder="1" applyAlignment="1">
      <alignment horizontal="center"/>
    </xf>
    <xf numFmtId="0" fontId="4" fillId="0" borderId="14" xfId="71" applyNumberFormat="1" applyFont="1" applyBorder="1" applyAlignment="1">
      <alignment horizontal="center"/>
    </xf>
    <xf numFmtId="0" fontId="3" fillId="0" borderId="76" xfId="71" applyNumberFormat="1" applyFont="1" applyBorder="1" applyAlignment="1">
      <alignment horizontal="center"/>
    </xf>
    <xf numFmtId="0" fontId="4" fillId="0" borderId="0" xfId="71" applyNumberFormat="1" applyFont="1" applyFill="1" applyBorder="1" applyAlignment="1">
      <alignment horizontal="center"/>
    </xf>
    <xf numFmtId="0" fontId="4" fillId="0" borderId="11" xfId="71" applyNumberFormat="1" applyBorder="1" applyAlignment="1">
      <alignment horizontal="center"/>
    </xf>
    <xf numFmtId="0" fontId="4" fillId="0" borderId="42" xfId="71" applyNumberFormat="1" applyBorder="1"/>
    <xf numFmtId="0" fontId="4" fillId="0" borderId="9" xfId="71" applyNumberFormat="1" applyFont="1" applyBorder="1" applyAlignment="1">
      <alignment horizontal="center"/>
    </xf>
    <xf numFmtId="0" fontId="3" fillId="0" borderId="11" xfId="71" applyNumberFormat="1" applyFont="1" applyBorder="1" applyAlignment="1">
      <alignment horizontal="center"/>
    </xf>
    <xf numFmtId="0" fontId="4" fillId="0" borderId="23" xfId="71" applyNumberFormat="1" applyFont="1" applyBorder="1" applyAlignment="1">
      <alignment horizontal="center"/>
    </xf>
    <xf numFmtId="0" fontId="3" fillId="0" borderId="12" xfId="71" applyNumberFormat="1" applyFont="1" applyBorder="1" applyAlignment="1">
      <alignment horizontal="center"/>
    </xf>
    <xf numFmtId="0" fontId="4" fillId="0" borderId="30" xfId="71" applyNumberFormat="1" applyBorder="1" applyAlignment="1">
      <alignment horizontal="center"/>
    </xf>
    <xf numFmtId="0" fontId="3" fillId="0" borderId="28" xfId="71" applyNumberFormat="1" applyFont="1" applyFill="1" applyBorder="1" applyAlignment="1">
      <alignment horizontal="center"/>
    </xf>
    <xf numFmtId="0" fontId="4" fillId="0" borderId="0" xfId="71" applyNumberFormat="1" applyFill="1" applyBorder="1" applyAlignment="1">
      <alignment horizontal="left"/>
    </xf>
    <xf numFmtId="0" fontId="4" fillId="0" borderId="0" xfId="20" applyNumberFormat="1" applyFont="1" applyFill="1" applyBorder="1" applyAlignment="1">
      <alignment horizontal="center"/>
    </xf>
    <xf numFmtId="0" fontId="4" fillId="0" borderId="24" xfId="71" applyNumberFormat="1" applyBorder="1" applyAlignment="1">
      <alignment horizontal="center"/>
    </xf>
    <xf numFmtId="0" fontId="4" fillId="0" borderId="31" xfId="71" applyNumberFormat="1" applyBorder="1"/>
    <xf numFmtId="0" fontId="4" fillId="0" borderId="27" xfId="71" applyNumberFormat="1" applyFont="1" applyBorder="1" applyAlignment="1">
      <alignment horizontal="center"/>
    </xf>
    <xf numFmtId="0" fontId="3" fillId="0" borderId="24" xfId="71" applyNumberFormat="1" applyFont="1" applyBorder="1" applyAlignment="1">
      <alignment horizontal="center"/>
    </xf>
    <xf numFmtId="0" fontId="4" fillId="0" borderId="26" xfId="71" applyNumberFormat="1" applyFont="1" applyBorder="1" applyAlignment="1">
      <alignment horizontal="center"/>
    </xf>
    <xf numFmtId="0" fontId="3" fillId="0" borderId="59" xfId="71" applyNumberFormat="1" applyFont="1" applyBorder="1" applyAlignment="1">
      <alignment horizontal="center"/>
    </xf>
    <xf numFmtId="0" fontId="4" fillId="0" borderId="27" xfId="71" applyNumberFormat="1" applyBorder="1" applyAlignment="1">
      <alignment horizontal="center"/>
    </xf>
    <xf numFmtId="0" fontId="3" fillId="0" borderId="24" xfId="71" applyNumberFormat="1" applyFont="1" applyFill="1" applyBorder="1" applyAlignment="1">
      <alignment horizontal="center"/>
    </xf>
    <xf numFmtId="0" fontId="4" fillId="21" borderId="24" xfId="71" applyNumberFormat="1" applyFill="1" applyBorder="1" applyAlignment="1">
      <alignment horizontal="center"/>
    </xf>
    <xf numFmtId="0" fontId="4" fillId="21" borderId="31" xfId="71" applyNumberFormat="1" applyFill="1" applyBorder="1"/>
    <xf numFmtId="0" fontId="4" fillId="21" borderId="27" xfId="71" applyNumberFormat="1" applyFont="1" applyFill="1" applyBorder="1" applyAlignment="1">
      <alignment horizontal="center"/>
    </xf>
    <xf numFmtId="0" fontId="3" fillId="21" borderId="24" xfId="71" applyNumberFormat="1" applyFont="1" applyFill="1" applyBorder="1" applyAlignment="1">
      <alignment horizontal="center"/>
    </xf>
    <xf numFmtId="0" fontId="4" fillId="21" borderId="26" xfId="71" applyNumberFormat="1" applyFont="1" applyFill="1" applyBorder="1" applyAlignment="1">
      <alignment horizontal="center"/>
    </xf>
    <xf numFmtId="0" fontId="3" fillId="21" borderId="59" xfId="71" applyNumberFormat="1" applyFont="1" applyFill="1" applyBorder="1" applyAlignment="1">
      <alignment horizontal="center"/>
    </xf>
    <xf numFmtId="0" fontId="4" fillId="21" borderId="27" xfId="71" applyNumberFormat="1" applyFill="1" applyBorder="1" applyAlignment="1">
      <alignment horizontal="center"/>
    </xf>
    <xf numFmtId="0" fontId="4" fillId="0" borderId="0" xfId="71" applyNumberFormat="1" applyFont="1" applyFill="1" applyBorder="1" applyAlignment="1">
      <alignment horizontal="center" vertical="center"/>
    </xf>
    <xf numFmtId="0" fontId="4" fillId="0" borderId="0" xfId="20" applyNumberFormat="1" applyFont="1" applyFill="1" applyBorder="1" applyAlignment="1">
      <alignment horizontal="center" vertical="center"/>
    </xf>
    <xf numFmtId="0" fontId="4" fillId="0" borderId="0" xfId="71" applyNumberFormat="1" applyFill="1" applyBorder="1" applyAlignment="1">
      <alignment horizontal="center" vertical="center"/>
    </xf>
    <xf numFmtId="0" fontId="4" fillId="0" borderId="0" xfId="71" applyNumberFormat="1" applyAlignment="1">
      <alignment horizontal="center" vertical="center"/>
    </xf>
    <xf numFmtId="0" fontId="4" fillId="0" borderId="28" xfId="71" applyNumberFormat="1" applyBorder="1" applyAlignment="1">
      <alignment horizontal="center"/>
    </xf>
    <xf numFmtId="0" fontId="4" fillId="0" borderId="66" xfId="71" applyNumberFormat="1" applyBorder="1"/>
    <xf numFmtId="0" fontId="4" fillId="0" borderId="30" xfId="71" applyNumberFormat="1" applyFont="1" applyBorder="1" applyAlignment="1">
      <alignment horizontal="center"/>
    </xf>
    <xf numFmtId="0" fontId="3" fillId="0" borderId="28" xfId="71" applyNumberFormat="1" applyFont="1" applyBorder="1" applyAlignment="1">
      <alignment horizontal="center"/>
    </xf>
    <xf numFmtId="0" fontId="4" fillId="0" borderId="29" xfId="71" applyNumberFormat="1" applyFont="1" applyBorder="1" applyAlignment="1">
      <alignment horizontal="center"/>
    </xf>
    <xf numFmtId="0" fontId="3" fillId="0" borderId="67" xfId="71" applyNumberFormat="1" applyFont="1" applyBorder="1" applyAlignment="1">
      <alignment horizontal="center"/>
    </xf>
    <xf numFmtId="0" fontId="3" fillId="0" borderId="0" xfId="20" applyNumberFormat="1" applyFont="1" applyFill="1" applyBorder="1" applyAlignment="1">
      <alignment horizontal="center"/>
    </xf>
    <xf numFmtId="0" fontId="3" fillId="0" borderId="0" xfId="20" applyNumberFormat="1" applyFont="1" applyFill="1" applyBorder="1" applyAlignment="1">
      <alignment horizontal="center" vertical="center"/>
    </xf>
    <xf numFmtId="0" fontId="4" fillId="21" borderId="76" xfId="71" applyNumberFormat="1" applyFill="1" applyBorder="1" applyAlignment="1">
      <alignment horizontal="center"/>
    </xf>
    <xf numFmtId="0" fontId="4" fillId="21" borderId="43" xfId="71" applyNumberFormat="1" applyFill="1" applyBorder="1"/>
    <xf numFmtId="0" fontId="4" fillId="21" borderId="14" xfId="71" applyNumberFormat="1" applyFont="1" applyFill="1" applyBorder="1" applyAlignment="1">
      <alignment horizontal="center"/>
    </xf>
    <xf numFmtId="0" fontId="3" fillId="21" borderId="76" xfId="71" applyNumberFormat="1" applyFont="1" applyFill="1" applyBorder="1" applyAlignment="1">
      <alignment horizontal="center"/>
    </xf>
    <xf numFmtId="0" fontId="4" fillId="21" borderId="65" xfId="71" applyNumberFormat="1" applyFont="1" applyFill="1" applyBorder="1" applyAlignment="1">
      <alignment horizontal="center"/>
    </xf>
    <xf numFmtId="0" fontId="3" fillId="21" borderId="64" xfId="71" applyNumberFormat="1" applyFont="1" applyFill="1" applyBorder="1" applyAlignment="1">
      <alignment horizontal="center"/>
    </xf>
    <xf numFmtId="0" fontId="4" fillId="21" borderId="14" xfId="71" applyNumberFormat="1" applyFill="1" applyBorder="1" applyAlignment="1">
      <alignment horizontal="center"/>
    </xf>
    <xf numFmtId="0" fontId="3" fillId="0" borderId="77" xfId="71" applyNumberFormat="1" applyFont="1" applyBorder="1" applyAlignment="1">
      <alignment horizontal="center"/>
    </xf>
    <xf numFmtId="0" fontId="4" fillId="0" borderId="33" xfId="71" applyNumberFormat="1" applyBorder="1" applyAlignment="1">
      <alignment horizontal="center"/>
    </xf>
    <xf numFmtId="0" fontId="3" fillId="0" borderId="78" xfId="71" applyNumberFormat="1" applyFont="1" applyFill="1" applyBorder="1" applyAlignment="1">
      <alignment horizontal="center"/>
    </xf>
    <xf numFmtId="0" fontId="3" fillId="18" borderId="42" xfId="71" applyNumberFormat="1" applyFont="1" applyFill="1" applyBorder="1" applyAlignment="1">
      <alignment horizontal="center"/>
    </xf>
    <xf numFmtId="0" fontId="3" fillId="21" borderId="9" xfId="71" applyNumberFormat="1" applyFont="1" applyFill="1" applyBorder="1" applyAlignment="1">
      <alignment horizontal="centerContinuous"/>
    </xf>
    <xf numFmtId="0" fontId="3" fillId="21" borderId="11" xfId="71" applyNumberFormat="1" applyFont="1" applyFill="1" applyBorder="1" applyAlignment="1">
      <alignment horizontal="centerContinuous"/>
    </xf>
    <xf numFmtId="0" fontId="4" fillId="21" borderId="11" xfId="71" applyNumberFormat="1" applyFill="1" applyBorder="1" applyAlignment="1">
      <alignment horizontal="centerContinuous"/>
    </xf>
    <xf numFmtId="0" fontId="3" fillId="0" borderId="62" xfId="71" applyNumberFormat="1" applyFont="1" applyBorder="1" applyAlignment="1">
      <alignment horizontal="center"/>
    </xf>
    <xf numFmtId="0" fontId="3" fillId="0" borderId="14" xfId="71" applyNumberFormat="1" applyFont="1" applyBorder="1" applyAlignment="1">
      <alignment horizontal="center"/>
    </xf>
    <xf numFmtId="0" fontId="4" fillId="0" borderId="0" xfId="71" applyNumberFormat="1" applyFont="1" applyAlignment="1">
      <alignment horizontal="right"/>
    </xf>
    <xf numFmtId="0" fontId="4" fillId="0" borderId="0" xfId="21" applyNumberFormat="1" applyFont="1" applyFill="1"/>
    <xf numFmtId="0" fontId="3" fillId="21" borderId="31" xfId="71" applyNumberFormat="1" applyFont="1" applyFill="1" applyBorder="1" applyAlignment="1">
      <alignment horizontal="center"/>
    </xf>
    <xf numFmtId="0" fontId="4" fillId="0" borderId="30" xfId="21" applyNumberFormat="1" applyFont="1" applyBorder="1" applyAlignment="1">
      <alignment horizontal="center"/>
    </xf>
    <xf numFmtId="0" fontId="3" fillId="21" borderId="28" xfId="21" applyNumberFormat="1" applyFont="1" applyFill="1" applyBorder="1" applyAlignment="1">
      <alignment horizontal="center"/>
    </xf>
    <xf numFmtId="0" fontId="31" fillId="0" borderId="0" xfId="71" applyNumberFormat="1" applyFont="1"/>
    <xf numFmtId="0" fontId="4" fillId="0" borderId="0" xfId="71" applyNumberFormat="1" applyFont="1" applyAlignment="1">
      <alignment horizontal="left"/>
    </xf>
    <xf numFmtId="0" fontId="4" fillId="0" borderId="0" xfId="71" applyNumberFormat="1" applyFont="1" applyAlignment="1">
      <alignment horizontal="center"/>
    </xf>
    <xf numFmtId="0" fontId="3" fillId="21" borderId="77" xfId="71" applyNumberFormat="1" applyFont="1" applyFill="1" applyBorder="1" applyAlignment="1">
      <alignment horizontal="center"/>
    </xf>
    <xf numFmtId="0" fontId="4" fillId="0" borderId="69" xfId="71" applyNumberFormat="1" applyFont="1" applyBorder="1" applyAlignment="1">
      <alignment horizontal="center"/>
    </xf>
    <xf numFmtId="0" fontId="3" fillId="0" borderId="69" xfId="71" applyNumberFormat="1" applyFont="1" applyBorder="1" applyAlignment="1">
      <alignment horizontal="center"/>
    </xf>
    <xf numFmtId="0" fontId="3" fillId="0" borderId="0" xfId="71" applyNumberFormat="1" applyFont="1" applyBorder="1" applyAlignment="1">
      <alignment horizontal="center"/>
    </xf>
    <xf numFmtId="0" fontId="4" fillId="0" borderId="0" xfId="71" applyNumberFormat="1" applyFont="1" applyBorder="1" applyAlignment="1">
      <alignment horizontal="center"/>
    </xf>
    <xf numFmtId="0" fontId="3" fillId="0" borderId="0" xfId="71" applyNumberFormat="1" applyFont="1" applyAlignment="1">
      <alignment horizontal="center"/>
    </xf>
    <xf numFmtId="0" fontId="4" fillId="0" borderId="0" xfId="71" applyNumberFormat="1" applyAlignment="1">
      <alignment horizontal="center"/>
    </xf>
    <xf numFmtId="0" fontId="3" fillId="21" borderId="75" xfId="71" applyNumberFormat="1" applyFont="1" applyFill="1" applyBorder="1" applyAlignment="1">
      <alignment horizontal="center"/>
    </xf>
    <xf numFmtId="0" fontId="3" fillId="18" borderId="25" xfId="19" applyNumberFormat="1" applyFont="1" applyFill="1" applyBorder="1"/>
    <xf numFmtId="0" fontId="4" fillId="0" borderId="0" xfId="19" applyNumberFormat="1" applyFill="1"/>
    <xf numFmtId="0" fontId="4" fillId="0" borderId="25" xfId="19" applyNumberFormat="1" applyFont="1" applyFill="1" applyBorder="1" applyAlignment="1">
      <alignment horizontal="center"/>
    </xf>
    <xf numFmtId="0" fontId="4" fillId="0" borderId="25" xfId="19" applyNumberFormat="1" applyFont="1" applyFill="1" applyBorder="1"/>
    <xf numFmtId="0" fontId="3" fillId="0" borderId="0" xfId="19" applyNumberFormat="1" applyFont="1"/>
    <xf numFmtId="0" fontId="4" fillId="0" borderId="0" xfId="19" applyNumberFormat="1" applyFont="1"/>
    <xf numFmtId="0" fontId="4" fillId="0" borderId="0" xfId="19" applyNumberFormat="1"/>
    <xf numFmtId="0" fontId="27" fillId="0" borderId="0" xfId="19" applyNumberFormat="1" applyFont="1"/>
    <xf numFmtId="0" fontId="4" fillId="0" borderId="0" xfId="19" applyNumberFormat="1" applyFill="1" applyBorder="1"/>
    <xf numFmtId="0" fontId="4" fillId="0" borderId="52" xfId="19" applyNumberFormat="1" applyFont="1" applyBorder="1"/>
    <xf numFmtId="0" fontId="4" fillId="0" borderId="52" xfId="19" applyNumberFormat="1" applyBorder="1" applyAlignment="1">
      <alignment horizontal="center"/>
    </xf>
    <xf numFmtId="0" fontId="3" fillId="0" borderId="9" xfId="19" applyNumberFormat="1" applyFont="1" applyBorder="1" applyAlignment="1">
      <alignment horizontal="centerContinuous"/>
    </xf>
    <xf numFmtId="0" fontId="3" fillId="0" borderId="11" xfId="19" applyNumberFormat="1" applyFont="1" applyBorder="1" applyAlignment="1">
      <alignment horizontal="centerContinuous"/>
    </xf>
    <xf numFmtId="0" fontId="4" fillId="0" borderId="11" xfId="19" applyNumberFormat="1" applyBorder="1" applyAlignment="1">
      <alignment horizontal="centerContinuous"/>
    </xf>
    <xf numFmtId="0" fontId="3" fillId="0" borderId="0" xfId="19" applyNumberFormat="1" applyFont="1" applyFill="1" applyBorder="1" applyAlignment="1">
      <alignment horizontal="center"/>
    </xf>
    <xf numFmtId="0" fontId="3" fillId="0" borderId="0" xfId="19" applyNumberFormat="1" applyFont="1" applyFill="1" applyBorder="1" applyAlignment="1">
      <alignment horizontal="centerContinuous"/>
    </xf>
    <xf numFmtId="0" fontId="4" fillId="0" borderId="0" xfId="19" applyNumberFormat="1" applyFill="1" applyBorder="1" applyAlignment="1">
      <alignment horizontal="centerContinuous"/>
    </xf>
    <xf numFmtId="0" fontId="4" fillId="0" borderId="0" xfId="19" applyNumberFormat="1" applyFont="1" applyFill="1" applyBorder="1" applyAlignment="1">
      <alignment horizontal="center"/>
    </xf>
    <xf numFmtId="0" fontId="3" fillId="0" borderId="57" xfId="19" applyNumberFormat="1" applyFont="1" applyBorder="1"/>
    <xf numFmtId="0" fontId="4" fillId="0" borderId="57" xfId="19" applyNumberFormat="1" applyBorder="1"/>
    <xf numFmtId="0" fontId="4" fillId="0" borderId="16" xfId="19" applyNumberFormat="1" applyFont="1" applyBorder="1" applyAlignment="1">
      <alignment horizontal="center"/>
    </xf>
    <xf numFmtId="0" fontId="3" fillId="0" borderId="17" xfId="19" applyNumberFormat="1" applyFont="1" applyBorder="1" applyAlignment="1">
      <alignment horizontal="center"/>
    </xf>
    <xf numFmtId="0" fontId="4" fillId="0" borderId="14" xfId="19" applyNumberFormat="1" applyFont="1" applyBorder="1" applyAlignment="1">
      <alignment horizontal="center"/>
    </xf>
    <xf numFmtId="0" fontId="3" fillId="0" borderId="76" xfId="19" applyNumberFormat="1" applyFont="1" applyBorder="1" applyAlignment="1">
      <alignment horizontal="center"/>
    </xf>
    <xf numFmtId="0" fontId="4" fillId="0" borderId="84" xfId="19" applyNumberFormat="1" applyBorder="1" applyAlignment="1">
      <alignment horizontal="center"/>
    </xf>
    <xf numFmtId="0" fontId="4" fillId="0" borderId="56" xfId="19" applyNumberFormat="1" applyBorder="1" applyAlignment="1">
      <alignment horizontal="center"/>
    </xf>
    <xf numFmtId="0" fontId="4" fillId="0" borderId="8" xfId="19" applyNumberFormat="1" applyBorder="1" applyAlignment="1">
      <alignment horizontal="center"/>
    </xf>
    <xf numFmtId="0" fontId="4" fillId="0" borderId="11" xfId="19" applyNumberFormat="1" applyBorder="1" applyAlignment="1">
      <alignment horizontal="center"/>
    </xf>
    <xf numFmtId="0" fontId="4" fillId="0" borderId="42" xfId="19" applyNumberFormat="1" applyBorder="1"/>
    <xf numFmtId="0" fontId="4" fillId="0" borderId="9" xfId="19" applyNumberFormat="1" applyFont="1" applyBorder="1" applyAlignment="1">
      <alignment horizontal="center"/>
    </xf>
    <xf numFmtId="0" fontId="3" fillId="0" borderId="11" xfId="19" applyNumberFormat="1" applyFont="1" applyBorder="1" applyAlignment="1">
      <alignment horizontal="center"/>
    </xf>
    <xf numFmtId="0" fontId="4" fillId="0" borderId="23" xfId="19" applyNumberFormat="1" applyFont="1" applyBorder="1" applyAlignment="1">
      <alignment horizontal="center"/>
    </xf>
    <xf numFmtId="0" fontId="3" fillId="0" borderId="12" xfId="19" applyNumberFormat="1" applyFont="1" applyBorder="1" applyAlignment="1">
      <alignment horizontal="center"/>
    </xf>
    <xf numFmtId="0" fontId="4" fillId="0" borderId="30" xfId="19" applyNumberFormat="1" applyBorder="1" applyAlignment="1">
      <alignment horizontal="center"/>
    </xf>
    <xf numFmtId="0" fontId="3" fillId="0" borderId="28" xfId="19" applyNumberFormat="1" applyFont="1" applyFill="1" applyBorder="1" applyAlignment="1">
      <alignment horizontal="center"/>
    </xf>
    <xf numFmtId="0" fontId="4" fillId="0" borderId="0" xfId="19" applyNumberFormat="1" applyFill="1" applyBorder="1" applyAlignment="1">
      <alignment horizontal="center"/>
    </xf>
    <xf numFmtId="0" fontId="4" fillId="0" borderId="58" xfId="19" applyNumberFormat="1" applyBorder="1" applyAlignment="1">
      <alignment horizontal="center"/>
    </xf>
    <xf numFmtId="0" fontId="4" fillId="0" borderId="0" xfId="19" applyNumberFormat="1" applyBorder="1" applyAlignment="1">
      <alignment horizontal="center"/>
    </xf>
    <xf numFmtId="0" fontId="4" fillId="0" borderId="60" xfId="19" applyNumberFormat="1" applyBorder="1" applyAlignment="1">
      <alignment horizontal="center"/>
    </xf>
    <xf numFmtId="0" fontId="4" fillId="0" borderId="24" xfId="19" applyNumberFormat="1" applyBorder="1" applyAlignment="1">
      <alignment horizontal="center"/>
    </xf>
    <xf numFmtId="0" fontId="4" fillId="0" borderId="31" xfId="19" applyNumberFormat="1" applyBorder="1"/>
    <xf numFmtId="0" fontId="4" fillId="0" borderId="27" xfId="19" applyNumberFormat="1" applyFont="1" applyBorder="1" applyAlignment="1">
      <alignment horizontal="center"/>
    </xf>
    <xf numFmtId="0" fontId="3" fillId="0" borderId="24" xfId="19" applyNumberFormat="1" applyFont="1" applyBorder="1" applyAlignment="1">
      <alignment horizontal="center"/>
    </xf>
    <xf numFmtId="0" fontId="4" fillId="0" borderId="26" xfId="19" applyNumberFormat="1" applyFont="1" applyBorder="1" applyAlignment="1">
      <alignment horizontal="center"/>
    </xf>
    <xf numFmtId="0" fontId="3" fillId="0" borderId="59" xfId="19" applyNumberFormat="1" applyFont="1" applyBorder="1" applyAlignment="1">
      <alignment horizontal="center"/>
    </xf>
    <xf numFmtId="0" fontId="4" fillId="0" borderId="27" xfId="19" applyNumberFormat="1" applyBorder="1" applyAlignment="1">
      <alignment horizontal="center"/>
    </xf>
    <xf numFmtId="0" fontId="3" fillId="0" borderId="24" xfId="19" applyNumberFormat="1" applyFont="1" applyFill="1" applyBorder="1" applyAlignment="1">
      <alignment horizontal="center"/>
    </xf>
    <xf numFmtId="0" fontId="4" fillId="21" borderId="24" xfId="19" applyNumberFormat="1" applyFill="1" applyBorder="1" applyAlignment="1">
      <alignment horizontal="center"/>
    </xf>
    <xf numFmtId="0" fontId="4" fillId="21" borderId="31" xfId="19" applyNumberFormat="1" applyFill="1" applyBorder="1"/>
    <xf numFmtId="0" fontId="4" fillId="21" borderId="27" xfId="19" applyNumberFormat="1" applyFont="1" applyFill="1" applyBorder="1" applyAlignment="1">
      <alignment horizontal="center"/>
    </xf>
    <xf numFmtId="0" fontId="3" fillId="21" borderId="24" xfId="19" applyNumberFormat="1" applyFont="1" applyFill="1" applyBorder="1" applyAlignment="1">
      <alignment horizontal="center"/>
    </xf>
    <xf numFmtId="0" fontId="4" fillId="21" borderId="26" xfId="19" applyNumberFormat="1" applyFont="1" applyFill="1" applyBorder="1" applyAlignment="1">
      <alignment horizontal="center"/>
    </xf>
    <xf numFmtId="0" fontId="4" fillId="21" borderId="27" xfId="19" applyNumberFormat="1" applyFill="1" applyBorder="1" applyAlignment="1">
      <alignment horizontal="center"/>
    </xf>
    <xf numFmtId="0" fontId="4" fillId="0" borderId="0" xfId="19" applyNumberFormat="1" applyFont="1" applyFill="1" applyBorder="1" applyAlignment="1">
      <alignment horizontal="center" vertical="center"/>
    </xf>
    <xf numFmtId="0" fontId="4" fillId="0" borderId="0" xfId="19" applyNumberFormat="1" applyFill="1" applyBorder="1" applyAlignment="1">
      <alignment horizontal="center" vertical="center"/>
    </xf>
    <xf numFmtId="0" fontId="4" fillId="0" borderId="0" xfId="19" applyNumberFormat="1" applyAlignment="1">
      <alignment horizontal="center" vertical="center"/>
    </xf>
    <xf numFmtId="0" fontId="3" fillId="21" borderId="59" xfId="19" applyNumberFormat="1" applyFont="1" applyFill="1" applyBorder="1" applyAlignment="1">
      <alignment horizontal="center"/>
    </xf>
    <xf numFmtId="0" fontId="4" fillId="0" borderId="28" xfId="19" applyNumberFormat="1" applyBorder="1" applyAlignment="1">
      <alignment horizontal="center"/>
    </xf>
    <xf numFmtId="0" fontId="4" fillId="0" borderId="66" xfId="19" applyNumberFormat="1" applyBorder="1"/>
    <xf numFmtId="0" fontId="4" fillId="0" borderId="30" xfId="19" applyNumberFormat="1" applyFont="1" applyBorder="1" applyAlignment="1">
      <alignment horizontal="center"/>
    </xf>
    <xf numFmtId="0" fontId="3" fillId="0" borderId="28" xfId="19" applyNumberFormat="1" applyFont="1" applyBorder="1" applyAlignment="1">
      <alignment horizontal="center"/>
    </xf>
    <xf numFmtId="0" fontId="4" fillId="0" borderId="29" xfId="19" applyNumberFormat="1" applyFont="1" applyBorder="1" applyAlignment="1">
      <alignment horizontal="center"/>
    </xf>
    <xf numFmtId="0" fontId="3" fillId="0" borderId="67" xfId="19" applyNumberFormat="1" applyFont="1" applyBorder="1" applyAlignment="1">
      <alignment horizontal="center"/>
    </xf>
    <xf numFmtId="0" fontId="4" fillId="21" borderId="76" xfId="19" applyNumberFormat="1" applyFill="1" applyBorder="1" applyAlignment="1">
      <alignment horizontal="center"/>
    </xf>
    <xf numFmtId="0" fontId="4" fillId="21" borderId="43" xfId="19" applyNumberFormat="1" applyFill="1" applyBorder="1"/>
    <xf numFmtId="0" fontId="4" fillId="21" borderId="14" xfId="19" applyNumberFormat="1" applyFont="1" applyFill="1" applyBorder="1" applyAlignment="1">
      <alignment horizontal="center"/>
    </xf>
    <xf numFmtId="0" fontId="3" fillId="21" borderId="76" xfId="19" applyNumberFormat="1" applyFont="1" applyFill="1" applyBorder="1" applyAlignment="1">
      <alignment horizontal="center"/>
    </xf>
    <xf numFmtId="0" fontId="4" fillId="21" borderId="65" xfId="19" applyNumberFormat="1" applyFont="1" applyFill="1" applyBorder="1" applyAlignment="1">
      <alignment horizontal="center"/>
    </xf>
    <xf numFmtId="0" fontId="3" fillId="21" borderId="64" xfId="19" applyNumberFormat="1" applyFont="1" applyFill="1" applyBorder="1" applyAlignment="1">
      <alignment horizontal="center"/>
    </xf>
    <xf numFmtId="0" fontId="4" fillId="21" borderId="14" xfId="19" applyNumberFormat="1" applyFill="1" applyBorder="1" applyAlignment="1">
      <alignment horizontal="center"/>
    </xf>
    <xf numFmtId="0" fontId="3" fillId="0" borderId="77" xfId="19" applyNumberFormat="1" applyFont="1" applyBorder="1" applyAlignment="1">
      <alignment horizontal="center"/>
    </xf>
    <xf numFmtId="0" fontId="4" fillId="0" borderId="33" xfId="19" applyNumberFormat="1" applyBorder="1" applyAlignment="1">
      <alignment horizontal="center"/>
    </xf>
    <xf numFmtId="0" fontId="3" fillId="0" borderId="78" xfId="19" applyNumberFormat="1" applyFont="1" applyFill="1" applyBorder="1" applyAlignment="1">
      <alignment horizontal="center"/>
    </xf>
    <xf numFmtId="0" fontId="3" fillId="18" borderId="42" xfId="19" applyNumberFormat="1" applyFont="1" applyFill="1" applyBorder="1" applyAlignment="1">
      <alignment horizontal="center"/>
    </xf>
    <xf numFmtId="0" fontId="3" fillId="21" borderId="9" xfId="19" applyNumberFormat="1" applyFont="1" applyFill="1" applyBorder="1" applyAlignment="1">
      <alignment horizontal="centerContinuous"/>
    </xf>
    <xf numFmtId="0" fontId="3" fillId="21" borderId="11" xfId="19" applyNumberFormat="1" applyFont="1" applyFill="1" applyBorder="1" applyAlignment="1">
      <alignment horizontal="centerContinuous"/>
    </xf>
    <xf numFmtId="0" fontId="4" fillId="21" borderId="11" xfId="19" applyNumberFormat="1" applyFill="1" applyBorder="1" applyAlignment="1">
      <alignment horizontal="centerContinuous"/>
    </xf>
    <xf numFmtId="0" fontId="3" fillId="0" borderId="62" xfId="19" applyNumberFormat="1" applyFont="1" applyBorder="1" applyAlignment="1">
      <alignment horizontal="center"/>
    </xf>
    <xf numFmtId="0" fontId="3" fillId="0" borderId="14" xfId="19" applyNumberFormat="1" applyFont="1" applyBorder="1" applyAlignment="1">
      <alignment horizontal="center"/>
    </xf>
    <xf numFmtId="0" fontId="4" fillId="0" borderId="0" xfId="19" applyNumberFormat="1" applyFont="1" applyAlignment="1">
      <alignment horizontal="right"/>
    </xf>
    <xf numFmtId="0" fontId="4" fillId="0" borderId="38" xfId="19" applyNumberFormat="1" applyFont="1" applyFill="1" applyBorder="1" applyAlignment="1">
      <alignment horizontal="center"/>
    </xf>
    <xf numFmtId="0" fontId="4" fillId="0" borderId="39" xfId="19" applyNumberFormat="1" applyFont="1" applyFill="1" applyBorder="1" applyAlignment="1">
      <alignment horizontal="center"/>
    </xf>
    <xf numFmtId="0" fontId="4" fillId="0" borderId="40" xfId="19" applyNumberFormat="1" applyFont="1" applyFill="1" applyBorder="1" applyAlignment="1">
      <alignment horizontal="center"/>
    </xf>
    <xf numFmtId="0" fontId="3" fillId="21" borderId="31" xfId="19" applyNumberFormat="1" applyFont="1" applyFill="1" applyBorder="1" applyAlignment="1">
      <alignment horizontal="center"/>
    </xf>
    <xf numFmtId="0" fontId="31" fillId="0" borderId="0" xfId="19" applyNumberFormat="1" applyFont="1"/>
    <xf numFmtId="0" fontId="4" fillId="0" borderId="0" xfId="19" applyNumberFormat="1" applyFont="1" applyAlignment="1">
      <alignment horizontal="left"/>
    </xf>
    <xf numFmtId="0" fontId="4" fillId="0" borderId="0" xfId="19" applyNumberFormat="1" applyFont="1" applyAlignment="1">
      <alignment horizontal="center"/>
    </xf>
    <xf numFmtId="0" fontId="3" fillId="21" borderId="77" xfId="19" applyNumberFormat="1" applyFont="1" applyFill="1" applyBorder="1" applyAlignment="1">
      <alignment horizontal="center"/>
    </xf>
    <xf numFmtId="0" fontId="4" fillId="0" borderId="69" xfId="19" applyNumberFormat="1" applyFont="1" applyBorder="1" applyAlignment="1">
      <alignment horizontal="center"/>
    </xf>
    <xf numFmtId="0" fontId="3" fillId="0" borderId="69" xfId="19" applyNumberFormat="1" applyFont="1" applyBorder="1" applyAlignment="1">
      <alignment horizontal="center"/>
    </xf>
    <xf numFmtId="0" fontId="3" fillId="0" borderId="0" xfId="19" applyNumberFormat="1" applyFont="1" applyBorder="1" applyAlignment="1">
      <alignment horizontal="center"/>
    </xf>
    <xf numFmtId="0" fontId="4" fillId="0" borderId="0" xfId="19" applyNumberFormat="1" applyFont="1" applyBorder="1" applyAlignment="1">
      <alignment horizontal="center"/>
    </xf>
    <xf numFmtId="0" fontId="3" fillId="0" borderId="0" xfId="19" applyNumberFormat="1" applyFont="1" applyAlignment="1">
      <alignment horizontal="center"/>
    </xf>
    <xf numFmtId="0" fontId="4" fillId="0" borderId="0" xfId="19" applyNumberFormat="1" applyAlignment="1">
      <alignment horizontal="center"/>
    </xf>
    <xf numFmtId="0" fontId="3" fillId="21" borderId="75" xfId="19" applyNumberFormat="1" applyFont="1" applyFill="1" applyBorder="1" applyAlignment="1">
      <alignment horizontal="center"/>
    </xf>
    <xf numFmtId="0" fontId="0" fillId="0" borderId="0" xfId="0" applyNumberFormat="1"/>
    <xf numFmtId="0" fontId="30" fillId="0" borderId="0" xfId="0" applyNumberFormat="1" applyFont="1" applyAlignment="1">
      <alignment horizontal="left"/>
    </xf>
    <xf numFmtId="0" fontId="0" fillId="0" borderId="64" xfId="0" applyNumberFormat="1" applyBorder="1"/>
    <xf numFmtId="0" fontId="0" fillId="0" borderId="77" xfId="0" applyNumberFormat="1" applyBorder="1" applyAlignment="1">
      <alignment horizontal="center"/>
    </xf>
    <xf numFmtId="0" fontId="3" fillId="0" borderId="63" xfId="0" applyNumberFormat="1" applyFont="1" applyBorder="1" applyAlignment="1">
      <alignment horizontal="center"/>
    </xf>
    <xf numFmtId="0" fontId="0" fillId="0" borderId="14" xfId="0" applyNumberFormat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0" fontId="0" fillId="0" borderId="76" xfId="0" applyNumberFormat="1" applyBorder="1" applyAlignment="1">
      <alignment horizontal="center" vertical="center"/>
    </xf>
    <xf numFmtId="0" fontId="0" fillId="0" borderId="67" xfId="0" applyNumberFormat="1" applyBorder="1"/>
    <xf numFmtId="0" fontId="4" fillId="0" borderId="42" xfId="16" applyNumberFormat="1" applyFont="1" applyFill="1" applyBorder="1"/>
    <xf numFmtId="0" fontId="4" fillId="0" borderId="29" xfId="16" applyNumberFormat="1" applyFont="1" applyFill="1" applyBorder="1"/>
    <xf numFmtId="0" fontId="0" fillId="0" borderId="30" xfId="0" applyNumberFormat="1" applyBorder="1" applyAlignment="1">
      <alignment horizontal="center" vertical="center"/>
    </xf>
    <xf numFmtId="0" fontId="0" fillId="0" borderId="66" xfId="0" applyNumberFormat="1" applyBorder="1" applyAlignment="1">
      <alignment horizontal="center" vertical="center"/>
    </xf>
    <xf numFmtId="0" fontId="0" fillId="0" borderId="59" xfId="0" applyNumberFormat="1" applyBorder="1"/>
    <xf numFmtId="0" fontId="4" fillId="0" borderId="66" xfId="16" applyNumberFormat="1" applyFont="1" applyFill="1" applyBorder="1"/>
    <xf numFmtId="0" fontId="0" fillId="0" borderId="0" xfId="0" applyNumberFormat="1" applyAlignment="1">
      <alignment horizontal="center" vertical="center"/>
    </xf>
    <xf numFmtId="0" fontId="0" fillId="0" borderId="27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4" fillId="0" borderId="62" xfId="16" applyNumberFormat="1" applyFont="1" applyFill="1" applyBorder="1"/>
    <xf numFmtId="0" fontId="0" fillId="0" borderId="25" xfId="0" applyNumberFormat="1" applyBorder="1"/>
    <xf numFmtId="0" fontId="0" fillId="0" borderId="5" xfId="0" applyNumberFormat="1" applyBorder="1" applyAlignment="1">
      <alignment horizontal="center" vertical="center"/>
    </xf>
    <xf numFmtId="0" fontId="0" fillId="0" borderId="28" xfId="0" applyNumberFormat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left"/>
    </xf>
    <xf numFmtId="0" fontId="0" fillId="0" borderId="7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3" xfId="0" applyNumberFormat="1" applyBorder="1" applyAlignment="1">
      <alignment horizontal="center" vertical="center"/>
    </xf>
    <xf numFmtId="0" fontId="0" fillId="0" borderId="21" xfId="0" applyNumberFormat="1" applyBorder="1" applyAlignment="1">
      <alignment horizontal="left"/>
    </xf>
    <xf numFmtId="0" fontId="30" fillId="0" borderId="21" xfId="17" applyNumberFormat="1" applyFont="1" applyBorder="1" applyAlignment="1">
      <alignment horizontal="center" vertical="center"/>
    </xf>
    <xf numFmtId="0" fontId="30" fillId="0" borderId="2" xfId="17" applyNumberFormat="1" applyFont="1" applyBorder="1" applyAlignment="1">
      <alignment horizontal="center" vertical="center"/>
    </xf>
    <xf numFmtId="0" fontId="30" fillId="0" borderId="45" xfId="17" applyNumberFormat="1" applyFont="1" applyBorder="1" applyAlignment="1">
      <alignment horizontal="center" vertical="center"/>
    </xf>
    <xf numFmtId="0" fontId="0" fillId="0" borderId="38" xfId="0" applyNumberFormat="1" applyBorder="1"/>
    <xf numFmtId="0" fontId="3" fillId="0" borderId="38" xfId="0" applyNumberFormat="1" applyFont="1" applyBorder="1" applyAlignment="1">
      <alignment horizontal="center" vertical="center"/>
    </xf>
    <xf numFmtId="0" fontId="3" fillId="0" borderId="39" xfId="0" applyNumberFormat="1" applyFont="1" applyBorder="1" applyAlignment="1">
      <alignment horizontal="center" vertical="center"/>
    </xf>
    <xf numFmtId="0" fontId="3" fillId="0" borderId="40" xfId="0" applyNumberFormat="1" applyFont="1" applyBorder="1" applyAlignment="1">
      <alignment horizontal="center" vertical="center"/>
    </xf>
    <xf numFmtId="0" fontId="0" fillId="22" borderId="0" xfId="0" applyNumberFormat="1" applyFill="1" applyBorder="1" applyAlignment="1">
      <alignment horizontal="center"/>
    </xf>
    <xf numFmtId="0" fontId="3" fillId="0" borderId="59" xfId="0" applyNumberFormat="1" applyFont="1" applyBorder="1" applyAlignment="1">
      <alignment horizontal="centerContinuous"/>
    </xf>
    <xf numFmtId="0" fontId="0" fillId="0" borderId="3" xfId="0" applyNumberFormat="1" applyBorder="1" applyAlignment="1">
      <alignment horizontal="centerContinuous"/>
    </xf>
    <xf numFmtId="0" fontId="0" fillId="0" borderId="26" xfId="0" applyNumberFormat="1" applyBorder="1" applyAlignment="1">
      <alignment horizontal="centerContinuous"/>
    </xf>
    <xf numFmtId="0" fontId="20" fillId="3" borderId="0" xfId="0" applyNumberFormat="1" applyFont="1" applyFill="1" applyAlignment="1">
      <alignment horizontal="center"/>
    </xf>
    <xf numFmtId="0" fontId="0" fillId="22" borderId="18" xfId="0" applyNumberFormat="1" applyFill="1" applyBorder="1"/>
    <xf numFmtId="0" fontId="0" fillId="0" borderId="83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18" borderId="0" xfId="0" applyNumberFormat="1" applyFill="1" applyAlignment="1">
      <alignment horizontal="center"/>
    </xf>
    <xf numFmtId="0" fontId="22" fillId="0" borderId="26" xfId="0" applyNumberFormat="1" applyFont="1" applyBorder="1"/>
    <xf numFmtId="0" fontId="22" fillId="0" borderId="59" xfId="0" applyNumberFormat="1" applyFont="1" applyBorder="1" applyAlignment="1">
      <alignment horizontal="center" textRotation="90"/>
    </xf>
    <xf numFmtId="0" fontId="22" fillId="0" borderId="3" xfId="0" applyNumberFormat="1" applyFont="1" applyBorder="1" applyAlignment="1">
      <alignment horizontal="center" textRotation="90"/>
    </xf>
    <xf numFmtId="0" fontId="22" fillId="0" borderId="26" xfId="0" applyNumberFormat="1" applyFont="1" applyBorder="1" applyAlignment="1">
      <alignment horizontal="center" textRotation="90"/>
    </xf>
    <xf numFmtId="0" fontId="0" fillId="0" borderId="80" xfId="0" applyNumberFormat="1" applyBorder="1" applyAlignment="1">
      <alignment horizontal="center"/>
    </xf>
    <xf numFmtId="0" fontId="22" fillId="0" borderId="18" xfId="0" applyNumberFormat="1" applyFont="1" applyBorder="1" applyAlignment="1">
      <alignment horizontal="center" textRotation="90"/>
    </xf>
    <xf numFmtId="0" fontId="22" fillId="0" borderId="83" xfId="0" applyNumberFormat="1" applyFont="1" applyBorder="1" applyAlignment="1">
      <alignment horizontal="center" textRotation="90"/>
    </xf>
    <xf numFmtId="0" fontId="22" fillId="0" borderId="19" xfId="0" applyNumberFormat="1" applyFont="1" applyBorder="1" applyAlignment="1">
      <alignment horizontal="center" textRotation="90"/>
    </xf>
    <xf numFmtId="0" fontId="0" fillId="0" borderId="18" xfId="0" applyNumberFormat="1" applyBorder="1"/>
    <xf numFmtId="0" fontId="22" fillId="0" borderId="4" xfId="0" applyNumberFormat="1" applyFont="1" applyBorder="1"/>
    <xf numFmtId="0" fontId="0" fillId="4" borderId="18" xfId="0" applyNumberFormat="1" applyFill="1" applyBorder="1" applyAlignment="1">
      <alignment horizontal="center"/>
    </xf>
    <xf numFmtId="0" fontId="0" fillId="0" borderId="83" xfId="0" applyNumberFormat="1" applyBorder="1"/>
    <xf numFmtId="0" fontId="0" fillId="0" borderId="19" xfId="0" applyNumberFormat="1" applyBorder="1"/>
    <xf numFmtId="0" fontId="32" fillId="0" borderId="80" xfId="17" applyNumberFormat="1" applyFont="1" applyBorder="1"/>
    <xf numFmtId="0" fontId="0" fillId="0" borderId="0" xfId="0" applyNumberFormat="1" applyBorder="1"/>
    <xf numFmtId="0" fontId="0" fillId="0" borderId="79" xfId="0" applyNumberFormat="1" applyBorder="1"/>
    <xf numFmtId="0" fontId="0" fillId="4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0" fontId="0" fillId="0" borderId="79" xfId="0" applyNumberFormat="1" applyBorder="1" applyAlignment="1">
      <alignment horizontal="center" vertical="center"/>
    </xf>
    <xf numFmtId="0" fontId="32" fillId="0" borderId="80" xfId="17" applyNumberFormat="1" applyFont="1" applyBorder="1" applyAlignment="1">
      <alignment horizontal="center" vertical="center"/>
    </xf>
    <xf numFmtId="0" fontId="0" fillId="0" borderId="6" xfId="0" applyNumberFormat="1" applyBorder="1"/>
    <xf numFmtId="0" fontId="22" fillId="0" borderId="6" xfId="0" applyNumberFormat="1" applyFont="1" applyBorder="1"/>
    <xf numFmtId="0" fontId="0" fillId="4" borderId="0" xfId="0" applyNumberFormat="1" applyFill="1" applyBorder="1" applyAlignment="1">
      <alignment horizontal="center" vertical="center"/>
    </xf>
    <xf numFmtId="0" fontId="0" fillId="0" borderId="5" xfId="0" applyNumberFormat="1" applyBorder="1"/>
    <xf numFmtId="0" fontId="22" fillId="0" borderId="5" xfId="0" applyNumberFormat="1" applyFont="1" applyBorder="1"/>
    <xf numFmtId="0" fontId="0" fillId="0" borderId="67" xfId="0" applyNumberFormat="1" applyBorder="1" applyAlignment="1">
      <alignment horizont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0" fontId="0" fillId="4" borderId="29" xfId="0" applyNumberFormat="1" applyFill="1" applyBorder="1" applyAlignment="1">
      <alignment horizontal="center" vertical="center"/>
    </xf>
    <xf numFmtId="0" fontId="0" fillId="0" borderId="18" xfId="0" applyNumberFormat="1" applyBorder="1" applyAlignment="1">
      <alignment horizontal="center"/>
    </xf>
    <xf numFmtId="0" fontId="0" fillId="16" borderId="59" xfId="0" applyNumberFormat="1" applyFill="1" applyBorder="1"/>
    <xf numFmtId="0" fontId="0" fillId="0" borderId="3" xfId="0" applyNumberFormat="1" applyBorder="1"/>
    <xf numFmtId="0" fontId="0" fillId="24" borderId="26" xfId="0" applyNumberFormat="1" applyFill="1" applyBorder="1"/>
    <xf numFmtId="0" fontId="29" fillId="0" borderId="59" xfId="17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83" xfId="0" applyNumberFormat="1" applyBorder="1" applyAlignment="1">
      <alignment horizontal="center" vertical="center"/>
    </xf>
    <xf numFmtId="0" fontId="0" fillId="0" borderId="80" xfId="0" applyNumberFormat="1" applyBorder="1"/>
    <xf numFmtId="0" fontId="0" fillId="21" borderId="25" xfId="0" applyNumberFormat="1" applyFill="1" applyBorder="1" applyAlignment="1">
      <alignment horizontal="center" vertical="center"/>
    </xf>
    <xf numFmtId="0" fontId="29" fillId="0" borderId="40" xfId="0" applyNumberFormat="1" applyFont="1" applyBorder="1" applyAlignment="1">
      <alignment horizontal="center" vertical="center"/>
    </xf>
    <xf numFmtId="0" fontId="29" fillId="0" borderId="35" xfId="0" applyNumberFormat="1" applyFont="1" applyBorder="1" applyAlignment="1">
      <alignment horizontal="center" vertical="center"/>
    </xf>
    <xf numFmtId="0" fontId="0" fillId="22" borderId="0" xfId="0" applyNumberFormat="1" applyFill="1" applyAlignment="1">
      <alignment horizontal="center"/>
    </xf>
    <xf numFmtId="0" fontId="32" fillId="0" borderId="2" xfId="17" applyNumberFormat="1" applyFont="1" applyBorder="1"/>
    <xf numFmtId="0" fontId="32" fillId="0" borderId="2" xfId="17" applyNumberFormat="1" applyFont="1" applyBorder="1" applyAlignment="1">
      <alignment horizontal="center" vertical="center"/>
    </xf>
    <xf numFmtId="0" fontId="29" fillId="0" borderId="53" xfId="0" applyNumberFormat="1" applyFont="1" applyBorder="1" applyAlignment="1">
      <alignment horizontal="center" vertical="center"/>
    </xf>
    <xf numFmtId="0" fontId="29" fillId="0" borderId="9" xfId="0" applyNumberFormat="1" applyFont="1" applyBorder="1" applyAlignment="1">
      <alignment horizontal="center" vertical="center"/>
    </xf>
    <xf numFmtId="0" fontId="30" fillId="0" borderId="0" xfId="17" applyNumberFormat="1" applyFont="1"/>
    <xf numFmtId="0" fontId="30" fillId="0" borderId="0" xfId="17" applyNumberFormat="1" applyFont="1" applyAlignment="1">
      <alignment horizontal="center" vertical="center"/>
    </xf>
    <xf numFmtId="0" fontId="29" fillId="0" borderId="0" xfId="0" applyNumberFormat="1" applyFont="1" applyAlignment="1">
      <alignment horizontal="center" vertical="center"/>
    </xf>
    <xf numFmtId="0" fontId="3" fillId="25" borderId="59" xfId="0" applyNumberFormat="1" applyFont="1" applyFill="1" applyBorder="1" applyAlignment="1">
      <alignment horizontal="centerContinuous"/>
    </xf>
    <xf numFmtId="0" fontId="0" fillId="25" borderId="3" xfId="0" applyNumberFormat="1" applyFill="1" applyBorder="1" applyAlignment="1">
      <alignment horizontal="centerContinuous"/>
    </xf>
    <xf numFmtId="0" fontId="0" fillId="25" borderId="3" xfId="0" applyNumberFormat="1" applyFill="1" applyBorder="1" applyAlignment="1">
      <alignment horizontal="center" vertical="center"/>
    </xf>
    <xf numFmtId="0" fontId="0" fillId="25" borderId="26" xfId="0" applyNumberFormat="1" applyFill="1" applyBorder="1" applyAlignment="1">
      <alignment horizontal="center" vertical="center"/>
    </xf>
    <xf numFmtId="0" fontId="0" fillId="0" borderId="80" xfId="0" applyNumberFormat="1" applyBorder="1" applyAlignment="1">
      <alignment horizontal="center" vertical="center"/>
    </xf>
    <xf numFmtId="0" fontId="0" fillId="0" borderId="18" xfId="0" applyNumberFormat="1" applyFill="1" applyBorder="1"/>
    <xf numFmtId="0" fontId="0" fillId="0" borderId="26" xfId="0" applyNumberFormat="1" applyBorder="1" applyAlignment="1">
      <alignment horizontal="center" vertical="center"/>
    </xf>
    <xf numFmtId="0" fontId="22" fillId="0" borderId="25" xfId="0" applyNumberFormat="1" applyFont="1" applyBorder="1"/>
    <xf numFmtId="0" fontId="22" fillId="0" borderId="83" xfId="0" applyNumberFormat="1" applyFont="1" applyBorder="1" applyAlignment="1">
      <alignment horizontal="center" vertical="center" textRotation="90"/>
    </xf>
    <xf numFmtId="0" fontId="22" fillId="0" borderId="19" xfId="0" applyNumberFormat="1" applyFont="1" applyBorder="1" applyAlignment="1">
      <alignment horizontal="center" vertical="center" textRotation="90"/>
    </xf>
    <xf numFmtId="0" fontId="22" fillId="0" borderId="80" xfId="0" applyNumberFormat="1" applyFont="1" applyBorder="1"/>
    <xf numFmtId="0" fontId="0" fillId="0" borderId="83" xfId="0" applyNumberFormat="1" applyFill="1" applyBorder="1" applyAlignment="1">
      <alignment horizontal="center"/>
    </xf>
    <xf numFmtId="0" fontId="0" fillId="0" borderId="83" xfId="0" applyNumberForma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0" fillId="0" borderId="8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79" xfId="0" applyNumberFormat="1" applyFill="1" applyBorder="1" applyAlignment="1">
      <alignment horizontal="center" vertical="center"/>
    </xf>
    <xf numFmtId="0" fontId="22" fillId="0" borderId="67" xfId="0" applyNumberFormat="1" applyFont="1" applyBorder="1"/>
    <xf numFmtId="0" fontId="0" fillId="0" borderId="67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19" borderId="0" xfId="0" applyNumberFormat="1" applyFill="1" applyAlignment="1">
      <alignment horizontal="center"/>
    </xf>
    <xf numFmtId="0" fontId="22" fillId="0" borderId="3" xfId="0" applyNumberFormat="1" applyFont="1" applyBorder="1" applyAlignment="1">
      <alignment horizontal="center" vertical="center" textRotation="90"/>
    </xf>
    <xf numFmtId="0" fontId="22" fillId="0" borderId="26" xfId="0" applyNumberFormat="1" applyFont="1" applyBorder="1" applyAlignment="1">
      <alignment horizontal="center" vertical="center" textRotation="90"/>
    </xf>
    <xf numFmtId="0" fontId="0" fillId="0" borderId="25" xfId="0" applyNumberFormat="1" applyBorder="1" applyAlignment="1">
      <alignment horizontal="center" vertical="center" wrapText="1"/>
    </xf>
    <xf numFmtId="0" fontId="0" fillId="0" borderId="19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59" xfId="0" applyNumberFormat="1" applyBorder="1" applyAlignment="1">
      <alignment horizontal="center" wrapText="1"/>
    </xf>
    <xf numFmtId="0" fontId="0" fillId="0" borderId="25" xfId="0" applyNumberFormat="1" applyFill="1" applyBorder="1" applyAlignment="1">
      <alignment horizontal="center" vertical="center" wrapText="1"/>
    </xf>
    <xf numFmtId="0" fontId="0" fillId="0" borderId="4" xfId="0" applyNumberFormat="1" applyBorder="1"/>
    <xf numFmtId="0" fontId="0" fillId="0" borderId="26" xfId="0" applyNumberFormat="1" applyBorder="1"/>
    <xf numFmtId="0" fontId="32" fillId="0" borderId="67" xfId="17" applyNumberFormat="1" applyFont="1" applyBorder="1"/>
    <xf numFmtId="0" fontId="0" fillId="0" borderId="29" xfId="0" applyNumberFormat="1" applyBorder="1"/>
    <xf numFmtId="0" fontId="32" fillId="0" borderId="59" xfId="17" applyNumberFormat="1" applyFont="1" applyBorder="1"/>
    <xf numFmtId="0" fontId="0" fillId="21" borderId="59" xfId="0" applyNumberFormat="1" applyFill="1" applyBorder="1" applyAlignment="1">
      <alignment horizontal="center"/>
    </xf>
    <xf numFmtId="0" fontId="29" fillId="0" borderId="76" xfId="0" applyNumberFormat="1" applyFont="1" applyBorder="1" applyAlignment="1">
      <alignment horizontal="center" vertical="center"/>
    </xf>
    <xf numFmtId="0" fontId="32" fillId="0" borderId="29" xfId="17" applyNumberFormat="1" applyFont="1" applyBorder="1"/>
    <xf numFmtId="0" fontId="29" fillId="0" borderId="11" xfId="0" applyNumberFormat="1" applyFont="1" applyBorder="1" applyAlignment="1">
      <alignment horizontal="center" vertical="center"/>
    </xf>
    <xf numFmtId="0" fontId="29" fillId="0" borderId="0" xfId="0" applyNumberFormat="1" applyFont="1"/>
    <xf numFmtId="0" fontId="0" fillId="21" borderId="25" xfId="0" applyNumberFormat="1" applyFill="1" applyBorder="1" applyAlignment="1">
      <alignment horizontal="center"/>
    </xf>
    <xf numFmtId="0" fontId="27" fillId="0" borderId="0" xfId="0" applyNumberFormat="1" applyFont="1"/>
    <xf numFmtId="0" fontId="4" fillId="0" borderId="0" xfId="0" applyNumberFormat="1" applyFont="1" applyAlignment="1">
      <alignment horizontal="right"/>
    </xf>
    <xf numFmtId="0" fontId="4" fillId="19" borderId="2" xfId="0" applyNumberFormat="1" applyFont="1" applyFill="1" applyBorder="1" applyAlignment="1">
      <alignment horizontal="center"/>
    </xf>
    <xf numFmtId="0" fontId="4" fillId="0" borderId="0" xfId="0" applyNumberFormat="1" applyFont="1"/>
    <xf numFmtId="0" fontId="0" fillId="18" borderId="0" xfId="0" applyNumberFormat="1" applyFill="1"/>
    <xf numFmtId="0" fontId="4" fillId="0" borderId="0" xfId="16" applyNumberFormat="1" applyFont="1"/>
    <xf numFmtId="0" fontId="3" fillId="19" borderId="0" xfId="16" applyNumberFormat="1" applyFont="1" applyFill="1" applyBorder="1" applyAlignment="1">
      <alignment horizontal="center"/>
    </xf>
    <xf numFmtId="0" fontId="0" fillId="0" borderId="52" xfId="0" applyNumberFormat="1" applyBorder="1" applyAlignment="1">
      <alignment horizontal="center"/>
    </xf>
    <xf numFmtId="0" fontId="4" fillId="0" borderId="0" xfId="16" applyNumberFormat="1" applyFont="1" applyAlignment="1">
      <alignment horizontal="center"/>
    </xf>
    <xf numFmtId="0" fontId="3" fillId="0" borderId="52" xfId="0" applyNumberFormat="1" applyFont="1" applyBorder="1" applyAlignment="1">
      <alignment horizontal="center"/>
    </xf>
    <xf numFmtId="0" fontId="3" fillId="0" borderId="7" xfId="0" applyNumberFormat="1" applyFont="1" applyBorder="1" applyAlignment="1">
      <alignment horizontal="centerContinuous"/>
    </xf>
    <xf numFmtId="0" fontId="3" fillId="0" borderId="11" xfId="0" applyNumberFormat="1" applyFont="1" applyBorder="1" applyAlignment="1">
      <alignment horizontal="centerContinuous"/>
    </xf>
    <xf numFmtId="0" fontId="3" fillId="0" borderId="53" xfId="0" applyNumberFormat="1" applyFont="1" applyBorder="1" applyAlignment="1">
      <alignment horizontal="centerContinuous"/>
    </xf>
    <xf numFmtId="0" fontId="3" fillId="0" borderId="54" xfId="0" applyNumberFormat="1" applyFont="1" applyBorder="1" applyAlignment="1">
      <alignment horizontal="centerContinuous"/>
    </xf>
    <xf numFmtId="0" fontId="3" fillId="0" borderId="9" xfId="0" applyNumberFormat="1" applyFont="1" applyBorder="1" applyAlignment="1">
      <alignment horizontal="centerContinuous"/>
    </xf>
    <xf numFmtId="0" fontId="0" fillId="0" borderId="11" xfId="0" applyNumberFormat="1" applyBorder="1" applyAlignment="1">
      <alignment horizontal="centerContinuous"/>
    </xf>
    <xf numFmtId="0" fontId="0" fillId="0" borderId="55" xfId="0" applyNumberFormat="1" applyBorder="1" applyAlignment="1">
      <alignment horizontal="centerContinuous"/>
    </xf>
    <xf numFmtId="0" fontId="0" fillId="0" borderId="56" xfId="0" applyNumberFormat="1" applyBorder="1" applyAlignment="1">
      <alignment horizontal="centerContinuous"/>
    </xf>
    <xf numFmtId="0" fontId="0" fillId="0" borderId="8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4" fillId="0" borderId="0" xfId="16" applyNumberFormat="1" applyFont="1" applyBorder="1" applyAlignment="1">
      <alignment horizontal="centerContinuous"/>
    </xf>
    <xf numFmtId="0" fontId="0" fillId="0" borderId="42" xfId="0" applyNumberFormat="1" applyBorder="1" applyAlignment="1">
      <alignment horizontal="centerContinuous"/>
    </xf>
    <xf numFmtId="0" fontId="0" fillId="0" borderId="57" xfId="0" applyNumberFormat="1" applyBorder="1"/>
    <xf numFmtId="0" fontId="0" fillId="0" borderId="58" xfId="0" applyNumberFormat="1" applyBorder="1" applyAlignment="1">
      <alignment horizontal="center"/>
    </xf>
    <xf numFmtId="0" fontId="4" fillId="18" borderId="20" xfId="0" applyNumberFormat="1" applyFont="1" applyFill="1" applyBorder="1" applyAlignment="1">
      <alignment horizontal="centerContinuous"/>
    </xf>
    <xf numFmtId="0" fontId="4" fillId="18" borderId="59" xfId="0" applyNumberFormat="1" applyFont="1" applyFill="1" applyBorder="1" applyAlignment="1">
      <alignment horizontal="centerContinuous"/>
    </xf>
    <xf numFmtId="0" fontId="28" fillId="22" borderId="25" xfId="0" applyNumberFormat="1" applyFont="1" applyFill="1" applyBorder="1" applyAlignment="1">
      <alignment horizontal="centerContinuous"/>
    </xf>
    <xf numFmtId="0" fontId="28" fillId="22" borderId="3" xfId="0" applyNumberFormat="1" applyFont="1" applyFill="1" applyBorder="1" applyAlignment="1">
      <alignment horizontal="centerContinuous"/>
    </xf>
    <xf numFmtId="0" fontId="4" fillId="0" borderId="3" xfId="0" applyNumberFormat="1" applyFont="1" applyBorder="1" applyAlignment="1">
      <alignment horizontal="center"/>
    </xf>
    <xf numFmtId="0" fontId="0" fillId="0" borderId="59" xfId="0" applyNumberFormat="1" applyBorder="1" applyAlignment="1">
      <alignment horizontal="centerContinuous"/>
    </xf>
    <xf numFmtId="0" fontId="0" fillId="0" borderId="32" xfId="0" applyNumberFormat="1" applyBorder="1" applyAlignment="1">
      <alignment horizontal="centerContinuous"/>
    </xf>
    <xf numFmtId="0" fontId="4" fillId="0" borderId="59" xfId="0" applyNumberFormat="1" applyFont="1" applyBorder="1" applyAlignment="1">
      <alignment horizontal="center"/>
    </xf>
    <xf numFmtId="0" fontId="0" fillId="0" borderId="60" xfId="0" applyNumberFormat="1" applyBorder="1" applyAlignment="1">
      <alignment horizontal="center"/>
    </xf>
    <xf numFmtId="0" fontId="4" fillId="0" borderId="0" xfId="16" applyNumberFormat="1" applyFont="1" applyBorder="1"/>
    <xf numFmtId="0" fontId="0" fillId="0" borderId="61" xfId="0" applyNumberFormat="1" applyBorder="1" applyAlignment="1">
      <alignment horizontal="center"/>
    </xf>
    <xf numFmtId="0" fontId="0" fillId="0" borderId="62" xfId="0" applyNumberFormat="1" applyBorder="1"/>
    <xf numFmtId="0" fontId="0" fillId="0" borderId="13" xfId="0" applyNumberFormat="1" applyBorder="1" applyAlignment="1">
      <alignment horizontal="centerContinuous"/>
    </xf>
    <xf numFmtId="0" fontId="0" fillId="0" borderId="44" xfId="0" applyNumberFormat="1" applyBorder="1" applyAlignment="1">
      <alignment horizontal="centerContinuous"/>
    </xf>
    <xf numFmtId="0" fontId="0" fillId="0" borderId="63" xfId="0" applyNumberFormat="1" applyBorder="1" applyAlignment="1">
      <alignment horizontal="centerContinuous"/>
    </xf>
    <xf numFmtId="0" fontId="4" fillId="0" borderId="44" xfId="0" applyNumberFormat="1" applyFont="1" applyBorder="1" applyAlignment="1">
      <alignment horizontal="centerContinuous"/>
    </xf>
    <xf numFmtId="0" fontId="4" fillId="0" borderId="63" xfId="0" applyNumberFormat="1" applyFon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4" fillId="0" borderId="64" xfId="0" applyNumberFormat="1" applyFont="1" applyBorder="1" applyAlignment="1">
      <alignment horizontal="center"/>
    </xf>
    <xf numFmtId="0" fontId="4" fillId="0" borderId="63" xfId="0" applyNumberFormat="1" applyFont="1" applyBorder="1" applyAlignment="1">
      <alignment horizontal="centerContinuous"/>
    </xf>
    <xf numFmtId="0" fontId="0" fillId="0" borderId="65" xfId="0" applyNumberFormat="1" applyBorder="1" applyAlignment="1">
      <alignment horizontal="center"/>
    </xf>
    <xf numFmtId="0" fontId="0" fillId="0" borderId="40" xfId="0" applyNumberFormat="1" applyBorder="1"/>
    <xf numFmtId="0" fontId="0" fillId="0" borderId="37" xfId="0" applyNumberFormat="1" applyFill="1" applyBorder="1" applyAlignment="1">
      <alignment horizontal="center"/>
    </xf>
    <xf numFmtId="0" fontId="0" fillId="0" borderId="66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center"/>
    </xf>
    <xf numFmtId="0" fontId="4" fillId="0" borderId="21" xfId="0" applyNumberFormat="1" applyFont="1" applyFill="1" applyBorder="1" applyAlignment="1">
      <alignment horizontal="center"/>
    </xf>
    <xf numFmtId="0" fontId="4" fillId="0" borderId="67" xfId="17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0" fontId="4" fillId="0" borderId="5" xfId="17" applyNumberFormat="1" applyFont="1" applyFill="1" applyBorder="1" applyAlignment="1">
      <alignment horizontal="center"/>
    </xf>
    <xf numFmtId="0" fontId="4" fillId="0" borderId="2" xfId="0" applyNumberFormat="1" applyFont="1" applyFill="1" applyBorder="1" applyAlignment="1">
      <alignment horizontal="center"/>
    </xf>
    <xf numFmtId="0" fontId="4" fillId="0" borderId="5" xfId="16" applyNumberFormat="1" applyFont="1" applyFill="1" applyBorder="1" applyAlignment="1">
      <alignment horizontal="center"/>
    </xf>
    <xf numFmtId="0" fontId="4" fillId="0" borderId="30" xfId="0" applyNumberFormat="1" applyFont="1" applyFill="1" applyBorder="1" applyAlignment="1">
      <alignment horizontal="center"/>
    </xf>
    <xf numFmtId="0" fontId="4" fillId="0" borderId="67" xfId="16" applyNumberFormat="1" applyFont="1" applyFill="1" applyBorder="1" applyAlignment="1">
      <alignment horizontal="center"/>
    </xf>
    <xf numFmtId="0" fontId="4" fillId="0" borderId="28" xfId="17" applyNumberFormat="1" applyFont="1" applyFill="1" applyBorder="1" applyAlignment="1">
      <alignment horizontal="center"/>
    </xf>
    <xf numFmtId="0" fontId="0" fillId="0" borderId="0" xfId="0" applyNumberFormat="1" applyFill="1"/>
    <xf numFmtId="0" fontId="0" fillId="0" borderId="31" xfId="0" applyNumberFormat="1" applyFill="1" applyBorder="1" applyAlignment="1">
      <alignment horizontal="left"/>
    </xf>
    <xf numFmtId="0" fontId="4" fillId="0" borderId="20" xfId="0" applyNumberFormat="1" applyFont="1" applyFill="1" applyBorder="1" applyAlignment="1">
      <alignment horizontal="center"/>
    </xf>
    <xf numFmtId="0" fontId="4" fillId="0" borderId="59" xfId="17" applyNumberFormat="1" applyFont="1" applyFill="1" applyBorder="1" applyAlignment="1">
      <alignment horizontal="center"/>
    </xf>
    <xf numFmtId="0" fontId="4" fillId="0" borderId="25" xfId="0" applyNumberFormat="1" applyFont="1" applyFill="1" applyBorder="1" applyAlignment="1">
      <alignment horizontal="center"/>
    </xf>
    <xf numFmtId="0" fontId="4" fillId="0" borderId="3" xfId="0" applyNumberFormat="1" applyFont="1" applyFill="1" applyBorder="1" applyAlignment="1">
      <alignment horizontal="center"/>
    </xf>
    <xf numFmtId="0" fontId="4" fillId="0" borderId="25" xfId="16" applyNumberFormat="1" applyFont="1" applyFill="1" applyBorder="1" applyAlignment="1">
      <alignment horizontal="center"/>
    </xf>
    <xf numFmtId="0" fontId="4" fillId="0" borderId="27" xfId="0" applyNumberFormat="1" applyFont="1" applyFill="1" applyBorder="1" applyAlignment="1">
      <alignment horizontal="center"/>
    </xf>
    <xf numFmtId="0" fontId="4" fillId="0" borderId="59" xfId="16" applyNumberFormat="1" applyFont="1" applyFill="1" applyBorder="1" applyAlignment="1">
      <alignment horizontal="center"/>
    </xf>
    <xf numFmtId="0" fontId="4" fillId="0" borderId="24" xfId="17" applyNumberFormat="1" applyFont="1" applyFill="1" applyBorder="1" applyAlignment="1">
      <alignment horizontal="center"/>
    </xf>
    <xf numFmtId="0" fontId="4" fillId="0" borderId="3" xfId="0" applyNumberFormat="1" applyFont="1" applyFill="1" applyBorder="1" applyAlignment="1">
      <alignment horizontal="center" vertical="center"/>
    </xf>
    <xf numFmtId="0" fontId="4" fillId="0" borderId="25" xfId="16" applyNumberFormat="1" applyFont="1" applyFill="1" applyBorder="1" applyAlignment="1">
      <alignment horizontal="center" vertical="center"/>
    </xf>
    <xf numFmtId="0" fontId="4" fillId="0" borderId="5" xfId="16" applyNumberFormat="1" applyFont="1" applyFill="1" applyBorder="1" applyAlignment="1">
      <alignment horizontal="center" vertical="center"/>
    </xf>
    <xf numFmtId="0" fontId="0" fillId="0" borderId="31" xfId="0" applyNumberFormat="1" applyFill="1" applyBorder="1" applyAlignment="1">
      <alignment horizontal="center" vertical="center"/>
    </xf>
    <xf numFmtId="0" fontId="4" fillId="0" borderId="59" xfId="16" applyNumberFormat="1" applyFont="1" applyFill="1" applyBorder="1" applyAlignment="1">
      <alignment horizontal="center" vertical="center"/>
    </xf>
    <xf numFmtId="0" fontId="4" fillId="0" borderId="24" xfId="17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20" xfId="0" applyNumberFormat="1" applyFill="1" applyBorder="1" applyAlignment="1">
      <alignment horizontal="left"/>
    </xf>
    <xf numFmtId="0" fontId="4" fillId="0" borderId="0" xfId="16" applyNumberFormat="1" applyFont="1" applyFill="1" applyAlignment="1">
      <alignment horizontal="center"/>
    </xf>
    <xf numFmtId="0" fontId="0" fillId="0" borderId="68" xfId="0" applyNumberFormat="1" applyFill="1" applyBorder="1"/>
    <xf numFmtId="0" fontId="4" fillId="0" borderId="69" xfId="0" applyNumberFormat="1" applyFont="1" applyFill="1" applyBorder="1" applyAlignment="1">
      <alignment horizontal="center"/>
    </xf>
    <xf numFmtId="0" fontId="4" fillId="0" borderId="70" xfId="17" applyNumberFormat="1" applyFont="1" applyFill="1" applyBorder="1" applyAlignment="1">
      <alignment horizontal="center"/>
    </xf>
    <xf numFmtId="0" fontId="4" fillId="0" borderId="71" xfId="0" applyNumberFormat="1" applyFont="1" applyFill="1" applyBorder="1" applyAlignment="1">
      <alignment horizontal="center"/>
    </xf>
    <xf numFmtId="0" fontId="4" fillId="0" borderId="71" xfId="17" applyNumberFormat="1" applyFont="1" applyFill="1" applyBorder="1" applyAlignment="1">
      <alignment horizontal="center"/>
    </xf>
    <xf numFmtId="0" fontId="4" fillId="0" borderId="70" xfId="0" applyNumberFormat="1" applyFont="1" applyFill="1" applyBorder="1" applyAlignment="1">
      <alignment horizontal="center"/>
    </xf>
    <xf numFmtId="0" fontId="4" fillId="0" borderId="70" xfId="16" applyNumberFormat="1" applyFont="1" applyFill="1" applyBorder="1" applyAlignment="1">
      <alignment horizontal="center"/>
    </xf>
    <xf numFmtId="0" fontId="4" fillId="0" borderId="71" xfId="16" applyNumberFormat="1" applyFont="1" applyFill="1" applyBorder="1" applyAlignment="1">
      <alignment horizontal="center"/>
    </xf>
    <xf numFmtId="0" fontId="4" fillId="0" borderId="72" xfId="16" applyNumberFormat="1" applyFont="1" applyFill="1" applyBorder="1" applyAlignment="1">
      <alignment horizontal="center"/>
    </xf>
    <xf numFmtId="0" fontId="4" fillId="0" borderId="73" xfId="0" applyNumberFormat="1" applyFont="1" applyFill="1" applyBorder="1" applyAlignment="1">
      <alignment horizontal="center" vertical="center"/>
    </xf>
    <xf numFmtId="0" fontId="4" fillId="0" borderId="73" xfId="16" applyNumberFormat="1" applyFont="1" applyFill="1" applyBorder="1" applyAlignment="1">
      <alignment horizontal="center" vertical="center"/>
    </xf>
    <xf numFmtId="0" fontId="4" fillId="0" borderId="71" xfId="16" applyNumberFormat="1" applyFont="1" applyFill="1" applyBorder="1" applyAlignment="1">
      <alignment horizontal="center" vertical="center"/>
    </xf>
    <xf numFmtId="0" fontId="4" fillId="0" borderId="74" xfId="16" applyNumberFormat="1" applyFont="1" applyFill="1" applyBorder="1" applyAlignment="1">
      <alignment horizontal="center" vertical="center"/>
    </xf>
    <xf numFmtId="0" fontId="4" fillId="0" borderId="72" xfId="16" applyNumberFormat="1" applyFont="1" applyFill="1" applyBorder="1" applyAlignment="1">
      <alignment horizontal="center" vertical="center"/>
    </xf>
    <xf numFmtId="0" fontId="4" fillId="0" borderId="70" xfId="16" applyNumberFormat="1" applyFont="1" applyFill="1" applyBorder="1" applyAlignment="1">
      <alignment horizontal="center" vertical="center"/>
    </xf>
    <xf numFmtId="0" fontId="4" fillId="0" borderId="75" xfId="17" applyNumberFormat="1" applyFont="1" applyFill="1" applyBorder="1" applyAlignment="1">
      <alignment horizontal="center" vertical="center"/>
    </xf>
    <xf numFmtId="0" fontId="0" fillId="0" borderId="0" xfId="0" applyNumberForma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17" applyNumberFormat="1" applyFont="1" applyFill="1" applyBorder="1" applyAlignment="1">
      <alignment horizontal="center"/>
    </xf>
    <xf numFmtId="0" fontId="4" fillId="0" borderId="0" xfId="16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16" applyNumberFormat="1" applyFont="1" applyFill="1" applyBorder="1" applyAlignment="1">
      <alignment horizontal="center" vertical="center"/>
    </xf>
    <xf numFmtId="0" fontId="4" fillId="0" borderId="0" xfId="16" applyNumberFormat="1" applyFont="1" applyFill="1" applyAlignment="1">
      <alignment horizontal="center" vertical="center"/>
    </xf>
    <xf numFmtId="0" fontId="4" fillId="0" borderId="0" xfId="16" applyNumberFormat="1" applyFont="1" applyAlignment="1">
      <alignment horizontal="center" vertical="center"/>
    </xf>
    <xf numFmtId="0" fontId="0" fillId="19" borderId="52" xfId="0" applyNumberFormat="1" applyFill="1" applyBorder="1" applyAlignment="1">
      <alignment horizontal="center"/>
    </xf>
    <xf numFmtId="0" fontId="4" fillId="0" borderId="0" xfId="0" applyNumberFormat="1" applyFont="1" applyAlignment="1">
      <alignment horizontal="center" vertical="center"/>
    </xf>
    <xf numFmtId="0" fontId="0" fillId="0" borderId="52" xfId="0" applyNumberFormat="1" applyBorder="1"/>
    <xf numFmtId="0" fontId="0" fillId="0" borderId="55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4" fillId="0" borderId="56" xfId="16" applyNumberFormat="1" applyFon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4" fillId="0" borderId="59" xfId="0" applyNumberFormat="1" applyFont="1" applyBorder="1" applyAlignment="1">
      <alignment horizontal="center" vertical="center"/>
    </xf>
    <xf numFmtId="0" fontId="0" fillId="0" borderId="59" xfId="0" applyNumberFormat="1" applyBorder="1" applyAlignment="1">
      <alignment horizontal="center" vertical="center"/>
    </xf>
    <xf numFmtId="0" fontId="0" fillId="0" borderId="60" xfId="0" applyNumberFormat="1" applyBorder="1" applyAlignment="1">
      <alignment horizontal="center" vertical="center"/>
    </xf>
    <xf numFmtId="0" fontId="4" fillId="0" borderId="0" xfId="16" applyNumberFormat="1" applyFont="1" applyBorder="1" applyAlignment="1">
      <alignment horizontal="center" vertical="center"/>
    </xf>
    <xf numFmtId="0" fontId="0" fillId="0" borderId="61" xfId="0" applyNumberFormat="1" applyBorder="1" applyAlignment="1">
      <alignment horizontal="center" vertical="center"/>
    </xf>
    <xf numFmtId="0" fontId="4" fillId="0" borderId="64" xfId="0" applyNumberFormat="1" applyFont="1" applyBorder="1" applyAlignment="1">
      <alignment horizontal="center" vertical="center"/>
    </xf>
    <xf numFmtId="0" fontId="4" fillId="0" borderId="63" xfId="0" applyNumberFormat="1" applyFon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0" fillId="0" borderId="40" xfId="0" applyNumberFormat="1" applyBorder="1" applyAlignment="1">
      <alignment horizontal="center" vertical="center"/>
    </xf>
    <xf numFmtId="0" fontId="0" fillId="0" borderId="37" xfId="0" applyNumberFormat="1" applyFill="1" applyBorder="1" applyAlignment="1">
      <alignment horizontal="center" vertical="center"/>
    </xf>
    <xf numFmtId="0" fontId="4" fillId="0" borderId="2" xfId="0" applyNumberFormat="1" applyFont="1" applyFill="1" applyBorder="1" applyAlignment="1">
      <alignment horizontal="center" vertical="center"/>
    </xf>
    <xf numFmtId="0" fontId="0" fillId="0" borderId="66" xfId="0" applyNumberFormat="1" applyFill="1" applyBorder="1" applyAlignment="1">
      <alignment horizontal="center" vertical="center"/>
    </xf>
    <xf numFmtId="0" fontId="4" fillId="0" borderId="67" xfId="16" applyNumberFormat="1" applyFont="1" applyFill="1" applyBorder="1" applyAlignment="1">
      <alignment horizontal="center" vertical="center"/>
    </xf>
    <xf numFmtId="0" fontId="4" fillId="0" borderId="28" xfId="17" applyNumberFormat="1" applyFont="1" applyFill="1" applyBorder="1" applyAlignment="1">
      <alignment horizontal="center" vertical="center"/>
    </xf>
    <xf numFmtId="0" fontId="0" fillId="0" borderId="43" xfId="0" applyNumberFormat="1" applyFill="1" applyBorder="1" applyAlignment="1">
      <alignment horizontal="left"/>
    </xf>
    <xf numFmtId="0" fontId="4" fillId="0" borderId="75" xfId="16" applyNumberFormat="1" applyFont="1" applyFill="1" applyBorder="1" applyAlignment="1">
      <alignment horizontal="center"/>
    </xf>
    <xf numFmtId="0" fontId="4" fillId="0" borderId="73" xfId="16" applyNumberFormat="1" applyFont="1" applyFill="1" applyBorder="1" applyAlignment="1">
      <alignment horizontal="center"/>
    </xf>
    <xf numFmtId="0" fontId="4" fillId="0" borderId="69" xfId="16" applyNumberFormat="1" applyFont="1" applyFill="1" applyBorder="1" applyAlignment="1">
      <alignment horizontal="center"/>
    </xf>
    <xf numFmtId="0" fontId="4" fillId="0" borderId="71" xfId="0" applyNumberFormat="1" applyFont="1" applyFill="1" applyBorder="1" applyAlignment="1"/>
    <xf numFmtId="0" fontId="29" fillId="0" borderId="0" xfId="16" applyNumberFormat="1" applyFont="1" applyFill="1" applyBorder="1" applyAlignment="1">
      <alignment horizontal="center"/>
    </xf>
    <xf numFmtId="0" fontId="3" fillId="18" borderId="25" xfId="0" applyNumberFormat="1" applyFont="1" applyFill="1" applyBorder="1"/>
    <xf numFmtId="0" fontId="4" fillId="0" borderId="0" xfId="16" applyNumberFormat="1" applyFont="1" applyFill="1"/>
    <xf numFmtId="0" fontId="4" fillId="0" borderId="25" xfId="0" applyNumberFormat="1" applyFont="1" applyFill="1" applyBorder="1"/>
    <xf numFmtId="0" fontId="3" fillId="0" borderId="0" xfId="0" applyNumberFormat="1" applyFont="1"/>
    <xf numFmtId="0" fontId="4" fillId="0" borderId="52" xfId="0" applyNumberFormat="1" applyFont="1" applyBorder="1"/>
    <xf numFmtId="0" fontId="3" fillId="19" borderId="42" xfId="0" applyNumberFormat="1" applyFont="1" applyFill="1" applyBorder="1" applyAlignment="1">
      <alignment horizontal="center"/>
    </xf>
    <xf numFmtId="0" fontId="3" fillId="21" borderId="9" xfId="0" applyNumberFormat="1" applyFont="1" applyFill="1" applyBorder="1" applyAlignment="1">
      <alignment horizontal="centerContinuous"/>
    </xf>
    <xf numFmtId="0" fontId="3" fillId="21" borderId="11" xfId="0" applyNumberFormat="1" applyFont="1" applyFill="1" applyBorder="1" applyAlignment="1">
      <alignment horizontal="centerContinuous"/>
    </xf>
    <xf numFmtId="0" fontId="0" fillId="21" borderId="11" xfId="0" applyNumberFormat="1" applyFill="1" applyBorder="1" applyAlignment="1">
      <alignment horizontal="centerContinuous"/>
    </xf>
    <xf numFmtId="0" fontId="0" fillId="0" borderId="42" xfId="0" applyNumberFormat="1" applyBorder="1" applyAlignment="1">
      <alignment horizontal="center"/>
    </xf>
    <xf numFmtId="0" fontId="3" fillId="0" borderId="57" xfId="0" applyNumberFormat="1" applyFont="1" applyBorder="1"/>
    <xf numFmtId="0" fontId="4" fillId="0" borderId="16" xfId="0" applyNumberFormat="1" applyFont="1" applyBorder="1" applyAlignment="1">
      <alignment horizontal="center"/>
    </xf>
    <xf numFmtId="0" fontId="3" fillId="0" borderId="17" xfId="0" applyNumberFormat="1" applyFont="1" applyBorder="1" applyAlignment="1">
      <alignment horizontal="center"/>
    </xf>
    <xf numFmtId="0" fontId="4" fillId="0" borderId="14" xfId="0" applyNumberFormat="1" applyFont="1" applyBorder="1" applyAlignment="1">
      <alignment horizontal="center"/>
    </xf>
    <xf numFmtId="0" fontId="3" fillId="0" borderId="76" xfId="0" applyNumberFormat="1" applyFont="1" applyBorder="1" applyAlignment="1">
      <alignment horizontal="center"/>
    </xf>
    <xf numFmtId="0" fontId="3" fillId="0" borderId="62" xfId="0" applyNumberFormat="1" applyFont="1" applyBorder="1" applyAlignment="1">
      <alignment horizontal="center"/>
    </xf>
    <xf numFmtId="0" fontId="4" fillId="0" borderId="13" xfId="0" applyNumberFormat="1" applyFont="1" applyBorder="1" applyAlignment="1">
      <alignment horizontal="center"/>
    </xf>
    <xf numFmtId="0" fontId="3" fillId="0" borderId="14" xfId="0" applyNumberFormat="1" applyFont="1" applyBorder="1" applyAlignment="1">
      <alignment horizontal="center"/>
    </xf>
    <xf numFmtId="0" fontId="0" fillId="18" borderId="57" xfId="0" applyNumberFormat="1" applyFill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21" borderId="31" xfId="0" applyNumberFormat="1" applyFill="1" applyBorder="1"/>
    <xf numFmtId="0" fontId="4" fillId="0" borderId="9" xfId="0" applyNumberFormat="1" applyFont="1" applyBorder="1" applyAlignment="1">
      <alignment horizontal="center"/>
    </xf>
    <xf numFmtId="0" fontId="3" fillId="0" borderId="11" xfId="0" applyNumberFormat="1" applyFont="1" applyBorder="1" applyAlignment="1">
      <alignment horizontal="center"/>
    </xf>
    <xf numFmtId="0" fontId="4" fillId="0" borderId="23" xfId="0" applyNumberFormat="1" applyFont="1" applyBorder="1" applyAlignment="1">
      <alignment horizontal="center"/>
    </xf>
    <xf numFmtId="0" fontId="3" fillId="0" borderId="12" xfId="0" applyNumberFormat="1" applyFont="1" applyBorder="1" applyAlignment="1">
      <alignment horizontal="center"/>
    </xf>
    <xf numFmtId="0" fontId="0" fillId="0" borderId="30" xfId="0" applyNumberFormat="1" applyBorder="1" applyAlignment="1">
      <alignment horizontal="center"/>
    </xf>
    <xf numFmtId="0" fontId="3" fillId="0" borderId="28" xfId="0" applyNumberFormat="1" applyFont="1" applyFill="1" applyBorder="1" applyAlignment="1">
      <alignment horizontal="center"/>
    </xf>
    <xf numFmtId="0" fontId="3" fillId="21" borderId="31" xfId="0" applyNumberFormat="1" applyFont="1" applyFill="1" applyBorder="1" applyAlignment="1">
      <alignment horizontal="center"/>
    </xf>
    <xf numFmtId="0" fontId="4" fillId="0" borderId="20" xfId="0" applyNumberFormat="1" applyFont="1" applyBorder="1" applyAlignment="1">
      <alignment horizontal="center"/>
    </xf>
    <xf numFmtId="0" fontId="3" fillId="21" borderId="24" xfId="0" applyNumberFormat="1" applyFont="1" applyFill="1" applyBorder="1" applyAlignment="1">
      <alignment horizontal="center"/>
    </xf>
    <xf numFmtId="0" fontId="3" fillId="21" borderId="11" xfId="0" applyNumberFormat="1" applyFont="1" applyFill="1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0" fillId="0" borderId="42" xfId="0" applyNumberFormat="1" applyFill="1" applyBorder="1" applyAlignment="1">
      <alignment horizontal="left"/>
    </xf>
    <xf numFmtId="0" fontId="4" fillId="0" borderId="12" xfId="16" applyNumberFormat="1" applyFont="1" applyFill="1" applyBorder="1" applyAlignment="1">
      <alignment horizontal="center"/>
    </xf>
    <xf numFmtId="0" fontId="4" fillId="0" borderId="11" xfId="16" applyNumberFormat="1" applyFont="1" applyFill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3" fillId="21" borderId="66" xfId="0" applyNumberFormat="1" applyFont="1" applyFill="1" applyBorder="1" applyAlignment="1">
      <alignment horizontal="center"/>
    </xf>
    <xf numFmtId="0" fontId="4" fillId="0" borderId="27" xfId="0" applyNumberFormat="1" applyFont="1" applyBorder="1" applyAlignment="1">
      <alignment horizontal="center"/>
    </xf>
    <xf numFmtId="0" fontId="4" fillId="0" borderId="24" xfId="16" applyNumberFormat="1" applyFont="1" applyFill="1" applyBorder="1" applyAlignment="1">
      <alignment horizontal="center"/>
    </xf>
    <xf numFmtId="0" fontId="4" fillId="0" borderId="26" xfId="0" applyNumberFormat="1" applyFont="1" applyBorder="1" applyAlignment="1">
      <alignment horizontal="center"/>
    </xf>
    <xf numFmtId="0" fontId="0" fillId="21" borderId="24" xfId="0" applyNumberFormat="1" applyFill="1" applyBorder="1" applyAlignment="1">
      <alignment horizontal="center"/>
    </xf>
    <xf numFmtId="0" fontId="4" fillId="0" borderId="27" xfId="0" applyNumberFormat="1" applyFont="1" applyBorder="1" applyAlignment="1">
      <alignment horizontal="center" vertical="center"/>
    </xf>
    <xf numFmtId="0" fontId="4" fillId="0" borderId="24" xfId="16" applyNumberFormat="1" applyFont="1" applyFill="1" applyBorder="1" applyAlignment="1">
      <alignment horizontal="center" vertical="center"/>
    </xf>
    <xf numFmtId="0" fontId="4" fillId="0" borderId="26" xfId="0" applyNumberFormat="1" applyFont="1" applyBorder="1" applyAlignment="1">
      <alignment horizontal="center" vertical="center"/>
    </xf>
    <xf numFmtId="0" fontId="3" fillId="21" borderId="82" xfId="0" applyNumberFormat="1" applyFont="1" applyFill="1" applyBorder="1" applyAlignment="1">
      <alignment horizontal="center"/>
    </xf>
    <xf numFmtId="0" fontId="4" fillId="0" borderId="64" xfId="16" applyNumberFormat="1" applyFont="1" applyFill="1" applyBorder="1" applyAlignment="1">
      <alignment horizontal="center"/>
    </xf>
    <xf numFmtId="0" fontId="4" fillId="0" borderId="14" xfId="0" applyNumberFormat="1" applyFont="1" applyBorder="1" applyAlignment="1">
      <alignment horizontal="center" vertical="center"/>
    </xf>
    <xf numFmtId="0" fontId="4" fillId="0" borderId="76" xfId="16" applyNumberFormat="1" applyFont="1" applyFill="1" applyBorder="1" applyAlignment="1">
      <alignment horizontal="center" vertical="center"/>
    </xf>
    <xf numFmtId="0" fontId="4" fillId="0" borderId="65" xfId="0" applyNumberFormat="1" applyFont="1" applyBorder="1" applyAlignment="1">
      <alignment horizontal="center" vertical="center"/>
    </xf>
    <xf numFmtId="0" fontId="0" fillId="0" borderId="28" xfId="0" applyNumberFormat="1" applyBorder="1" applyAlignment="1">
      <alignment horizontal="center"/>
    </xf>
    <xf numFmtId="0" fontId="0" fillId="0" borderId="66" xfId="0" applyNumberFormat="1" applyBorder="1"/>
    <xf numFmtId="0" fontId="4" fillId="0" borderId="30" xfId="0" applyNumberFormat="1" applyFont="1" applyBorder="1" applyAlignment="1">
      <alignment horizontal="center"/>
    </xf>
    <xf numFmtId="0" fontId="3" fillId="0" borderId="28" xfId="0" applyNumberFormat="1" applyFont="1" applyBorder="1" applyAlignment="1">
      <alignment horizontal="center"/>
    </xf>
    <xf numFmtId="0" fontId="4" fillId="0" borderId="29" xfId="0" applyNumberFormat="1" applyFont="1" applyBorder="1" applyAlignment="1">
      <alignment horizontal="center"/>
    </xf>
    <xf numFmtId="0" fontId="3" fillId="0" borderId="67" xfId="0" applyNumberFormat="1" applyFont="1" applyBorder="1" applyAlignment="1">
      <alignment horizontal="center"/>
    </xf>
    <xf numFmtId="0" fontId="3" fillId="0" borderId="77" xfId="0" applyNumberFormat="1" applyFont="1" applyBorder="1" applyAlignment="1">
      <alignment horizontal="center"/>
    </xf>
    <xf numFmtId="0" fontId="0" fillId="0" borderId="38" xfId="0" applyNumberFormat="1" applyBorder="1" applyAlignment="1">
      <alignment horizontal="center"/>
    </xf>
    <xf numFmtId="0" fontId="3" fillId="0" borderId="37" xfId="16" applyNumberFormat="1" applyFont="1" applyFill="1" applyBorder="1" applyAlignment="1">
      <alignment horizontal="center"/>
    </xf>
    <xf numFmtId="0" fontId="0" fillId="0" borderId="38" xfId="0" applyNumberFormat="1" applyBorder="1" applyAlignment="1">
      <alignment horizontal="center" vertical="center"/>
    </xf>
    <xf numFmtId="0" fontId="3" fillId="0" borderId="37" xfId="16" applyNumberFormat="1" applyFont="1" applyFill="1" applyBorder="1" applyAlignment="1">
      <alignment horizontal="center" vertical="center"/>
    </xf>
    <xf numFmtId="0" fontId="0" fillId="0" borderId="31" xfId="0" applyNumberFormat="1" applyBorder="1"/>
    <xf numFmtId="0" fontId="3" fillId="0" borderId="24" xfId="0" applyNumberFormat="1" applyFont="1" applyBorder="1" applyAlignment="1">
      <alignment horizontal="center"/>
    </xf>
    <xf numFmtId="0" fontId="3" fillId="0" borderId="59" xfId="0" applyNumberFormat="1" applyFont="1" applyBorder="1" applyAlignment="1">
      <alignment horizontal="center"/>
    </xf>
    <xf numFmtId="0" fontId="3" fillId="0" borderId="24" xfId="0" applyNumberFormat="1" applyFont="1" applyFill="1" applyBorder="1" applyAlignment="1">
      <alignment horizontal="center"/>
    </xf>
    <xf numFmtId="0" fontId="4" fillId="21" borderId="27" xfId="0" applyNumberFormat="1" applyFont="1" applyFill="1" applyBorder="1" applyAlignment="1">
      <alignment horizontal="center"/>
    </xf>
    <xf numFmtId="0" fontId="4" fillId="21" borderId="26" xfId="0" applyNumberFormat="1" applyFont="1" applyFill="1" applyBorder="1" applyAlignment="1">
      <alignment horizontal="center"/>
    </xf>
    <xf numFmtId="0" fontId="3" fillId="21" borderId="59" xfId="0" applyNumberFormat="1" applyFont="1" applyFill="1" applyBorder="1" applyAlignment="1">
      <alignment horizontal="center"/>
    </xf>
    <xf numFmtId="0" fontId="0" fillId="21" borderId="27" xfId="0" applyNumberFormat="1" applyFill="1" applyBorder="1" applyAlignment="1">
      <alignment horizontal="center"/>
    </xf>
    <xf numFmtId="0" fontId="3" fillId="21" borderId="76" xfId="0" applyNumberFormat="1" applyFont="1" applyFill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0" fillId="21" borderId="76" xfId="0" applyNumberFormat="1" applyFill="1" applyBorder="1" applyAlignment="1">
      <alignment horizontal="center"/>
    </xf>
    <xf numFmtId="0" fontId="0" fillId="21" borderId="43" xfId="0" applyNumberFormat="1" applyFill="1" applyBorder="1"/>
    <xf numFmtId="0" fontId="4" fillId="21" borderId="14" xfId="0" applyNumberFormat="1" applyFont="1" applyFill="1" applyBorder="1" applyAlignment="1">
      <alignment horizontal="center"/>
    </xf>
    <xf numFmtId="0" fontId="4" fillId="21" borderId="65" xfId="0" applyNumberFormat="1" applyFont="1" applyFill="1" applyBorder="1" applyAlignment="1">
      <alignment horizontal="center"/>
    </xf>
    <xf numFmtId="0" fontId="3" fillId="21" borderId="64" xfId="0" applyNumberFormat="1" applyFont="1" applyFill="1" applyBorder="1" applyAlignment="1">
      <alignment horizontal="center"/>
    </xf>
    <xf numFmtId="0" fontId="0" fillId="21" borderId="14" xfId="0" applyNumberFormat="1" applyFill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0" fontId="3" fillId="0" borderId="78" xfId="0" applyNumberFormat="1" applyFont="1" applyFill="1" applyBorder="1" applyAlignment="1">
      <alignment horizontal="center"/>
    </xf>
    <xf numFmtId="0" fontId="3" fillId="18" borderId="42" xfId="0" applyNumberFormat="1" applyFont="1" applyFill="1" applyBorder="1" applyAlignment="1">
      <alignment horizontal="center"/>
    </xf>
    <xf numFmtId="0" fontId="4" fillId="0" borderId="0" xfId="18" applyNumberFormat="1" applyFont="1" applyFill="1"/>
    <xf numFmtId="0" fontId="4" fillId="0" borderId="30" xfId="18" applyNumberFormat="1" applyFont="1" applyBorder="1" applyAlignment="1">
      <alignment horizontal="center"/>
    </xf>
    <xf numFmtId="0" fontId="3" fillId="21" borderId="28" xfId="18" applyNumberFormat="1" applyFont="1" applyFill="1" applyBorder="1" applyAlignment="1">
      <alignment horizontal="center"/>
    </xf>
    <xf numFmtId="0" fontId="0" fillId="0" borderId="0" xfId="0" applyNumberFormat="1" applyAlignment="1">
      <alignment horizontal="left"/>
    </xf>
    <xf numFmtId="0" fontId="31" fillId="0" borderId="0" xfId="0" applyNumberFormat="1" applyFont="1"/>
    <xf numFmtId="0" fontId="4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center"/>
    </xf>
    <xf numFmtId="0" fontId="3" fillId="21" borderId="77" xfId="0" applyNumberFormat="1" applyFont="1" applyFill="1" applyBorder="1" applyAlignment="1">
      <alignment horizontal="center"/>
    </xf>
    <xf numFmtId="0" fontId="4" fillId="0" borderId="69" xfId="0" applyNumberFormat="1" applyFont="1" applyBorder="1" applyAlignment="1">
      <alignment horizontal="center"/>
    </xf>
    <xf numFmtId="0" fontId="3" fillId="21" borderId="75" xfId="0" applyNumberFormat="1" applyFont="1" applyFill="1" applyBorder="1" applyAlignment="1">
      <alignment horizontal="center"/>
    </xf>
    <xf numFmtId="0" fontId="3" fillId="0" borderId="69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21" borderId="17" xfId="0" applyNumberFormat="1" applyFont="1" applyFill="1" applyBorder="1" applyAlignment="1">
      <alignment horizontal="center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center"/>
    </xf>
    <xf numFmtId="0" fontId="4" fillId="0" borderId="0" xfId="17" applyNumberFormat="1" applyFont="1"/>
    <xf numFmtId="0" fontId="3" fillId="19" borderId="42" xfId="16" applyNumberFormat="1" applyFont="1" applyFill="1" applyBorder="1" applyAlignment="1">
      <alignment horizontal="center"/>
    </xf>
    <xf numFmtId="0" fontId="3" fillId="0" borderId="9" xfId="0" applyNumberFormat="1" applyFont="1" applyFill="1" applyBorder="1" applyAlignment="1">
      <alignment horizontal="centerContinuous"/>
    </xf>
    <xf numFmtId="0" fontId="3" fillId="0" borderId="54" xfId="17" applyNumberFormat="1" applyFont="1" applyFill="1" applyBorder="1" applyAlignment="1">
      <alignment horizontal="centerContinuous"/>
    </xf>
    <xf numFmtId="0" fontId="3" fillId="0" borderId="54" xfId="0" applyNumberFormat="1" applyFont="1" applyFill="1" applyBorder="1" applyAlignment="1">
      <alignment horizontal="centerContinuous"/>
    </xf>
    <xf numFmtId="0" fontId="3" fillId="0" borderId="11" xfId="0" applyNumberFormat="1" applyFont="1" applyFill="1" applyBorder="1" applyAlignment="1">
      <alignment horizontal="centerContinuous"/>
    </xf>
    <xf numFmtId="0" fontId="3" fillId="0" borderId="53" xfId="0" applyNumberFormat="1" applyFont="1" applyFill="1" applyBorder="1" applyAlignment="1">
      <alignment horizontal="centerContinuous"/>
    </xf>
    <xf numFmtId="0" fontId="4" fillId="0" borderId="11" xfId="0" applyNumberFormat="1" applyFont="1" applyFill="1" applyBorder="1" applyAlignment="1">
      <alignment horizontal="centerContinuous"/>
    </xf>
    <xf numFmtId="0" fontId="4" fillId="0" borderId="54" xfId="17" applyNumberFormat="1" applyFont="1" applyFill="1" applyBorder="1" applyAlignment="1">
      <alignment horizontal="centerContinuous"/>
    </xf>
    <xf numFmtId="0" fontId="4" fillId="0" borderId="53" xfId="0" applyNumberFormat="1" applyFont="1" applyFill="1" applyBorder="1"/>
    <xf numFmtId="0" fontId="3" fillId="0" borderId="35" xfId="0" applyNumberFormat="1" applyFont="1" applyFill="1" applyBorder="1" applyAlignment="1">
      <alignment horizontal="center"/>
    </xf>
    <xf numFmtId="0" fontId="3" fillId="0" borderId="36" xfId="17" applyNumberFormat="1" applyFont="1" applyFill="1" applyBorder="1" applyAlignment="1">
      <alignment horizontal="center"/>
    </xf>
    <xf numFmtId="0" fontId="3" fillId="0" borderId="44" xfId="0" applyNumberFormat="1" applyFont="1" applyFill="1" applyBorder="1" applyAlignment="1">
      <alignment horizontal="center"/>
    </xf>
    <xf numFmtId="0" fontId="3" fillId="0" borderId="44" xfId="17" applyNumberFormat="1" applyFont="1" applyFill="1" applyBorder="1" applyAlignment="1">
      <alignment horizontal="center"/>
    </xf>
    <xf numFmtId="0" fontId="3" fillId="0" borderId="64" xfId="0" applyNumberFormat="1" applyFont="1" applyFill="1" applyBorder="1" applyAlignment="1">
      <alignment horizontal="center"/>
    </xf>
    <xf numFmtId="0" fontId="3" fillId="0" borderId="14" xfId="16" applyNumberFormat="1" applyFont="1" applyFill="1" applyBorder="1" applyAlignment="1">
      <alignment horizontal="center"/>
    </xf>
    <xf numFmtId="0" fontId="3" fillId="0" borderId="76" xfId="0" applyNumberFormat="1" applyFont="1" applyFill="1" applyBorder="1" applyAlignment="1">
      <alignment horizontal="center"/>
    </xf>
    <xf numFmtId="0" fontId="3" fillId="0" borderId="14" xfId="0" applyNumberFormat="1" applyFont="1" applyFill="1" applyBorder="1" applyAlignment="1">
      <alignment horizontal="center"/>
    </xf>
    <xf numFmtId="0" fontId="4" fillId="0" borderId="44" xfId="17" applyNumberFormat="1" applyFont="1" applyFill="1" applyBorder="1" applyAlignment="1">
      <alignment horizontal="center"/>
    </xf>
    <xf numFmtId="0" fontId="4" fillId="0" borderId="30" xfId="16" applyNumberFormat="1" applyFont="1" applyFill="1" applyBorder="1" applyAlignment="1">
      <alignment horizontal="center"/>
    </xf>
    <xf numFmtId="0" fontId="4" fillId="0" borderId="10" xfId="16" applyNumberFormat="1" applyFont="1" applyFill="1" applyBorder="1" applyAlignment="1">
      <alignment horizontal="center"/>
    </xf>
    <xf numFmtId="0" fontId="4" fillId="0" borderId="25" xfId="17" applyNumberFormat="1" applyFont="1" applyFill="1" applyBorder="1" applyAlignment="1">
      <alignment horizontal="center"/>
    </xf>
    <xf numFmtId="0" fontId="4" fillId="0" borderId="28" xfId="16" applyNumberFormat="1" applyFont="1" applyFill="1" applyBorder="1" applyAlignment="1">
      <alignment horizontal="center"/>
    </xf>
    <xf numFmtId="0" fontId="4" fillId="0" borderId="18" xfId="17" applyNumberFormat="1" applyFont="1" applyFill="1" applyBorder="1" applyAlignment="1">
      <alignment horizontal="center"/>
    </xf>
    <xf numFmtId="0" fontId="4" fillId="0" borderId="36" xfId="16" applyNumberFormat="1" applyFont="1" applyFill="1" applyBorder="1" applyAlignment="1">
      <alignment horizontal="center"/>
    </xf>
    <xf numFmtId="0" fontId="4" fillId="0" borderId="4" xfId="17" applyNumberFormat="1" applyFont="1" applyFill="1" applyBorder="1" applyAlignment="1">
      <alignment horizontal="center"/>
    </xf>
    <xf numFmtId="0" fontId="4" fillId="0" borderId="14" xfId="16" applyNumberFormat="1" applyFont="1" applyFill="1" applyBorder="1" applyAlignment="1">
      <alignment horizontal="center"/>
    </xf>
    <xf numFmtId="0" fontId="4" fillId="0" borderId="44" xfId="16" applyNumberFormat="1" applyFont="1" applyFill="1" applyBorder="1" applyAlignment="1">
      <alignment horizontal="center"/>
    </xf>
    <xf numFmtId="0" fontId="4" fillId="0" borderId="76" xfId="16" applyNumberFormat="1" applyFont="1" applyFill="1" applyBorder="1" applyAlignment="1">
      <alignment horizontal="center"/>
    </xf>
    <xf numFmtId="0" fontId="4" fillId="0" borderId="73" xfId="17" applyNumberFormat="1" applyFont="1" applyFill="1" applyBorder="1" applyAlignment="1">
      <alignment horizontal="center"/>
    </xf>
    <xf numFmtId="0" fontId="4" fillId="0" borderId="52" xfId="0" applyNumberFormat="1" applyFont="1" applyBorder="1" applyAlignment="1">
      <alignment horizontal="center"/>
    </xf>
    <xf numFmtId="0" fontId="4" fillId="0" borderId="57" xfId="0" applyNumberFormat="1" applyFont="1" applyBorder="1"/>
    <xf numFmtId="0" fontId="4" fillId="0" borderId="11" xfId="0" applyNumberFormat="1" applyFont="1" applyBorder="1" applyAlignment="1">
      <alignment horizontal="center"/>
    </xf>
    <xf numFmtId="0" fontId="4" fillId="0" borderId="42" xfId="0" applyNumberFormat="1" applyFont="1" applyBorder="1" applyAlignment="1">
      <alignment horizontal="left"/>
    </xf>
    <xf numFmtId="0" fontId="4" fillId="0" borderId="5" xfId="0" applyNumberFormat="1" applyFont="1" applyBorder="1" applyAlignment="1">
      <alignment horizontal="center"/>
    </xf>
    <xf numFmtId="0" fontId="4" fillId="0" borderId="67" xfId="0" applyNumberFormat="1" applyFont="1" applyBorder="1" applyAlignment="1">
      <alignment horizontal="center"/>
    </xf>
    <xf numFmtId="0" fontId="4" fillId="0" borderId="28" xfId="0" applyNumberFormat="1" applyFont="1" applyBorder="1" applyAlignment="1">
      <alignment horizontal="center"/>
    </xf>
    <xf numFmtId="0" fontId="4" fillId="0" borderId="24" xfId="0" applyNumberFormat="1" applyFont="1" applyBorder="1" applyAlignment="1">
      <alignment horizontal="center"/>
    </xf>
    <xf numFmtId="0" fontId="4" fillId="0" borderId="25" xfId="17" applyNumberFormat="1" applyFont="1" applyBorder="1" applyAlignment="1">
      <alignment horizontal="center"/>
    </xf>
    <xf numFmtId="0" fontId="4" fillId="0" borderId="25" xfId="0" applyNumberFormat="1" applyFont="1" applyBorder="1" applyAlignment="1">
      <alignment horizontal="center"/>
    </xf>
    <xf numFmtId="0" fontId="4" fillId="21" borderId="24" xfId="0" applyNumberFormat="1" applyFont="1" applyFill="1" applyBorder="1" applyAlignment="1">
      <alignment horizontal="center"/>
    </xf>
    <xf numFmtId="0" fontId="4" fillId="21" borderId="27" xfId="0" applyNumberFormat="1" applyFont="1" applyFill="1" applyBorder="1" applyAlignment="1">
      <alignment horizontal="left"/>
    </xf>
    <xf numFmtId="0" fontId="4" fillId="21" borderId="25" xfId="17" applyNumberFormat="1" applyFont="1" applyFill="1" applyBorder="1" applyAlignment="1">
      <alignment horizontal="center"/>
    </xf>
    <xf numFmtId="0" fontId="4" fillId="21" borderId="25" xfId="0" applyNumberFormat="1" applyFont="1" applyFill="1" applyBorder="1" applyAlignment="1">
      <alignment horizontal="center"/>
    </xf>
    <xf numFmtId="0" fontId="4" fillId="21" borderId="59" xfId="0" applyNumberFormat="1" applyFont="1" applyFill="1" applyBorder="1" applyAlignment="1">
      <alignment horizontal="center"/>
    </xf>
    <xf numFmtId="0" fontId="4" fillId="21" borderId="25" xfId="17" applyNumberFormat="1" applyFont="1" applyFill="1" applyBorder="1" applyAlignment="1">
      <alignment horizontal="center" vertical="center"/>
    </xf>
    <xf numFmtId="0" fontId="4" fillId="21" borderId="24" xfId="0" applyNumberFormat="1" applyFont="1" applyFill="1" applyBorder="1" applyAlignment="1">
      <alignment horizontal="center" vertical="center"/>
    </xf>
    <xf numFmtId="0" fontId="4" fillId="0" borderId="25" xfId="17" applyNumberFormat="1" applyFont="1" applyBorder="1" applyAlignment="1">
      <alignment horizontal="center" vertical="center"/>
    </xf>
    <xf numFmtId="0" fontId="4" fillId="0" borderId="24" xfId="0" applyNumberFormat="1" applyFont="1" applyBorder="1" applyAlignment="1">
      <alignment horizontal="center" vertical="center"/>
    </xf>
    <xf numFmtId="0" fontId="3" fillId="21" borderId="25" xfId="17" applyNumberFormat="1" applyFont="1" applyFill="1" applyBorder="1" applyAlignment="1">
      <alignment horizontal="center" vertical="center"/>
    </xf>
    <xf numFmtId="0" fontId="3" fillId="21" borderId="24" xfId="0" applyNumberFormat="1" applyFont="1" applyFill="1" applyBorder="1" applyAlignment="1">
      <alignment horizontal="center" vertical="center"/>
    </xf>
    <xf numFmtId="0" fontId="3" fillId="0" borderId="25" xfId="17" applyNumberFormat="1" applyFont="1" applyBorder="1" applyAlignment="1">
      <alignment horizontal="center" vertical="center"/>
    </xf>
    <xf numFmtId="0" fontId="3" fillId="0" borderId="24" xfId="0" applyNumberFormat="1" applyFont="1" applyBorder="1" applyAlignment="1">
      <alignment horizontal="center" vertical="center"/>
    </xf>
    <xf numFmtId="0" fontId="4" fillId="0" borderId="66" xfId="0" applyNumberFormat="1" applyFont="1" applyBorder="1"/>
    <xf numFmtId="0" fontId="4" fillId="0" borderId="31" xfId="0" applyNumberFormat="1" applyFont="1" applyBorder="1"/>
    <xf numFmtId="0" fontId="4" fillId="21" borderId="31" xfId="0" applyNumberFormat="1" applyFont="1" applyFill="1" applyBorder="1"/>
    <xf numFmtId="0" fontId="4" fillId="21" borderId="76" xfId="0" applyNumberFormat="1" applyFont="1" applyFill="1" applyBorder="1" applyAlignment="1">
      <alignment horizontal="center"/>
    </xf>
    <xf numFmtId="0" fontId="4" fillId="21" borderId="43" xfId="0" applyNumberFormat="1" applyFont="1" applyFill="1" applyBorder="1"/>
    <xf numFmtId="0" fontId="4" fillId="0" borderId="71" xfId="17" applyNumberFormat="1" applyFont="1" applyFill="1" applyBorder="1" applyAlignment="1">
      <alignment horizontal="center" vertical="center"/>
    </xf>
    <xf numFmtId="0" fontId="4" fillId="0" borderId="75" xfId="16" applyNumberFormat="1" applyFont="1" applyFill="1" applyBorder="1" applyAlignment="1">
      <alignment horizontal="center" vertical="center"/>
    </xf>
    <xf numFmtId="0" fontId="4" fillId="0" borderId="0" xfId="17" applyNumberFormat="1" applyFont="1" applyAlignment="1">
      <alignment horizontal="center" vertical="center"/>
    </xf>
    <xf numFmtId="0" fontId="3" fillId="0" borderId="23" xfId="0" applyNumberFormat="1" applyFont="1" applyFill="1" applyBorder="1" applyAlignment="1">
      <alignment horizontal="centerContinuous"/>
    </xf>
    <xf numFmtId="0" fontId="4" fillId="0" borderId="54" xfId="17" applyNumberFormat="1" applyFont="1" applyFill="1" applyBorder="1" applyAlignment="1">
      <alignment horizontal="center" vertical="center"/>
    </xf>
    <xf numFmtId="0" fontId="4" fillId="0" borderId="53" xfId="0" applyNumberFormat="1" applyFont="1" applyFill="1" applyBorder="1" applyAlignment="1">
      <alignment horizontal="center" vertical="center"/>
    </xf>
    <xf numFmtId="0" fontId="3" fillId="0" borderId="38" xfId="0" applyNumberFormat="1" applyFont="1" applyBorder="1" applyAlignment="1">
      <alignment horizontal="center"/>
    </xf>
    <xf numFmtId="0" fontId="3" fillId="0" borderId="36" xfId="0" applyNumberFormat="1" applyFont="1" applyFill="1" applyBorder="1" applyAlignment="1">
      <alignment horizontal="center"/>
    </xf>
    <xf numFmtId="0" fontId="3" fillId="0" borderId="37" xfId="0" applyNumberFormat="1" applyFont="1" applyFill="1" applyBorder="1" applyAlignment="1">
      <alignment horizontal="center"/>
    </xf>
    <xf numFmtId="0" fontId="3" fillId="0" borderId="41" xfId="16" applyNumberFormat="1" applyFont="1" applyFill="1" applyBorder="1" applyAlignment="1">
      <alignment horizontal="center"/>
    </xf>
    <xf numFmtId="0" fontId="4" fillId="0" borderId="36" xfId="17" applyNumberFormat="1" applyFont="1" applyFill="1" applyBorder="1" applyAlignment="1">
      <alignment horizontal="center"/>
    </xf>
    <xf numFmtId="0" fontId="3" fillId="0" borderId="36" xfId="17" applyNumberFormat="1" applyFont="1" applyFill="1" applyBorder="1" applyAlignment="1">
      <alignment horizontal="center" vertical="center"/>
    </xf>
    <xf numFmtId="0" fontId="3" fillId="0" borderId="37" xfId="0" applyNumberFormat="1" applyFont="1" applyFill="1" applyBorder="1" applyAlignment="1">
      <alignment horizontal="center" vertical="center"/>
    </xf>
    <xf numFmtId="0" fontId="3" fillId="21" borderId="20" xfId="0" applyNumberFormat="1" applyFont="1" applyFill="1" applyBorder="1" applyAlignment="1">
      <alignment horizontal="center"/>
    </xf>
    <xf numFmtId="0" fontId="4" fillId="0" borderId="5" xfId="17" applyNumberFormat="1" applyFont="1" applyFill="1" applyBorder="1" applyAlignment="1">
      <alignment horizontal="center" vertical="center"/>
    </xf>
    <xf numFmtId="0" fontId="4" fillId="0" borderId="28" xfId="16" applyNumberFormat="1" applyFont="1" applyFill="1" applyBorder="1" applyAlignment="1">
      <alignment horizontal="center" vertical="center"/>
    </xf>
    <xf numFmtId="0" fontId="3" fillId="21" borderId="21" xfId="0" applyNumberFormat="1" applyFont="1" applyFill="1" applyBorder="1" applyAlignment="1">
      <alignment horizontal="center"/>
    </xf>
    <xf numFmtId="0" fontId="4" fillId="0" borderId="27" xfId="16" applyNumberFormat="1" applyFont="1" applyFill="1" applyBorder="1" applyAlignment="1">
      <alignment horizontal="center"/>
    </xf>
    <xf numFmtId="0" fontId="4" fillId="0" borderId="25" xfId="17" applyNumberFormat="1" applyFont="1" applyFill="1" applyBorder="1" applyAlignment="1">
      <alignment horizontal="center" vertical="center"/>
    </xf>
    <xf numFmtId="0" fontId="4" fillId="0" borderId="16" xfId="16" applyNumberFormat="1" applyFont="1" applyFill="1" applyBorder="1" applyAlignment="1">
      <alignment horizontal="center"/>
    </xf>
    <xf numFmtId="0" fontId="4" fillId="0" borderId="4" xfId="16" applyNumberFormat="1" applyFont="1" applyFill="1" applyBorder="1" applyAlignment="1">
      <alignment horizontal="center"/>
    </xf>
    <xf numFmtId="0" fontId="4" fillId="0" borderId="17" xfId="16" applyNumberFormat="1" applyFont="1" applyFill="1" applyBorder="1" applyAlignment="1">
      <alignment horizontal="center"/>
    </xf>
    <xf numFmtId="0" fontId="4" fillId="0" borderId="4" xfId="17" applyNumberFormat="1" applyFont="1" applyFill="1" applyBorder="1" applyAlignment="1">
      <alignment horizontal="center" vertical="center"/>
    </xf>
    <xf numFmtId="0" fontId="3" fillId="21" borderId="33" xfId="0" applyNumberFormat="1" applyFont="1" applyFill="1" applyBorder="1" applyAlignment="1">
      <alignment horizontal="center"/>
    </xf>
    <xf numFmtId="0" fontId="4" fillId="0" borderId="74" xfId="16" applyNumberFormat="1" applyFont="1" applyFill="1" applyBorder="1" applyAlignment="1">
      <alignment horizontal="center"/>
    </xf>
    <xf numFmtId="0" fontId="4" fillId="0" borderId="0" xfId="17" applyNumberFormat="1" applyFont="1" applyBorder="1" applyAlignment="1">
      <alignment horizontal="center"/>
    </xf>
    <xf numFmtId="0" fontId="3" fillId="0" borderId="0" xfId="17" applyNumberFormat="1" applyFont="1" applyBorder="1" applyAlignment="1">
      <alignment horizontal="center"/>
    </xf>
    <xf numFmtId="0" fontId="3" fillId="0" borderId="0" xfId="17" applyNumberFormat="1" applyFont="1" applyBorder="1" applyAlignment="1">
      <alignment horizontal="center" vertical="center"/>
    </xf>
    <xf numFmtId="0" fontId="3" fillId="19" borderId="2" xfId="0" applyNumberFormat="1" applyFont="1" applyFill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3" fillId="0" borderId="23" xfId="0" applyNumberFormat="1" applyFont="1" applyBorder="1" applyAlignment="1">
      <alignment horizontal="centerContinuous"/>
    </xf>
    <xf numFmtId="0" fontId="3" fillId="0" borderId="10" xfId="0" applyNumberFormat="1" applyFont="1" applyBorder="1" applyAlignment="1">
      <alignment horizontal="centerContinuous"/>
    </xf>
    <xf numFmtId="0" fontId="3" fillId="0" borderId="12" xfId="0" applyNumberFormat="1" applyFont="1" applyBorder="1" applyAlignment="1">
      <alignment horizontal="centerContinuous"/>
    </xf>
    <xf numFmtId="0" fontId="3" fillId="0" borderId="8" xfId="0" applyNumberFormat="1" applyFont="1" applyBorder="1" applyAlignment="1">
      <alignment horizontal="centerContinuous"/>
    </xf>
    <xf numFmtId="0" fontId="3" fillId="0" borderId="0" xfId="16" applyNumberFormat="1" applyFont="1" applyBorder="1" applyAlignment="1">
      <alignment horizontal="centerContinuous"/>
    </xf>
    <xf numFmtId="0" fontId="0" fillId="0" borderId="13" xfId="0" applyNumberFormat="1" applyBorder="1" applyAlignment="1">
      <alignment horizontal="left"/>
    </xf>
    <xf numFmtId="0" fontId="0" fillId="0" borderId="43" xfId="0" applyNumberFormat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0" fontId="0" fillId="0" borderId="64" xfId="0" applyNumberFormat="1" applyBorder="1" applyAlignment="1">
      <alignment horizontal="center"/>
    </xf>
    <xf numFmtId="0" fontId="0" fillId="0" borderId="64" xfId="0" applyNumberFormat="1" applyBorder="1" applyAlignment="1">
      <alignment horizontal="center" wrapText="1"/>
    </xf>
    <xf numFmtId="0" fontId="30" fillId="0" borderId="76" xfId="0" applyNumberFormat="1" applyFont="1" applyBorder="1" applyAlignment="1">
      <alignment horizontal="center" wrapText="1"/>
    </xf>
    <xf numFmtId="0" fontId="0" fillId="0" borderId="76" xfId="0" applyNumberFormat="1" applyBorder="1" applyAlignment="1">
      <alignment horizontal="center" wrapText="1"/>
    </xf>
    <xf numFmtId="0" fontId="4" fillId="0" borderId="0" xfId="16" applyNumberFormat="1" applyFont="1" applyBorder="1" applyAlignment="1">
      <alignment horizontal="center" wrapText="1"/>
    </xf>
    <xf numFmtId="0" fontId="4" fillId="0" borderId="29" xfId="17" applyNumberFormat="1" applyFont="1" applyFill="1" applyBorder="1" applyAlignment="1">
      <alignment horizontal="center"/>
    </xf>
    <xf numFmtId="0" fontId="4" fillId="0" borderId="9" xfId="17" applyNumberFormat="1" applyFont="1" applyFill="1" applyBorder="1" applyAlignment="1">
      <alignment horizontal="center"/>
    </xf>
    <xf numFmtId="0" fontId="4" fillId="0" borderId="26" xfId="17" applyNumberFormat="1" applyFont="1" applyFill="1" applyBorder="1" applyAlignment="1">
      <alignment horizontal="center"/>
    </xf>
    <xf numFmtId="0" fontId="4" fillId="0" borderId="27" xfId="17" applyNumberFormat="1" applyFont="1" applyFill="1" applyBorder="1" applyAlignment="1">
      <alignment horizontal="center"/>
    </xf>
    <xf numFmtId="0" fontId="4" fillId="0" borderId="18" xfId="16" applyNumberFormat="1" applyFont="1" applyFill="1" applyBorder="1" applyAlignment="1">
      <alignment horizontal="center"/>
    </xf>
    <xf numFmtId="0" fontId="4" fillId="0" borderId="14" xfId="17" applyNumberFormat="1" applyFont="1" applyFill="1" applyBorder="1" applyAlignment="1">
      <alignment horizontal="center"/>
    </xf>
    <xf numFmtId="0" fontId="4" fillId="0" borderId="17" xfId="16" applyNumberFormat="1" applyFont="1" applyFill="1" applyBorder="1" applyAlignment="1">
      <alignment horizontal="center" vertical="center"/>
    </xf>
    <xf numFmtId="0" fontId="0" fillId="0" borderId="33" xfId="0" applyNumberFormat="1" applyBorder="1" applyAlignment="1">
      <alignment horizontal="left"/>
    </xf>
    <xf numFmtId="0" fontId="0" fillId="0" borderId="77" xfId="0" applyNumberFormat="1" applyBorder="1" applyAlignment="1">
      <alignment horizontal="left"/>
    </xf>
    <xf numFmtId="0" fontId="4" fillId="0" borderId="48" xfId="17" applyNumberFormat="1" applyFont="1" applyBorder="1" applyAlignment="1">
      <alignment horizontal="center"/>
    </xf>
    <xf numFmtId="0" fontId="4" fillId="0" borderId="49" xfId="16" applyNumberFormat="1" applyFont="1" applyBorder="1" applyAlignment="1">
      <alignment horizontal="center"/>
    </xf>
    <xf numFmtId="0" fontId="4" fillId="0" borderId="78" xfId="16" applyNumberFormat="1" applyFont="1" applyBorder="1" applyAlignment="1">
      <alignment horizontal="center"/>
    </xf>
    <xf numFmtId="0" fontId="4" fillId="0" borderId="47" xfId="17" applyNumberFormat="1" applyFont="1" applyBorder="1" applyAlignment="1">
      <alignment horizontal="center"/>
    </xf>
    <xf numFmtId="0" fontId="4" fillId="0" borderId="78" xfId="16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center" vertical="center"/>
    </xf>
    <xf numFmtId="0" fontId="3" fillId="0" borderId="23" xfId="16" applyNumberFormat="1" applyFont="1" applyBorder="1" applyAlignment="1">
      <alignment horizontal="center" vertical="center"/>
    </xf>
    <xf numFmtId="0" fontId="3" fillId="0" borderId="10" xfId="16" applyNumberFormat="1" applyFont="1" applyBorder="1" applyAlignment="1">
      <alignment horizontal="center" vertical="center"/>
    </xf>
    <xf numFmtId="0" fontId="3" fillId="0" borderId="11" xfId="16" applyNumberFormat="1" applyFont="1" applyBorder="1" applyAlignment="1">
      <alignment horizontal="center" vertical="center"/>
    </xf>
    <xf numFmtId="0" fontId="0" fillId="0" borderId="76" xfId="0" applyNumberFormat="1" applyBorder="1" applyAlignment="1">
      <alignment horizontal="center" vertical="center" wrapText="1"/>
    </xf>
    <xf numFmtId="0" fontId="4" fillId="0" borderId="65" xfId="16" applyNumberFormat="1" applyFont="1" applyBorder="1" applyAlignment="1">
      <alignment horizontal="center" vertical="center" wrapText="1"/>
    </xf>
    <xf numFmtId="0" fontId="4" fillId="0" borderId="44" xfId="16" applyNumberFormat="1" applyFont="1" applyBorder="1" applyAlignment="1">
      <alignment horizontal="center" vertical="center" wrapText="1"/>
    </xf>
    <xf numFmtId="0" fontId="4" fillId="0" borderId="76" xfId="16" applyNumberFormat="1" applyFont="1" applyBorder="1" applyAlignment="1">
      <alignment horizontal="center" vertical="center" wrapText="1"/>
    </xf>
    <xf numFmtId="0" fontId="4" fillId="0" borderId="0" xfId="16" applyNumberFormat="1" applyFont="1" applyFill="1" applyBorder="1" applyAlignment="1">
      <alignment horizontal="center" vertical="center" wrapText="1"/>
    </xf>
    <xf numFmtId="0" fontId="0" fillId="0" borderId="21" xfId="0" applyNumberFormat="1" applyFill="1" applyBorder="1" applyAlignment="1">
      <alignment horizontal="left"/>
    </xf>
    <xf numFmtId="0" fontId="4" fillId="0" borderId="10" xfId="17" applyNumberFormat="1" applyFont="1" applyFill="1" applyBorder="1" applyAlignment="1">
      <alignment horizontal="center"/>
    </xf>
    <xf numFmtId="0" fontId="4" fillId="0" borderId="11" xfId="16" applyNumberFormat="1" applyFont="1" applyFill="1" applyBorder="1" applyAlignment="1">
      <alignment horizontal="center" vertical="center"/>
    </xf>
    <xf numFmtId="0" fontId="4" fillId="0" borderId="29" xfId="16" applyNumberFormat="1" applyFont="1" applyFill="1" applyBorder="1" applyAlignment="1">
      <alignment horizontal="center" vertical="center"/>
    </xf>
    <xf numFmtId="0" fontId="4" fillId="0" borderId="30" xfId="17" applyNumberFormat="1" applyFont="1" applyFill="1" applyBorder="1" applyAlignment="1">
      <alignment horizontal="center"/>
    </xf>
    <xf numFmtId="0" fontId="4" fillId="0" borderId="79" xfId="17" applyNumberFormat="1" applyFont="1" applyFill="1" applyBorder="1" applyAlignment="1">
      <alignment horizontal="center"/>
    </xf>
    <xf numFmtId="0" fontId="4" fillId="0" borderId="6" xfId="17" applyNumberFormat="1" applyFont="1" applyFill="1" applyBorder="1" applyAlignment="1">
      <alignment horizontal="center"/>
    </xf>
    <xf numFmtId="0" fontId="4" fillId="0" borderId="6" xfId="16" applyNumberFormat="1" applyFont="1" applyFill="1" applyBorder="1" applyAlignment="1">
      <alignment horizontal="center"/>
    </xf>
    <xf numFmtId="0" fontId="4" fillId="0" borderId="80" xfId="16" applyNumberFormat="1" applyFont="1" applyFill="1" applyBorder="1" applyAlignment="1">
      <alignment horizontal="center"/>
    </xf>
    <xf numFmtId="0" fontId="4" fillId="0" borderId="35" xfId="17" applyNumberFormat="1" applyFont="1" applyFill="1" applyBorder="1" applyAlignment="1">
      <alignment horizontal="center"/>
    </xf>
    <xf numFmtId="0" fontId="4" fillId="0" borderId="81" xfId="16" applyNumberFormat="1" applyFont="1" applyFill="1" applyBorder="1" applyAlignment="1">
      <alignment horizontal="center"/>
    </xf>
    <xf numFmtId="0" fontId="4" fillId="0" borderId="37" xfId="16" applyNumberFormat="1" applyFont="1" applyFill="1" applyBorder="1" applyAlignment="1">
      <alignment horizontal="center" vertical="center"/>
    </xf>
    <xf numFmtId="0" fontId="4" fillId="0" borderId="50" xfId="17" applyNumberFormat="1" applyFont="1" applyBorder="1" applyAlignment="1">
      <alignment horizontal="center"/>
    </xf>
    <xf numFmtId="0" fontId="4" fillId="0" borderId="50" xfId="16" applyNumberFormat="1" applyFont="1" applyBorder="1" applyAlignment="1">
      <alignment horizontal="center"/>
    </xf>
    <xf numFmtId="0" fontId="3" fillId="18" borderId="0" xfId="0" applyNumberFormat="1" applyFont="1" applyFill="1" applyAlignment="1">
      <alignment horizontal="center"/>
    </xf>
    <xf numFmtId="0" fontId="4" fillId="0" borderId="0" xfId="18" applyNumberFormat="1"/>
    <xf numFmtId="0" fontId="4" fillId="0" borderId="0" xfId="18" applyNumberFormat="1" applyAlignment="1">
      <alignment horizontal="center"/>
    </xf>
    <xf numFmtId="0" fontId="3" fillId="19" borderId="3" xfId="0" applyNumberFormat="1" applyFont="1" applyFill="1" applyBorder="1" applyAlignment="1">
      <alignment horizontal="center"/>
    </xf>
    <xf numFmtId="0" fontId="3" fillId="18" borderId="4" xfId="18" applyNumberFormat="1" applyFont="1" applyFill="1" applyBorder="1" applyAlignment="1">
      <alignment horizontal="center"/>
    </xf>
    <xf numFmtId="0" fontId="4" fillId="0" borderId="0" xfId="16" applyNumberFormat="1" applyFont="1" applyAlignment="1">
      <alignment horizontal="left" vertical="center"/>
    </xf>
    <xf numFmtId="0" fontId="0" fillId="20" borderId="0" xfId="0" applyNumberFormat="1" applyFill="1" applyAlignment="1">
      <alignment horizontal="center"/>
    </xf>
    <xf numFmtId="0" fontId="0" fillId="18" borderId="2" xfId="0" applyNumberFormat="1" applyFill="1" applyBorder="1" applyAlignment="1">
      <alignment horizontal="center"/>
    </xf>
    <xf numFmtId="0" fontId="3" fillId="0" borderId="5" xfId="18" applyNumberFormat="1" applyFont="1" applyBorder="1" applyAlignment="1">
      <alignment horizontal="center"/>
    </xf>
    <xf numFmtId="0" fontId="3" fillId="0" borderId="0" xfId="16" applyNumberFormat="1" applyFont="1" applyAlignment="1">
      <alignment horizontal="left" vertical="center"/>
    </xf>
    <xf numFmtId="0" fontId="3" fillId="0" borderId="6" xfId="18" applyNumberFormat="1" applyFont="1" applyBorder="1" applyAlignment="1">
      <alignment horizontal="center"/>
    </xf>
    <xf numFmtId="0" fontId="3" fillId="0" borderId="7" xfId="16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Continuous"/>
    </xf>
    <xf numFmtId="0" fontId="0" fillId="0" borderId="13" xfId="0" applyNumberFormat="1" applyBorder="1" applyAlignment="1">
      <alignment horizontal="center" vertical="center"/>
    </xf>
    <xf numFmtId="0" fontId="3" fillId="0" borderId="14" xfId="16" applyNumberFormat="1" applyFont="1" applyBorder="1" applyAlignment="1">
      <alignment horizontal="center" vertical="center"/>
    </xf>
    <xf numFmtId="0" fontId="3" fillId="0" borderId="15" xfId="0" applyNumberFormat="1" applyFont="1" applyBorder="1" applyAlignment="1">
      <alignment horizontal="center"/>
    </xf>
    <xf numFmtId="0" fontId="0" fillId="0" borderId="16" xfId="0" applyNumberFormat="1" applyBorder="1" applyAlignment="1">
      <alignment horizontal="center"/>
    </xf>
    <xf numFmtId="0" fontId="4" fillId="0" borderId="4" xfId="0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 vertical="center"/>
    </xf>
    <xf numFmtId="0" fontId="4" fillId="0" borderId="21" xfId="16" applyNumberFormat="1" applyFont="1" applyBorder="1" applyAlignment="1">
      <alignment horizontal="center" vertical="center"/>
    </xf>
    <xf numFmtId="0" fontId="0" fillId="0" borderId="11" xfId="0" applyNumberFormat="1" applyBorder="1" applyAlignment="1">
      <alignment horizontal="left"/>
    </xf>
    <xf numFmtId="0" fontId="0" fillId="0" borderId="9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3" fillId="0" borderId="10" xfId="0" applyNumberFormat="1" applyFont="1" applyBorder="1" applyAlignment="1">
      <alignment horizontal="center"/>
    </xf>
    <xf numFmtId="0" fontId="0" fillId="0" borderId="10" xfId="0" applyNumberFormat="1" applyBorder="1"/>
    <xf numFmtId="0" fontId="0" fillId="0" borderId="23" xfId="0" applyNumberFormat="1" applyBorder="1" applyAlignment="1">
      <alignment horizontal="center"/>
    </xf>
    <xf numFmtId="0" fontId="3" fillId="0" borderId="0" xfId="18" applyNumberFormat="1" applyFont="1" applyAlignment="1">
      <alignment horizontal="center"/>
    </xf>
    <xf numFmtId="0" fontId="3" fillId="17" borderId="0" xfId="0" applyNumberFormat="1" applyFont="1" applyFill="1"/>
    <xf numFmtId="0" fontId="4" fillId="0" borderId="20" xfId="16" applyNumberFormat="1" applyFont="1" applyBorder="1" applyAlignment="1">
      <alignment horizontal="center" vertical="center"/>
    </xf>
    <xf numFmtId="0" fontId="0" fillId="0" borderId="24" xfId="0" applyNumberFormat="1" applyBorder="1" applyAlignment="1">
      <alignment horizontal="left"/>
    </xf>
    <xf numFmtId="0" fontId="0" fillId="0" borderId="20" xfId="0" applyNumberFormat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3" fillId="0" borderId="25" xfId="0" applyNumberFormat="1" applyFont="1" applyBorder="1" applyAlignment="1">
      <alignment horizontal="center"/>
    </xf>
    <xf numFmtId="0" fontId="0" fillId="21" borderId="20" xfId="0" applyNumberFormat="1" applyFill="1" applyBorder="1" applyAlignment="1">
      <alignment horizontal="center" vertical="center"/>
    </xf>
    <xf numFmtId="0" fontId="4" fillId="21" borderId="20" xfId="16" applyNumberFormat="1" applyFont="1" applyFill="1" applyBorder="1" applyAlignment="1">
      <alignment horizontal="center" vertical="center"/>
    </xf>
    <xf numFmtId="0" fontId="0" fillId="21" borderId="24" xfId="0" applyNumberFormat="1" applyFill="1" applyBorder="1" applyAlignment="1">
      <alignment horizontal="left"/>
    </xf>
    <xf numFmtId="0" fontId="0" fillId="21" borderId="20" xfId="0" applyNumberFormat="1" applyFill="1" applyBorder="1" applyAlignment="1">
      <alignment horizontal="center"/>
    </xf>
    <xf numFmtId="0" fontId="0" fillId="21" borderId="26" xfId="0" applyNumberFormat="1" applyFill="1" applyBorder="1" applyAlignment="1">
      <alignment horizontal="center"/>
    </xf>
    <xf numFmtId="0" fontId="3" fillId="21" borderId="25" xfId="0" applyNumberFormat="1" applyFont="1" applyFill="1" applyBorder="1" applyAlignment="1">
      <alignment horizontal="center"/>
    </xf>
    <xf numFmtId="0" fontId="0" fillId="21" borderId="25" xfId="0" applyNumberFormat="1" applyFill="1" applyBorder="1"/>
    <xf numFmtId="0" fontId="0" fillId="0" borderId="21" xfId="0" applyNumberFormat="1" applyBorder="1" applyAlignment="1">
      <alignment horizontal="center" vertical="center"/>
    </xf>
    <xf numFmtId="0" fontId="0" fillId="0" borderId="28" xfId="0" applyNumberFormat="1" applyBorder="1" applyAlignment="1">
      <alignment horizontal="left"/>
    </xf>
    <xf numFmtId="0" fontId="3" fillId="5" borderId="0" xfId="0" applyNumberFormat="1" applyFont="1" applyFill="1"/>
    <xf numFmtId="0" fontId="3" fillId="21" borderId="25" xfId="0" applyNumberFormat="1" applyFont="1" applyFill="1" applyBorder="1" applyAlignment="1">
      <alignment horizontal="center" vertical="center"/>
    </xf>
    <xf numFmtId="0" fontId="0" fillId="21" borderId="24" xfId="0" applyNumberFormat="1" applyFill="1" applyBorder="1" applyAlignment="1">
      <alignment horizontal="center" vertical="center"/>
    </xf>
    <xf numFmtId="0" fontId="0" fillId="21" borderId="26" xfId="0" applyNumberFormat="1" applyFill="1" applyBorder="1" applyAlignment="1">
      <alignment horizontal="center" vertical="center"/>
    </xf>
    <xf numFmtId="0" fontId="3" fillId="0" borderId="0" xfId="18" applyNumberFormat="1" applyFont="1" applyAlignment="1">
      <alignment horizontal="center" vertical="center"/>
    </xf>
    <xf numFmtId="0" fontId="3" fillId="0" borderId="25" xfId="0" applyNumberFormat="1" applyFont="1" applyBorder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0" fillId="21" borderId="27" xfId="0" applyNumberFormat="1" applyFill="1" applyBorder="1" applyAlignment="1">
      <alignment horizontal="center" vertical="center"/>
    </xf>
    <xf numFmtId="0" fontId="4" fillId="21" borderId="21" xfId="16" applyNumberFormat="1" applyFont="1" applyFill="1" applyBorder="1" applyAlignment="1">
      <alignment horizontal="center" vertical="center"/>
    </xf>
    <xf numFmtId="0" fontId="0" fillId="21" borderId="28" xfId="0" applyNumberFormat="1" applyFill="1" applyBorder="1" applyAlignment="1">
      <alignment horizontal="left"/>
    </xf>
    <xf numFmtId="0" fontId="0" fillId="21" borderId="31" xfId="0" applyNumberFormat="1" applyFill="1" applyBorder="1" applyAlignment="1">
      <alignment horizontal="center" vertical="center"/>
    </xf>
    <xf numFmtId="0" fontId="0" fillId="21" borderId="32" xfId="0" applyNumberFormat="1" applyFill="1" applyBorder="1" applyAlignment="1">
      <alignment horizontal="center" vertical="center"/>
    </xf>
    <xf numFmtId="0" fontId="4" fillId="0" borderId="33" xfId="16" applyNumberFormat="1" applyFont="1" applyBorder="1" applyAlignment="1">
      <alignment horizontal="center" vertical="center"/>
    </xf>
    <xf numFmtId="0" fontId="0" fillId="0" borderId="34" xfId="0" applyNumberFormat="1" applyBorder="1" applyAlignment="1">
      <alignment horizontal="left"/>
    </xf>
    <xf numFmtId="0" fontId="0" fillId="0" borderId="35" xfId="0" applyNumberFormat="1" applyBorder="1" applyAlignment="1">
      <alignment horizontal="center"/>
    </xf>
    <xf numFmtId="0" fontId="0" fillId="0" borderId="36" xfId="0" applyNumberFormat="1" applyBorder="1" applyAlignment="1">
      <alignment horizontal="center"/>
    </xf>
    <xf numFmtId="0" fontId="0" fillId="0" borderId="37" xfId="0" applyNumberFormat="1" applyBorder="1" applyAlignment="1">
      <alignment horizontal="center"/>
    </xf>
    <xf numFmtId="0" fontId="0" fillId="0" borderId="36" xfId="0" applyNumberFormat="1" applyBorder="1" applyAlignment="1">
      <alignment horizontal="center" vertical="center"/>
    </xf>
    <xf numFmtId="0" fontId="3" fillId="0" borderId="36" xfId="0" applyNumberFormat="1" applyFont="1" applyBorder="1" applyAlignment="1">
      <alignment horizontal="center" vertical="center"/>
    </xf>
    <xf numFmtId="0" fontId="0" fillId="0" borderId="39" xfId="0" applyNumberFormat="1" applyBorder="1" applyAlignment="1">
      <alignment horizontal="center" vertical="center"/>
    </xf>
    <xf numFmtId="0" fontId="0" fillId="0" borderId="41" xfId="0" applyNumberFormat="1" applyBorder="1" applyAlignment="1">
      <alignment horizontal="center" vertical="center"/>
    </xf>
    <xf numFmtId="0" fontId="4" fillId="0" borderId="0" xfId="18" applyNumberForma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3" fillId="0" borderId="12" xfId="0" applyNumberFormat="1" applyFont="1" applyBorder="1" applyAlignment="1">
      <alignment horizontal="center" vertical="center"/>
    </xf>
    <xf numFmtId="0" fontId="3" fillId="0" borderId="11" xfId="0" applyNumberFormat="1" applyFont="1" applyBorder="1" applyAlignment="1">
      <alignment horizontal="center" vertical="center"/>
    </xf>
    <xf numFmtId="0" fontId="3" fillId="18" borderId="0" xfId="0" applyNumberFormat="1" applyFont="1" applyFill="1" applyAlignment="1">
      <alignment horizontal="center" vertical="center"/>
    </xf>
    <xf numFmtId="0" fontId="0" fillId="0" borderId="43" xfId="0" applyNumberFormat="1" applyBorder="1" applyAlignment="1">
      <alignment horizontal="center" vertical="center"/>
    </xf>
    <xf numFmtId="0" fontId="4" fillId="0" borderId="4" xfId="0" applyNumberFormat="1" applyFont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23" fillId="0" borderId="18" xfId="0" applyNumberFormat="1" applyFont="1" applyBorder="1" applyAlignment="1">
      <alignment horizontal="center" vertical="center"/>
    </xf>
    <xf numFmtId="0" fontId="3" fillId="18" borderId="0" xfId="0" applyNumberFormat="1" applyFont="1" applyFill="1" applyBorder="1" applyAlignment="1">
      <alignment horizontal="center" vertical="center"/>
    </xf>
    <xf numFmtId="0" fontId="4" fillId="0" borderId="30" xfId="16" applyNumberFormat="1" applyFont="1" applyFill="1" applyBorder="1" applyAlignment="1">
      <alignment horizontal="center" vertical="center"/>
    </xf>
    <xf numFmtId="0" fontId="0" fillId="18" borderId="45" xfId="0" applyNumberFormat="1" applyFill="1" applyBorder="1" applyAlignment="1">
      <alignment horizontal="left"/>
    </xf>
    <xf numFmtId="0" fontId="0" fillId="0" borderId="10" xfId="0" applyNumberFormat="1" applyBorder="1" applyAlignment="1">
      <alignment horizontal="center" vertical="center"/>
    </xf>
    <xf numFmtId="0" fontId="0" fillId="0" borderId="11" xfId="0" applyNumberFormat="1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0" fontId="0" fillId="18" borderId="0" xfId="0" applyNumberFormat="1" applyFill="1" applyAlignment="1">
      <alignment horizontal="center" vertical="center"/>
    </xf>
    <xf numFmtId="0" fontId="0" fillId="18" borderId="32" xfId="0" applyNumberFormat="1" applyFill="1" applyBorder="1" applyAlignment="1">
      <alignment horizontal="left"/>
    </xf>
    <xf numFmtId="0" fontId="0" fillId="18" borderId="46" xfId="0" applyNumberFormat="1" applyFill="1" applyBorder="1" applyAlignment="1">
      <alignment horizontal="left"/>
    </xf>
    <xf numFmtId="0" fontId="0" fillId="0" borderId="47" xfId="0" applyNumberFormat="1" applyBorder="1" applyAlignment="1">
      <alignment horizontal="center"/>
    </xf>
    <xf numFmtId="0" fontId="0" fillId="0" borderId="48" xfId="0" applyNumberFormat="1" applyBorder="1" applyAlignment="1">
      <alignment horizontal="center"/>
    </xf>
    <xf numFmtId="0" fontId="0" fillId="0" borderId="49" xfId="0" applyNumberFormat="1" applyBorder="1" applyAlignment="1">
      <alignment horizontal="center"/>
    </xf>
    <xf numFmtId="0" fontId="0" fillId="0" borderId="33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3" fillId="0" borderId="50" xfId="0" applyNumberFormat="1" applyFont="1" applyBorder="1" applyAlignment="1">
      <alignment horizontal="center" vertical="center"/>
    </xf>
    <xf numFmtId="0" fontId="0" fillId="0" borderId="51" xfId="0" applyNumberFormat="1" applyBorder="1" applyAlignment="1">
      <alignment horizontal="center" vertical="center"/>
    </xf>
    <xf numFmtId="0" fontId="0" fillId="0" borderId="34" xfId="0" applyNumberFormat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textRotation="90"/>
    </xf>
    <xf numFmtId="0" fontId="3" fillId="0" borderId="0" xfId="0" applyNumberFormat="1" applyFont="1" applyFill="1" applyAlignment="1">
      <alignment horizontal="center" vertical="center" textRotation="90"/>
    </xf>
    <xf numFmtId="0" fontId="4" fillId="2" borderId="0" xfId="0" applyNumberFormat="1" applyFont="1" applyFill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7" fillId="0" borderId="0" xfId="2" applyNumberFormat="1" applyAlignment="1" applyProtection="1">
      <alignment horizontal="center" vertical="center"/>
    </xf>
    <xf numFmtId="0" fontId="4" fillId="3" borderId="0" xfId="0" applyNumberFormat="1" applyFont="1" applyFill="1" applyAlignment="1">
      <alignment horizontal="center" vertical="center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Fill="1" applyAlignment="1">
      <alignment horizontal="center" textRotation="90"/>
    </xf>
    <xf numFmtId="0" fontId="4" fillId="0" borderId="0" xfId="1" applyNumberFormat="1" applyFont="1" applyAlignment="1">
      <alignment horizontal="center"/>
    </xf>
    <xf numFmtId="0" fontId="8" fillId="4" borderId="0" xfId="1" applyNumberFormat="1" applyFont="1" applyFill="1" applyAlignment="1">
      <alignment horizontal="center"/>
    </xf>
    <xf numFmtId="0" fontId="3" fillId="0" borderId="0" xfId="1" applyNumberFormat="1" applyFont="1" applyFill="1" applyAlignment="1">
      <alignment horizontal="center"/>
    </xf>
    <xf numFmtId="0" fontId="4" fillId="0" borderId="0" xfId="1" applyNumberFormat="1" applyFont="1" applyFill="1" applyAlignment="1">
      <alignment horizontal="center"/>
    </xf>
    <xf numFmtId="0" fontId="4" fillId="0" borderId="0" xfId="1" applyNumberFormat="1" applyFont="1" applyFill="1" applyAlignment="1">
      <alignment horizontal="center" textRotation="90"/>
    </xf>
    <xf numFmtId="0" fontId="4" fillId="0" borderId="0" xfId="3" applyNumberFormat="1" applyFont="1" applyFill="1" applyAlignment="1">
      <alignment horizontal="center" textRotation="90"/>
    </xf>
    <xf numFmtId="0" fontId="3" fillId="0" borderId="0" xfId="1" applyNumberFormat="1" applyFont="1" applyAlignment="1">
      <alignment horizontal="center" vertical="center"/>
    </xf>
    <xf numFmtId="0" fontId="35" fillId="0" borderId="0" xfId="0" applyNumberFormat="1" applyFont="1" applyBorder="1" applyAlignment="1">
      <alignment horizontal="center" vertical="center"/>
    </xf>
    <xf numFmtId="0" fontId="4" fillId="0" borderId="0" xfId="1" applyNumberFormat="1" applyFont="1" applyFill="1" applyAlignment="1">
      <alignment horizontal="center" vertical="center"/>
    </xf>
    <xf numFmtId="0" fontId="4" fillId="15" borderId="0" xfId="0" applyNumberFormat="1" applyFont="1" applyFill="1" applyAlignment="1">
      <alignment horizontal="center" vertical="center"/>
    </xf>
    <xf numFmtId="0" fontId="20" fillId="0" borderId="0" xfId="1" applyNumberFormat="1" applyFont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0" borderId="0" xfId="1" applyNumberFormat="1" applyFont="1" applyFill="1" applyAlignment="1">
      <alignment horizontal="center" vertical="center"/>
    </xf>
    <xf numFmtId="0" fontId="15" fillId="0" borderId="0" xfId="4" applyNumberFormat="1">
      <alignment vertical="center"/>
    </xf>
    <xf numFmtId="0" fontId="15" fillId="0" borderId="0" xfId="4" applyNumberFormat="1" applyAlignment="1"/>
    <xf numFmtId="0" fontId="15" fillId="0" borderId="0" xfId="4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5" borderId="0" xfId="0" applyNumberForma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39" fillId="0" borderId="25" xfId="0" applyNumberFormat="1" applyFont="1" applyBorder="1" applyAlignment="1">
      <alignment horizontal="center" vertical="center" wrapText="1"/>
    </xf>
    <xf numFmtId="0" fontId="40" fillId="0" borderId="25" xfId="0" applyNumberFormat="1" applyFont="1" applyBorder="1" applyAlignment="1">
      <alignment horizontal="center" vertical="center" wrapText="1"/>
    </xf>
    <xf numFmtId="0" fontId="38" fillId="0" borderId="25" xfId="0" applyNumberFormat="1" applyFont="1" applyBorder="1" applyAlignment="1">
      <alignment horizontal="center" vertical="center" wrapText="1"/>
    </xf>
    <xf numFmtId="181" fontId="35" fillId="0" borderId="0" xfId="0" applyNumberFormat="1" applyFont="1" applyBorder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0" xfId="1" applyNumberFormat="1" applyFont="1" applyAlignment="1">
      <alignment horizontal="center" vertical="center"/>
    </xf>
    <xf numFmtId="0" fontId="2" fillId="15" borderId="0" xfId="0" applyNumberFormat="1" applyFont="1" applyFill="1" applyAlignment="1">
      <alignment horizontal="center" vertical="center"/>
    </xf>
    <xf numFmtId="0" fontId="36" fillId="0" borderId="0" xfId="0" applyNumberFormat="1" applyFont="1" applyFill="1" applyAlignment="1">
      <alignment horizontal="center" textRotation="90"/>
    </xf>
    <xf numFmtId="178" fontId="4" fillId="0" borderId="0" xfId="0" applyFont="1" applyAlignment="1">
      <alignment horizontal="center"/>
    </xf>
    <xf numFmtId="1" fontId="70" fillId="0" borderId="0" xfId="535" applyNumberFormat="1" applyFont="1" applyAlignment="1">
      <alignment horizontal="center"/>
    </xf>
    <xf numFmtId="1" fontId="70" fillId="0" borderId="3" xfId="535" applyNumberFormat="1" applyFont="1" applyBorder="1" applyAlignment="1">
      <alignment horizontal="center"/>
    </xf>
    <xf numFmtId="183" fontId="70" fillId="0" borderId="25" xfId="535" applyNumberFormat="1" applyFont="1" applyBorder="1" applyAlignment="1">
      <alignment horizontal="left"/>
    </xf>
    <xf numFmtId="0" fontId="70" fillId="0" borderId="25" xfId="535" applyFont="1" applyBorder="1" applyAlignment="1"/>
    <xf numFmtId="0" fontId="71" fillId="0" borderId="25" xfId="542" applyFont="1" applyFill="1" applyBorder="1" applyAlignment="1">
      <alignment horizontal="center"/>
    </xf>
    <xf numFmtId="0" fontId="71" fillId="0" borderId="25" xfId="535" applyFont="1" applyBorder="1" applyAlignment="1">
      <alignment horizontal="center"/>
    </xf>
    <xf numFmtId="0" fontId="70" fillId="0" borderId="0" xfId="535" applyFont="1" applyAlignment="1">
      <alignment horizontal="center"/>
    </xf>
    <xf numFmtId="182" fontId="71" fillId="0" borderId="25" xfId="535" applyNumberFormat="1" applyFont="1" applyBorder="1" applyAlignment="1">
      <alignment horizontal="left"/>
    </xf>
    <xf numFmtId="0" fontId="70" fillId="0" borderId="25" xfId="535" applyFont="1" applyBorder="1" applyAlignment="1">
      <alignment horizontal="center"/>
    </xf>
    <xf numFmtId="2" fontId="70" fillId="0" borderId="25" xfId="535" applyNumberFormat="1" applyFont="1" applyBorder="1" applyAlignment="1">
      <alignment horizontal="center"/>
    </xf>
    <xf numFmtId="2" fontId="70" fillId="0" borderId="0" xfId="535" applyNumberFormat="1" applyFont="1" applyAlignment="1">
      <alignment horizontal="center"/>
    </xf>
    <xf numFmtId="2" fontId="35" fillId="0" borderId="25" xfId="535" applyNumberFormat="1" applyFont="1" applyBorder="1" applyAlignment="1">
      <alignment horizontal="center"/>
    </xf>
    <xf numFmtId="15" fontId="70" fillId="0" borderId="0" xfId="535" applyNumberFormat="1" applyFont="1" applyAlignment="1">
      <alignment horizontal="center"/>
    </xf>
    <xf numFmtId="0" fontId="71" fillId="0" borderId="25" xfId="535" applyNumberFormat="1" applyFont="1" applyBorder="1" applyAlignment="1">
      <alignment horizontal="center"/>
    </xf>
    <xf numFmtId="0" fontId="70" fillId="0" borderId="25" xfId="535" applyNumberFormat="1" applyFont="1" applyBorder="1" applyAlignment="1">
      <alignment horizontal="center"/>
    </xf>
    <xf numFmtId="0" fontId="72" fillId="0" borderId="0" xfId="0" applyNumberFormat="1" applyFont="1" applyFill="1" applyAlignment="1">
      <alignment horizontal="center" textRotation="90"/>
    </xf>
    <xf numFmtId="0" fontId="0" fillId="0" borderId="0" xfId="9" applyNumberFormat="1" applyFont="1" applyFill="1" applyAlignment="1">
      <alignment horizontal="center"/>
    </xf>
    <xf numFmtId="178" fontId="0" fillId="0" borderId="0" xfId="0" applyAlignment="1">
      <alignment horizontal="center"/>
    </xf>
    <xf numFmtId="0" fontId="73" fillId="0" borderId="0" xfId="0" applyNumberFormat="1" applyFont="1" applyAlignment="1">
      <alignment horizontal="center" vertical="center"/>
    </xf>
    <xf numFmtId="2" fontId="4" fillId="0" borderId="0" xfId="1" applyNumberFormat="1" applyFont="1" applyFill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83" fontId="4" fillId="0" borderId="0" xfId="1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73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35" fillId="0" borderId="0" xfId="0" applyNumberFormat="1" applyFont="1" applyFill="1" applyAlignment="1">
      <alignment horizontal="center" vertical="center"/>
    </xf>
    <xf numFmtId="0" fontId="73" fillId="0" borderId="0" xfId="0" applyNumberFormat="1" applyFont="1" applyAlignment="1">
      <alignment horizontal="center" vertical="center"/>
    </xf>
    <xf numFmtId="0" fontId="74" fillId="0" borderId="0" xfId="0" applyNumberFormat="1" applyFont="1" applyBorder="1" applyAlignment="1">
      <alignment horizontal="center" vertical="center"/>
    </xf>
    <xf numFmtId="0" fontId="74" fillId="0" borderId="0" xfId="0" applyNumberFormat="1" applyFont="1" applyFill="1" applyBorder="1" applyAlignment="1">
      <alignment horizontal="center" vertical="center"/>
    </xf>
    <xf numFmtId="181" fontId="74" fillId="0" borderId="0" xfId="0" applyNumberFormat="1" applyFont="1" applyBorder="1" applyAlignment="1">
      <alignment horizontal="center" vertical="center"/>
    </xf>
    <xf numFmtId="181" fontId="74" fillId="0" borderId="0" xfId="0" applyNumberFormat="1" applyFont="1" applyAlignment="1">
      <alignment horizontal="center" vertical="center"/>
    </xf>
    <xf numFmtId="0" fontId="74" fillId="0" borderId="0" xfId="0" applyNumberFormat="1" applyFont="1" applyAlignment="1">
      <alignment horizontal="center" vertical="center"/>
    </xf>
    <xf numFmtId="0" fontId="71" fillId="0" borderId="0" xfId="1" applyNumberFormat="1" applyFont="1" applyAlignment="1">
      <alignment horizontal="center" vertical="center"/>
    </xf>
    <xf numFmtId="0" fontId="75" fillId="0" borderId="0" xfId="0" applyNumberFormat="1" applyFont="1" applyAlignment="1">
      <alignment horizontal="center"/>
    </xf>
    <xf numFmtId="0" fontId="76" fillId="0" borderId="0" xfId="3" applyNumberFormat="1" applyFont="1" applyFill="1" applyAlignment="1">
      <alignment horizontal="center" vertical="top" textRotation="255"/>
    </xf>
    <xf numFmtId="0" fontId="71" fillId="0" borderId="0" xfId="3" applyNumberFormat="1" applyFont="1" applyFill="1" applyAlignment="1">
      <alignment horizontal="center" textRotation="90"/>
    </xf>
    <xf numFmtId="0" fontId="77" fillId="0" borderId="0" xfId="0" applyNumberFormat="1" applyFont="1" applyFill="1" applyAlignment="1">
      <alignment horizontal="center" textRotation="90"/>
    </xf>
    <xf numFmtId="1" fontId="70" fillId="0" borderId="0" xfId="535" applyNumberFormat="1" applyFont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/>
    </xf>
    <xf numFmtId="0" fontId="35" fillId="0" borderId="0" xfId="9" applyNumberFormat="1" applyFont="1" applyFill="1" applyAlignment="1">
      <alignment horizontal="center"/>
    </xf>
    <xf numFmtId="178" fontId="35" fillId="0" borderId="0" xfId="0" applyFont="1" applyFill="1" applyAlignment="1">
      <alignment horizontal="center"/>
    </xf>
    <xf numFmtId="178" fontId="35" fillId="0" borderId="0" xfId="0" applyFont="1" applyAlignment="1">
      <alignment horizontal="center"/>
    </xf>
    <xf numFmtId="0" fontId="70" fillId="0" borderId="0" xfId="1" applyNumberFormat="1" applyFont="1" applyAlignment="1">
      <alignment horizontal="center" vertical="center"/>
    </xf>
    <xf numFmtId="0" fontId="78" fillId="15" borderId="0" xfId="0" applyNumberFormat="1" applyFont="1" applyFill="1" applyAlignment="1">
      <alignment horizontal="center" vertical="center"/>
    </xf>
    <xf numFmtId="0" fontId="35" fillId="0" borderId="0" xfId="0" applyNumberFormat="1" applyFont="1" applyFill="1" applyAlignment="1">
      <alignment horizontal="center"/>
    </xf>
    <xf numFmtId="0" fontId="35" fillId="0" borderId="0" xfId="0" applyNumberFormat="1" applyFont="1" applyAlignment="1">
      <alignment horizontal="center"/>
    </xf>
    <xf numFmtId="0" fontId="0" fillId="15" borderId="0" xfId="0" applyNumberFormat="1" applyFont="1" applyFill="1" applyAlignment="1">
      <alignment horizontal="center" vertical="center"/>
    </xf>
    <xf numFmtId="0" fontId="0" fillId="0" borderId="26" xfId="0" applyNumberFormat="1" applyBorder="1" applyAlignment="1">
      <alignment horizontal="center" vertical="center"/>
    </xf>
    <xf numFmtId="0" fontId="70" fillId="0" borderId="0" xfId="0" applyNumberFormat="1" applyFont="1" applyAlignment="1">
      <alignment horizontal="center"/>
    </xf>
    <xf numFmtId="0" fontId="70" fillId="48" borderId="0" xfId="0" applyNumberFormat="1" applyFont="1" applyFill="1" applyAlignment="1">
      <alignment horizontal="center" vertical="center"/>
    </xf>
    <xf numFmtId="1" fontId="70" fillId="0" borderId="0" xfId="535" applyNumberFormat="1" applyFont="1" applyAlignment="1">
      <alignment horizontal="center"/>
    </xf>
    <xf numFmtId="1" fontId="70" fillId="0" borderId="3" xfId="535" applyNumberFormat="1" applyFont="1" applyBorder="1" applyAlignment="1">
      <alignment horizontal="center"/>
    </xf>
    <xf numFmtId="0" fontId="35" fillId="5" borderId="0" xfId="9" applyNumberFormat="1" applyFont="1" applyFill="1" applyAlignment="1">
      <alignment horizontal="center"/>
    </xf>
    <xf numFmtId="0" fontId="99" fillId="15" borderId="0" xfId="0" applyNumberFormat="1" applyFont="1" applyFill="1" applyAlignment="1">
      <alignment horizontal="center" vertical="center"/>
    </xf>
    <xf numFmtId="0" fontId="100" fillId="0" borderId="0" xfId="9" applyNumberFormat="1" applyFont="1" applyFill="1" applyAlignment="1">
      <alignment horizontal="center"/>
    </xf>
    <xf numFmtId="0" fontId="100" fillId="5" borderId="0" xfId="9" applyNumberFormat="1" applyFont="1" applyFill="1" applyAlignment="1">
      <alignment horizontal="center"/>
    </xf>
    <xf numFmtId="0" fontId="2" fillId="49" borderId="0" xfId="0" applyNumberFormat="1" applyFont="1" applyFill="1" applyAlignment="1">
      <alignment horizontal="center" vertical="center"/>
    </xf>
    <xf numFmtId="0" fontId="35" fillId="49" borderId="0" xfId="9" applyNumberFormat="1" applyFont="1" applyFill="1" applyAlignment="1">
      <alignment horizontal="center"/>
    </xf>
    <xf numFmtId="0" fontId="35" fillId="50" borderId="0" xfId="9" applyNumberFormat="1" applyFont="1" applyFill="1" applyAlignment="1">
      <alignment horizontal="center"/>
    </xf>
    <xf numFmtId="0" fontId="99" fillId="49" borderId="0" xfId="0" applyNumberFormat="1" applyFont="1" applyFill="1" applyAlignment="1">
      <alignment horizontal="center" vertical="center"/>
    </xf>
    <xf numFmtId="181" fontId="35" fillId="0" borderId="0" xfId="0" applyNumberFormat="1" applyFont="1" applyAlignment="1">
      <alignment horizontal="center" vertical="center"/>
    </xf>
    <xf numFmtId="0" fontId="78" fillId="49" borderId="0" xfId="0" applyNumberFormat="1" applyFont="1" applyFill="1" applyAlignment="1">
      <alignment horizontal="center" vertical="center"/>
    </xf>
    <xf numFmtId="0" fontId="0" fillId="49" borderId="0" xfId="0" applyNumberFormat="1" applyFont="1" applyFill="1" applyAlignment="1">
      <alignment horizontal="center" vertical="center"/>
    </xf>
    <xf numFmtId="0" fontId="0" fillId="50" borderId="0" xfId="0" applyNumberFormat="1" applyFill="1" applyAlignment="1">
      <alignment horizontal="center" vertical="center"/>
    </xf>
    <xf numFmtId="0" fontId="100" fillId="0" borderId="0" xfId="0" applyNumberFormat="1" applyFont="1" applyFill="1" applyAlignment="1">
      <alignment horizontal="center"/>
    </xf>
    <xf numFmtId="0" fontId="100" fillId="50" borderId="0" xfId="9" applyNumberFormat="1" applyFont="1" applyFill="1" applyAlignment="1">
      <alignment horizontal="center"/>
    </xf>
    <xf numFmtId="178" fontId="0" fillId="50" borderId="0" xfId="0" applyFill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Fill="1" applyAlignment="1">
      <alignment horizontal="center" vertical="center"/>
    </xf>
    <xf numFmtId="181" fontId="74" fillId="51" borderId="0" xfId="0" applyNumberFormat="1" applyFont="1" applyFill="1" applyAlignment="1">
      <alignment horizontal="center" vertical="center"/>
    </xf>
    <xf numFmtId="181" fontId="74" fillId="52" borderId="0" xfId="0" applyNumberFormat="1" applyFont="1" applyFill="1" applyAlignment="1">
      <alignment horizontal="center" vertical="center"/>
    </xf>
    <xf numFmtId="0" fontId="73" fillId="0" borderId="0" xfId="0" applyNumberFormat="1" applyFont="1" applyAlignment="1">
      <alignment horizontal="center" vertical="center"/>
    </xf>
    <xf numFmtId="0" fontId="29" fillId="0" borderId="3" xfId="0" applyNumberFormat="1" applyFont="1" applyBorder="1" applyAlignment="1">
      <alignment horizontal="center"/>
    </xf>
    <xf numFmtId="0" fontId="29" fillId="0" borderId="26" xfId="0" applyNumberFormat="1" applyFont="1" applyBorder="1" applyAlignment="1">
      <alignment horizontal="center"/>
    </xf>
    <xf numFmtId="0" fontId="0" fillId="0" borderId="6" xfId="0" applyNumberFormat="1" applyBorder="1" applyAlignment="1">
      <alignment horizontal="center" vertical="center" textRotation="90"/>
    </xf>
    <xf numFmtId="0" fontId="0" fillId="0" borderId="5" xfId="0" applyNumberFormat="1" applyBorder="1" applyAlignment="1">
      <alignment horizontal="center" vertical="center" textRotation="90"/>
    </xf>
    <xf numFmtId="0" fontId="0" fillId="0" borderId="4" xfId="0" applyNumberFormat="1" applyBorder="1" applyAlignment="1">
      <alignment vertical="justify" textRotation="90" wrapText="1"/>
    </xf>
    <xf numFmtId="0" fontId="0" fillId="0" borderId="67" xfId="0" applyNumberFormat="1" applyBorder="1" applyAlignment="1"/>
    <xf numFmtId="0" fontId="3" fillId="19" borderId="4" xfId="0" applyNumberFormat="1" applyFont="1" applyFill="1" applyBorder="1" applyAlignment="1">
      <alignment horizontal="center" vertical="center" textRotation="90"/>
    </xf>
    <xf numFmtId="0" fontId="3" fillId="19" borderId="6" xfId="0" applyNumberFormat="1" applyFont="1" applyFill="1" applyBorder="1" applyAlignment="1">
      <alignment horizontal="center" vertical="center" textRotation="90"/>
    </xf>
    <xf numFmtId="0" fontId="3" fillId="19" borderId="5" xfId="0" applyNumberFormat="1" applyFont="1" applyFill="1" applyBorder="1" applyAlignment="1">
      <alignment horizontal="center" vertical="center" textRotation="90"/>
    </xf>
    <xf numFmtId="0" fontId="3" fillId="0" borderId="4" xfId="0" applyNumberFormat="1" applyFont="1" applyBorder="1" applyAlignment="1">
      <alignment horizontal="center" vertical="center" textRotation="90"/>
    </xf>
    <xf numFmtId="0" fontId="3" fillId="0" borderId="6" xfId="0" applyNumberFormat="1" applyFont="1" applyBorder="1" applyAlignment="1">
      <alignment horizontal="center" vertical="center" textRotation="90"/>
    </xf>
    <xf numFmtId="0" fontId="3" fillId="0" borderId="5" xfId="0" applyNumberFormat="1" applyFont="1" applyBorder="1" applyAlignment="1">
      <alignment horizontal="center" vertical="center" textRotation="90"/>
    </xf>
    <xf numFmtId="0" fontId="0" fillId="0" borderId="18" xfId="0" applyNumberFormat="1" applyBorder="1" applyAlignment="1">
      <alignment vertical="justify" textRotation="90" wrapText="1"/>
    </xf>
    <xf numFmtId="0" fontId="0" fillId="0" borderId="59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0" fontId="0" fillId="0" borderId="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/>
    </xf>
    <xf numFmtId="0" fontId="29" fillId="0" borderId="3" xfId="0" applyNumberFormat="1" applyFont="1" applyBorder="1" applyAlignment="1">
      <alignment horizontal="center" vertical="center"/>
    </xf>
    <xf numFmtId="0" fontId="29" fillId="0" borderId="26" xfId="0" applyNumberFormat="1" applyFont="1" applyBorder="1" applyAlignment="1">
      <alignment horizontal="center" vertical="center"/>
    </xf>
    <xf numFmtId="0" fontId="30" fillId="17" borderId="7" xfId="0" applyNumberFormat="1" applyFont="1" applyFill="1" applyBorder="1" applyAlignment="1">
      <alignment horizontal="center" vertical="center"/>
    </xf>
    <xf numFmtId="0" fontId="30" fillId="17" borderId="54" xfId="0" applyNumberFormat="1" applyFont="1" applyFill="1" applyBorder="1" applyAlignment="1">
      <alignment horizontal="center" vertical="center"/>
    </xf>
    <xf numFmtId="0" fontId="30" fillId="17" borderId="53" xfId="0" applyNumberFormat="1" applyFont="1" applyFill="1" applyBorder="1" applyAlignment="1">
      <alignment horizontal="center" vertical="center"/>
    </xf>
    <xf numFmtId="0" fontId="0" fillId="23" borderId="7" xfId="0" applyNumberFormat="1" applyFill="1" applyBorder="1" applyAlignment="1">
      <alignment horizontal="center" vertical="center"/>
    </xf>
    <xf numFmtId="0" fontId="0" fillId="23" borderId="54" xfId="0" applyNumberFormat="1" applyFill="1" applyBorder="1" applyAlignment="1">
      <alignment horizontal="center" vertical="center"/>
    </xf>
    <xf numFmtId="0" fontId="0" fillId="23" borderId="53" xfId="0" applyNumberFormat="1" applyFill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0" fillId="0" borderId="53" xfId="0" applyNumberFormat="1" applyBorder="1" applyAlignment="1">
      <alignment horizontal="center" vertical="center"/>
    </xf>
  </cellXfs>
  <cellStyles count="755">
    <cellStyle name="20% - Accent1 2" xfId="547"/>
    <cellStyle name="20% - Accent2 2" xfId="548"/>
    <cellStyle name="20% - Accent3 2" xfId="549"/>
    <cellStyle name="20% - Accent4 2" xfId="550"/>
    <cellStyle name="20% - Accent5 2" xfId="551"/>
    <cellStyle name="20% - Accent6 2" xfId="552"/>
    <cellStyle name="20% - 輔色1 2" xfId="22"/>
    <cellStyle name="20% - 輔色2 2" xfId="23"/>
    <cellStyle name="20% - 輔色3 2" xfId="24"/>
    <cellStyle name="20% - 輔色4 2" xfId="25"/>
    <cellStyle name="20% - 輔色5 2" xfId="26"/>
    <cellStyle name="20% - 輔色6 2" xfId="27"/>
    <cellStyle name="40% - Accent1 2" xfId="553"/>
    <cellStyle name="40% - Accent2 2" xfId="554"/>
    <cellStyle name="40% - Accent3 2" xfId="555"/>
    <cellStyle name="40% - Accent4 2" xfId="556"/>
    <cellStyle name="40% - Accent5 2" xfId="557"/>
    <cellStyle name="40% - Accent6 2" xfId="558"/>
    <cellStyle name="40% - 輔色1 2" xfId="28"/>
    <cellStyle name="40% - 輔色2 2" xfId="29"/>
    <cellStyle name="40% - 輔色3 2" xfId="30"/>
    <cellStyle name="40% - 輔色4 2" xfId="31"/>
    <cellStyle name="40% - 輔色5 2" xfId="32"/>
    <cellStyle name="40% - 輔色6 2" xfId="33"/>
    <cellStyle name="60% - Accent1 2" xfId="559"/>
    <cellStyle name="60% - Accent2 2" xfId="560"/>
    <cellStyle name="60% - Accent3 2" xfId="561"/>
    <cellStyle name="60% - Accent4 2" xfId="562"/>
    <cellStyle name="60% - Accent5 2" xfId="563"/>
    <cellStyle name="60% - Accent6 2" xfId="564"/>
    <cellStyle name="60% - 輔色1 2" xfId="34"/>
    <cellStyle name="60% - 輔色2 2" xfId="35"/>
    <cellStyle name="60% - 輔色3 2" xfId="36"/>
    <cellStyle name="60% - 輔色4 2" xfId="37"/>
    <cellStyle name="60% - 輔色5 2" xfId="38"/>
    <cellStyle name="60% - 輔色6 2" xfId="39"/>
    <cellStyle name="Accent1 2" xfId="565"/>
    <cellStyle name="Accent2 2" xfId="566"/>
    <cellStyle name="Accent3 2" xfId="567"/>
    <cellStyle name="Accent4 2" xfId="568"/>
    <cellStyle name="Accent5 2" xfId="569"/>
    <cellStyle name="Accent6 2" xfId="570"/>
    <cellStyle name="Bad 2" xfId="14"/>
    <cellStyle name="Bad 3" xfId="571"/>
    <cellStyle name="Calculation 2" xfId="572"/>
    <cellStyle name="Check Cell 2" xfId="12"/>
    <cellStyle name="Check Cell 3" xfId="573"/>
    <cellStyle name="Comma" xfId="16" builtinId="3"/>
    <cellStyle name="Comma 2" xfId="20"/>
    <cellStyle name="Comma 2 2" xfId="40"/>
    <cellStyle name="Comma 2 2 2" xfId="41"/>
    <cellStyle name="Comma 2 2 2 2" xfId="42"/>
    <cellStyle name="Comma 2 2 2 3" xfId="43"/>
    <cellStyle name="Comma 2 2 3" xfId="44"/>
    <cellStyle name="Comma 2 3" xfId="45"/>
    <cellStyle name="Comma 2 3 2" xfId="46"/>
    <cellStyle name="Comma 2 4" xfId="47"/>
    <cellStyle name="Comma 3" xfId="48"/>
    <cellStyle name="Comma 3 2" xfId="49"/>
    <cellStyle name="Comma 3 2 2" xfId="50"/>
    <cellStyle name="Comma 3 2 2 2" xfId="51"/>
    <cellStyle name="Comma 3 2 2 3" xfId="52"/>
    <cellStyle name="Comma 3 2 2 4" xfId="53"/>
    <cellStyle name="Comma 3 2 3" xfId="695"/>
    <cellStyle name="Comma 3 3" xfId="540"/>
    <cellStyle name="Comma 4" xfId="54"/>
    <cellStyle name="Comma 4 2" xfId="55"/>
    <cellStyle name="Comma 4 2 2" xfId="56"/>
    <cellStyle name="Comma 4 2 3" xfId="57"/>
    <cellStyle name="Comma 4 2 4" xfId="58"/>
    <cellStyle name="Comma 4 2 5" xfId="686"/>
    <cellStyle name="Comma 4 3" xfId="613"/>
    <cellStyle name="Comma 5" xfId="574"/>
    <cellStyle name="Comma 7" xfId="59"/>
    <cellStyle name="Currency 2" xfId="60"/>
    <cellStyle name="Currency 3" xfId="61"/>
    <cellStyle name="Explanatory Text 2" xfId="575"/>
    <cellStyle name="Good 2" xfId="13"/>
    <cellStyle name="Good 3" xfId="576"/>
    <cellStyle name="Heading 1 2" xfId="577"/>
    <cellStyle name="Heading 2 2" xfId="578"/>
    <cellStyle name="Heading 3 2" xfId="579"/>
    <cellStyle name="Heading 4 2" xfId="580"/>
    <cellStyle name="Hyperlink" xfId="2" builtinId="8"/>
    <cellStyle name="Hyperlink 2" xfId="537"/>
    <cellStyle name="Hyperlink 2 2" xfId="62"/>
    <cellStyle name="Hyperlink 2 2 2" xfId="63"/>
    <cellStyle name="Hyperlink 2 2 2 2" xfId="64"/>
    <cellStyle name="Hyperlink 2 2 2 3" xfId="65"/>
    <cellStyle name="Hyperlink 2 2 3" xfId="66"/>
    <cellStyle name="Hyperlink 2 3" xfId="67"/>
    <cellStyle name="Hyperlink 2 4" xfId="68"/>
    <cellStyle name="Hyperlink 3" xfId="69"/>
    <cellStyle name="Hyperlink 3 2" xfId="70"/>
    <cellStyle name="Hyperlink 3 3" xfId="538"/>
    <cellStyle name="Hyperlink 4" xfId="539"/>
    <cellStyle name="Hyperlink 5" xfId="524"/>
    <cellStyle name="Hyperlink 6" xfId="505"/>
    <cellStyle name="Hyperlink 7" xfId="660"/>
    <cellStyle name="Input 2" xfId="581"/>
    <cellStyle name="Linked Cell 2" xfId="582"/>
    <cellStyle name="Neutral 2" xfId="583"/>
    <cellStyle name="Normal" xfId="0" builtinId="0"/>
    <cellStyle name="Normal 10" xfId="71"/>
    <cellStyle name="Normal 10 2" xfId="72"/>
    <cellStyle name="Normal 10 2 2" xfId="73"/>
    <cellStyle name="Normal 10 2 2 2" xfId="728"/>
    <cellStyle name="Normal 10 2 2 3" xfId="689"/>
    <cellStyle name="Normal 10 2 2 4" xfId="620"/>
    <cellStyle name="Normal 10 2 3" xfId="658"/>
    <cellStyle name="Normal 10 2 4" xfId="615"/>
    <cellStyle name="Normal 10 3" xfId="525"/>
    <cellStyle name="Normal 10 3 2" xfId="646"/>
    <cellStyle name="Normal 10 4" xfId="545"/>
    <cellStyle name="Normal 100" xfId="74"/>
    <cellStyle name="Normal 100 2" xfId="75"/>
    <cellStyle name="Normal 101" xfId="76"/>
    <cellStyle name="Normal 101 2" xfId="77"/>
    <cellStyle name="Normal 102" xfId="78"/>
    <cellStyle name="Normal 102 2" xfId="79"/>
    <cellStyle name="Normal 103" xfId="80"/>
    <cellStyle name="Normal 103 2" xfId="81"/>
    <cellStyle name="Normal 104" xfId="82"/>
    <cellStyle name="Normal 104 2" xfId="83"/>
    <cellStyle name="Normal 105" xfId="84"/>
    <cellStyle name="Normal 105 2" xfId="85"/>
    <cellStyle name="Normal 106" xfId="86"/>
    <cellStyle name="Normal 106 2" xfId="87"/>
    <cellStyle name="Normal 107" xfId="88"/>
    <cellStyle name="Normal 107 2" xfId="89"/>
    <cellStyle name="Normal 108" xfId="90"/>
    <cellStyle name="Normal 108 2" xfId="91"/>
    <cellStyle name="Normal 109" xfId="92"/>
    <cellStyle name="Normal 109 2" xfId="93"/>
    <cellStyle name="Normal 11" xfId="94"/>
    <cellStyle name="Normal 11 2" xfId="95"/>
    <cellStyle name="Normal 11 2 2" xfId="96"/>
    <cellStyle name="Normal 11 2 3" xfId="680"/>
    <cellStyle name="Normal 11 3" xfId="97"/>
    <cellStyle name="Normal 11 3 2" xfId="98"/>
    <cellStyle name="Normal 11 4" xfId="99"/>
    <cellStyle name="Normal 11 4 2" xfId="100"/>
    <cellStyle name="Normal 11 5" xfId="101"/>
    <cellStyle name="Normal 11 5 2" xfId="102"/>
    <cellStyle name="Normal 11 6" xfId="103"/>
    <cellStyle name="Normal 11 7" xfId="602"/>
    <cellStyle name="Normal 110" xfId="104"/>
    <cellStyle name="Normal 110 2" xfId="105"/>
    <cellStyle name="Normal 111" xfId="106"/>
    <cellStyle name="Normal 111 2" xfId="107"/>
    <cellStyle name="Normal 112" xfId="108"/>
    <cellStyle name="Normal 112 2" xfId="109"/>
    <cellStyle name="Normal 113" xfId="110"/>
    <cellStyle name="Normal 113 2" xfId="111"/>
    <cellStyle name="Normal 114" xfId="503"/>
    <cellStyle name="Normal 115" xfId="504"/>
    <cellStyle name="Normal 115 2" xfId="112"/>
    <cellStyle name="Normal 115 3" xfId="113"/>
    <cellStyle name="Normal 115 4" xfId="114"/>
    <cellStyle name="Normal 116" xfId="515"/>
    <cellStyle name="Normal 117" xfId="543"/>
    <cellStyle name="Normal 118" xfId="544"/>
    <cellStyle name="Normal 12" xfId="115"/>
    <cellStyle name="Normal 12 2" xfId="116"/>
    <cellStyle name="Normal 12 2 2" xfId="681"/>
    <cellStyle name="Normal 12 3" xfId="117"/>
    <cellStyle name="Normal 12 4" xfId="118"/>
    <cellStyle name="Normal 12 5" xfId="119"/>
    <cellStyle name="Normal 12 5 2" xfId="120"/>
    <cellStyle name="Normal 12 6" xfId="603"/>
    <cellStyle name="Normal 13" xfId="121"/>
    <cellStyle name="Normal 13 2" xfId="122"/>
    <cellStyle name="Normal 13 2 2" xfId="123"/>
    <cellStyle name="Normal 13 3" xfId="546"/>
    <cellStyle name="Normal 14" xfId="124"/>
    <cellStyle name="Normal 14 2" xfId="125"/>
    <cellStyle name="Normal 14 2 2" xfId="126"/>
    <cellStyle name="Normal 14 2 3" xfId="730"/>
    <cellStyle name="Normal 14 3" xfId="661"/>
    <cellStyle name="Normal 14 4" xfId="626"/>
    <cellStyle name="Normal 15" xfId="127"/>
    <cellStyle name="Normal 15 2" xfId="128"/>
    <cellStyle name="Normal 15 2 2" xfId="129"/>
    <cellStyle name="Normal 15 2 3" xfId="727"/>
    <cellStyle name="Normal 15 3" xfId="721"/>
    <cellStyle name="Normal 15 4" xfId="619"/>
    <cellStyle name="Normal 16" xfId="130"/>
    <cellStyle name="Normal 16 2" xfId="131"/>
    <cellStyle name="Normal 16 2 2" xfId="132"/>
    <cellStyle name="Normal 16 2 3" xfId="750"/>
    <cellStyle name="Normal 16 3" xfId="133"/>
    <cellStyle name="Normal 16 4" xfId="745"/>
    <cellStyle name="Normal 17" xfId="134"/>
    <cellStyle name="Normal 17 2" xfId="135"/>
    <cellStyle name="Normal 17 2 2" xfId="136"/>
    <cellStyle name="Normal 17 3" xfId="137"/>
    <cellStyle name="Normal 18" xfId="138"/>
    <cellStyle name="Normal 18 2" xfId="139"/>
    <cellStyle name="Normal 18 2 2" xfId="140"/>
    <cellStyle name="Normal 18 3" xfId="141"/>
    <cellStyle name="Normal 19" xfId="142"/>
    <cellStyle name="Normal 19 2" xfId="143"/>
    <cellStyle name="Normal 19 2 2" xfId="144"/>
    <cellStyle name="Normal 2" xfId="4"/>
    <cellStyle name="Normal 2 10" xfId="145"/>
    <cellStyle name="Normal 2 10 2" xfId="751"/>
    <cellStyle name="Normal 2 10 3" xfId="746"/>
    <cellStyle name="Normal 2 11" xfId="146"/>
    <cellStyle name="Normal 2 12" xfId="147"/>
    <cellStyle name="Normal 2 13" xfId="148"/>
    <cellStyle name="Normal 2 14" xfId="149"/>
    <cellStyle name="Normal 2 15" xfId="150"/>
    <cellStyle name="Normal 2 16" xfId="151"/>
    <cellStyle name="Normal 2 16 2" xfId="152"/>
    <cellStyle name="Normal 2 17" xfId="153"/>
    <cellStyle name="Normal 2 17 2" xfId="154"/>
    <cellStyle name="Normal 2 18" xfId="506"/>
    <cellStyle name="Normal 2 2" xfId="5"/>
    <cellStyle name="Normal 2 2 2" xfId="155"/>
    <cellStyle name="Normal 2 2 2 2" xfId="156"/>
    <cellStyle name="Normal 2 2 2 2 2" xfId="157"/>
    <cellStyle name="Normal 2 2 2 2 2 2" xfId="736"/>
    <cellStyle name="Normal 2 2 2 2 2 3" xfId="675"/>
    <cellStyle name="Normal 2 2 2 2 2 4" xfId="637"/>
    <cellStyle name="Normal 2 2 2 2 3" xfId="649"/>
    <cellStyle name="Normal 2 2 2 2 4" xfId="595"/>
    <cellStyle name="Normal 2 2 2 3" xfId="158"/>
    <cellStyle name="Normal 2 2 2 3 2" xfId="159"/>
    <cellStyle name="Normal 2 2 2 3 2 2" xfId="690"/>
    <cellStyle name="Normal 2 2 2 3 3" xfId="616"/>
    <cellStyle name="Normal 2 2 2 4" xfId="160"/>
    <cellStyle name="Normal 2 2 2 4 2" xfId="668"/>
    <cellStyle name="Normal 2 2 2 5" xfId="527"/>
    <cellStyle name="Normal 2 2 3" xfId="161"/>
    <cellStyle name="Normal 2 2 3 2" xfId="162"/>
    <cellStyle name="Normal 2 2 3 2 2" xfId="671"/>
    <cellStyle name="Normal 2 2 3 3" xfId="591"/>
    <cellStyle name="Normal 2 2 4" xfId="163"/>
    <cellStyle name="Normal 2 2 4 2" xfId="164"/>
    <cellStyle name="Normal 2 2 4 2 2" xfId="743"/>
    <cellStyle name="Normal 2 2 4 2 3" xfId="682"/>
    <cellStyle name="Normal 2 2 4 2 4" xfId="645"/>
    <cellStyle name="Normal 2 2 4 3" xfId="651"/>
    <cellStyle name="Normal 2 2 4 4" xfId="605"/>
    <cellStyle name="Normal 2 2 5" xfId="507"/>
    <cellStyle name="Normal 2 2 5 2" xfId="729"/>
    <cellStyle name="Normal 2 2 5 3" xfId="663"/>
    <cellStyle name="Normal 2 2 5 4" xfId="625"/>
    <cellStyle name="Normal 2 3" xfId="9"/>
    <cellStyle name="Normal 2 3 2" xfId="165"/>
    <cellStyle name="Normal 2 3 2 2" xfId="531"/>
    <cellStyle name="Normal 2 3 3" xfId="166"/>
    <cellStyle name="Normal 2 3 3 2" xfId="517"/>
    <cellStyle name="Normal 2 3 4" xfId="167"/>
    <cellStyle name="Normal 2 3 4 2" xfId="623"/>
    <cellStyle name="Normal 2 3 4 3" xfId="654"/>
    <cellStyle name="Normal 2 3 4 4" xfId="609"/>
    <cellStyle name="Normal 2 3 5" xfId="168"/>
    <cellStyle name="Normal 2 3 5 2" xfId="169"/>
    <cellStyle name="Normal 2 3 5 3" xfId="628"/>
    <cellStyle name="Normal 2 3 6" xfId="511"/>
    <cellStyle name="Normal 2 4" xfId="170"/>
    <cellStyle name="Normal 2 4 2" xfId="171"/>
    <cellStyle name="Normal 2 4 2 2" xfId="172"/>
    <cellStyle name="Normal 2 4 2 2 2" xfId="694"/>
    <cellStyle name="Normal 2 4 2 2 3" xfId="618"/>
    <cellStyle name="Normal 2 4 2 3" xfId="536"/>
    <cellStyle name="Normal 2 4 3" xfId="522"/>
    <cellStyle name="Normal 2 4 3 2" xfId="639"/>
    <cellStyle name="Normal 2 4 3 2 2" xfId="738"/>
    <cellStyle name="Normal 2 4 3 2 3" xfId="688"/>
    <cellStyle name="Normal 2 4 3 3" xfId="657"/>
    <cellStyle name="Normal 2 4 4" xfId="664"/>
    <cellStyle name="Normal 2 5" xfId="173"/>
    <cellStyle name="Normal 2 5 2" xfId="526"/>
    <cellStyle name="Normal 2 6" xfId="174"/>
    <cellStyle name="Normal 2 6 2" xfId="516"/>
    <cellStyle name="Normal 2 6 3" xfId="648"/>
    <cellStyle name="Normal 2 6 4" xfId="590"/>
    <cellStyle name="Normal 2 7" xfId="175"/>
    <cellStyle name="Normal 2 7 2" xfId="604"/>
    <cellStyle name="Normal 2 8" xfId="176"/>
    <cellStyle name="Normal 2 8 2" xfId="731"/>
    <cellStyle name="Normal 2 8 3" xfId="662"/>
    <cellStyle name="Normal 2 8 4" xfId="629"/>
    <cellStyle name="Normal 2 9" xfId="177"/>
    <cellStyle name="Normal 2 9 2" xfId="178"/>
    <cellStyle name="Normal 2 9 3" xfId="719"/>
    <cellStyle name="Normal 20" xfId="179"/>
    <cellStyle name="Normal 20 2" xfId="180"/>
    <cellStyle name="Normal 20 2 2" xfId="181"/>
    <cellStyle name="Normal 20 3" xfId="182"/>
    <cellStyle name="Normal 21" xfId="183"/>
    <cellStyle name="Normal 21 2" xfId="184"/>
    <cellStyle name="Normal 21 2 2" xfId="185"/>
    <cellStyle name="Normal 22" xfId="186"/>
    <cellStyle name="Normal 22 2" xfId="187"/>
    <cellStyle name="Normal 22 2 2" xfId="188"/>
    <cellStyle name="Normal 22 3" xfId="189"/>
    <cellStyle name="Normal 23" xfId="190"/>
    <cellStyle name="Normal 23 2" xfId="191"/>
    <cellStyle name="Normal 23 2 2" xfId="192"/>
    <cellStyle name="Normal 23 3" xfId="193"/>
    <cellStyle name="Normal 24" xfId="194"/>
    <cellStyle name="Normal 24 2" xfId="195"/>
    <cellStyle name="Normal 24 2 2" xfId="196"/>
    <cellStyle name="Normal 24 3" xfId="197"/>
    <cellStyle name="Normal 25" xfId="198"/>
    <cellStyle name="Normal 25 2" xfId="199"/>
    <cellStyle name="Normal 25 2 2" xfId="200"/>
    <cellStyle name="Normal 25 3" xfId="201"/>
    <cellStyle name="Normal 25 3 2" xfId="202"/>
    <cellStyle name="Normal 25 4" xfId="203"/>
    <cellStyle name="Normal 25 4 2" xfId="204"/>
    <cellStyle name="Normal 25 5" xfId="205"/>
    <cellStyle name="Normal 26" xfId="206"/>
    <cellStyle name="Normal 26 2" xfId="207"/>
    <cellStyle name="Normal 26 2 2" xfId="208"/>
    <cellStyle name="Normal 27" xfId="209"/>
    <cellStyle name="Normal 27 2" xfId="210"/>
    <cellStyle name="Normal 27 2 2" xfId="211"/>
    <cellStyle name="Normal 27 3" xfId="212"/>
    <cellStyle name="Normal 28" xfId="213"/>
    <cellStyle name="Normal 28 2" xfId="214"/>
    <cellStyle name="Normal 28 2 2" xfId="215"/>
    <cellStyle name="Normal 28 3" xfId="216"/>
    <cellStyle name="Normal 29" xfId="217"/>
    <cellStyle name="Normal 29 2" xfId="218"/>
    <cellStyle name="Normal 29 2 2" xfId="219"/>
    <cellStyle name="Normal 3" xfId="6"/>
    <cellStyle name="Normal 3 2" xfId="220"/>
    <cellStyle name="Normal 3 2 2" xfId="221"/>
    <cellStyle name="Normal 3 2 2 2" xfId="676"/>
    <cellStyle name="Normal 3 2 2 3" xfId="596"/>
    <cellStyle name="Normal 3 2 3" xfId="528"/>
    <cellStyle name="Normal 3 2 3 2" xfId="643"/>
    <cellStyle name="Normal 3 2 3 2 2" xfId="741"/>
    <cellStyle name="Normal 3 2 3 2 3" xfId="691"/>
    <cellStyle name="Normal 3 2 3 3" xfId="659"/>
    <cellStyle name="Normal 3 2 4" xfId="633"/>
    <cellStyle name="Normal 3 2 4 2" xfId="733"/>
    <cellStyle name="Normal 3 2 4 3" xfId="669"/>
    <cellStyle name="Normal 3 2 5" xfId="702"/>
    <cellStyle name="Normal 3 2 6" xfId="748"/>
    <cellStyle name="Normal 3 2 6 2" xfId="753"/>
    <cellStyle name="Normal 3 3" xfId="222"/>
    <cellStyle name="Normal 3 3 2" xfId="223"/>
    <cellStyle name="Normal 3 3 2 2" xfId="672"/>
    <cellStyle name="Normal 3 3 3" xfId="592"/>
    <cellStyle name="Normal 3 4" xfId="224"/>
    <cellStyle name="Normal 3 4 2" xfId="225"/>
    <cellStyle name="Normal 3 4 2 2" xfId="683"/>
    <cellStyle name="Normal 3 4 3" xfId="606"/>
    <cellStyle name="Normal 3 5" xfId="508"/>
    <cellStyle name="Normal 3 5 2" xfId="740"/>
    <cellStyle name="Normal 3 5 3" xfId="665"/>
    <cellStyle name="Normal 3 5 4" xfId="641"/>
    <cellStyle name="Normal 3 6" xfId="710"/>
    <cellStyle name="Normal 3 7" xfId="747"/>
    <cellStyle name="Normal 3 7 2" xfId="752"/>
    <cellStyle name="Normal 30" xfId="226"/>
    <cellStyle name="Normal 30 2" xfId="227"/>
    <cellStyle name="Normal 30 2 2" xfId="228"/>
    <cellStyle name="Normal 30 3" xfId="229"/>
    <cellStyle name="Normal 31" xfId="230"/>
    <cellStyle name="Normal 31 2" xfId="231"/>
    <cellStyle name="Normal 31 2 2" xfId="232"/>
    <cellStyle name="Normal 32" xfId="233"/>
    <cellStyle name="Normal 32 2" xfId="234"/>
    <cellStyle name="Normal 32 2 2" xfId="235"/>
    <cellStyle name="Normal 33" xfId="236"/>
    <cellStyle name="Normal 33 2" xfId="237"/>
    <cellStyle name="Normal 34" xfId="238"/>
    <cellStyle name="Normal 34 2" xfId="239"/>
    <cellStyle name="Normal 35" xfId="240"/>
    <cellStyle name="Normal 35 2" xfId="241"/>
    <cellStyle name="Normal 35 2 2" xfId="242"/>
    <cellStyle name="Normal 35 3" xfId="243"/>
    <cellStyle name="Normal 36" xfId="244"/>
    <cellStyle name="Normal 36 2" xfId="245"/>
    <cellStyle name="Normal 36 2 2" xfId="246"/>
    <cellStyle name="Normal 36 3" xfId="247"/>
    <cellStyle name="Normal 37" xfId="248"/>
    <cellStyle name="Normal 37 2" xfId="249"/>
    <cellStyle name="Normal 38" xfId="250"/>
    <cellStyle name="Normal 38 2" xfId="251"/>
    <cellStyle name="Normal 39" xfId="252"/>
    <cellStyle name="Normal 39 2" xfId="253"/>
    <cellStyle name="Normal 39 2 2" xfId="254"/>
    <cellStyle name="Normal 39 3" xfId="255"/>
    <cellStyle name="Normal 4" xfId="7"/>
    <cellStyle name="Normal 4 2" xfId="256"/>
    <cellStyle name="Normal 4 2 2" xfId="257"/>
    <cellStyle name="Normal 4 2 2 2" xfId="677"/>
    <cellStyle name="Normal 4 2 2 3" xfId="597"/>
    <cellStyle name="Normal 4 2 3" xfId="529"/>
    <cellStyle name="Normal 4 2 3 2" xfId="692"/>
    <cellStyle name="Normal 4 2 4" xfId="670"/>
    <cellStyle name="Normal 4 3" xfId="258"/>
    <cellStyle name="Normal 4 3 2" xfId="259"/>
    <cellStyle name="Normal 4 3 2 2" xfId="673"/>
    <cellStyle name="Normal 4 3 3" xfId="593"/>
    <cellStyle name="Normal 4 4" xfId="260"/>
    <cellStyle name="Normal 4 4 2" xfId="261"/>
    <cellStyle name="Normal 4 4 2 2" xfId="742"/>
    <cellStyle name="Normal 4 4 2 3" xfId="684"/>
    <cellStyle name="Normal 4 4 2 4" xfId="644"/>
    <cellStyle name="Normal 4 4 3" xfId="652"/>
    <cellStyle name="Normal 4 4 4" xfId="607"/>
    <cellStyle name="Normal 4 5" xfId="509"/>
    <cellStyle name="Normal 4 5 2" xfId="737"/>
    <cellStyle name="Normal 4 5 3" xfId="666"/>
    <cellStyle name="Normal 4 5 4" xfId="638"/>
    <cellStyle name="Normal 4 6" xfId="722"/>
    <cellStyle name="Normal 4 7" xfId="749"/>
    <cellStyle name="Normal 4 7 2" xfId="754"/>
    <cellStyle name="Normal 40" xfId="262"/>
    <cellStyle name="Normal 40 2" xfId="263"/>
    <cellStyle name="Normal 41" xfId="264"/>
    <cellStyle name="Normal 41 2" xfId="265"/>
    <cellStyle name="Normal 42" xfId="266"/>
    <cellStyle name="Normal 42 2" xfId="267"/>
    <cellStyle name="Normal 42 2 2" xfId="268"/>
    <cellStyle name="Normal 42 3" xfId="269"/>
    <cellStyle name="Normal 42 3 2" xfId="270"/>
    <cellStyle name="Normal 42 4" xfId="271"/>
    <cellStyle name="Normal 43" xfId="272"/>
    <cellStyle name="Normal 43 2" xfId="273"/>
    <cellStyle name="Normal 44" xfId="274"/>
    <cellStyle name="Normal 44 2" xfId="275"/>
    <cellStyle name="Normal 45" xfId="276"/>
    <cellStyle name="Normal 45 2" xfId="277"/>
    <cellStyle name="Normal 46" xfId="278"/>
    <cellStyle name="Normal 46 2" xfId="279"/>
    <cellStyle name="Normal 47" xfId="280"/>
    <cellStyle name="Normal 47 2" xfId="281"/>
    <cellStyle name="Normal 48" xfId="282"/>
    <cellStyle name="Normal 48 2" xfId="283"/>
    <cellStyle name="Normal 49" xfId="284"/>
    <cellStyle name="Normal 49 2" xfId="285"/>
    <cellStyle name="Normal 5" xfId="8"/>
    <cellStyle name="Normal 5 2" xfId="286"/>
    <cellStyle name="Normal 5 2 2" xfId="287"/>
    <cellStyle name="Normal 5 2 2 2" xfId="288"/>
    <cellStyle name="Normal 5 2 2 2 2" xfId="678"/>
    <cellStyle name="Normal 5 2 2 3" xfId="598"/>
    <cellStyle name="Normal 5 2 3" xfId="289"/>
    <cellStyle name="Normal 5 2 3 2" xfId="693"/>
    <cellStyle name="Normal 5 2 3 3" xfId="617"/>
    <cellStyle name="Normal 5 2 4" xfId="530"/>
    <cellStyle name="Normal 5 3" xfId="290"/>
    <cellStyle name="Normal 5 3 2" xfId="291"/>
    <cellStyle name="Normal 5 3 2 2" xfId="292"/>
    <cellStyle name="Normal 5 3 2 3" xfId="674"/>
    <cellStyle name="Normal 5 3 3" xfId="293"/>
    <cellStyle name="Normal 5 3 4" xfId="594"/>
    <cellStyle name="Normal 5 4" xfId="294"/>
    <cellStyle name="Normal 5 4 2" xfId="295"/>
    <cellStyle name="Normal 5 4 2 2" xfId="735"/>
    <cellStyle name="Normal 5 4 2 3" xfId="685"/>
    <cellStyle name="Normal 5 4 2 4" xfId="635"/>
    <cellStyle name="Normal 5 4 3" xfId="653"/>
    <cellStyle name="Normal 5 4 4" xfId="608"/>
    <cellStyle name="Normal 5 5" xfId="296"/>
    <cellStyle name="Normal 5 5 2" xfId="297"/>
    <cellStyle name="Normal 5 5 2 2" xfId="734"/>
    <cellStyle name="Normal 5 5 3" xfId="667"/>
    <cellStyle name="Normal 5 5 4" xfId="634"/>
    <cellStyle name="Normal 5 6" xfId="510"/>
    <cellStyle name="Normal 50" xfId="298"/>
    <cellStyle name="Normal 50 2" xfId="299"/>
    <cellStyle name="Normal 51" xfId="300"/>
    <cellStyle name="Normal 51 2" xfId="301"/>
    <cellStyle name="Normal 52" xfId="302"/>
    <cellStyle name="Normal 52 2" xfId="303"/>
    <cellStyle name="Normal 53" xfId="304"/>
    <cellStyle name="Normal 53 2" xfId="305"/>
    <cellStyle name="Normal 54" xfId="306"/>
    <cellStyle name="Normal 54 2" xfId="307"/>
    <cellStyle name="Normal 55" xfId="308"/>
    <cellStyle name="Normal 55 2" xfId="309"/>
    <cellStyle name="Normal 55 2 2" xfId="310"/>
    <cellStyle name="Normal 55 3" xfId="311"/>
    <cellStyle name="Normal 55 3 2" xfId="312"/>
    <cellStyle name="Normal 55 4" xfId="313"/>
    <cellStyle name="Normal 56" xfId="314"/>
    <cellStyle name="Normal 56 2" xfId="315"/>
    <cellStyle name="Normal 56 2 2" xfId="316"/>
    <cellStyle name="Normal 56 3" xfId="317"/>
    <cellStyle name="Normal 57" xfId="318"/>
    <cellStyle name="Normal 57 2" xfId="319"/>
    <cellStyle name="Normal 58" xfId="320"/>
    <cellStyle name="Normal 58 2" xfId="321"/>
    <cellStyle name="Normal 59" xfId="322"/>
    <cellStyle name="Normal 59 2" xfId="323"/>
    <cellStyle name="Normal 59 2 2" xfId="324"/>
    <cellStyle name="Normal 59 3" xfId="325"/>
    <cellStyle name="Normal 6" xfId="10"/>
    <cellStyle name="Normal 6 2" xfId="326"/>
    <cellStyle name="Normal 6 2 2" xfId="327"/>
    <cellStyle name="Normal 6 2 2 2" xfId="328"/>
    <cellStyle name="Normal 6 2 3" xfId="532"/>
    <cellStyle name="Normal 6 3" xfId="329"/>
    <cellStyle name="Normal 6 3 2" xfId="330"/>
    <cellStyle name="Normal 6 3 2 2" xfId="331"/>
    <cellStyle name="Normal 6 3 2 3" xfId="624"/>
    <cellStyle name="Normal 6 3 3" xfId="332"/>
    <cellStyle name="Normal 6 3 3 2" xfId="656"/>
    <cellStyle name="Normal 6 3 4" xfId="518"/>
    <cellStyle name="Normal 6 4" xfId="333"/>
    <cellStyle name="Normal 6 4 2" xfId="334"/>
    <cellStyle name="Normal 6 4 3" xfId="610"/>
    <cellStyle name="Normal 6 5" xfId="335"/>
    <cellStyle name="Normal 6 5 2" xfId="336"/>
    <cellStyle name="Normal 6 6" xfId="337"/>
    <cellStyle name="Normal 6 6 2" xfId="338"/>
    <cellStyle name="Normal 6 7" xfId="512"/>
    <cellStyle name="Normal 60" xfId="339"/>
    <cellStyle name="Normal 60 2" xfId="340"/>
    <cellStyle name="Normal 61" xfId="341"/>
    <cellStyle name="Normal 61 2" xfId="342"/>
    <cellStyle name="Normal 62" xfId="343"/>
    <cellStyle name="Normal 62 2" xfId="344"/>
    <cellStyle name="Normal 63" xfId="345"/>
    <cellStyle name="Normal 63 2" xfId="346"/>
    <cellStyle name="Normal 63 2 2" xfId="347"/>
    <cellStyle name="Normal 63 3" xfId="348"/>
    <cellStyle name="Normal 64" xfId="349"/>
    <cellStyle name="Normal 64 2" xfId="350"/>
    <cellStyle name="Normal 64 2 2" xfId="351"/>
    <cellStyle name="Normal 64 3" xfId="352"/>
    <cellStyle name="Normal 65" xfId="353"/>
    <cellStyle name="Normal 65 2" xfId="354"/>
    <cellStyle name="Normal 66" xfId="355"/>
    <cellStyle name="Normal 66 2" xfId="356"/>
    <cellStyle name="Normal 67" xfId="357"/>
    <cellStyle name="Normal 67 2" xfId="358"/>
    <cellStyle name="Normal 68" xfId="359"/>
    <cellStyle name="Normal 68 2" xfId="360"/>
    <cellStyle name="Normal 68 2 2" xfId="361"/>
    <cellStyle name="Normal 68 3" xfId="362"/>
    <cellStyle name="Normal 69" xfId="363"/>
    <cellStyle name="Normal 69 2" xfId="364"/>
    <cellStyle name="Normal 7" xfId="11"/>
    <cellStyle name="Normal 7 2" xfId="365"/>
    <cellStyle name="Normal 7 2 2" xfId="366"/>
    <cellStyle name="Normal 7 2 3" xfId="533"/>
    <cellStyle name="Normal 7 3" xfId="367"/>
    <cellStyle name="Normal 7 3 2" xfId="368"/>
    <cellStyle name="Normal 7 3 2 2" xfId="627"/>
    <cellStyle name="Normal 7 3 3" xfId="519"/>
    <cellStyle name="Normal 7 4" xfId="369"/>
    <cellStyle name="Normal 7 4 2" xfId="370"/>
    <cellStyle name="Normal 7 4 3" xfId="611"/>
    <cellStyle name="Normal 7 5" xfId="371"/>
    <cellStyle name="Normal 7 5 2" xfId="372"/>
    <cellStyle name="Normal 7 5 2 2" xfId="373"/>
    <cellStyle name="Normal 7 5 2 3" xfId="374"/>
    <cellStyle name="Normal 7 5 2 4" xfId="375"/>
    <cellStyle name="Normal 7 6" xfId="513"/>
    <cellStyle name="Normal 70" xfId="376"/>
    <cellStyle name="Normal 70 2" xfId="377"/>
    <cellStyle name="Normal 71" xfId="378"/>
    <cellStyle name="Normal 71 2" xfId="379"/>
    <cellStyle name="Normal 72" xfId="380"/>
    <cellStyle name="Normal 72 2" xfId="381"/>
    <cellStyle name="Normal 73" xfId="382"/>
    <cellStyle name="Normal 73 2" xfId="383"/>
    <cellStyle name="Normal 74" xfId="384"/>
    <cellStyle name="Normal 74 2" xfId="385"/>
    <cellStyle name="Normal 75" xfId="386"/>
    <cellStyle name="Normal 75 2" xfId="387"/>
    <cellStyle name="Normal 76" xfId="388"/>
    <cellStyle name="Normal 76 2" xfId="389"/>
    <cellStyle name="Normal 76 2 2" xfId="390"/>
    <cellStyle name="Normal 76 3" xfId="391"/>
    <cellStyle name="Normal 77" xfId="392"/>
    <cellStyle name="Normal 77 2" xfId="393"/>
    <cellStyle name="Normal 77 2 2" xfId="394"/>
    <cellStyle name="Normal 77 3" xfId="395"/>
    <cellStyle name="Normal 78" xfId="396"/>
    <cellStyle name="Normal 78 2" xfId="397"/>
    <cellStyle name="Normal 78 2 2" xfId="398"/>
    <cellStyle name="Normal 78 3" xfId="399"/>
    <cellStyle name="Normal 79" xfId="400"/>
    <cellStyle name="Normal 79 2" xfId="401"/>
    <cellStyle name="Normal 8" xfId="15"/>
    <cellStyle name="Normal 8 2" xfId="402"/>
    <cellStyle name="Normal 8 2 2" xfId="403"/>
    <cellStyle name="Normal 8 2 2 2" xfId="404"/>
    <cellStyle name="Normal 8 2 3" xfId="534"/>
    <cellStyle name="Normal 8 3" xfId="405"/>
    <cellStyle name="Normal 8 3 2" xfId="406"/>
    <cellStyle name="Normal 8 3 3" xfId="520"/>
    <cellStyle name="Normal 8 4" xfId="407"/>
    <cellStyle name="Normal 8 4 2" xfId="408"/>
    <cellStyle name="Normal 8 4 3" xfId="612"/>
    <cellStyle name="Normal 8 5" xfId="514"/>
    <cellStyle name="Normal 80" xfId="409"/>
    <cellStyle name="Normal 80 2" xfId="410"/>
    <cellStyle name="Normal 80 2 2" xfId="411"/>
    <cellStyle name="Normal 80 3" xfId="412"/>
    <cellStyle name="Normal 81" xfId="413"/>
    <cellStyle name="Normal 81 2" xfId="414"/>
    <cellStyle name="Normal 82" xfId="415"/>
    <cellStyle name="Normal 82 2" xfId="416"/>
    <cellStyle name="Normal 82 2 2" xfId="417"/>
    <cellStyle name="Normal 82 3" xfId="418"/>
    <cellStyle name="Normal 83" xfId="419"/>
    <cellStyle name="Normal 83 2" xfId="420"/>
    <cellStyle name="Normal 83 2 2" xfId="421"/>
    <cellStyle name="Normal 83 3" xfId="422"/>
    <cellStyle name="Normal 84" xfId="423"/>
    <cellStyle name="Normal 84 2" xfId="424"/>
    <cellStyle name="Normal 85" xfId="425"/>
    <cellStyle name="Normal 85 2" xfId="426"/>
    <cellStyle name="Normal 86" xfId="427"/>
    <cellStyle name="Normal 86 2" xfId="428"/>
    <cellStyle name="Normal 87" xfId="429"/>
    <cellStyle name="Normal 87 2" xfId="430"/>
    <cellStyle name="Normal 88" xfId="431"/>
    <cellStyle name="Normal 88 2" xfId="432"/>
    <cellStyle name="Normal 89" xfId="433"/>
    <cellStyle name="Normal 89 2" xfId="434"/>
    <cellStyle name="Normal 9" xfId="19"/>
    <cellStyle name="Normal 9 2" xfId="435"/>
    <cellStyle name="Normal 9 2 2" xfId="436"/>
    <cellStyle name="Normal 9 2 2 2" xfId="631"/>
    <cellStyle name="Normal 9 2 3" xfId="535"/>
    <cellStyle name="Normal 9 3" xfId="521"/>
    <cellStyle name="Normal 9 3 2" xfId="622"/>
    <cellStyle name="Normal 90" xfId="437"/>
    <cellStyle name="Normal 90 2" xfId="438"/>
    <cellStyle name="Normal 91" xfId="439"/>
    <cellStyle name="Normal 91 2" xfId="440"/>
    <cellStyle name="Normal 92" xfId="441"/>
    <cellStyle name="Normal 92 2" xfId="442"/>
    <cellStyle name="Normal 93" xfId="443"/>
    <cellStyle name="Normal 94" xfId="444"/>
    <cellStyle name="Normal 94 2" xfId="445"/>
    <cellStyle name="Normal 95" xfId="446"/>
    <cellStyle name="Normal 95 2" xfId="447"/>
    <cellStyle name="Normal 96" xfId="448"/>
    <cellStyle name="Normal 96 2" xfId="449"/>
    <cellStyle name="Normal 97" xfId="450"/>
    <cellStyle name="Normal 97 2" xfId="451"/>
    <cellStyle name="Normal 98" xfId="452"/>
    <cellStyle name="Normal 98 2" xfId="453"/>
    <cellStyle name="Normal 99" xfId="454"/>
    <cellStyle name="Normal 99 2" xfId="455"/>
    <cellStyle name="Normal_Book4" xfId="1"/>
    <cellStyle name="Normal_Book4 2" xfId="542"/>
    <cellStyle name="Normal_CL &amp; UEFA Cup Teams 04-05 Knock Out Stage" xfId="3"/>
    <cellStyle name="Normal_Germany04-05" xfId="18"/>
    <cellStyle name="Normal_Germany04-05 2" xfId="21"/>
    <cellStyle name="Note 2" xfId="584"/>
    <cellStyle name="Note 2 2" xfId="724"/>
    <cellStyle name="Note 3" xfId="706"/>
    <cellStyle name="Output 2" xfId="585"/>
    <cellStyle name="Output 2 2" xfId="725"/>
    <cellStyle name="Output 3" xfId="707"/>
    <cellStyle name="Percent" xfId="17" builtinId="5"/>
    <cellStyle name="Percent 10" xfId="456"/>
    <cellStyle name="Percent 2" xfId="523"/>
    <cellStyle name="Percent 2 2" xfId="457"/>
    <cellStyle name="Percent 2 2 2" xfId="458"/>
    <cellStyle name="Percent 2 3" xfId="459"/>
    <cellStyle name="Percent 2 3 2" xfId="460"/>
    <cellStyle name="Percent 2 4" xfId="461"/>
    <cellStyle name="Percent 2 5" xfId="462"/>
    <cellStyle name="Percent 2 6" xfId="463"/>
    <cellStyle name="Percent 3" xfId="464"/>
    <cellStyle name="Percent 3 2" xfId="465"/>
    <cellStyle name="Percent 3 2 2" xfId="696"/>
    <cellStyle name="Percent 3 3" xfId="466"/>
    <cellStyle name="Percent 3 4" xfId="467"/>
    <cellStyle name="Percent 3 5" xfId="468"/>
    <cellStyle name="Percent 3 6" xfId="469"/>
    <cellStyle name="Percent 3 7" xfId="541"/>
    <cellStyle name="Percent 4" xfId="470"/>
    <cellStyle name="Percent 4 2" xfId="471"/>
    <cellStyle name="Percent 4 2 2" xfId="739"/>
    <cellStyle name="Percent 4 2 3" xfId="687"/>
    <cellStyle name="Percent 4 2 4" xfId="640"/>
    <cellStyle name="Percent 4 3" xfId="655"/>
    <cellStyle name="Percent 4 4" xfId="614"/>
    <cellStyle name="Percent 5" xfId="586"/>
    <cellStyle name="Percent 5 2" xfId="642"/>
    <cellStyle name="Percent 5 3" xfId="647"/>
    <cellStyle name="Percent 6" xfId="621"/>
    <cellStyle name="Style 1" xfId="630"/>
    <cellStyle name="Title 2" xfId="587"/>
    <cellStyle name="Total 2" xfId="588"/>
    <cellStyle name="Total 2 2" xfId="726"/>
    <cellStyle name="Total 3" xfId="708"/>
    <cellStyle name="Warning Text 2" xfId="589"/>
    <cellStyle name="百分比 2" xfId="490"/>
    <cellStyle name="百分比 2 2" xfId="636"/>
    <cellStyle name="備註 2" xfId="473"/>
    <cellStyle name="標題 1 2" xfId="484"/>
    <cellStyle name="標題 2 2" xfId="485"/>
    <cellStyle name="標題 3 2" xfId="486"/>
    <cellStyle name="標題 4 2" xfId="487"/>
    <cellStyle name="標題 5" xfId="488"/>
    <cellStyle name="常规 10" xfId="479"/>
    <cellStyle name="常规 10 2" xfId="480"/>
    <cellStyle name="常规 10 3" xfId="720"/>
    <cellStyle name="常规 11" xfId="712"/>
    <cellStyle name="常规 12" xfId="718"/>
    <cellStyle name="常规 13" xfId="716"/>
    <cellStyle name="常规 14" xfId="709"/>
    <cellStyle name="常规 15" xfId="711"/>
    <cellStyle name="常规 16" xfId="705"/>
    <cellStyle name="常规 17" xfId="723"/>
    <cellStyle name="常规 18" xfId="713"/>
    <cellStyle name="常规 18 2" xfId="697"/>
    <cellStyle name="常规 2" xfId="481"/>
    <cellStyle name="常规 2 2" xfId="632"/>
    <cellStyle name="常规 2 2 2" xfId="732"/>
    <cellStyle name="常规 2 2 3" xfId="679"/>
    <cellStyle name="常规 2 3" xfId="650"/>
    <cellStyle name="常规 2 3 2" xfId="744"/>
    <cellStyle name="常规 2 3 3" xfId="714"/>
    <cellStyle name="常规 2 4" xfId="599"/>
    <cellStyle name="常规 3" xfId="482"/>
    <cellStyle name="常规 3 2" xfId="483"/>
    <cellStyle name="常规 3 2 2" xfId="703"/>
    <cellStyle name="常规 3 3" xfId="601"/>
    <cellStyle name="常规 4" xfId="700"/>
    <cellStyle name="常规 5" xfId="698"/>
    <cellStyle name="常规 6" xfId="715"/>
    <cellStyle name="常规 7" xfId="704"/>
    <cellStyle name="常规 8" xfId="701"/>
    <cellStyle name="常规 8 2" xfId="699"/>
    <cellStyle name="常规 9" xfId="717"/>
    <cellStyle name="超链接 2" xfId="600"/>
    <cellStyle name="輔色1 2" xfId="494"/>
    <cellStyle name="輔色2 2" xfId="495"/>
    <cellStyle name="輔色3 2" xfId="496"/>
    <cellStyle name="輔色4 2" xfId="497"/>
    <cellStyle name="輔色5 2" xfId="498"/>
    <cellStyle name="輔色6 2" xfId="499"/>
    <cellStyle name="好 2" xfId="478"/>
    <cellStyle name="合計 2" xfId="476"/>
    <cellStyle name="壞 2" xfId="477"/>
    <cellStyle name="計算方式 2" xfId="491"/>
    <cellStyle name="檢查儲存格 2" xfId="489"/>
    <cellStyle name="警告文字 2" xfId="493"/>
    <cellStyle name="連結的儲存格 2" xfId="502"/>
    <cellStyle name="千分位 2" xfId="475"/>
    <cellStyle name="千位分隔 2" xfId="474"/>
    <cellStyle name="輸出 2" xfId="501"/>
    <cellStyle name="輸入 2" xfId="500"/>
    <cellStyle name="說明文字 2" xfId="492"/>
    <cellStyle name="中等 2" xfId="472"/>
  </cellStyles>
  <dxfs count="1573"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>
          <bgColor indexed="45"/>
        </patternFill>
      </fill>
    </dxf>
    <dxf>
      <fill>
        <patternFill>
          <bgColor indexed="1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3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 patternType="lightGrid"/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ont>
        <b/>
        <i val="0"/>
        <color rgb="FF00B0F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FF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104900" y="1095375"/>
          <a:ext cx="1952625" cy="51435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4" name="AutoShape 640"/>
        <xdr:cNvSpPr>
          <a:spLocks noChangeArrowheads="1"/>
        </xdr:cNvSpPr>
      </xdr:nvSpPr>
      <xdr:spPr bwMode="auto">
        <a:xfrm>
          <a:off x="1504950" y="1095375"/>
          <a:ext cx="1952625" cy="51435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[0]!PositionColourSection" textlink="">
      <xdr:nvSpPr>
        <xdr:cNvPr id="2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6</xdr:col>
      <xdr:colOff>76200</xdr:colOff>
      <xdr:row>1</xdr:row>
      <xdr:rowOff>57150</xdr:rowOff>
    </xdr:from>
    <xdr:to>
      <xdr:col>10</xdr:col>
      <xdr:colOff>19050</xdr:colOff>
      <xdr:row>4</xdr:row>
      <xdr:rowOff>85725</xdr:rowOff>
    </xdr:to>
    <xdr:sp macro="" textlink="">
      <xdr:nvSpPr>
        <xdr:cNvPr id="3" name="AutoShape 640"/>
        <xdr:cNvSpPr>
          <a:spLocks noChangeArrowheads="1"/>
        </xdr:cNvSpPr>
      </xdr:nvSpPr>
      <xdr:spPr bwMode="auto">
        <a:xfrm>
          <a:off x="1333500" y="0"/>
          <a:ext cx="207645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22411</xdr:colOff>
      <xdr:row>14</xdr:row>
      <xdr:rowOff>11206</xdr:rowOff>
    </xdr:from>
    <xdr:to>
      <xdr:col>11</xdr:col>
      <xdr:colOff>268941</xdr:colOff>
      <xdr:row>18</xdr:row>
      <xdr:rowOff>44824</xdr:rowOff>
    </xdr:to>
    <xdr:sp macro="[0]!sortit" textlink="">
      <xdr:nvSpPr>
        <xdr:cNvPr id="2" name="Rectangle 1"/>
        <xdr:cNvSpPr/>
      </xdr:nvSpPr>
      <xdr:spPr>
        <a:xfrm>
          <a:off x="4964205" y="2655794"/>
          <a:ext cx="1848971" cy="79561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  <xdr:twoCellAnchor>
    <xdr:from>
      <xdr:col>2</xdr:col>
      <xdr:colOff>134470</xdr:colOff>
      <xdr:row>15</xdr:row>
      <xdr:rowOff>67236</xdr:rowOff>
    </xdr:from>
    <xdr:to>
      <xdr:col>3</xdr:col>
      <xdr:colOff>302559</xdr:colOff>
      <xdr:row>16</xdr:row>
      <xdr:rowOff>123265</xdr:rowOff>
    </xdr:to>
    <xdr:sp macro="[0]!pasteUnicodeForSub" textlink="">
      <xdr:nvSpPr>
        <xdr:cNvPr id="4" name="Rounded Rectangle 3"/>
        <xdr:cNvSpPr/>
      </xdr:nvSpPr>
      <xdr:spPr>
        <a:xfrm>
          <a:off x="1210795" y="2905686"/>
          <a:ext cx="1111064" cy="2465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paste unicode</a:t>
          </a:r>
        </a:p>
      </xdr:txBody>
    </xdr:sp>
    <xdr:clientData/>
  </xdr:twoCellAnchor>
  <xdr:twoCellAnchor>
    <xdr:from>
      <xdr:col>9</xdr:col>
      <xdr:colOff>168088</xdr:colOff>
      <xdr:row>22</xdr:row>
      <xdr:rowOff>78441</xdr:rowOff>
    </xdr:from>
    <xdr:to>
      <xdr:col>11</xdr:col>
      <xdr:colOff>235324</xdr:colOff>
      <xdr:row>26</xdr:row>
      <xdr:rowOff>112058</xdr:rowOff>
    </xdr:to>
    <xdr:sp macro="[0]!clearit" textlink="">
      <xdr:nvSpPr>
        <xdr:cNvPr id="5" name="Rectangle 4"/>
        <xdr:cNvSpPr/>
      </xdr:nvSpPr>
      <xdr:spPr>
        <a:xfrm>
          <a:off x="5109882" y="4247029"/>
          <a:ext cx="1669677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742950</xdr:colOff>
      <xdr:row>2</xdr:row>
      <xdr:rowOff>457200</xdr:rowOff>
    </xdr:to>
    <xdr:sp macro="[0]!RefreshFormula" textlink="">
      <xdr:nvSpPr>
        <xdr:cNvPr id="2" name="AutoShape 4"/>
        <xdr:cNvSpPr>
          <a:spLocks noChangeArrowheads="1"/>
        </xdr:cNvSpPr>
      </xdr:nvSpPr>
      <xdr:spPr bwMode="auto">
        <a:xfrm>
          <a:off x="485775" y="381000"/>
          <a:ext cx="742950" cy="457200"/>
        </a:xfrm>
        <a:prstGeom prst="bevel">
          <a:avLst>
            <a:gd name="adj" fmla="val 12500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Update Values!!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8923a3c8adbcf1b5/TS/Trading/Users/benjaminwong/Pricing/File/Germany2_11-12_edit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enfangzheng/Desktop/EPL_Playersheet_2014-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60_Munich"/>
      <sheetName val="Aachen"/>
      <sheetName val="Aue"/>
      <sheetName val="Bochum"/>
      <sheetName val="Braunschweig"/>
      <sheetName val="Cottbus"/>
      <sheetName val="Duisburg"/>
      <sheetName val="Dusseldorf"/>
      <sheetName val="Dynamo_Dresden"/>
      <sheetName val="Frankfurt"/>
      <sheetName val="FSV_Frankfurt"/>
      <sheetName val="Greuther_Furth"/>
      <sheetName val="Hansa"/>
      <sheetName val="Ingolstadt"/>
      <sheetName val="Karlsruher"/>
      <sheetName val="Paderborn"/>
      <sheetName val="St_Pauli"/>
      <sheetName val="Union_Berlin"/>
      <sheetName val="Table"/>
      <sheetName val="HiLo"/>
      <sheetName val="Matrix"/>
      <sheetName val="HAD"/>
      <sheetName val="CRS"/>
      <sheetName val="HHAD"/>
      <sheetName val="HD"/>
      <sheetName val="SUP"/>
      <sheetName val="TT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9">
          <cell r="B9" t="str">
            <v>Braunschweig</v>
          </cell>
          <cell r="C9" t="str">
            <v>Braunschweig</v>
          </cell>
        </row>
        <row r="10">
          <cell r="B10" t="str">
            <v>Dusseldorf</v>
          </cell>
          <cell r="C10" t="str">
            <v>Dusseldorf</v>
          </cell>
        </row>
        <row r="11">
          <cell r="B11" t="str">
            <v>St Pauli</v>
          </cell>
          <cell r="C11" t="str">
            <v>St_Pauli</v>
          </cell>
        </row>
        <row r="12">
          <cell r="B12" t="str">
            <v>Frankfurt</v>
          </cell>
          <cell r="C12" t="str">
            <v>Frankfurt</v>
          </cell>
        </row>
        <row r="13">
          <cell r="B13" t="str">
            <v>Cottbus</v>
          </cell>
          <cell r="C13" t="str">
            <v>Cottbus</v>
          </cell>
        </row>
        <row r="14">
          <cell r="B14" t="str">
            <v>Paderborn</v>
          </cell>
          <cell r="C14" t="str">
            <v>Paderborn</v>
          </cell>
        </row>
        <row r="15">
          <cell r="B15" t="str">
            <v>Aue</v>
          </cell>
          <cell r="C15" t="str">
            <v>Aue</v>
          </cell>
        </row>
        <row r="16">
          <cell r="B16" t="str">
            <v>1860 Munich</v>
          </cell>
          <cell r="C16" t="str">
            <v>1860_Munich</v>
          </cell>
        </row>
        <row r="17">
          <cell r="B17" t="str">
            <v>Karlsruher</v>
          </cell>
          <cell r="C17" t="str">
            <v>Karlsruher</v>
          </cell>
        </row>
        <row r="18">
          <cell r="B18" t="str">
            <v>FSV Frankfurt</v>
          </cell>
          <cell r="C18" t="str">
            <v>FSV_Frankfurt</v>
          </cell>
        </row>
        <row r="19">
          <cell r="B19" t="str">
            <v>Union Berlin</v>
          </cell>
          <cell r="C19" t="str">
            <v>Union_Berlin</v>
          </cell>
        </row>
        <row r="20">
          <cell r="B20" t="str">
            <v>Duisburg</v>
          </cell>
          <cell r="C20" t="str">
            <v>Duisburg</v>
          </cell>
        </row>
        <row r="21">
          <cell r="B21" t="str">
            <v>Greuther Furth</v>
          </cell>
          <cell r="C21" t="str">
            <v>Greuther_Furth</v>
          </cell>
        </row>
        <row r="22">
          <cell r="B22" t="str">
            <v>Dynamo Dresden</v>
          </cell>
          <cell r="C22" t="str">
            <v>Dynamo_Dresden</v>
          </cell>
        </row>
        <row r="23">
          <cell r="B23" t="str">
            <v>Hansa</v>
          </cell>
          <cell r="C23" t="str">
            <v>Hansa</v>
          </cell>
        </row>
        <row r="24">
          <cell r="B24" t="str">
            <v>Aachen</v>
          </cell>
          <cell r="C24" t="str">
            <v>Aachen</v>
          </cell>
        </row>
        <row r="25">
          <cell r="B25" t="str">
            <v>Bochum</v>
          </cell>
          <cell r="C25" t="str">
            <v>Bochum</v>
          </cell>
        </row>
        <row r="26">
          <cell r="B26" t="str">
            <v>Ingolstadt</v>
          </cell>
          <cell r="C26" t="str">
            <v>Ingolstadt</v>
          </cell>
        </row>
        <row r="27">
          <cell r="B27" t="str">
            <v/>
          </cell>
          <cell r="C27" t="str">
            <v/>
          </cell>
        </row>
        <row r="28">
          <cell r="B28" t="str">
            <v/>
          </cell>
          <cell r="C28" t="str">
            <v/>
          </cell>
        </row>
        <row r="29">
          <cell r="B29" t="str">
            <v/>
          </cell>
          <cell r="C29" t="str">
            <v/>
          </cell>
        </row>
        <row r="30">
          <cell r="B30" t="str">
            <v/>
          </cell>
          <cell r="C30" t="str">
            <v/>
          </cell>
        </row>
        <row r="31">
          <cell r="B31" t="str">
            <v/>
          </cell>
          <cell r="C31" t="str">
            <v/>
          </cell>
        </row>
        <row r="32">
          <cell r="B32" t="str">
            <v/>
          </cell>
          <cell r="C32" t="str">
            <v/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ps"/>
      <sheetName val="helper"/>
      <sheetName val="squad"/>
      <sheetName val="Fixture_Tool"/>
      <sheetName val="Arsenal"/>
      <sheetName val="Aston_Villa"/>
      <sheetName val="Burnley"/>
      <sheetName val="Chelsea"/>
      <sheetName val="Crystal_Palace"/>
      <sheetName val="Everton"/>
      <sheetName val="Hull"/>
      <sheetName val="Leicester"/>
      <sheetName val="Liverpool"/>
      <sheetName val="Man_City"/>
      <sheetName val="Man_Utd"/>
      <sheetName val="Newcastle"/>
      <sheetName val="QPR"/>
      <sheetName val="Southampton"/>
      <sheetName val="Stoke"/>
      <sheetName val="Sunderland"/>
      <sheetName val="Swansea"/>
      <sheetName val="Tottenham"/>
      <sheetName val="West_Brom"/>
      <sheetName val="West_Ham"/>
      <sheetName val="Table"/>
    </sheetNames>
    <sheetDataSet>
      <sheetData sheetId="0"/>
      <sheetData sheetId="1">
        <row r="29">
          <cell r="CM29" t="str">
            <v>Arsenal</v>
          </cell>
        </row>
        <row r="30">
          <cell r="CM30" t="str">
            <v>Aston_Villa</v>
          </cell>
        </row>
        <row r="31">
          <cell r="CM31" t="str">
            <v>Burnley</v>
          </cell>
        </row>
        <row r="32">
          <cell r="CM32" t="str">
            <v>Chelsea</v>
          </cell>
        </row>
        <row r="33">
          <cell r="CM33" t="str">
            <v>Crystal_Palace</v>
          </cell>
        </row>
        <row r="34">
          <cell r="CM34" t="str">
            <v>Everton</v>
          </cell>
        </row>
        <row r="35">
          <cell r="CM35" t="str">
            <v>Hull</v>
          </cell>
        </row>
        <row r="36">
          <cell r="CM36" t="str">
            <v>Leicester</v>
          </cell>
        </row>
        <row r="37">
          <cell r="CM37" t="str">
            <v>Liverpool</v>
          </cell>
        </row>
        <row r="38">
          <cell r="CM38" t="str">
            <v>Man_City</v>
          </cell>
        </row>
        <row r="39">
          <cell r="CM39" t="str">
            <v>Man_Utd</v>
          </cell>
        </row>
        <row r="40">
          <cell r="CM40" t="str">
            <v>Newcastle</v>
          </cell>
        </row>
        <row r="41">
          <cell r="CM41" t="str">
            <v>QPR</v>
          </cell>
        </row>
        <row r="42">
          <cell r="CM42" t="str">
            <v>Southampton</v>
          </cell>
        </row>
        <row r="43">
          <cell r="CM43" t="str">
            <v>Stoke</v>
          </cell>
        </row>
        <row r="44">
          <cell r="CM44" t="str">
            <v>Sunderland</v>
          </cell>
        </row>
        <row r="45">
          <cell r="CM45" t="str">
            <v>Swansea</v>
          </cell>
        </row>
        <row r="46">
          <cell r="CM46" t="str">
            <v>Tottenham</v>
          </cell>
        </row>
        <row r="47">
          <cell r="CM47" t="str">
            <v>West_Brom</v>
          </cell>
        </row>
        <row r="48">
          <cell r="CM48" t="str">
            <v>West_Ham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11">
          <cell r="BO1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T241"/>
  <sheetViews>
    <sheetView zoomScale="90" zoomScaleNormal="90" workbookViewId="0">
      <pane xSplit="32" ySplit="22" topLeftCell="AG65" activePane="bottomRight" state="frozen"/>
      <selection activeCell="AB20" sqref="AB20"/>
      <selection pane="topRight" activeCell="AB20" sqref="AB20"/>
      <selection pane="bottomLeft" activeCell="AB20" sqref="AB20"/>
      <selection pane="bottomRight" activeCell="BM86" sqref="BM8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456" customWidth="1"/>
    <col min="16" max="16" width="5.75" style="456" customWidth="1"/>
    <col min="17" max="17" width="6" style="456" customWidth="1"/>
    <col min="18" max="19" width="5.75" style="816" customWidth="1"/>
    <col min="20" max="20" width="6" style="816" customWidth="1"/>
    <col min="21" max="22" width="6" style="816" hidden="1" customWidth="1" outlineLevel="1"/>
    <col min="23" max="28" width="3.625" style="816" hidden="1" customWidth="1" outlineLevel="1"/>
    <col min="29" max="29" width="5.875" style="816" hidden="1" customWidth="1" outlineLevel="1"/>
    <col min="30" max="30" width="3.75" style="816" customWidth="1" collapsed="1"/>
    <col min="31" max="32" width="3.75" style="816" customWidth="1"/>
    <col min="33" max="36" width="3.75" style="230" customWidth="1"/>
    <col min="37" max="37" width="3.75" bestFit="1" customWidth="1"/>
    <col min="38" max="51" width="3.75" style="230" customWidth="1"/>
    <col min="52" max="52" width="3.75" bestFit="1" customWidth="1"/>
    <col min="53" max="53" width="3.75" customWidth="1"/>
    <col min="54" max="56" width="3.75" style="230" customWidth="1"/>
    <col min="57" max="57" width="3.75" bestFit="1" customWidth="1"/>
    <col min="58" max="58" width="3.75" customWidth="1"/>
    <col min="59" max="59" width="3.75" style="230" customWidth="1"/>
    <col min="60" max="60" width="3.75" bestFit="1" customWidth="1"/>
    <col min="61" max="63" width="3.75" style="230" customWidth="1"/>
    <col min="64" max="64" width="3.75" bestFit="1" customWidth="1"/>
    <col min="65" max="69" width="3.75" style="230" customWidth="1"/>
    <col min="70" max="70" width="3.75" bestFit="1" customWidth="1"/>
    <col min="71" max="105" width="3.75" style="230" customWidth="1"/>
    <col min="106" max="16384" width="5.75" style="230"/>
  </cols>
  <sheetData>
    <row r="1" spans="1:93" s="456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O1" si="0">AG20</f>
        <v>Ryuichi Kamiyama</v>
      </c>
      <c r="AH1" s="814" t="str">
        <f t="shared" si="0"/>
        <v>Rikihiro Sugiyama</v>
      </c>
      <c r="AI1" s="814" t="str">
        <f t="shared" si="0"/>
        <v>Akishige Kaneda</v>
      </c>
      <c r="AJ1" s="814"/>
      <c r="AL1" s="814" t="str">
        <f t="shared" si="0"/>
        <v>Yuichi Komano</v>
      </c>
      <c r="AM1" s="814" t="str">
        <f t="shared" si="0"/>
        <v>Yuki Saneto</v>
      </c>
      <c r="AN1" s="814"/>
      <c r="AO1" s="814" t="str">
        <f>AO20</f>
        <v>Masashi Kamekawa</v>
      </c>
      <c r="AP1" s="814" t="str">
        <f t="shared" si="0"/>
        <v>Shunsuke Tsutsumi</v>
      </c>
      <c r="AQ1" s="814" t="str">
        <f>AQ20</f>
        <v>Hokuto Nakamura</v>
      </c>
      <c r="AR1" s="814" t="str">
        <f>AR20</f>
        <v>Koki Shimosaka</v>
      </c>
      <c r="AS1" s="814" t="str">
        <f t="shared" ref="AS1:AT1" si="1">AS20</f>
        <v>Keisuke Iwashita</v>
      </c>
      <c r="AT1" s="814" t="str">
        <f t="shared" si="1"/>
        <v>Takeru NISHI</v>
      </c>
      <c r="AU1" s="814"/>
      <c r="AV1" s="814"/>
      <c r="AW1" s="814" t="str">
        <f>BM20</f>
        <v>Hirotaka Tameda</v>
      </c>
      <c r="AX1" s="814" t="str">
        <f>AX20</f>
        <v>Toshiya Sueyoshi</v>
      </c>
      <c r="AY1" s="814"/>
      <c r="BA1" s="874"/>
      <c r="BB1" s="814" t="str">
        <f>BA20</f>
        <v>Riki Matsuda</v>
      </c>
      <c r="BC1" s="814">
        <f>BS20</f>
        <v>0</v>
      </c>
      <c r="BD1" s="814" t="str">
        <f>BC20</f>
        <v>Hisashi Jogo</v>
      </c>
      <c r="BF1" s="872"/>
      <c r="BG1" s="814"/>
      <c r="BI1" s="814" t="str">
        <f>BH20</f>
        <v>Yusuke Sakimura</v>
      </c>
      <c r="BJ1" s="814"/>
      <c r="BK1" s="814"/>
      <c r="BM1" s="814" t="e">
        <f>#REF!</f>
        <v>#REF!</v>
      </c>
      <c r="BN1" s="814" t="str">
        <f>BN20</f>
        <v>Danilson</v>
      </c>
      <c r="BO1" s="814"/>
      <c r="BP1" s="814">
        <f>BP20</f>
        <v>0</v>
      </c>
      <c r="BQ1" s="814"/>
      <c r="BS1" s="814" t="e">
        <f>#REF!</f>
        <v>#REF!</v>
      </c>
      <c r="BT1" s="814"/>
      <c r="BU1" s="814"/>
      <c r="BV1" s="814"/>
      <c r="BW1" s="814"/>
      <c r="BX1" s="814">
        <f t="shared" ref="BX1:CH1" si="2">BX20</f>
        <v>0</v>
      </c>
      <c r="BY1" s="814">
        <f t="shared" si="2"/>
        <v>0</v>
      </c>
      <c r="BZ1" s="814">
        <f>BZ20</f>
        <v>0</v>
      </c>
      <c r="CA1" s="814">
        <f>CA20</f>
        <v>0</v>
      </c>
      <c r="CB1" s="814"/>
      <c r="CC1" s="814"/>
      <c r="CD1" s="814">
        <f t="shared" si="2"/>
        <v>0</v>
      </c>
      <c r="CE1" s="814">
        <f t="shared" si="2"/>
        <v>0</v>
      </c>
      <c r="CF1" s="814">
        <f t="shared" si="2"/>
        <v>0</v>
      </c>
      <c r="CG1" s="814">
        <f t="shared" si="2"/>
        <v>0</v>
      </c>
      <c r="CH1" s="814">
        <f t="shared" si="2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  <c r="CM1" s="814">
        <f t="shared" si="0"/>
        <v>0</v>
      </c>
      <c r="CN1" s="814">
        <f t="shared" si="0"/>
        <v>0</v>
      </c>
      <c r="CO1" s="814">
        <f t="shared" si="0"/>
        <v>0</v>
      </c>
    </row>
    <row r="2" spans="1:93" s="456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456">
        <f t="array" ref="AF2">SUM(IF(L$23:L$243="",0,1)*IF(ISBLANK($T$1),1,IF($I$23:$I$243=$T$1,1,0)))</f>
        <v>46</v>
      </c>
      <c r="AG2" s="456">
        <f t="array" ref="AG2">SUM(IF(ISBLANK(AG$23:AG$243),0,IF(AG$23:AG$243="susp",0,1))*IF(ISBLANK($T$1),1,IF($I$23:$I$243=$T$1,1,0)))</f>
        <v>40</v>
      </c>
      <c r="AH2" s="456">
        <f t="array" ref="AH2">SUM(IF(ISBLANK(AH$23:AH$243),0,IF(AH$23:AH$243="susp",0,1))*IF(ISBLANK($T$1),1,IF($I$23:$I$243=$T$1,1,0)))</f>
        <v>45</v>
      </c>
      <c r="AI2" s="456">
        <f t="array" ref="AI2">SUM(IF(ISBLANK(AI$23:AI$243),0,IF(AI$23:AI$243="susp",0,1))*IF(ISBLANK($T$1),1,IF($I$23:$I$243=$T$1,1,0)))</f>
        <v>45</v>
      </c>
      <c r="AJ2" s="874"/>
      <c r="AL2" s="456">
        <f t="array" ref="AL2">SUM(IF(ISBLANK(AL$23:AL$243),0,IF(AL$23:AL$243="susp",0,1))*IF(ISBLANK($T$1),1,IF($I$23:$I$243=$T$1,1,0)))</f>
        <v>46</v>
      </c>
      <c r="AM2" s="456">
        <f t="array" ref="AM2">SUM(IF(ISBLANK(AM$23:AM$243),0,IF(AM$23:AM$243="susp",0,1))*IF(ISBLANK($T$1),1,IF($I$23:$I$243=$T$1,1,0)))</f>
        <v>45</v>
      </c>
      <c r="AN2" s="873"/>
      <c r="AO2" s="456">
        <f t="array" ref="AO2">SUM(IF(ISBLANK(AO$23:AO$243),0,IF(AO$23:AO$243="susp",0,1))*IF(ISBLANK($T$1),1,IF($I$23:$I$243=$T$1,1,0)))</f>
        <v>46</v>
      </c>
      <c r="AP2" s="456">
        <f t="array" ref="AP2">SUM(IF(ISBLANK(AP$23:AP$243),0,IF(AP$23:AP$243="susp",0,1))*IF(ISBLANK($T$1),1,IF($I$23:$I$243=$T$1,1,0)))</f>
        <v>46</v>
      </c>
      <c r="AQ2" s="456">
        <f t="array" ref="AQ2">SUM(IF(ISBLANK(AQ$23:AQ$243),0,IF(AQ$23:AQ$243="susp",0,1))*IF(ISBLANK($T$1),1,IF($I$23:$I$243=$T$1,1,0)))</f>
        <v>44</v>
      </c>
      <c r="AR2" s="456">
        <f t="array" ref="AR2">SUM(IF(ISBLANK(AR$23:AR$243),0,IF(AR$23:AR$243="susp",0,1))*IF(ISBLANK($T$1),1,IF($I$23:$I$243=$T$1,1,0)))</f>
        <v>45</v>
      </c>
      <c r="AS2" s="456">
        <f t="array" ref="AS2">SUM(IF(ISBLANK(AS$23:AS$243),0,IF(AS$23:AS$243="susp",0,1))*IF(ISBLANK($T$1),1,IF($I$23:$I$243=$T$1,1,0)))</f>
        <v>44</v>
      </c>
      <c r="AT2" s="874">
        <f t="array" ref="AT2">SUM(IF(ISBLANK(AT$23:AT$243),0,IF(AT$23:AT$243="susp",0,1))*IF(ISBLANK($T$1),1,IF($I$23:$I$243=$T$1,1,0)))</f>
        <v>21</v>
      </c>
      <c r="AU2" s="874"/>
      <c r="AV2" s="874"/>
      <c r="AW2" s="456">
        <f t="array" ref="AW2">SUM(IF(ISBLANK(AW$23:AW$243),0,IF(AW$23:AW$243="susp",0,1))*IF(ISBLANK($T$1),1,IF($I$23:$I$243=$T$1,1,0)))</f>
        <v>46</v>
      </c>
      <c r="AX2" s="456">
        <f t="array" ref="AX2">SUM(IF(ISBLANK(AX$23:AX$243),0,IF(AX$23:AX$243="susp",0,1))*IF(ISBLANK($T$1),1,IF($I$23:$I$243=$T$1,1,0)))</f>
        <v>44</v>
      </c>
      <c r="AY2" s="869"/>
      <c r="BA2" s="874"/>
      <c r="BB2" s="456">
        <f t="array" ref="BB2">SUM(IF(ISBLANK(BB$23:BB$243),0,IF(BB$23:BB$243="susp",0,1))*IF(ISBLANK($T$1),1,IF($I$23:$I$243=$T$1,1,0)))</f>
        <v>43</v>
      </c>
      <c r="BC2" s="456">
        <f t="array" ref="BC2">SUM(IF(ISBLANK(BC$23:BC$243),0,IF(BC$23:BC$243="susp",0,1))*IF(ISBLANK($T$1),1,IF($I$23:$I$243=$T$1,1,0)))</f>
        <v>45</v>
      </c>
      <c r="BD2" s="456">
        <f t="array" ref="BD2">SUM(IF(ISBLANK(BD$23:BD$243),0,IF(BD$23:BD$243="susp",0,1))*IF(ISBLANK($T$1),1,IF($I$23:$I$243=$T$1,1,0)))</f>
        <v>46</v>
      </c>
      <c r="BF2" s="872"/>
      <c r="BI2" s="456">
        <f t="array" ref="BI2">SUM(IF(ISBLANK(BI$23:BI$243),0,IF(BI$23:BI$243="susp",0,1))*IF(ISBLANK($T$1),1,IF($I$23:$I$243=$T$1,1,0)))</f>
        <v>38</v>
      </c>
      <c r="BJ2" s="874"/>
      <c r="BK2" s="874"/>
      <c r="BM2" s="456">
        <f t="array" ref="BM2">SUM(IF(ISBLANK(BM$23:BM$243),0,IF(BM$23:BM$243="susp",0,1))*IF(ISBLANK($T$1),1,IF($I$23:$I$243=$T$1,1,0)))</f>
        <v>23</v>
      </c>
      <c r="BN2" s="456">
        <f t="array" ref="BN2">SUM(IF(ISBLANK(BN$23:BN$243),0,IF(BN$23:BN$243="susp",0,1))*IF(ISBLANK($T$1),1,IF($I$23:$I$243=$T$1,1,0)))</f>
        <v>18</v>
      </c>
      <c r="BO2" s="874"/>
      <c r="BP2" s="456">
        <f t="array" ref="BP2">SUM(IF(ISBLANK(BP$23:BP$243),0,IF(BP$23:BP$243="susp",0,1))*IF(ISBLANK($T$1),1,IF($I$23:$I$243=$T$1,1,0)))</f>
        <v>0</v>
      </c>
      <c r="BQ2" s="874"/>
      <c r="BS2" s="456">
        <f t="array" ref="BS2">SUM(IF(ISBLANK(BS$41:BS$243),0,IF(BS$41:BS$243="susp",0,1))*IF(ISBLANK($T$1),1,IF($I$23:$I$243=$T$1,1,0)))</f>
        <v>0</v>
      </c>
      <c r="BT2" s="870"/>
      <c r="BU2" s="870"/>
      <c r="BV2" s="870"/>
      <c r="BW2" s="870"/>
      <c r="BX2" s="456">
        <f t="array" ref="BX2">SUM(IF(ISBLANK(BX$23:BX$243),0,IF(BX$23:BX$243="susp",0,1))*IF(ISBLANK($T$1),1,IF($I$23:$I$243=$T$1,1,0)))</f>
        <v>0</v>
      </c>
      <c r="BY2" s="456">
        <f t="array" ref="BY2">SUM(IF(ISBLANK(BY$23:BY$243),0,IF(BY$23:BY$243="susp",0,1))*IF(ISBLANK($T$1),1,IF($I$23:$I$243=$T$1,1,0)))</f>
        <v>0</v>
      </c>
      <c r="BZ2" s="456">
        <f t="array" ref="BZ2">SUM(IF(ISBLANK(BZ$23:BZ$243),0,IF(BZ$23:BZ$243="susp",0,1))*IF(ISBLANK($T$1),1,IF($I$23:$I$243=$T$1,1,0)))</f>
        <v>0</v>
      </c>
      <c r="CA2" s="456">
        <f t="array" ref="CA2">SUM(IF(ISBLANK(CA$23:CA$243),0,IF(CA$23:CA$243="susp",0,1))*IF(ISBLANK($T$1),1,IF($I$23:$I$243=$T$1,1,0)))</f>
        <v>0</v>
      </c>
      <c r="CC2" s="869"/>
      <c r="CD2" s="456">
        <f t="array" ref="CD2">SUM(IF(ISBLANK(CD$23:CD$243),0,IF(CD$23:CD$243="susp",0,1))*IF(ISBLANK($T$1),1,IF($I$23:$I$243=$T$1,1,0)))</f>
        <v>0</v>
      </c>
      <c r="CE2" s="456">
        <f t="array" ref="CE2">SUM(IF(ISBLANK(CE$23:CE$243),0,IF(CE$23:CE$243="susp",0,1))*IF(ISBLANK($T$1),1,IF($I$23:$I$243=$T$1,1,0)))</f>
        <v>0</v>
      </c>
      <c r="CF2" s="456">
        <f t="array" ref="CF2">SUM(IF(ISBLANK(CF$23:CF$243),0,IF(CF$23:CF$243="susp",0,1))*IF(ISBLANK($T$1),1,IF($I$23:$I$243=$T$1,1,0)))</f>
        <v>0</v>
      </c>
      <c r="CG2" s="456">
        <f t="array" ref="CG2">SUM(IF(ISBLANK(CG$23:CG$243),0,IF(CG$23:CG$243="susp",0,1))*IF(ISBLANK($T$1),1,IF($I$23:$I$243=$T$1,1,0)))</f>
        <v>0</v>
      </c>
      <c r="CH2" s="456">
        <f t="array" ref="CH2">SUM(IF(ISBLANK(CH$23:CH$243),0,IF(CH$23:CH$243="susp",0,1))*IF(ISBLANK($T$1),1,IF($I$23:$I$243=$T$1,1,0)))</f>
        <v>0</v>
      </c>
      <c r="CI2" s="456">
        <f t="array" ref="CI2">SUM(IF(ISBLANK(CI$23:CI$243),0,IF(CI$23:CI$243="susp",0,1))*IF(ISBLANK($T$1),1,IF($I$23:$I$243=$T$1,1,0)))</f>
        <v>0</v>
      </c>
      <c r="CJ2" s="456">
        <f t="array" ref="CJ2">SUM(IF(ISBLANK(CJ$23:CJ$243),0,IF(CJ$23:CJ$243="susp",0,1))*IF(ISBLANK($T$1),1,IF($I$23:$I$243=$T$1,1,0)))</f>
        <v>0</v>
      </c>
      <c r="CK2" s="456">
        <f t="array" ref="CK2">SUM(IF(ISBLANK(CK$23:CK$243),0,IF(CK$23:CK$243="susp",0,1))*IF(ISBLANK($T$1),1,IF($I$23:$I$243=$T$1,1,0)))</f>
        <v>0</v>
      </c>
      <c r="CL2" s="456">
        <f t="array" ref="CL2">SUM(IF(ISBLANK(CL$23:CL$243),0,IF(CL$23:CL$243="susp",0,1))*IF(ISBLANK($T$1),1,IF($I$23:$I$243=$T$1,1,0)))</f>
        <v>0</v>
      </c>
      <c r="CM2" s="456">
        <f t="array" ref="CM2">SUM(IF(ISBLANK(CM$23:CM$243),0,IF(CM$23:CM$243="susp",0,1))*IF(ISBLANK($T$1),1,IF($I$23:$I$243=$T$1,1,0)))</f>
        <v>16</v>
      </c>
      <c r="CN2" s="456">
        <f t="array" ref="CN2">SUM(IF(ISBLANK(CN$23:CN$243),0,IF(CN$23:CN$243="susp",0,1))*IF(ISBLANK($T$1),1,IF($I$23:$I$243=$T$1,1,0)))</f>
        <v>16</v>
      </c>
      <c r="CO2" s="456">
        <f t="array" ref="CO2">SUM(IF(ISBLANK(CO$23:CO$243),0,IF(CO$23:CO$243="susp",0,1))*IF(ISBLANK($T$1),1,IF($I$23:$I$243=$T$1,1,0)))</f>
        <v>15</v>
      </c>
    </row>
    <row r="3" spans="1:93" s="456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456">
        <f t="array" ref="AF3">SUM(IF(L$23:L$243="W",1,0)*IF(ISBLANK($T$1),1,IF($I$23:$I$243=$T$1,1,0)))</f>
        <v>23</v>
      </c>
      <c r="AG3" s="456">
        <f t="array" ref="AG3">SUM(IF(ISTEXT(AG$23:AG$243),1,0)*IF(($L$23:$L$243)="W",1,0)*IF(ISBLANK($T$1),1,IF($I$23:$I$243=$T$1,1,0)))</f>
        <v>20</v>
      </c>
      <c r="AH3" s="456">
        <f t="array" ref="AH3">SUM(IF(ISTEXT(AH$23:AH$243),1,0)*IF(($L$23:$L$243)="W",1,0)*IF(ISBLANK($T$1),1,IF($I$23:$I$243=$T$1,1,0)))</f>
        <v>22</v>
      </c>
      <c r="AI3" s="456">
        <f t="array" ref="AI3">SUM(IF(ISTEXT(AI$23:AI$243),1,0)*IF(($L$23:$L$243)="W",1,0)*IF(ISBLANK($T$1),1,IF($I$23:$I$243=$T$1,1,0)))</f>
        <v>22</v>
      </c>
      <c r="AJ3" s="874"/>
      <c r="AL3" s="456">
        <f t="array" ref="AL3">SUM(IF(ISTEXT(AL$23:AL$243),1,0)*IF(($L$23:$L$243)="W",1,0)*IF(ISBLANK($T$1),1,IF($I$23:$I$243=$T$1,1,0)))</f>
        <v>23</v>
      </c>
      <c r="AM3" s="456">
        <f t="array" ref="AM3">SUM(IF(ISTEXT(AM$23:AM$243),1,0)*IF(($L$23:$L$243)="W",1,0)*IF(ISBLANK($T$1),1,IF($I$23:$I$243=$T$1,1,0)))</f>
        <v>22</v>
      </c>
      <c r="AN3" s="873"/>
      <c r="AO3" s="456">
        <f t="array" ref="AO3">SUM(IF(ISTEXT(AO$23:AO$243),1,0)*IF(($L$23:$L$243)="W",1,0)*IF(ISBLANK($T$1),1,IF($I$23:$I$243=$T$1,1,0)))</f>
        <v>23</v>
      </c>
      <c r="AP3" s="456">
        <f t="array" ref="AP3">SUM(IF(ISTEXT(AP$23:AP$243),1,0)*IF(($L$23:$L$243)="W",1,0)*IF(ISBLANK($T$1),1,IF($I$23:$I$243=$T$1,1,0)))</f>
        <v>23</v>
      </c>
      <c r="AQ3" s="456">
        <f t="array" ref="AQ3">SUM(IF(ISTEXT(AQ$23:AQ$243),1,0)*IF(($L$23:$L$243)="W",1,0)*IF(ISBLANK($T$1),1,IF($I$23:$I$243=$T$1,1,0)))</f>
        <v>21</v>
      </c>
      <c r="AR3" s="456">
        <f t="array" ref="AR3">SUM(IF(ISTEXT(AR$23:AR$243),1,0)*IF(($L$23:$L$243)="W",1,0)*IF(ISBLANK($T$1),1,IF($I$23:$I$243=$T$1,1,0)))</f>
        <v>22</v>
      </c>
      <c r="AS3" s="456">
        <f t="array" ref="AS3">SUM(IF(ISTEXT(AS$23:AS$243),1,0)*IF(($L$23:$L$243)="W",1,0)*IF(ISBLANK($T$1),1,IF($I$23:$I$243=$T$1,1,0)))</f>
        <v>21</v>
      </c>
      <c r="AT3" s="874">
        <f t="array" ref="AT3">SUM(IF(ISTEXT(AT$23:AT$243),1,0)*IF(($L$23:$L$243)="W",1,0)*IF(ISBLANK($T$1),1,IF($I$23:$I$243=$T$1,1,0)))</f>
        <v>7</v>
      </c>
      <c r="AU3" s="874"/>
      <c r="AV3" s="874"/>
      <c r="AW3" s="456">
        <f t="array" ref="AW3">SUM(IF(ISTEXT(AW$23:AW$243),1,0)*IF(($L$23:$L$243)="W",1,0)*IF(ISBLANK($T$1),1,IF($I$23:$I$243=$T$1,1,0)))</f>
        <v>23</v>
      </c>
      <c r="AX3" s="456">
        <f t="array" ref="AX3">SUM(IF(ISTEXT(AX$23:AX$243),1,0)*IF(($L$23:$L$243)="W",1,0)*IF(ISBLANK($T$1),1,IF($I$23:$I$243=$T$1,1,0)))</f>
        <v>21</v>
      </c>
      <c r="AY3" s="869"/>
      <c r="BA3" s="874"/>
      <c r="BB3" s="456">
        <f t="array" ref="BB3">SUM(IF(ISTEXT(BB$23:BB$243),1,0)*IF(($L$23:$L$243)="W",1,0)*IF(ISBLANK($T$1),1,IF($I$23:$I$243=$T$1,1,0)))</f>
        <v>20</v>
      </c>
      <c r="BC3" s="456">
        <f t="array" ref="BC3">SUM(IF(ISTEXT(BC$23:BC$243),1,0)*IF(($L$23:$L$243)="W",1,0)*IF(ISBLANK($T$1),1,IF($I$23:$I$243=$T$1,1,0)))</f>
        <v>22</v>
      </c>
      <c r="BD3" s="456">
        <f t="array" ref="BD3">SUM(IF(ISTEXT(BD$23:BD$243),1,0)*IF(($L$23:$L$243)="W",1,0)*IF(ISBLANK($T$1),1,IF($I$23:$I$243=$T$1,1,0)))</f>
        <v>23</v>
      </c>
      <c r="BF3" s="872"/>
      <c r="BI3" s="456">
        <f t="array" ref="BI3">SUM(IF(ISTEXT(BI$23:BI$243),1,0)*IF(($L$23:$L$243)="W",1,0)*IF(ISBLANK($T$1),1,IF($I$23:$I$243=$T$1,1,0)))</f>
        <v>18</v>
      </c>
      <c r="BJ3" s="874"/>
      <c r="BK3" s="874"/>
      <c r="BM3" s="456">
        <f t="array" ref="BM3">SUM(IF(ISTEXT(BM$23:BM$243),1,0)*IF(($L$23:$L$243)="W",1,0)*IF(ISBLANK($T$1),1,IF($I$23:$I$243=$T$1,1,0)))</f>
        <v>14</v>
      </c>
      <c r="BN3" s="456">
        <f t="array" ref="BN3">SUM(IF(ISTEXT(BN$23:BN$243),1,0)*IF(($L$23:$L$243)="W",1,0)*IF(ISBLANK($T$1),1,IF($I$23:$I$243=$T$1,1,0)))</f>
        <v>10</v>
      </c>
      <c r="BO3" s="874"/>
      <c r="BP3" s="456">
        <f t="array" ref="BP3">SUM(IF(ISTEXT(BP$23:BP$243),1,0)*IF(($L$23:$L$243)="W",1,0)*IF(ISBLANK($T$1),1,IF($I$23:$I$243=$T$1,1,0)))</f>
        <v>0</v>
      </c>
      <c r="BQ3" s="874"/>
      <c r="BS3" s="456" t="e">
        <f t="array" ref="BS3">SUM(IF(ISTEXT(BS$41:BS$243),1,0)*IF(($L$23:$L$243)="W",1,0)*IF(ISBLANK($T$1),1,IF($I$23:$I$243=$T$1,1,0)))</f>
        <v>#N/A</v>
      </c>
      <c r="BT3" s="870"/>
      <c r="BU3" s="870"/>
      <c r="BV3" s="870"/>
      <c r="BW3" s="870"/>
      <c r="BX3" s="456">
        <f t="array" ref="BX3">SUM(IF(ISTEXT(BX$23:BX$243),1,0)*IF(($L$23:$L$243)="W",1,0)*IF(ISBLANK($T$1),1,IF($I$23:$I$243=$T$1,1,0)))</f>
        <v>0</v>
      </c>
      <c r="BY3" s="456">
        <f t="array" ref="BY3">SUM(IF(ISTEXT(BY$23:BY$243),1,0)*IF(($L$23:$L$243)="W",1,0)*IF(ISBLANK($T$1),1,IF($I$23:$I$243=$T$1,1,0)))</f>
        <v>0</v>
      </c>
      <c r="BZ3" s="456">
        <f t="array" ref="BZ3">SUM(IF(ISTEXT(BZ$23:BZ$243),1,0)*IF(($L$23:$L$243)="W",1,0)*IF(ISBLANK($T$1),1,IF($I$23:$I$243=$T$1,1,0)))</f>
        <v>0</v>
      </c>
      <c r="CA3" s="456">
        <f t="array" ref="CA3">SUM(IF(ISTEXT(CA$23:CA$243),1,0)*IF(($L$23:$L$243)="W",1,0)*IF(ISBLANK($T$1),1,IF($I$23:$I$243=$T$1,1,0)))</f>
        <v>0</v>
      </c>
      <c r="CC3" s="869"/>
      <c r="CD3" s="456">
        <f t="array" ref="CD3">SUM(IF(ISTEXT(CD$23:CD$243),1,0)*IF(($L$23:$L$243)="W",1,0)*IF(ISBLANK($T$1),1,IF($I$23:$I$243=$T$1,1,0)))</f>
        <v>0</v>
      </c>
      <c r="CE3" s="456">
        <f t="array" ref="CE3">SUM(IF(ISTEXT(CE$23:CE$243),1,0)*IF(($L$23:$L$243)="W",1,0)*IF(ISBLANK($T$1),1,IF($I$23:$I$243=$T$1,1,0)))</f>
        <v>0</v>
      </c>
      <c r="CF3" s="456">
        <f t="array" ref="CF3">SUM(IF(ISTEXT(CF$23:CF$243),1,0)*IF(($L$23:$L$243)="W",1,0)*IF(ISBLANK($T$1),1,IF($I$23:$I$243=$T$1,1,0)))</f>
        <v>0</v>
      </c>
      <c r="CG3" s="456">
        <f t="array" ref="CG3">SUM(IF(ISTEXT(CG$23:CG$243),1,0)*IF(($L$23:$L$243)="W",1,0)*IF(ISBLANK($T$1),1,IF($I$23:$I$243=$T$1,1,0)))</f>
        <v>0</v>
      </c>
      <c r="CH3" s="456">
        <f t="array" ref="CH3">SUM(IF(ISTEXT(CH$23:CH$243),1,0)*IF(($L$23:$L$243)="W",1,0)*IF(ISBLANK($T$1),1,IF($I$23:$I$243=$T$1,1,0)))</f>
        <v>0</v>
      </c>
      <c r="CI3" s="456">
        <f t="array" ref="CI3">SUM(IF(ISTEXT(CI$23:CI$243),1,0)*IF(($L$23:$L$243)="W",1,0)*IF(ISBLANK($T$1),1,IF($I$23:$I$243=$T$1,1,0)))</f>
        <v>0</v>
      </c>
      <c r="CJ3" s="456">
        <f t="array" ref="CJ3">SUM(IF(ISTEXT(CJ$23:CJ$243),1,0)*IF(($L$23:$L$243)="W",1,0)*IF(ISBLANK($T$1),1,IF($I$23:$I$243=$T$1,1,0)))</f>
        <v>0</v>
      </c>
      <c r="CK3" s="456">
        <f t="array" ref="CK3">SUM(IF(ISTEXT(CK$23:CK$243),1,0)*IF(($L$23:$L$243)="W",1,0)*IF(ISBLANK($T$1),1,IF($I$23:$I$243=$T$1,1,0)))</f>
        <v>0</v>
      </c>
      <c r="CL3" s="456">
        <f t="array" ref="CL3">SUM(IF(ISTEXT(CL$23:CL$243),1,0)*IF(($L$23:$L$243)="W",1,0)*IF(ISBLANK($T$1),1,IF($I$23:$I$243=$T$1,1,0)))</f>
        <v>0</v>
      </c>
      <c r="CM3" s="456">
        <f t="array" ref="CM3">SUM(IF(ISTEXT(CM$23:CM$243),1,0)*IF(($L$23:$L$243)="W",1,0)*IF(ISBLANK($T$1),1,IF($I$23:$I$243=$T$1,1,0)))</f>
        <v>8</v>
      </c>
      <c r="CN3" s="456">
        <f t="array" ref="CN3">SUM(IF(ISTEXT(CN$23:CN$243),1,0)*IF(($L$23:$L$243)="W",1,0)*IF(ISBLANK($T$1),1,IF($I$23:$I$243=$T$1,1,0)))</f>
        <v>8</v>
      </c>
      <c r="CO3" s="456">
        <f t="array" ref="CO3">SUM(IF(ISTEXT(CO$23:CO$243),1,0)*IF(($L$23:$L$243)="W",1,0)*IF(ISBLANK($T$1),1,IF($I$23:$I$243=$T$1,1,0)))</f>
        <v>7</v>
      </c>
    </row>
    <row r="4" spans="1:93" s="456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456">
        <f t="array" ref="AF4">SUM(IF(L$23:L$243="D",1,0)*IF(ISBLANK($T$1),1,IF($I$23:$I$243=$T$1,1,0)))</f>
        <v>12</v>
      </c>
      <c r="AG4" s="456">
        <f t="array" ref="AG4">SUM(IF(ISTEXT(AG$23:AG$243),1,0)*IF(($L$23:$L$243)="D",1,0)*IF(ISBLANK($T$1),1,IF($I$23:$I$243=$T$1,1,0)))</f>
        <v>11</v>
      </c>
      <c r="AH4" s="456">
        <f t="array" ref="AH4">SUM(IF(ISTEXT(AH$23:AH$243),1,0)*IF(($L$23:$L$243)="D",1,0)*IF(ISBLANK($T$1),1,IF($I$23:$I$243=$T$1,1,0)))</f>
        <v>12</v>
      </c>
      <c r="AI4" s="456">
        <f t="array" ref="AI4">SUM(IF(ISTEXT(AI$23:AI$243),1,0)*IF(($L$23:$L$243)="D",1,0)*IF(ISBLANK($T$1),1,IF($I$23:$I$243=$T$1,1,0)))</f>
        <v>12</v>
      </c>
      <c r="AJ4" s="874"/>
      <c r="AL4" s="456">
        <f t="array" ref="AL4">SUM(IF(ISTEXT(AL$23:AL$243),1,0)*IF(($L$23:$L$243)="D",1,0)*IF(ISBLANK($T$1),1,IF($I$23:$I$243=$T$1,1,0)))</f>
        <v>12</v>
      </c>
      <c r="AM4" s="456">
        <f t="array" ref="AM4">SUM(IF(ISTEXT(AM$23:AM$243),1,0)*IF(($L$23:$L$243)="D",1,0)*IF(ISBLANK($T$1),1,IF($I$23:$I$243=$T$1,1,0)))</f>
        <v>12</v>
      </c>
      <c r="AN4" s="873"/>
      <c r="AO4" s="456">
        <f t="array" ref="AO4">SUM(IF(ISTEXT(AO$23:AO$243),1,0)*IF(($L$23:$L$243)="D",1,0)*IF(ISBLANK($T$1),1,IF($I$23:$I$243=$T$1,1,0)))</f>
        <v>12</v>
      </c>
      <c r="AP4" s="456">
        <f t="array" ref="AP4">SUM(IF(ISTEXT(AP$23:AP$243),1,0)*IF(($L$23:$L$243)="D",1,0)*IF(ISBLANK($T$1),1,IF($I$23:$I$243=$T$1,1,0)))</f>
        <v>12</v>
      </c>
      <c r="AQ4" s="456">
        <f t="array" ref="AQ4">SUM(IF(ISTEXT(AQ$23:AQ$243),1,0)*IF(($L$23:$L$243)="D",1,0)*IF(ISBLANK($T$1),1,IF($I$23:$I$243=$T$1,1,0)))</f>
        <v>12</v>
      </c>
      <c r="AR4" s="456">
        <f t="array" ref="AR4">SUM(IF(ISTEXT(AR$23:AR$243),1,0)*IF(($L$23:$L$243)="D",1,0)*IF(ISBLANK($T$1),1,IF($I$23:$I$243=$T$1,1,0)))</f>
        <v>12</v>
      </c>
      <c r="AS4" s="456">
        <f t="array" ref="AS4">SUM(IF(ISTEXT(AS$23:AS$243),1,0)*IF(($L$23:$L$243)="D",1,0)*IF(ISBLANK($T$1),1,IF($I$23:$I$243=$T$1,1,0)))</f>
        <v>12</v>
      </c>
      <c r="AT4" s="874">
        <f t="array" ref="AT4">SUM(IF(ISTEXT(AT$23:AT$243),1,0)*IF(($L$23:$L$243)="D",1,0)*IF(ISBLANK($T$1),1,IF($I$23:$I$243=$T$1,1,0)))</f>
        <v>8</v>
      </c>
      <c r="AU4" s="874"/>
      <c r="AV4" s="874"/>
      <c r="AW4" s="456">
        <f t="array" ref="AW4">SUM(IF(ISTEXT(AW$23:AW$243),1,0)*IF(($L$23:$L$243)="D",1,0)*IF(ISBLANK($T$1),1,IF($I$23:$I$243=$T$1,1,0)))</f>
        <v>12</v>
      </c>
      <c r="AX4" s="456">
        <f t="array" ref="AX4">SUM(IF(ISTEXT(AX$23:AX$243),1,0)*IF(($L$23:$L$243)="D",1,0)*IF(ISBLANK($T$1),1,IF($I$23:$I$243=$T$1,1,0)))</f>
        <v>12</v>
      </c>
      <c r="AY4" s="869"/>
      <c r="BA4" s="874"/>
      <c r="BB4" s="456">
        <f t="array" ref="BB4">SUM(IF(ISTEXT(BB$23:BB$243),1,0)*IF(($L$23:$L$243)="D",1,0)*IF(ISBLANK($T$1),1,IF($I$23:$I$243=$T$1,1,0)))</f>
        <v>12</v>
      </c>
      <c r="BC4" s="456">
        <f t="array" ref="BC4">SUM(IF(ISTEXT(BC$23:BC$243),1,0)*IF(($L$23:$L$243)="D",1,0)*IF(ISBLANK($T$1),1,IF($I$23:$I$243=$T$1,1,0)))</f>
        <v>12</v>
      </c>
      <c r="BD4" s="456">
        <f t="array" ref="BD4">SUM(IF(ISTEXT(BD$23:BD$243),1,0)*IF(($L$23:$L$243)="D",1,0)*IF(ISBLANK($T$1),1,IF($I$23:$I$243=$T$1,1,0)))</f>
        <v>12</v>
      </c>
      <c r="BF4" s="872"/>
      <c r="BI4" s="456">
        <f t="array" ref="BI4">SUM(IF(ISTEXT(BI$23:BI$243),1,0)*IF(($L$23:$L$243)="D",1,0)*IF(ISBLANK($T$1),1,IF($I$23:$I$243=$T$1,1,0)))</f>
        <v>10</v>
      </c>
      <c r="BJ4" s="874"/>
      <c r="BK4" s="874"/>
      <c r="BM4" s="456">
        <f t="array" ref="BM4">SUM(IF(ISTEXT(BM$23:BM$243),1,0)*IF(($L$23:$L$243)="D",1,0)*IF(ISBLANK($T$1),1,IF($I$23:$I$243=$T$1,1,0)))</f>
        <v>4</v>
      </c>
      <c r="BN4" s="456">
        <f t="array" ref="BN4">SUM(IF(ISTEXT(BN$23:BN$243),1,0)*IF(($L$23:$L$243)="D",1,0)*IF(ISBLANK($T$1),1,IF($I$23:$I$243=$T$1,1,0)))</f>
        <v>3</v>
      </c>
      <c r="BO4" s="874"/>
      <c r="BP4" s="456">
        <f t="array" ref="BP4">SUM(IF(ISTEXT(BP$23:BP$243),1,0)*IF(($L$23:$L$243)="D",1,0)*IF(ISBLANK($T$1),1,IF($I$23:$I$243=$T$1,1,0)))</f>
        <v>0</v>
      </c>
      <c r="BQ4" s="874"/>
      <c r="BS4" s="456" t="e">
        <f t="array" ref="BS4">SUM(IF(ISTEXT(BS$41:BS$243),1,0)*IF(($L$23:$L$243)="D",1,0)*IF(ISBLANK($T$1),1,IF($I$23:$I$243=$T$1,1,0)))</f>
        <v>#N/A</v>
      </c>
      <c r="BT4" s="870"/>
      <c r="BU4" s="870"/>
      <c r="BV4" s="870"/>
      <c r="BW4" s="870"/>
      <c r="BX4" s="456">
        <f t="array" ref="BX4">SUM(IF(ISTEXT(BX$23:BX$243),1,0)*IF(($L$23:$L$243)="D",1,0)*IF(ISBLANK($T$1),1,IF($I$23:$I$243=$T$1,1,0)))</f>
        <v>0</v>
      </c>
      <c r="BY4" s="456">
        <f t="array" ref="BY4">SUM(IF(ISTEXT(BY$23:BY$243),1,0)*IF(($L$23:$L$243)="D",1,0)*IF(ISBLANK($T$1),1,IF($I$23:$I$243=$T$1,1,0)))</f>
        <v>0</v>
      </c>
      <c r="BZ4" s="456">
        <f t="array" ref="BZ4">SUM(IF(ISTEXT(BZ$23:BZ$243),1,0)*IF(($L$23:$L$243)="D",1,0)*IF(ISBLANK($T$1),1,IF($I$23:$I$243=$T$1,1,0)))</f>
        <v>0</v>
      </c>
      <c r="CA4" s="456">
        <f t="array" ref="CA4">SUM(IF(ISTEXT(CA$23:CA$243),1,0)*IF(($L$23:$L$243)="D",1,0)*IF(ISBLANK($T$1),1,IF($I$23:$I$243=$T$1,1,0)))</f>
        <v>0</v>
      </c>
      <c r="CC4" s="869"/>
      <c r="CD4" s="456">
        <f t="array" ref="CD4">SUM(IF(ISTEXT(CD$23:CD$243),1,0)*IF(($L$23:$L$243)="D",1,0)*IF(ISBLANK($T$1),1,IF($I$23:$I$243=$T$1,1,0)))</f>
        <v>0</v>
      </c>
      <c r="CE4" s="456">
        <f t="array" ref="CE4">SUM(IF(ISTEXT(CE$23:CE$243),1,0)*IF(($L$23:$L$243)="D",1,0)*IF(ISBLANK($T$1),1,IF($I$23:$I$243=$T$1,1,0)))</f>
        <v>0</v>
      </c>
      <c r="CF4" s="456">
        <f t="array" ref="CF4">SUM(IF(ISTEXT(CF$23:CF$243),1,0)*IF(($L$23:$L$243)="D",1,0)*IF(ISBLANK($T$1),1,IF($I$23:$I$243=$T$1,1,0)))</f>
        <v>0</v>
      </c>
      <c r="CG4" s="456">
        <f t="array" ref="CG4">SUM(IF(ISTEXT(CG$23:CG$243),1,0)*IF(($L$23:$L$243)="D",1,0)*IF(ISBLANK($T$1),1,IF($I$23:$I$243=$T$1,1,0)))</f>
        <v>0</v>
      </c>
      <c r="CH4" s="456">
        <f t="array" ref="CH4">SUM(IF(ISTEXT(CH$23:CH$243),1,0)*IF(($L$23:$L$243)="D",1,0)*IF(ISBLANK($T$1),1,IF($I$23:$I$243=$T$1,1,0)))</f>
        <v>0</v>
      </c>
      <c r="CI4" s="456">
        <f t="array" ref="CI4">SUM(IF(ISTEXT(CI$23:CI$243),1,0)*IF(($L$23:$L$243)="D",1,0)*IF(ISBLANK($T$1),1,IF($I$23:$I$243=$T$1,1,0)))</f>
        <v>0</v>
      </c>
      <c r="CJ4" s="456">
        <f t="array" ref="CJ4">SUM(IF(ISTEXT(CJ$23:CJ$243),1,0)*IF(($L$23:$L$243)="D",1,0)*IF(ISBLANK($T$1),1,IF($I$23:$I$243=$T$1,1,0)))</f>
        <v>0</v>
      </c>
      <c r="CK4" s="456">
        <f t="array" ref="CK4">SUM(IF(ISTEXT(CK$23:CK$243),1,0)*IF(($L$23:$L$243)="D",1,0)*IF(ISBLANK($T$1),1,IF($I$23:$I$243=$T$1,1,0)))</f>
        <v>0</v>
      </c>
      <c r="CL4" s="456">
        <f t="array" ref="CL4">SUM(IF(ISTEXT(CL$23:CL$243),1,0)*IF(($L$23:$L$243)="D",1,0)*IF(ISBLANK($T$1),1,IF($I$23:$I$243=$T$1,1,0)))</f>
        <v>0</v>
      </c>
      <c r="CM4" s="456">
        <f t="array" ref="CM4">SUM(IF(ISTEXT(CM$23:CM$243),1,0)*IF(($L$23:$L$243)="D",1,0)*IF(ISBLANK($T$1),1,IF($I$23:$I$243=$T$1,1,0)))</f>
        <v>4</v>
      </c>
      <c r="CN4" s="456">
        <f t="array" ref="CN4">SUM(IF(ISTEXT(CN$23:CN$243),1,0)*IF(($L$23:$L$243)="D",1,0)*IF(ISBLANK($T$1),1,IF($I$23:$I$243=$T$1,1,0)))</f>
        <v>4</v>
      </c>
      <c r="CO4" s="456">
        <f t="array" ref="CO4">SUM(IF(ISTEXT(CO$23:CO$243),1,0)*IF(($L$23:$L$243)="D",1,0)*IF(ISBLANK($T$1),1,IF($I$23:$I$243=$T$1,1,0)))</f>
        <v>4</v>
      </c>
    </row>
    <row r="5" spans="1:93" s="456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456">
        <f t="array" ref="AF5">SUM(IF(L$23:L$243="L",1,0)*IF(ISBLANK($T$1),1,IF($I$23:$I$243=$T$1,1,0)))</f>
        <v>11</v>
      </c>
      <c r="AG5" s="456">
        <f t="array" ref="AG5">SUM(IF(ISTEXT(AG$23:AG$243),1,0)*IF(($L$23:$L$243)="L",1,0)*IF(ISBLANK($T$1),1,IF($I$23:$I$243=$T$1,1,0)))</f>
        <v>9</v>
      </c>
      <c r="AH5" s="456">
        <f t="array" ref="AH5">SUM(IF(ISTEXT(AH$23:AH$243),1,0)*IF(($L$23:$L$243)="L",1,0)*IF(ISBLANK($T$1),1,IF($I$23:$I$243=$T$1,1,0)))</f>
        <v>11</v>
      </c>
      <c r="AI5" s="456">
        <f t="array" ref="AI5">SUM(IF(ISTEXT(AI$23:AI$243),1,0)*IF(($L$23:$L$243)="L",1,0)*IF(ISBLANK($T$1),1,IF($I$23:$I$243=$T$1,1,0)))</f>
        <v>11</v>
      </c>
      <c r="AJ5" s="874"/>
      <c r="AL5" s="456">
        <f t="array" ref="AL5">SUM(IF(ISTEXT(AL$23:AL$243),1,0)*IF(($L$23:$L$243)="L",1,0)*IF(ISBLANK($T$1),1,IF($I$23:$I$243=$T$1,1,0)))</f>
        <v>11</v>
      </c>
      <c r="AM5" s="456">
        <f t="array" ref="AM5">SUM(IF(ISTEXT(AM$23:AM$243),1,0)*IF(($L$23:$L$243)="L",1,0)*IF(ISBLANK($T$1),1,IF($I$23:$I$243=$T$1,1,0)))</f>
        <v>11</v>
      </c>
      <c r="AN5" s="873"/>
      <c r="AO5" s="456">
        <f t="array" ref="AO5">SUM(IF(ISTEXT(AO$23:AO$243),1,0)*IF(($L$23:$L$243)="L",1,0)*IF(ISBLANK($T$1),1,IF($I$23:$I$243=$T$1,1,0)))</f>
        <v>11</v>
      </c>
      <c r="AP5" s="456">
        <f t="array" ref="AP5">SUM(IF(ISTEXT(AP$23:AP$243),1,0)*IF(($L$23:$L$243)="L",1,0)*IF(ISBLANK($T$1),1,IF($I$23:$I$243=$T$1,1,0)))</f>
        <v>11</v>
      </c>
      <c r="AQ5" s="456">
        <f t="array" ref="AQ5">SUM(IF(ISTEXT(AQ$23:AQ$243),1,0)*IF(($L$23:$L$243)="L",1,0)*IF(ISBLANK($T$1),1,IF($I$23:$I$243=$T$1,1,0)))</f>
        <v>11</v>
      </c>
      <c r="AR5" s="456">
        <f t="array" ref="AR5">SUM(IF(ISTEXT(AR$23:AR$243),1,0)*IF(($L$23:$L$243)="L",1,0)*IF(ISBLANK($T$1),1,IF($I$23:$I$243=$T$1,1,0)))</f>
        <v>11</v>
      </c>
      <c r="AS5" s="456">
        <f t="array" ref="AS5">SUM(IF(ISTEXT(AS$23:AS$243),1,0)*IF(($L$23:$L$243)="L",1,0)*IF(ISBLANK($T$1),1,IF($I$23:$I$243=$T$1,1,0)))</f>
        <v>11</v>
      </c>
      <c r="AT5" s="874">
        <f t="array" ref="AT5">SUM(IF(ISTEXT(AT$23:AT$243),1,0)*IF(($L$23:$L$243)="L",1,0)*IF(ISBLANK($T$1),1,IF($I$23:$I$243=$T$1,1,0)))</f>
        <v>6</v>
      </c>
      <c r="AU5" s="874"/>
      <c r="AV5" s="874"/>
      <c r="AW5" s="456">
        <f t="array" ref="AW5">SUM(IF(ISTEXT(AW$23:AW$243),1,0)*IF(($L$23:$L$243)="L",1,0)*IF(ISBLANK($T$1),1,IF($I$23:$I$243=$T$1,1,0)))</f>
        <v>11</v>
      </c>
      <c r="AX5" s="456">
        <f t="array" ref="AX5">SUM(IF(ISTEXT(AX$23:AX$243),1,0)*IF(($L$23:$L$243)="L",1,0)*IF(ISBLANK($T$1),1,IF($I$23:$I$243=$T$1,1,0)))</f>
        <v>11</v>
      </c>
      <c r="AY5" s="869"/>
      <c r="BA5" s="874"/>
      <c r="BB5" s="456">
        <f t="array" ref="BB5">SUM(IF(ISTEXT(BB$23:BB$243),1,0)*IF(($L$23:$L$243)="L",1,0)*IF(ISBLANK($T$1),1,IF($I$23:$I$243=$T$1,1,0)))</f>
        <v>11</v>
      </c>
      <c r="BC5" s="456">
        <f t="array" ref="BC5">SUM(IF(ISTEXT(BC$23:BC$243),1,0)*IF(($L$23:$L$243)="L",1,0)*IF(ISBLANK($T$1),1,IF($I$23:$I$243=$T$1,1,0)))</f>
        <v>11</v>
      </c>
      <c r="BD5" s="456">
        <f t="array" ref="BD5">SUM(IF(ISTEXT(BD$23:BD$243),1,0)*IF(($L$23:$L$243)="L",1,0)*IF(ISBLANK($T$1),1,IF($I$23:$I$243=$T$1,1,0)))</f>
        <v>11</v>
      </c>
      <c r="BF5" s="872"/>
      <c r="BI5" s="456">
        <f t="array" ref="BI5">SUM(IF(ISTEXT(BI$23:BI$243),1,0)*IF(($L$23:$L$243)="L",1,0)*IF(ISBLANK($T$1),1,IF($I$23:$I$243=$T$1,1,0)))</f>
        <v>10</v>
      </c>
      <c r="BJ5" s="874"/>
      <c r="BK5" s="874"/>
      <c r="BM5" s="456">
        <f t="array" ref="BM5">SUM(IF(ISTEXT(BM$23:BM$243),1,0)*IF(($L$23:$L$243)="L",1,0)*IF(ISBLANK($T$1),1,IF($I$23:$I$243=$T$1,1,0)))</f>
        <v>5</v>
      </c>
      <c r="BN5" s="456">
        <f t="array" ref="BN5">SUM(IF(ISTEXT(BN$23:BN$243),1,0)*IF(($L$23:$L$243)="L",1,0)*IF(ISBLANK($T$1),1,IF($I$23:$I$243=$T$1,1,0)))</f>
        <v>5</v>
      </c>
      <c r="BO5" s="874"/>
      <c r="BP5" s="456">
        <f t="array" ref="BP5">SUM(IF(ISTEXT(BP$23:BP$243),1,0)*IF(($L$23:$L$243)="L",1,0)*IF(ISBLANK($T$1),1,IF($I$23:$I$243=$T$1,1,0)))</f>
        <v>0</v>
      </c>
      <c r="BQ5" s="874"/>
      <c r="BS5" s="456" t="e">
        <f t="array" ref="BS5">SUM(IF(ISTEXT(BS$41:BS$243),1,0)*IF(($L$23:$L$243)="L",1,0)*IF(ISBLANK($T$1),1,IF($I$23:$I$243=$T$1,1,0)))</f>
        <v>#N/A</v>
      </c>
      <c r="BT5" s="870"/>
      <c r="BU5" s="870"/>
      <c r="BV5" s="870"/>
      <c r="BW5" s="870"/>
      <c r="BX5" s="456">
        <f t="array" ref="BX5">SUM(IF(ISTEXT(BX$23:BX$243),1,0)*IF(($L$23:$L$243)="L",1,0)*IF(ISBLANK($T$1),1,IF($I$23:$I$243=$T$1,1,0)))</f>
        <v>0</v>
      </c>
      <c r="BY5" s="456">
        <f t="array" ref="BY5">SUM(IF(ISTEXT(BY$23:BY$243),1,0)*IF(($L$23:$L$243)="L",1,0)*IF(ISBLANK($T$1),1,IF($I$23:$I$243=$T$1,1,0)))</f>
        <v>0</v>
      </c>
      <c r="BZ5" s="456">
        <f t="array" ref="BZ5">SUM(IF(ISTEXT(BZ$23:BZ$243),1,0)*IF(($L$23:$L$243)="L",1,0)*IF(ISBLANK($T$1),1,IF($I$23:$I$243=$T$1,1,0)))</f>
        <v>0</v>
      </c>
      <c r="CA5" s="456">
        <f t="array" ref="CA5">SUM(IF(ISTEXT(CA$23:CA$243),1,0)*IF(($L$23:$L$243)="L",1,0)*IF(ISBLANK($T$1),1,IF($I$23:$I$243=$T$1,1,0)))</f>
        <v>0</v>
      </c>
      <c r="CC5" s="869"/>
      <c r="CD5" s="456">
        <f t="array" ref="CD5">SUM(IF(ISTEXT(CD$23:CD$243),1,0)*IF(($L$23:$L$243)="L",1,0)*IF(ISBLANK($T$1),1,IF($I$23:$I$243=$T$1,1,0)))</f>
        <v>0</v>
      </c>
      <c r="CE5" s="456">
        <f t="array" ref="CE5">SUM(IF(ISTEXT(CE$23:CE$243),1,0)*IF(($L$23:$L$243)="L",1,0)*IF(ISBLANK($T$1),1,IF($I$23:$I$243=$T$1,1,0)))</f>
        <v>0</v>
      </c>
      <c r="CF5" s="456">
        <f t="array" ref="CF5">SUM(IF(ISTEXT(CF$23:CF$243),1,0)*IF(($L$23:$L$243)="L",1,0)*IF(ISBLANK($T$1),1,IF($I$23:$I$243=$T$1,1,0)))</f>
        <v>0</v>
      </c>
      <c r="CG5" s="456">
        <f t="array" ref="CG5">SUM(IF(ISTEXT(CG$23:CG$243),1,0)*IF(($L$23:$L$243)="L",1,0)*IF(ISBLANK($T$1),1,IF($I$23:$I$243=$T$1,1,0)))</f>
        <v>0</v>
      </c>
      <c r="CH5" s="456">
        <f t="array" ref="CH5">SUM(IF(ISTEXT(CH$23:CH$243),1,0)*IF(($L$23:$L$243)="L",1,0)*IF(ISBLANK($T$1),1,IF($I$23:$I$243=$T$1,1,0)))</f>
        <v>0</v>
      </c>
      <c r="CI5" s="456">
        <f t="array" ref="CI5">SUM(IF(ISTEXT(CI$23:CI$243),1,0)*IF(($L$23:$L$243)="L",1,0)*IF(ISBLANK($T$1),1,IF($I$23:$I$243=$T$1,1,0)))</f>
        <v>0</v>
      </c>
      <c r="CJ5" s="456">
        <f t="array" ref="CJ5">SUM(IF(ISTEXT(CJ$23:CJ$243),1,0)*IF(($L$23:$L$243)="L",1,0)*IF(ISBLANK($T$1),1,IF($I$23:$I$243=$T$1,1,0)))</f>
        <v>0</v>
      </c>
      <c r="CK5" s="456">
        <f t="array" ref="CK5">SUM(IF(ISTEXT(CK$23:CK$243),1,0)*IF(($L$23:$L$243)="L",1,0)*IF(ISBLANK($T$1),1,IF($I$23:$I$243=$T$1,1,0)))</f>
        <v>0</v>
      </c>
      <c r="CL5" s="456">
        <f t="array" ref="CL5">SUM(IF(ISTEXT(CL$23:CL$243),1,0)*IF(($L$23:$L$243)="L",1,0)*IF(ISBLANK($T$1),1,IF($I$23:$I$243=$T$1,1,0)))</f>
        <v>0</v>
      </c>
      <c r="CM5" s="456">
        <f t="array" ref="CM5">SUM(IF(ISTEXT(CM$23:CM$243),1,0)*IF(($L$23:$L$243)="L",1,0)*IF(ISBLANK($T$1),1,IF($I$23:$I$243=$T$1,1,0)))</f>
        <v>4</v>
      </c>
      <c r="CN5" s="456">
        <f t="array" ref="CN5">SUM(IF(ISTEXT(CN$23:CN$243),1,0)*IF(($L$23:$L$243)="L",1,0)*IF(ISBLANK($T$1),1,IF($I$23:$I$243=$T$1,1,0)))</f>
        <v>4</v>
      </c>
      <c r="CO5" s="456">
        <f t="array" ref="CO5">SUM(IF(ISTEXT(CO$23:CO$243),1,0)*IF(($L$23:$L$243)="L",1,0)*IF(ISBLANK($T$1),1,IF($I$23:$I$243=$T$1,1,0)))</f>
        <v>4</v>
      </c>
    </row>
    <row r="6" spans="1:93" s="456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456">
        <f>AF$3*3+AF$4</f>
        <v>81</v>
      </c>
      <c r="AG6" s="456">
        <f t="shared" ref="AG6:CO6" si="3">AG$3*3+AG$4</f>
        <v>71</v>
      </c>
      <c r="AH6" s="456">
        <f t="shared" si="3"/>
        <v>78</v>
      </c>
      <c r="AI6" s="456">
        <f t="shared" si="3"/>
        <v>78</v>
      </c>
      <c r="AJ6" s="874"/>
      <c r="AL6" s="456">
        <f t="shared" si="3"/>
        <v>81</v>
      </c>
      <c r="AM6" s="456">
        <f t="shared" si="3"/>
        <v>78</v>
      </c>
      <c r="AN6" s="873"/>
      <c r="AO6" s="456">
        <f>AO$3*3+AO$4</f>
        <v>81</v>
      </c>
      <c r="AP6" s="456">
        <f t="shared" si="3"/>
        <v>81</v>
      </c>
      <c r="AQ6" s="456">
        <f>AQ$3*3+AQ$4</f>
        <v>75</v>
      </c>
      <c r="AR6" s="456">
        <f>AR$3*3+AR$4</f>
        <v>78</v>
      </c>
      <c r="AS6" s="456">
        <f t="shared" si="3"/>
        <v>75</v>
      </c>
      <c r="AT6" s="874">
        <f t="shared" si="3"/>
        <v>29</v>
      </c>
      <c r="AU6" s="874"/>
      <c r="AV6" s="874"/>
      <c r="AW6" s="456">
        <f t="shared" si="3"/>
        <v>81</v>
      </c>
      <c r="AX6" s="456">
        <f>AX$3*3+AX$4</f>
        <v>75</v>
      </c>
      <c r="AY6" s="869"/>
      <c r="BA6" s="874"/>
      <c r="BB6" s="456">
        <f>BB$3*3+BB$4</f>
        <v>72</v>
      </c>
      <c r="BC6" s="456">
        <f>BC$3*3+BC$4</f>
        <v>78</v>
      </c>
      <c r="BD6" s="456">
        <f>BD$3*3+BD$4</f>
        <v>81</v>
      </c>
      <c r="BF6" s="872"/>
      <c r="BI6" s="456">
        <f>BI$3*3+BI$4</f>
        <v>64</v>
      </c>
      <c r="BJ6" s="874"/>
      <c r="BK6" s="874"/>
      <c r="BM6" s="456">
        <f>BM$3*3+BM$4</f>
        <v>46</v>
      </c>
      <c r="BN6" s="456">
        <f>BN$3*3+BN$4</f>
        <v>33</v>
      </c>
      <c r="BO6" s="874"/>
      <c r="BP6" s="456">
        <f>BP$3*3+BP$4</f>
        <v>0</v>
      </c>
      <c r="BQ6" s="874"/>
      <c r="BS6" s="456" t="e">
        <f t="shared" si="3"/>
        <v>#N/A</v>
      </c>
      <c r="BT6" s="870"/>
      <c r="BU6" s="870"/>
      <c r="BV6" s="870"/>
      <c r="BW6" s="870"/>
      <c r="BX6" s="456">
        <f t="shared" ref="BX6:CH6" si="4">BX$3*3+BX$4</f>
        <v>0</v>
      </c>
      <c r="BY6" s="456">
        <f t="shared" si="4"/>
        <v>0</v>
      </c>
      <c r="BZ6" s="456">
        <f>BZ$3*3+BZ$4</f>
        <v>0</v>
      </c>
      <c r="CA6" s="456">
        <f>CA$3*3+CA$4</f>
        <v>0</v>
      </c>
      <c r="CC6" s="869"/>
      <c r="CD6" s="456">
        <f t="shared" si="4"/>
        <v>0</v>
      </c>
      <c r="CE6" s="456">
        <f t="shared" si="4"/>
        <v>0</v>
      </c>
      <c r="CF6" s="456">
        <f t="shared" si="4"/>
        <v>0</v>
      </c>
      <c r="CG6" s="456">
        <f t="shared" si="4"/>
        <v>0</v>
      </c>
      <c r="CH6" s="456">
        <f t="shared" si="4"/>
        <v>0</v>
      </c>
      <c r="CI6" s="456">
        <f t="shared" si="3"/>
        <v>0</v>
      </c>
      <c r="CJ6" s="456">
        <f t="shared" si="3"/>
        <v>0</v>
      </c>
      <c r="CK6" s="456">
        <f t="shared" si="3"/>
        <v>0</v>
      </c>
      <c r="CL6" s="456">
        <f t="shared" si="3"/>
        <v>0</v>
      </c>
      <c r="CM6" s="456">
        <f t="shared" si="3"/>
        <v>28</v>
      </c>
      <c r="CN6" s="456">
        <f t="shared" si="3"/>
        <v>28</v>
      </c>
      <c r="CO6" s="456">
        <f t="shared" si="3"/>
        <v>25</v>
      </c>
    </row>
    <row r="7" spans="1:93" s="456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456">
        <f t="shared" ref="AF7:CO7" si="5">AF6/AF2</f>
        <v>1.7608695652173914</v>
      </c>
      <c r="AG7" s="456">
        <f t="shared" si="5"/>
        <v>1.7749999999999999</v>
      </c>
      <c r="AH7" s="456">
        <f t="shared" si="5"/>
        <v>1.7333333333333334</v>
      </c>
      <c r="AI7" s="456">
        <f t="shared" si="5"/>
        <v>1.7333333333333334</v>
      </c>
      <c r="AJ7" s="874"/>
      <c r="AL7" s="456">
        <f t="shared" si="5"/>
        <v>1.7608695652173914</v>
      </c>
      <c r="AM7" s="456">
        <f t="shared" si="5"/>
        <v>1.7333333333333334</v>
      </c>
      <c r="AN7" s="873"/>
      <c r="AO7" s="456">
        <f>AO6/AO2</f>
        <v>1.7608695652173914</v>
      </c>
      <c r="AP7" s="456">
        <f t="shared" si="5"/>
        <v>1.7608695652173914</v>
      </c>
      <c r="AQ7" s="456">
        <f>AQ6/AQ2</f>
        <v>1.7045454545454546</v>
      </c>
      <c r="AR7" s="456">
        <f>AR6/AR2</f>
        <v>1.7333333333333334</v>
      </c>
      <c r="AS7" s="456">
        <f t="shared" ref="AS7:AT7" si="6">AS6/AS2</f>
        <v>1.7045454545454546</v>
      </c>
      <c r="AT7" s="874">
        <f t="shared" si="6"/>
        <v>1.3809523809523809</v>
      </c>
      <c r="AU7" s="874"/>
      <c r="AV7" s="874"/>
      <c r="AW7" s="456">
        <f t="shared" si="5"/>
        <v>1.7608695652173914</v>
      </c>
      <c r="AX7" s="456">
        <f>AX6/AX2</f>
        <v>1.7045454545454546</v>
      </c>
      <c r="AY7" s="869"/>
      <c r="BA7" s="874"/>
      <c r="BB7" s="456">
        <f>BB6/BB2</f>
        <v>1.6744186046511629</v>
      </c>
      <c r="BC7" s="456">
        <f>BC6/BC2</f>
        <v>1.7333333333333334</v>
      </c>
      <c r="BD7" s="456">
        <f>BD6/BD2</f>
        <v>1.7608695652173914</v>
      </c>
      <c r="BF7" s="872"/>
      <c r="BI7" s="456">
        <f>BI6/BI2</f>
        <v>1.6842105263157894</v>
      </c>
      <c r="BJ7" s="874"/>
      <c r="BK7" s="874"/>
      <c r="BM7" s="456">
        <f>BM6/BM2</f>
        <v>2</v>
      </c>
      <c r="BN7" s="456">
        <f>BN6/BN2</f>
        <v>1.8333333333333333</v>
      </c>
      <c r="BO7" s="874"/>
      <c r="BP7" s="456" t="e">
        <f>BP6/BP2</f>
        <v>#DIV/0!</v>
      </c>
      <c r="BQ7" s="874"/>
      <c r="BS7" s="456" t="e">
        <f t="shared" si="5"/>
        <v>#N/A</v>
      </c>
      <c r="BT7" s="870"/>
      <c r="BU7" s="870"/>
      <c r="BV7" s="870"/>
      <c r="BW7" s="870"/>
      <c r="BX7" s="456" t="e">
        <f t="shared" ref="BX7:CH7" si="7">BX6/BX2</f>
        <v>#DIV/0!</v>
      </c>
      <c r="BY7" s="456" t="e">
        <f t="shared" si="7"/>
        <v>#DIV/0!</v>
      </c>
      <c r="BZ7" s="456" t="e">
        <f>BZ6/BZ2</f>
        <v>#DIV/0!</v>
      </c>
      <c r="CA7" s="456" t="e">
        <f>CA6/CA2</f>
        <v>#DIV/0!</v>
      </c>
      <c r="CC7" s="869"/>
      <c r="CD7" s="456" t="e">
        <f t="shared" si="7"/>
        <v>#DIV/0!</v>
      </c>
      <c r="CE7" s="456" t="e">
        <f t="shared" si="7"/>
        <v>#DIV/0!</v>
      </c>
      <c r="CF7" s="456" t="e">
        <f t="shared" si="7"/>
        <v>#DIV/0!</v>
      </c>
      <c r="CG7" s="456" t="e">
        <f t="shared" si="7"/>
        <v>#DIV/0!</v>
      </c>
      <c r="CH7" s="456" t="e">
        <f t="shared" si="7"/>
        <v>#DIV/0!</v>
      </c>
      <c r="CI7" s="456" t="e">
        <f t="shared" si="5"/>
        <v>#DIV/0!</v>
      </c>
      <c r="CJ7" s="456" t="e">
        <f t="shared" si="5"/>
        <v>#DIV/0!</v>
      </c>
      <c r="CK7" s="456" t="e">
        <f t="shared" si="5"/>
        <v>#DIV/0!</v>
      </c>
      <c r="CL7" s="456" t="e">
        <f t="shared" si="5"/>
        <v>#DIV/0!</v>
      </c>
      <c r="CM7" s="456">
        <f t="shared" si="5"/>
        <v>1.75</v>
      </c>
      <c r="CN7" s="456">
        <f t="shared" si="5"/>
        <v>1.75</v>
      </c>
      <c r="CO7" s="456">
        <f t="shared" si="5"/>
        <v>1.6666666666666667</v>
      </c>
    </row>
    <row r="8" spans="1:93" s="456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456">
        <f t="array" ref="AF8">SUM(IF(($T$23:$T$243)="",0,$T$23:$T$243)*IF(ISBLANK($T$1),1,IF($I$23:$I$243=$T$1,1,0)))</f>
        <v>-15.419999999999998</v>
      </c>
      <c r="AG8" s="456">
        <f t="array" ref="AG8">SUM(IF(ISTEXT(AG$23:AG$243),1,0)*IF(($T$23:$T$243)="",0,$T$23:$T$243)*IF(ISBLANK($T$1),1,IF($I$23:$I$243=$T$1,1,0)))</f>
        <v>-14.230000000000002</v>
      </c>
      <c r="AH8" s="456">
        <f t="array" ref="AH8">SUM(IF(ISTEXT(AH$23:AH$243),1,0)*IF(($T$23:$T$243)="",0,$T$23:$T$243)*IF(ISBLANK($T$1),1,IF($I$23:$I$243=$T$1,1,0)))</f>
        <v>-13.97</v>
      </c>
      <c r="AI8" s="456">
        <f t="array" ref="AI8">SUM(IF(ISTEXT(AI$23:AI$243),1,0)*IF(($T$23:$T$243)="",0,$T$23:$T$243)*IF(ISBLANK($T$1),1,IF($I$23:$I$243=$T$1,1,0)))</f>
        <v>-14.089999999999998</v>
      </c>
      <c r="AJ8" s="874"/>
      <c r="AL8" s="456">
        <f t="array" ref="AL8">SUM(IF(ISTEXT(AL$23:AL$243),1,0)*IF(($T$23:$T$243)="",0,$T$23:$T$243)*IF(ISBLANK($T$1),1,IF($I$23:$I$243=$T$1,1,0)))</f>
        <v>-15.419999999999998</v>
      </c>
      <c r="AM8" s="456">
        <f t="array" ref="AM8">SUM(IF(ISTEXT(AM$23:AM$243),1,0)*IF(($T$23:$T$243)="",0,$T$23:$T$243)*IF(ISBLANK($T$1),1,IF($I$23:$I$243=$T$1,1,0)))</f>
        <v>-13.97</v>
      </c>
      <c r="AN8" s="873"/>
      <c r="AO8" s="456">
        <f t="array" ref="AO8">SUM(IF(ISTEXT(AO$23:AO$243),1,0)*IF(($T$23:$T$243)="",0,$T$23:$T$243)*IF(ISBLANK($T$1),1,IF($I$23:$I$243=$T$1,1,0)))</f>
        <v>-15.419999999999998</v>
      </c>
      <c r="AP8" s="456">
        <f t="array" ref="AP8">SUM(IF(ISTEXT(AP$23:AP$243),1,0)*IF(($T$23:$T$243)="",0,$T$23:$T$243)*IF(ISBLANK($T$1),1,IF($I$23:$I$243=$T$1,1,0)))</f>
        <v>-15.419999999999998</v>
      </c>
      <c r="AQ8" s="456">
        <f t="array" ref="AQ8">SUM(IF(ISTEXT(AQ$23:AQ$243),1,0)*IF(($T$23:$T$243)="",0,$T$23:$T$243)*IF(ISBLANK($T$1),1,IF($I$23:$I$243=$T$1,1,0)))</f>
        <v>-12.54</v>
      </c>
      <c r="AR8" s="456">
        <f t="array" ref="AR8">SUM(IF(ISTEXT(AR$23:AR$243),1,0)*IF(($T$23:$T$243)="",0,$T$23:$T$243)*IF(ISBLANK($T$1),1,IF($I$23:$I$243=$T$1,1,0)))</f>
        <v>-14.089999999999998</v>
      </c>
      <c r="AS8" s="456">
        <f t="array" ref="AS8">SUM(IF(ISTEXT(AS$23:AS$243),1,0)*IF(($T$23:$T$243)="",0,$T$23:$T$243)*IF(ISBLANK($T$1),1,IF($I$23:$I$243=$T$1,1,0)))</f>
        <v>-12.66</v>
      </c>
      <c r="AT8" s="874">
        <f t="array" ref="AT8">SUM(IF(ISTEXT(AT$23:AT$243),1,0)*IF(($T$23:$T$243)="",0,$T$23:$T$243)*IF(ISBLANK($T$1),1,IF($I$23:$I$243=$T$1,1,0)))</f>
        <v>-7.7299999999999986</v>
      </c>
      <c r="AU8" s="874"/>
      <c r="AV8" s="874"/>
      <c r="AW8" s="456">
        <f t="array" ref="AW8">SUM(IF(ISTEXT(AW$23:AW$243),1,0)*IF(($T$23:$T$243)="",0,$T$23:$T$243)*IF(ISBLANK($T$1),1,IF($I$23:$I$243=$T$1,1,0)))</f>
        <v>-15.419999999999998</v>
      </c>
      <c r="AX8" s="456">
        <f t="array" ref="AX8">SUM(IF(ISTEXT(AX$23:AX$243),1,0)*IF(($T$23:$T$243)="",0,$T$23:$T$243)*IF(ISBLANK($T$1),1,IF($I$23:$I$243=$T$1,1,0)))</f>
        <v>-12.64</v>
      </c>
      <c r="AY8" s="869"/>
      <c r="BA8" s="874"/>
      <c r="BB8" s="456">
        <f t="array" ref="BB8">SUM(IF(ISTEXT(BB$23:BB$243),1,0)*IF(($T$23:$T$243)="",0,$T$23:$T$243)*IF(ISBLANK($T$1),1,IF($I$23:$I$243=$T$1,1,0)))</f>
        <v>-11.209999999999999</v>
      </c>
      <c r="BC8" s="456">
        <f t="array" ref="BC8">SUM(IF(ISTEXT(BC$23:BC$243),1,0)*IF(($T$23:$T$243)="",0,$T$23:$T$243)*IF(ISBLANK($T$1),1,IF($I$23:$I$243=$T$1,1,0)))</f>
        <v>-13.99</v>
      </c>
      <c r="BD8" s="456">
        <f t="array" ref="BD8">SUM(IF(ISTEXT(BD$23:BD$243),1,0)*IF(($T$23:$T$243)="",0,$T$23:$T$243)*IF(ISBLANK($T$1),1,IF($I$23:$I$243=$T$1,1,0)))</f>
        <v>-15.419999999999998</v>
      </c>
      <c r="BF8" s="872"/>
      <c r="BI8" s="456">
        <f t="array" ref="BI8">SUM(IF(ISTEXT(BI$23:BI$243),1,0)*IF(($T$23:$T$243)="",0,$T$23:$T$243)*IF(ISBLANK($T$1),1,IF($I$23:$I$243=$T$1,1,0)))</f>
        <v>-11.84</v>
      </c>
      <c r="BJ8" s="874"/>
      <c r="BK8" s="874"/>
      <c r="BM8" s="456">
        <f t="array" ref="BM8">SUM(IF(ISTEXT(BM$23:BM$243),1,0)*IF(($T$23:$T$243)="",0,$T$23:$T$243)*IF(ISBLANK($T$1),1,IF($I$23:$I$243=$T$1,1,0)))</f>
        <v>-1.3400000000000003</v>
      </c>
      <c r="BN8" s="456">
        <f t="array" ref="BN8">SUM(IF(ISTEXT(BN$23:BN$243),1,0)*IF(($T$23:$T$243)="",0,$T$23:$T$243)*IF(ISBLANK($T$1),1,IF($I$23:$I$243=$T$1,1,0)))</f>
        <v>0.21000000000000041</v>
      </c>
      <c r="BO8" s="874"/>
      <c r="BP8" s="456">
        <f t="array" ref="BP8">SUM(IF(ISTEXT(BP$23:BP$243),1,0)*IF(($T$23:$T$243)="",0,$T$23:$T$243)*IF(ISBLANK($T$1),1,IF($I$23:$I$243=$T$1,1,0)))</f>
        <v>0</v>
      </c>
      <c r="BQ8" s="874"/>
      <c r="BS8" s="456" t="e">
        <f t="array" ref="BS8">SUM(IF(ISTEXT(BS$41:BS$243),1,0)*IF(($T$23:$T$243)="",0,$T$23:$T$243)*IF(ISBLANK($T$1),1,IF($I$23:$I$243=$T$1,1,0)))</f>
        <v>#N/A</v>
      </c>
      <c r="BT8" s="870"/>
      <c r="BU8" s="870"/>
      <c r="BV8" s="870"/>
      <c r="BW8" s="870"/>
      <c r="BX8" s="456">
        <f t="array" ref="BX8">SUM(IF(ISTEXT(BX$23:BX$243),1,0)*IF(($T$23:$T$243)="",0,$T$23:$T$243)*IF(ISBLANK($T$1),1,IF($I$23:$I$243=$T$1,1,0)))</f>
        <v>0</v>
      </c>
      <c r="BY8" s="456">
        <f t="array" ref="BY8">SUM(IF(ISTEXT(BY$23:BY$243),1,0)*IF(($T$23:$T$243)="",0,$T$23:$T$243)*IF(ISBLANK($T$1),1,IF($I$23:$I$243=$T$1,1,0)))</f>
        <v>0</v>
      </c>
      <c r="BZ8" s="456">
        <f t="array" ref="BZ8">SUM(IF(ISTEXT(BZ$23:BZ$243),1,0)*IF(($T$23:$T$243)="",0,$T$23:$T$243)*IF(ISBLANK($T$1),1,IF($I$23:$I$243=$T$1,1,0)))</f>
        <v>0</v>
      </c>
      <c r="CA8" s="456">
        <f t="array" ref="CA8">SUM(IF(ISTEXT(CA$23:CA$243),1,0)*IF(($T$23:$T$243)="",0,$T$23:$T$243)*IF(ISBLANK($T$1),1,IF($I$23:$I$243=$T$1,1,0)))</f>
        <v>0</v>
      </c>
      <c r="CC8" s="869"/>
      <c r="CD8" s="456">
        <f t="array" ref="CD8">SUM(IF(ISTEXT(CD$23:CD$243),1,0)*IF(($T$23:$T$243)="",0,$T$23:$T$243)*IF(ISBLANK($T$1),1,IF($I$23:$I$243=$T$1,1,0)))</f>
        <v>0</v>
      </c>
      <c r="CE8" s="456">
        <f t="array" ref="CE8">SUM(IF(ISTEXT(CE$23:CE$243),1,0)*IF(($T$23:$T$243)="",0,$T$23:$T$243)*IF(ISBLANK($T$1),1,IF($I$23:$I$243=$T$1,1,0)))</f>
        <v>0</v>
      </c>
      <c r="CF8" s="456">
        <f t="array" ref="CF8">SUM(IF(ISTEXT(CF$23:CF$243),1,0)*IF(($T$23:$T$243)="",0,$T$23:$T$243)*IF(ISBLANK($T$1),1,IF($I$23:$I$243=$T$1,1,0)))</f>
        <v>0</v>
      </c>
      <c r="CG8" s="456">
        <f t="array" ref="CG8">SUM(IF(ISTEXT(CG$23:CG$243),1,0)*IF(($T$23:$T$243)="",0,$T$23:$T$243)*IF(ISBLANK($T$1),1,IF($I$23:$I$243=$T$1,1,0)))</f>
        <v>0</v>
      </c>
      <c r="CH8" s="456">
        <f t="array" ref="CH8">SUM(IF(ISTEXT(CH$23:CH$243),1,0)*IF(($T$23:$T$243)="",0,$T$23:$T$243)*IF(ISBLANK($T$1),1,IF($I$23:$I$243=$T$1,1,0)))</f>
        <v>0</v>
      </c>
      <c r="CI8" s="456">
        <f t="array" ref="CI8">SUM(IF(ISTEXT(CI$23:CI$243),1,0)*IF(($T$23:$T$243)="",0,$T$23:$T$243)*IF(ISBLANK($T$1),1,IF($I$23:$I$243=$T$1,1,0)))</f>
        <v>0</v>
      </c>
      <c r="CJ8" s="456">
        <f t="array" ref="CJ8">SUM(IF(ISTEXT(CJ$23:CJ$243),1,0)*IF(($T$23:$T$243)="",0,$T$23:$T$243)*IF(ISBLANK($T$1),1,IF($I$23:$I$243=$T$1,1,0)))</f>
        <v>0</v>
      </c>
      <c r="CK8" s="456">
        <f t="array" ref="CK8">SUM(IF(ISTEXT(CK$23:CK$243),1,0)*IF(($T$23:$T$243)="",0,$T$23:$T$243)*IF(ISBLANK($T$1),1,IF($I$23:$I$243=$T$1,1,0)))</f>
        <v>0</v>
      </c>
      <c r="CL8" s="456">
        <f t="array" ref="CL8">SUM(IF(ISTEXT(CL$23:CL$243),1,0)*IF(($T$23:$T$243)="",0,$T$23:$T$243)*IF(ISBLANK($T$1),1,IF($I$23:$I$243=$T$1,1,0)))</f>
        <v>0</v>
      </c>
      <c r="CM8" s="456">
        <f t="array" ref="CM8">SUM(IF(ISTEXT(CM$23:CM$243),1,0)*IF(($T$23:$T$243)="",0,$T$23:$T$243)*IF(ISBLANK($T$1),1,IF($I$23:$I$243=$T$1,1,0)))</f>
        <v>-0.89000000000000057</v>
      </c>
      <c r="CN8" s="456">
        <f t="array" ref="CN8">SUM(IF(ISTEXT(CN$23:CN$243),1,0)*IF(($T$23:$T$243)="",0,$T$23:$T$243)*IF(ISBLANK($T$1),1,IF($I$23:$I$243=$T$1,1,0)))</f>
        <v>-0.89000000000000057</v>
      </c>
      <c r="CO8" s="456">
        <f t="array" ref="CO8">SUM(IF(ISTEXT(CO$23:CO$243),1,0)*IF(($T$23:$T$243)="",0,$T$23:$T$243)*IF(ISBLANK($T$1),1,IF($I$23:$I$243=$T$1,1,0)))</f>
        <v>-2.1900000000000004</v>
      </c>
    </row>
    <row r="9" spans="1:93" s="456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456">
        <f t="shared" ref="AF9:CO9" si="8">AF8/AF2</f>
        <v>-0.3352173913043478</v>
      </c>
      <c r="AG9" s="456">
        <f t="shared" si="8"/>
        <v>-0.35575000000000007</v>
      </c>
      <c r="AH9" s="456">
        <f t="shared" si="8"/>
        <v>-0.31044444444444447</v>
      </c>
      <c r="AI9" s="456">
        <f t="shared" si="8"/>
        <v>-0.31311111111111106</v>
      </c>
      <c r="AJ9" s="874"/>
      <c r="AL9" s="456">
        <f t="shared" si="8"/>
        <v>-0.3352173913043478</v>
      </c>
      <c r="AM9" s="456">
        <f t="shared" si="8"/>
        <v>-0.31044444444444447</v>
      </c>
      <c r="AN9" s="873"/>
      <c r="AO9" s="456">
        <f>AO8/AO2</f>
        <v>-0.3352173913043478</v>
      </c>
      <c r="AP9" s="456">
        <f t="shared" si="8"/>
        <v>-0.3352173913043478</v>
      </c>
      <c r="AQ9" s="456">
        <f>AQ8/AQ2</f>
        <v>-0.28499999999999998</v>
      </c>
      <c r="AR9" s="456">
        <f>AR8/AR2</f>
        <v>-0.31311111111111106</v>
      </c>
      <c r="AS9" s="456">
        <f t="shared" ref="AS9:AT9" si="9">AS8/AS2</f>
        <v>-0.28772727272727272</v>
      </c>
      <c r="AT9" s="874">
        <f t="shared" si="9"/>
        <v>-0.36809523809523803</v>
      </c>
      <c r="AU9" s="874"/>
      <c r="AV9" s="874"/>
      <c r="AW9" s="456">
        <f t="shared" si="8"/>
        <v>-0.3352173913043478</v>
      </c>
      <c r="AX9" s="456">
        <f>AX8/AX2</f>
        <v>-0.28727272727272729</v>
      </c>
      <c r="AY9" s="869"/>
      <c r="BA9" s="874"/>
      <c r="BB9" s="456">
        <f>BB8/BB2</f>
        <v>-0.26069767441860464</v>
      </c>
      <c r="BC9" s="456">
        <f>BC8/BC2</f>
        <v>-0.31088888888888888</v>
      </c>
      <c r="BD9" s="456">
        <f>BD8/BD2</f>
        <v>-0.3352173913043478</v>
      </c>
      <c r="BF9" s="872"/>
      <c r="BI9" s="456">
        <f>BI8/BI2</f>
        <v>-0.31157894736842107</v>
      </c>
      <c r="BJ9" s="874"/>
      <c r="BK9" s="874"/>
      <c r="BM9" s="456">
        <f>BM8/BM2</f>
        <v>-5.8260869565217407E-2</v>
      </c>
      <c r="BN9" s="456">
        <f>BN8/BN2</f>
        <v>1.166666666666669E-2</v>
      </c>
      <c r="BO9" s="874"/>
      <c r="BP9" s="456" t="e">
        <f>BP8/BP2</f>
        <v>#DIV/0!</v>
      </c>
      <c r="BQ9" s="874"/>
      <c r="BS9" s="456" t="e">
        <f t="shared" si="8"/>
        <v>#N/A</v>
      </c>
      <c r="BT9" s="870"/>
      <c r="BU9" s="870"/>
      <c r="BV9" s="870"/>
      <c r="BW9" s="870"/>
      <c r="BX9" s="456" t="e">
        <f t="shared" ref="BX9:CH9" si="10">BX8/BX2</f>
        <v>#DIV/0!</v>
      </c>
      <c r="BY9" s="456" t="e">
        <f t="shared" si="10"/>
        <v>#DIV/0!</v>
      </c>
      <c r="BZ9" s="456" t="e">
        <f>BZ8/BZ2</f>
        <v>#DIV/0!</v>
      </c>
      <c r="CA9" s="456" t="e">
        <f>CA8/CA2</f>
        <v>#DIV/0!</v>
      </c>
      <c r="CC9" s="869"/>
      <c r="CD9" s="456" t="e">
        <f t="shared" si="10"/>
        <v>#DIV/0!</v>
      </c>
      <c r="CE9" s="456" t="e">
        <f t="shared" si="10"/>
        <v>#DIV/0!</v>
      </c>
      <c r="CF9" s="456" t="e">
        <f t="shared" si="10"/>
        <v>#DIV/0!</v>
      </c>
      <c r="CG9" s="456" t="e">
        <f t="shared" si="10"/>
        <v>#DIV/0!</v>
      </c>
      <c r="CH9" s="456" t="e">
        <f t="shared" si="10"/>
        <v>#DIV/0!</v>
      </c>
      <c r="CI9" s="456" t="e">
        <f t="shared" si="8"/>
        <v>#DIV/0!</v>
      </c>
      <c r="CJ9" s="456" t="e">
        <f t="shared" si="8"/>
        <v>#DIV/0!</v>
      </c>
      <c r="CK9" s="456" t="e">
        <f t="shared" si="8"/>
        <v>#DIV/0!</v>
      </c>
      <c r="CL9" s="456" t="e">
        <f t="shared" si="8"/>
        <v>#DIV/0!</v>
      </c>
      <c r="CM9" s="456">
        <f t="shared" si="8"/>
        <v>-5.5625000000000036E-2</v>
      </c>
      <c r="CN9" s="456">
        <f t="shared" si="8"/>
        <v>-5.5625000000000036E-2</v>
      </c>
      <c r="CO9" s="456">
        <f t="shared" si="8"/>
        <v>-0.14600000000000002</v>
      </c>
    </row>
    <row r="10" spans="1:93" s="456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456">
        <f t="array" ref="AF10">SUM(IF(ISBLANK($T$1),$J$23:$J$243,IF($I$23:$I$243=$T$1,$J$23:$J$243,0)))</f>
        <v>60</v>
      </c>
      <c r="AG10" s="456">
        <f t="array" ref="AG10">SUM(IF(ISBLANK(AG$23:AG$243),0,IF(ISNUMBER(VALUE(RIGHT(AG$23:AG$243,1))),RIGHT(AG$23:AG$243,1),0)*IF(ISBLANK($T$1),1,IF($I$23:$I$243=$T$1,1,0))))</f>
        <v>0</v>
      </c>
      <c r="AH10" s="456">
        <f t="array" ref="AH10">SUM(IF(ISBLANK(AH$23:AH$243),0,IF(ISNUMBER(VALUE(RIGHT(AH$23:AH$243,1))),RIGHT(AH$23:AH$243,1),0)*IF(ISBLANK($T$1),1,IF($I$23:$I$243=$T$1,1,0))))</f>
        <v>0</v>
      </c>
      <c r="AI10" s="456">
        <f t="array" ref="AI10">SUM(IF(ISBLANK(AI$23:AI$243),0,IF(ISNUMBER(VALUE(RIGHT(AI$23:AI$243,1))),RIGHT(AI$23:AI$243,1),0)*IF(ISBLANK($T$1),1,IF($I$23:$I$243=$T$1,1,0))))</f>
        <v>0</v>
      </c>
      <c r="AJ10" s="874"/>
      <c r="AL10" s="456">
        <f t="array" ref="AL10">SUM(IF(ISBLANK(AL$23:AL$243),0,IF(ISNUMBER(VALUE(RIGHT(AL$23:AL$243,1))),RIGHT(AL$23:AL$243,1),0)*IF(ISBLANK($T$1),1,IF($I$23:$I$243=$T$1,1,0))))</f>
        <v>1</v>
      </c>
      <c r="AM10" s="456">
        <f t="array" ref="AM10">SUM(IF(ISBLANK(AM$23:AM$243),0,IF(ISNUMBER(VALUE(RIGHT(AM$23:AM$243,1))),RIGHT(AM$23:AM$243,1),0)*IF(ISBLANK($T$1),1,IF($I$23:$I$243=$T$1,1,0))))</f>
        <v>1</v>
      </c>
      <c r="AN10" s="873"/>
      <c r="AO10" s="456">
        <f t="array" ref="AO10">SUM(IF(ISBLANK(AO$23:AO$243),0,IF(ISNUMBER(VALUE(RIGHT(AO$23:AO$243,1))),RIGHT(AO$23:AO$243,1),0)*IF(ISBLANK($T$1),1,IF($I$23:$I$243=$T$1,1,0))))</f>
        <v>0</v>
      </c>
      <c r="AP10" s="456">
        <f t="array" ref="AP10">SUM(IF(ISBLANK(AP$23:AP$243),0,IF(ISNUMBER(VALUE(RIGHT(AP$23:AP$243,1))),RIGHT(AP$23:AP$243,1),0)*IF(ISBLANK($T$1),1,IF($I$23:$I$243=$T$1,1,0))))</f>
        <v>0</v>
      </c>
      <c r="AQ10" s="456">
        <f t="array" ref="AQ10">SUM(IF(ISBLANK(AQ$23:AQ$243),0,IF(ISNUMBER(VALUE(RIGHT(AQ$23:AQ$243,1))),RIGHT(AQ$23:AQ$243,1),0)*IF(ISBLANK($T$1),1,IF($I$23:$I$243=$T$1,1,0))))</f>
        <v>0</v>
      </c>
      <c r="AR10" s="456">
        <f t="array" ref="AR10">SUM(IF(ISBLANK(AR$23:AR$243),0,IF(ISNUMBER(VALUE(RIGHT(AR$23:AR$243,1))),RIGHT(AR$23:AR$243,1),0)*IF(ISBLANK($T$1),1,IF($I$23:$I$243=$T$1,1,0))))</f>
        <v>0</v>
      </c>
      <c r="AS10" s="456">
        <f t="array" ref="AS10">SUM(IF(ISBLANK(AS$23:AS$243),0,IF(ISNUMBER(VALUE(RIGHT(AS$23:AS$243,1))),RIGHT(AS$23:AS$243,1),0)*IF(ISBLANK($T$1),1,IF($I$23:$I$243=$T$1,1,0))))</f>
        <v>3</v>
      </c>
      <c r="AT10" s="874">
        <f t="array" ref="AT10">SUM(IF(ISBLANK(AT$23:AT$243),0,IF(ISNUMBER(VALUE(RIGHT(AT$23:AT$243,1))),RIGHT(AT$23:AT$243,1),0)*IF(ISBLANK($T$1),1,IF($I$23:$I$243=$T$1,1,0))))</f>
        <v>0</v>
      </c>
      <c r="AU10" s="874"/>
      <c r="AV10" s="874"/>
      <c r="AW10" s="456">
        <f t="array" ref="AW10">SUM(IF(ISBLANK(AW$23:AW$243),0,IF(ISNUMBER(VALUE(RIGHT(AW$23:AW$243,1))),RIGHT(AW$23:AW$243,1),0)*IF(ISBLANK($T$1),1,IF($I$23:$I$243=$T$1,1,0))))</f>
        <v>3</v>
      </c>
      <c r="AX10" s="456">
        <f t="array" ref="AX10">SUM(IF(ISBLANK(AX$23:AX$243),0,IF(ISNUMBER(VALUE(RIGHT(AX$23:AX$243,1))),RIGHT(AX$23:AX$243,1),0)*IF(ISBLANK($T$1),1,IF($I$23:$I$243=$T$1,1,0))))</f>
        <v>0</v>
      </c>
      <c r="AY10" s="869"/>
      <c r="BA10" s="874"/>
      <c r="BB10" s="456">
        <f t="array" ref="BB10">SUM(IF(ISBLANK(BB$23:BB$243),0,IF(ISNUMBER(VALUE(RIGHT(BB$23:BB$243,1))),RIGHT(BB$23:BB$243,1),0)*IF(ISBLANK($T$1),1,IF($I$23:$I$243=$T$1,1,0))))</f>
        <v>1</v>
      </c>
      <c r="BC10" s="456">
        <f t="array" ref="BC10">SUM(IF(ISBLANK(BC$23:BC$243),0,IF(ISNUMBER(VALUE(RIGHT(BC$23:BC$243,1))),RIGHT(BC$23:BC$243,1),0)*IF(ISBLANK($T$1),1,IF($I$23:$I$243=$T$1,1,0))))</f>
        <v>3</v>
      </c>
      <c r="BD10" s="456">
        <f t="array" ref="BD10">SUM(IF(ISBLANK(BD$23:BD$243),0,IF(ISNUMBER(VALUE(RIGHT(BD$23:BD$243,1))),RIGHT(BD$23:BD$243,1),0)*IF(ISBLANK($T$1),1,IF($I$23:$I$243=$T$1,1,0))))</f>
        <v>1</v>
      </c>
      <c r="BF10" s="872"/>
      <c r="BI10" s="456">
        <f t="array" ref="BI10">SUM(IF(ISBLANK(BI$23:BI$243),0,IF(ISNUMBER(VALUE(RIGHT(BI$23:BI$243,1))),RIGHT(BI$23:BI$243,1),0)*IF(ISBLANK($T$1),1,IF($I$23:$I$243=$T$1,1,0))))</f>
        <v>3</v>
      </c>
      <c r="BJ10" s="874"/>
      <c r="BK10" s="874"/>
      <c r="BM10" s="456">
        <f t="array" ref="BM10">SUM(IF(ISBLANK(BM$23:BM$243),0,IF(ISNUMBER(VALUE(RIGHT(BM$23:BM$243,1))),RIGHT(BM$23:BM$243,1),0)*IF(ISBLANK($T$1),1,IF($I$23:$I$243=$T$1,1,0))))</f>
        <v>0</v>
      </c>
      <c r="BN10" s="456">
        <f t="array" ref="BN10">SUM(IF(ISBLANK(BN$23:BN$243),0,IF(ISNUMBER(VALUE(RIGHT(BN$23:BN$243,1))),RIGHT(BN$23:BN$243,1),0)*IF(ISBLANK($T$1),1,IF($I$23:$I$243=$T$1,1,0))))</f>
        <v>0</v>
      </c>
      <c r="BO10" s="874"/>
      <c r="BP10" s="456">
        <f t="array" ref="BP10">SUM(IF(ISBLANK(BP$23:BP$243),0,IF(ISNUMBER(VALUE(RIGHT(BP$23:BP$243,1))),RIGHT(BP$23:BP$243,1),0)*IF(ISBLANK($T$1),1,IF($I$23:$I$243=$T$1,1,0))))</f>
        <v>0</v>
      </c>
      <c r="BQ10" s="874"/>
      <c r="BS10" s="456">
        <f t="array" ref="BS10">SUM(IF(ISBLANK(BS$41:BS$243),0,IF(ISNUMBER(VALUE(RIGHT(BS$41:BS$243,1))),RIGHT(BS$41:BS$243,1),0)*IF(ISBLANK($T$1),1,IF($I$23:$I$243=$T$1,1,0))))</f>
        <v>0</v>
      </c>
      <c r="BT10" s="870"/>
      <c r="BU10" s="870"/>
      <c r="BV10" s="870"/>
      <c r="BW10" s="870"/>
      <c r="BX10" s="456">
        <f t="array" ref="BX10">SUM(IF(ISBLANK(BX$23:BX$243),0,IF(ISNUMBER(VALUE(RIGHT(BX$23:BX$243,1))),RIGHT(BX$23:BX$243,1),0)*IF(ISBLANK($T$1),1,IF($I$23:$I$243=$T$1,1,0))))</f>
        <v>0</v>
      </c>
      <c r="BY10" s="456">
        <f t="array" ref="BY10">SUM(IF(ISBLANK(BY$23:BY$243),0,IF(ISNUMBER(VALUE(RIGHT(BY$23:BY$243,1))),RIGHT(BY$23:BY$243,1),0)*IF(ISBLANK($T$1),1,IF($I$23:$I$243=$T$1,1,0))))</f>
        <v>0</v>
      </c>
      <c r="BZ10" s="456">
        <f t="array" ref="BZ10">SUM(IF(ISBLANK(BZ$23:BZ$243),0,IF(ISNUMBER(VALUE(RIGHT(BZ$23:BZ$243,1))),RIGHT(BZ$23:BZ$243,1),0)*IF(ISBLANK($T$1),1,IF($I$23:$I$243=$T$1,1,0))))</f>
        <v>0</v>
      </c>
      <c r="CA10" s="456">
        <f t="array" ref="CA10">SUM(IF(ISBLANK(CA$23:CA$243),0,IF(ISNUMBER(VALUE(RIGHT(CA$23:CA$243,1))),RIGHT(CA$23:CA$243,1),0)*IF(ISBLANK($T$1),1,IF($I$23:$I$243=$T$1,1,0))))</f>
        <v>0</v>
      </c>
      <c r="CC10" s="869"/>
      <c r="CD10" s="456">
        <f t="array" ref="CD10">SUM(IF(ISBLANK(CD$23:CD$243),0,IF(ISNUMBER(VALUE(RIGHT(CD$23:CD$243,1))),RIGHT(CD$23:CD$243,1),0)*IF(ISBLANK($T$1),1,IF($I$23:$I$243=$T$1,1,0))))</f>
        <v>0</v>
      </c>
      <c r="CE10" s="456">
        <f t="array" ref="CE10">SUM(IF(ISBLANK(CE$23:CE$243),0,IF(ISNUMBER(VALUE(RIGHT(CE$23:CE$243,1))),RIGHT(CE$23:CE$243,1),0)*IF(ISBLANK($T$1),1,IF($I$23:$I$243=$T$1,1,0))))</f>
        <v>0</v>
      </c>
      <c r="CF10" s="456">
        <f t="array" ref="CF10">SUM(IF(ISBLANK(CF$23:CF$243),0,IF(ISNUMBER(VALUE(RIGHT(CF$23:CF$243,1))),RIGHT(CF$23:CF$243,1),0)*IF(ISBLANK($T$1),1,IF($I$23:$I$243=$T$1,1,0))))</f>
        <v>0</v>
      </c>
      <c r="CG10" s="456">
        <f t="array" ref="CG10">SUM(IF(ISBLANK(CG$23:CG$243),0,IF(ISNUMBER(VALUE(RIGHT(CG$23:CG$243,1))),RIGHT(CG$23:CG$243,1),0)*IF(ISBLANK($T$1),1,IF($I$23:$I$243=$T$1,1,0))))</f>
        <v>0</v>
      </c>
      <c r="CH10" s="456">
        <f t="array" ref="CH10">SUM(IF(ISBLANK(CH$23:CH$243),0,IF(ISNUMBER(VALUE(RIGHT(CH$23:CH$243,1))),RIGHT(CH$23:CH$243,1),0)*IF(ISBLANK($T$1),1,IF($I$23:$I$243=$T$1,1,0))))</f>
        <v>0</v>
      </c>
      <c r="CI10" s="456">
        <f t="array" ref="CI10">SUM(IF(ISBLANK(CI$23:CI$243),0,IF(ISNUMBER(VALUE(RIGHT(CI$23:CI$243,1))),RIGHT(CI$23:CI$243,1),0)*IF(ISBLANK($T$1),1,IF($I$23:$I$243=$T$1,1,0))))</f>
        <v>0</v>
      </c>
      <c r="CJ10" s="456">
        <f t="array" ref="CJ10">SUM(IF(ISBLANK(CJ$23:CJ$243),0,IF(ISNUMBER(VALUE(RIGHT(CJ$23:CJ$243,1))),RIGHT(CJ$23:CJ$243,1),0)*IF(ISBLANK($T$1),1,IF($I$23:$I$243=$T$1,1,0))))</f>
        <v>0</v>
      </c>
      <c r="CK10" s="456">
        <f t="array" ref="CK10">SUM(IF(ISBLANK(CK$23:CK$243),0,IF(ISNUMBER(VALUE(RIGHT(CK$23:CK$243,1))),RIGHT(CK$23:CK$243,1),0)*IF(ISBLANK($T$1),1,IF($I$23:$I$243=$T$1,1,0))))</f>
        <v>0</v>
      </c>
      <c r="CL10" s="456">
        <f t="array" ref="CL10">SUM(IF(ISBLANK(CL$23:CL$243),0,IF(ISNUMBER(VALUE(RIGHT(CL$23:CL$243,1))),RIGHT(CL$23:CL$243,1),0)*IF(ISBLANK($T$1),1,IF($I$23:$I$243=$T$1,1,0))))</f>
        <v>0</v>
      </c>
      <c r="CM10" s="456">
        <f t="array" ref="CM10">SUM(IF(ISBLANK(CM$23:CM$243),0,IF(ISNUMBER(VALUE(RIGHT(CM$23:CM$243,1))),RIGHT(CM$23:CM$243,1),0)*IF(ISBLANK($T$1),1,IF($I$23:$I$243=$T$1,1,0))))</f>
        <v>0</v>
      </c>
      <c r="CN10" s="456">
        <f t="array" ref="CN10">SUM(IF(ISBLANK(CN$23:CN$243),0,IF(ISNUMBER(VALUE(RIGHT(CN$23:CN$243,1))),RIGHT(CN$23:CN$243,1),0)*IF(ISBLANK($T$1),1,IF($I$23:$I$243=$T$1,1,0))))</f>
        <v>0</v>
      </c>
      <c r="CO10" s="456">
        <f t="array" ref="CO10">SUM(IF(ISBLANK(CO$23:CO$243),0,IF(ISNUMBER(VALUE(RIGHT(CO$23:CO$243,1))),RIGHT(CO$23:CO$243,1),0)*IF(ISBLANK($T$1),1,IF($I$23:$I$243=$T$1,1,0))))</f>
        <v>0</v>
      </c>
    </row>
    <row r="11" spans="1:93" s="456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456">
        <f t="shared" ref="AF11:CO11" si="11">AF10/AF2</f>
        <v>1.3043478260869565</v>
      </c>
      <c r="AG11" s="456">
        <f t="shared" si="11"/>
        <v>0</v>
      </c>
      <c r="AH11" s="456">
        <f t="shared" si="11"/>
        <v>0</v>
      </c>
      <c r="AI11" s="456">
        <f t="shared" si="11"/>
        <v>0</v>
      </c>
      <c r="AJ11" s="874"/>
      <c r="AL11" s="456">
        <f t="shared" si="11"/>
        <v>2.1739130434782608E-2</v>
      </c>
      <c r="AM11" s="456">
        <f t="shared" si="11"/>
        <v>2.2222222222222223E-2</v>
      </c>
      <c r="AN11" s="873"/>
      <c r="AO11" s="456">
        <f>AO10/AO2</f>
        <v>0</v>
      </c>
      <c r="AP11" s="456">
        <f t="shared" si="11"/>
        <v>0</v>
      </c>
      <c r="AQ11" s="456">
        <f>AQ10/AQ2</f>
        <v>0</v>
      </c>
      <c r="AR11" s="456">
        <f>AR10/AR2</f>
        <v>0</v>
      </c>
      <c r="AS11" s="456">
        <f t="shared" ref="AS11:AT11" si="12">AS10/AS2</f>
        <v>6.8181818181818177E-2</v>
      </c>
      <c r="AT11" s="874">
        <f t="shared" si="12"/>
        <v>0</v>
      </c>
      <c r="AU11" s="874"/>
      <c r="AV11" s="874"/>
      <c r="AW11" s="456">
        <f t="shared" si="11"/>
        <v>6.5217391304347824E-2</v>
      </c>
      <c r="AX11" s="456">
        <f>AX10/AX2</f>
        <v>0</v>
      </c>
      <c r="AY11" s="869"/>
      <c r="BA11" s="874"/>
      <c r="BB11" s="456">
        <f>BB10/BB2</f>
        <v>2.3255813953488372E-2</v>
      </c>
      <c r="BC11" s="456">
        <f>BC10/BC2</f>
        <v>6.6666666666666666E-2</v>
      </c>
      <c r="BD11" s="456">
        <f>BD10/BD2</f>
        <v>2.1739130434782608E-2</v>
      </c>
      <c r="BF11" s="872"/>
      <c r="BI11" s="456">
        <f>BI10/BI2</f>
        <v>7.8947368421052627E-2</v>
      </c>
      <c r="BJ11" s="874"/>
      <c r="BK11" s="874"/>
      <c r="BM11" s="456">
        <f>BM10/BM2</f>
        <v>0</v>
      </c>
      <c r="BN11" s="456">
        <f>BN10/BN2</f>
        <v>0</v>
      </c>
      <c r="BO11" s="874"/>
      <c r="BP11" s="456" t="e">
        <f>BP10/BP2</f>
        <v>#DIV/0!</v>
      </c>
      <c r="BQ11" s="874"/>
      <c r="BS11" s="456" t="e">
        <f t="shared" si="11"/>
        <v>#DIV/0!</v>
      </c>
      <c r="BT11" s="870"/>
      <c r="BU11" s="870"/>
      <c r="BV11" s="870"/>
      <c r="BW11" s="870"/>
      <c r="BX11" s="456" t="e">
        <f t="shared" ref="BX11:CH11" si="13">BX10/BX2</f>
        <v>#DIV/0!</v>
      </c>
      <c r="BY11" s="456" t="e">
        <f t="shared" si="13"/>
        <v>#DIV/0!</v>
      </c>
      <c r="BZ11" s="456" t="e">
        <f>BZ10/BZ2</f>
        <v>#DIV/0!</v>
      </c>
      <c r="CA11" s="456" t="e">
        <f>CA10/CA2</f>
        <v>#DIV/0!</v>
      </c>
      <c r="CC11" s="869"/>
      <c r="CD11" s="456" t="e">
        <f t="shared" si="13"/>
        <v>#DIV/0!</v>
      </c>
      <c r="CE11" s="456" t="e">
        <f t="shared" si="13"/>
        <v>#DIV/0!</v>
      </c>
      <c r="CF11" s="456" t="e">
        <f t="shared" si="13"/>
        <v>#DIV/0!</v>
      </c>
      <c r="CG11" s="456" t="e">
        <f t="shared" si="13"/>
        <v>#DIV/0!</v>
      </c>
      <c r="CH11" s="456" t="e">
        <f t="shared" si="13"/>
        <v>#DIV/0!</v>
      </c>
      <c r="CI11" s="456" t="e">
        <f t="shared" si="11"/>
        <v>#DIV/0!</v>
      </c>
      <c r="CJ11" s="456" t="e">
        <f t="shared" si="11"/>
        <v>#DIV/0!</v>
      </c>
      <c r="CK11" s="456" t="e">
        <f t="shared" si="11"/>
        <v>#DIV/0!</v>
      </c>
      <c r="CL11" s="456" t="e">
        <f t="shared" si="11"/>
        <v>#DIV/0!</v>
      </c>
      <c r="CM11" s="456">
        <f t="shared" si="11"/>
        <v>0</v>
      </c>
      <c r="CN11" s="456">
        <f t="shared" si="11"/>
        <v>0</v>
      </c>
      <c r="CO11" s="456">
        <f t="shared" si="11"/>
        <v>0</v>
      </c>
    </row>
    <row r="12" spans="1:93" s="456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456">
        <f t="array" ref="AF12">SUM(IF(ISBLANK($T$1),$K$23:$K$243,IF($I$23:$I$243=$T$1,$K$23:$K$243,0)))</f>
        <v>40</v>
      </c>
      <c r="AG12" s="456">
        <f t="array" ref="AG12">SUM(IF(ISBLANK(AG$23:AG$243),0,$K23:$K243)*IF(ISBLANK($T$1),1,IF($I$23:$I$243=$T$1,1,0)))</f>
        <v>35</v>
      </c>
      <c r="AH12" s="456">
        <f t="array" ref="AH12">SUM(IF(ISBLANK(AH$23:AH$243),0,$K23:$K243)*IF(ISBLANK($T$1),1,IF($I$23:$I$243=$T$1,1,0)))</f>
        <v>40</v>
      </c>
      <c r="AI12" s="456">
        <f t="array" ref="AI12">SUM(IF(ISBLANK(AI$23:AI$243),0,$K23:$K243)*IF(ISBLANK($T$1),1,IF($I$23:$I$243=$T$1,1,0)))</f>
        <v>40</v>
      </c>
      <c r="AJ12" s="874"/>
      <c r="AL12" s="456">
        <f t="array" ref="AL12">SUM(IF(ISBLANK(AL$23:AL$243),0,$K23:$K243)*IF(ISBLANK($T$1),1,IF($I$23:$I$243=$T$1,1,0)))</f>
        <v>40</v>
      </c>
      <c r="AM12" s="456">
        <f t="array" ref="AM12">SUM(IF(ISBLANK(AM$23:AM$243),0,$K23:$K243)*IF(ISBLANK($T$1),1,IF($I$23:$I$243=$T$1,1,0)))</f>
        <v>40</v>
      </c>
      <c r="AN12" s="873"/>
      <c r="AO12" s="456">
        <f t="array" ref="AO12">SUM(IF(ISBLANK(AO$23:AO$243),0,$K23:$K243)*IF(ISBLANK($T$1),1,IF($I$23:$I$243=$T$1,1,0)))</f>
        <v>40</v>
      </c>
      <c r="AP12" s="456">
        <f t="array" ref="AP12">SUM(IF(ISBLANK(AP$23:AP$243),0,$K23:$K243)*IF(ISBLANK($T$1),1,IF($I$23:$I$243=$T$1,1,0)))</f>
        <v>40</v>
      </c>
      <c r="AQ12" s="456">
        <f t="array" ref="AQ12">SUM(IF(ISBLANK(AQ$23:AQ$243),0,$K23:$K243)*IF(ISBLANK($T$1),1,IF($I$23:$I$243=$T$1,1,0)))</f>
        <v>40</v>
      </c>
      <c r="AR12" s="456">
        <f t="array" ref="AR12">SUM(IF(ISBLANK(AR$23:AR$243),0,$K23:$K243)*IF(ISBLANK($T$1),1,IF($I$23:$I$243=$T$1,1,0)))</f>
        <v>40</v>
      </c>
      <c r="AS12" s="456">
        <f t="array" ref="AS12">SUM(IF(ISBLANK(AS$23:AS$243),0,$K23:$K243)*IF(ISBLANK($T$1),1,IF($I$23:$I$243=$T$1,1,0)))</f>
        <v>40</v>
      </c>
      <c r="AT12" s="874">
        <f t="array" ref="AT12">SUM(IF(ISBLANK(AT$23:AT$243),0,$K23:$K243)*IF(ISBLANK($T$1),1,IF($I$23:$I$243=$T$1,1,0)))</f>
        <v>20</v>
      </c>
      <c r="AU12" s="874"/>
      <c r="AV12" s="874"/>
      <c r="AW12" s="456">
        <f t="array" ref="AW12">SUM(IF(ISBLANK(AW$23:AW$243),0,$K23:$K243)*IF(ISBLANK($T$1),1,IF($I$23:$I$243=$T$1,1,0)))</f>
        <v>40</v>
      </c>
      <c r="AX12" s="456">
        <f t="array" ref="AX12">SUM(IF(ISBLANK(AX$23:AX$243),0,$K23:$K243)*IF(ISBLANK($T$1),1,IF($I$23:$I$243=$T$1,1,0)))</f>
        <v>40</v>
      </c>
      <c r="AY12" s="869"/>
      <c r="BA12" s="874"/>
      <c r="BB12" s="456">
        <f t="array" ref="BB12">SUM(IF(ISBLANK(BB$23:BB$243),0,$K23:$K243)*IF(ISBLANK($T$1),1,IF($I$23:$I$243=$T$1,1,0)))</f>
        <v>40</v>
      </c>
      <c r="BC12" s="456">
        <f t="array" ref="BC12">SUM(IF(ISBLANK(BC$23:BC$243),0,$K23:$K243)*IF(ISBLANK($T$1),1,IF($I$23:$I$243=$T$1,1,0)))</f>
        <v>40</v>
      </c>
      <c r="BD12" s="456">
        <f t="array" ref="BD12">SUM(IF(ISBLANK(BD$23:BD$243),0,$K23:$K243)*IF(ISBLANK($T$1),1,IF($I$23:$I$243=$T$1,1,0)))</f>
        <v>40</v>
      </c>
      <c r="BF12" s="872"/>
      <c r="BI12" s="456">
        <f t="array" ref="BI12">SUM(IF(ISBLANK(BI$23:BI$243),0,$K23:$K243)*IF(ISBLANK($T$1),1,IF($I$23:$I$243=$T$1,1,0)))</f>
        <v>33</v>
      </c>
      <c r="BJ12" s="874"/>
      <c r="BK12" s="874"/>
      <c r="BM12" s="456">
        <f t="array" ref="BM12">SUM(IF(ISBLANK(BM$23:BM$243),0,$K23:$K243)*IF(ISBLANK($T$1),1,IF($I$23:$I$243=$T$1,1,0)))</f>
        <v>21</v>
      </c>
      <c r="BN12" s="456">
        <f t="array" ref="BN12">SUM(IF(ISBLANK(BN$23:BN$243),0,$K23:$K243)*IF(ISBLANK($T$1),1,IF($I$23:$I$243=$T$1,1,0)))</f>
        <v>17</v>
      </c>
      <c r="BO12" s="874"/>
      <c r="BP12" s="456">
        <f t="array" ref="BP12">SUM(IF(ISBLANK(BP$23:BP$243),0,$K23:$K243)*IF(ISBLANK($T$1),1,IF($I$23:$I$243=$T$1,1,0)))</f>
        <v>0</v>
      </c>
      <c r="BQ12" s="874"/>
      <c r="BS12" s="456" t="e">
        <f t="array" ref="BS12">SUM(IF(ISBLANK(BS$41:BS$243),0,$K23:$K243)*IF(ISBLANK($T$1),1,IF($I$23:$I$243=$T$1,1,0)))</f>
        <v>#N/A</v>
      </c>
      <c r="BT12" s="870"/>
      <c r="BU12" s="870"/>
      <c r="BV12" s="870"/>
      <c r="BW12" s="870"/>
      <c r="BX12" s="456">
        <f t="array" ref="BX12">SUM(IF(ISBLANK(BX$23:BX$243),0,$K23:$K243)*IF(ISBLANK($T$1),1,IF($I$23:$I$243=$T$1,1,0)))</f>
        <v>0</v>
      </c>
      <c r="BY12" s="456">
        <f t="array" ref="BY12">SUM(IF(ISBLANK(BY$23:BY$243),0,$K23:$K243)*IF(ISBLANK($T$1),1,IF($I$23:$I$243=$T$1,1,0)))</f>
        <v>0</v>
      </c>
      <c r="BZ12" s="456">
        <f t="array" ref="BZ12">SUM(IF(ISBLANK(BZ$23:BZ$243),0,$K23:$K243)*IF(ISBLANK($T$1),1,IF($I$23:$I$243=$T$1,1,0)))</f>
        <v>0</v>
      </c>
      <c r="CA12" s="456">
        <f t="array" ref="CA12">SUM(IF(ISBLANK(CA$23:CA$243),0,$K23:$K243)*IF(ISBLANK($T$1),1,IF($I$23:$I$243=$T$1,1,0)))</f>
        <v>0</v>
      </c>
      <c r="CC12" s="869"/>
      <c r="CD12" s="456">
        <f t="array" ref="CD12">SUM(IF(ISBLANK(CD$23:CD$243),0,$K23:$K243)*IF(ISBLANK($T$1),1,IF($I$23:$I$243=$T$1,1,0)))</f>
        <v>0</v>
      </c>
      <c r="CE12" s="456">
        <f t="array" ref="CE12">SUM(IF(ISBLANK(CE$23:CE$243),0,$K23:$K243)*IF(ISBLANK($T$1),1,IF($I$23:$I$243=$T$1,1,0)))</f>
        <v>0</v>
      </c>
      <c r="CF12" s="456">
        <f t="array" ref="CF12">SUM(IF(ISBLANK(CF$23:CF$243),0,$K23:$K243)*IF(ISBLANK($T$1),1,IF($I$23:$I$243=$T$1,1,0)))</f>
        <v>0</v>
      </c>
      <c r="CG12" s="456">
        <f t="array" ref="CG12">SUM(IF(ISBLANK(CG$23:CG$243),0,$K23:$K243)*IF(ISBLANK($T$1),1,IF($I$23:$I$243=$T$1,1,0)))</f>
        <v>0</v>
      </c>
      <c r="CH12" s="456">
        <f t="array" ref="CH12">SUM(IF(ISBLANK(CH$23:CH$243),0,$K23:$K243)*IF(ISBLANK($T$1),1,IF($I$23:$I$243=$T$1,1,0)))</f>
        <v>0</v>
      </c>
      <c r="CI12" s="456">
        <f t="array" ref="CI12">SUM(IF(ISBLANK(CI$23:CI$243),0,$K23:$K243)*IF(ISBLANK($T$1),1,IF($I$23:$I$243=$T$1,1,0)))</f>
        <v>0</v>
      </c>
      <c r="CJ12" s="456">
        <f t="array" ref="CJ12">SUM(IF(ISBLANK(CJ$23:CJ$243),0,$K23:$K243)*IF(ISBLANK($T$1),1,IF($I$23:$I$243=$T$1,1,0)))</f>
        <v>0</v>
      </c>
      <c r="CK12" s="456">
        <f t="array" ref="CK12">SUM(IF(ISBLANK(CK$23:CK$243),0,$K23:$K243)*IF(ISBLANK($T$1),1,IF($I$23:$I$243=$T$1,1,0)))</f>
        <v>0</v>
      </c>
      <c r="CL12" s="456">
        <f t="array" ref="CL12">SUM(IF(ISBLANK(CL$23:CL$243),0,$K23:$K243)*IF(ISBLANK($T$1),1,IF($I$23:$I$243=$T$1,1,0)))</f>
        <v>0</v>
      </c>
      <c r="CM12" s="456">
        <f t="array" ref="CM12">SUM(IF(ISBLANK(CM$23:CM$243),0,$K23:$K243)*IF(ISBLANK($T$1),1,IF($I$23:$I$243=$T$1,1,0)))</f>
        <v>16</v>
      </c>
      <c r="CN12" s="456">
        <f t="array" ref="CN12">SUM(IF(ISBLANK(CN$23:CN$243),0,$K23:$K243)*IF(ISBLANK($T$1),1,IF($I$23:$I$243=$T$1,1,0)))</f>
        <v>16</v>
      </c>
      <c r="CO12" s="456">
        <f t="array" ref="CO12">SUM(IF(ISBLANK(CO$23:CO$243),0,$K23:$K243)*IF(ISBLANK($T$1),1,IF($I$23:$I$243=$T$1,1,0)))</f>
        <v>15</v>
      </c>
    </row>
    <row r="13" spans="1:93" s="456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456">
        <f t="shared" ref="AF13:CO13" si="14">AF12/AF2</f>
        <v>0.86956521739130432</v>
      </c>
      <c r="AG13" s="456">
        <f t="shared" si="14"/>
        <v>0.875</v>
      </c>
      <c r="AH13" s="456">
        <f t="shared" si="14"/>
        <v>0.88888888888888884</v>
      </c>
      <c r="AI13" s="456">
        <f t="shared" si="14"/>
        <v>0.88888888888888884</v>
      </c>
      <c r="AJ13" s="874"/>
      <c r="AL13" s="456">
        <f t="shared" si="14"/>
        <v>0.86956521739130432</v>
      </c>
      <c r="AM13" s="456">
        <f t="shared" si="14"/>
        <v>0.88888888888888884</v>
      </c>
      <c r="AN13" s="873"/>
      <c r="AO13" s="456">
        <f>AO12/AO2</f>
        <v>0.86956521739130432</v>
      </c>
      <c r="AP13" s="456">
        <f t="shared" si="14"/>
        <v>0.86956521739130432</v>
      </c>
      <c r="AQ13" s="456">
        <f>AQ12/AQ2</f>
        <v>0.90909090909090906</v>
      </c>
      <c r="AR13" s="456">
        <f>AR12/AR2</f>
        <v>0.88888888888888884</v>
      </c>
      <c r="AS13" s="456">
        <f t="shared" ref="AS13:AT13" si="15">AS12/AS2</f>
        <v>0.90909090909090906</v>
      </c>
      <c r="AT13" s="874">
        <f t="shared" si="15"/>
        <v>0.95238095238095233</v>
      </c>
      <c r="AU13" s="874"/>
      <c r="AV13" s="874"/>
      <c r="AW13" s="456">
        <f t="shared" si="14"/>
        <v>0.86956521739130432</v>
      </c>
      <c r="AX13" s="456">
        <f>AX12/AX2</f>
        <v>0.90909090909090906</v>
      </c>
      <c r="AY13" s="869"/>
      <c r="BA13" s="874"/>
      <c r="BB13" s="456">
        <f>BB12/BB2</f>
        <v>0.93023255813953487</v>
      </c>
      <c r="BC13" s="456">
        <f>BC12/BC2</f>
        <v>0.88888888888888884</v>
      </c>
      <c r="BD13" s="456">
        <f>BD12/BD2</f>
        <v>0.86956521739130432</v>
      </c>
      <c r="BF13" s="872"/>
      <c r="BI13" s="456">
        <f>BI12/BI2</f>
        <v>0.86842105263157898</v>
      </c>
      <c r="BJ13" s="874"/>
      <c r="BK13" s="874"/>
      <c r="BM13" s="456">
        <f>BM12/BM2</f>
        <v>0.91304347826086951</v>
      </c>
      <c r="BN13" s="456">
        <f>BN12/BN2</f>
        <v>0.94444444444444442</v>
      </c>
      <c r="BO13" s="874"/>
      <c r="BP13" s="456" t="e">
        <f>BP12/BP2</f>
        <v>#DIV/0!</v>
      </c>
      <c r="BQ13" s="874"/>
      <c r="BS13" s="456" t="e">
        <f t="shared" si="14"/>
        <v>#N/A</v>
      </c>
      <c r="BT13" s="870"/>
      <c r="BU13" s="870"/>
      <c r="BV13" s="870"/>
      <c r="BW13" s="870"/>
      <c r="BX13" s="456" t="e">
        <f t="shared" ref="BX13:CH13" si="16">BX12/BX2</f>
        <v>#DIV/0!</v>
      </c>
      <c r="BY13" s="456" t="e">
        <f t="shared" si="16"/>
        <v>#DIV/0!</v>
      </c>
      <c r="BZ13" s="456" t="e">
        <f>BZ12/BZ2</f>
        <v>#DIV/0!</v>
      </c>
      <c r="CA13" s="456" t="e">
        <f>CA12/CA2</f>
        <v>#DIV/0!</v>
      </c>
      <c r="CC13" s="869"/>
      <c r="CD13" s="456" t="e">
        <f t="shared" si="16"/>
        <v>#DIV/0!</v>
      </c>
      <c r="CE13" s="456" t="e">
        <f t="shared" si="16"/>
        <v>#DIV/0!</v>
      </c>
      <c r="CF13" s="456" t="e">
        <f t="shared" si="16"/>
        <v>#DIV/0!</v>
      </c>
      <c r="CG13" s="456" t="e">
        <f t="shared" si="16"/>
        <v>#DIV/0!</v>
      </c>
      <c r="CH13" s="456" t="e">
        <f t="shared" si="16"/>
        <v>#DIV/0!</v>
      </c>
      <c r="CI13" s="456" t="e">
        <f t="shared" si="14"/>
        <v>#DIV/0!</v>
      </c>
      <c r="CJ13" s="456" t="e">
        <f t="shared" si="14"/>
        <v>#DIV/0!</v>
      </c>
      <c r="CK13" s="456" t="e">
        <f t="shared" si="14"/>
        <v>#DIV/0!</v>
      </c>
      <c r="CL13" s="456" t="e">
        <f t="shared" si="14"/>
        <v>#DIV/0!</v>
      </c>
      <c r="CM13" s="456">
        <f t="shared" si="14"/>
        <v>1</v>
      </c>
      <c r="CN13" s="456">
        <f t="shared" si="14"/>
        <v>1</v>
      </c>
      <c r="CO13" s="456">
        <f t="shared" si="14"/>
        <v>1</v>
      </c>
    </row>
    <row r="14" spans="1:93" s="456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K14" si="17">AG15+AG16</f>
        <v>0</v>
      </c>
      <c r="AH14" s="902">
        <f t="shared" si="17"/>
        <v>32</v>
      </c>
      <c r="AI14" s="902">
        <f t="shared" si="17"/>
        <v>15</v>
      </c>
      <c r="AJ14" s="902">
        <f t="shared" si="17"/>
        <v>1</v>
      </c>
      <c r="AK14" s="902">
        <f t="shared" si="17"/>
        <v>6</v>
      </c>
      <c r="AL14" s="849">
        <f t="shared" ref="AL14:AW14" si="18">AL15+AL16</f>
        <v>41</v>
      </c>
      <c r="AM14" s="849">
        <f t="shared" si="18"/>
        <v>23</v>
      </c>
      <c r="AN14" s="849">
        <f t="shared" si="18"/>
        <v>39</v>
      </c>
      <c r="AO14" s="849">
        <f t="shared" si="18"/>
        <v>46</v>
      </c>
      <c r="AP14" s="849">
        <f t="shared" si="18"/>
        <v>21</v>
      </c>
      <c r="AQ14" s="849">
        <f t="shared" si="18"/>
        <v>7</v>
      </c>
      <c r="AR14" s="849">
        <f t="shared" si="18"/>
        <v>8</v>
      </c>
      <c r="AS14" s="849">
        <f t="shared" si="18"/>
        <v>32</v>
      </c>
      <c r="AT14" s="902">
        <f t="shared" ref="AT14:AU14" si="19">AT15+AT16</f>
        <v>0</v>
      </c>
      <c r="AU14" s="902">
        <f t="shared" si="19"/>
        <v>5</v>
      </c>
      <c r="AV14" s="902">
        <f t="shared" ref="AV14" si="20">AV15+AV16</f>
        <v>20</v>
      </c>
      <c r="AW14" s="849">
        <f t="shared" si="18"/>
        <v>44</v>
      </c>
      <c r="AX14" s="902">
        <f t="shared" ref="AX14:BG14" si="21">AX15+AX16</f>
        <v>6</v>
      </c>
      <c r="AY14" s="902">
        <f t="shared" si="21"/>
        <v>42</v>
      </c>
      <c r="AZ14" s="902">
        <f t="shared" si="21"/>
        <v>2</v>
      </c>
      <c r="BA14" s="902">
        <f t="shared" si="21"/>
        <v>35</v>
      </c>
      <c r="BB14" s="902">
        <f t="shared" si="21"/>
        <v>1</v>
      </c>
      <c r="BC14" s="902">
        <f t="shared" si="21"/>
        <v>29</v>
      </c>
      <c r="BD14" s="902">
        <f t="shared" si="21"/>
        <v>31</v>
      </c>
      <c r="BE14" s="902">
        <f t="shared" si="21"/>
        <v>39</v>
      </c>
      <c r="BF14" s="902">
        <f t="shared" si="21"/>
        <v>38</v>
      </c>
      <c r="BG14" s="902">
        <f t="shared" si="21"/>
        <v>21</v>
      </c>
      <c r="BH14" s="902">
        <f t="shared" ref="BH14:BJ14" si="22">BH15+BH16</f>
        <v>0</v>
      </c>
      <c r="BI14" s="902">
        <f t="shared" si="22"/>
        <v>31</v>
      </c>
      <c r="BJ14" s="902">
        <f t="shared" si="22"/>
        <v>19</v>
      </c>
      <c r="BK14" s="902"/>
      <c r="BL14" s="874"/>
      <c r="BM14" s="902">
        <f>BM15+BM16</f>
        <v>2</v>
      </c>
      <c r="BN14" s="849">
        <f>BN15+BN16</f>
        <v>3</v>
      </c>
      <c r="BO14" s="902">
        <f>BO15+BO16</f>
        <v>1</v>
      </c>
      <c r="BP14" s="874"/>
      <c r="BQ14" s="874"/>
      <c r="BR14" s="874"/>
      <c r="BS14" s="874"/>
      <c r="BT14" s="874"/>
      <c r="BU14" s="874"/>
      <c r="BV14" s="874"/>
      <c r="BW14" s="874"/>
      <c r="BX14" s="874"/>
      <c r="BY14" s="874"/>
      <c r="BZ14" s="874"/>
      <c r="CA14" s="874"/>
      <c r="CB14" s="874"/>
      <c r="CC14" s="874"/>
      <c r="CD14" s="874"/>
      <c r="CE14" s="874"/>
      <c r="CF14" s="874"/>
      <c r="CG14" s="874"/>
      <c r="CH14" s="874"/>
    </row>
    <row r="15" spans="1:93" s="456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AVERAGEIFS($Q$23:$Q$210,$H$23:$H$210,"H",$I$23:$I$210,Table!$C$1)</f>
        <v>0.57000000000000006</v>
      </c>
      <c r="S15" s="858">
        <f>AVERAGEIFS($Q$23:$Q$210,$H$23:$H$210,"A",$I$23:$I$210,Table!$C$1)</f>
        <v>0.21619047619047624</v>
      </c>
      <c r="AF15" s="848" t="s">
        <v>821</v>
      </c>
      <c r="AG15" s="850">
        <f t="array" ref="AG15">SUM(IF(LEFT(AG23:AG164,1)="X",1,0))</f>
        <v>0</v>
      </c>
      <c r="AH15" s="903">
        <f t="array" ref="AH15">SUM(IF(LEFT(AH23:AH164,1)="X",1,0))</f>
        <v>32</v>
      </c>
      <c r="AI15" s="903">
        <f t="array" ref="AI15">SUM(IF(LEFT(AI23:AI164,1)="X",1,0))</f>
        <v>13</v>
      </c>
      <c r="AJ15" s="903">
        <f t="array" ref="AJ15">SUM(IF(LEFT(AJ23:AJ164,1)="X",1,0))</f>
        <v>1</v>
      </c>
      <c r="AK15" s="903">
        <f t="array" ref="AK15">SUM(IF(LEFT(AK23:AK164,1)="X",1,0))</f>
        <v>5</v>
      </c>
      <c r="AL15" s="850">
        <f t="array" ref="AL15">SUM(IF(LEFT(AL23:AL164,1)="X",1,0))</f>
        <v>41</v>
      </c>
      <c r="AM15" s="850">
        <f t="array" ref="AM15">SUM(IF(LEFT(AM23:AM164,1)="X",1,0))</f>
        <v>21</v>
      </c>
      <c r="AN15" s="850">
        <f t="array" ref="AN15">SUM(IF(LEFT(AN23:AN164,1)="X",1,0))</f>
        <v>39</v>
      </c>
      <c r="AO15" s="850">
        <f t="array" ref="AO15">SUM(IF(LEFT(AO23:AO164,1)="X",1,0))</f>
        <v>45</v>
      </c>
      <c r="AP15" s="850">
        <f t="array" ref="AP15">SUM(IF(LEFT(AP23:AP164,1)="X",1,0))</f>
        <v>21</v>
      </c>
      <c r="AQ15" s="850">
        <f t="array" ref="AQ15">SUM(IF(LEFT(AQ23:AQ164,1)="X",1,0))</f>
        <v>2</v>
      </c>
      <c r="AR15" s="850">
        <f t="array" ref="AR15">SUM(IF(LEFT(AR23:AR164,1)="X",1,0))</f>
        <v>3</v>
      </c>
      <c r="AS15" s="850">
        <f t="array" ref="AS15">SUM(IF(LEFT(AS23:AS164,1)="X",1,0))</f>
        <v>32</v>
      </c>
      <c r="AT15" s="903">
        <f t="array" ref="AT15">SUM(IF(LEFT(AT23:AT164,1)="X",1,0))</f>
        <v>0</v>
      </c>
      <c r="AU15" s="903">
        <f t="array" ref="AU15">SUM(IF(LEFT(AU23:AU164,1)="X",1,0))</f>
        <v>0</v>
      </c>
      <c r="AV15" s="903">
        <f t="array" ref="AV15">SUM(IF(LEFT(AV23:AV164,1)="X",1,0))</f>
        <v>18</v>
      </c>
      <c r="AW15" s="850">
        <f t="array" ref="AW15">SUM(IF(LEFT(AW23:AW164,1)="X",1,0))</f>
        <v>43</v>
      </c>
      <c r="AX15" s="903">
        <f t="array" ref="AX15">SUM(IF(LEFT(AX23:AX164,1)="X",1,0))</f>
        <v>3</v>
      </c>
      <c r="AY15" s="903">
        <f t="array" ref="AY15">SUM(IF(LEFT(AY23:AY164,1)="X",1,0))</f>
        <v>42</v>
      </c>
      <c r="AZ15" s="903">
        <f t="array" ref="AZ15">SUM(IF(LEFT(AZ23:AZ164,1)="X",1,0))</f>
        <v>2</v>
      </c>
      <c r="BA15" s="903">
        <f t="array" ref="BA15">SUM(IF(LEFT(BA23:BA164,1)="X",1,0))</f>
        <v>25</v>
      </c>
      <c r="BB15" s="903">
        <f t="array" ref="BB15">SUM(IF(LEFT(BB23:BB164,1)="X",1,0))</f>
        <v>0</v>
      </c>
      <c r="BC15" s="903">
        <f t="array" ref="BC15">SUM(IF(LEFT(BC23:BC164,1)="X",1,0))</f>
        <v>4</v>
      </c>
      <c r="BD15" s="903">
        <f t="array" ref="BD15">SUM(IF(LEFT(BD23:BD164,1)="X",1,0))</f>
        <v>9</v>
      </c>
      <c r="BE15" s="903">
        <f t="array" ref="BE15">SUM(IF(LEFT(BE23:BE164,1)="X",1,0))</f>
        <v>18</v>
      </c>
      <c r="BF15" s="903">
        <f t="array" ref="BF15">SUM(IF(LEFT(BF23:BF164,1)="X",1,0))</f>
        <v>35</v>
      </c>
      <c r="BG15" s="903">
        <f t="array" ref="BG15">SUM(IF(LEFT(BG23:BG164,1)="X",1,0))</f>
        <v>12</v>
      </c>
      <c r="BH15" s="903">
        <f t="array" ref="BH15">SUM(IF(LEFT(BH23:BH164,1)="X",1,0))</f>
        <v>0</v>
      </c>
      <c r="BI15" s="903">
        <f t="array" ref="BI15">SUM(IF(LEFT(BI23:BI164,1)="X",1,0))</f>
        <v>21</v>
      </c>
      <c r="BJ15" s="903">
        <f t="array" ref="BJ15">SUM(IF(LEFT(BJ23:BJ164,1)="X",1,0))</f>
        <v>15</v>
      </c>
      <c r="BK15" s="889"/>
      <c r="BL15" s="874"/>
      <c r="BM15" s="903">
        <f t="array" ref="BM15">SUM(IF(LEFT(BM23:BM164,1)="X",1,0))</f>
        <v>1</v>
      </c>
      <c r="BN15" s="850">
        <f t="array" ref="BN15">SUM(IF(LEFT(BN23:BN164,1)="X",1,0))</f>
        <v>3</v>
      </c>
      <c r="BO15" s="903">
        <f t="array" ref="BO15">SUM(IF(LEFT(BO23:BO164,1)="X",1,0))</f>
        <v>0</v>
      </c>
      <c r="BP15" s="874"/>
      <c r="BQ15" s="874"/>
      <c r="BR15" s="874"/>
      <c r="BS15" s="874"/>
      <c r="BT15" s="874"/>
      <c r="BU15" s="874"/>
      <c r="BV15" s="874"/>
      <c r="BW15" s="874"/>
      <c r="BX15" s="874"/>
      <c r="BY15" s="874"/>
      <c r="BZ15" s="874"/>
      <c r="CA15" s="874"/>
      <c r="CB15" s="874"/>
      <c r="CC15" s="874"/>
      <c r="CD15" s="874"/>
      <c r="CE15" s="874"/>
      <c r="CF15" s="874"/>
      <c r="CG15" s="874"/>
      <c r="CH15" s="874"/>
      <c r="CI15" s="874"/>
    </row>
    <row r="16" spans="1:93" s="456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AVERAGEIF($H$23:$H$207,"=H",$J$23:$J$207)</f>
        <v>1.2272727272727273</v>
      </c>
      <c r="J16" s="858">
        <f>AVERAGEIF($H$23:$H$211,"=H",$K$23:$K$211)</f>
        <v>1.0454545454545454</v>
      </c>
      <c r="K16" s="858">
        <f>I16-J16</f>
        <v>0.18181818181818188</v>
      </c>
      <c r="L16" s="857">
        <f>COUNTIFS($L$23:$L$207,"=W",$H$23:$H$207,"=H")</f>
        <v>11</v>
      </c>
      <c r="M16" s="857">
        <f>COUNTIFS($L$23:$L$207,"=D",$H$23:$H$207,"=H")</f>
        <v>3</v>
      </c>
      <c r="N16" s="863">
        <f>COUNTIFS($L$23:$L$207,"=L",$H$23:$H$207,"=H")</f>
        <v>8</v>
      </c>
      <c r="O16" s="858">
        <f>SUM(I16:J16)</f>
        <v>2.2727272727272725</v>
      </c>
      <c r="Q16" s="861" t="s">
        <v>212</v>
      </c>
      <c r="R16" s="858">
        <f>AVERAGEIFS($S$23:$S$208,$H$23:$H$208,"H",$I$23:$I$208,Table!$C$1)</f>
        <v>2.5138095238095235</v>
      </c>
      <c r="S16" s="858">
        <f>AVERAGEIFS($S$23:$S$208,$H$23:$H$208,"A",$I$23:$I$208,Table!$C$1)</f>
        <v>2.4428571428571426</v>
      </c>
      <c r="AF16" s="848" t="s">
        <v>724</v>
      </c>
      <c r="AG16" s="850">
        <f t="array" ref="AG16">SUM(IF(LEFT(AG23:AG165,1)="s",1,0))</f>
        <v>0</v>
      </c>
      <c r="AH16" s="903">
        <f t="array" ref="AH16">SUM(IF(LEFT(AH23:AH165,1)="s",1,0))</f>
        <v>0</v>
      </c>
      <c r="AI16" s="903">
        <f t="array" ref="AI16">SUM(IF(LEFT(AI23:AI165,1)="s",1,0))</f>
        <v>2</v>
      </c>
      <c r="AJ16" s="903">
        <f t="array" ref="AJ16">SUM(IF(LEFT(AJ23:AJ165,1)="s",1,0))</f>
        <v>0</v>
      </c>
      <c r="AK16" s="903">
        <f t="array" ref="AK16">SUM(IF(LEFT(AK23:AK165,1)="s",1,0))</f>
        <v>1</v>
      </c>
      <c r="AL16" s="850">
        <f t="array" ref="AL16">SUM(IF(LEFT(AL23:AL165,1)="s",1,0))</f>
        <v>0</v>
      </c>
      <c r="AM16" s="850">
        <f t="array" ref="AM16">SUM(IF(LEFT(AM23:AM165,1)="s",1,0))</f>
        <v>2</v>
      </c>
      <c r="AN16" s="850">
        <f t="array" ref="AN16">SUM(IF(LEFT(AN23:AN165,1)="s",1,0))</f>
        <v>0</v>
      </c>
      <c r="AO16" s="850">
        <f t="array" ref="AO16">SUM(IF(LEFT(AO23:AO165,1)="s",1,0))</f>
        <v>1</v>
      </c>
      <c r="AP16" s="850">
        <f t="array" ref="AP16">SUM(IF(LEFT(AP23:AP165,1)="s",1,0))</f>
        <v>0</v>
      </c>
      <c r="AQ16" s="850">
        <f t="array" ref="AQ16">SUM(IF(LEFT(AQ23:AQ165,1)="s",1,0))</f>
        <v>5</v>
      </c>
      <c r="AR16" s="850">
        <f t="array" ref="AR16">SUM(IF(LEFT(AR23:AR165,1)="s",1,0))</f>
        <v>5</v>
      </c>
      <c r="AS16" s="850">
        <f t="array" ref="AS16">SUM(IF(LEFT(AS23:AS165,1)="s",1,0))</f>
        <v>0</v>
      </c>
      <c r="AT16" s="903">
        <f t="array" ref="AT16">SUM(IF(LEFT(AT23:AT165,1)="s",1,0))</f>
        <v>0</v>
      </c>
      <c r="AU16" s="903">
        <f t="array" ref="AU16">SUM(IF(LEFT(AU23:AU165,1)="s",1,0))</f>
        <v>5</v>
      </c>
      <c r="AV16" s="903">
        <f t="array" ref="AV16">SUM(IF(LEFT(AV23:AV165,1)="s",1,0))</f>
        <v>2</v>
      </c>
      <c r="AW16" s="850">
        <f t="array" ref="AW16">SUM(IF(LEFT(AW23:AW165,1)="s",1,0))</f>
        <v>1</v>
      </c>
      <c r="AX16" s="903">
        <f t="array" ref="AX16">SUM(IF(LEFT(AX23:AX165,1)="s",1,0))</f>
        <v>3</v>
      </c>
      <c r="AY16" s="903">
        <f t="array" ref="AY16">SUM(IF(LEFT(AY23:AY165,1)="s",1,0))</f>
        <v>0</v>
      </c>
      <c r="AZ16" s="903">
        <f t="array" ref="AZ16">SUM(IF(LEFT(AZ23:AZ165,1)="s",1,0))</f>
        <v>0</v>
      </c>
      <c r="BA16" s="903">
        <f t="array" ref="BA16">SUM(IF(LEFT(BA23:BA165,1)="s",1,0))</f>
        <v>10</v>
      </c>
      <c r="BB16" s="903">
        <f t="array" ref="BB16">SUM(IF(LEFT(BB23:BB165,1)="s",1,0))</f>
        <v>1</v>
      </c>
      <c r="BC16" s="903">
        <f t="array" ref="BC16">SUM(IF(LEFT(BC23:BC165,1)="s",1,0))</f>
        <v>25</v>
      </c>
      <c r="BD16" s="903">
        <f t="array" ref="BD16">SUM(IF(LEFT(BD23:BD165,1)="s",1,0))</f>
        <v>22</v>
      </c>
      <c r="BE16" s="903">
        <f t="array" ref="BE16">SUM(IF(LEFT(BE23:BE165,1)="s",1,0))</f>
        <v>21</v>
      </c>
      <c r="BF16" s="903">
        <f t="array" ref="BF16">SUM(IF(LEFT(BF23:BF165,1)="s",1,0))</f>
        <v>3</v>
      </c>
      <c r="BG16" s="903">
        <f t="array" ref="BG16">SUM(IF(LEFT(BG23:BG165,1)="s",1,0))</f>
        <v>9</v>
      </c>
      <c r="BH16" s="903">
        <f t="array" ref="BH16">SUM(IF(LEFT(BH23:BH165,1)="s",1,0))</f>
        <v>0</v>
      </c>
      <c r="BI16" s="903">
        <f t="array" ref="BI16">SUM(IF(LEFT(BI23:BI165,1)="s",1,0))</f>
        <v>10</v>
      </c>
      <c r="BJ16" s="903">
        <f t="array" ref="BJ16">SUM(IF(LEFT(BJ23:BJ165,1)="s",1,0))</f>
        <v>4</v>
      </c>
      <c r="BK16" s="889"/>
      <c r="BL16" s="874"/>
      <c r="BM16" s="903">
        <f t="array" ref="BM16">SUM(IF(LEFT(BM23:BM165,1)="s",1,0))</f>
        <v>1</v>
      </c>
      <c r="BN16" s="850">
        <f t="array" ref="BN16">SUM(IF(LEFT(BN23:BN165,1)="s",1,0))</f>
        <v>0</v>
      </c>
      <c r="BO16" s="903">
        <f t="array" ref="BO16">SUM(IF(LEFT(BO23:BO165,1)="s",1,0))</f>
        <v>1</v>
      </c>
      <c r="BP16" s="874"/>
      <c r="BQ16" s="874"/>
      <c r="BR16" s="874"/>
      <c r="BS16" s="874"/>
      <c r="BT16" s="874"/>
      <c r="BU16" s="874"/>
      <c r="BV16" s="874"/>
      <c r="BW16" s="874"/>
      <c r="BX16" s="874"/>
      <c r="BY16" s="874"/>
      <c r="BZ16" s="874"/>
      <c r="CA16" s="874"/>
      <c r="CB16" s="874"/>
      <c r="CC16" s="874"/>
      <c r="CD16" s="874"/>
      <c r="CE16" s="874"/>
      <c r="CF16" s="874"/>
      <c r="CG16" s="874"/>
      <c r="CH16" s="874"/>
      <c r="CI16" s="874"/>
    </row>
    <row r="17" spans="1:119" s="456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23</v>
      </c>
      <c r="I17" s="860">
        <f>AVERAGEIF($H$23:$H$207,"=A",$J$23:$J$207)</f>
        <v>1.3913043478260869</v>
      </c>
      <c r="J17" s="860">
        <f>AVERAGEIF($H$23:$H$211,"=A",$K$23:$K$211)</f>
        <v>0.73913043478260865</v>
      </c>
      <c r="K17" s="858">
        <f>I17-J17</f>
        <v>0.65217391304347827</v>
      </c>
      <c r="L17" s="857">
        <f>COUNTIFS($L$23:$L$207,"=W",$H$23:$H$207,"=A")</f>
        <v>11</v>
      </c>
      <c r="M17" s="857">
        <f>COUNTIFS($L$23:$L$207,"=D",$H$23:$H$207,"=A")</f>
        <v>9</v>
      </c>
      <c r="N17" s="863">
        <f>COUNTIFS($L$23:$L$207,"=L",$H$23:$H$207,"=A")</f>
        <v>3</v>
      </c>
      <c r="O17" s="858">
        <f>SUM(I17:J17)</f>
        <v>2.1304347826086953</v>
      </c>
      <c r="Q17" s="848"/>
      <c r="R17" s="859"/>
      <c r="S17" s="855"/>
      <c r="AF17" s="848" t="s">
        <v>718</v>
      </c>
      <c r="AG17" s="850">
        <f t="array" ref="AG17">SUM(IF(ISNUMBER(VALUE(RIGHT(AG23:AG173,1))),VALUE(RIGHT(AG23:AG173,1)),0))</f>
        <v>0</v>
      </c>
      <c r="AH17" s="903">
        <f t="array" ref="AH17">SUM(IF(ISNUMBER(VALUE(RIGHT(AH23:AH173,1))),VALUE(RIGHT(AH23:AH173,1)),0))</f>
        <v>0</v>
      </c>
      <c r="AI17" s="903">
        <f t="array" ref="AI17">SUM(IF(ISNUMBER(VALUE(RIGHT(AI23:AI173,1))),VALUE(RIGHT(AI23:AI173,1)),0))</f>
        <v>0</v>
      </c>
      <c r="AJ17" s="903">
        <f t="array" ref="AJ17">SUM(IF(ISNUMBER(VALUE(RIGHT(AJ23:AJ173,1))),VALUE(RIGHT(AJ23:AJ173,1)),0))</f>
        <v>0</v>
      </c>
      <c r="AK17" s="903">
        <f t="array" ref="AK17">SUM(IF(ISNUMBER(VALUE(RIGHT(AK23:AK173,1))),VALUE(RIGHT(AK23:AK173,1)),0))</f>
        <v>0</v>
      </c>
      <c r="AL17" s="850">
        <f t="array" ref="AL17">SUM(IF(ISNUMBER(VALUE(RIGHT(AL23:AL173,1))),VALUE(RIGHT(AL23:AL173,1)),0))</f>
        <v>1</v>
      </c>
      <c r="AM17" s="850">
        <f t="array" ref="AM17">SUM(IF(ISNUMBER(VALUE(RIGHT(AM23:AM173,1))),VALUE(RIGHT(AM23:AM173,1)),0))</f>
        <v>1</v>
      </c>
      <c r="AN17" s="850">
        <f t="array" ref="AN17">SUM(IF(ISNUMBER(VALUE(RIGHT(AN23:AN173,1))),VALUE(RIGHT(AN23:AN173,1)),0))</f>
        <v>1</v>
      </c>
      <c r="AO17" s="850">
        <f t="array" ref="AO17">SUM(IF(ISNUMBER(VALUE(RIGHT(AO23:AO173,1))),VALUE(RIGHT(AO23:AO173,1)),0))</f>
        <v>0</v>
      </c>
      <c r="AP17" s="850">
        <f t="array" ref="AP17">SUM(IF(ISNUMBER(VALUE(RIGHT(AP23:AP173,1))),VALUE(RIGHT(AP23:AP173,1)),0))</f>
        <v>0</v>
      </c>
      <c r="AQ17" s="850">
        <f t="array" ref="AQ17">SUM(IF(ISNUMBER(VALUE(RIGHT(AQ23:AQ173,1))),VALUE(RIGHT(AQ23:AQ173,1)),0))</f>
        <v>0</v>
      </c>
      <c r="AR17" s="850">
        <f t="array" ref="AR17">SUM(IF(ISNUMBER(VALUE(RIGHT(AR23:AR173,1))),VALUE(RIGHT(AR23:AR173,1)),0))</f>
        <v>0</v>
      </c>
      <c r="AS17" s="850">
        <f t="array" ref="AS17">SUM(IF(ISNUMBER(VALUE(RIGHT(AS23:AS173,1))),VALUE(RIGHT(AS23:AS173,1)),0))</f>
        <v>3</v>
      </c>
      <c r="AT17" s="903">
        <f t="array" ref="AT17">SUM(IF(ISNUMBER(VALUE(RIGHT(AT23:AT173,1))),VALUE(RIGHT(AT23:AT173,1)),0))</f>
        <v>0</v>
      </c>
      <c r="AU17" s="903">
        <f t="array" ref="AU17">SUM(IF(ISNUMBER(VALUE(RIGHT(AU23:AU173,1))),VALUE(RIGHT(AU23:AU173,1)),0))</f>
        <v>0</v>
      </c>
      <c r="AV17" s="903">
        <f t="array" ref="AV17">SUM(IF(ISNUMBER(VALUE(RIGHT(AV23:AV173,1))),VALUE(RIGHT(AV23:AV173,1)),0))</f>
        <v>2</v>
      </c>
      <c r="AW17" s="850">
        <f t="array" ref="AW17">SUM(IF(ISNUMBER(VALUE(RIGHT(AW23:AW173,1))),VALUE(RIGHT(AW23:AW173,1)),0))</f>
        <v>3</v>
      </c>
      <c r="AX17" s="903">
        <f t="array" ref="AX17">SUM(IF(ISNUMBER(VALUE(RIGHT(AX23:AX173,1))),VALUE(RIGHT(AX23:AX173,1)),0))</f>
        <v>0</v>
      </c>
      <c r="AY17" s="903">
        <f t="array" ref="AY17">SUM(IF(ISNUMBER(VALUE(RIGHT(AY23:AY173,1))),VALUE(RIGHT(AY23:AY173,1)),0))</f>
        <v>7</v>
      </c>
      <c r="AZ17" s="903">
        <f t="array" ref="AZ17">SUM(IF(ISNUMBER(VALUE(RIGHT(AZ23:AZ173,1))),VALUE(RIGHT(AZ23:AZ173,1)),0))</f>
        <v>1</v>
      </c>
      <c r="BA17" s="903">
        <f t="array" ref="BA17">SUM(IF(ISNUMBER(VALUE(RIGHT(BA23:BA173,1))),VALUE(RIGHT(BA23:BA173,1)),0))</f>
        <v>4</v>
      </c>
      <c r="BB17" s="903">
        <f t="array" ref="BB17">SUM(IF(ISNUMBER(VALUE(RIGHT(BB23:BB173,1))),VALUE(RIGHT(BB23:BB173,1)),0))</f>
        <v>1</v>
      </c>
      <c r="BC17" s="903">
        <f t="array" ref="BC17">SUM(IF(ISNUMBER(VALUE(RIGHT(BC23:BC173,1))),VALUE(RIGHT(BC23:BC173,1)),0))</f>
        <v>3</v>
      </c>
      <c r="BD17" s="903">
        <f t="array" ref="BD17">SUM(IF(ISNUMBER(VALUE(RIGHT(BD23:BD173,1))),VALUE(RIGHT(BD23:BD173,1)),0))</f>
        <v>1</v>
      </c>
      <c r="BE17" s="903">
        <f t="array" ref="BE17">SUM(IF(ISNUMBER(VALUE(RIGHT(BE23:BE173,1))),VALUE(RIGHT(BE23:BE173,1)),0))</f>
        <v>10</v>
      </c>
      <c r="BF17" s="903">
        <f t="array" ref="BF17">SUM(IF(ISNUMBER(VALUE(RIGHT(BF23:BF173,1))),VALUE(RIGHT(BF23:BF173,1)),0))</f>
        <v>19</v>
      </c>
      <c r="BG17" s="903">
        <f t="array" ref="BG17">SUM(IF(ISNUMBER(VALUE(RIGHT(BG23:BG173,1))),VALUE(RIGHT(BG23:BG173,1)),0))</f>
        <v>0</v>
      </c>
      <c r="BH17" s="903">
        <f t="array" ref="BH17">SUM(IF(ISNUMBER(VALUE(RIGHT(BH23:BH173,1))),VALUE(RIGHT(BH23:BH173,1)),0))</f>
        <v>0</v>
      </c>
      <c r="BI17" s="903">
        <f t="array" ref="BI17">SUM(IF(ISNUMBER(VALUE(RIGHT(BI23:BI173,1))),VALUE(RIGHT(BI23:BI173,1)),0))</f>
        <v>3</v>
      </c>
      <c r="BJ17" s="903">
        <f t="array" ref="BJ17">SUM(IF(ISNUMBER(VALUE(RIGHT(BJ23:BJ173,1))),VALUE(RIGHT(BJ23:BJ173,1)),0))</f>
        <v>0</v>
      </c>
      <c r="BK17" s="889"/>
      <c r="BL17" s="874"/>
      <c r="BM17" s="903">
        <f t="array" ref="BM17">SUM(IF(ISNUMBER(VALUE(RIGHT(BM23:BM173,1))),VALUE(RIGHT(BM23:BM173,1)),0))</f>
        <v>0</v>
      </c>
      <c r="BN17" s="850">
        <f t="array" ref="BN17">SUM(IF(ISNUMBER(VALUE(RIGHT(BN23:BN173,1))),VALUE(RIGHT(BN23:BN173,1)),0))</f>
        <v>0</v>
      </c>
      <c r="BO17" s="903">
        <f t="array" ref="BO17">SUM(IF(ISNUMBER(VALUE(RIGHT(BO23:BO173,1))),VALUE(RIGHT(BO23:BO173,1)),0))</f>
        <v>0</v>
      </c>
      <c r="BP17" s="874"/>
      <c r="BQ17" s="874"/>
      <c r="BR17" s="874"/>
      <c r="BS17" s="874"/>
      <c r="BT17" s="874"/>
      <c r="BU17" s="874"/>
      <c r="BV17" s="874"/>
      <c r="BW17" s="874"/>
      <c r="BX17" s="874"/>
      <c r="BY17" s="874"/>
      <c r="BZ17" s="874"/>
      <c r="CA17" s="874"/>
      <c r="CB17" s="874"/>
      <c r="CC17" s="874"/>
      <c r="CD17" s="874"/>
      <c r="CE17" s="874"/>
      <c r="CF17" s="874"/>
      <c r="CG17" s="874"/>
      <c r="CH17" s="874"/>
      <c r="CI17" s="874"/>
    </row>
    <row r="18" spans="1:119" s="456" customFormat="1" ht="15">
      <c r="A18" s="787"/>
      <c r="B18" s="787"/>
      <c r="C18" s="787"/>
      <c r="D18" s="787"/>
      <c r="E18" s="787"/>
      <c r="Q18" s="848" t="s">
        <v>826</v>
      </c>
      <c r="R18" s="858">
        <f>AVERAGEIFS($W$23:$W$210,$H$23:$H$210,"H",$I$23:$I$210,Table!$C$1)</f>
        <v>18.285714285714285</v>
      </c>
      <c r="S18" s="858">
        <f>AVERAGEIFS($W$23:$W$210,$H$23:$H$210,"A",$I$23:$I$210,Table!$C$1)</f>
        <v>15.095238095238095</v>
      </c>
      <c r="AG18" s="885">
        <v>1</v>
      </c>
      <c r="AH18" s="885">
        <v>23</v>
      </c>
      <c r="AI18" s="885">
        <v>25</v>
      </c>
      <c r="AJ18" s="885">
        <v>31</v>
      </c>
      <c r="AK18" s="885">
        <v>2</v>
      </c>
      <c r="AL18" s="885">
        <v>3</v>
      </c>
      <c r="AM18" s="885">
        <v>5</v>
      </c>
      <c r="AN18" s="885">
        <v>14</v>
      </c>
      <c r="AO18" s="885">
        <v>18</v>
      </c>
      <c r="AP18" s="885">
        <v>19</v>
      </c>
      <c r="AQ18" s="885">
        <v>22</v>
      </c>
      <c r="AR18" s="885">
        <v>30</v>
      </c>
      <c r="AS18" s="885">
        <v>36</v>
      </c>
      <c r="AT18" s="885">
        <v>34</v>
      </c>
      <c r="AU18" s="885">
        <v>20</v>
      </c>
      <c r="AV18" s="885">
        <v>6</v>
      </c>
      <c r="AW18" s="885">
        <v>7</v>
      </c>
      <c r="AX18" s="885">
        <v>15</v>
      </c>
      <c r="AY18" s="885">
        <v>33</v>
      </c>
      <c r="AZ18" s="885">
        <v>39</v>
      </c>
      <c r="BA18" s="885">
        <v>8</v>
      </c>
      <c r="BB18" s="885">
        <v>9</v>
      </c>
      <c r="BC18" s="885">
        <v>10</v>
      </c>
      <c r="BD18" s="885">
        <v>11</v>
      </c>
      <c r="BE18" s="885">
        <v>16</v>
      </c>
      <c r="BF18" s="885">
        <v>17</v>
      </c>
      <c r="BG18" s="885">
        <v>21</v>
      </c>
      <c r="BH18" s="885">
        <v>32</v>
      </c>
      <c r="BI18" s="885">
        <v>29</v>
      </c>
      <c r="BJ18" s="885">
        <v>24</v>
      </c>
      <c r="BK18" s="885"/>
      <c r="BM18" s="885">
        <v>13</v>
      </c>
      <c r="BN18" s="885">
        <v>6</v>
      </c>
      <c r="BO18" s="885">
        <v>27</v>
      </c>
      <c r="BP18" s="885"/>
      <c r="BQ18" s="885"/>
      <c r="BR18" s="885"/>
      <c r="BS18" s="885"/>
      <c r="BT18" s="885"/>
      <c r="BU18" s="885"/>
      <c r="BV18" s="885"/>
      <c r="BW18" s="885"/>
      <c r="BX18" s="876"/>
      <c r="BY18" s="876"/>
      <c r="BZ18" s="885"/>
      <c r="CA18" s="885"/>
      <c r="CB18" s="885"/>
      <c r="CC18" s="885"/>
      <c r="CD18" s="876"/>
      <c r="CE18" s="876"/>
      <c r="CF18" s="876"/>
      <c r="CG18" s="876"/>
      <c r="CH18" s="876"/>
      <c r="CI18" s="876"/>
      <c r="CJ18" s="876"/>
      <c r="CK18" s="876"/>
      <c r="CL18" s="876"/>
    </row>
    <row r="19" spans="1:119" s="456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AVERAGEIFS($X$23:$X$208,$H$23:$H$208,"H",$I$23:$I$208,Table!$C$1)</f>
        <v>9.8571428571428577</v>
      </c>
      <c r="S19" s="858">
        <f>AVERAGEIFS($X$23:$X$208,$H$23:$H$208,"A",$I$23:$I$208,Table!$C$1)</f>
        <v>12.095238095238095</v>
      </c>
      <c r="V19" s="867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456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1985</v>
      </c>
      <c r="AL19" s="901" t="s">
        <v>1987</v>
      </c>
      <c r="AM19" s="901" t="s">
        <v>1984</v>
      </c>
      <c r="AN19" s="901" t="s">
        <v>1984</v>
      </c>
      <c r="AO19" s="901" t="s">
        <v>1988</v>
      </c>
      <c r="AP19" s="901" t="s">
        <v>1984</v>
      </c>
      <c r="AQ19" s="901" t="s">
        <v>1986</v>
      </c>
      <c r="AR19" s="901" t="s">
        <v>1988</v>
      </c>
      <c r="AS19" s="901" t="s">
        <v>1984</v>
      </c>
      <c r="AT19" s="901" t="s">
        <v>1984</v>
      </c>
      <c r="AU19" s="901" t="s">
        <v>3200</v>
      </c>
      <c r="AV19" s="901" t="s">
        <v>2756</v>
      </c>
      <c r="AW19" s="901" t="s">
        <v>1990</v>
      </c>
      <c r="AX19" s="901" t="s">
        <v>1989</v>
      </c>
      <c r="AY19" s="901" t="s">
        <v>1991</v>
      </c>
      <c r="AZ19" s="901" t="s">
        <v>1993</v>
      </c>
      <c r="BA19" s="901" t="s">
        <v>1994</v>
      </c>
      <c r="BB19" s="901" t="s">
        <v>1994</v>
      </c>
      <c r="BC19" s="901" t="s">
        <v>1995</v>
      </c>
      <c r="BD19" s="901" t="s">
        <v>1992</v>
      </c>
      <c r="BE19" s="901" t="s">
        <v>1996</v>
      </c>
      <c r="BF19" s="901" t="s">
        <v>1994</v>
      </c>
      <c r="BG19" s="901" t="s">
        <v>1992</v>
      </c>
      <c r="BH19" s="901" t="s">
        <v>1994</v>
      </c>
      <c r="BI19" s="901" t="s">
        <v>1992</v>
      </c>
      <c r="BJ19" s="901" t="s">
        <v>1995</v>
      </c>
      <c r="BK19" s="874"/>
      <c r="BM19" s="901" t="s">
        <v>1991</v>
      </c>
      <c r="BN19" s="901" t="s">
        <v>1989</v>
      </c>
      <c r="BO19" s="901" t="s">
        <v>1992</v>
      </c>
      <c r="BP19" s="877"/>
      <c r="BQ19" s="877"/>
      <c r="BR19" s="877"/>
      <c r="BS19" s="877"/>
      <c r="BT19" s="877"/>
      <c r="BU19" s="877"/>
      <c r="BV19" s="877"/>
      <c r="BW19" s="877"/>
      <c r="BX19" s="877"/>
      <c r="BY19" s="877"/>
      <c r="BZ19" s="877"/>
      <c r="CA19" s="877"/>
      <c r="CB19" s="877"/>
      <c r="CC19" s="877"/>
      <c r="CD19" s="877"/>
      <c r="CE19" s="877"/>
      <c r="CF19" s="877"/>
      <c r="CG19" s="877"/>
      <c r="CH19" s="877"/>
      <c r="CI19" s="428"/>
      <c r="CJ19" s="876"/>
      <c r="CK19" s="876"/>
      <c r="CL19" s="876"/>
    </row>
    <row r="20" spans="1:119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4</v>
      </c>
      <c r="G20" s="822" t="s">
        <v>1873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1359</v>
      </c>
      <c r="AH20" s="887" t="s">
        <v>2822</v>
      </c>
      <c r="AI20" s="887" t="s">
        <v>1360</v>
      </c>
      <c r="AJ20" s="887" t="s">
        <v>1361</v>
      </c>
      <c r="AK20" s="887" t="s">
        <v>1362</v>
      </c>
      <c r="AL20" s="887" t="s">
        <v>1363</v>
      </c>
      <c r="AM20" s="887" t="s">
        <v>1364</v>
      </c>
      <c r="AN20" s="887" t="s">
        <v>2454</v>
      </c>
      <c r="AO20" s="887" t="s">
        <v>1365</v>
      </c>
      <c r="AP20" s="887" t="s">
        <v>1366</v>
      </c>
      <c r="AQ20" s="887" t="s">
        <v>1367</v>
      </c>
      <c r="AR20" s="887" t="s">
        <v>1368</v>
      </c>
      <c r="AS20" s="887" t="s">
        <v>2698</v>
      </c>
      <c r="AT20" s="887" t="s">
        <v>2864</v>
      </c>
      <c r="AU20" s="887" t="s">
        <v>3201</v>
      </c>
      <c r="AV20" s="887" t="s">
        <v>2757</v>
      </c>
      <c r="AW20" s="887" t="s">
        <v>3512</v>
      </c>
      <c r="AX20" s="887" t="s">
        <v>1371</v>
      </c>
      <c r="AY20" s="887" t="s">
        <v>1372</v>
      </c>
      <c r="AZ20" s="887" t="s">
        <v>1373</v>
      </c>
      <c r="BA20" s="887" t="s">
        <v>1374</v>
      </c>
      <c r="BB20" s="887" t="s">
        <v>1375</v>
      </c>
      <c r="BC20" s="887" t="s">
        <v>1376</v>
      </c>
      <c r="BD20" s="887" t="s">
        <v>1377</v>
      </c>
      <c r="BE20" s="887" t="s">
        <v>1378</v>
      </c>
      <c r="BF20" s="887" t="s">
        <v>3286</v>
      </c>
      <c r="BG20" s="887" t="s">
        <v>2504</v>
      </c>
      <c r="BH20" s="887" t="s">
        <v>1380</v>
      </c>
      <c r="BI20" s="887" t="s">
        <v>3461</v>
      </c>
      <c r="BJ20" s="887" t="s">
        <v>3533</v>
      </c>
      <c r="BK20" s="887" t="s">
        <v>2527</v>
      </c>
      <c r="BM20" s="887" t="s">
        <v>1370</v>
      </c>
      <c r="BN20" s="887" t="s">
        <v>1369</v>
      </c>
      <c r="BO20" s="887" t="s">
        <v>1379</v>
      </c>
      <c r="BP20" s="887"/>
      <c r="BQ20" s="887"/>
      <c r="BR20" s="887"/>
      <c r="BS20" s="887"/>
      <c r="BT20" s="887"/>
      <c r="BU20" s="887"/>
      <c r="BV20" s="887"/>
      <c r="BW20" s="887"/>
      <c r="BX20" s="864"/>
      <c r="BY20" s="864"/>
      <c r="BZ20" s="887"/>
      <c r="CA20" s="887"/>
      <c r="CB20" s="887"/>
      <c r="CC20" s="887"/>
      <c r="CD20" s="864"/>
      <c r="CE20" s="864"/>
      <c r="CF20" s="864"/>
      <c r="CG20" s="864"/>
      <c r="CH20" s="86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  <c r="CS20" s="824"/>
      <c r="CT20" s="824"/>
    </row>
    <row r="21" spans="1:119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1298</v>
      </c>
      <c r="AH21" s="886" t="s">
        <v>2823</v>
      </c>
      <c r="AI21" s="886" t="s">
        <v>1743</v>
      </c>
      <c r="AJ21" s="886" t="s">
        <v>1299</v>
      </c>
      <c r="AK21" s="886" t="s">
        <v>1300</v>
      </c>
      <c r="AL21" s="886" t="s">
        <v>1301</v>
      </c>
      <c r="AM21" s="886" t="s">
        <v>1302</v>
      </c>
      <c r="AN21" s="886" t="s">
        <v>1303</v>
      </c>
      <c r="AO21" s="886" t="s">
        <v>1304</v>
      </c>
      <c r="AP21" s="886" t="s">
        <v>1305</v>
      </c>
      <c r="AQ21" s="886" t="s">
        <v>2755</v>
      </c>
      <c r="AR21" s="886" t="s">
        <v>1306</v>
      </c>
      <c r="AS21" s="886" t="s">
        <v>1307</v>
      </c>
      <c r="AT21" s="886" t="s">
        <v>2866</v>
      </c>
      <c r="AU21" s="886" t="s">
        <v>3202</v>
      </c>
      <c r="AV21" s="886" t="s">
        <v>3045</v>
      </c>
      <c r="AW21" s="886" t="s">
        <v>1309</v>
      </c>
      <c r="AX21" s="886" t="s">
        <v>1311</v>
      </c>
      <c r="AY21" s="886" t="s">
        <v>953</v>
      </c>
      <c r="AZ21" s="886" t="s">
        <v>1313</v>
      </c>
      <c r="BA21" s="886" t="s">
        <v>1744</v>
      </c>
      <c r="BB21" s="886" t="s">
        <v>1314</v>
      </c>
      <c r="BC21" s="886" t="s">
        <v>1315</v>
      </c>
      <c r="BD21" s="886" t="s">
        <v>1316</v>
      </c>
      <c r="BE21" s="886" t="s">
        <v>1317</v>
      </c>
      <c r="BF21" s="886" t="s">
        <v>1318</v>
      </c>
      <c r="BG21" s="886" t="s">
        <v>1745</v>
      </c>
      <c r="BH21" s="886" t="s">
        <v>1320</v>
      </c>
      <c r="BI21" s="886" t="s">
        <v>1312</v>
      </c>
      <c r="BJ21" s="886" t="s">
        <v>2930</v>
      </c>
      <c r="BK21" s="886"/>
      <c r="BM21" s="886" t="s">
        <v>1310</v>
      </c>
      <c r="BN21" s="886" t="s">
        <v>1308</v>
      </c>
      <c r="BO21" s="886" t="s">
        <v>1319</v>
      </c>
      <c r="BP21" s="886"/>
      <c r="BQ21" s="886"/>
      <c r="BR21" s="886"/>
      <c r="BS21" s="886"/>
      <c r="BT21" s="886"/>
      <c r="BU21" s="886"/>
      <c r="BV21" s="886"/>
      <c r="BW21" s="886"/>
      <c r="BX21" s="864"/>
      <c r="BY21" s="864"/>
      <c r="BZ21" s="886"/>
      <c r="CA21" s="886"/>
      <c r="CB21" s="886"/>
      <c r="CC21" s="886"/>
      <c r="CD21" s="864"/>
      <c r="CE21" s="864"/>
      <c r="CF21" s="864"/>
      <c r="CG21" s="864"/>
      <c r="CH21" s="86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  <c r="CS21" s="824"/>
      <c r="CT21" s="824"/>
    </row>
    <row r="22" spans="1:119" s="816" customFormat="1" ht="12.75">
      <c r="A22" s="827"/>
      <c r="E22" s="827"/>
      <c r="O22" s="456"/>
      <c r="P22" s="456"/>
      <c r="Q22" s="456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  <c r="CK22" s="829"/>
      <c r="CL22" s="829"/>
    </row>
    <row r="23" spans="1:119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9</v>
      </c>
      <c r="G23" s="879" t="s">
        <v>1083</v>
      </c>
      <c r="H23" s="879" t="s">
        <v>22</v>
      </c>
      <c r="I23" s="879" t="s">
        <v>891</v>
      </c>
      <c r="J23" s="846">
        <v>1</v>
      </c>
      <c r="K23" s="846">
        <v>2</v>
      </c>
      <c r="L23" s="816" t="str">
        <f>IF(J23="","",IF(J23&gt;K23,"W",IF(J23=K23,"D",IF(J23&lt;K23,"L"))))</f>
        <v>L</v>
      </c>
      <c r="M23" s="816">
        <f>IF(J23="","",J23+K23)</f>
        <v>3</v>
      </c>
      <c r="N23" s="816" t="str">
        <f>IF($J23="","",IF($M23&gt;N$19,"O",IF($M23&lt;N$19,"U",IF($M23=N$19,"-"))))</f>
        <v>O</v>
      </c>
      <c r="O23" s="816">
        <f t="shared" ref="O23" si="23">IF(Q23="","",IF(SIGN(Q23)&lt;&gt;1,VLOOKUP(ABS(Q23),SUP_HDC,3,TRUE),-VLOOKUP(ABS(Q23),SUP_HDC,3,TRUE)))</f>
        <v>-0.25</v>
      </c>
      <c r="P23" s="829">
        <f>IF(O23="","",IF((J23-K23+O23)&gt;=0.5,1,IF((J23-K23+O23)=0.25,0.5,IF((J23-K23+O23)&lt;=-0.5,-1,IF((J23-K23+O23)=-0.25,-0.5,0)))))</f>
        <v>-1</v>
      </c>
      <c r="Q23" s="830">
        <v>0.15</v>
      </c>
      <c r="R23" s="871">
        <f>IF(ISBLANK(Q23),"",J23-K23-Q23)</f>
        <v>-1.1499999999999999</v>
      </c>
      <c r="S23" s="830">
        <v>2.25</v>
      </c>
      <c r="T23" s="871">
        <f>IF(ISBLANK(S23),"",J23+K23-S23)</f>
        <v>0.75</v>
      </c>
      <c r="U23" s="868">
        <f>IF(Q23="","",(Q23+S23)/2)</f>
        <v>1.2</v>
      </c>
      <c r="V23" s="868">
        <f>IF(Q23="","",S23-U23)</f>
        <v>1.05</v>
      </c>
      <c r="W23" s="816">
        <v>17</v>
      </c>
      <c r="X23" s="816">
        <v>17</v>
      </c>
      <c r="Y23" s="829">
        <v>6</v>
      </c>
      <c r="Z23" s="829">
        <v>3</v>
      </c>
      <c r="AA23" s="829">
        <v>48</v>
      </c>
      <c r="AB23" s="829">
        <v>52</v>
      </c>
      <c r="AC23" s="829"/>
      <c r="AD23" s="816" t="str">
        <f t="array" ref="AD23">IF($J23="","",IF(SUM(IF(ISNUMBER(VALUE(RIGHT($AG23:$EA23,1))),VALUE(RIGHT($AG23:$EA23,1)),0))=$J23,"T","F"))</f>
        <v>T</v>
      </c>
      <c r="AE23" s="831">
        <f t="array" ref="AE23">IF($J23="","",SUM(IF(LEFT($AG23:$EA23,1)="s",1,0))-SUM(IF(RIGHT(LEFT($AG23:$EA23,2))="-",1,0)))</f>
        <v>0</v>
      </c>
      <c r="AF23" s="816">
        <f t="array" ref="AF23">IF($J23="","",SUM(IF(LEFT($AG23:$EA23,1)="X",1,0)))</f>
        <v>11</v>
      </c>
      <c r="AG23" s="891" t="s">
        <v>32</v>
      </c>
      <c r="AH23" s="891" t="s">
        <v>34</v>
      </c>
      <c r="AI23" s="891" t="s">
        <v>1877</v>
      </c>
      <c r="AJ23" s="891" t="s">
        <v>32</v>
      </c>
      <c r="AK23" s="891" t="s">
        <v>32</v>
      </c>
      <c r="AL23" s="891" t="s">
        <v>1878</v>
      </c>
      <c r="AM23" s="891" t="s">
        <v>34</v>
      </c>
      <c r="AN23" s="891" t="s">
        <v>34</v>
      </c>
      <c r="AO23" s="891" t="s">
        <v>34</v>
      </c>
      <c r="AP23" s="891" t="s">
        <v>32</v>
      </c>
      <c r="AQ23" s="891" t="s">
        <v>32</v>
      </c>
      <c r="AR23" s="891" t="s">
        <v>1877</v>
      </c>
      <c r="AS23" s="904" t="s">
        <v>34</v>
      </c>
      <c r="AT23"/>
      <c r="AU23"/>
      <c r="AV23" s="910"/>
      <c r="AW23" s="891" t="s">
        <v>34</v>
      </c>
      <c r="AX23" s="891" t="s">
        <v>1877</v>
      </c>
      <c r="AY23" s="891" t="s">
        <v>35</v>
      </c>
      <c r="AZ23" s="891" t="s">
        <v>32</v>
      </c>
      <c r="BA23" s="904" t="s">
        <v>35</v>
      </c>
      <c r="BB23" s="891" t="s">
        <v>32</v>
      </c>
      <c r="BC23" s="891" t="s">
        <v>36</v>
      </c>
      <c r="BD23" s="891" t="s">
        <v>36</v>
      </c>
      <c r="BE23" s="904" t="s">
        <v>34</v>
      </c>
      <c r="BF23" s="891" t="s">
        <v>34</v>
      </c>
      <c r="BG23" s="891" t="s">
        <v>32</v>
      </c>
      <c r="BH23" s="891"/>
      <c r="BI23" s="891"/>
      <c r="BJ23" s="910"/>
      <c r="BK23" s="891"/>
      <c r="BM23" s="891" t="s">
        <v>32</v>
      </c>
      <c r="BN23" s="891" t="s">
        <v>1877</v>
      </c>
      <c r="BO23" s="891" t="s">
        <v>36</v>
      </c>
      <c r="BP23" s="891"/>
      <c r="BQ23" s="891"/>
      <c r="BR23" s="891"/>
      <c r="BS23" s="891"/>
      <c r="BT23" s="891"/>
      <c r="BU23" s="891"/>
      <c r="BV23" s="891"/>
      <c r="BW23" s="891"/>
      <c r="BX23" s="891"/>
      <c r="BY23" s="891"/>
      <c r="BZ23" s="891"/>
      <c r="CA23" s="891"/>
      <c r="CB23" s="891"/>
      <c r="CC23" s="891"/>
      <c r="CD23" s="891"/>
      <c r="CE23" s="896"/>
      <c r="CF23" s="896"/>
      <c r="CG23" s="896"/>
      <c r="CH23" s="896"/>
      <c r="CI23" s="428"/>
      <c r="CJ23" s="428"/>
      <c r="CK23" s="428"/>
      <c r="CL23" s="428"/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  <c r="CR23" s="230" t="s">
        <v>32</v>
      </c>
      <c r="CS23" s="230" t="s">
        <v>32</v>
      </c>
    </row>
    <row r="24" spans="1:119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20</v>
      </c>
      <c r="G24" s="879" t="s">
        <v>882</v>
      </c>
      <c r="H24" s="879" t="s">
        <v>18</v>
      </c>
      <c r="I24" s="879" t="s">
        <v>891</v>
      </c>
      <c r="J24" s="846">
        <v>2</v>
      </c>
      <c r="K24" s="846">
        <v>1</v>
      </c>
      <c r="L24" s="816" t="str">
        <f>IF(J24="","",IF(J24&gt;K24,"W",IF(J24=K24,"D",IF(J24&lt;K24,"L"))))</f>
        <v>W</v>
      </c>
      <c r="M24" s="816">
        <f>IF(J24="","",J24+K24)</f>
        <v>3</v>
      </c>
      <c r="N24" s="816" t="str">
        <f t="shared" ref="N24:N104" si="24">IF($J24="","",IF($M24&gt;N$19,"O",IF($M24&lt;N$19,"U",IF($M24=N$19,"-"))))</f>
        <v>O</v>
      </c>
      <c r="O24" s="816">
        <f t="shared" ref="O24:O58" si="25">IF(Q24="","",IF(SIGN(Q24)&lt;&gt;1,VLOOKUP(ABS(Q24),SUP_HDC,3,TRUE),-VLOOKUP(ABS(Q24),SUP_HDC,3,TRUE)))</f>
        <v>-0.25</v>
      </c>
      <c r="P24" s="829">
        <f t="shared" ref="P24:P58" si="26">IF(O24="","",IF((J24-K24+O24)&gt;=0.5,1,IF((J24-K24+O24)=0.25,0.5,IF((J24-K24+O24)&lt;=-0.5,-1,IF((J24-K24+O24)=-0.25,-0.5,0)))))</f>
        <v>1</v>
      </c>
      <c r="Q24" s="830">
        <v>0.15</v>
      </c>
      <c r="R24" s="871">
        <f t="shared" ref="R24:R96" si="27">IF(ISBLANK(Q24),"",J24-K24-Q24)</f>
        <v>0.85</v>
      </c>
      <c r="S24" s="830">
        <v>2.6</v>
      </c>
      <c r="T24" s="871">
        <f t="shared" ref="T24:T59" si="28">IF(ISBLANK(S24),"",J24+K24-S24)</f>
        <v>0.39999999999999991</v>
      </c>
      <c r="U24" s="868">
        <f t="shared" ref="U24:U58" si="29">IF(Q24="","",(Q24+S24)/2)</f>
        <v>1.375</v>
      </c>
      <c r="V24" s="868">
        <f t="shared" ref="V24:V58" si="30">IF(Q24="","",S24-U24)</f>
        <v>1.2250000000000001</v>
      </c>
      <c r="W24" s="829">
        <v>13</v>
      </c>
      <c r="X24" s="829">
        <v>10</v>
      </c>
      <c r="Y24" s="829">
        <v>5</v>
      </c>
      <c r="Z24" s="829">
        <v>3</v>
      </c>
      <c r="AA24" s="829">
        <v>38</v>
      </c>
      <c r="AB24" s="829">
        <v>62</v>
      </c>
      <c r="AD24" s="816" t="str">
        <f t="array" ref="AD24">IF($J24="","",IF(SUM(IF(ISNUMBER(VALUE(RIGHT($AG24:$EA24,1))),VALUE(RIGHT($AG24:$EA24,1)),0))=$J24,"T","F"))</f>
        <v>T</v>
      </c>
      <c r="AE24" s="831">
        <f t="array" ref="AE24">IF($J24="","",SUM(IF(LEFT($AG24:$EA24,1)="s",1,0))-SUM(IF(RIGHT(LEFT($AG24:$EA24,2))="-",1,0)))</f>
        <v>0</v>
      </c>
      <c r="AF24" s="816">
        <f t="array" ref="AF24">IF($J24="","",SUM(IF(LEFT($AG24:$EA24,1)="X",1,0)))</f>
        <v>11</v>
      </c>
      <c r="AG24" s="891" t="s">
        <v>32</v>
      </c>
      <c r="AH24" s="891" t="s">
        <v>34</v>
      </c>
      <c r="AI24" s="891" t="s">
        <v>1877</v>
      </c>
      <c r="AJ24" s="891" t="s">
        <v>32</v>
      </c>
      <c r="AK24" s="891" t="s">
        <v>32</v>
      </c>
      <c r="AL24" s="891" t="s">
        <v>34</v>
      </c>
      <c r="AM24" s="891" t="s">
        <v>1877</v>
      </c>
      <c r="AN24" s="891" t="s">
        <v>34</v>
      </c>
      <c r="AO24" s="891" t="s">
        <v>34</v>
      </c>
      <c r="AP24" s="891" t="s">
        <v>32</v>
      </c>
      <c r="AQ24" s="891" t="s">
        <v>32</v>
      </c>
      <c r="AR24" s="891" t="s">
        <v>1877</v>
      </c>
      <c r="AS24" s="891" t="s">
        <v>34</v>
      </c>
      <c r="AT24"/>
      <c r="AU24"/>
      <c r="AV24" s="910"/>
      <c r="AW24" s="891" t="s">
        <v>34</v>
      </c>
      <c r="AX24" s="891" t="s">
        <v>1877</v>
      </c>
      <c r="AY24" s="891" t="s">
        <v>35</v>
      </c>
      <c r="AZ24" s="891" t="s">
        <v>32</v>
      </c>
      <c r="BA24" s="891" t="s">
        <v>35</v>
      </c>
      <c r="BB24" s="891" t="s">
        <v>32</v>
      </c>
      <c r="BC24" s="891" t="s">
        <v>36</v>
      </c>
      <c r="BD24" s="891" t="s">
        <v>36</v>
      </c>
      <c r="BE24" s="891" t="s">
        <v>1957</v>
      </c>
      <c r="BF24" s="891" t="s">
        <v>1946</v>
      </c>
      <c r="BG24" s="891" t="s">
        <v>36</v>
      </c>
      <c r="BH24" s="891"/>
      <c r="BI24" s="891"/>
      <c r="BJ24" s="910"/>
      <c r="BK24" s="891"/>
      <c r="BM24" s="891" t="s">
        <v>32</v>
      </c>
      <c r="BN24" s="891" t="s">
        <v>34</v>
      </c>
      <c r="BO24" s="891"/>
      <c r="BP24" s="891"/>
      <c r="BQ24" s="891"/>
      <c r="BR24" s="891"/>
      <c r="BS24" s="891"/>
      <c r="BT24" s="891"/>
      <c r="BU24" s="891"/>
      <c r="BV24" s="891"/>
      <c r="BW24" s="891"/>
      <c r="BX24" s="891"/>
      <c r="BY24" s="891"/>
      <c r="BZ24" s="891"/>
      <c r="CA24" s="891"/>
      <c r="CB24" s="891"/>
      <c r="CC24" s="891"/>
      <c r="CD24" s="891"/>
      <c r="CE24" s="896"/>
      <c r="CF24" s="896"/>
      <c r="CG24" s="896"/>
      <c r="CH24" s="896"/>
      <c r="CI24" s="428"/>
      <c r="CJ24" s="428"/>
      <c r="CK24" s="428"/>
      <c r="CL24" s="428"/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  <c r="CR24" s="230" t="s">
        <v>32</v>
      </c>
      <c r="CS24" s="230" t="s">
        <v>32</v>
      </c>
    </row>
    <row r="25" spans="1:119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12</v>
      </c>
      <c r="G25" s="879" t="s">
        <v>879</v>
      </c>
      <c r="H25" s="879" t="s">
        <v>22</v>
      </c>
      <c r="I25" s="879" t="s">
        <v>891</v>
      </c>
      <c r="J25" s="846">
        <v>2</v>
      </c>
      <c r="K25" s="846">
        <v>1</v>
      </c>
      <c r="L25" s="816" t="str">
        <f>IF(J25="","",IF(J25&gt;K25,"W",IF(J25=K25,"D",IF(J25&lt;K25,"L"))))</f>
        <v>W</v>
      </c>
      <c r="M25" s="816">
        <f>IF(J25="","",J25+K25)</f>
        <v>3</v>
      </c>
      <c r="N25" s="816" t="str">
        <f t="shared" si="24"/>
        <v>O</v>
      </c>
      <c r="O25" s="816">
        <f t="shared" si="25"/>
        <v>-0.25</v>
      </c>
      <c r="P25" s="829">
        <f t="shared" si="26"/>
        <v>1</v>
      </c>
      <c r="Q25" s="830">
        <v>0.25</v>
      </c>
      <c r="R25" s="871">
        <f t="shared" si="27"/>
        <v>0.75</v>
      </c>
      <c r="S25" s="830">
        <v>2.37</v>
      </c>
      <c r="T25" s="871">
        <f t="shared" si="28"/>
        <v>0.62999999999999989</v>
      </c>
      <c r="U25" s="868">
        <f t="shared" si="29"/>
        <v>1.31</v>
      </c>
      <c r="V25" s="868">
        <f t="shared" si="30"/>
        <v>1.06</v>
      </c>
      <c r="W25" s="829">
        <v>18</v>
      </c>
      <c r="X25" s="829">
        <v>8</v>
      </c>
      <c r="Y25" s="829">
        <v>6</v>
      </c>
      <c r="Z25" s="829">
        <v>1</v>
      </c>
      <c r="AA25" s="829">
        <v>41</v>
      </c>
      <c r="AB25" s="829">
        <v>59</v>
      </c>
      <c r="AC25" s="829"/>
      <c r="AD25" s="816" t="str">
        <f t="array" ref="AD25">IF($J25="","",IF(SUM(IF(ISNUMBER(VALUE(RIGHT($AG25:$EA25,1))),VALUE(RIGHT($AG25:$EA25,1)),0))=$J25,"T","F"))</f>
        <v>T</v>
      </c>
      <c r="AE25" s="831">
        <f t="array" ref="AE25">IF($J25="","",SUM(IF(LEFT($AG25:$EA25,1)="s",1,0))-SUM(IF(RIGHT(LEFT($AG25:$EA25,2))="-",1,0)))</f>
        <v>0</v>
      </c>
      <c r="AF25" s="816">
        <f t="array" ref="AF25">IF($J25="","",SUM(IF(LEFT($AG25:$EA25,1)="X",1,0)))</f>
        <v>11</v>
      </c>
      <c r="AG25" s="891" t="s">
        <v>1877</v>
      </c>
      <c r="AH25" s="891" t="s">
        <v>34</v>
      </c>
      <c r="AI25" s="891" t="s">
        <v>32</v>
      </c>
      <c r="AJ25" s="891" t="s">
        <v>32</v>
      </c>
      <c r="AK25" s="891" t="s">
        <v>32</v>
      </c>
      <c r="AL25" s="891" t="s">
        <v>34</v>
      </c>
      <c r="AM25" s="891" t="s">
        <v>36</v>
      </c>
      <c r="AN25" s="891" t="s">
        <v>34</v>
      </c>
      <c r="AO25" s="891" t="s">
        <v>34</v>
      </c>
      <c r="AP25" s="891" t="s">
        <v>32</v>
      </c>
      <c r="AQ25" s="891" t="s">
        <v>32</v>
      </c>
      <c r="AR25" s="891" t="s">
        <v>1877</v>
      </c>
      <c r="AS25" s="904" t="s">
        <v>34</v>
      </c>
      <c r="AT25"/>
      <c r="AU25"/>
      <c r="AV25" s="910"/>
      <c r="AW25" s="891" t="s">
        <v>34</v>
      </c>
      <c r="AX25" s="891" t="s">
        <v>1877</v>
      </c>
      <c r="AY25" s="891" t="s">
        <v>1980</v>
      </c>
      <c r="AZ25" s="891" t="s">
        <v>32</v>
      </c>
      <c r="BA25" s="891" t="s">
        <v>35</v>
      </c>
      <c r="BB25" s="891" t="s">
        <v>32</v>
      </c>
      <c r="BC25" s="891" t="s">
        <v>36</v>
      </c>
      <c r="BD25" s="891" t="s">
        <v>1877</v>
      </c>
      <c r="BE25" s="891" t="s">
        <v>34</v>
      </c>
      <c r="BF25" s="891" t="s">
        <v>1980</v>
      </c>
      <c r="BG25" s="891" t="s">
        <v>36</v>
      </c>
      <c r="BH25" s="891"/>
      <c r="BI25" s="891"/>
      <c r="BJ25" s="910"/>
      <c r="BK25" s="891"/>
      <c r="BM25" s="891" t="s">
        <v>32</v>
      </c>
      <c r="BN25" s="891" t="s">
        <v>34</v>
      </c>
      <c r="BO25" s="891"/>
      <c r="BP25" s="891"/>
      <c r="BQ25" s="891"/>
      <c r="BR25" s="891"/>
      <c r="BS25" s="891"/>
      <c r="BT25" s="891"/>
      <c r="BU25" s="891"/>
      <c r="BV25" s="891"/>
      <c r="BW25" s="891"/>
      <c r="BX25" s="891"/>
      <c r="BY25" s="891"/>
      <c r="BZ25" s="891"/>
      <c r="CA25" s="891"/>
      <c r="CB25" s="891"/>
      <c r="CC25" s="891"/>
      <c r="CD25" s="891"/>
      <c r="CE25" s="896"/>
      <c r="CF25" s="896"/>
      <c r="CG25" s="896"/>
      <c r="CH25" s="896"/>
      <c r="CI25" s="428"/>
      <c r="CJ25" s="428"/>
      <c r="CK25" s="428"/>
      <c r="CL25" s="428"/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  <c r="CR25" s="230" t="s">
        <v>32</v>
      </c>
      <c r="CS25" s="230" t="s">
        <v>32</v>
      </c>
    </row>
    <row r="26" spans="1:119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21</v>
      </c>
      <c r="G26" s="879" t="s">
        <v>890</v>
      </c>
      <c r="H26" s="879" t="s">
        <v>22</v>
      </c>
      <c r="I26" s="879" t="s">
        <v>891</v>
      </c>
      <c r="J26" s="846">
        <v>2</v>
      </c>
      <c r="K26" s="908">
        <v>1</v>
      </c>
      <c r="L26" s="816" t="str">
        <f t="shared" ref="L26:L106" si="31">IF(J26="","",IF(J26&gt;K26,"W",IF(J26=K26,"D",IF(J26&lt;K26,"L"))))</f>
        <v>W</v>
      </c>
      <c r="M26" s="816">
        <f t="shared" ref="M26:M107" si="32">IF(J26="","",J26+K26)</f>
        <v>3</v>
      </c>
      <c r="N26" s="816" t="str">
        <f t="shared" si="24"/>
        <v>O</v>
      </c>
      <c r="O26" s="816">
        <f t="shared" si="25"/>
        <v>-0.75</v>
      </c>
      <c r="P26" s="829">
        <f t="shared" si="26"/>
        <v>0.5</v>
      </c>
      <c r="Q26" s="830">
        <v>0.81</v>
      </c>
      <c r="R26" s="871">
        <f t="shared" si="27"/>
        <v>0.18999999999999995</v>
      </c>
      <c r="S26" s="830">
        <v>2.35</v>
      </c>
      <c r="T26" s="871">
        <f t="shared" si="28"/>
        <v>0.64999999999999991</v>
      </c>
      <c r="U26" s="868">
        <f t="shared" si="29"/>
        <v>1.58</v>
      </c>
      <c r="V26" s="868">
        <f t="shared" si="30"/>
        <v>0.77</v>
      </c>
      <c r="W26" s="829">
        <v>21</v>
      </c>
      <c r="X26" s="829">
        <v>9</v>
      </c>
      <c r="Y26" s="829">
        <v>4</v>
      </c>
      <c r="Z26" s="829">
        <v>4</v>
      </c>
      <c r="AA26" s="829">
        <v>51</v>
      </c>
      <c r="AB26" s="829">
        <v>49</v>
      </c>
      <c r="AC26" s="829"/>
      <c r="AD26" s="816" t="str">
        <f t="array" ref="AD26">IF($J26="","",IF(SUM(IF(ISNUMBER(VALUE(RIGHT($AG26:$EA26,1))),VALUE(RIGHT($AG26:$EA26,1)),0))=$J26,"T","F"))</f>
        <v>T</v>
      </c>
      <c r="AE26" s="831">
        <f t="array" ref="AE26">IF($J26="","",SUM(IF(LEFT($AG26:$EA26,1)="s",1,0))-SUM(IF(RIGHT(LEFT($AG26:$EA26,2))="-",1,0)))</f>
        <v>0</v>
      </c>
      <c r="AF26" s="816">
        <f t="array" ref="AF26">IF($J26="","",SUM(IF(LEFT($AG26:$EA26,1)="X",1,0)))</f>
        <v>11</v>
      </c>
      <c r="AG26" s="891" t="s">
        <v>1877</v>
      </c>
      <c r="AH26" s="891" t="s">
        <v>34</v>
      </c>
      <c r="AI26" s="891" t="s">
        <v>32</v>
      </c>
      <c r="AJ26" s="891" t="s">
        <v>32</v>
      </c>
      <c r="AK26" s="891" t="s">
        <v>32</v>
      </c>
      <c r="AL26" s="891" t="s">
        <v>35</v>
      </c>
      <c r="AM26" s="891" t="s">
        <v>36</v>
      </c>
      <c r="AN26" s="891" t="s">
        <v>2120</v>
      </c>
      <c r="AO26" s="891" t="s">
        <v>34</v>
      </c>
      <c r="AP26" s="891" t="s">
        <v>32</v>
      </c>
      <c r="AQ26" s="891" t="s">
        <v>32</v>
      </c>
      <c r="AR26" s="891" t="s">
        <v>1877</v>
      </c>
      <c r="AS26" s="891" t="s">
        <v>34</v>
      </c>
      <c r="AT26"/>
      <c r="AU26"/>
      <c r="AV26" s="910"/>
      <c r="AW26" s="891" t="s">
        <v>34</v>
      </c>
      <c r="AX26" s="891" t="s">
        <v>1877</v>
      </c>
      <c r="AY26" s="891" t="s">
        <v>32</v>
      </c>
      <c r="AZ26" s="891" t="s">
        <v>32</v>
      </c>
      <c r="BA26" s="891" t="s">
        <v>35</v>
      </c>
      <c r="BB26" s="891" t="s">
        <v>32</v>
      </c>
      <c r="BC26" s="891" t="s">
        <v>34</v>
      </c>
      <c r="BD26" s="891" t="s">
        <v>36</v>
      </c>
      <c r="BE26" s="904" t="s">
        <v>34</v>
      </c>
      <c r="BF26" s="891" t="s">
        <v>2120</v>
      </c>
      <c r="BG26" s="891" t="s">
        <v>36</v>
      </c>
      <c r="BH26" s="891"/>
      <c r="BI26" s="891"/>
      <c r="BJ26" s="910"/>
      <c r="BK26" s="891"/>
      <c r="BL26" s="891"/>
      <c r="BM26" s="891" t="s">
        <v>32</v>
      </c>
      <c r="BN26" s="891" t="s">
        <v>35</v>
      </c>
      <c r="BO26" s="891" t="s">
        <v>1877</v>
      </c>
      <c r="BP26" s="891"/>
      <c r="BQ26" s="891"/>
      <c r="BR26" s="891"/>
      <c r="BS26" s="891"/>
      <c r="BT26" s="891"/>
      <c r="BU26" s="891"/>
      <c r="BV26" s="891"/>
      <c r="BW26" s="891"/>
      <c r="BX26" s="891"/>
      <c r="BY26" s="891"/>
      <c r="BZ26" s="891"/>
      <c r="CA26" s="891"/>
      <c r="CB26" s="891"/>
      <c r="CC26" s="891"/>
      <c r="CD26" s="891"/>
      <c r="CE26" s="896"/>
      <c r="CF26" s="896"/>
      <c r="CG26" s="896"/>
      <c r="CH26" s="896"/>
      <c r="CI26" s="4"/>
      <c r="CJ26" s="4"/>
      <c r="CK26" s="4"/>
      <c r="CL26" s="4"/>
      <c r="CM26" s="4" t="s">
        <v>32</v>
      </c>
      <c r="CN26" s="4" t="s">
        <v>32</v>
      </c>
      <c r="CO26" s="4" t="s">
        <v>32</v>
      </c>
      <c r="CP26" s="6" t="s">
        <v>32</v>
      </c>
      <c r="CQ26" s="6" t="s">
        <v>32</v>
      </c>
      <c r="CR26" s="6" t="s">
        <v>32</v>
      </c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20"/>
    </row>
    <row r="27" spans="1:119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11</v>
      </c>
      <c r="G27" s="879" t="s">
        <v>874</v>
      </c>
      <c r="H27" s="879" t="s">
        <v>18</v>
      </c>
      <c r="I27" s="879" t="s">
        <v>891</v>
      </c>
      <c r="J27" s="846">
        <v>0</v>
      </c>
      <c r="K27" s="846">
        <v>0</v>
      </c>
      <c r="L27" s="816" t="str">
        <f t="shared" si="31"/>
        <v>D</v>
      </c>
      <c r="M27" s="816">
        <f t="shared" si="32"/>
        <v>0</v>
      </c>
      <c r="N27" s="816" t="str">
        <f t="shared" si="24"/>
        <v>U</v>
      </c>
      <c r="O27" s="816">
        <f t="shared" si="25"/>
        <v>0</v>
      </c>
      <c r="P27" s="829">
        <f t="shared" si="26"/>
        <v>0</v>
      </c>
      <c r="Q27" s="830">
        <v>-0.1</v>
      </c>
      <c r="R27" s="871">
        <f t="shared" si="27"/>
        <v>0.1</v>
      </c>
      <c r="S27" s="830">
        <v>2.2799999999999998</v>
      </c>
      <c r="T27" s="871">
        <f t="shared" si="28"/>
        <v>-2.2799999999999998</v>
      </c>
      <c r="U27" s="868">
        <f t="shared" si="29"/>
        <v>1.0899999999999999</v>
      </c>
      <c r="V27" s="868">
        <f t="shared" si="30"/>
        <v>1.19</v>
      </c>
      <c r="W27" s="829">
        <v>16</v>
      </c>
      <c r="X27" s="829">
        <v>8</v>
      </c>
      <c r="Y27" s="816">
        <v>2</v>
      </c>
      <c r="Z27" s="829">
        <v>4</v>
      </c>
      <c r="AA27" s="829">
        <v>53</v>
      </c>
      <c r="AB27" s="829">
        <v>47</v>
      </c>
      <c r="AC27" s="829"/>
      <c r="AD27" s="816" t="str">
        <f t="array" ref="AD27">IF($J27="","",IF(SUM(IF(ISNUMBER(VALUE(RIGHT($AG27:$EA27,1))),VALUE(RIGHT($AG27:$EA27,1)),0))=$J27,"T","F"))</f>
        <v>T</v>
      </c>
      <c r="AE27" s="831">
        <f t="array" ref="AE27">IF($J27="","",SUM(IF(LEFT($AG27:$EA27,1)="s",1,0))-SUM(IF(RIGHT(LEFT($AG27:$EA27,2))="-",1,0)))</f>
        <v>0</v>
      </c>
      <c r="AF27" s="816">
        <f t="array" ref="AF27">IF($J27="","",SUM(IF(LEFT($AG27:$EA27,1)="X",1,0)))</f>
        <v>11</v>
      </c>
      <c r="AG27" s="891" t="s">
        <v>1877</v>
      </c>
      <c r="AH27" s="891" t="s">
        <v>34</v>
      </c>
      <c r="AI27" s="891" t="s">
        <v>32</v>
      </c>
      <c r="AJ27" s="891" t="s">
        <v>32</v>
      </c>
      <c r="AK27" s="891" t="s">
        <v>34</v>
      </c>
      <c r="AL27" s="891" t="s">
        <v>35</v>
      </c>
      <c r="AM27" s="891" t="s">
        <v>34</v>
      </c>
      <c r="AN27" s="891" t="s">
        <v>2150</v>
      </c>
      <c r="AO27" s="891" t="s">
        <v>34</v>
      </c>
      <c r="AP27" s="891" t="s">
        <v>34</v>
      </c>
      <c r="AQ27" s="891" t="s">
        <v>32</v>
      </c>
      <c r="AR27" s="891" t="s">
        <v>36</v>
      </c>
      <c r="AS27" s="891" t="s">
        <v>32</v>
      </c>
      <c r="AT27"/>
      <c r="AU27"/>
      <c r="AV27" s="910"/>
      <c r="AW27" s="891" t="s">
        <v>34</v>
      </c>
      <c r="AX27" s="891" t="s">
        <v>1877</v>
      </c>
      <c r="AY27" s="891" t="s">
        <v>34</v>
      </c>
      <c r="AZ27" s="891" t="s">
        <v>32</v>
      </c>
      <c r="BA27" s="891" t="s">
        <v>35</v>
      </c>
      <c r="BB27" s="891" t="s">
        <v>32</v>
      </c>
      <c r="BC27" s="891" t="s">
        <v>1877</v>
      </c>
      <c r="BD27" s="891" t="s">
        <v>36</v>
      </c>
      <c r="BE27" s="891" t="s">
        <v>35</v>
      </c>
      <c r="BF27" s="891" t="s">
        <v>34</v>
      </c>
      <c r="BG27" s="891" t="s">
        <v>36</v>
      </c>
      <c r="BH27" s="891"/>
      <c r="BI27" s="891"/>
      <c r="BJ27" s="910"/>
      <c r="BK27" s="891"/>
      <c r="BL27" s="891"/>
      <c r="BM27" s="891" t="s">
        <v>1877</v>
      </c>
      <c r="BN27" s="891" t="s">
        <v>32</v>
      </c>
      <c r="BO27" s="891"/>
      <c r="BP27" s="891"/>
      <c r="BQ27" s="891"/>
      <c r="BR27" s="891"/>
      <c r="BS27" s="891"/>
      <c r="BT27" s="891"/>
      <c r="BU27" s="891"/>
      <c r="BV27" s="891"/>
      <c r="BW27" s="891"/>
      <c r="BX27" s="891"/>
      <c r="BY27" s="891"/>
      <c r="BZ27" s="891"/>
      <c r="CA27" s="891"/>
      <c r="CB27" s="891"/>
      <c r="CC27" s="891"/>
      <c r="CD27" s="891"/>
      <c r="CE27" s="896"/>
      <c r="CF27" s="896"/>
      <c r="CG27" s="896"/>
      <c r="CH27" s="896"/>
      <c r="CI27" s="865"/>
      <c r="CJ27" s="865"/>
      <c r="CK27" s="865"/>
      <c r="CL27" s="865"/>
      <c r="CM27" s="865" t="s">
        <v>32</v>
      </c>
      <c r="CN27" s="865" t="s">
        <v>32</v>
      </c>
      <c r="CO27" s="865" t="s">
        <v>32</v>
      </c>
      <c r="CP27" s="4" t="s">
        <v>32</v>
      </c>
      <c r="CQ27" s="6" t="s">
        <v>32</v>
      </c>
      <c r="CR27" s="6" t="s">
        <v>32</v>
      </c>
      <c r="CS27" s="6" t="s">
        <v>32</v>
      </c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</row>
    <row r="28" spans="1:119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10</v>
      </c>
      <c r="G28" s="879" t="s">
        <v>883</v>
      </c>
      <c r="H28" s="879" t="s">
        <v>22</v>
      </c>
      <c r="I28" s="879" t="s">
        <v>891</v>
      </c>
      <c r="J28" s="846">
        <v>0</v>
      </c>
      <c r="K28" s="846">
        <v>0</v>
      </c>
      <c r="L28" s="816" t="str">
        <f t="shared" si="31"/>
        <v>D</v>
      </c>
      <c r="M28" s="816">
        <f t="shared" si="32"/>
        <v>0</v>
      </c>
      <c r="N28" s="816" t="str">
        <f t="shared" si="24"/>
        <v>U</v>
      </c>
      <c r="O28" s="816">
        <f t="shared" si="25"/>
        <v>-0.5</v>
      </c>
      <c r="P28" s="829">
        <f t="shared" si="26"/>
        <v>-1</v>
      </c>
      <c r="Q28" s="830">
        <v>0.45</v>
      </c>
      <c r="R28" s="871">
        <f t="shared" si="27"/>
        <v>-0.45</v>
      </c>
      <c r="S28" s="830">
        <v>2.4</v>
      </c>
      <c r="T28" s="871">
        <f t="shared" si="28"/>
        <v>-2.4</v>
      </c>
      <c r="U28" s="868">
        <f t="shared" si="29"/>
        <v>1.425</v>
      </c>
      <c r="V28" s="868">
        <f t="shared" si="30"/>
        <v>0.97499999999999987</v>
      </c>
      <c r="W28" s="829">
        <v>16</v>
      </c>
      <c r="X28" s="829">
        <v>6</v>
      </c>
      <c r="Y28" s="829">
        <v>4</v>
      </c>
      <c r="Z28" s="829">
        <v>2</v>
      </c>
      <c r="AA28" s="829">
        <v>54</v>
      </c>
      <c r="AB28" s="829">
        <v>46</v>
      </c>
      <c r="AC28" s="829"/>
      <c r="AD28" s="816" t="str">
        <f t="array" ref="AD28">IF($J28="","",IF(SUM(IF(ISNUMBER(VALUE(RIGHT($AG28:$EA28,1))),VALUE(RIGHT($AG28:$EA28,1)),0))=$J28,"T","F"))</f>
        <v>T</v>
      </c>
      <c r="AE28" s="831">
        <f t="array" ref="AE28">IF($J28="","",SUM(IF(LEFT($AG28:$EA28,1)="s",1,0))-SUM(IF(RIGHT(LEFT($AG28:$EA28,2))="-",1,0)))</f>
        <v>0</v>
      </c>
      <c r="AF28" s="816">
        <f t="array" ref="AF28">IF($J28="","",SUM(IF(LEFT($AG28:$EA28,1)="X",1,0)))</f>
        <v>11</v>
      </c>
      <c r="AG28" s="891" t="s">
        <v>32</v>
      </c>
      <c r="AH28" s="891" t="s">
        <v>34</v>
      </c>
      <c r="AI28" s="891" t="s">
        <v>1877</v>
      </c>
      <c r="AJ28" s="891" t="s">
        <v>32</v>
      </c>
      <c r="AK28" s="891" t="s">
        <v>1877</v>
      </c>
      <c r="AL28" s="891" t="s">
        <v>35</v>
      </c>
      <c r="AM28" s="904" t="s">
        <v>34</v>
      </c>
      <c r="AN28" s="891" t="s">
        <v>34</v>
      </c>
      <c r="AO28" s="891" t="s">
        <v>34</v>
      </c>
      <c r="AP28" s="891" t="s">
        <v>32</v>
      </c>
      <c r="AQ28" s="891" t="s">
        <v>32</v>
      </c>
      <c r="AR28" s="891" t="s">
        <v>36</v>
      </c>
      <c r="AS28" s="891" t="s">
        <v>34</v>
      </c>
      <c r="AT28"/>
      <c r="AU28"/>
      <c r="AV28" s="910"/>
      <c r="AW28" s="891" t="s">
        <v>34</v>
      </c>
      <c r="AX28" s="891" t="s">
        <v>1877</v>
      </c>
      <c r="AY28" s="891" t="s">
        <v>35</v>
      </c>
      <c r="AZ28" s="891" t="s">
        <v>32</v>
      </c>
      <c r="BA28" s="891" t="s">
        <v>32</v>
      </c>
      <c r="BB28" s="891" t="s">
        <v>32</v>
      </c>
      <c r="BC28" s="891" t="s">
        <v>36</v>
      </c>
      <c r="BD28" s="891" t="s">
        <v>36</v>
      </c>
      <c r="BE28" s="891" t="s">
        <v>34</v>
      </c>
      <c r="BF28" s="891" t="s">
        <v>34</v>
      </c>
      <c r="BG28" s="891" t="s">
        <v>35</v>
      </c>
      <c r="BH28" s="891"/>
      <c r="BI28" s="891"/>
      <c r="BJ28" s="910"/>
      <c r="BK28" s="891"/>
      <c r="BL28" s="891"/>
      <c r="BM28" s="891" t="s">
        <v>1877</v>
      </c>
      <c r="BN28" s="891" t="s">
        <v>32</v>
      </c>
      <c r="BO28" s="891"/>
      <c r="BP28" s="891"/>
      <c r="BQ28" s="891"/>
      <c r="BR28" s="891"/>
      <c r="BS28" s="891"/>
      <c r="BT28" s="891"/>
      <c r="BU28" s="891"/>
      <c r="BV28" s="891"/>
      <c r="BW28" s="891"/>
      <c r="BX28" s="891"/>
      <c r="BY28" s="891"/>
      <c r="BZ28" s="891"/>
      <c r="CA28" s="891"/>
      <c r="CB28" s="891"/>
      <c r="CC28" s="891"/>
      <c r="CD28" s="891"/>
      <c r="CE28" s="896"/>
      <c r="CF28" s="896"/>
      <c r="CG28" s="896"/>
      <c r="CH28" s="896"/>
      <c r="CI28" s="4"/>
      <c r="CJ28" s="4"/>
      <c r="CK28" s="4"/>
      <c r="CL28" s="4"/>
      <c r="CM28" s="4" t="s">
        <v>32</v>
      </c>
      <c r="CN28" s="4" t="s">
        <v>32</v>
      </c>
      <c r="CO28" s="4" t="s">
        <v>32</v>
      </c>
      <c r="CP28" s="4" t="s">
        <v>32</v>
      </c>
      <c r="CQ28" s="6" t="s">
        <v>32</v>
      </c>
      <c r="CR28" s="6" t="s">
        <v>32</v>
      </c>
      <c r="CS28" s="6" t="s">
        <v>32</v>
      </c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</row>
    <row r="29" spans="1:119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16</v>
      </c>
      <c r="G29" s="879" t="s">
        <v>872</v>
      </c>
      <c r="H29" s="879" t="s">
        <v>22</v>
      </c>
      <c r="I29" s="879" t="s">
        <v>891</v>
      </c>
      <c r="J29" s="846">
        <v>1</v>
      </c>
      <c r="K29" s="908">
        <v>3</v>
      </c>
      <c r="L29" s="816" t="str">
        <f t="shared" si="31"/>
        <v>L</v>
      </c>
      <c r="M29" s="816">
        <f t="shared" si="32"/>
        <v>4</v>
      </c>
      <c r="N29" s="816" t="str">
        <f t="shared" si="24"/>
        <v>O</v>
      </c>
      <c r="O29" s="816">
        <f t="shared" si="25"/>
        <v>-0.25</v>
      </c>
      <c r="P29" s="829">
        <f t="shared" si="26"/>
        <v>-1</v>
      </c>
      <c r="Q29" s="830">
        <v>0.26</v>
      </c>
      <c r="R29" s="871">
        <f t="shared" si="27"/>
        <v>-2.2599999999999998</v>
      </c>
      <c r="S29" s="830">
        <v>2.4</v>
      </c>
      <c r="T29" s="871">
        <f t="shared" si="28"/>
        <v>1.6</v>
      </c>
      <c r="U29" s="868">
        <f t="shared" si="29"/>
        <v>1.33</v>
      </c>
      <c r="V29" s="868">
        <f t="shared" si="30"/>
        <v>1.0699999999999998</v>
      </c>
      <c r="W29" s="829">
        <v>11</v>
      </c>
      <c r="X29" s="829">
        <v>14</v>
      </c>
      <c r="Y29" s="829">
        <v>3</v>
      </c>
      <c r="Z29" s="829">
        <v>4</v>
      </c>
      <c r="AA29" s="829">
        <v>54</v>
      </c>
      <c r="AB29" s="829">
        <v>46</v>
      </c>
      <c r="AC29" s="829"/>
      <c r="AD29" s="816" t="str">
        <f t="array" ref="AD29">IF($J29="","",IF(SUM(IF(ISNUMBER(VALUE(RIGHT($AG29:$EA29,1))),VALUE(RIGHT($AG29:$EA29,1)),0))=$J29,"T","F"))</f>
        <v>T</v>
      </c>
      <c r="AE29" s="831">
        <f t="array" ref="AE29">IF($J29="","",SUM(IF(LEFT($AG29:$EA29,1)="s",1,0))-SUM(IF(RIGHT(LEFT($AG29:$EA29,2))="-",1,0)))</f>
        <v>0</v>
      </c>
      <c r="AF29" s="816">
        <f t="array" ref="AF29">IF($J29="","",SUM(IF(LEFT($AG29:$EA29,1)="X",1,0)))</f>
        <v>11</v>
      </c>
      <c r="AG29" s="891" t="s">
        <v>32</v>
      </c>
      <c r="AH29" s="891" t="s">
        <v>34</v>
      </c>
      <c r="AI29" s="891" t="s">
        <v>1877</v>
      </c>
      <c r="AJ29" s="891" t="s">
        <v>32</v>
      </c>
      <c r="AK29" s="891" t="s">
        <v>1877</v>
      </c>
      <c r="AL29" s="891" t="s">
        <v>1877</v>
      </c>
      <c r="AM29" s="891" t="s">
        <v>34</v>
      </c>
      <c r="AN29" s="891" t="s">
        <v>34</v>
      </c>
      <c r="AO29" s="891" t="s">
        <v>34</v>
      </c>
      <c r="AP29" s="891" t="s">
        <v>34</v>
      </c>
      <c r="AQ29" s="891" t="s">
        <v>32</v>
      </c>
      <c r="AR29" s="891" t="s">
        <v>34</v>
      </c>
      <c r="AS29" s="891" t="s">
        <v>32</v>
      </c>
      <c r="AT29"/>
      <c r="AU29"/>
      <c r="AV29" s="910"/>
      <c r="AW29" s="891" t="s">
        <v>34</v>
      </c>
      <c r="AX29" s="891" t="s">
        <v>1877</v>
      </c>
      <c r="AY29" s="891" t="s">
        <v>35</v>
      </c>
      <c r="AZ29" s="891" t="s">
        <v>32</v>
      </c>
      <c r="BA29" s="891" t="s">
        <v>32</v>
      </c>
      <c r="BB29" s="891" t="s">
        <v>32</v>
      </c>
      <c r="BC29" s="891" t="s">
        <v>32</v>
      </c>
      <c r="BD29" s="891" t="s">
        <v>36</v>
      </c>
      <c r="BE29" s="891" t="s">
        <v>35</v>
      </c>
      <c r="BF29" s="904" t="s">
        <v>35</v>
      </c>
      <c r="BG29" s="904" t="s">
        <v>34</v>
      </c>
      <c r="BH29" s="891" t="s">
        <v>32</v>
      </c>
      <c r="BI29" s="891" t="s">
        <v>2197</v>
      </c>
      <c r="BJ29" s="910"/>
      <c r="BK29" s="891"/>
      <c r="BL29" s="891"/>
      <c r="BM29" s="891" t="s">
        <v>36</v>
      </c>
      <c r="BN29" s="891" t="s">
        <v>32</v>
      </c>
      <c r="BO29" s="891" t="s">
        <v>32</v>
      </c>
      <c r="BP29" s="891"/>
      <c r="BQ29" s="891"/>
      <c r="BR29" s="891"/>
      <c r="BS29" s="891"/>
      <c r="BT29" s="891"/>
      <c r="BU29" s="891"/>
      <c r="BV29" s="891"/>
      <c r="BW29" s="891"/>
      <c r="BX29" s="891"/>
      <c r="BY29" s="891"/>
      <c r="BZ29" s="891"/>
      <c r="CA29" s="891"/>
      <c r="CB29" s="891"/>
      <c r="CC29" s="891"/>
      <c r="CD29" s="891"/>
      <c r="CE29" s="896"/>
      <c r="CF29" s="896"/>
      <c r="CG29" s="896"/>
      <c r="CH29" s="891"/>
      <c r="CI29" s="4"/>
      <c r="CJ29" s="4"/>
      <c r="CK29" s="4"/>
      <c r="CL29" s="4"/>
      <c r="CM29" s="4" t="s">
        <v>32</v>
      </c>
      <c r="CN29" s="4" t="s">
        <v>32</v>
      </c>
      <c r="CO29" s="4" t="s">
        <v>32</v>
      </c>
      <c r="CP29" s="4" t="s">
        <v>32</v>
      </c>
      <c r="CQ29" s="6" t="s">
        <v>32</v>
      </c>
      <c r="CR29" s="6" t="s">
        <v>32</v>
      </c>
      <c r="CS29" s="6" t="s">
        <v>32</v>
      </c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</row>
    <row r="30" spans="1:119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2</v>
      </c>
      <c r="G30" s="879" t="s">
        <v>886</v>
      </c>
      <c r="H30" s="879" t="s">
        <v>18</v>
      </c>
      <c r="I30" s="879" t="s">
        <v>891</v>
      </c>
      <c r="J30" s="846">
        <v>1</v>
      </c>
      <c r="K30" s="846">
        <v>0</v>
      </c>
      <c r="L30" s="816" t="str">
        <f t="shared" si="31"/>
        <v>W</v>
      </c>
      <c r="M30" s="816">
        <f t="shared" si="32"/>
        <v>1</v>
      </c>
      <c r="N30" s="816" t="str">
        <f t="shared" si="24"/>
        <v>U</v>
      </c>
      <c r="O30" s="816">
        <f t="shared" si="25"/>
        <v>-0.25</v>
      </c>
      <c r="P30" s="829">
        <f t="shared" si="26"/>
        <v>1</v>
      </c>
      <c r="Q30" s="830">
        <v>0.19</v>
      </c>
      <c r="R30" s="871">
        <f t="shared" si="27"/>
        <v>0.81</v>
      </c>
      <c r="S30" s="830">
        <v>2.17</v>
      </c>
      <c r="T30" s="871">
        <f t="shared" si="28"/>
        <v>-1.17</v>
      </c>
      <c r="U30" s="868">
        <f t="shared" si="29"/>
        <v>1.18</v>
      </c>
      <c r="V30" s="868">
        <f t="shared" si="30"/>
        <v>0.99</v>
      </c>
      <c r="W30" s="829">
        <v>16</v>
      </c>
      <c r="X30" s="829">
        <v>10</v>
      </c>
      <c r="Y30" s="829">
        <v>5</v>
      </c>
      <c r="Z30" s="829">
        <v>2</v>
      </c>
      <c r="AA30" s="829">
        <v>56</v>
      </c>
      <c r="AB30" s="829">
        <v>44</v>
      </c>
      <c r="AC30" s="829"/>
      <c r="AD30" s="816" t="str">
        <f t="array" ref="AD30">IF($J30="","",IF(SUM(IF(ISNUMBER(VALUE(RIGHT($AG30:$EA30,1))),VALUE(RIGHT($AG30:$EA30,1)),0))=$J30,"T","F"))</f>
        <v>T</v>
      </c>
      <c r="AE30" s="831">
        <f t="array" ref="AE30">IF($J30="","",SUM(IF(LEFT($AG30:$EA30,1)="s",1,0))-SUM(IF(RIGHT(LEFT($AG30:$EA30,2))="-",1,0)))</f>
        <v>0</v>
      </c>
      <c r="AF30" s="816">
        <f t="array" ref="AF30">IF($J30="","",SUM(IF(LEFT($AG30:$EA30,1)="X",1,0)))</f>
        <v>11</v>
      </c>
      <c r="AG30" s="891" t="s">
        <v>32</v>
      </c>
      <c r="AH30" s="891" t="s">
        <v>34</v>
      </c>
      <c r="AI30" s="891" t="s">
        <v>1877</v>
      </c>
      <c r="AJ30" s="891" t="s">
        <v>32</v>
      </c>
      <c r="AK30" s="891" t="s">
        <v>34</v>
      </c>
      <c r="AL30" s="891" t="s">
        <v>35</v>
      </c>
      <c r="AM30" s="904" t="s">
        <v>34</v>
      </c>
      <c r="AN30" s="904" t="s">
        <v>34</v>
      </c>
      <c r="AO30" s="904" t="s">
        <v>34</v>
      </c>
      <c r="AP30" s="891" t="s">
        <v>1877</v>
      </c>
      <c r="AQ30" s="891" t="s">
        <v>32</v>
      </c>
      <c r="AR30" s="904" t="s">
        <v>36</v>
      </c>
      <c r="AS30" s="891" t="s">
        <v>32</v>
      </c>
      <c r="AT30"/>
      <c r="AU30"/>
      <c r="AV30" s="910"/>
      <c r="AW30" s="891" t="s">
        <v>34</v>
      </c>
      <c r="AX30" s="891" t="s">
        <v>1877</v>
      </c>
      <c r="AY30" s="891" t="s">
        <v>34</v>
      </c>
      <c r="AZ30" s="891" t="s">
        <v>1877</v>
      </c>
      <c r="BA30" s="891" t="s">
        <v>32</v>
      </c>
      <c r="BB30" s="891" t="s">
        <v>32</v>
      </c>
      <c r="BC30" s="891" t="s">
        <v>32</v>
      </c>
      <c r="BD30" s="891" t="s">
        <v>2231</v>
      </c>
      <c r="BE30" s="891" t="s">
        <v>35</v>
      </c>
      <c r="BF30" s="904" t="s">
        <v>34</v>
      </c>
      <c r="BG30" s="891" t="s">
        <v>35</v>
      </c>
      <c r="BH30" s="891" t="s">
        <v>32</v>
      </c>
      <c r="BI30" s="904" t="s">
        <v>36</v>
      </c>
      <c r="BJ30" s="910"/>
      <c r="BK30" s="891"/>
      <c r="BL30" s="891"/>
      <c r="BM30" s="891" t="s">
        <v>32</v>
      </c>
      <c r="BN30" s="891" t="s">
        <v>32</v>
      </c>
      <c r="BO30" s="891" t="s">
        <v>32</v>
      </c>
      <c r="BP30" s="891"/>
      <c r="BQ30" s="891"/>
      <c r="BR30" s="891"/>
      <c r="BS30" s="891"/>
      <c r="BT30" s="891"/>
      <c r="BU30" s="891"/>
      <c r="BV30" s="891"/>
      <c r="BW30" s="891"/>
      <c r="BX30" s="891"/>
      <c r="BY30" s="891"/>
      <c r="BZ30" s="891"/>
      <c r="CA30" s="891"/>
      <c r="CB30" s="891"/>
      <c r="CC30" s="891"/>
      <c r="CD30" s="891"/>
      <c r="CE30" s="891"/>
      <c r="CF30" s="891"/>
      <c r="CG30" s="891"/>
      <c r="CH30" s="891"/>
      <c r="CI30" s="428"/>
      <c r="CJ30" s="428"/>
      <c r="CK30" s="428"/>
      <c r="CL30" s="428"/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  <c r="CR30" s="230" t="s">
        <v>32</v>
      </c>
      <c r="CS30" s="230" t="s">
        <v>32</v>
      </c>
    </row>
    <row r="31" spans="1:119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14</v>
      </c>
      <c r="G31" s="879" t="s">
        <v>873</v>
      </c>
      <c r="H31" s="879" t="s">
        <v>18</v>
      </c>
      <c r="I31" s="879" t="s">
        <v>891</v>
      </c>
      <c r="J31" s="846">
        <v>1</v>
      </c>
      <c r="K31" s="846">
        <v>1</v>
      </c>
      <c r="L31" s="816" t="str">
        <f>IF(J31="","",IF(J31&gt;K31,"W",IF(J31=K31,"D",IF(J31&lt;K31,"L"))))</f>
        <v>D</v>
      </c>
      <c r="M31" s="816">
        <f>IF(J31="","",J31+K31)</f>
        <v>2</v>
      </c>
      <c r="N31" s="816" t="str">
        <f>IF($J31="","",IF($M31&gt;N$19,"O",IF($M31&lt;N$19,"U",IF($M31=N$19,"-"))))</f>
        <v>U</v>
      </c>
      <c r="O31" s="816">
        <f t="shared" si="25"/>
        <v>0</v>
      </c>
      <c r="P31" s="829">
        <f t="shared" si="26"/>
        <v>0</v>
      </c>
      <c r="Q31" s="830">
        <v>0.12</v>
      </c>
      <c r="R31" s="871">
        <f t="shared" si="27"/>
        <v>-0.12</v>
      </c>
      <c r="S31" s="830">
        <v>2.2200000000000002</v>
      </c>
      <c r="T31" s="871">
        <f t="shared" si="28"/>
        <v>-0.2200000000000002</v>
      </c>
      <c r="U31" s="868">
        <f t="shared" si="29"/>
        <v>1.1700000000000002</v>
      </c>
      <c r="V31" s="868">
        <f t="shared" si="30"/>
        <v>1.05</v>
      </c>
      <c r="W31" s="829">
        <v>15</v>
      </c>
      <c r="X31" s="829">
        <v>14</v>
      </c>
      <c r="Y31" s="829">
        <v>4</v>
      </c>
      <c r="Z31" s="829">
        <v>2</v>
      </c>
      <c r="AA31" s="829">
        <v>57</v>
      </c>
      <c r="AB31" s="829">
        <v>43</v>
      </c>
      <c r="AC31" s="829"/>
      <c r="AD31" s="816" t="str">
        <f t="array" ref="AD31">IF($J31="","",IF(SUM(IF(ISNUMBER(VALUE(RIGHT($AG31:$EA31,1))),VALUE(RIGHT($AG31:$EA31,1)),0))=$J31,"T","F"))</f>
        <v>T</v>
      </c>
      <c r="AE31" s="831">
        <f t="array" ref="AE31">IF($J31="","",SUM(IF(LEFT($AG31:$EA31,1)="s",1,0))-SUM(IF(RIGHT(LEFT($AG31:$EA31,2))="-",1,0)))</f>
        <v>0</v>
      </c>
      <c r="AF31" s="816">
        <f t="array" ref="AF31">IF($J31="","",SUM(IF(LEFT($AG31:$EA31,1)="X",1,0)))</f>
        <v>11</v>
      </c>
      <c r="AG31" s="891" t="s">
        <v>32</v>
      </c>
      <c r="AH31" s="891" t="s">
        <v>35</v>
      </c>
      <c r="AI31" s="891" t="s">
        <v>36</v>
      </c>
      <c r="AJ31" s="891" t="s">
        <v>32</v>
      </c>
      <c r="AK31" s="891" t="s">
        <v>35</v>
      </c>
      <c r="AL31" s="891" t="s">
        <v>1877</v>
      </c>
      <c r="AM31" s="904" t="s">
        <v>34</v>
      </c>
      <c r="AN31" s="891" t="s">
        <v>34</v>
      </c>
      <c r="AO31" s="891" t="s">
        <v>34</v>
      </c>
      <c r="AP31" s="891" t="s">
        <v>1877</v>
      </c>
      <c r="AQ31" s="891" t="s">
        <v>32</v>
      </c>
      <c r="AR31" s="891" t="s">
        <v>34</v>
      </c>
      <c r="AS31" s="891" t="s">
        <v>32</v>
      </c>
      <c r="AT31"/>
      <c r="AU31"/>
      <c r="AV31" s="910"/>
      <c r="AW31" s="891" t="s">
        <v>34</v>
      </c>
      <c r="AX31" s="891" t="s">
        <v>1877</v>
      </c>
      <c r="AY31" s="891" t="s">
        <v>34</v>
      </c>
      <c r="AZ31" s="891" t="s">
        <v>1877</v>
      </c>
      <c r="BA31" s="891" t="s">
        <v>32</v>
      </c>
      <c r="BB31" s="891" t="s">
        <v>32</v>
      </c>
      <c r="BC31" s="891" t="s">
        <v>32</v>
      </c>
      <c r="BD31" s="891" t="s">
        <v>36</v>
      </c>
      <c r="BE31" s="891" t="s">
        <v>35</v>
      </c>
      <c r="BF31" s="891" t="s">
        <v>2302</v>
      </c>
      <c r="BG31" s="891" t="s">
        <v>34</v>
      </c>
      <c r="BH31" s="891" t="s">
        <v>32</v>
      </c>
      <c r="BI31" s="891" t="s">
        <v>36</v>
      </c>
      <c r="BJ31" s="910"/>
      <c r="BK31" s="891"/>
      <c r="BL31" s="891"/>
      <c r="BM31" s="891" t="s">
        <v>32</v>
      </c>
      <c r="BN31" s="891" t="s">
        <v>32</v>
      </c>
      <c r="BO31" s="891" t="s">
        <v>32</v>
      </c>
      <c r="BP31" s="891"/>
      <c r="BQ31" s="891"/>
      <c r="BR31" s="891"/>
      <c r="BS31" s="891"/>
      <c r="BT31" s="891"/>
      <c r="BU31" s="891"/>
      <c r="BV31" s="891"/>
      <c r="BW31" s="891"/>
      <c r="BX31" s="891"/>
      <c r="BY31" s="891"/>
      <c r="BZ31" s="891"/>
      <c r="CA31" s="891"/>
      <c r="CB31" s="891"/>
      <c r="CC31" s="891"/>
      <c r="CD31" s="891"/>
      <c r="CE31" s="896"/>
      <c r="CF31" s="896"/>
      <c r="CG31" s="896"/>
      <c r="CH31" s="896"/>
      <c r="CI31" s="428"/>
      <c r="CJ31" s="428"/>
      <c r="CK31" s="428"/>
      <c r="CL31" s="428"/>
      <c r="CM31" s="230" t="s">
        <v>32</v>
      </c>
      <c r="CN31" s="230" t="s">
        <v>32</v>
      </c>
      <c r="CO31" s="230" t="s">
        <v>32</v>
      </c>
      <c r="CP31" s="230" t="s">
        <v>32</v>
      </c>
      <c r="CQ31" s="230" t="s">
        <v>32</v>
      </c>
      <c r="CR31" s="230" t="s">
        <v>32</v>
      </c>
      <c r="CS31" s="230" t="s">
        <v>32</v>
      </c>
    </row>
    <row r="32" spans="1:119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5</v>
      </c>
      <c r="G32" s="879" t="s">
        <v>889</v>
      </c>
      <c r="H32" s="879" t="s">
        <v>22</v>
      </c>
      <c r="I32" s="879" t="s">
        <v>891</v>
      </c>
      <c r="J32" s="846">
        <v>1</v>
      </c>
      <c r="K32" s="846">
        <v>0</v>
      </c>
      <c r="L32" s="816" t="str">
        <f>IF(J32="","",IF(J32&gt;K32,"W",IF(J32=K32,"D",IF(J32&lt;K32,"L"))))</f>
        <v>W</v>
      </c>
      <c r="M32" s="816">
        <f>IF(J32="","",J32+K32)</f>
        <v>1</v>
      </c>
      <c r="N32" s="816" t="str">
        <f>IF($J32="","",IF($M32&gt;N$19,"O",IF($M32&lt;N$19,"U",IF($M32=N$19,"-"))))</f>
        <v>U</v>
      </c>
      <c r="O32" s="816">
        <f t="shared" si="25"/>
        <v>-0.25</v>
      </c>
      <c r="P32" s="829">
        <f t="shared" si="26"/>
        <v>1</v>
      </c>
      <c r="Q32" s="830">
        <v>0.25</v>
      </c>
      <c r="R32" s="871">
        <f t="shared" si="27"/>
        <v>0.75</v>
      </c>
      <c r="S32" s="830">
        <v>2.4300000000000002</v>
      </c>
      <c r="T32" s="871">
        <f t="shared" si="28"/>
        <v>-1.4300000000000002</v>
      </c>
      <c r="U32" s="868">
        <f t="shared" si="29"/>
        <v>1.34</v>
      </c>
      <c r="V32" s="868">
        <f t="shared" si="30"/>
        <v>1.0900000000000001</v>
      </c>
      <c r="W32" s="829">
        <v>16</v>
      </c>
      <c r="X32" s="829">
        <v>11</v>
      </c>
      <c r="Y32" s="829">
        <v>6</v>
      </c>
      <c r="Z32" s="829">
        <v>5</v>
      </c>
      <c r="AA32" s="829">
        <v>51</v>
      </c>
      <c r="AB32" s="829">
        <v>49</v>
      </c>
      <c r="AC32" s="829"/>
      <c r="AD32" s="816" t="str">
        <f t="array" ref="AD32">IF($J32="","",IF(SUM(IF(ISNUMBER(VALUE(RIGHT($AG32:$EA32,1))),VALUE(RIGHT($AG32:$EA32,1)),0))=$J32,"T","F"))</f>
        <v>T</v>
      </c>
      <c r="AE32" s="831">
        <f t="array" ref="AE32">IF($J32="","",SUM(IF(LEFT($AG32:$EA32,1)="s",1,0))-SUM(IF(RIGHT(LEFT($AG32:$EA32,2))="-",1,0)))</f>
        <v>0</v>
      </c>
      <c r="AF32" s="816">
        <f t="array" ref="AF32">IF($J32="","",SUM(IF(LEFT($AG32:$EA32,1)="X",1,0)))</f>
        <v>11</v>
      </c>
      <c r="AG32" s="891"/>
      <c r="AH32" s="891" t="s">
        <v>34</v>
      </c>
      <c r="AI32" s="891" t="s">
        <v>2349</v>
      </c>
      <c r="AJ32" s="891"/>
      <c r="AK32" s="891" t="s">
        <v>2349</v>
      </c>
      <c r="AL32" s="891" t="s">
        <v>34</v>
      </c>
      <c r="AM32" s="891" t="s">
        <v>34</v>
      </c>
      <c r="AN32" s="891" t="s">
        <v>34</v>
      </c>
      <c r="AO32" s="891" t="s">
        <v>34</v>
      </c>
      <c r="AP32" s="891" t="s">
        <v>34</v>
      </c>
      <c r="AQ32" s="891"/>
      <c r="AR32" s="891" t="s">
        <v>2349</v>
      </c>
      <c r="AS32" s="891"/>
      <c r="AT32"/>
      <c r="AU32"/>
      <c r="AV32" s="910"/>
      <c r="AW32" s="891" t="s">
        <v>34</v>
      </c>
      <c r="AX32" s="891" t="s">
        <v>2348</v>
      </c>
      <c r="AY32" s="891" t="s">
        <v>2366</v>
      </c>
      <c r="AZ32" s="891" t="s">
        <v>2349</v>
      </c>
      <c r="BA32" s="891"/>
      <c r="BB32" s="891"/>
      <c r="BC32" s="891"/>
      <c r="BD32" s="891" t="s">
        <v>2348</v>
      </c>
      <c r="BE32" s="891" t="s">
        <v>2366</v>
      </c>
      <c r="BF32" s="904" t="s">
        <v>2367</v>
      </c>
      <c r="BG32" s="891" t="s">
        <v>2366</v>
      </c>
      <c r="BH32" s="891"/>
      <c r="BI32" s="891" t="s">
        <v>2348</v>
      </c>
      <c r="BJ32" s="910"/>
      <c r="BK32" s="891"/>
      <c r="BL32" s="891"/>
      <c r="BM32" s="891"/>
      <c r="BN32" s="891"/>
      <c r="BO32" s="891"/>
      <c r="BP32" s="891"/>
      <c r="BQ32" s="891"/>
      <c r="BR32" s="891"/>
      <c r="BS32" s="891"/>
      <c r="BT32" s="891"/>
      <c r="BU32" s="891"/>
      <c r="BV32" s="891"/>
      <c r="BW32" s="891"/>
      <c r="BX32" s="891"/>
      <c r="BY32" s="891"/>
      <c r="BZ32" s="891"/>
      <c r="CA32" s="891"/>
      <c r="CB32" s="891"/>
      <c r="CC32" s="891"/>
      <c r="CD32" s="891"/>
      <c r="CE32" s="896"/>
      <c r="CF32" s="896"/>
      <c r="CG32" s="896"/>
      <c r="CH32" s="896"/>
      <c r="CI32" s="428"/>
      <c r="CJ32" s="428"/>
      <c r="CK32" s="428"/>
      <c r="CL32" s="428"/>
    </row>
    <row r="33" spans="1:124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7</v>
      </c>
      <c r="G33" s="879" t="s">
        <v>888</v>
      </c>
      <c r="H33" s="879" t="s">
        <v>18</v>
      </c>
      <c r="I33" s="879" t="s">
        <v>891</v>
      </c>
      <c r="J33" s="846">
        <v>1</v>
      </c>
      <c r="K33" s="846">
        <v>2</v>
      </c>
      <c r="L33" s="816" t="str">
        <f t="shared" si="31"/>
        <v>L</v>
      </c>
      <c r="M33" s="816">
        <f t="shared" si="32"/>
        <v>3</v>
      </c>
      <c r="N33" s="816" t="str">
        <f t="shared" si="24"/>
        <v>O</v>
      </c>
      <c r="O33" s="816">
        <f t="shared" si="25"/>
        <v>0.25</v>
      </c>
      <c r="P33" s="829">
        <f t="shared" si="26"/>
        <v>-1</v>
      </c>
      <c r="Q33" s="830">
        <v>-0.18</v>
      </c>
      <c r="R33" s="871">
        <f t="shared" si="27"/>
        <v>-0.82000000000000006</v>
      </c>
      <c r="S33" s="830">
        <v>2.2799999999999998</v>
      </c>
      <c r="T33" s="871">
        <f t="shared" si="28"/>
        <v>0.7200000000000002</v>
      </c>
      <c r="U33" s="868">
        <f t="shared" si="29"/>
        <v>1.0499999999999998</v>
      </c>
      <c r="V33" s="868">
        <f t="shared" si="30"/>
        <v>1.23</v>
      </c>
      <c r="W33" s="829">
        <v>20</v>
      </c>
      <c r="X33" s="829">
        <v>11</v>
      </c>
      <c r="Y33" s="829">
        <v>6</v>
      </c>
      <c r="Z33" s="829">
        <v>4</v>
      </c>
      <c r="AA33" s="829">
        <v>48</v>
      </c>
      <c r="AB33" s="829">
        <v>52</v>
      </c>
      <c r="AC33" s="829"/>
      <c r="AD33" s="816" t="str">
        <f t="array" ref="AD33">IF($J33="","",IF(SUM(IF(ISNUMBER(VALUE(RIGHT($AG33:$EA33,1))),VALUE(RIGHT($AG33:$EA33,1)),0))=$J33,"T","F"))</f>
        <v>T</v>
      </c>
      <c r="AE33" s="831">
        <f t="array" ref="AE33">IF($J33="","",SUM(IF(LEFT($AG33:$EA33,1)="s",1,0))-SUM(IF(RIGHT(LEFT($AG33:$EA33,2))="-",1,0)))</f>
        <v>0</v>
      </c>
      <c r="AF33" s="816">
        <f t="array" ref="AF33">IF($J33="","",SUM(IF(LEFT($AG33:$EA33,1)="X",1,0)))</f>
        <v>11</v>
      </c>
      <c r="AG33" s="891"/>
      <c r="AH33" s="891" t="s">
        <v>34</v>
      </c>
      <c r="AI33" s="891" t="s">
        <v>1877</v>
      </c>
      <c r="AJ33" s="891" t="s">
        <v>32</v>
      </c>
      <c r="AK33" s="891" t="s">
        <v>1877</v>
      </c>
      <c r="AL33" s="891" t="s">
        <v>32</v>
      </c>
      <c r="AM33" s="891" t="s">
        <v>2427</v>
      </c>
      <c r="AN33" s="904" t="s">
        <v>34</v>
      </c>
      <c r="AO33" s="891" t="s">
        <v>34</v>
      </c>
      <c r="AP33" s="891" t="s">
        <v>34</v>
      </c>
      <c r="AQ33" s="891" t="s">
        <v>1877</v>
      </c>
      <c r="AR33" s="891" t="s">
        <v>34</v>
      </c>
      <c r="AS33" s="891" t="s">
        <v>32</v>
      </c>
      <c r="AT33"/>
      <c r="AU33"/>
      <c r="AV33" s="910"/>
      <c r="AW33" s="891" t="s">
        <v>34</v>
      </c>
      <c r="AX33" s="891" t="s">
        <v>35</v>
      </c>
      <c r="AY33" s="891" t="s">
        <v>32</v>
      </c>
      <c r="AZ33" s="891" t="s">
        <v>32</v>
      </c>
      <c r="BA33" s="891" t="s">
        <v>1877</v>
      </c>
      <c r="BB33" s="891" t="s">
        <v>32</v>
      </c>
      <c r="BC33" s="891" t="s">
        <v>36</v>
      </c>
      <c r="BD33" s="891" t="s">
        <v>36</v>
      </c>
      <c r="BE33" s="891" t="s">
        <v>35</v>
      </c>
      <c r="BF33" s="891" t="s">
        <v>34</v>
      </c>
      <c r="BG33" s="891" t="s">
        <v>35</v>
      </c>
      <c r="BH33" s="891" t="s">
        <v>32</v>
      </c>
      <c r="BI33" s="904" t="s">
        <v>36</v>
      </c>
      <c r="BJ33" s="910"/>
      <c r="BK33" s="891"/>
      <c r="BL33" s="891"/>
      <c r="BM33" s="891" t="s">
        <v>32</v>
      </c>
      <c r="BN33" s="891" t="s">
        <v>32</v>
      </c>
      <c r="BO33" s="891" t="s">
        <v>32</v>
      </c>
      <c r="BP33" s="891"/>
      <c r="BQ33" s="891"/>
      <c r="BR33" s="891"/>
      <c r="BS33" s="891"/>
      <c r="BT33" s="891"/>
      <c r="BU33" s="891"/>
      <c r="BV33" s="891"/>
      <c r="BW33" s="891"/>
      <c r="BX33" s="891"/>
      <c r="BY33" s="891"/>
      <c r="BZ33" s="891"/>
      <c r="CA33" s="891"/>
      <c r="CB33" s="891"/>
      <c r="CC33" s="891"/>
      <c r="CD33" s="891"/>
      <c r="CE33" s="896"/>
      <c r="CF33" s="896"/>
      <c r="CG33" s="896"/>
      <c r="CH33" s="896"/>
      <c r="CI33" s="428"/>
      <c r="CJ33" s="428"/>
      <c r="CK33" s="428"/>
      <c r="CL33" s="428"/>
      <c r="CM33" s="230" t="s">
        <v>32</v>
      </c>
      <c r="CN33" s="230" t="s">
        <v>32</v>
      </c>
      <c r="CO33" s="230" t="s">
        <v>32</v>
      </c>
      <c r="CP33" s="230" t="s">
        <v>32</v>
      </c>
      <c r="CQ33" s="230" t="s">
        <v>32</v>
      </c>
      <c r="CR33" s="230" t="s">
        <v>32</v>
      </c>
      <c r="CS33" s="230" t="s">
        <v>32</v>
      </c>
    </row>
    <row r="34" spans="1:124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8</v>
      </c>
      <c r="G34" s="879" t="s">
        <v>880</v>
      </c>
      <c r="H34" s="879" t="s">
        <v>18</v>
      </c>
      <c r="I34" s="879" t="s">
        <v>891</v>
      </c>
      <c r="J34" s="846">
        <v>1</v>
      </c>
      <c r="K34" s="846">
        <v>0</v>
      </c>
      <c r="L34" s="816" t="str">
        <f t="shared" si="31"/>
        <v>W</v>
      </c>
      <c r="M34" s="816">
        <f t="shared" si="32"/>
        <v>1</v>
      </c>
      <c r="N34" s="816" t="str">
        <f t="shared" si="24"/>
        <v>U</v>
      </c>
      <c r="O34" s="816">
        <f t="shared" si="25"/>
        <v>0.25</v>
      </c>
      <c r="P34" s="829">
        <f t="shared" si="26"/>
        <v>1</v>
      </c>
      <c r="Q34" s="830">
        <v>-0.4</v>
      </c>
      <c r="R34" s="871">
        <f t="shared" si="27"/>
        <v>1.4</v>
      </c>
      <c r="S34" s="830">
        <v>2.38</v>
      </c>
      <c r="T34" s="871">
        <f t="shared" si="28"/>
        <v>-1.38</v>
      </c>
      <c r="U34" s="868">
        <f t="shared" si="29"/>
        <v>0.99</v>
      </c>
      <c r="V34" s="868">
        <f t="shared" si="30"/>
        <v>1.39</v>
      </c>
      <c r="W34" s="829">
        <v>9</v>
      </c>
      <c r="X34" s="829">
        <v>14</v>
      </c>
      <c r="Y34" s="829">
        <v>2</v>
      </c>
      <c r="Z34" s="829">
        <v>1</v>
      </c>
      <c r="AA34" s="829">
        <v>53</v>
      </c>
      <c r="AB34" s="829">
        <v>47</v>
      </c>
      <c r="AC34" s="829"/>
      <c r="AD34" s="816" t="str">
        <f t="array" ref="AD34">IF($J34="","",IF(SUM(IF(ISNUMBER(VALUE(RIGHT($AG34:$EA34,1))),VALUE(RIGHT($AG34:$EA34,1)),0))=$J34,"T","F"))</f>
        <v>T</v>
      </c>
      <c r="AE34" s="831">
        <f t="array" ref="AE34">IF($J34="","",SUM(IF(LEFT($AG34:$EA34,1)="s",1,0))-SUM(IF(RIGHT(LEFT($AG34:$EA34,2))="-",1,0)))</f>
        <v>0</v>
      </c>
      <c r="AF34" s="816">
        <f t="array" ref="AF34">IF($J34="","",SUM(IF(LEFT($AG34:$EA34,1)="X",1,0)))</f>
        <v>11</v>
      </c>
      <c r="AG34" s="891" t="s">
        <v>32</v>
      </c>
      <c r="AH34" s="891" t="s">
        <v>34</v>
      </c>
      <c r="AI34" s="891" t="s">
        <v>1877</v>
      </c>
      <c r="AJ34" s="891" t="s">
        <v>32</v>
      </c>
      <c r="AK34" s="891" t="s">
        <v>32</v>
      </c>
      <c r="AL34" s="891" t="s">
        <v>34</v>
      </c>
      <c r="AM34" s="891" t="s">
        <v>34</v>
      </c>
      <c r="AN34" s="891" t="s">
        <v>34</v>
      </c>
      <c r="AO34" s="891" t="s">
        <v>34</v>
      </c>
      <c r="AP34" s="891" t="s">
        <v>1877</v>
      </c>
      <c r="AQ34" s="891" t="s">
        <v>32</v>
      </c>
      <c r="AR34" s="891" t="s">
        <v>1877</v>
      </c>
      <c r="AS34" s="891" t="s">
        <v>34</v>
      </c>
      <c r="AT34"/>
      <c r="AU34"/>
      <c r="AV34" s="910"/>
      <c r="AW34" s="904" t="s">
        <v>34</v>
      </c>
      <c r="AX34" s="891" t="s">
        <v>32</v>
      </c>
      <c r="AY34" s="891" t="s">
        <v>35</v>
      </c>
      <c r="AZ34" s="891" t="s">
        <v>32</v>
      </c>
      <c r="BA34" s="891" t="s">
        <v>36</v>
      </c>
      <c r="BB34" s="891" t="s">
        <v>32</v>
      </c>
      <c r="BC34" s="891" t="s">
        <v>36</v>
      </c>
      <c r="BD34" s="891" t="s">
        <v>35</v>
      </c>
      <c r="BE34" s="891" t="s">
        <v>1877</v>
      </c>
      <c r="BF34" s="891" t="s">
        <v>2435</v>
      </c>
      <c r="BG34" s="891" t="s">
        <v>36</v>
      </c>
      <c r="BH34" s="891" t="s">
        <v>32</v>
      </c>
      <c r="BI34" s="891" t="s">
        <v>35</v>
      </c>
      <c r="BJ34" s="910"/>
      <c r="BK34" s="891"/>
      <c r="BL34" s="891"/>
      <c r="BM34" s="891" t="s">
        <v>32</v>
      </c>
      <c r="BN34" s="891" t="s">
        <v>32</v>
      </c>
      <c r="BO34" s="891" t="s">
        <v>32</v>
      </c>
      <c r="BP34" s="891"/>
      <c r="BQ34" s="891"/>
      <c r="BR34" s="891"/>
      <c r="BS34" s="891"/>
      <c r="BT34" s="891"/>
      <c r="BU34" s="891"/>
      <c r="BV34" s="891"/>
      <c r="BW34" s="891"/>
      <c r="BX34" s="891"/>
      <c r="BY34" s="891"/>
      <c r="BZ34" s="891"/>
      <c r="CA34" s="891"/>
      <c r="CB34" s="891"/>
      <c r="CC34" s="891"/>
      <c r="CD34" s="891"/>
      <c r="CE34" s="896"/>
      <c r="CF34" s="896"/>
      <c r="CG34" s="896"/>
      <c r="CH34" s="896"/>
      <c r="CI34" s="428"/>
      <c r="CJ34" s="428"/>
      <c r="CK34" s="428"/>
      <c r="CL34" s="428"/>
    </row>
    <row r="35" spans="1:124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13</v>
      </c>
      <c r="G35" s="879" t="s">
        <v>884</v>
      </c>
      <c r="H35" s="879" t="s">
        <v>22</v>
      </c>
      <c r="I35" s="879" t="s">
        <v>891</v>
      </c>
      <c r="J35" s="846">
        <v>1</v>
      </c>
      <c r="K35" s="846">
        <v>0</v>
      </c>
      <c r="L35" s="816" t="str">
        <f t="shared" si="31"/>
        <v>W</v>
      </c>
      <c r="M35" s="816">
        <f t="shared" si="32"/>
        <v>1</v>
      </c>
      <c r="N35" s="816" t="str">
        <f t="shared" si="24"/>
        <v>U</v>
      </c>
      <c r="O35" s="816">
        <f t="shared" si="25"/>
        <v>-0.5</v>
      </c>
      <c r="P35" s="829">
        <f t="shared" si="26"/>
        <v>1</v>
      </c>
      <c r="Q35" s="830">
        <v>0.56999999999999995</v>
      </c>
      <c r="R35" s="871">
        <f t="shared" si="27"/>
        <v>0.43000000000000005</v>
      </c>
      <c r="S35" s="830">
        <v>2.33</v>
      </c>
      <c r="T35" s="871">
        <f t="shared" si="28"/>
        <v>-1.33</v>
      </c>
      <c r="U35" s="868">
        <f t="shared" si="29"/>
        <v>1.45</v>
      </c>
      <c r="V35" s="868">
        <f t="shared" si="30"/>
        <v>0.88000000000000012</v>
      </c>
      <c r="W35" s="829">
        <v>26</v>
      </c>
      <c r="X35" s="829">
        <v>5</v>
      </c>
      <c r="Y35" s="829">
        <v>6</v>
      </c>
      <c r="Z35" s="829">
        <v>0</v>
      </c>
      <c r="AA35" s="829">
        <v>55</v>
      </c>
      <c r="AB35" s="829">
        <v>45</v>
      </c>
      <c r="AC35" s="829"/>
      <c r="AD35" s="816" t="str">
        <f t="array" ref="AD35">IF($J35="","",IF(SUM(IF(ISNUMBER(VALUE(RIGHT($AG35:$EA35,1))),VALUE(RIGHT($AG35:$EA35,1)),0))=$J35,"T","F"))</f>
        <v>T</v>
      </c>
      <c r="AE35" s="831">
        <f t="array" ref="AE35">IF($J35="","",SUM(IF(LEFT($AG35:$EA35,1)="s",1,0))-SUM(IF(RIGHT(LEFT($AG35:$EA35,2))="-",1,0)))</f>
        <v>0</v>
      </c>
      <c r="AF35" s="816">
        <f t="array" ref="AF35">IF($J35="","",SUM(IF(LEFT($AG35:$EA35,1)="X",1,0)))</f>
        <v>11</v>
      </c>
      <c r="AG35" s="891" t="s">
        <v>32</v>
      </c>
      <c r="AH35" s="891" t="s">
        <v>34</v>
      </c>
      <c r="AI35" s="891" t="s">
        <v>1877</v>
      </c>
      <c r="AJ35" s="891" t="s">
        <v>32</v>
      </c>
      <c r="AK35" s="891" t="s">
        <v>1877</v>
      </c>
      <c r="AL35" s="891" t="s">
        <v>35</v>
      </c>
      <c r="AM35" s="891" t="s">
        <v>34</v>
      </c>
      <c r="AN35" s="891" t="s">
        <v>2125</v>
      </c>
      <c r="AO35" s="891" t="s">
        <v>34</v>
      </c>
      <c r="AP35" s="891" t="s">
        <v>34</v>
      </c>
      <c r="AQ35" s="891" t="s">
        <v>32</v>
      </c>
      <c r="AR35" s="891" t="s">
        <v>36</v>
      </c>
      <c r="AS35" s="891" t="s">
        <v>34</v>
      </c>
      <c r="AT35"/>
      <c r="AU35"/>
      <c r="AV35" s="910"/>
      <c r="AW35" s="891" t="s">
        <v>34</v>
      </c>
      <c r="AX35" s="891" t="s">
        <v>32</v>
      </c>
      <c r="AY35" s="891" t="s">
        <v>34</v>
      </c>
      <c r="AZ35" s="891" t="s">
        <v>32</v>
      </c>
      <c r="BA35" s="891" t="s">
        <v>1877</v>
      </c>
      <c r="BB35" s="891" t="s">
        <v>32</v>
      </c>
      <c r="BC35" s="891" t="s">
        <v>1877</v>
      </c>
      <c r="BD35" s="891" t="s">
        <v>35</v>
      </c>
      <c r="BE35" s="904" t="s">
        <v>36</v>
      </c>
      <c r="BF35" s="891" t="s">
        <v>2467</v>
      </c>
      <c r="BG35" s="891" t="s">
        <v>36</v>
      </c>
      <c r="BH35" s="891" t="s">
        <v>32</v>
      </c>
      <c r="BI35" s="891" t="s">
        <v>35</v>
      </c>
      <c r="BJ35" s="910"/>
      <c r="BK35" s="891"/>
      <c r="BL35" s="891"/>
      <c r="BM35" s="891" t="s">
        <v>32</v>
      </c>
      <c r="BN35" s="891" t="s">
        <v>32</v>
      </c>
      <c r="BO35" s="891" t="s">
        <v>32</v>
      </c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1"/>
      <c r="CC35" s="891"/>
      <c r="CD35" s="891"/>
      <c r="CE35" s="896"/>
      <c r="CF35" s="896"/>
      <c r="CG35" s="896"/>
      <c r="CH35" s="896"/>
      <c r="CI35" s="428"/>
      <c r="CJ35" s="428"/>
      <c r="CK35" s="428"/>
      <c r="CL35" s="428"/>
      <c r="CP35" s="4" t="s">
        <v>32</v>
      </c>
      <c r="CQ35" s="6" t="s">
        <v>32</v>
      </c>
      <c r="CR35" s="6" t="s">
        <v>32</v>
      </c>
      <c r="CS35" s="6" t="s">
        <v>32</v>
      </c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</row>
    <row r="36" spans="1:124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</v>
      </c>
      <c r="G36" s="879" t="s">
        <v>1086</v>
      </c>
      <c r="H36" s="879" t="s">
        <v>18</v>
      </c>
      <c r="I36" s="879" t="s">
        <v>891</v>
      </c>
      <c r="J36" s="905">
        <v>3</v>
      </c>
      <c r="K36" s="846">
        <v>0</v>
      </c>
      <c r="L36" s="816" t="str">
        <f t="shared" si="31"/>
        <v>W</v>
      </c>
      <c r="M36" s="816">
        <f t="shared" si="32"/>
        <v>3</v>
      </c>
      <c r="N36" s="816" t="str">
        <f t="shared" si="24"/>
        <v>O</v>
      </c>
      <c r="O36" s="816">
        <f t="shared" si="25"/>
        <v>0.25</v>
      </c>
      <c r="P36" s="829">
        <f t="shared" si="26"/>
        <v>1</v>
      </c>
      <c r="Q36" s="830">
        <v>-0.26</v>
      </c>
      <c r="R36" s="871">
        <f t="shared" si="27"/>
        <v>3.26</v>
      </c>
      <c r="S36" s="830">
        <v>2.4</v>
      </c>
      <c r="T36" s="871">
        <f t="shared" si="28"/>
        <v>0.60000000000000009</v>
      </c>
      <c r="U36" s="868">
        <f t="shared" si="29"/>
        <v>1.0699999999999998</v>
      </c>
      <c r="V36" s="868">
        <f t="shared" si="30"/>
        <v>1.33</v>
      </c>
      <c r="W36" s="829">
        <v>9</v>
      </c>
      <c r="X36" s="829">
        <v>20</v>
      </c>
      <c r="Y36" s="829">
        <v>5</v>
      </c>
      <c r="Z36" s="829">
        <v>3</v>
      </c>
      <c r="AA36" s="829">
        <v>37</v>
      </c>
      <c r="AB36" s="829">
        <v>63</v>
      </c>
      <c r="AC36" s="829"/>
      <c r="AD36" s="816" t="str">
        <f t="array" ref="AD36">IF($J36="","",IF(SUM(IF(ISNUMBER(VALUE(RIGHT($AG36:$EA36,1))),VALUE(RIGHT($AG36:$EA36,1)),0))=$J36,"T","F"))</f>
        <v>T</v>
      </c>
      <c r="AE36" s="831">
        <f t="array" ref="AE36">IF($J36="","",SUM(IF(LEFT($AG36:$EA36,1)="s",1,0))-SUM(IF(RIGHT(LEFT($AG36:$EA36,2))="-",1,0)))</f>
        <v>0</v>
      </c>
      <c r="AF36" s="816">
        <f t="array" ref="AF36">IF($J36="","",SUM(IF(LEFT($AG36:$EA36,1)="X",1,0)))</f>
        <v>11</v>
      </c>
      <c r="AG36" s="891"/>
      <c r="AH36" s="891" t="s">
        <v>34</v>
      </c>
      <c r="AI36" s="891" t="s">
        <v>1877</v>
      </c>
      <c r="AJ36" s="891" t="s">
        <v>32</v>
      </c>
      <c r="AK36" s="891" t="s">
        <v>1877</v>
      </c>
      <c r="AL36" s="904" t="s">
        <v>35</v>
      </c>
      <c r="AM36" s="891" t="s">
        <v>34</v>
      </c>
      <c r="AN36" s="891" t="s">
        <v>2125</v>
      </c>
      <c r="AO36" s="891" t="s">
        <v>34</v>
      </c>
      <c r="AP36" s="891" t="s">
        <v>34</v>
      </c>
      <c r="AQ36" s="891" t="s">
        <v>32</v>
      </c>
      <c r="AR36" s="891" t="s">
        <v>36</v>
      </c>
      <c r="AS36" s="891" t="s">
        <v>34</v>
      </c>
      <c r="AT36"/>
      <c r="AU36"/>
      <c r="AV36" s="910"/>
      <c r="AW36" s="891" t="s">
        <v>2487</v>
      </c>
      <c r="AX36" s="891" t="s">
        <v>32</v>
      </c>
      <c r="AY36" s="891" t="s">
        <v>34</v>
      </c>
      <c r="AZ36" s="891" t="s">
        <v>32</v>
      </c>
      <c r="BA36" s="891" t="s">
        <v>1877</v>
      </c>
      <c r="BB36" s="891" t="s">
        <v>32</v>
      </c>
      <c r="BC36" s="891" t="s">
        <v>2486</v>
      </c>
      <c r="BD36" s="891" t="s">
        <v>35</v>
      </c>
      <c r="BE36" s="891" t="s">
        <v>36</v>
      </c>
      <c r="BF36" s="891" t="s">
        <v>34</v>
      </c>
      <c r="BG36" s="891" t="s">
        <v>1877</v>
      </c>
      <c r="BH36" s="891" t="s">
        <v>32</v>
      </c>
      <c r="BI36" s="904" t="s">
        <v>2488</v>
      </c>
      <c r="BJ36" s="910"/>
      <c r="BK36" s="891"/>
      <c r="BL36" s="891"/>
      <c r="BM36" s="891" t="s">
        <v>32</v>
      </c>
      <c r="BN36" s="891" t="s">
        <v>32</v>
      </c>
      <c r="BO36" s="891" t="s">
        <v>32</v>
      </c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1"/>
      <c r="CC36" s="891"/>
      <c r="CD36" s="891"/>
      <c r="CE36" s="891"/>
      <c r="CF36" s="896"/>
      <c r="CG36" s="896"/>
      <c r="CH36" s="896"/>
      <c r="CI36" s="428"/>
      <c r="CJ36" s="428"/>
      <c r="CK36" s="428"/>
      <c r="CL36" s="428"/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  <c r="CR36" s="230" t="s">
        <v>32</v>
      </c>
      <c r="CS36" s="230" t="s">
        <v>32</v>
      </c>
    </row>
    <row r="37" spans="1:124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17</v>
      </c>
      <c r="G37" s="879" t="s">
        <v>875</v>
      </c>
      <c r="H37" s="879" t="s">
        <v>18</v>
      </c>
      <c r="I37" s="879" t="s">
        <v>891</v>
      </c>
      <c r="J37" s="846">
        <v>5</v>
      </c>
      <c r="K37" s="846">
        <v>0</v>
      </c>
      <c r="L37" s="816" t="str">
        <f t="shared" si="31"/>
        <v>W</v>
      </c>
      <c r="M37" s="816">
        <f t="shared" si="32"/>
        <v>5</v>
      </c>
      <c r="N37" s="816" t="str">
        <f t="shared" si="24"/>
        <v>O</v>
      </c>
      <c r="O37" s="816">
        <f t="shared" si="25"/>
        <v>-0.5</v>
      </c>
      <c r="P37" s="829">
        <f t="shared" si="26"/>
        <v>1</v>
      </c>
      <c r="Q37" s="830">
        <v>0.56000000000000005</v>
      </c>
      <c r="R37" s="871">
        <f t="shared" si="27"/>
        <v>4.4399999999999995</v>
      </c>
      <c r="S37" s="830">
        <v>2.21</v>
      </c>
      <c r="T37" s="871">
        <f t="shared" si="28"/>
        <v>2.79</v>
      </c>
      <c r="U37" s="868">
        <f t="shared" si="29"/>
        <v>1.385</v>
      </c>
      <c r="V37" s="868">
        <f t="shared" si="30"/>
        <v>0.82499999999999996</v>
      </c>
      <c r="W37" s="829">
        <v>21</v>
      </c>
      <c r="X37" s="829">
        <v>8</v>
      </c>
      <c r="Y37" s="829">
        <v>12</v>
      </c>
      <c r="Z37" s="829">
        <v>1</v>
      </c>
      <c r="AA37" s="829">
        <v>50</v>
      </c>
      <c r="AB37" s="829">
        <v>50</v>
      </c>
      <c r="AC37" s="829"/>
      <c r="AD37" s="816" t="str">
        <f t="array" ref="AD37">IF($J37="","",IF(SUM(IF(ISNUMBER(VALUE(RIGHT($AG37:$EA37,1))),VALUE(RIGHT($AG37:$EA37,1)),0))=$J37,"T","F"))</f>
        <v>T</v>
      </c>
      <c r="AE37" s="831">
        <f t="array" ref="AE37">IF($J37="","",SUM(IF(LEFT($AG37:$EA37,1)="s",1,0))-SUM(IF(RIGHT(LEFT($AG37:$EA37,2))="-",1,0)))</f>
        <v>0</v>
      </c>
      <c r="AF37" s="816">
        <f t="array" ref="AF37">IF($J37="","",SUM(IF(LEFT($AG37:$EA37,1)="X",1,0)))</f>
        <v>11</v>
      </c>
      <c r="AG37" s="891" t="s">
        <v>32</v>
      </c>
      <c r="AH37" s="891" t="s">
        <v>34</v>
      </c>
      <c r="AI37" s="891" t="s">
        <v>1877</v>
      </c>
      <c r="AJ37" s="891" t="s">
        <v>32</v>
      </c>
      <c r="AK37" s="891" t="s">
        <v>1877</v>
      </c>
      <c r="AL37" s="891" t="s">
        <v>35</v>
      </c>
      <c r="AM37" s="891" t="s">
        <v>34</v>
      </c>
      <c r="AN37" s="891" t="s">
        <v>2125</v>
      </c>
      <c r="AO37" s="891" t="s">
        <v>34</v>
      </c>
      <c r="AP37" s="891" t="s">
        <v>34</v>
      </c>
      <c r="AQ37" s="891" t="s">
        <v>36</v>
      </c>
      <c r="AR37" s="891" t="s">
        <v>32</v>
      </c>
      <c r="AS37" s="891" t="s">
        <v>34</v>
      </c>
      <c r="AT37"/>
      <c r="AU37"/>
      <c r="AV37" s="910"/>
      <c r="AW37" s="891" t="s">
        <v>34</v>
      </c>
      <c r="AX37" s="891" t="s">
        <v>32</v>
      </c>
      <c r="AY37" s="891" t="s">
        <v>34</v>
      </c>
      <c r="AZ37" s="891" t="s">
        <v>32</v>
      </c>
      <c r="BA37" s="891" t="s">
        <v>2508</v>
      </c>
      <c r="BB37" s="891" t="s">
        <v>32</v>
      </c>
      <c r="BC37" s="891" t="s">
        <v>1877</v>
      </c>
      <c r="BD37" s="891" t="s">
        <v>1877</v>
      </c>
      <c r="BE37" s="891" t="s">
        <v>2509</v>
      </c>
      <c r="BF37" s="891" t="s">
        <v>2510</v>
      </c>
      <c r="BG37" s="891" t="s">
        <v>35</v>
      </c>
      <c r="BH37" s="891" t="s">
        <v>32</v>
      </c>
      <c r="BI37" s="891" t="s">
        <v>36</v>
      </c>
      <c r="BJ37" s="910"/>
      <c r="BK37" s="891"/>
      <c r="BL37" s="891"/>
      <c r="BM37" s="891" t="s">
        <v>32</v>
      </c>
      <c r="BN37" s="891" t="s">
        <v>32</v>
      </c>
      <c r="BO37" s="891" t="s">
        <v>32</v>
      </c>
      <c r="BP37" s="891"/>
      <c r="BQ37" s="891"/>
      <c r="BR37" s="891"/>
      <c r="BS37" s="891"/>
      <c r="BT37" s="891"/>
      <c r="BU37" s="891"/>
      <c r="BV37" s="891"/>
      <c r="BW37" s="891"/>
      <c r="BX37" s="891"/>
      <c r="BY37" s="891"/>
      <c r="BZ37" s="891"/>
      <c r="CA37" s="891"/>
      <c r="CB37" s="891"/>
      <c r="CC37" s="891"/>
      <c r="CD37" s="891"/>
      <c r="CE37" s="896"/>
      <c r="CF37" s="896"/>
      <c r="CG37" s="896"/>
      <c r="CH37" s="896"/>
      <c r="CI37" s="428"/>
      <c r="CJ37" s="428"/>
      <c r="CK37" s="428"/>
      <c r="CL37" s="428"/>
      <c r="CQ37" s="4" t="s">
        <v>32</v>
      </c>
      <c r="CR37" s="4" t="s">
        <v>32</v>
      </c>
      <c r="CS37" s="4" t="s">
        <v>32</v>
      </c>
      <c r="CT37" s="4" t="s">
        <v>32</v>
      </c>
      <c r="CU37" s="4" t="s">
        <v>32</v>
      </c>
      <c r="CV37" s="4" t="s">
        <v>32</v>
      </c>
      <c r="CW37" s="6" t="s">
        <v>32</v>
      </c>
      <c r="CX37" s="6" t="s">
        <v>32</v>
      </c>
      <c r="CY37" s="6" t="s">
        <v>32</v>
      </c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</row>
    <row r="38" spans="1:124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22</v>
      </c>
      <c r="G38" s="879" t="s">
        <v>1087</v>
      </c>
      <c r="H38" s="879" t="s">
        <v>22</v>
      </c>
      <c r="I38" s="879" t="s">
        <v>891</v>
      </c>
      <c r="J38" s="846">
        <v>1</v>
      </c>
      <c r="K38" s="846">
        <v>3</v>
      </c>
      <c r="L38" s="816" t="str">
        <f t="shared" si="31"/>
        <v>L</v>
      </c>
      <c r="M38" s="816">
        <f t="shared" si="32"/>
        <v>4</v>
      </c>
      <c r="N38" s="816" t="str">
        <f t="shared" si="24"/>
        <v>O</v>
      </c>
      <c r="O38" s="816">
        <f t="shared" si="25"/>
        <v>-1</v>
      </c>
      <c r="P38" s="829">
        <f t="shared" si="26"/>
        <v>-1</v>
      </c>
      <c r="Q38" s="830">
        <v>1.2</v>
      </c>
      <c r="R38" s="871">
        <f t="shared" si="27"/>
        <v>-3.2</v>
      </c>
      <c r="S38" s="830">
        <v>2.62</v>
      </c>
      <c r="T38" s="871">
        <f t="shared" si="28"/>
        <v>1.38</v>
      </c>
      <c r="U38" s="868">
        <f t="shared" si="29"/>
        <v>1.9100000000000001</v>
      </c>
      <c r="V38" s="868">
        <f t="shared" si="30"/>
        <v>0.71</v>
      </c>
      <c r="W38" s="829">
        <v>34</v>
      </c>
      <c r="X38" s="829">
        <v>6</v>
      </c>
      <c r="Y38" s="829">
        <v>9</v>
      </c>
      <c r="Z38" s="829">
        <v>3</v>
      </c>
      <c r="AA38" s="829">
        <v>55</v>
      </c>
      <c r="AB38" s="829">
        <v>45</v>
      </c>
      <c r="AC38" s="829"/>
      <c r="AD38" s="816" t="str">
        <f t="array" ref="AD38">IF($J38="","",IF(SUM(IF(ISNUMBER(VALUE(RIGHT($AG38:$EA38,1))),VALUE(RIGHT($AG38:$EA38,1)),0))=$J38,"T","F"))</f>
        <v>T</v>
      </c>
      <c r="AE38" s="831">
        <f t="array" ref="AE38">IF($J38="","",SUM(IF(LEFT($AG38:$EA38,1)="s",1,0))-SUM(IF(RIGHT(LEFT($AG38:$EA38,2))="-",1,0)))</f>
        <v>0</v>
      </c>
      <c r="AF38" s="816">
        <f t="array" ref="AF38">IF($J38="","",SUM(IF(LEFT($AG38:$EA38,1)="X",1,0)))</f>
        <v>11</v>
      </c>
      <c r="AG38" s="891" t="s">
        <v>32</v>
      </c>
      <c r="AH38" s="891" t="s">
        <v>34</v>
      </c>
      <c r="AI38" s="891" t="s">
        <v>1877</v>
      </c>
      <c r="AJ38" s="891" t="s">
        <v>32</v>
      </c>
      <c r="AK38" s="891" t="s">
        <v>1877</v>
      </c>
      <c r="AL38" s="891" t="s">
        <v>34</v>
      </c>
      <c r="AM38" s="891" t="s">
        <v>34</v>
      </c>
      <c r="AN38" s="891" t="s">
        <v>2125</v>
      </c>
      <c r="AO38" s="891" t="s">
        <v>34</v>
      </c>
      <c r="AP38" s="904" t="s">
        <v>34</v>
      </c>
      <c r="AQ38" s="891" t="s">
        <v>1877</v>
      </c>
      <c r="AR38" s="891" t="s">
        <v>32</v>
      </c>
      <c r="AS38" s="891" t="s">
        <v>34</v>
      </c>
      <c r="AT38"/>
      <c r="AU38"/>
      <c r="AV38" s="910"/>
      <c r="AW38" s="891" t="s">
        <v>34</v>
      </c>
      <c r="AX38" s="891" t="s">
        <v>32</v>
      </c>
      <c r="AY38" s="891" t="s">
        <v>35</v>
      </c>
      <c r="AZ38" s="891" t="s">
        <v>32</v>
      </c>
      <c r="BA38" s="891" t="s">
        <v>1877</v>
      </c>
      <c r="BB38" s="891" t="s">
        <v>32</v>
      </c>
      <c r="BC38" s="891" t="s">
        <v>36</v>
      </c>
      <c r="BD38" s="891" t="s">
        <v>35</v>
      </c>
      <c r="BE38" s="891" t="s">
        <v>36</v>
      </c>
      <c r="BF38" s="891" t="s">
        <v>2533</v>
      </c>
      <c r="BG38" s="891" t="s">
        <v>36</v>
      </c>
      <c r="BH38" s="891" t="s">
        <v>32</v>
      </c>
      <c r="BI38" s="891" t="s">
        <v>35</v>
      </c>
      <c r="BJ38" s="910"/>
      <c r="BK38" s="891"/>
      <c r="BL38" s="891"/>
      <c r="BM38" s="891" t="s">
        <v>32</v>
      </c>
      <c r="BN38" s="891" t="s">
        <v>32</v>
      </c>
      <c r="BO38" s="910"/>
      <c r="BP38" s="891"/>
      <c r="BQ38" s="891"/>
      <c r="BR38" s="891"/>
      <c r="BS38" s="891"/>
      <c r="BT38" s="891"/>
      <c r="BU38" s="891"/>
      <c r="BV38" s="891"/>
      <c r="BW38" s="891"/>
      <c r="BX38" s="891"/>
      <c r="BY38" s="891"/>
      <c r="BZ38" s="891"/>
      <c r="CA38" s="891"/>
      <c r="CB38" s="891"/>
      <c r="CC38" s="891"/>
      <c r="CD38" s="891"/>
      <c r="CE38" s="896"/>
      <c r="CF38" s="896"/>
      <c r="CG38" s="896"/>
      <c r="CH38" s="896"/>
      <c r="CI38" s="428"/>
      <c r="CJ38" s="428"/>
      <c r="CK38" s="428"/>
      <c r="CL38" s="428"/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  <c r="CR38" s="230" t="s">
        <v>32</v>
      </c>
      <c r="CS38" s="230" t="s">
        <v>32</v>
      </c>
    </row>
    <row r="39" spans="1:124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19</v>
      </c>
      <c r="G39" s="879" t="s">
        <v>885</v>
      </c>
      <c r="H39" s="879" t="s">
        <v>22</v>
      </c>
      <c r="I39" s="879" t="s">
        <v>891</v>
      </c>
      <c r="J39" s="846">
        <v>3</v>
      </c>
      <c r="K39" s="846">
        <v>1</v>
      </c>
      <c r="L39" s="816" t="str">
        <f t="shared" si="31"/>
        <v>W</v>
      </c>
      <c r="M39" s="816">
        <f t="shared" si="32"/>
        <v>4</v>
      </c>
      <c r="N39" s="816" t="str">
        <f t="shared" si="24"/>
        <v>O</v>
      </c>
      <c r="O39" s="816">
        <f t="shared" si="25"/>
        <v>-1.25</v>
      </c>
      <c r="P39" s="829">
        <f t="shared" si="26"/>
        <v>1</v>
      </c>
      <c r="Q39" s="830">
        <v>1.22</v>
      </c>
      <c r="R39" s="871">
        <f t="shared" si="27"/>
        <v>0.78</v>
      </c>
      <c r="S39" s="830">
        <v>2.72</v>
      </c>
      <c r="T39" s="871">
        <f t="shared" si="28"/>
        <v>1.2799999999999998</v>
      </c>
      <c r="U39" s="868">
        <f t="shared" si="29"/>
        <v>1.9700000000000002</v>
      </c>
      <c r="V39" s="868">
        <f t="shared" si="30"/>
        <v>0.75</v>
      </c>
      <c r="W39" s="829">
        <v>16</v>
      </c>
      <c r="X39" s="829">
        <v>11</v>
      </c>
      <c r="Y39" s="829">
        <v>6</v>
      </c>
      <c r="Z39" s="829">
        <v>3</v>
      </c>
      <c r="AA39" s="829">
        <v>48</v>
      </c>
      <c r="AB39" s="829">
        <v>52</v>
      </c>
      <c r="AC39" s="829"/>
      <c r="AD39" s="816" t="str">
        <f t="array" ref="AD39">IF($J39="","",IF(SUM(IF(ISNUMBER(VALUE(RIGHT($AG39:$EA39,1))),VALUE(RIGHT($AG39:$EA39,1)),0))=$J39,"T","F"))</f>
        <v>T</v>
      </c>
      <c r="AE39" s="831">
        <f t="array" ref="AE39">IF($J39="","",SUM(IF(LEFT($AG39:$EA39,1)="s",1,0))-SUM(IF(RIGHT(LEFT($AG39:$EA39,2))="-",1,0)))</f>
        <v>0</v>
      </c>
      <c r="AF39" s="816">
        <f t="array" ref="AF39">IF($J39="","",SUM(IF(LEFT($AG39:$EA39,1)="X",1,0)))</f>
        <v>11</v>
      </c>
      <c r="AG39" s="891" t="s">
        <v>32</v>
      </c>
      <c r="AH39" s="891" t="s">
        <v>35</v>
      </c>
      <c r="AI39" s="891" t="s">
        <v>36</v>
      </c>
      <c r="AJ39" s="891" t="s">
        <v>32</v>
      </c>
      <c r="AK39" s="891" t="s">
        <v>1877</v>
      </c>
      <c r="AL39" s="891" t="s">
        <v>34</v>
      </c>
      <c r="AM39" s="891" t="s">
        <v>34</v>
      </c>
      <c r="AN39" s="891" t="s">
        <v>32</v>
      </c>
      <c r="AO39" s="891" t="s">
        <v>34</v>
      </c>
      <c r="AP39" s="891" t="s">
        <v>34</v>
      </c>
      <c r="AQ39" s="891" t="s">
        <v>1877</v>
      </c>
      <c r="AR39" s="891" t="s">
        <v>32</v>
      </c>
      <c r="AS39" s="904" t="s">
        <v>2555</v>
      </c>
      <c r="AT39"/>
      <c r="AU39"/>
      <c r="AV39" s="910"/>
      <c r="AW39" s="891" t="s">
        <v>34</v>
      </c>
      <c r="AX39" s="891" t="s">
        <v>32</v>
      </c>
      <c r="AY39" s="891" t="s">
        <v>2555</v>
      </c>
      <c r="AZ39" s="891" t="s">
        <v>32</v>
      </c>
      <c r="BA39" s="891" t="s">
        <v>36</v>
      </c>
      <c r="BB39" s="891" t="s">
        <v>32</v>
      </c>
      <c r="BC39" s="891" t="s">
        <v>1877</v>
      </c>
      <c r="BD39" s="891" t="s">
        <v>35</v>
      </c>
      <c r="BE39" s="891" t="s">
        <v>1877</v>
      </c>
      <c r="BF39" s="891" t="s">
        <v>2555</v>
      </c>
      <c r="BG39" s="904" t="s">
        <v>36</v>
      </c>
      <c r="BH39" s="891" t="s">
        <v>32</v>
      </c>
      <c r="BI39" s="904" t="s">
        <v>35</v>
      </c>
      <c r="BJ39" s="910"/>
      <c r="BK39" s="891"/>
      <c r="BL39" s="891"/>
      <c r="BM39" s="891" t="s">
        <v>32</v>
      </c>
      <c r="BN39" s="910"/>
      <c r="BO39" s="910"/>
      <c r="BP39" s="891"/>
      <c r="BQ39" s="891"/>
      <c r="BR39" s="891"/>
      <c r="BS39" s="891"/>
      <c r="BT39" s="891"/>
      <c r="BU39" s="891"/>
      <c r="BV39" s="891"/>
      <c r="BW39" s="891"/>
      <c r="BX39" s="891"/>
      <c r="BY39" s="891"/>
      <c r="BZ39" s="891"/>
      <c r="CA39" s="891"/>
      <c r="CB39" s="891"/>
      <c r="CC39" s="891"/>
      <c r="CD39" s="891"/>
      <c r="CE39" s="896"/>
      <c r="CF39" s="896"/>
      <c r="CG39" s="896"/>
      <c r="CH39" s="896"/>
      <c r="CI39" s="428"/>
      <c r="CJ39" s="428"/>
      <c r="CK39" s="428"/>
      <c r="CL39" s="428"/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  <c r="CR39" s="230" t="s">
        <v>32</v>
      </c>
      <c r="CS39" s="230" t="s">
        <v>32</v>
      </c>
    </row>
    <row r="40" spans="1:124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6</v>
      </c>
      <c r="G40" s="879" t="s">
        <v>876</v>
      </c>
      <c r="H40" s="879" t="s">
        <v>18</v>
      </c>
      <c r="I40" s="879" t="s">
        <v>891</v>
      </c>
      <c r="J40" s="846">
        <v>0</v>
      </c>
      <c r="K40" s="846">
        <v>0</v>
      </c>
      <c r="L40" s="816" t="str">
        <f t="shared" si="31"/>
        <v>D</v>
      </c>
      <c r="M40" s="816">
        <f t="shared" si="32"/>
        <v>0</v>
      </c>
      <c r="N40" s="816" t="str">
        <f t="shared" si="24"/>
        <v>U</v>
      </c>
      <c r="O40" s="816">
        <f t="shared" si="25"/>
        <v>0</v>
      </c>
      <c r="P40" s="829">
        <f t="shared" si="26"/>
        <v>0</v>
      </c>
      <c r="Q40" s="830">
        <v>-0.03</v>
      </c>
      <c r="R40" s="871">
        <f t="shared" si="27"/>
        <v>0.03</v>
      </c>
      <c r="S40" s="830">
        <v>2.68</v>
      </c>
      <c r="T40" s="871">
        <f t="shared" si="28"/>
        <v>-2.68</v>
      </c>
      <c r="U40" s="868">
        <f t="shared" si="29"/>
        <v>1.3250000000000002</v>
      </c>
      <c r="V40" s="868">
        <f t="shared" si="30"/>
        <v>1.355</v>
      </c>
      <c r="W40" s="829">
        <v>13</v>
      </c>
      <c r="X40" s="829">
        <v>11</v>
      </c>
      <c r="Y40" s="829">
        <v>5</v>
      </c>
      <c r="Z40" s="829">
        <v>2</v>
      </c>
      <c r="AA40" s="829">
        <v>39</v>
      </c>
      <c r="AB40" s="829">
        <v>61</v>
      </c>
      <c r="AC40" s="829"/>
      <c r="AD40" s="816" t="str">
        <f t="array" ref="AD40">IF($J40="","",IF(SUM(IF(ISNUMBER(VALUE(RIGHT($AG40:$EA40,1))),VALUE(RIGHT($AG40:$EA40,1)),0))=$J40,"T","F"))</f>
        <v>T</v>
      </c>
      <c r="AE40" s="831">
        <f t="array" ref="AE40">IF($J40="","",SUM(IF(LEFT($AG40:$EA40,1)="s",1,0))-SUM(IF(RIGHT(LEFT($AG40:$EA40,2))="-",1,0)))</f>
        <v>0</v>
      </c>
      <c r="AF40" s="816">
        <f t="array" ref="AF40">IF($J40="","",SUM(IF(LEFT($AG40:$EA40,1)="X",1,0)))</f>
        <v>11</v>
      </c>
      <c r="AG40" s="891" t="s">
        <v>32</v>
      </c>
      <c r="AH40" s="891" t="s">
        <v>2616</v>
      </c>
      <c r="AI40" s="891" t="s">
        <v>34</v>
      </c>
      <c r="AJ40" s="891" t="s">
        <v>1877</v>
      </c>
      <c r="AK40" s="891" t="s">
        <v>32</v>
      </c>
      <c r="AL40" s="891" t="s">
        <v>34</v>
      </c>
      <c r="AM40" s="891" t="s">
        <v>34</v>
      </c>
      <c r="AN40" s="891" t="s">
        <v>34</v>
      </c>
      <c r="AO40" s="891" t="s">
        <v>34</v>
      </c>
      <c r="AP40" s="891" t="s">
        <v>1877</v>
      </c>
      <c r="AQ40" s="891" t="s">
        <v>1877</v>
      </c>
      <c r="AR40" s="891" t="s">
        <v>32</v>
      </c>
      <c r="AS40" s="891" t="s">
        <v>34</v>
      </c>
      <c r="AT40"/>
      <c r="AU40"/>
      <c r="AV40" s="910"/>
      <c r="AW40" s="891" t="s">
        <v>34</v>
      </c>
      <c r="AX40" s="891" t="s">
        <v>36</v>
      </c>
      <c r="AY40" s="891" t="s">
        <v>35</v>
      </c>
      <c r="AZ40" s="891" t="s">
        <v>32</v>
      </c>
      <c r="BA40" s="891" t="s">
        <v>36</v>
      </c>
      <c r="BB40" s="891" t="s">
        <v>32</v>
      </c>
      <c r="BC40" s="891" t="s">
        <v>36</v>
      </c>
      <c r="BD40" s="891" t="s">
        <v>35</v>
      </c>
      <c r="BE40" s="891" t="s">
        <v>1877</v>
      </c>
      <c r="BF40" s="904" t="s">
        <v>34</v>
      </c>
      <c r="BG40" s="891" t="s">
        <v>35</v>
      </c>
      <c r="BH40" s="891"/>
      <c r="BI40" s="891" t="s">
        <v>2574</v>
      </c>
      <c r="BJ40" s="910"/>
      <c r="BK40" s="891"/>
      <c r="BL40" s="891"/>
      <c r="BM40" s="891" t="s">
        <v>32</v>
      </c>
      <c r="BN40" s="910"/>
      <c r="BO40" s="910"/>
      <c r="BP40" s="891"/>
      <c r="BQ40" s="891"/>
      <c r="BR40" s="891"/>
      <c r="BS40" s="891"/>
      <c r="BT40" s="891"/>
      <c r="BU40" s="891"/>
      <c r="BV40" s="891"/>
      <c r="BW40" s="891"/>
      <c r="BX40" s="891"/>
      <c r="BY40" s="891"/>
      <c r="BZ40" s="891"/>
      <c r="CA40" s="891"/>
      <c r="CB40" s="891"/>
      <c r="CC40" s="891"/>
      <c r="CD40" s="891"/>
      <c r="CE40" s="896"/>
      <c r="CF40" s="896"/>
      <c r="CG40" s="896"/>
      <c r="CH40" s="896"/>
      <c r="CI40" s="428"/>
      <c r="CJ40" s="428"/>
      <c r="CK40" s="428"/>
      <c r="CL40" s="428"/>
      <c r="CM40" s="230" t="s">
        <v>32</v>
      </c>
      <c r="CN40" s="230" t="s">
        <v>32</v>
      </c>
      <c r="CO40" s="230" t="s">
        <v>32</v>
      </c>
      <c r="CP40" s="230" t="s">
        <v>32</v>
      </c>
      <c r="CQ40" s="230" t="s">
        <v>32</v>
      </c>
      <c r="CR40" s="230" t="s">
        <v>32</v>
      </c>
      <c r="CS40" s="230" t="s">
        <v>32</v>
      </c>
    </row>
    <row r="41" spans="1:124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3</v>
      </c>
      <c r="G41" s="879" t="s">
        <v>1085</v>
      </c>
      <c r="H41" s="879" t="s">
        <v>22</v>
      </c>
      <c r="I41" s="879" t="s">
        <v>891</v>
      </c>
      <c r="J41" s="846">
        <v>3</v>
      </c>
      <c r="K41" s="908">
        <v>1</v>
      </c>
      <c r="L41" s="816" t="str">
        <f t="shared" si="31"/>
        <v>W</v>
      </c>
      <c r="M41" s="816">
        <f t="shared" si="32"/>
        <v>4</v>
      </c>
      <c r="N41" s="816" t="str">
        <f t="shared" si="24"/>
        <v>O</v>
      </c>
      <c r="O41" s="816">
        <f t="shared" si="25"/>
        <v>-0.25</v>
      </c>
      <c r="P41" s="829">
        <f t="shared" si="26"/>
        <v>1</v>
      </c>
      <c r="Q41" s="830">
        <v>0.24</v>
      </c>
      <c r="R41" s="871">
        <f t="shared" si="27"/>
        <v>1.76</v>
      </c>
      <c r="S41" s="830">
        <v>2.7</v>
      </c>
      <c r="T41" s="871">
        <f t="shared" si="28"/>
        <v>1.2999999999999998</v>
      </c>
      <c r="U41" s="868">
        <f t="shared" si="29"/>
        <v>1.4700000000000002</v>
      </c>
      <c r="V41" s="868">
        <f t="shared" si="30"/>
        <v>1.23</v>
      </c>
      <c r="W41" s="829">
        <v>20</v>
      </c>
      <c r="X41" s="829">
        <v>6</v>
      </c>
      <c r="Y41" s="829">
        <v>7</v>
      </c>
      <c r="Z41" s="829">
        <v>1</v>
      </c>
      <c r="AA41" s="829">
        <v>48</v>
      </c>
      <c r="AB41" s="829">
        <v>52</v>
      </c>
      <c r="AC41" s="829"/>
      <c r="AD41" s="816" t="str">
        <f t="array" ref="AD41">IF($J41="","",IF(SUM(IF(ISNUMBER(VALUE(RIGHT($AG41:$EA41,1))),VALUE(RIGHT($AG41:$EA41,1)),0))=$J41,"T","F"))</f>
        <v>T</v>
      </c>
      <c r="AE41" s="831">
        <f t="array" ref="AE41">IF($J41="","",SUM(IF(LEFT($AG41:$EA41,1)="s",1,0))-SUM(IF(RIGHT(LEFT($AG41:$EA41,2))="-",1,0)))</f>
        <v>0</v>
      </c>
      <c r="AF41" s="816">
        <f t="array" ref="AF41">IF($J41="","",SUM(IF(LEFT($AG41:$EA41,1)="X",1,0)))</f>
        <v>11</v>
      </c>
      <c r="AG41" s="891" t="s">
        <v>32</v>
      </c>
      <c r="AH41" s="891" t="s">
        <v>32</v>
      </c>
      <c r="AI41" s="891" t="s">
        <v>34</v>
      </c>
      <c r="AJ41" s="891" t="s">
        <v>1877</v>
      </c>
      <c r="AK41" s="891" t="s">
        <v>32</v>
      </c>
      <c r="AL41" s="891" t="s">
        <v>34</v>
      </c>
      <c r="AM41" s="891" t="s">
        <v>34</v>
      </c>
      <c r="AN41" s="891" t="s">
        <v>34</v>
      </c>
      <c r="AO41" s="891" t="s">
        <v>34</v>
      </c>
      <c r="AP41" s="891" t="s">
        <v>1877</v>
      </c>
      <c r="AQ41" s="891" t="s">
        <v>1877</v>
      </c>
      <c r="AR41" s="891" t="s">
        <v>32</v>
      </c>
      <c r="AS41" s="904" t="s">
        <v>34</v>
      </c>
      <c r="AT41"/>
      <c r="AU41"/>
      <c r="AV41" s="910"/>
      <c r="AW41" s="891" t="s">
        <v>35</v>
      </c>
      <c r="AX41" s="891" t="s">
        <v>1877</v>
      </c>
      <c r="AY41" s="891" t="s">
        <v>34</v>
      </c>
      <c r="AZ41" s="891" t="s">
        <v>32</v>
      </c>
      <c r="BA41" s="891" t="s">
        <v>34</v>
      </c>
      <c r="BB41" s="891" t="s">
        <v>32</v>
      </c>
      <c r="BC41" s="891" t="s">
        <v>2664</v>
      </c>
      <c r="BD41" s="891" t="s">
        <v>36</v>
      </c>
      <c r="BE41" s="891" t="s">
        <v>2663</v>
      </c>
      <c r="BF41" s="891" t="s">
        <v>2662</v>
      </c>
      <c r="BG41" s="891" t="s">
        <v>35</v>
      </c>
      <c r="BH41" s="891" t="s">
        <v>32</v>
      </c>
      <c r="BI41" s="904" t="s">
        <v>35</v>
      </c>
      <c r="BJ41" s="910"/>
      <c r="BK41" s="891"/>
      <c r="BL41" s="891"/>
      <c r="BM41" s="891" t="s">
        <v>32</v>
      </c>
      <c r="BN41" s="910"/>
      <c r="BO41" s="910"/>
      <c r="BP41" s="891"/>
      <c r="BQ41" s="891"/>
      <c r="BR41" s="891"/>
      <c r="BS41" s="891"/>
      <c r="BT41" s="891"/>
      <c r="BU41" s="891"/>
      <c r="BV41" s="891"/>
      <c r="BW41" s="891"/>
      <c r="BX41" s="891"/>
      <c r="BY41" s="891"/>
      <c r="BZ41" s="891"/>
      <c r="CA41" s="891"/>
      <c r="CB41" s="891"/>
      <c r="CC41" s="891"/>
      <c r="CD41" s="891"/>
      <c r="CE41" s="896"/>
      <c r="CF41" s="896"/>
      <c r="CG41" s="896"/>
      <c r="CH41" s="896"/>
      <c r="CI41" s="4"/>
      <c r="CJ41" s="4"/>
      <c r="CK41" s="4"/>
      <c r="CL41" s="4"/>
      <c r="CM41" s="6" t="s">
        <v>32</v>
      </c>
      <c r="CN41" s="6" t="s">
        <v>32</v>
      </c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</row>
    <row r="42" spans="1:124" ht="15">
      <c r="A42" s="912">
        <v>6382</v>
      </c>
      <c r="B42" s="894"/>
      <c r="C42" s="894"/>
      <c r="D42" s="894"/>
      <c r="E42" s="894"/>
      <c r="F42" s="894"/>
      <c r="G42" s="828" t="s">
        <v>2658</v>
      </c>
      <c r="H42" s="828" t="s">
        <v>22</v>
      </c>
      <c r="I42" s="828" t="s">
        <v>2654</v>
      </c>
      <c r="J42" s="895">
        <v>4</v>
      </c>
      <c r="K42" s="895">
        <v>2</v>
      </c>
      <c r="L42" s="816" t="str">
        <f t="shared" ref="L42" si="33">IF(J42="","",IF(J42&gt;K42,"W",IF(J42=K42,"D",IF(J42&lt;K42,"L"))))</f>
        <v>W</v>
      </c>
      <c r="M42" s="816">
        <f t="shared" ref="M42" si="34">IF(J42="","",J42+K42)</f>
        <v>6</v>
      </c>
      <c r="N42" s="816" t="str">
        <f t="shared" si="24"/>
        <v>O</v>
      </c>
      <c r="O42" s="816" t="str">
        <f t="shared" ref="O42" si="35">IF(Q42="","",IF(SIGN(Q42)&lt;&gt;1,VLOOKUP(ABS(Q42),SUP_HDC,3,TRUE),-VLOOKUP(ABS(Q42),SUP_HDC,3,TRUE)))</f>
        <v/>
      </c>
      <c r="P42" s="829" t="str">
        <f t="shared" ref="P42" si="36">IF(O42="","",IF((J42-K42+O42)&gt;=0.5,1,IF((J42-K42+O42)=0.25,0.5,IF((J42-K42+O42)&lt;=-0.5,-1,IF((J42-K42+O42)=-0.25,-0.5,0)))))</f>
        <v/>
      </c>
      <c r="Q42" s="830"/>
      <c r="R42" s="871" t="str">
        <f t="shared" ref="R42" si="37">IF(ISBLANK(Q42),"",J42-K42-Q42)</f>
        <v/>
      </c>
      <c r="S42" s="830"/>
      <c r="T42" s="871" t="str">
        <f t="shared" ref="T42" si="38">IF(ISBLANK(S42),"",J42+K42-S42)</f>
        <v/>
      </c>
      <c r="U42" s="868" t="str">
        <f t="shared" ref="U42" si="39">IF(Q42="","",(Q42+S42)/2)</f>
        <v/>
      </c>
      <c r="V42" s="868" t="str">
        <f t="shared" ref="V42" si="40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IF($J42="","",IF(SUM(IF(ISNUMBER(VALUE(RIGHT($AG42:$EA42,1))),VALUE(RIGHT($AG42:$EA42,1)),0))=$J42,"T","F"))</f>
        <v>T</v>
      </c>
      <c r="AE42" s="831">
        <f t="array" ref="AE42">IF($J42="","",SUM(IF(LEFT($AG42:$EA42,1)="s",1,0))-SUM(IF(RIGHT(LEFT($AG42:$EA42,2))="-",1,0)))</f>
        <v>0</v>
      </c>
      <c r="AF42" s="816">
        <f t="array" ref="AF42">IF($J42="","",SUM(IF(LEFT($AG42:$EA42,1)="X",1,0)))</f>
        <v>11</v>
      </c>
      <c r="AG42" s="891" t="s">
        <v>32</v>
      </c>
      <c r="AH42" s="891" t="s">
        <v>32</v>
      </c>
      <c r="AI42" s="891" t="s">
        <v>1877</v>
      </c>
      <c r="AJ42" s="891" t="s">
        <v>34</v>
      </c>
      <c r="AK42" s="891" t="s">
        <v>34</v>
      </c>
      <c r="AL42" s="891" t="s">
        <v>32</v>
      </c>
      <c r="AM42" s="891" t="s">
        <v>1877</v>
      </c>
      <c r="AN42" s="891" t="s">
        <v>34</v>
      </c>
      <c r="AO42" s="891" t="s">
        <v>36</v>
      </c>
      <c r="AP42" s="891" t="s">
        <v>35</v>
      </c>
      <c r="AQ42" s="891" t="s">
        <v>34</v>
      </c>
      <c r="AR42" s="891" t="s">
        <v>32</v>
      </c>
      <c r="AS42" s="891" t="s">
        <v>32</v>
      </c>
      <c r="AT42"/>
      <c r="AU42"/>
      <c r="AV42" s="910"/>
      <c r="AW42" s="891" t="s">
        <v>1877</v>
      </c>
      <c r="AX42" s="891" t="s">
        <v>34</v>
      </c>
      <c r="AY42" s="891" t="s">
        <v>32</v>
      </c>
      <c r="AZ42" s="904" t="s">
        <v>2703</v>
      </c>
      <c r="BA42" s="906" t="s">
        <v>2706</v>
      </c>
      <c r="BB42" s="891" t="s">
        <v>2705</v>
      </c>
      <c r="BC42" s="891" t="s">
        <v>2703</v>
      </c>
      <c r="BD42" s="891" t="s">
        <v>1877</v>
      </c>
      <c r="BE42" s="891" t="s">
        <v>2704</v>
      </c>
      <c r="BF42" s="891" t="s">
        <v>32</v>
      </c>
      <c r="BG42" s="891" t="s">
        <v>35</v>
      </c>
      <c r="BH42" s="891"/>
      <c r="BI42" s="891"/>
      <c r="BJ42" s="910"/>
      <c r="BK42" s="891"/>
      <c r="BL42" s="891"/>
      <c r="BM42" s="891" t="s">
        <v>34</v>
      </c>
      <c r="BN42" s="910"/>
      <c r="BO42" s="910"/>
      <c r="BP42" s="891"/>
      <c r="BQ42" s="891"/>
      <c r="BR42" s="891"/>
      <c r="BS42" s="891"/>
      <c r="BT42" s="891"/>
      <c r="BU42" s="891"/>
      <c r="BV42" s="891"/>
      <c r="BW42" s="891"/>
      <c r="BX42" s="891"/>
      <c r="BY42" s="891"/>
      <c r="BZ42" s="891"/>
      <c r="CA42" s="891"/>
      <c r="CB42" s="891"/>
      <c r="CC42" s="891"/>
      <c r="CD42" s="891"/>
      <c r="CE42" s="896"/>
      <c r="CF42" s="896"/>
      <c r="CG42" s="896"/>
      <c r="CH42" s="896"/>
      <c r="CI42" s="4"/>
      <c r="CJ42" s="4"/>
      <c r="CK42" s="4"/>
      <c r="CL42" s="4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</row>
    <row r="43" spans="1:124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15</v>
      </c>
      <c r="G43" s="879" t="s">
        <v>881</v>
      </c>
      <c r="H43" s="879" t="s">
        <v>18</v>
      </c>
      <c r="I43" s="879" t="s">
        <v>891</v>
      </c>
      <c r="J43" s="846">
        <v>1</v>
      </c>
      <c r="K43" s="846">
        <v>0</v>
      </c>
      <c r="L43" s="816" t="str">
        <f t="shared" si="31"/>
        <v>W</v>
      </c>
      <c r="M43" s="816">
        <f t="shared" si="32"/>
        <v>1</v>
      </c>
      <c r="N43" s="816" t="str">
        <f t="shared" si="24"/>
        <v>U</v>
      </c>
      <c r="O43" s="816">
        <f t="shared" si="25"/>
        <v>-0.25</v>
      </c>
      <c r="P43" s="829">
        <f t="shared" si="26"/>
        <v>1</v>
      </c>
      <c r="Q43" s="830">
        <v>0.4</v>
      </c>
      <c r="R43" s="871">
        <f t="shared" si="27"/>
        <v>0.6</v>
      </c>
      <c r="S43" s="830">
        <v>2.4500000000000002</v>
      </c>
      <c r="T43" s="871">
        <f t="shared" si="28"/>
        <v>-1.4500000000000002</v>
      </c>
      <c r="U43" s="868">
        <f t="shared" si="29"/>
        <v>1.425</v>
      </c>
      <c r="V43" s="868">
        <f t="shared" si="30"/>
        <v>1.0250000000000001</v>
      </c>
      <c r="W43" s="829">
        <v>26</v>
      </c>
      <c r="X43" s="829">
        <v>11</v>
      </c>
      <c r="Y43" s="829">
        <v>9</v>
      </c>
      <c r="Z43" s="829">
        <v>1</v>
      </c>
      <c r="AA43" s="829">
        <v>50</v>
      </c>
      <c r="AB43" s="829">
        <v>50</v>
      </c>
      <c r="AC43" s="829"/>
      <c r="AD43" s="816" t="str">
        <f t="array" ref="AD43">IF($J43="","",IF(SUM(IF(ISNUMBER(VALUE(RIGHT($AG43:$EA43,1))),VALUE(RIGHT($AG43:$EA43,1)),0))=$J43,"T","F"))</f>
        <v>T</v>
      </c>
      <c r="AE43" s="831">
        <f t="array" ref="AE43">IF($J43="","",SUM(IF(LEFT($AG43:$EA43,1)="s",1,0))-SUM(IF(RIGHT(LEFT($AG43:$EA43,2))="-",1,0)))</f>
        <v>0</v>
      </c>
      <c r="AF43" s="816">
        <f t="array" ref="AF43">IF($J43="","",SUM(IF(LEFT($AG43:$EA43,1)="X",1,0)))</f>
        <v>11</v>
      </c>
      <c r="AG43" s="891" t="s">
        <v>32</v>
      </c>
      <c r="AH43" s="891" t="s">
        <v>32</v>
      </c>
      <c r="AI43" s="891" t="s">
        <v>34</v>
      </c>
      <c r="AJ43" s="891" t="s">
        <v>1877</v>
      </c>
      <c r="AK43" s="891" t="s">
        <v>1877</v>
      </c>
      <c r="AL43" s="891" t="s">
        <v>35</v>
      </c>
      <c r="AM43" s="891" t="s">
        <v>34</v>
      </c>
      <c r="AN43" s="891" t="s">
        <v>34</v>
      </c>
      <c r="AO43" s="891" t="s">
        <v>34</v>
      </c>
      <c r="AP43" s="891" t="s">
        <v>34</v>
      </c>
      <c r="AQ43" s="891" t="s">
        <v>32</v>
      </c>
      <c r="AR43" s="891" t="s">
        <v>32</v>
      </c>
      <c r="AS43" s="891" t="s">
        <v>2747</v>
      </c>
      <c r="AT43"/>
      <c r="AU43"/>
      <c r="AV43" s="910"/>
      <c r="AW43" s="891" t="s">
        <v>2742</v>
      </c>
      <c r="AX43" s="891" t="s">
        <v>32</v>
      </c>
      <c r="AY43" s="891" t="s">
        <v>34</v>
      </c>
      <c r="AZ43" s="891" t="s">
        <v>1877</v>
      </c>
      <c r="BA43" s="891" t="s">
        <v>36</v>
      </c>
      <c r="BB43" s="891" t="s">
        <v>32</v>
      </c>
      <c r="BC43" s="891" t="s">
        <v>36</v>
      </c>
      <c r="BD43" s="891" t="s">
        <v>35</v>
      </c>
      <c r="BE43" s="891" t="s">
        <v>36</v>
      </c>
      <c r="BF43" s="891" t="s">
        <v>34</v>
      </c>
      <c r="BG43" s="891" t="s">
        <v>1877</v>
      </c>
      <c r="BH43" s="891" t="s">
        <v>32</v>
      </c>
      <c r="BI43" s="891" t="s">
        <v>35</v>
      </c>
      <c r="BJ43" s="910"/>
      <c r="BK43" s="891"/>
      <c r="BL43" s="891"/>
      <c r="BM43" s="891" t="s">
        <v>32</v>
      </c>
      <c r="BN43" s="910"/>
      <c r="BO43" s="910"/>
      <c r="BP43" s="891"/>
      <c r="BQ43" s="891"/>
      <c r="BR43" s="891"/>
      <c r="BS43" s="891"/>
      <c r="BT43" s="891"/>
      <c r="BU43" s="891"/>
      <c r="BV43" s="891"/>
      <c r="BW43" s="891"/>
      <c r="BX43" s="891"/>
      <c r="BY43" s="891"/>
      <c r="BZ43" s="891"/>
      <c r="CA43" s="891"/>
      <c r="CB43" s="891"/>
      <c r="CC43" s="891"/>
      <c r="CD43" s="891"/>
      <c r="CE43" s="896"/>
      <c r="CF43" s="896"/>
      <c r="CG43" s="896"/>
      <c r="CH43" s="896"/>
      <c r="CI43" s="428"/>
      <c r="CJ43" s="428"/>
      <c r="CK43" s="428"/>
      <c r="CL43" s="428"/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  <c r="CR43" s="230" t="s">
        <v>32</v>
      </c>
      <c r="CS43" s="230" t="s">
        <v>32</v>
      </c>
    </row>
    <row r="44" spans="1:124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18</v>
      </c>
      <c r="G44" s="879" t="s">
        <v>887</v>
      </c>
      <c r="H44" s="879" t="s">
        <v>22</v>
      </c>
      <c r="I44" s="879" t="s">
        <v>891</v>
      </c>
      <c r="J44" s="846">
        <v>1</v>
      </c>
      <c r="K44" s="846">
        <v>0</v>
      </c>
      <c r="L44" s="816" t="str">
        <f t="shared" ref="L44:L50" si="41">IF(J44="","",IF(J44&gt;K44,"W",IF(J44=K44,"D",IF(J44&lt;K44,"L"))))</f>
        <v>W</v>
      </c>
      <c r="M44" s="816">
        <f t="shared" ref="M44:M50" si="42">IF(J44="","",J44+K44)</f>
        <v>1</v>
      </c>
      <c r="N44" s="816" t="str">
        <f t="shared" si="24"/>
        <v>U</v>
      </c>
      <c r="O44" s="816">
        <f t="shared" si="25"/>
        <v>-0.75</v>
      </c>
      <c r="P44" s="829">
        <f t="shared" si="26"/>
        <v>0.5</v>
      </c>
      <c r="Q44" s="830">
        <v>0.73</v>
      </c>
      <c r="R44" s="871">
        <f t="shared" si="27"/>
        <v>0.27</v>
      </c>
      <c r="S44" s="830">
        <v>2.85</v>
      </c>
      <c r="T44" s="871">
        <f t="shared" si="28"/>
        <v>-1.85</v>
      </c>
      <c r="U44" s="868">
        <f t="shared" si="29"/>
        <v>1.79</v>
      </c>
      <c r="V44" s="868">
        <f t="shared" si="30"/>
        <v>1.06</v>
      </c>
      <c r="W44" s="829">
        <v>14</v>
      </c>
      <c r="X44" s="829">
        <v>8</v>
      </c>
      <c r="Y44" s="829">
        <v>4</v>
      </c>
      <c r="Z44" s="829">
        <v>0</v>
      </c>
      <c r="AA44" s="829">
        <v>40</v>
      </c>
      <c r="AB44" s="829">
        <v>60</v>
      </c>
      <c r="AC44" s="829"/>
      <c r="AD44" s="816" t="str">
        <f t="array" ref="AD44">IF($J44="","",IF(SUM(IF(ISNUMBER(VALUE(RIGHT($AG44:$EA44,1))),VALUE(RIGHT($AG44:$EA44,1)),0))=$J44,"T","F"))</f>
        <v>T</v>
      </c>
      <c r="AE44" s="831">
        <f t="array" ref="AE44">IF($J44="","",SUM(IF(LEFT($AG44:$EA44,1)="s",1,0))-SUM(IF(RIGHT(LEFT($AG44:$EA44,2))="-",1,0)))</f>
        <v>0</v>
      </c>
      <c r="AF44" s="816">
        <f t="array" ref="AF44">IF($J44="","",SUM(IF(LEFT($AG44:$EA44,1)="X",1,0)))</f>
        <v>11</v>
      </c>
      <c r="AG44" s="891" t="s">
        <v>32</v>
      </c>
      <c r="AH44" s="891" t="s">
        <v>32</v>
      </c>
      <c r="AI44" s="904" t="s">
        <v>34</v>
      </c>
      <c r="AJ44" s="891" t="s">
        <v>1877</v>
      </c>
      <c r="AK44" s="891" t="s">
        <v>32</v>
      </c>
      <c r="AL44" s="891" t="s">
        <v>34</v>
      </c>
      <c r="AM44" s="891" t="s">
        <v>34</v>
      </c>
      <c r="AN44" s="891" t="s">
        <v>34</v>
      </c>
      <c r="AO44" s="891" t="s">
        <v>34</v>
      </c>
      <c r="AP44" s="891" t="s">
        <v>1877</v>
      </c>
      <c r="AQ44" s="891" t="s">
        <v>32</v>
      </c>
      <c r="AR44" s="891" t="s">
        <v>32</v>
      </c>
      <c r="AS44" s="891" t="s">
        <v>34</v>
      </c>
      <c r="AT44"/>
      <c r="AU44"/>
      <c r="AV44" s="891" t="s">
        <v>32</v>
      </c>
      <c r="AW44" s="891" t="s">
        <v>34</v>
      </c>
      <c r="AX44" s="891" t="s">
        <v>36</v>
      </c>
      <c r="AY44" s="891" t="s">
        <v>35</v>
      </c>
      <c r="AZ44" s="891" t="s">
        <v>1877</v>
      </c>
      <c r="BA44" s="891" t="s">
        <v>35</v>
      </c>
      <c r="BB44" s="891" t="s">
        <v>32</v>
      </c>
      <c r="BC44" s="891" t="s">
        <v>36</v>
      </c>
      <c r="BD44" s="891" t="s">
        <v>32</v>
      </c>
      <c r="BE44" s="891" t="s">
        <v>36</v>
      </c>
      <c r="BF44" s="904" t="s">
        <v>2802</v>
      </c>
      <c r="BG44" s="891" t="s">
        <v>1877</v>
      </c>
      <c r="BH44" s="891" t="s">
        <v>32</v>
      </c>
      <c r="BI44" s="904" t="s">
        <v>35</v>
      </c>
      <c r="BJ44" s="910"/>
      <c r="BK44" s="891"/>
      <c r="BL44" s="891"/>
      <c r="BM44" s="910"/>
      <c r="BN44" s="910"/>
      <c r="BO44" s="910"/>
      <c r="BP44" s="891"/>
      <c r="BQ44" s="891"/>
      <c r="BR44" s="891"/>
      <c r="BS44" s="891"/>
      <c r="BT44" s="891"/>
      <c r="BU44" s="891"/>
      <c r="BV44" s="891"/>
      <c r="BW44" s="891"/>
      <c r="BX44" s="891"/>
      <c r="BY44" s="891"/>
      <c r="BZ44" s="891"/>
      <c r="CA44" s="891"/>
      <c r="CB44" s="891"/>
      <c r="CC44" s="891"/>
      <c r="CD44" s="891"/>
      <c r="CE44" s="896"/>
      <c r="CF44" s="896"/>
      <c r="CG44" s="896"/>
      <c r="CH44" s="896"/>
      <c r="CI44" s="428"/>
      <c r="CJ44" s="428"/>
      <c r="CK44" s="428"/>
      <c r="CL44" s="428"/>
    </row>
    <row r="45" spans="1:124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17</v>
      </c>
      <c r="G45" s="879" t="s">
        <v>875</v>
      </c>
      <c r="H45" s="879" t="s">
        <v>22</v>
      </c>
      <c r="I45" s="879" t="s">
        <v>891</v>
      </c>
      <c r="J45" s="846">
        <v>0</v>
      </c>
      <c r="K45" s="846">
        <v>2</v>
      </c>
      <c r="L45" s="816" t="str">
        <f t="shared" si="41"/>
        <v>L</v>
      </c>
      <c r="M45" s="816">
        <f t="shared" si="42"/>
        <v>2</v>
      </c>
      <c r="N45" s="816" t="str">
        <f t="shared" si="24"/>
        <v>U</v>
      </c>
      <c r="O45" s="816">
        <f t="shared" si="25"/>
        <v>-1</v>
      </c>
      <c r="P45" s="829">
        <f t="shared" si="26"/>
        <v>-1</v>
      </c>
      <c r="Q45" s="830">
        <v>1.0900000000000001</v>
      </c>
      <c r="R45" s="871">
        <f t="shared" si="27"/>
        <v>-3.09</v>
      </c>
      <c r="S45" s="830">
        <v>2.82</v>
      </c>
      <c r="T45" s="871">
        <f t="shared" si="28"/>
        <v>-0.81999999999999984</v>
      </c>
      <c r="U45" s="868">
        <f t="shared" si="29"/>
        <v>1.9550000000000001</v>
      </c>
      <c r="V45" s="868">
        <f t="shared" si="30"/>
        <v>0.86499999999999977</v>
      </c>
      <c r="W45" s="829">
        <v>25</v>
      </c>
      <c r="X45" s="829">
        <v>12</v>
      </c>
      <c r="Y45" s="829">
        <v>5</v>
      </c>
      <c r="Z45" s="829">
        <v>6</v>
      </c>
      <c r="AA45" s="829">
        <v>59</v>
      </c>
      <c r="AB45" s="829">
        <v>41</v>
      </c>
      <c r="AC45" s="829"/>
      <c r="AD45" s="816" t="str">
        <f t="array" ref="AD45">IF($J45="","",IF(SUM(IF(ISNUMBER(VALUE(RIGHT($AG45:$EA45,1))),VALUE(RIGHT($AG45:$EA45,1)),0))=$J45,"T","F"))</f>
        <v>T</v>
      </c>
      <c r="AE45" s="831">
        <f t="array" ref="AE45">IF($J45="","",SUM(IF(LEFT($AG45:$EA45,1)="s",1,0))-SUM(IF(RIGHT(LEFT($AG45:$EA45,2))="-",1,0)))</f>
        <v>0</v>
      </c>
      <c r="AF45" s="816">
        <f t="array" ref="AF45">IF($J45="","",SUM(IF(LEFT($AG45:$EA45,1)="X",1,0)))</f>
        <v>11</v>
      </c>
      <c r="AG45" s="891" t="s">
        <v>32</v>
      </c>
      <c r="AH45" s="891" t="s">
        <v>32</v>
      </c>
      <c r="AI45" s="891" t="s">
        <v>34</v>
      </c>
      <c r="AJ45" s="891" t="s">
        <v>1877</v>
      </c>
      <c r="AK45" s="891" t="s">
        <v>32</v>
      </c>
      <c r="AL45" s="891" t="s">
        <v>34</v>
      </c>
      <c r="AM45" s="891" t="s">
        <v>35</v>
      </c>
      <c r="AN45" s="891" t="s">
        <v>34</v>
      </c>
      <c r="AO45" s="891" t="s">
        <v>34</v>
      </c>
      <c r="AP45" s="891" t="s">
        <v>1877</v>
      </c>
      <c r="AQ45" s="891" t="s">
        <v>1877</v>
      </c>
      <c r="AR45" s="891" t="s">
        <v>32</v>
      </c>
      <c r="AS45" s="891" t="s">
        <v>34</v>
      </c>
      <c r="AT45"/>
      <c r="AU45"/>
      <c r="AV45" s="891" t="s">
        <v>32</v>
      </c>
      <c r="AW45" s="891" t="s">
        <v>34</v>
      </c>
      <c r="AX45" s="891" t="s">
        <v>1877</v>
      </c>
      <c r="AY45" s="891" t="s">
        <v>34</v>
      </c>
      <c r="AZ45" s="891" t="s">
        <v>32</v>
      </c>
      <c r="BA45" s="891" t="s">
        <v>35</v>
      </c>
      <c r="BB45" s="891" t="s">
        <v>32</v>
      </c>
      <c r="BC45" s="891" t="s">
        <v>36</v>
      </c>
      <c r="BD45" s="891" t="s">
        <v>32</v>
      </c>
      <c r="BE45" s="891" t="s">
        <v>36</v>
      </c>
      <c r="BF45" s="904" t="s">
        <v>34</v>
      </c>
      <c r="BG45" s="891" t="s">
        <v>35</v>
      </c>
      <c r="BH45" s="891" t="s">
        <v>32</v>
      </c>
      <c r="BI45" s="891" t="s">
        <v>36</v>
      </c>
      <c r="BJ45" s="910"/>
      <c r="BK45" s="891"/>
      <c r="BL45" s="891"/>
      <c r="BM45" s="910"/>
      <c r="BN45" s="910"/>
      <c r="BO45" s="910"/>
      <c r="BP45" s="891"/>
      <c r="BQ45" s="891"/>
      <c r="BR45" s="891"/>
      <c r="BS45" s="891"/>
      <c r="BT45" s="891"/>
      <c r="BU45" s="891"/>
      <c r="BV45" s="891"/>
      <c r="BW45" s="891"/>
      <c r="BX45" s="891"/>
      <c r="BY45" s="891"/>
      <c r="BZ45" s="891"/>
      <c r="CA45" s="891"/>
      <c r="CB45" s="891"/>
      <c r="CC45" s="891"/>
      <c r="CD45" s="891"/>
      <c r="CE45" s="891"/>
      <c r="CF45" s="891"/>
      <c r="CG45" s="891"/>
      <c r="CH45" s="891"/>
      <c r="CI45" s="428"/>
      <c r="CJ45" s="428"/>
      <c r="CK45" s="428"/>
      <c r="CL45" s="428"/>
    </row>
    <row r="46" spans="1:124" ht="15">
      <c r="A46" s="912">
        <v>6403</v>
      </c>
      <c r="B46" s="894"/>
      <c r="C46" s="894"/>
      <c r="D46" s="894"/>
      <c r="E46" s="894"/>
      <c r="F46" s="894"/>
      <c r="G46" s="828" t="s">
        <v>2772</v>
      </c>
      <c r="H46" s="828" t="s">
        <v>2763</v>
      </c>
      <c r="I46" s="828" t="s">
        <v>2649</v>
      </c>
      <c r="J46" s="898">
        <v>1</v>
      </c>
      <c r="K46" s="898">
        <v>2</v>
      </c>
      <c r="L46" s="816" t="str">
        <f t="shared" si="41"/>
        <v>L</v>
      </c>
      <c r="M46" s="816">
        <f t="shared" si="42"/>
        <v>3</v>
      </c>
      <c r="N46" s="816" t="str">
        <f t="shared" si="24"/>
        <v>O</v>
      </c>
      <c r="O46" s="816"/>
      <c r="P46" s="829"/>
      <c r="Q46" s="830"/>
      <c r="R46" s="871" t="str">
        <f t="shared" si="27"/>
        <v/>
      </c>
      <c r="S46" s="830"/>
      <c r="T46" s="871" t="str">
        <f t="shared" si="28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IF($J46="","",IF(SUM(IF(ISNUMBER(VALUE(RIGHT($AG46:$EA46,1))),VALUE(RIGHT($AG46:$EA46,1)),0))=$J46,"T","F"))</f>
        <v>T</v>
      </c>
      <c r="AE46" s="831">
        <f t="array" ref="AE46">IF($J46="","",SUM(IF(LEFT($AG46:$EA46,1)="s",1,0))-SUM(IF(RIGHT(LEFT($AG46:$EA46,2))="-",1,0)))</f>
        <v>0</v>
      </c>
      <c r="AF46" s="816">
        <f t="array" ref="AF46">IF($J46="","",SUM(IF(LEFT($AG46:$EA46,1)="X",1,0)))</f>
        <v>11</v>
      </c>
      <c r="AG46" s="891" t="s">
        <v>32</v>
      </c>
      <c r="AH46" s="891" t="s">
        <v>32</v>
      </c>
      <c r="AI46" s="891" t="s">
        <v>34</v>
      </c>
      <c r="AJ46" s="891" t="s">
        <v>1877</v>
      </c>
      <c r="AK46" s="891" t="s">
        <v>34</v>
      </c>
      <c r="AL46" s="891" t="s">
        <v>32</v>
      </c>
      <c r="AM46" s="891" t="s">
        <v>32</v>
      </c>
      <c r="AN46" s="891" t="s">
        <v>34</v>
      </c>
      <c r="AO46" s="891" t="s">
        <v>34</v>
      </c>
      <c r="AP46" s="891" t="s">
        <v>34</v>
      </c>
      <c r="AQ46" s="891" t="s">
        <v>34</v>
      </c>
      <c r="AR46" s="891" t="s">
        <v>32</v>
      </c>
      <c r="AS46" s="891" t="s">
        <v>32</v>
      </c>
      <c r="AT46" s="891" t="s">
        <v>2865</v>
      </c>
      <c r="AU46" s="891"/>
      <c r="AV46" s="891" t="s">
        <v>32</v>
      </c>
      <c r="AW46" s="891" t="s">
        <v>2863</v>
      </c>
      <c r="AX46" s="891" t="s">
        <v>2860</v>
      </c>
      <c r="AY46" s="891" t="s">
        <v>32</v>
      </c>
      <c r="AZ46" s="891" t="s">
        <v>2860</v>
      </c>
      <c r="BA46" s="891" t="s">
        <v>2863</v>
      </c>
      <c r="BB46" s="891" t="s">
        <v>1877</v>
      </c>
      <c r="BC46" s="891" t="s">
        <v>34</v>
      </c>
      <c r="BD46" s="891" t="s">
        <v>32</v>
      </c>
      <c r="BE46" s="891" t="s">
        <v>2862</v>
      </c>
      <c r="BF46" s="891" t="s">
        <v>32</v>
      </c>
      <c r="BG46" s="891" t="s">
        <v>2860</v>
      </c>
      <c r="BH46" s="891" t="s">
        <v>1877</v>
      </c>
      <c r="BI46" s="891" t="s">
        <v>2863</v>
      </c>
      <c r="BJ46" s="910"/>
      <c r="BK46" s="891"/>
      <c r="BL46" s="891"/>
      <c r="BM46" s="910"/>
      <c r="BN46" s="910"/>
      <c r="BO46" s="910"/>
      <c r="BP46" s="891"/>
      <c r="BQ46" s="891"/>
      <c r="BR46" s="891"/>
      <c r="BS46" s="891"/>
      <c r="BT46" s="891"/>
      <c r="BU46" s="891"/>
      <c r="BV46" s="891"/>
      <c r="BW46" s="891"/>
      <c r="BX46" s="891"/>
      <c r="BY46" s="891"/>
      <c r="BZ46" s="891"/>
      <c r="CA46" s="891"/>
      <c r="CB46" s="891"/>
      <c r="CC46" s="891"/>
      <c r="CD46" s="891"/>
      <c r="CE46" s="891"/>
      <c r="CF46" s="891"/>
      <c r="CG46" s="891"/>
      <c r="CH46" s="891"/>
      <c r="CI46" s="428"/>
      <c r="CJ46" s="428"/>
      <c r="CK46" s="428"/>
      <c r="CL46" s="428"/>
    </row>
    <row r="47" spans="1:124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22</v>
      </c>
      <c r="G47" s="879" t="s">
        <v>1087</v>
      </c>
      <c r="H47" s="879" t="s">
        <v>18</v>
      </c>
      <c r="I47" s="879" t="s">
        <v>891</v>
      </c>
      <c r="J47" s="846">
        <v>3</v>
      </c>
      <c r="K47" s="908">
        <v>1</v>
      </c>
      <c r="L47" s="816" t="str">
        <f t="shared" si="41"/>
        <v>W</v>
      </c>
      <c r="M47" s="816">
        <f t="shared" si="42"/>
        <v>4</v>
      </c>
      <c r="N47" s="816" t="str">
        <f t="shared" si="24"/>
        <v>O</v>
      </c>
      <c r="O47" s="816">
        <f t="shared" si="25"/>
        <v>-0.75</v>
      </c>
      <c r="P47" s="829">
        <f t="shared" si="26"/>
        <v>1</v>
      </c>
      <c r="Q47" s="830">
        <v>0.87</v>
      </c>
      <c r="R47" s="871">
        <f t="shared" si="27"/>
        <v>1.1299999999999999</v>
      </c>
      <c r="S47" s="830">
        <v>2.7</v>
      </c>
      <c r="T47" s="871">
        <f t="shared" si="28"/>
        <v>1.2999999999999998</v>
      </c>
      <c r="U47" s="868">
        <f t="shared" si="29"/>
        <v>1.7850000000000001</v>
      </c>
      <c r="V47" s="868">
        <f t="shared" si="30"/>
        <v>0.91500000000000004</v>
      </c>
      <c r="W47" s="829">
        <v>24</v>
      </c>
      <c r="X47" s="829">
        <v>8</v>
      </c>
      <c r="Y47" s="829">
        <v>8</v>
      </c>
      <c r="Z47" s="829">
        <v>1</v>
      </c>
      <c r="AA47" s="829">
        <v>58</v>
      </c>
      <c r="AB47" s="829">
        <v>42</v>
      </c>
      <c r="AC47" s="829"/>
      <c r="AD47" s="816" t="str">
        <f t="array" ref="AD47">IF($J47="","",IF(SUM(IF(ISNUMBER(VALUE(RIGHT($AG47:$EA47,1))),VALUE(RIGHT($AG47:$EA47,1)),0))=$J47,"T","F"))</f>
        <v>T</v>
      </c>
      <c r="AE47" s="831">
        <f t="array" ref="AE47">IF($J47="","",SUM(IF(LEFT($AG47:$EA47,1)="s",1,0))-SUM(IF(RIGHT(LEFT($AG47:$EA47,2))="-",1,0)))</f>
        <v>0</v>
      </c>
      <c r="AF47" s="816">
        <f t="array" ref="AF47">IF($J47="","",SUM(IF(LEFT($AG47:$EA47,1)="X",1,0)))</f>
        <v>11</v>
      </c>
      <c r="AG47" s="891" t="s">
        <v>32</v>
      </c>
      <c r="AH47" s="891" t="s">
        <v>32</v>
      </c>
      <c r="AI47" s="891" t="s">
        <v>34</v>
      </c>
      <c r="AJ47" s="891" t="s">
        <v>1877</v>
      </c>
      <c r="AK47" s="891" t="s">
        <v>1877</v>
      </c>
      <c r="AL47" s="891" t="s">
        <v>34</v>
      </c>
      <c r="AM47" s="891" t="s">
        <v>32</v>
      </c>
      <c r="AN47" s="904" t="s">
        <v>34</v>
      </c>
      <c r="AO47" s="891" t="s">
        <v>34</v>
      </c>
      <c r="AP47" s="891" t="s">
        <v>34</v>
      </c>
      <c r="AQ47" s="891" t="s">
        <v>1877</v>
      </c>
      <c r="AR47" s="891" t="s">
        <v>32</v>
      </c>
      <c r="AS47" s="891" t="s">
        <v>2882</v>
      </c>
      <c r="AT47" s="891" t="s">
        <v>32</v>
      </c>
      <c r="AU47" s="891"/>
      <c r="AV47" s="891" t="s">
        <v>32</v>
      </c>
      <c r="AW47" s="891" t="s">
        <v>34</v>
      </c>
      <c r="AX47" s="891" t="s">
        <v>32</v>
      </c>
      <c r="AY47" s="891" t="s">
        <v>35</v>
      </c>
      <c r="AZ47" s="891" t="s">
        <v>32</v>
      </c>
      <c r="BA47" s="891" t="s">
        <v>35</v>
      </c>
      <c r="BB47" s="891" t="s">
        <v>32</v>
      </c>
      <c r="BC47" s="891" t="s">
        <v>36</v>
      </c>
      <c r="BD47" s="891" t="s">
        <v>36</v>
      </c>
      <c r="BE47" s="891" t="s">
        <v>2888</v>
      </c>
      <c r="BF47" s="891" t="s">
        <v>34</v>
      </c>
      <c r="BG47" s="891" t="s">
        <v>1877</v>
      </c>
      <c r="BH47" s="891" t="s">
        <v>32</v>
      </c>
      <c r="BI47" s="891" t="s">
        <v>2894</v>
      </c>
      <c r="BJ47" s="910"/>
      <c r="BK47" s="891"/>
      <c r="BL47" s="891"/>
      <c r="BM47" s="910"/>
      <c r="BN47" s="910"/>
      <c r="BO47" s="910"/>
      <c r="BP47" s="891"/>
      <c r="BQ47" s="891"/>
      <c r="BR47" s="891"/>
      <c r="BS47" s="891"/>
      <c r="BT47" s="891"/>
      <c r="BU47" s="891"/>
      <c r="BV47" s="891"/>
      <c r="BW47" s="891"/>
      <c r="BX47" s="891"/>
      <c r="BY47" s="891"/>
      <c r="BZ47" s="891"/>
      <c r="CA47" s="891"/>
      <c r="CB47" s="891"/>
      <c r="CC47" s="891"/>
      <c r="CD47" s="891"/>
      <c r="CE47" s="896"/>
      <c r="CF47" s="896"/>
      <c r="CG47" s="896"/>
      <c r="CH47" s="896"/>
      <c r="CI47" s="428"/>
      <c r="CJ47" s="428"/>
      <c r="CK47" s="428"/>
      <c r="CL47" s="428"/>
    </row>
    <row r="48" spans="1:124" ht="15">
      <c r="A48" s="882">
        <v>6414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7</v>
      </c>
      <c r="G48" s="879" t="s">
        <v>888</v>
      </c>
      <c r="H48" s="879" t="s">
        <v>22</v>
      </c>
      <c r="I48" s="879" t="s">
        <v>891</v>
      </c>
      <c r="J48" s="846">
        <v>0</v>
      </c>
      <c r="K48" s="846">
        <v>1</v>
      </c>
      <c r="L48" s="816" t="str">
        <f t="shared" si="41"/>
        <v>L</v>
      </c>
      <c r="M48" s="816">
        <f t="shared" si="42"/>
        <v>1</v>
      </c>
      <c r="N48" s="816" t="str">
        <f t="shared" si="24"/>
        <v>U</v>
      </c>
      <c r="O48" s="816">
        <f t="shared" si="25"/>
        <v>-0.25</v>
      </c>
      <c r="P48" s="829">
        <f t="shared" si="26"/>
        <v>-1</v>
      </c>
      <c r="Q48" s="830">
        <v>0.4</v>
      </c>
      <c r="R48" s="871">
        <f t="shared" si="27"/>
        <v>-1.4</v>
      </c>
      <c r="S48" s="830">
        <v>2.64</v>
      </c>
      <c r="T48" s="871">
        <f t="shared" si="28"/>
        <v>-1.6400000000000001</v>
      </c>
      <c r="U48" s="868">
        <f t="shared" si="29"/>
        <v>1.52</v>
      </c>
      <c r="V48" s="868">
        <f t="shared" si="30"/>
        <v>1.1200000000000001</v>
      </c>
      <c r="W48" s="829">
        <v>13</v>
      </c>
      <c r="X48" s="816">
        <v>11</v>
      </c>
      <c r="Y48" s="829">
        <v>4</v>
      </c>
      <c r="Z48" s="829">
        <v>2</v>
      </c>
      <c r="AA48" s="829">
        <v>41</v>
      </c>
      <c r="AB48" s="829">
        <v>59</v>
      </c>
      <c r="AC48" s="829"/>
      <c r="AD48" s="816" t="str">
        <f t="array" ref="AD48">IF($J48="","",IF(SUM(IF(ISNUMBER(VALUE(RIGHT($AG48:$EA48,1))),VALUE(RIGHT($AG48:$EA48,1)),0))=$J48,"T","F"))</f>
        <v>T</v>
      </c>
      <c r="AE48" s="831">
        <f t="array" ref="AE48">IF($J48="","",SUM(IF(LEFT($AG48:$EA48,1)="s",1,0))-SUM(IF(RIGHT(LEFT($AG48:$EA48,2))="-",1,0)))</f>
        <v>0</v>
      </c>
      <c r="AF48" s="816">
        <f t="array" ref="AF48">IF($J48="","",SUM(IF(LEFT($AG48:$EA48,1)="X",1,0)))</f>
        <v>11</v>
      </c>
      <c r="AG48" s="891" t="s">
        <v>32</v>
      </c>
      <c r="AH48" s="891" t="s">
        <v>32</v>
      </c>
      <c r="AI48" s="891" t="s">
        <v>34</v>
      </c>
      <c r="AJ48" s="891" t="s">
        <v>1877</v>
      </c>
      <c r="AK48" s="891" t="s">
        <v>1877</v>
      </c>
      <c r="AL48" s="891" t="s">
        <v>34</v>
      </c>
      <c r="AM48" s="891" t="s">
        <v>32</v>
      </c>
      <c r="AN48" s="891" t="s">
        <v>34</v>
      </c>
      <c r="AO48" s="891" t="s">
        <v>34</v>
      </c>
      <c r="AP48" s="891" t="s">
        <v>35</v>
      </c>
      <c r="AQ48" s="891" t="s">
        <v>1877</v>
      </c>
      <c r="AR48" s="891" t="s">
        <v>32</v>
      </c>
      <c r="AS48" s="891" t="s">
        <v>34</v>
      </c>
      <c r="AT48" s="891" t="s">
        <v>32</v>
      </c>
      <c r="AU48" s="891"/>
      <c r="AV48" s="891" t="s">
        <v>32</v>
      </c>
      <c r="AW48" s="891" t="s">
        <v>34</v>
      </c>
      <c r="AX48" s="891" t="s">
        <v>32</v>
      </c>
      <c r="AY48" s="891" t="s">
        <v>34</v>
      </c>
      <c r="AZ48" s="891" t="s">
        <v>32</v>
      </c>
      <c r="BA48" s="891" t="s">
        <v>35</v>
      </c>
      <c r="BB48" s="891" t="s">
        <v>32</v>
      </c>
      <c r="BC48" s="891" t="s">
        <v>1877</v>
      </c>
      <c r="BD48" s="891" t="s">
        <v>36</v>
      </c>
      <c r="BE48" s="891" t="s">
        <v>36</v>
      </c>
      <c r="BF48" s="891" t="s">
        <v>34</v>
      </c>
      <c r="BG48" s="891" t="s">
        <v>36</v>
      </c>
      <c r="BH48" s="891" t="s">
        <v>32</v>
      </c>
      <c r="BI48" s="891" t="s">
        <v>35</v>
      </c>
      <c r="BJ48" s="891"/>
      <c r="BK48" s="891"/>
      <c r="BL48" s="891"/>
      <c r="BM48" s="910"/>
      <c r="BN48" s="910"/>
      <c r="BO48" s="910"/>
      <c r="BP48" s="891"/>
      <c r="BQ48" s="891"/>
      <c r="BR48" s="891"/>
      <c r="BS48" s="891"/>
      <c r="BT48" s="891"/>
      <c r="BU48" s="891"/>
      <c r="BV48" s="891"/>
      <c r="BW48" s="891"/>
      <c r="BX48" s="891"/>
      <c r="BY48" s="891"/>
      <c r="BZ48" s="891"/>
      <c r="CA48" s="891"/>
      <c r="CB48" s="891"/>
      <c r="CC48" s="891"/>
      <c r="CD48" s="891"/>
      <c r="CE48" s="896"/>
      <c r="CF48" s="896"/>
      <c r="CG48" s="896"/>
      <c r="CH48" s="896"/>
      <c r="CI48" s="428"/>
      <c r="CJ48" s="428"/>
      <c r="CK48" s="428"/>
      <c r="CL48" s="428"/>
    </row>
    <row r="49" spans="1:90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11</v>
      </c>
      <c r="G49" s="879" t="s">
        <v>874</v>
      </c>
      <c r="H49" s="879" t="s">
        <v>22</v>
      </c>
      <c r="I49" s="879" t="s">
        <v>891</v>
      </c>
      <c r="J49" s="846">
        <v>2</v>
      </c>
      <c r="K49" s="846">
        <v>0</v>
      </c>
      <c r="L49" s="816" t="str">
        <f t="shared" si="41"/>
        <v>W</v>
      </c>
      <c r="M49" s="816">
        <f t="shared" si="42"/>
        <v>2</v>
      </c>
      <c r="N49" s="816" t="str">
        <f t="shared" si="24"/>
        <v>U</v>
      </c>
      <c r="O49" s="816">
        <f t="shared" si="25"/>
        <v>-0.5</v>
      </c>
      <c r="P49" s="829">
        <f t="shared" si="26"/>
        <v>1</v>
      </c>
      <c r="Q49" s="830">
        <v>0.44</v>
      </c>
      <c r="R49" s="871">
        <f t="shared" si="27"/>
        <v>1.56</v>
      </c>
      <c r="S49" s="830">
        <v>2.33</v>
      </c>
      <c r="T49" s="871">
        <f t="shared" si="28"/>
        <v>-0.33000000000000007</v>
      </c>
      <c r="U49" s="868">
        <f t="shared" si="29"/>
        <v>1.385</v>
      </c>
      <c r="V49" s="868">
        <f t="shared" si="30"/>
        <v>0.94500000000000006</v>
      </c>
      <c r="W49" s="829">
        <v>12</v>
      </c>
      <c r="X49" s="829">
        <v>13</v>
      </c>
      <c r="Y49" s="829">
        <v>5</v>
      </c>
      <c r="Z49" s="829">
        <v>2</v>
      </c>
      <c r="AA49" s="829">
        <v>49</v>
      </c>
      <c r="AB49" s="829">
        <v>51</v>
      </c>
      <c r="AC49" s="829"/>
      <c r="AD49" s="816" t="str">
        <f t="array" ref="AD49">IF($J49="","",IF(SUM(IF(ISNUMBER(VALUE(RIGHT($AG49:$EA49,1))),VALUE(RIGHT($AG49:$EA49,1)),0))=$J49,"T","F"))</f>
        <v>T</v>
      </c>
      <c r="AE49" s="831">
        <f t="array" ref="AE49">IF($J49="","",SUM(IF(LEFT($AG49:$EA49,1)="s",1,0))-SUM(IF(RIGHT(LEFT($AG49:$EA49,2))="-",1,0)))</f>
        <v>0</v>
      </c>
      <c r="AF49" s="816">
        <f t="array" ref="AF49">IF($J49="","",SUM(IF(LEFT($AG49:$EA49,1)="X",1,0)))</f>
        <v>11</v>
      </c>
      <c r="AG49" s="891" t="s">
        <v>32</v>
      </c>
      <c r="AH49" s="891" t="s">
        <v>32</v>
      </c>
      <c r="AI49" s="891" t="s">
        <v>34</v>
      </c>
      <c r="AJ49" s="891" t="s">
        <v>1877</v>
      </c>
      <c r="AK49" s="891" t="s">
        <v>32</v>
      </c>
      <c r="AL49" s="891" t="s">
        <v>34</v>
      </c>
      <c r="AM49" s="891" t="s">
        <v>32</v>
      </c>
      <c r="AN49" s="891" t="s">
        <v>34</v>
      </c>
      <c r="AO49" s="891" t="s">
        <v>34</v>
      </c>
      <c r="AP49" s="891" t="s">
        <v>1877</v>
      </c>
      <c r="AQ49" s="891" t="s">
        <v>32</v>
      </c>
      <c r="AR49" s="891" t="s">
        <v>1877</v>
      </c>
      <c r="AS49" s="891" t="s">
        <v>34</v>
      </c>
      <c r="AT49" s="891" t="s">
        <v>32</v>
      </c>
      <c r="AU49" s="891"/>
      <c r="AV49" s="891" t="s">
        <v>2950</v>
      </c>
      <c r="AW49" s="904" t="s">
        <v>34</v>
      </c>
      <c r="AX49" s="891" t="s">
        <v>32</v>
      </c>
      <c r="AY49" s="891" t="s">
        <v>35</v>
      </c>
      <c r="AZ49" s="891" t="s">
        <v>32</v>
      </c>
      <c r="BA49" s="891" t="s">
        <v>35</v>
      </c>
      <c r="BB49" s="891" t="s">
        <v>32</v>
      </c>
      <c r="BC49" s="891" t="s">
        <v>36</v>
      </c>
      <c r="BD49" s="891" t="s">
        <v>1877</v>
      </c>
      <c r="BE49" s="891" t="s">
        <v>2952</v>
      </c>
      <c r="BF49" s="891" t="s">
        <v>2951</v>
      </c>
      <c r="BG49" s="891" t="s">
        <v>32</v>
      </c>
      <c r="BH49" s="891" t="s">
        <v>32</v>
      </c>
      <c r="BI49" s="891" t="s">
        <v>35</v>
      </c>
      <c r="BJ49" s="891" t="s">
        <v>36</v>
      </c>
      <c r="BK49" s="891" t="s">
        <v>32</v>
      </c>
      <c r="BL49" s="891" t="s">
        <v>32</v>
      </c>
      <c r="BM49" s="910" t="s">
        <v>32</v>
      </c>
      <c r="BN49" s="910" t="s">
        <v>32</v>
      </c>
      <c r="BO49" s="910" t="s">
        <v>32</v>
      </c>
      <c r="BP49" s="891"/>
      <c r="BQ49" s="891"/>
      <c r="BR49" s="891"/>
      <c r="BS49" s="891"/>
      <c r="BT49" s="891"/>
      <c r="BU49" s="891"/>
      <c r="BV49" s="891"/>
      <c r="BW49" s="891"/>
      <c r="BX49" s="891"/>
      <c r="BY49" s="891"/>
      <c r="BZ49" s="891"/>
      <c r="CA49" s="891"/>
      <c r="CB49" s="891"/>
      <c r="CC49" s="891"/>
      <c r="CD49" s="891"/>
      <c r="CE49" s="896"/>
      <c r="CF49" s="896"/>
      <c r="CG49" s="896"/>
      <c r="CH49" s="896"/>
      <c r="CI49" s="428"/>
      <c r="CJ49" s="428"/>
      <c r="CK49" s="428"/>
      <c r="CL49" s="428"/>
    </row>
    <row r="50" spans="1:90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16</v>
      </c>
      <c r="G50" s="879" t="s">
        <v>872</v>
      </c>
      <c r="H50" s="879" t="s">
        <v>18</v>
      </c>
      <c r="I50" s="879" t="s">
        <v>891</v>
      </c>
      <c r="J50" s="846">
        <v>1</v>
      </c>
      <c r="K50" s="846">
        <v>0</v>
      </c>
      <c r="L50" s="816" t="str">
        <f t="shared" si="41"/>
        <v>W</v>
      </c>
      <c r="M50" s="816">
        <f t="shared" si="42"/>
        <v>1</v>
      </c>
      <c r="N50" s="816" t="str">
        <f t="shared" si="24"/>
        <v>U</v>
      </c>
      <c r="O50" s="816">
        <f t="shared" si="25"/>
        <v>-0.25</v>
      </c>
      <c r="P50" s="829">
        <f t="shared" si="26"/>
        <v>1</v>
      </c>
      <c r="Q50" s="830">
        <v>0.4</v>
      </c>
      <c r="R50" s="871">
        <f t="shared" si="27"/>
        <v>0.6</v>
      </c>
      <c r="S50" s="830">
        <v>2.5</v>
      </c>
      <c r="T50" s="871">
        <f t="shared" si="28"/>
        <v>-1.5</v>
      </c>
      <c r="U50" s="868">
        <f t="shared" si="29"/>
        <v>1.45</v>
      </c>
      <c r="V50" s="868">
        <f t="shared" si="30"/>
        <v>1.05</v>
      </c>
      <c r="W50" s="829">
        <v>17</v>
      </c>
      <c r="X50" s="829">
        <v>10</v>
      </c>
      <c r="Y50" s="829">
        <v>9</v>
      </c>
      <c r="Z50" s="829">
        <v>2</v>
      </c>
      <c r="AA50" s="829">
        <v>55</v>
      </c>
      <c r="AB50" s="829">
        <v>45</v>
      </c>
      <c r="AC50" s="829"/>
      <c r="AD50" s="816" t="str">
        <f t="array" ref="AD50">IF($J50="","",IF(SUM(IF(ISNUMBER(VALUE(RIGHT($AG50:$EA50,1))),VALUE(RIGHT($AG50:$EA50,1)),0))=$J50,"T","F"))</f>
        <v>T</v>
      </c>
      <c r="AE50" s="831">
        <f t="array" ref="AE50">IF($J50="","",SUM(IF(LEFT($AG50:$EA50,1)="s",1,0))-SUM(IF(RIGHT(LEFT($AG50:$EA50,2))="-",1,0)))</f>
        <v>0</v>
      </c>
      <c r="AF50" s="816">
        <f t="array" ref="AF50">IF($J50="","",SUM(IF(LEFT($AG50:$EA50,1)="X",1,0)))</f>
        <v>11</v>
      </c>
      <c r="AG50" s="891" t="s">
        <v>32</v>
      </c>
      <c r="AH50" s="891" t="s">
        <v>32</v>
      </c>
      <c r="AI50" s="891" t="s">
        <v>34</v>
      </c>
      <c r="AJ50" s="891" t="s">
        <v>1877</v>
      </c>
      <c r="AK50" s="891" t="s">
        <v>32</v>
      </c>
      <c r="AL50" s="891" t="s">
        <v>34</v>
      </c>
      <c r="AM50" s="891" t="s">
        <v>32</v>
      </c>
      <c r="AN50" s="891" t="s">
        <v>34</v>
      </c>
      <c r="AO50" s="891" t="s">
        <v>34</v>
      </c>
      <c r="AP50" s="891" t="s">
        <v>1877</v>
      </c>
      <c r="AQ50" s="891" t="s">
        <v>32</v>
      </c>
      <c r="AR50" s="891" t="s">
        <v>1877</v>
      </c>
      <c r="AS50" s="891" t="s">
        <v>34</v>
      </c>
      <c r="AT50" s="891" t="s">
        <v>32</v>
      </c>
      <c r="AU50" s="891"/>
      <c r="AV50" s="891" t="s">
        <v>3012</v>
      </c>
      <c r="AW50" s="891" t="s">
        <v>35</v>
      </c>
      <c r="AX50" s="891" t="s">
        <v>32</v>
      </c>
      <c r="AY50" s="891" t="s">
        <v>34</v>
      </c>
      <c r="AZ50" s="891" t="s">
        <v>32</v>
      </c>
      <c r="BA50" s="904" t="s">
        <v>35</v>
      </c>
      <c r="BB50" s="891" t="s">
        <v>32</v>
      </c>
      <c r="BC50" s="891" t="s">
        <v>1877</v>
      </c>
      <c r="BD50" s="891" t="s">
        <v>36</v>
      </c>
      <c r="BE50" s="891" t="s">
        <v>36</v>
      </c>
      <c r="BF50" s="891" t="s">
        <v>3013</v>
      </c>
      <c r="BG50" s="891" t="s">
        <v>32</v>
      </c>
      <c r="BH50" s="891" t="s">
        <v>32</v>
      </c>
      <c r="BI50" s="891" t="s">
        <v>35</v>
      </c>
      <c r="BJ50" s="904" t="s">
        <v>36</v>
      </c>
      <c r="BK50" s="891" t="s">
        <v>32</v>
      </c>
      <c r="BL50" s="891" t="s">
        <v>32</v>
      </c>
      <c r="BM50" s="910" t="s">
        <v>32</v>
      </c>
      <c r="BN50" s="910" t="s">
        <v>32</v>
      </c>
      <c r="BO50" s="910" t="s">
        <v>32</v>
      </c>
      <c r="BP50" s="891"/>
      <c r="BQ50" s="891"/>
      <c r="BR50" s="891"/>
      <c r="BS50" s="891"/>
      <c r="BT50" s="891"/>
      <c r="BU50" s="891"/>
      <c r="BV50" s="891"/>
      <c r="BW50" s="891"/>
      <c r="BX50" s="891"/>
      <c r="BY50" s="891"/>
      <c r="BZ50" s="891"/>
      <c r="CA50" s="891"/>
      <c r="CB50" s="891"/>
      <c r="CC50" s="891"/>
      <c r="CD50" s="891"/>
      <c r="CE50" s="896"/>
      <c r="CF50" s="896"/>
      <c r="CG50" s="896"/>
      <c r="CH50" s="896"/>
      <c r="CI50" s="428"/>
      <c r="CJ50" s="428"/>
      <c r="CK50" s="428"/>
      <c r="CL50" s="428"/>
    </row>
    <row r="51" spans="1:90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12</v>
      </c>
      <c r="G51" s="879" t="s">
        <v>879</v>
      </c>
      <c r="H51" s="879" t="s">
        <v>18</v>
      </c>
      <c r="I51" s="879" t="s">
        <v>891</v>
      </c>
      <c r="J51" s="846">
        <v>1</v>
      </c>
      <c r="K51" s="846">
        <v>0</v>
      </c>
      <c r="L51" s="816" t="str">
        <f t="shared" si="31"/>
        <v>W</v>
      </c>
      <c r="M51" s="816">
        <f t="shared" si="32"/>
        <v>1</v>
      </c>
      <c r="N51" s="816" t="str">
        <f t="shared" si="24"/>
        <v>U</v>
      </c>
      <c r="O51" s="816">
        <f t="shared" si="25"/>
        <v>-0.5</v>
      </c>
      <c r="P51" s="829">
        <f t="shared" si="26"/>
        <v>1</v>
      </c>
      <c r="Q51" s="830">
        <v>0.43</v>
      </c>
      <c r="R51" s="871">
        <f t="shared" si="27"/>
        <v>0.57000000000000006</v>
      </c>
      <c r="S51" s="830">
        <v>2.4500000000000002</v>
      </c>
      <c r="T51" s="871">
        <f t="shared" si="28"/>
        <v>-1.4500000000000002</v>
      </c>
      <c r="U51" s="868">
        <f t="shared" si="29"/>
        <v>1.4400000000000002</v>
      </c>
      <c r="V51" s="868">
        <f t="shared" si="30"/>
        <v>1.01</v>
      </c>
      <c r="W51" s="829">
        <v>16</v>
      </c>
      <c r="X51" s="829">
        <v>8</v>
      </c>
      <c r="Y51" s="829">
        <v>2</v>
      </c>
      <c r="Z51" s="829">
        <v>1</v>
      </c>
      <c r="AA51" s="829">
        <v>54</v>
      </c>
      <c r="AB51" s="829">
        <v>46</v>
      </c>
      <c r="AC51" s="829"/>
      <c r="AD51" s="816" t="str">
        <f t="array" ref="AD51">IF($J51="","",IF(SUM(IF(ISNUMBER(VALUE(RIGHT($AG51:$EA51,1))),VALUE(RIGHT($AG51:$EA51,1)),0))=$J51,"T","F"))</f>
        <v>T</v>
      </c>
      <c r="AE51" s="831">
        <f t="array" ref="AE51">IF($J51="","",SUM(IF(LEFT($AG51:$EA51,1)="s",1,0))-SUM(IF(RIGHT(LEFT($AG51:$EA51,2))="-",1,0)))</f>
        <v>0</v>
      </c>
      <c r="AF51" s="816">
        <f t="array" ref="AF51">IF($J51="","",SUM(IF(LEFT($AG51:$EA51,1)="X",1,0)))</f>
        <v>11</v>
      </c>
      <c r="AG51" s="891"/>
      <c r="AH51" s="891"/>
      <c r="AI51" s="891" t="s">
        <v>3061</v>
      </c>
      <c r="AJ51" s="891" t="s">
        <v>3060</v>
      </c>
      <c r="AK51" s="891"/>
      <c r="AL51" s="891" t="s">
        <v>3061</v>
      </c>
      <c r="AM51" s="891"/>
      <c r="AN51" s="891" t="s">
        <v>3061</v>
      </c>
      <c r="AO51" s="891" t="s">
        <v>3061</v>
      </c>
      <c r="AP51" s="891" t="s">
        <v>3060</v>
      </c>
      <c r="AQ51" s="891"/>
      <c r="AR51" s="891" t="s">
        <v>3060</v>
      </c>
      <c r="AS51" s="891" t="s">
        <v>3061</v>
      </c>
      <c r="AT51" s="891"/>
      <c r="AU51" s="891"/>
      <c r="AV51" s="891" t="s">
        <v>3061</v>
      </c>
      <c r="AW51" s="891" t="s">
        <v>3061</v>
      </c>
      <c r="AX51" s="891"/>
      <c r="AY51" s="891" t="s">
        <v>3061</v>
      </c>
      <c r="AZ51" s="891"/>
      <c r="BA51" s="891" t="s">
        <v>3061</v>
      </c>
      <c r="BB51" s="891"/>
      <c r="BC51" s="891" t="s">
        <v>3060</v>
      </c>
      <c r="BD51" s="891" t="s">
        <v>3060</v>
      </c>
      <c r="BE51" s="891" t="s">
        <v>3060</v>
      </c>
      <c r="BF51" s="904" t="s">
        <v>1879</v>
      </c>
      <c r="BG51" s="891"/>
      <c r="BH51" s="891"/>
      <c r="BI51" s="904" t="s">
        <v>3061</v>
      </c>
      <c r="BJ51" s="891" t="s">
        <v>3060</v>
      </c>
      <c r="BK51" s="891"/>
      <c r="BL51" s="891"/>
      <c r="BM51" s="910"/>
      <c r="BN51" s="910"/>
      <c r="BO51" s="910"/>
      <c r="BP51" s="891"/>
      <c r="BQ51" s="891"/>
      <c r="BR51" s="891"/>
      <c r="BS51" s="891"/>
      <c r="BT51" s="891"/>
      <c r="BU51" s="891"/>
      <c r="BV51" s="891"/>
      <c r="BW51" s="891"/>
      <c r="BX51" s="891"/>
      <c r="BY51" s="891"/>
      <c r="BZ51" s="891"/>
      <c r="CA51" s="891"/>
      <c r="CB51" s="891"/>
      <c r="CC51" s="891"/>
      <c r="CD51" s="891"/>
      <c r="CE51" s="896"/>
      <c r="CF51" s="896"/>
      <c r="CG51" s="896"/>
      <c r="CH51" s="896"/>
      <c r="CI51" s="428"/>
      <c r="CJ51" s="428"/>
      <c r="CK51" s="428"/>
      <c r="CL51" s="428"/>
    </row>
    <row r="52" spans="1:90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2</v>
      </c>
      <c r="G52" s="879" t="s">
        <v>886</v>
      </c>
      <c r="H52" s="879" t="s">
        <v>22</v>
      </c>
      <c r="I52" s="879" t="s">
        <v>891</v>
      </c>
      <c r="J52" s="846">
        <v>0</v>
      </c>
      <c r="K52" s="846">
        <v>1</v>
      </c>
      <c r="L52" s="816" t="str">
        <f t="shared" si="31"/>
        <v>L</v>
      </c>
      <c r="M52" s="816">
        <f t="shared" si="32"/>
        <v>1</v>
      </c>
      <c r="N52" s="816" t="str">
        <f t="shared" si="24"/>
        <v>U</v>
      </c>
      <c r="O52" s="816">
        <f t="shared" si="25"/>
        <v>-0.5</v>
      </c>
      <c r="P52" s="829">
        <f t="shared" si="26"/>
        <v>-1</v>
      </c>
      <c r="Q52" s="830">
        <v>0.7</v>
      </c>
      <c r="R52" s="871">
        <f t="shared" si="27"/>
        <v>-1.7</v>
      </c>
      <c r="S52" s="830">
        <v>2.2000000000000002</v>
      </c>
      <c r="T52" s="871">
        <f t="shared" si="28"/>
        <v>-1.2000000000000002</v>
      </c>
      <c r="U52" s="868">
        <f t="shared" si="29"/>
        <v>1.4500000000000002</v>
      </c>
      <c r="V52" s="868">
        <f t="shared" si="30"/>
        <v>0.75</v>
      </c>
      <c r="W52" s="829">
        <v>19</v>
      </c>
      <c r="X52" s="829">
        <v>7</v>
      </c>
      <c r="Y52" s="829">
        <v>3</v>
      </c>
      <c r="Z52" s="829">
        <v>0</v>
      </c>
      <c r="AA52" s="829">
        <v>63</v>
      </c>
      <c r="AB52" s="829">
        <v>37</v>
      </c>
      <c r="AC52" s="829"/>
      <c r="AD52" s="816" t="str">
        <f t="array" ref="AD52">IF($J52="","",IF(SUM(IF(ISNUMBER(VALUE(RIGHT($AG52:$EA52,1))),VALUE(RIGHT($AG52:$EA52,1)),0))=$J52,"T","F"))</f>
        <v>T</v>
      </c>
      <c r="AE52" s="831">
        <f t="array" ref="AE52">IF($J52="","",SUM(IF(LEFT($AG52:$EA52,1)="s",1,0))-SUM(IF(RIGHT(LEFT($AG52:$EA52,2))="-",1,0)))</f>
        <v>0</v>
      </c>
      <c r="AF52" s="816">
        <f t="array" ref="AF52">IF($J52="","",SUM(IF(LEFT($AG52:$EA52,1)="X",1,0)))</f>
        <v>11</v>
      </c>
      <c r="AG52" s="891"/>
      <c r="AH52" s="891" t="s">
        <v>1877</v>
      </c>
      <c r="AI52" s="891" t="s">
        <v>34</v>
      </c>
      <c r="AJ52" s="891" t="s">
        <v>32</v>
      </c>
      <c r="AK52" s="891" t="s">
        <v>32</v>
      </c>
      <c r="AL52" s="891" t="s">
        <v>34</v>
      </c>
      <c r="AM52" s="891" t="s">
        <v>32</v>
      </c>
      <c r="AN52" s="891" t="s">
        <v>34</v>
      </c>
      <c r="AO52" s="891" t="s">
        <v>34</v>
      </c>
      <c r="AP52" s="891" t="s">
        <v>1877</v>
      </c>
      <c r="AQ52" s="891" t="s">
        <v>32</v>
      </c>
      <c r="AR52" s="891" t="s">
        <v>1877</v>
      </c>
      <c r="AS52" s="891" t="s">
        <v>34</v>
      </c>
      <c r="AT52" s="891" t="s">
        <v>32</v>
      </c>
      <c r="AU52" s="891"/>
      <c r="AV52" s="891" t="s">
        <v>34</v>
      </c>
      <c r="AW52" s="891" t="s">
        <v>34</v>
      </c>
      <c r="AX52" s="891" t="s">
        <v>32</v>
      </c>
      <c r="AY52" s="904" t="s">
        <v>35</v>
      </c>
      <c r="AZ52" s="891" t="s">
        <v>32</v>
      </c>
      <c r="BA52" s="891" t="s">
        <v>1877</v>
      </c>
      <c r="BB52" s="891" t="s">
        <v>32</v>
      </c>
      <c r="BC52" s="891" t="s">
        <v>36</v>
      </c>
      <c r="BD52" s="891" t="s">
        <v>36</v>
      </c>
      <c r="BE52" s="891" t="s">
        <v>35</v>
      </c>
      <c r="BF52" s="904" t="s">
        <v>34</v>
      </c>
      <c r="BG52" s="891" t="s">
        <v>32</v>
      </c>
      <c r="BH52" s="891" t="s">
        <v>32</v>
      </c>
      <c r="BI52" s="891" t="s">
        <v>35</v>
      </c>
      <c r="BJ52" s="891" t="s">
        <v>36</v>
      </c>
      <c r="BK52" s="891"/>
      <c r="BL52" s="891"/>
      <c r="BM52" s="910"/>
      <c r="BN52" s="910"/>
      <c r="BO52" s="910"/>
      <c r="BP52" s="891"/>
      <c r="BQ52" s="891"/>
      <c r="BR52" s="891"/>
      <c r="BS52" s="891"/>
      <c r="BT52" s="891"/>
      <c r="BU52" s="891"/>
      <c r="BV52" s="891"/>
      <c r="BW52" s="891"/>
      <c r="BX52" s="891"/>
      <c r="BY52" s="891"/>
      <c r="BZ52" s="891"/>
      <c r="CA52" s="891"/>
      <c r="CB52" s="891"/>
      <c r="CC52" s="891"/>
      <c r="CD52" s="891"/>
      <c r="CE52" s="896"/>
      <c r="CF52" s="896"/>
      <c r="CG52" s="896"/>
      <c r="CH52" s="896"/>
      <c r="CI52" s="428"/>
      <c r="CJ52" s="428"/>
      <c r="CK52" s="428"/>
      <c r="CL52" s="428"/>
    </row>
    <row r="53" spans="1:90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3</v>
      </c>
      <c r="G53" s="879" t="s">
        <v>1085</v>
      </c>
      <c r="H53" s="879" t="s">
        <v>18</v>
      </c>
      <c r="I53" s="879" t="s">
        <v>891</v>
      </c>
      <c r="J53" s="846">
        <v>1</v>
      </c>
      <c r="K53" s="846">
        <v>3</v>
      </c>
      <c r="L53" s="816" t="str">
        <f t="shared" si="31"/>
        <v>L</v>
      </c>
      <c r="M53" s="816">
        <f t="shared" si="32"/>
        <v>4</v>
      </c>
      <c r="N53" s="816" t="str">
        <f t="shared" si="24"/>
        <v>O</v>
      </c>
      <c r="O53" s="816">
        <f t="shared" si="25"/>
        <v>0</v>
      </c>
      <c r="P53" s="829">
        <f t="shared" si="26"/>
        <v>-1</v>
      </c>
      <c r="Q53" s="830">
        <v>-0.03</v>
      </c>
      <c r="R53" s="871">
        <f t="shared" si="27"/>
        <v>-1.97</v>
      </c>
      <c r="S53" s="830">
        <v>2.7</v>
      </c>
      <c r="T53" s="871">
        <f t="shared" si="28"/>
        <v>1.2999999999999998</v>
      </c>
      <c r="U53" s="868">
        <f t="shared" si="29"/>
        <v>1.3350000000000002</v>
      </c>
      <c r="V53" s="868">
        <f t="shared" si="30"/>
        <v>1.365</v>
      </c>
      <c r="W53" s="829">
        <v>7</v>
      </c>
      <c r="X53" s="829">
        <v>18</v>
      </c>
      <c r="Y53" s="829">
        <v>4</v>
      </c>
      <c r="Z53" s="829">
        <v>7</v>
      </c>
      <c r="AA53" s="829">
        <v>41</v>
      </c>
      <c r="AB53" s="829">
        <v>59</v>
      </c>
      <c r="AC53" s="829"/>
      <c r="AD53" s="816" t="str">
        <f t="array" ref="AD53">IF($J53="","",IF(SUM(IF(ISNUMBER(VALUE(RIGHT($AG53:$EA53,1))),VALUE(RIGHT($AG53:$EA53,1)),0))=$J53,"T","F"))</f>
        <v>T</v>
      </c>
      <c r="AE53" s="831">
        <f t="array" ref="AE53">IF($J53="","",SUM(IF(LEFT($AG53:$EA53,1)="s",1,0))-SUM(IF(RIGHT(LEFT($AG53:$EA53,2))="-",1,0)))</f>
        <v>0</v>
      </c>
      <c r="AF53" s="816">
        <f t="array" ref="AF53">IF($J53="","",SUM(IF(LEFT($AG53:$EA53,1)="X",1,0)))</f>
        <v>11</v>
      </c>
      <c r="AG53" s="891" t="s">
        <v>32</v>
      </c>
      <c r="AH53" s="891" t="s">
        <v>1877</v>
      </c>
      <c r="AI53" s="891" t="s">
        <v>34</v>
      </c>
      <c r="AJ53" s="891" t="s">
        <v>32</v>
      </c>
      <c r="AK53" s="891" t="s">
        <v>32</v>
      </c>
      <c r="AL53" s="891" t="s">
        <v>34</v>
      </c>
      <c r="AM53" s="891" t="s">
        <v>32</v>
      </c>
      <c r="AN53" s="891" t="s">
        <v>34</v>
      </c>
      <c r="AO53" s="891" t="s">
        <v>34</v>
      </c>
      <c r="AP53" s="891" t="s">
        <v>1877</v>
      </c>
      <c r="AQ53" s="891" t="s">
        <v>32</v>
      </c>
      <c r="AR53" s="891" t="s">
        <v>1877</v>
      </c>
      <c r="AS53" s="891" t="s">
        <v>34</v>
      </c>
      <c r="AT53" s="891" t="s">
        <v>32</v>
      </c>
      <c r="AU53" s="891"/>
      <c r="AV53" s="891" t="s">
        <v>34</v>
      </c>
      <c r="AW53" s="891" t="s">
        <v>3116</v>
      </c>
      <c r="AX53" s="891" t="s">
        <v>1877</v>
      </c>
      <c r="AY53" s="891" t="s">
        <v>35</v>
      </c>
      <c r="AZ53" s="891" t="s">
        <v>32</v>
      </c>
      <c r="BA53" s="891" t="s">
        <v>35</v>
      </c>
      <c r="BB53" s="891" t="s">
        <v>32</v>
      </c>
      <c r="BC53" s="891" t="s">
        <v>36</v>
      </c>
      <c r="BD53" s="891" t="s">
        <v>36</v>
      </c>
      <c r="BE53" s="891" t="s">
        <v>36</v>
      </c>
      <c r="BF53" s="891" t="s">
        <v>3117</v>
      </c>
      <c r="BG53" s="891" t="s">
        <v>32</v>
      </c>
      <c r="BH53" s="891" t="s">
        <v>32</v>
      </c>
      <c r="BI53" s="891" t="s">
        <v>35</v>
      </c>
      <c r="BJ53" s="891" t="s">
        <v>34</v>
      </c>
      <c r="BK53" s="891" t="s">
        <v>32</v>
      </c>
      <c r="BL53" s="891" t="s">
        <v>32</v>
      </c>
      <c r="BM53" s="910" t="s">
        <v>32</v>
      </c>
      <c r="BN53" s="910" t="s">
        <v>32</v>
      </c>
      <c r="BO53" s="910" t="s">
        <v>32</v>
      </c>
      <c r="BP53" s="891"/>
      <c r="BQ53" s="891"/>
      <c r="BR53" s="891"/>
      <c r="BS53" s="891"/>
      <c r="BT53" s="891"/>
      <c r="BU53" s="891"/>
      <c r="BV53" s="891"/>
      <c r="BW53" s="891"/>
      <c r="BX53" s="891"/>
      <c r="BY53" s="891"/>
      <c r="BZ53" s="891"/>
      <c r="CA53" s="891"/>
      <c r="CB53" s="891"/>
      <c r="CC53" s="891"/>
      <c r="CD53" s="891"/>
      <c r="CE53" s="896"/>
      <c r="CF53" s="896"/>
      <c r="CG53" s="896"/>
      <c r="CH53" s="896"/>
      <c r="CI53" s="428"/>
      <c r="CJ53" s="428"/>
      <c r="CK53" s="428"/>
      <c r="CL53" s="428"/>
    </row>
    <row r="54" spans="1:90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14</v>
      </c>
      <c r="G54" s="879" t="s">
        <v>873</v>
      </c>
      <c r="H54" s="879" t="s">
        <v>22</v>
      </c>
      <c r="I54" s="879" t="s">
        <v>891</v>
      </c>
      <c r="J54" s="846">
        <v>0</v>
      </c>
      <c r="K54" s="846">
        <v>0</v>
      </c>
      <c r="L54" s="816" t="str">
        <f t="shared" si="31"/>
        <v>D</v>
      </c>
      <c r="M54" s="816">
        <f t="shared" si="32"/>
        <v>0</v>
      </c>
      <c r="N54" s="816" t="str">
        <f t="shared" si="24"/>
        <v>U</v>
      </c>
      <c r="O54" s="816">
        <f t="shared" si="25"/>
        <v>-0.5</v>
      </c>
      <c r="P54" s="829">
        <f t="shared" si="26"/>
        <v>-1</v>
      </c>
      <c r="Q54" s="830">
        <v>0.67</v>
      </c>
      <c r="R54" s="871">
        <f t="shared" si="27"/>
        <v>-0.67</v>
      </c>
      <c r="S54" s="830">
        <v>2.34</v>
      </c>
      <c r="T54" s="871">
        <f t="shared" si="28"/>
        <v>-2.34</v>
      </c>
      <c r="U54" s="868">
        <f t="shared" si="29"/>
        <v>1.5049999999999999</v>
      </c>
      <c r="V54" s="868">
        <f t="shared" si="30"/>
        <v>0.83499999999999996</v>
      </c>
      <c r="W54" s="829">
        <v>19</v>
      </c>
      <c r="X54" s="829">
        <v>10</v>
      </c>
      <c r="Y54" s="829">
        <v>2</v>
      </c>
      <c r="Z54" s="829">
        <v>4</v>
      </c>
      <c r="AA54" s="829">
        <v>55</v>
      </c>
      <c r="AB54" s="829">
        <v>45</v>
      </c>
      <c r="AC54" s="829"/>
      <c r="AD54" s="816" t="str">
        <f t="array" ref="AD54">IF($J54="","",IF(SUM(IF(ISNUMBER(VALUE(RIGHT($AG54:$EA54,1))),VALUE(RIGHT($AG54:$EA54,1)),0))=$J54,"T","F"))</f>
        <v>T</v>
      </c>
      <c r="AE54" s="831">
        <f t="array" ref="AE54">IF($J54="","",SUM(IF(LEFT($AG54:$EA54,1)="s",1,0))-SUM(IF(RIGHT(LEFT($AG54:$EA54,2))="-",1,0)))</f>
        <v>0</v>
      </c>
      <c r="AF54" s="816">
        <f t="array" ref="AF54">IF($J54="","",SUM(IF(LEFT($AG54:$EA54,1)="X",1,0)))</f>
        <v>11</v>
      </c>
      <c r="AG54" s="891" t="s">
        <v>32</v>
      </c>
      <c r="AH54" s="891" t="s">
        <v>34</v>
      </c>
      <c r="AI54" s="891" t="s">
        <v>1877</v>
      </c>
      <c r="AJ54" s="891" t="s">
        <v>32</v>
      </c>
      <c r="AK54" s="891" t="s">
        <v>32</v>
      </c>
      <c r="AL54" s="891" t="s">
        <v>34</v>
      </c>
      <c r="AM54" s="891" t="s">
        <v>32</v>
      </c>
      <c r="AN54" s="891" t="s">
        <v>34</v>
      </c>
      <c r="AO54" s="891" t="s">
        <v>34</v>
      </c>
      <c r="AP54" s="891" t="s">
        <v>1877</v>
      </c>
      <c r="AQ54" s="891" t="s">
        <v>32</v>
      </c>
      <c r="AR54" s="891" t="s">
        <v>1877</v>
      </c>
      <c r="AS54" s="891" t="s">
        <v>34</v>
      </c>
      <c r="AT54" s="891" t="s">
        <v>32</v>
      </c>
      <c r="AU54" s="891"/>
      <c r="AV54" s="904" t="s">
        <v>34</v>
      </c>
      <c r="AW54" s="904" t="s">
        <v>35</v>
      </c>
      <c r="AX54" s="891" t="s">
        <v>1877</v>
      </c>
      <c r="AY54" s="891" t="s">
        <v>34</v>
      </c>
      <c r="AZ54" s="891" t="s">
        <v>32</v>
      </c>
      <c r="BA54" s="891" t="s">
        <v>35</v>
      </c>
      <c r="BB54" s="891" t="s">
        <v>32</v>
      </c>
      <c r="BC54" s="891" t="s">
        <v>36</v>
      </c>
      <c r="BD54" s="891" t="s">
        <v>36</v>
      </c>
      <c r="BE54" s="891" t="s">
        <v>36</v>
      </c>
      <c r="BF54" s="891" t="s">
        <v>3149</v>
      </c>
      <c r="BG54" s="891" t="s">
        <v>32</v>
      </c>
      <c r="BH54" s="891" t="s">
        <v>32</v>
      </c>
      <c r="BI54" s="891" t="s">
        <v>35</v>
      </c>
      <c r="BJ54" s="891" t="s">
        <v>34</v>
      </c>
      <c r="BK54" s="891"/>
      <c r="BL54" s="891"/>
      <c r="BM54" s="910"/>
      <c r="BN54" s="910"/>
      <c r="BO54" s="910"/>
      <c r="BP54" s="891"/>
      <c r="BQ54" s="891"/>
      <c r="BR54" s="891"/>
      <c r="BS54" s="891"/>
      <c r="BT54" s="891"/>
      <c r="BU54" s="891"/>
      <c r="BV54" s="891"/>
      <c r="BW54" s="891"/>
      <c r="BX54" s="891"/>
      <c r="BY54" s="891"/>
      <c r="BZ54" s="891"/>
      <c r="CA54" s="891"/>
      <c r="CB54" s="891"/>
      <c r="CC54" s="891"/>
      <c r="CD54" s="891"/>
      <c r="CE54" s="896"/>
      <c r="CF54" s="896"/>
      <c r="CG54" s="896"/>
      <c r="CH54" s="896"/>
      <c r="CI54" s="428"/>
      <c r="CJ54" s="428"/>
      <c r="CK54" s="428"/>
      <c r="CL54" s="428"/>
    </row>
    <row r="55" spans="1:90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19</v>
      </c>
      <c r="G55" s="879" t="s">
        <v>885</v>
      </c>
      <c r="H55" s="879" t="s">
        <v>18</v>
      </c>
      <c r="I55" s="879" t="s">
        <v>891</v>
      </c>
      <c r="J55" s="846">
        <v>2</v>
      </c>
      <c r="K55" s="846">
        <v>2</v>
      </c>
      <c r="L55" s="816" t="str">
        <f t="shared" si="31"/>
        <v>D</v>
      </c>
      <c r="M55" s="816">
        <f t="shared" si="32"/>
        <v>4</v>
      </c>
      <c r="N55" s="816" t="str">
        <f t="shared" si="24"/>
        <v>O</v>
      </c>
      <c r="O55" s="816">
        <f t="shared" ref="O55" si="43">IF(Q55="","",IF(SIGN(Q55)&lt;&gt;1,VLOOKUP(ABS(Q55),SUP_HDC,3,TRUE),-VLOOKUP(ABS(Q55),SUP_HDC,3,TRUE)))</f>
        <v>-0.5</v>
      </c>
      <c r="P55" s="829">
        <f t="shared" ref="P55" si="44">IF(O55="","",IF((J55-K55+O55)&gt;=0.5,1,IF((J55-K55+O55)=0.25,0.5,IF((J55-K55+O55)&lt;=-0.5,-1,IF((J55-K55+O55)=-0.25,-0.5,0)))))</f>
        <v>-1</v>
      </c>
      <c r="Q55" s="830">
        <v>0.7</v>
      </c>
      <c r="R55" s="871">
        <f t="shared" ref="R55" si="45">IF(ISBLANK(Q55),"",J55-K55-Q55)</f>
        <v>-0.7</v>
      </c>
      <c r="S55" s="830">
        <v>2.4300000000000002</v>
      </c>
      <c r="T55" s="871">
        <f t="shared" ref="T55" si="46">IF(ISBLANK(S55),"",J55+K55-S55)</f>
        <v>1.5699999999999998</v>
      </c>
      <c r="U55" s="868">
        <f t="shared" ref="U55" si="47">IF(Q55="","",(Q55+S55)/2)</f>
        <v>1.5649999999999999</v>
      </c>
      <c r="V55" s="868">
        <f t="shared" ref="V55" si="48">IF(Q55="","",S55-U55)</f>
        <v>0.86500000000000021</v>
      </c>
      <c r="W55" s="829">
        <v>15</v>
      </c>
      <c r="X55" s="829">
        <v>12</v>
      </c>
      <c r="Y55" s="829">
        <v>6</v>
      </c>
      <c r="Z55" s="829">
        <v>5</v>
      </c>
      <c r="AA55" s="829">
        <v>45</v>
      </c>
      <c r="AB55" s="829">
        <v>55</v>
      </c>
      <c r="AC55" s="829"/>
      <c r="AD55" s="816" t="str">
        <f t="array" ref="AD55">IF($J55="","",IF(SUM(IF(ISNUMBER(VALUE(RIGHT($AG55:$EA55,1))),VALUE(RIGHT($AG55:$EA55,1)),0))=$J55,"T","F"))</f>
        <v>T</v>
      </c>
      <c r="AE55" s="831">
        <f t="array" ref="AE55">IF($J55="","",SUM(IF(LEFT($AG55:$EA55,1)="s",1,0))-SUM(IF(RIGHT(LEFT($AG55:$EA55,2))="-",1,0)))</f>
        <v>0</v>
      </c>
      <c r="AF55" s="816">
        <f t="array" ref="AF55">IF($J55="","",SUM(IF(LEFT($AG55:$EA55,1)="X",1,0)))</f>
        <v>11</v>
      </c>
      <c r="AG55" s="891"/>
      <c r="AH55" s="891" t="s">
        <v>34</v>
      </c>
      <c r="AI55" s="891" t="s">
        <v>1877</v>
      </c>
      <c r="AJ55" s="891" t="s">
        <v>32</v>
      </c>
      <c r="AK55" s="891" t="s">
        <v>32</v>
      </c>
      <c r="AL55" s="891" t="s">
        <v>34</v>
      </c>
      <c r="AM55" s="891" t="s">
        <v>32</v>
      </c>
      <c r="AN55" s="891" t="s">
        <v>34</v>
      </c>
      <c r="AO55" s="891" t="s">
        <v>34</v>
      </c>
      <c r="AP55" s="891" t="s">
        <v>1877</v>
      </c>
      <c r="AQ55" s="891" t="s">
        <v>32</v>
      </c>
      <c r="AR55" s="891" t="s">
        <v>32</v>
      </c>
      <c r="AS55" s="891" t="s">
        <v>34</v>
      </c>
      <c r="AT55" s="891" t="s">
        <v>32</v>
      </c>
      <c r="AU55" s="891" t="s">
        <v>3197</v>
      </c>
      <c r="AV55" s="891" t="s">
        <v>34</v>
      </c>
      <c r="AW55" s="891" t="s">
        <v>3196</v>
      </c>
      <c r="AX55" s="891" t="s">
        <v>32</v>
      </c>
      <c r="AY55" s="891" t="s">
        <v>3191</v>
      </c>
      <c r="AZ55" s="891" t="s">
        <v>32</v>
      </c>
      <c r="BA55" s="891" t="s">
        <v>3197</v>
      </c>
      <c r="BB55" s="891" t="s">
        <v>32</v>
      </c>
      <c r="BC55" s="891" t="s">
        <v>1877</v>
      </c>
      <c r="BD55" s="891" t="s">
        <v>3197</v>
      </c>
      <c r="BE55" s="891" t="s">
        <v>1877</v>
      </c>
      <c r="BF55" s="891" t="s">
        <v>34</v>
      </c>
      <c r="BG55" s="891" t="s">
        <v>32</v>
      </c>
      <c r="BH55" s="891" t="s">
        <v>32</v>
      </c>
      <c r="BI55" s="891" t="s">
        <v>3198</v>
      </c>
      <c r="BJ55" s="891" t="s">
        <v>3199</v>
      </c>
      <c r="BK55" s="891"/>
      <c r="BL55" s="891"/>
      <c r="BM55" s="910"/>
      <c r="BN55" s="910"/>
      <c r="BO55" s="910"/>
      <c r="BP55" s="891"/>
      <c r="BQ55" s="891"/>
      <c r="BR55" s="891"/>
      <c r="BS55" s="891"/>
      <c r="BT55" s="891"/>
      <c r="BU55" s="891"/>
      <c r="BV55" s="891"/>
      <c r="BW55" s="891"/>
      <c r="BX55" s="891"/>
      <c r="BY55" s="891"/>
      <c r="BZ55" s="891"/>
      <c r="CA55" s="891"/>
      <c r="CB55" s="891"/>
      <c r="CC55" s="891"/>
      <c r="CD55" s="891"/>
      <c r="CE55" s="896"/>
      <c r="CF55" s="896"/>
      <c r="CG55" s="896"/>
      <c r="CH55" s="896"/>
      <c r="CI55" s="428"/>
      <c r="CJ55" s="428"/>
      <c r="CK55" s="428"/>
      <c r="CL55" s="428"/>
    </row>
    <row r="56" spans="1:90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15</v>
      </c>
      <c r="G56" s="879" t="s">
        <v>881</v>
      </c>
      <c r="H56" s="879" t="s">
        <v>22</v>
      </c>
      <c r="I56" s="879" t="s">
        <v>891</v>
      </c>
      <c r="J56" s="846">
        <v>0</v>
      </c>
      <c r="K56" s="846">
        <v>1</v>
      </c>
      <c r="L56" s="816" t="str">
        <f t="shared" si="31"/>
        <v>L</v>
      </c>
      <c r="M56" s="816">
        <f t="shared" si="32"/>
        <v>1</v>
      </c>
      <c r="N56" s="816" t="str">
        <f t="shared" si="24"/>
        <v>U</v>
      </c>
      <c r="O56" s="816">
        <f t="shared" ref="O56" si="49">IF(Q56="","",IF(SIGN(Q56)&lt;&gt;1,VLOOKUP(ABS(Q56),SUP_HDC,3,TRUE),-VLOOKUP(ABS(Q56),SUP_HDC,3,TRUE)))</f>
        <v>-0.75</v>
      </c>
      <c r="P56" s="829">
        <f t="shared" ref="P56" si="50">IF(O56="","",IF((J56-K56+O56)&gt;=0.5,1,IF((J56-K56+O56)=0.25,0.5,IF((J56-K56+O56)&lt;=-0.5,-1,IF((J56-K56+O56)=-0.25,-0.5,0)))))</f>
        <v>-1</v>
      </c>
      <c r="Q56" s="830">
        <v>0.88</v>
      </c>
      <c r="R56" s="871">
        <f t="shared" ref="R56" si="51">IF(ISBLANK(Q56),"",J56-K56-Q56)</f>
        <v>-1.88</v>
      </c>
      <c r="S56" s="830">
        <v>2.48</v>
      </c>
      <c r="T56" s="871">
        <f t="shared" ref="T56" si="52">IF(ISBLANK(S56),"",J56+K56-S56)</f>
        <v>-1.48</v>
      </c>
      <c r="U56" s="868">
        <f t="shared" ref="U56" si="53">IF(Q56="","",(Q56+S56)/2)</f>
        <v>1.68</v>
      </c>
      <c r="V56" s="868">
        <f t="shared" ref="V56" si="54">IF(Q56="","",S56-U56)</f>
        <v>0.8</v>
      </c>
      <c r="W56" s="829">
        <v>23</v>
      </c>
      <c r="X56" s="829">
        <v>11</v>
      </c>
      <c r="Y56" s="829">
        <v>1</v>
      </c>
      <c r="Z56" s="829">
        <v>2</v>
      </c>
      <c r="AA56" s="829">
        <v>57</v>
      </c>
      <c r="AB56" s="829">
        <v>43</v>
      </c>
      <c r="AC56" s="829"/>
      <c r="AD56" s="816" t="str">
        <f t="array" ref="AD56">IF($J56="","",IF(SUM(IF(ISNUMBER(VALUE(RIGHT($AG56:$EA56,1))),VALUE(RIGHT($AG56:$EA56,1)),0))=$J56,"T","F"))</f>
        <v>T</v>
      </c>
      <c r="AE56" s="831">
        <f t="array" ref="AE56">IF($J56="","",SUM(IF(LEFT($AG56:$EA56,1)="s",1,0))-SUM(IF(RIGHT(LEFT($AG56:$EA56,2))="-",1,0)))</f>
        <v>0</v>
      </c>
      <c r="AF56" s="816">
        <f t="array" ref="AF56">IF($J56="","",SUM(IF(LEFT($AG56:$EA56,1)="X",1,0)))</f>
        <v>11</v>
      </c>
      <c r="AG56" s="891" t="s">
        <v>1877</v>
      </c>
      <c r="AH56" s="891" t="s">
        <v>34</v>
      </c>
      <c r="AI56" s="891" t="s">
        <v>32</v>
      </c>
      <c r="AJ56" s="891" t="s">
        <v>32</v>
      </c>
      <c r="AK56" s="891" t="s">
        <v>32</v>
      </c>
      <c r="AL56" s="891" t="s">
        <v>34</v>
      </c>
      <c r="AM56" s="891" t="s">
        <v>32</v>
      </c>
      <c r="AN56" s="891" t="s">
        <v>34</v>
      </c>
      <c r="AO56" s="891" t="s">
        <v>35</v>
      </c>
      <c r="AP56" s="891" t="s">
        <v>1877</v>
      </c>
      <c r="AQ56" s="891" t="s">
        <v>32</v>
      </c>
      <c r="AR56" s="891" t="s">
        <v>32</v>
      </c>
      <c r="AS56" s="891" t="s">
        <v>34</v>
      </c>
      <c r="AT56" s="891" t="s">
        <v>32</v>
      </c>
      <c r="AU56" s="891" t="s">
        <v>36</v>
      </c>
      <c r="AV56" s="891" t="s">
        <v>34</v>
      </c>
      <c r="AW56" s="891" t="s">
        <v>35</v>
      </c>
      <c r="AX56" s="891" t="s">
        <v>32</v>
      </c>
      <c r="AY56" s="891" t="s">
        <v>34</v>
      </c>
      <c r="AZ56" s="891" t="s">
        <v>32</v>
      </c>
      <c r="BA56" s="891" t="s">
        <v>1877</v>
      </c>
      <c r="BB56" s="891" t="s">
        <v>32</v>
      </c>
      <c r="BC56" s="891" t="s">
        <v>1877</v>
      </c>
      <c r="BD56" s="891" t="s">
        <v>36</v>
      </c>
      <c r="BE56" s="891" t="s">
        <v>36</v>
      </c>
      <c r="BF56" s="891" t="s">
        <v>34</v>
      </c>
      <c r="BG56" s="891" t="s">
        <v>32</v>
      </c>
      <c r="BH56" s="891" t="s">
        <v>32</v>
      </c>
      <c r="BI56" s="891" t="s">
        <v>35</v>
      </c>
      <c r="BJ56" s="891" t="s">
        <v>34</v>
      </c>
      <c r="BK56" s="891"/>
      <c r="BL56" s="891"/>
      <c r="BM56" s="910"/>
      <c r="BN56" s="910"/>
      <c r="BO56" s="910"/>
      <c r="BP56" s="891"/>
      <c r="BQ56" s="891"/>
      <c r="BR56" s="891"/>
      <c r="BS56" s="891"/>
      <c r="BT56" s="891"/>
      <c r="BU56" s="891"/>
      <c r="BV56" s="891"/>
      <c r="BW56" s="891"/>
      <c r="BX56" s="891"/>
      <c r="BY56" s="891"/>
      <c r="BZ56" s="891"/>
      <c r="CA56" s="891"/>
      <c r="CB56" s="891"/>
      <c r="CC56" s="891"/>
      <c r="CD56" s="891"/>
      <c r="CE56" s="896"/>
      <c r="CF56" s="896"/>
      <c r="CG56" s="896"/>
      <c r="CH56" s="896"/>
      <c r="CI56" s="428"/>
      <c r="CJ56" s="428"/>
      <c r="CK56" s="428"/>
      <c r="CL56" s="428"/>
    </row>
    <row r="57" spans="1:90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21</v>
      </c>
      <c r="G57" s="879" t="s">
        <v>890</v>
      </c>
      <c r="H57" s="879" t="s">
        <v>18</v>
      </c>
      <c r="I57" s="879" t="s">
        <v>891</v>
      </c>
      <c r="J57" s="846">
        <v>1</v>
      </c>
      <c r="K57" s="846">
        <v>1</v>
      </c>
      <c r="L57" s="816" t="str">
        <f t="shared" si="31"/>
        <v>D</v>
      </c>
      <c r="M57" s="816">
        <f t="shared" si="32"/>
        <v>2</v>
      </c>
      <c r="N57" s="816" t="str">
        <f t="shared" si="24"/>
        <v>U</v>
      </c>
      <c r="O57" s="816">
        <f t="shared" si="25"/>
        <v>-0.75</v>
      </c>
      <c r="P57" s="829">
        <f t="shared" si="26"/>
        <v>-1</v>
      </c>
      <c r="Q57" s="830">
        <v>0.78</v>
      </c>
      <c r="R57" s="871">
        <f t="shared" si="27"/>
        <v>-0.78</v>
      </c>
      <c r="S57" s="830">
        <v>2.35</v>
      </c>
      <c r="T57" s="871">
        <f t="shared" si="28"/>
        <v>-0.35000000000000009</v>
      </c>
      <c r="U57" s="868">
        <f t="shared" si="29"/>
        <v>1.5649999999999999</v>
      </c>
      <c r="V57" s="868">
        <f t="shared" si="30"/>
        <v>0.78500000000000014</v>
      </c>
      <c r="W57" s="829">
        <v>14</v>
      </c>
      <c r="X57" s="829">
        <v>10</v>
      </c>
      <c r="Y57" s="829">
        <v>3</v>
      </c>
      <c r="Z57" s="829">
        <v>4</v>
      </c>
      <c r="AA57" s="829">
        <v>53</v>
      </c>
      <c r="AB57" s="829">
        <v>47</v>
      </c>
      <c r="AC57" s="829"/>
      <c r="AD57" s="816" t="str">
        <f t="array" ref="AD57">IF($J57="","",IF(SUM(IF(ISNUMBER(VALUE(RIGHT($AG57:$EA57,1))),VALUE(RIGHT($AG57:$EA57,1)),0))=$J57,"T","F"))</f>
        <v>T</v>
      </c>
      <c r="AE57" s="831">
        <f t="array" ref="AE57">IF($J57="","",SUM(IF(LEFT($AG57:$EA57,1)="s",1,0))-SUM(IF(RIGHT(LEFT($AG57:$EA57,2))="-",1,0)))</f>
        <v>0</v>
      </c>
      <c r="AF57" s="816">
        <f t="array" ref="AF57">IF($J57="","",SUM(IF(LEFT($AG57:$EA57,1)="X",1,0)))</f>
        <v>11</v>
      </c>
      <c r="AG57" s="891" t="s">
        <v>1877</v>
      </c>
      <c r="AH57" s="891" t="s">
        <v>34</v>
      </c>
      <c r="AI57" s="891" t="s">
        <v>32</v>
      </c>
      <c r="AJ57" s="891" t="s">
        <v>32</v>
      </c>
      <c r="AK57" s="891" t="s">
        <v>32</v>
      </c>
      <c r="AL57" s="891" t="s">
        <v>34</v>
      </c>
      <c r="AM57" s="891" t="s">
        <v>32</v>
      </c>
      <c r="AN57" s="891" t="s">
        <v>34</v>
      </c>
      <c r="AO57" s="904" t="s">
        <v>34</v>
      </c>
      <c r="AP57" s="891" t="s">
        <v>1877</v>
      </c>
      <c r="AQ57" s="891" t="s">
        <v>1877</v>
      </c>
      <c r="AR57" s="891" t="s">
        <v>32</v>
      </c>
      <c r="AS57" s="904" t="s">
        <v>34</v>
      </c>
      <c r="AT57" s="891" t="s">
        <v>32</v>
      </c>
      <c r="AU57" s="891" t="s">
        <v>1877</v>
      </c>
      <c r="AV57" s="891" t="s">
        <v>3278</v>
      </c>
      <c r="AW57" s="891" t="s">
        <v>35</v>
      </c>
      <c r="AX57" s="891" t="s">
        <v>32</v>
      </c>
      <c r="AY57" s="891" t="s">
        <v>34</v>
      </c>
      <c r="AZ57" s="891" t="s">
        <v>32</v>
      </c>
      <c r="BA57" s="891" t="s">
        <v>36</v>
      </c>
      <c r="BB57" s="891" t="s">
        <v>32</v>
      </c>
      <c r="BC57" s="891" t="s">
        <v>36</v>
      </c>
      <c r="BD57" s="891" t="s">
        <v>35</v>
      </c>
      <c r="BE57" s="891" t="s">
        <v>34</v>
      </c>
      <c r="BF57" s="891" t="s">
        <v>3283</v>
      </c>
      <c r="BG57" s="891" t="s">
        <v>32</v>
      </c>
      <c r="BH57" s="891" t="s">
        <v>32</v>
      </c>
      <c r="BI57" s="891" t="s">
        <v>36</v>
      </c>
      <c r="BJ57" s="891" t="s">
        <v>35</v>
      </c>
      <c r="BK57" s="891"/>
      <c r="BL57" s="891"/>
      <c r="BM57" s="910"/>
      <c r="BN57" s="910"/>
      <c r="BO57" s="910"/>
      <c r="BP57" s="891"/>
      <c r="BQ57" s="891"/>
      <c r="BR57" s="891"/>
      <c r="BS57" s="891"/>
      <c r="BT57" s="891"/>
      <c r="BU57" s="891"/>
      <c r="BV57" s="891"/>
      <c r="BW57" s="891"/>
      <c r="BX57" s="891"/>
      <c r="BY57" s="891"/>
      <c r="BZ57" s="891"/>
      <c r="CA57" s="891"/>
      <c r="CB57" s="891"/>
      <c r="CC57" s="891"/>
      <c r="CD57" s="891"/>
      <c r="CE57" s="896"/>
      <c r="CF57" s="896"/>
      <c r="CG57" s="896"/>
      <c r="CH57" s="896"/>
      <c r="CI57" s="428"/>
      <c r="CJ57" s="428"/>
      <c r="CK57" s="428"/>
      <c r="CL57" s="428"/>
    </row>
    <row r="58" spans="1:90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18</v>
      </c>
      <c r="G58" s="879" t="s">
        <v>887</v>
      </c>
      <c r="H58" s="879" t="s">
        <v>18</v>
      </c>
      <c r="I58" s="879" t="s">
        <v>891</v>
      </c>
      <c r="J58" s="846">
        <v>2</v>
      </c>
      <c r="K58" s="846">
        <v>1</v>
      </c>
      <c r="L58" s="816" t="str">
        <f t="shared" si="31"/>
        <v>W</v>
      </c>
      <c r="M58" s="816">
        <f t="shared" si="32"/>
        <v>3</v>
      </c>
      <c r="N58" s="816" t="str">
        <f t="shared" si="24"/>
        <v>O</v>
      </c>
      <c r="O58" s="816">
        <f t="shared" si="25"/>
        <v>0</v>
      </c>
      <c r="P58" s="829">
        <f t="shared" si="26"/>
        <v>1</v>
      </c>
      <c r="Q58" s="830">
        <v>7.0000000000000007E-2</v>
      </c>
      <c r="R58" s="871">
        <f t="shared" si="27"/>
        <v>0.92999999999999994</v>
      </c>
      <c r="S58" s="830">
        <v>2.5299999999999998</v>
      </c>
      <c r="T58" s="871">
        <f t="shared" si="28"/>
        <v>0.4700000000000002</v>
      </c>
      <c r="U58" s="868">
        <f t="shared" si="29"/>
        <v>1.2999999999999998</v>
      </c>
      <c r="V58" s="868">
        <f t="shared" si="30"/>
        <v>1.23</v>
      </c>
      <c r="W58" s="829">
        <v>9</v>
      </c>
      <c r="X58" s="829">
        <v>17</v>
      </c>
      <c r="Y58" s="829">
        <v>5</v>
      </c>
      <c r="Z58" s="829">
        <v>5</v>
      </c>
      <c r="AA58" s="829">
        <v>34</v>
      </c>
      <c r="AB58" s="829">
        <v>66</v>
      </c>
      <c r="AC58" s="829"/>
      <c r="AD58" s="816" t="str">
        <f t="array" ref="AD58">IF($J58="","",IF(SUM(IF(ISNUMBER(VALUE(RIGHT($AG58:$EA58,1))),VALUE(RIGHT($AG58:$EA58,1)),0))=$J58,"T","F"))</f>
        <v>T</v>
      </c>
      <c r="AE58" s="831">
        <f t="array" ref="AE58">IF($J58="","",SUM(IF(LEFT($AG58:$EA58,1)="s",1,0))-SUM(IF(RIGHT(LEFT($AG58:$EA58,2))="-",1,0)))</f>
        <v>0</v>
      </c>
      <c r="AF58" s="816">
        <f t="array" ref="AF58">IF($J58="","",SUM(IF(LEFT($AG58:$EA58,1)="X",1,0)))</f>
        <v>11</v>
      </c>
      <c r="AG58" s="891" t="s">
        <v>1877</v>
      </c>
      <c r="AH58" s="891" t="s">
        <v>34</v>
      </c>
      <c r="AI58" s="891" t="s">
        <v>32</v>
      </c>
      <c r="AJ58" s="891" t="s">
        <v>32</v>
      </c>
      <c r="AK58" s="891" t="s">
        <v>32</v>
      </c>
      <c r="AL58" s="891" t="s">
        <v>34</v>
      </c>
      <c r="AM58" s="891" t="s">
        <v>32</v>
      </c>
      <c r="AN58" s="891" t="s">
        <v>34</v>
      </c>
      <c r="AO58" s="891" t="s">
        <v>34</v>
      </c>
      <c r="AP58" s="891" t="s">
        <v>1877</v>
      </c>
      <c r="AQ58" s="891" t="s">
        <v>36</v>
      </c>
      <c r="AR58" s="891" t="s">
        <v>32</v>
      </c>
      <c r="AS58" s="891" t="s">
        <v>3332</v>
      </c>
      <c r="AT58" s="891" t="s">
        <v>32</v>
      </c>
      <c r="AU58" s="891" t="s">
        <v>1877</v>
      </c>
      <c r="AV58" s="891" t="s">
        <v>34</v>
      </c>
      <c r="AW58" s="891" t="s">
        <v>34</v>
      </c>
      <c r="AX58" s="891" t="s">
        <v>32</v>
      </c>
      <c r="AY58" s="891" t="s">
        <v>34</v>
      </c>
      <c r="AZ58" s="891" t="s">
        <v>32</v>
      </c>
      <c r="BA58" s="891" t="s">
        <v>3331</v>
      </c>
      <c r="BB58" s="891" t="s">
        <v>32</v>
      </c>
      <c r="BC58" s="891" t="s">
        <v>36</v>
      </c>
      <c r="BD58" s="891" t="s">
        <v>35</v>
      </c>
      <c r="BE58" s="891" t="s">
        <v>1877</v>
      </c>
      <c r="BF58" s="891" t="s">
        <v>3307</v>
      </c>
      <c r="BG58" s="891" t="s">
        <v>32</v>
      </c>
      <c r="BH58" s="891" t="s">
        <v>32</v>
      </c>
      <c r="BI58" s="891" t="s">
        <v>35</v>
      </c>
      <c r="BJ58" s="891" t="s">
        <v>35</v>
      </c>
      <c r="BK58" s="891"/>
      <c r="BL58" s="891"/>
      <c r="BM58" s="910"/>
      <c r="BN58" s="910"/>
      <c r="BO58" s="910"/>
      <c r="BP58" s="891"/>
      <c r="BQ58" s="891"/>
      <c r="BR58" s="891"/>
      <c r="BS58" s="891"/>
      <c r="BT58" s="891"/>
      <c r="BU58" s="891"/>
      <c r="BV58" s="891"/>
      <c r="BW58" s="891"/>
      <c r="BX58" s="891"/>
      <c r="BY58" s="891"/>
      <c r="BZ58" s="891"/>
      <c r="CA58" s="891"/>
      <c r="CB58" s="891"/>
      <c r="CC58" s="891"/>
      <c r="CD58" s="891"/>
      <c r="CE58" s="896"/>
      <c r="CF58" s="896"/>
      <c r="CG58" s="896"/>
      <c r="CH58" s="896"/>
      <c r="CI58" s="428"/>
      <c r="CJ58" s="428"/>
      <c r="CK58" s="428"/>
      <c r="CL58" s="428"/>
    </row>
    <row r="59" spans="1:90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20</v>
      </c>
      <c r="G59" s="879" t="s">
        <v>882</v>
      </c>
      <c r="H59" s="879" t="s">
        <v>22</v>
      </c>
      <c r="I59" s="879" t="s">
        <v>891</v>
      </c>
      <c r="J59" s="846">
        <v>2</v>
      </c>
      <c r="K59" s="846">
        <v>1</v>
      </c>
      <c r="L59" s="816" t="str">
        <f t="shared" ref="L59" si="55">IF(J59="","",IF(J59&gt;K59,"W",IF(J59=K59,"D",IF(J59&lt;K59,"L"))))</f>
        <v>W</v>
      </c>
      <c r="M59" s="816">
        <f t="shared" ref="M59" si="56">IF(J59="","",J59+K59)</f>
        <v>3</v>
      </c>
      <c r="N59" s="816" t="str">
        <f t="shared" si="24"/>
        <v>O</v>
      </c>
      <c r="O59" s="816">
        <f t="shared" ref="O59:O74" si="57">IF(Q59="","",IF(SIGN(Q59)&lt;&gt;1,VLOOKUP(ABS(Q59),SUP_HDC,3,TRUE),-VLOOKUP(ABS(Q59),SUP_HDC,3,TRUE)))</f>
        <v>-0.75</v>
      </c>
      <c r="P59" s="829">
        <f t="shared" ref="P59:P74" si="58">IF(O59="","",IF((J59-K59+O59)&gt;=0.5,1,IF((J59-K59+O59)=0.25,0.5,IF((J59-K59+O59)&lt;=-0.5,-1,IF((J59-K59+O59)=-0.25,-0.5,0)))))</f>
        <v>0.5</v>
      </c>
      <c r="Q59" s="830">
        <v>0.83</v>
      </c>
      <c r="R59" s="871">
        <f t="shared" ref="R59" si="59">IF(ISBLANK(Q59),"",J59-K59-Q59)</f>
        <v>0.17000000000000004</v>
      </c>
      <c r="S59" s="830">
        <v>2.8</v>
      </c>
      <c r="T59" s="871">
        <f t="shared" si="28"/>
        <v>0.20000000000000018</v>
      </c>
      <c r="U59" s="868">
        <f t="shared" ref="U59:U71" si="60">IF(Q59="","",(Q59+S59)/2)</f>
        <v>1.8149999999999999</v>
      </c>
      <c r="V59" s="868">
        <f t="shared" ref="V59:V71" si="61">IF(Q59="","",S59-U59)</f>
        <v>0.98499999999999988</v>
      </c>
      <c r="W59" s="829">
        <v>20</v>
      </c>
      <c r="X59" s="829">
        <v>12</v>
      </c>
      <c r="Y59" s="829">
        <v>5</v>
      </c>
      <c r="Z59" s="829">
        <v>1</v>
      </c>
      <c r="AA59" s="829">
        <v>51</v>
      </c>
      <c r="AB59" s="829">
        <v>49</v>
      </c>
      <c r="AC59" s="829"/>
      <c r="AD59" s="816" t="str">
        <f t="array" ref="AD59">IF($J59="","",IF(SUM(IF(ISNUMBER(VALUE(RIGHT($AG59:$CM59,1))),VALUE(RIGHT($AG59:$CM59,1)),0))=$J59,"T","F"))</f>
        <v>T</v>
      </c>
      <c r="AE59" s="831">
        <f t="array" ref="AE59">IF($J59="","",SUM(IF(LEFT($AG59:$DY59,1)="s",1,0))-SUM(IF(RIGHT(LEFT($AG59:$DY59,2))="-",1,0)))</f>
        <v>0</v>
      </c>
      <c r="AF59" s="816">
        <f t="array" ref="AF59">IF($J59="","",SUM(IF(LEFT($AG59:$DE59,1)="X",1,0)))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32</v>
      </c>
      <c r="AK59" s="891" t="s">
        <v>32</v>
      </c>
      <c r="AL59" s="891" t="s">
        <v>35</v>
      </c>
      <c r="AM59" s="891" t="s">
        <v>32</v>
      </c>
      <c r="AN59" s="891" t="s">
        <v>34</v>
      </c>
      <c r="AO59" s="891" t="s">
        <v>34</v>
      </c>
      <c r="AP59" s="891" t="s">
        <v>34</v>
      </c>
      <c r="AQ59" s="891" t="s">
        <v>36</v>
      </c>
      <c r="AR59" s="891" t="s">
        <v>32</v>
      </c>
      <c r="AS59" s="891" t="s">
        <v>34</v>
      </c>
      <c r="AT59" s="891" t="s">
        <v>32</v>
      </c>
      <c r="AU59" s="891" t="s">
        <v>1877</v>
      </c>
      <c r="AV59" s="891" t="s">
        <v>34</v>
      </c>
      <c r="AW59" s="891" t="s">
        <v>35</v>
      </c>
      <c r="AX59" s="891" t="s">
        <v>32</v>
      </c>
      <c r="AY59" s="891" t="s">
        <v>3367</v>
      </c>
      <c r="AZ59" s="891" t="s">
        <v>32</v>
      </c>
      <c r="BA59" s="891" t="s">
        <v>3366</v>
      </c>
      <c r="BB59" s="891" t="s">
        <v>32</v>
      </c>
      <c r="BC59" s="891" t="s">
        <v>1877</v>
      </c>
      <c r="BD59" s="891" t="s">
        <v>1877</v>
      </c>
      <c r="BE59" s="891" t="s">
        <v>32</v>
      </c>
      <c r="BF59" s="891" t="s">
        <v>36</v>
      </c>
      <c r="BG59" s="891" t="s">
        <v>32</v>
      </c>
      <c r="BH59" s="891" t="s">
        <v>32</v>
      </c>
      <c r="BI59" s="891" t="s">
        <v>36</v>
      </c>
      <c r="BJ59" s="891" t="s">
        <v>34</v>
      </c>
      <c r="BK59" s="891"/>
      <c r="BL59" s="891"/>
      <c r="BM59" s="910"/>
      <c r="BN59" s="910"/>
      <c r="BO59" s="910"/>
      <c r="BP59" s="891"/>
      <c r="BQ59" s="891"/>
      <c r="BR59" s="891"/>
      <c r="BS59" s="891"/>
      <c r="BT59" s="891"/>
      <c r="BU59" s="891"/>
      <c r="BV59" s="891"/>
      <c r="BW59" s="891"/>
      <c r="BX59" s="891"/>
      <c r="BY59" s="891"/>
      <c r="BZ59" s="891"/>
      <c r="CA59" s="891"/>
      <c r="CB59" s="891"/>
      <c r="CC59" s="891"/>
      <c r="CD59" s="891"/>
      <c r="CE59" s="896"/>
      <c r="CF59" s="896"/>
      <c r="CG59" s="896"/>
      <c r="CH59" s="896"/>
      <c r="CI59" s="428"/>
      <c r="CJ59" s="428"/>
      <c r="CK59" s="428"/>
      <c r="CL59" s="428"/>
    </row>
    <row r="60" spans="1:90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10</v>
      </c>
      <c r="G60" s="879" t="s">
        <v>883</v>
      </c>
      <c r="H60" s="879" t="s">
        <v>18</v>
      </c>
      <c r="I60" s="879" t="s">
        <v>891</v>
      </c>
      <c r="J60" s="846">
        <v>3</v>
      </c>
      <c r="K60" s="846">
        <v>1</v>
      </c>
      <c r="L60" s="816" t="str">
        <f t="shared" si="31"/>
        <v>W</v>
      </c>
      <c r="M60" s="816">
        <f t="shared" si="32"/>
        <v>4</v>
      </c>
      <c r="N60" s="816" t="str">
        <f t="shared" si="24"/>
        <v>O</v>
      </c>
      <c r="O60" s="816">
        <f t="shared" si="57"/>
        <v>-0.25</v>
      </c>
      <c r="P60" s="829">
        <f t="shared" si="58"/>
        <v>1</v>
      </c>
      <c r="Q60" s="830">
        <v>0.2</v>
      </c>
      <c r="R60" s="871">
        <f t="shared" si="27"/>
        <v>1.8</v>
      </c>
      <c r="S60" s="830">
        <v>2.38</v>
      </c>
      <c r="T60" s="871">
        <f t="shared" ref="T60:T98" si="62">IF(ISBLANK(S60),"",J60+K60-S60)</f>
        <v>1.62</v>
      </c>
      <c r="U60" s="868">
        <f t="shared" si="60"/>
        <v>1.29</v>
      </c>
      <c r="V60" s="868">
        <f t="shared" si="61"/>
        <v>1.0899999999999999</v>
      </c>
      <c r="W60" s="829">
        <v>18</v>
      </c>
      <c r="X60" s="829">
        <v>14</v>
      </c>
      <c r="Y60" s="829">
        <v>7</v>
      </c>
      <c r="Z60" s="829">
        <v>5</v>
      </c>
      <c r="AA60" s="829">
        <v>52</v>
      </c>
      <c r="AB60" s="829">
        <v>48</v>
      </c>
      <c r="AC60" s="829"/>
      <c r="AD60" s="816" t="str">
        <f t="array" ref="AD60">IF($J60="","",IF(SUM(IF(ISNUMBER(VALUE(RIGHT($AG60:$CM60,1))),VALUE(RIGHT($AG60:$CM60,1)),0))=$J60,"T","F"))</f>
        <v>T</v>
      </c>
      <c r="AE60" s="831">
        <f t="array" ref="AE60">IF($J60="","",SUM(IF(LEFT($AG60:$DY60,1)="s",1,0))-SUM(IF(RIGHT(LEFT($AG60:$DY60,2))="-",1,0)))</f>
        <v>0</v>
      </c>
      <c r="AF60" s="816">
        <f t="array" ref="AF60">IF($J60="","",SUM(IF(LEFT($AG60:$DE60,1)="X",1,0)))</f>
        <v>11</v>
      </c>
      <c r="AG60" s="891" t="s">
        <v>1877</v>
      </c>
      <c r="AH60" s="891" t="s">
        <v>34</v>
      </c>
      <c r="AI60" s="891" t="s">
        <v>32</v>
      </c>
      <c r="AJ60" s="891" t="s">
        <v>32</v>
      </c>
      <c r="AK60" s="891" t="s">
        <v>32</v>
      </c>
      <c r="AL60" s="891" t="s">
        <v>34</v>
      </c>
      <c r="AM60" s="891" t="s">
        <v>32</v>
      </c>
      <c r="AN60" s="891" t="s">
        <v>34</v>
      </c>
      <c r="AO60" s="891" t="s">
        <v>34</v>
      </c>
      <c r="AP60" s="891" t="s">
        <v>1877</v>
      </c>
      <c r="AQ60" s="891" t="s">
        <v>1877</v>
      </c>
      <c r="AR60" s="891" t="s">
        <v>32</v>
      </c>
      <c r="AS60" s="891" t="s">
        <v>34</v>
      </c>
      <c r="AT60" s="891" t="s">
        <v>32</v>
      </c>
      <c r="AU60" s="891" t="s">
        <v>32</v>
      </c>
      <c r="AV60" s="891" t="s">
        <v>34</v>
      </c>
      <c r="AW60" s="891" t="s">
        <v>35</v>
      </c>
      <c r="AX60" s="891" t="s">
        <v>32</v>
      </c>
      <c r="AY60" s="904" t="s">
        <v>34</v>
      </c>
      <c r="AZ60" s="891" t="s">
        <v>32</v>
      </c>
      <c r="BA60" s="891" t="s">
        <v>35</v>
      </c>
      <c r="BB60" s="891" t="s">
        <v>32</v>
      </c>
      <c r="BC60" s="891" t="s">
        <v>36</v>
      </c>
      <c r="BD60" s="891" t="s">
        <v>1877</v>
      </c>
      <c r="BE60" s="891" t="s">
        <v>3420</v>
      </c>
      <c r="BF60" s="904" t="s">
        <v>3419</v>
      </c>
      <c r="BG60" s="891" t="s">
        <v>32</v>
      </c>
      <c r="BH60" s="891" t="s">
        <v>32</v>
      </c>
      <c r="BI60" s="891" t="s">
        <v>35</v>
      </c>
      <c r="BJ60" s="891" t="s">
        <v>34</v>
      </c>
      <c r="BK60" s="891"/>
      <c r="BL60" s="891"/>
      <c r="BM60" s="910"/>
      <c r="BN60" s="910"/>
      <c r="BO60" s="910"/>
      <c r="BP60" s="891"/>
      <c r="BQ60" s="891"/>
      <c r="BR60" s="891"/>
      <c r="BS60" s="891"/>
      <c r="BT60" s="891"/>
      <c r="BU60" s="891"/>
      <c r="BV60" s="891"/>
      <c r="BW60" s="891"/>
      <c r="BX60" s="891"/>
      <c r="BY60" s="891"/>
      <c r="BZ60" s="891"/>
      <c r="CA60" s="891"/>
      <c r="CB60" s="891"/>
      <c r="CC60" s="891"/>
      <c r="CD60" s="891"/>
      <c r="CE60" s="896"/>
      <c r="CF60" s="896"/>
      <c r="CG60" s="896"/>
      <c r="CH60" s="896"/>
      <c r="CI60" s="428"/>
      <c r="CJ60" s="428"/>
      <c r="CK60" s="428"/>
      <c r="CL60" s="428"/>
    </row>
    <row r="61" spans="1:90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9</v>
      </c>
      <c r="G61" s="879" t="s">
        <v>1083</v>
      </c>
      <c r="H61" s="879" t="s">
        <v>18</v>
      </c>
      <c r="I61" s="879" t="s">
        <v>891</v>
      </c>
      <c r="J61" s="846">
        <v>1</v>
      </c>
      <c r="K61" s="846">
        <v>1</v>
      </c>
      <c r="L61" s="816" t="str">
        <f t="shared" si="31"/>
        <v>D</v>
      </c>
      <c r="M61" s="816">
        <f t="shared" si="32"/>
        <v>2</v>
      </c>
      <c r="N61" s="816" t="str">
        <f t="shared" si="24"/>
        <v>U</v>
      </c>
      <c r="O61" s="816">
        <f t="shared" si="57"/>
        <v>-0.25</v>
      </c>
      <c r="P61" s="829">
        <f t="shared" si="58"/>
        <v>-0.5</v>
      </c>
      <c r="Q61" s="830">
        <v>0.22</v>
      </c>
      <c r="R61" s="871">
        <f t="shared" si="27"/>
        <v>-0.22</v>
      </c>
      <c r="S61" s="830">
        <v>2.61</v>
      </c>
      <c r="T61" s="871">
        <f t="shared" si="62"/>
        <v>-0.60999999999999988</v>
      </c>
      <c r="U61" s="868">
        <f t="shared" si="60"/>
        <v>1.415</v>
      </c>
      <c r="V61" s="868">
        <f t="shared" si="61"/>
        <v>1.1949999999999998</v>
      </c>
      <c r="W61" s="829">
        <v>14</v>
      </c>
      <c r="X61" s="829">
        <v>15</v>
      </c>
      <c r="Y61" s="829">
        <v>2</v>
      </c>
      <c r="Z61" s="829">
        <v>2</v>
      </c>
      <c r="AA61" s="829">
        <v>48</v>
      </c>
      <c r="AB61" s="829">
        <v>52</v>
      </c>
      <c r="AC61" s="829"/>
      <c r="AD61" s="816" t="str">
        <f t="array" ref="AD61">IF($J61="","",IF(SUM(IF(ISNUMBER(VALUE(RIGHT($AG61:$CM61,1))),VALUE(RIGHT($AG61:$CM61,1)),0))=$J61,"T","F"))</f>
        <v>T</v>
      </c>
      <c r="AE61" s="831">
        <f t="array" ref="AE61">IF($J61="","",SUM(IF(LEFT($AG61:$DY61,1)="s",1,0))-SUM(IF(RIGHT(LEFT($AG61:$DY61,2))="-",1,0)))</f>
        <v>0</v>
      </c>
      <c r="AF61" s="816">
        <f t="array" ref="AF61">IF($J61="","",SUM(IF(LEFT($AG61:$DE61,1)="X",1,0)))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32</v>
      </c>
      <c r="AK61" s="891" t="s">
        <v>32</v>
      </c>
      <c r="AL61" s="891" t="s">
        <v>34</v>
      </c>
      <c r="AM61" s="891" t="s">
        <v>32</v>
      </c>
      <c r="AN61" s="891" t="s">
        <v>34</v>
      </c>
      <c r="AO61" s="891" t="s">
        <v>34</v>
      </c>
      <c r="AP61" s="891" t="s">
        <v>1877</v>
      </c>
      <c r="AQ61" s="891" t="s">
        <v>1877</v>
      </c>
      <c r="AR61" s="891" t="s">
        <v>32</v>
      </c>
      <c r="AS61" s="891" t="s">
        <v>34</v>
      </c>
      <c r="AT61" s="891" t="s">
        <v>32</v>
      </c>
      <c r="AU61" s="891" t="s">
        <v>32</v>
      </c>
      <c r="AV61" s="891" t="s">
        <v>3423</v>
      </c>
      <c r="AW61" s="891" t="s">
        <v>34</v>
      </c>
      <c r="AX61" s="891" t="s">
        <v>32</v>
      </c>
      <c r="AY61" s="891" t="s">
        <v>35</v>
      </c>
      <c r="AZ61" s="891" t="s">
        <v>32</v>
      </c>
      <c r="BA61" s="891" t="s">
        <v>35</v>
      </c>
      <c r="BB61" s="891" t="s">
        <v>32</v>
      </c>
      <c r="BC61" s="891" t="s">
        <v>36</v>
      </c>
      <c r="BD61" s="891" t="s">
        <v>1877</v>
      </c>
      <c r="BE61" s="891" t="s">
        <v>36</v>
      </c>
      <c r="BF61" s="891" t="s">
        <v>36</v>
      </c>
      <c r="BG61" s="891" t="s">
        <v>32</v>
      </c>
      <c r="BH61" s="891" t="s">
        <v>32</v>
      </c>
      <c r="BI61" s="904" t="s">
        <v>35</v>
      </c>
      <c r="BJ61" s="891" t="s">
        <v>34</v>
      </c>
      <c r="BK61" s="891"/>
      <c r="BL61" s="891"/>
      <c r="BM61" s="910"/>
      <c r="BN61" s="910"/>
      <c r="BO61" s="910"/>
      <c r="BP61" s="891"/>
      <c r="BQ61" s="891"/>
      <c r="BR61" s="891"/>
      <c r="BS61" s="891"/>
      <c r="BT61" s="891"/>
      <c r="BU61" s="891"/>
      <c r="BV61" s="891"/>
      <c r="BW61" s="891"/>
      <c r="BX61" s="891"/>
      <c r="BY61" s="891"/>
      <c r="BZ61" s="891"/>
      <c r="CA61" s="891"/>
      <c r="CB61" s="891"/>
      <c r="CC61" s="891"/>
      <c r="CD61" s="891"/>
      <c r="CE61" s="896"/>
      <c r="CF61" s="896"/>
      <c r="CG61" s="896"/>
      <c r="CH61" s="896"/>
    </row>
    <row r="62" spans="1:90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6</v>
      </c>
      <c r="G62" s="879" t="s">
        <v>876</v>
      </c>
      <c r="H62" s="879" t="s">
        <v>22</v>
      </c>
      <c r="I62" s="879" t="s">
        <v>891</v>
      </c>
      <c r="J62" s="908">
        <v>0</v>
      </c>
      <c r="K62" s="846">
        <v>1</v>
      </c>
      <c r="L62" s="816" t="str">
        <f t="shared" si="31"/>
        <v>L</v>
      </c>
      <c r="M62" s="816">
        <f t="shared" si="32"/>
        <v>1</v>
      </c>
      <c r="N62" s="816" t="str">
        <f t="shared" si="24"/>
        <v>U</v>
      </c>
      <c r="O62" s="816">
        <f t="shared" si="57"/>
        <v>-0.25</v>
      </c>
      <c r="P62" s="829">
        <f t="shared" si="58"/>
        <v>-1</v>
      </c>
      <c r="Q62" s="830">
        <v>0.3</v>
      </c>
      <c r="R62" s="871">
        <f t="shared" si="27"/>
        <v>-1.3</v>
      </c>
      <c r="S62" s="830">
        <v>2.83</v>
      </c>
      <c r="T62" s="871">
        <f t="shared" si="62"/>
        <v>-1.83</v>
      </c>
      <c r="U62" s="868">
        <f t="shared" si="60"/>
        <v>1.5649999999999999</v>
      </c>
      <c r="V62" s="868">
        <f t="shared" si="61"/>
        <v>1.2650000000000001</v>
      </c>
      <c r="W62" s="829">
        <v>13</v>
      </c>
      <c r="X62" s="829">
        <v>9</v>
      </c>
      <c r="Y62" s="829">
        <v>5</v>
      </c>
      <c r="Z62" s="829">
        <v>3</v>
      </c>
      <c r="AA62" s="829">
        <v>51</v>
      </c>
      <c r="AB62" s="829">
        <v>49</v>
      </c>
      <c r="AC62" s="829"/>
      <c r="AD62" s="816" t="str">
        <f t="array" ref="AD62">IF($J62="","",IF(SUM(IF(ISNUMBER(VALUE(RIGHT($AG62:$CM62,1))),VALUE(RIGHT($AG62:$CM62,1)),0))=$J62,"T","F"))</f>
        <v>T</v>
      </c>
      <c r="AE62" s="831">
        <f t="array" ref="AE62">IF($J62="","",SUM(IF(LEFT($AG62:$DY62,1)="s",1,0))-SUM(IF(RIGHT(LEFT($AG62:$DY62,2))="-",1,0)))</f>
        <v>0</v>
      </c>
      <c r="AF62" s="816">
        <f t="array" ref="AF62">IF($J62="","",SUM(IF(LEFT($AG62:$DE62,1)="X",1,0)))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32</v>
      </c>
      <c r="AK62" s="891" t="s">
        <v>32</v>
      </c>
      <c r="AL62" s="904" t="s">
        <v>35</v>
      </c>
      <c r="AM62" s="891" t="s">
        <v>32</v>
      </c>
      <c r="AN62" s="904" t="s">
        <v>34</v>
      </c>
      <c r="AO62" s="891" t="s">
        <v>34</v>
      </c>
      <c r="AP62" s="891" t="s">
        <v>1877</v>
      </c>
      <c r="AQ62" s="891" t="s">
        <v>1877</v>
      </c>
      <c r="AR62" s="891" t="s">
        <v>32</v>
      </c>
      <c r="AS62" s="891" t="s">
        <v>34</v>
      </c>
      <c r="AT62" s="891" t="s">
        <v>32</v>
      </c>
      <c r="AU62" s="891" t="s">
        <v>36</v>
      </c>
      <c r="AV62" s="891" t="s">
        <v>34</v>
      </c>
      <c r="AW62" s="891" t="s">
        <v>35</v>
      </c>
      <c r="AX62" s="891" t="s">
        <v>32</v>
      </c>
      <c r="AY62" s="891" t="s">
        <v>34</v>
      </c>
      <c r="AZ62" s="891" t="s">
        <v>32</v>
      </c>
      <c r="BA62" s="891" t="s">
        <v>35</v>
      </c>
      <c r="BB62" s="891" t="s">
        <v>32</v>
      </c>
      <c r="BC62" s="891" t="s">
        <v>1877</v>
      </c>
      <c r="BD62" s="891" t="s">
        <v>36</v>
      </c>
      <c r="BE62" s="906" t="s">
        <v>3479</v>
      </c>
      <c r="BF62" s="909" t="s">
        <v>34</v>
      </c>
      <c r="BG62" s="891" t="s">
        <v>32</v>
      </c>
      <c r="BH62" s="891" t="s">
        <v>32</v>
      </c>
      <c r="BI62" s="891" t="s">
        <v>2096</v>
      </c>
      <c r="BJ62" s="891" t="s">
        <v>34</v>
      </c>
      <c r="BK62" s="891"/>
      <c r="BL62" s="891"/>
      <c r="BM62" s="910"/>
      <c r="BN62" s="910"/>
      <c r="BO62" s="910"/>
      <c r="BP62" s="891"/>
      <c r="BQ62" s="891"/>
      <c r="BR62" s="891"/>
      <c r="BS62" s="891"/>
      <c r="BT62" s="891"/>
      <c r="BU62" s="891"/>
      <c r="BV62" s="891"/>
      <c r="BW62" s="891"/>
      <c r="BX62" s="891"/>
      <c r="BY62" s="891"/>
      <c r="BZ62" s="891"/>
      <c r="CA62" s="891"/>
      <c r="CB62" s="891"/>
      <c r="CC62" s="891"/>
      <c r="CD62" s="891"/>
      <c r="CE62" s="896"/>
      <c r="CF62" s="896"/>
      <c r="CG62" s="896"/>
      <c r="CH62" s="896"/>
    </row>
    <row r="63" spans="1:90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5</v>
      </c>
      <c r="G63" s="879" t="s">
        <v>889</v>
      </c>
      <c r="H63" s="879" t="s">
        <v>18</v>
      </c>
      <c r="I63" s="879" t="s">
        <v>891</v>
      </c>
      <c r="J63" s="846">
        <v>0</v>
      </c>
      <c r="K63" s="846">
        <v>0</v>
      </c>
      <c r="L63" s="816" t="str">
        <f t="shared" si="31"/>
        <v>D</v>
      </c>
      <c r="M63" s="816">
        <f t="shared" si="32"/>
        <v>0</v>
      </c>
      <c r="N63" s="816" t="str">
        <f t="shared" si="24"/>
        <v>U</v>
      </c>
      <c r="O63" s="816">
        <f t="shared" si="57"/>
        <v>0</v>
      </c>
      <c r="P63" s="829">
        <f t="shared" si="58"/>
        <v>0</v>
      </c>
      <c r="Q63" s="830">
        <v>-0.08</v>
      </c>
      <c r="R63" s="871">
        <f t="shared" si="27"/>
        <v>0.08</v>
      </c>
      <c r="S63" s="830">
        <v>2.58</v>
      </c>
      <c r="T63" s="871">
        <f t="shared" si="62"/>
        <v>-2.58</v>
      </c>
      <c r="U63" s="868">
        <f t="shared" si="60"/>
        <v>1.25</v>
      </c>
      <c r="V63" s="868">
        <f t="shared" si="61"/>
        <v>1.33</v>
      </c>
      <c r="W63" s="829">
        <v>7</v>
      </c>
      <c r="X63" s="829">
        <v>17</v>
      </c>
      <c r="Y63" s="829">
        <v>1</v>
      </c>
      <c r="Z63" s="829">
        <v>6</v>
      </c>
      <c r="AA63" s="829">
        <v>43</v>
      </c>
      <c r="AB63" s="829">
        <v>57</v>
      </c>
      <c r="AC63" s="829"/>
      <c r="AD63" s="816" t="str">
        <f t="array" ref="AD63">IF($J63="","",IF(SUM(IF(ISNUMBER(VALUE(RIGHT($AG63:$CM63,1))),VALUE(RIGHT($AG63:$CM63,1)),0))=$J63,"T","F"))</f>
        <v>T</v>
      </c>
      <c r="AE63" s="831">
        <f t="array" ref="AE63">IF($J63="","",SUM(IF(LEFT($AG63:$DY63,1)="s",1,0))-SUM(IF(RIGHT(LEFT($AG63:$DY63,2))="-",1,0)))</f>
        <v>0</v>
      </c>
      <c r="AF63" s="816">
        <f t="array" ref="AF63">IF($J63="","",SUM(IF(LEFT($AG63:$DE63,1)="X",1,0)))</f>
        <v>11</v>
      </c>
      <c r="AG63" s="891" t="s">
        <v>1877</v>
      </c>
      <c r="AH63" s="891" t="s">
        <v>34</v>
      </c>
      <c r="AI63" s="891" t="s">
        <v>32</v>
      </c>
      <c r="AJ63" s="891" t="s">
        <v>32</v>
      </c>
      <c r="AK63" s="891" t="s">
        <v>36</v>
      </c>
      <c r="AL63" s="891" t="s">
        <v>34</v>
      </c>
      <c r="AM63" s="891" t="s">
        <v>32</v>
      </c>
      <c r="AN63" s="891" t="s">
        <v>3491</v>
      </c>
      <c r="AO63" s="891" t="s">
        <v>34</v>
      </c>
      <c r="AP63" s="891" t="s">
        <v>34</v>
      </c>
      <c r="AQ63" s="891" t="s">
        <v>1877</v>
      </c>
      <c r="AR63" s="891" t="s">
        <v>1877</v>
      </c>
      <c r="AS63" s="891" t="s">
        <v>35</v>
      </c>
      <c r="AT63" s="891" t="s">
        <v>32</v>
      </c>
      <c r="AU63" s="891" t="s">
        <v>32</v>
      </c>
      <c r="AV63" s="891" t="s">
        <v>34</v>
      </c>
      <c r="AW63" s="891" t="s">
        <v>3513</v>
      </c>
      <c r="AX63" s="891" t="s">
        <v>1877</v>
      </c>
      <c r="AY63" s="891" t="s">
        <v>34</v>
      </c>
      <c r="AZ63" s="891" t="s">
        <v>1877</v>
      </c>
      <c r="BA63" s="891" t="s">
        <v>35</v>
      </c>
      <c r="BB63" s="891" t="s">
        <v>32</v>
      </c>
      <c r="BC63" s="891" t="s">
        <v>34</v>
      </c>
      <c r="BD63" s="891" t="s">
        <v>36</v>
      </c>
      <c r="BE63" s="891" t="s">
        <v>34</v>
      </c>
      <c r="BF63" s="891" t="s">
        <v>3492</v>
      </c>
      <c r="BG63" s="891" t="s">
        <v>32</v>
      </c>
      <c r="BH63" s="891" t="s">
        <v>32</v>
      </c>
      <c r="BI63" s="891" t="s">
        <v>3493</v>
      </c>
      <c r="BJ63" s="891" t="s">
        <v>34</v>
      </c>
      <c r="BK63" s="891"/>
      <c r="BL63" s="891"/>
      <c r="BM63" s="910"/>
      <c r="BN63" s="910"/>
      <c r="BO63" s="910"/>
      <c r="BP63" s="891"/>
      <c r="BQ63" s="891"/>
      <c r="BR63" s="891"/>
      <c r="BS63" s="891"/>
      <c r="BT63" s="891"/>
      <c r="BU63" s="891"/>
      <c r="BV63" s="891"/>
      <c r="BW63" s="891"/>
      <c r="BX63" s="891"/>
      <c r="BY63" s="891"/>
      <c r="BZ63" s="891"/>
      <c r="CA63" s="891"/>
      <c r="CB63" s="891"/>
      <c r="CC63" s="891"/>
      <c r="CD63" s="891"/>
      <c r="CE63" s="896"/>
      <c r="CF63" s="896"/>
      <c r="CG63" s="896"/>
      <c r="CH63" s="896"/>
    </row>
    <row r="64" spans="1:90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</v>
      </c>
      <c r="G64" s="879" t="s">
        <v>1086</v>
      </c>
      <c r="H64" s="879" t="s">
        <v>22</v>
      </c>
      <c r="I64" s="879" t="s">
        <v>891</v>
      </c>
      <c r="J64" s="846">
        <v>2</v>
      </c>
      <c r="K64" s="846">
        <v>1</v>
      </c>
      <c r="L64" s="816" t="str">
        <f t="shared" si="31"/>
        <v>W</v>
      </c>
      <c r="M64" s="816">
        <f t="shared" si="32"/>
        <v>3</v>
      </c>
      <c r="N64" s="816" t="str">
        <f t="shared" si="24"/>
        <v>O</v>
      </c>
      <c r="O64" s="816">
        <f t="shared" si="57"/>
        <v>-0.25</v>
      </c>
      <c r="P64" s="829">
        <f t="shared" si="58"/>
        <v>1</v>
      </c>
      <c r="Q64" s="830">
        <v>0.38</v>
      </c>
      <c r="R64" s="871">
        <f t="shared" si="27"/>
        <v>0.62</v>
      </c>
      <c r="S64" s="830">
        <v>2.4</v>
      </c>
      <c r="T64" s="871">
        <f t="shared" si="62"/>
        <v>0.60000000000000009</v>
      </c>
      <c r="U64" s="868">
        <f t="shared" si="60"/>
        <v>1.39</v>
      </c>
      <c r="V64" s="868">
        <f t="shared" si="61"/>
        <v>1.01</v>
      </c>
      <c r="W64" s="829">
        <v>17</v>
      </c>
      <c r="X64" s="829">
        <v>16</v>
      </c>
      <c r="Y64" s="829">
        <v>5</v>
      </c>
      <c r="Z64" s="829">
        <v>7</v>
      </c>
      <c r="AA64" s="829">
        <v>43</v>
      </c>
      <c r="AB64" s="829">
        <v>57</v>
      </c>
      <c r="AC64" s="829"/>
      <c r="AD64" s="816" t="str">
        <f t="array" ref="AD64">IF($J64="","",IF(SUM(IF(ISNUMBER(VALUE(RIGHT($AG64:$CM64,1))),VALUE(RIGHT($AG64:$CM64,1)),0))=$J64,"T","F"))</f>
        <v>T</v>
      </c>
      <c r="AE64" s="831">
        <f t="array" ref="AE64">IF($J64="","",SUM(IF(LEFT($AG64:$DY64,1)="s",1,0))-SUM(IF(RIGHT(LEFT($AG64:$DY64,2))="-",1,0)))</f>
        <v>0</v>
      </c>
      <c r="AF64" s="816">
        <f t="array" ref="AF64">IF($J64="","",SUM(IF(LEFT($AG64:$DE64,1)="X",1,0)))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32</v>
      </c>
      <c r="AK64" s="891" t="s">
        <v>1877</v>
      </c>
      <c r="AL64" s="891" t="s">
        <v>35</v>
      </c>
      <c r="AM64" s="891" t="s">
        <v>32</v>
      </c>
      <c r="AN64" s="891" t="s">
        <v>34</v>
      </c>
      <c r="AO64" s="891" t="s">
        <v>34</v>
      </c>
      <c r="AP64" s="904" t="s">
        <v>34</v>
      </c>
      <c r="AQ64" s="891" t="s">
        <v>36</v>
      </c>
      <c r="AR64" s="891" t="s">
        <v>32</v>
      </c>
      <c r="AS64" s="891" t="s">
        <v>32</v>
      </c>
      <c r="AT64" s="891" t="s">
        <v>32</v>
      </c>
      <c r="AU64" s="891" t="s">
        <v>36</v>
      </c>
      <c r="AV64" s="891" t="s">
        <v>34</v>
      </c>
      <c r="AW64" s="891" t="s">
        <v>34</v>
      </c>
      <c r="AX64" s="891" t="s">
        <v>32</v>
      </c>
      <c r="AY64" s="891" t="s">
        <v>34</v>
      </c>
      <c r="AZ64" s="891" t="s">
        <v>32</v>
      </c>
      <c r="BA64" s="891" t="s">
        <v>35</v>
      </c>
      <c r="BB64" s="891" t="s">
        <v>32</v>
      </c>
      <c r="BC64" s="891" t="s">
        <v>1877</v>
      </c>
      <c r="BD64" s="891" t="s">
        <v>1877</v>
      </c>
      <c r="BE64" s="906" t="s">
        <v>3530</v>
      </c>
      <c r="BF64" s="891" t="s">
        <v>3523</v>
      </c>
      <c r="BG64" s="891" t="s">
        <v>32</v>
      </c>
      <c r="BH64" s="891" t="s">
        <v>32</v>
      </c>
      <c r="BI64" s="891" t="s">
        <v>32</v>
      </c>
      <c r="BJ64" s="891" t="s">
        <v>35</v>
      </c>
      <c r="BK64" s="891"/>
      <c r="BL64" s="891"/>
      <c r="BM64" s="910"/>
      <c r="BN64" s="910"/>
      <c r="BO64" s="910"/>
      <c r="BP64" s="891"/>
      <c r="BQ64" s="891"/>
      <c r="BR64" s="891"/>
      <c r="BS64" s="891"/>
      <c r="BT64" s="891"/>
      <c r="BU64" s="891"/>
      <c r="BV64" s="891"/>
      <c r="BW64" s="891"/>
      <c r="BX64" s="891"/>
      <c r="BY64" s="891"/>
      <c r="BZ64" s="891"/>
      <c r="CA64" s="891"/>
      <c r="CB64" s="891"/>
      <c r="CC64" s="891"/>
      <c r="CD64" s="891"/>
      <c r="CE64" s="896"/>
      <c r="CF64" s="896"/>
      <c r="CG64" s="896"/>
      <c r="CH64" s="896"/>
    </row>
    <row r="65" spans="1:86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8</v>
      </c>
      <c r="G65" s="879" t="s">
        <v>880</v>
      </c>
      <c r="H65" s="879" t="s">
        <v>22</v>
      </c>
      <c r="I65" s="879" t="s">
        <v>891</v>
      </c>
      <c r="J65" s="846">
        <v>1</v>
      </c>
      <c r="K65" s="846">
        <v>1</v>
      </c>
      <c r="L65" s="816" t="str">
        <f t="shared" si="31"/>
        <v>D</v>
      </c>
      <c r="M65" s="816">
        <f t="shared" si="32"/>
        <v>2</v>
      </c>
      <c r="N65" s="816" t="str">
        <f t="shared" si="24"/>
        <v>U</v>
      </c>
      <c r="O65" s="816">
        <f t="shared" si="57"/>
        <v>-0.25</v>
      </c>
      <c r="P65" s="829">
        <f t="shared" si="58"/>
        <v>-0.5</v>
      </c>
      <c r="Q65" s="830">
        <v>0.15</v>
      </c>
      <c r="R65" s="871">
        <f t="shared" si="27"/>
        <v>-0.15</v>
      </c>
      <c r="S65" s="830">
        <v>2.5299999999999998</v>
      </c>
      <c r="T65" s="871">
        <f t="shared" si="62"/>
        <v>-0.5299999999999998</v>
      </c>
      <c r="U65" s="868">
        <f t="shared" si="60"/>
        <v>1.3399999999999999</v>
      </c>
      <c r="V65" s="868">
        <f t="shared" si="61"/>
        <v>1.19</v>
      </c>
      <c r="W65" s="829">
        <v>14</v>
      </c>
      <c r="X65" s="829">
        <v>5</v>
      </c>
      <c r="Y65" s="829">
        <v>7</v>
      </c>
      <c r="Z65" s="829">
        <v>1</v>
      </c>
      <c r="AA65" s="829">
        <v>51</v>
      </c>
      <c r="AB65" s="829">
        <v>49</v>
      </c>
      <c r="AC65" s="829"/>
      <c r="AD65" s="816" t="str">
        <f t="array" ref="AD65">IF($J65="","",IF(SUM(IF(ISNUMBER(VALUE(RIGHT($AG65:$CM65,1))),VALUE(RIGHT($AG65:$CM65,1)),0))=$J65,"T","F"))</f>
        <v>T</v>
      </c>
      <c r="AE65" s="831">
        <f t="array" ref="AE65">IF($J65="","",SUM(IF(LEFT($AG65:$DY65,1)="s",1,0))-SUM(IF(RIGHT(LEFT($AG65:$DY65,2))="-",1,0)))</f>
        <v>0</v>
      </c>
      <c r="AF65" s="816">
        <f t="array" ref="AF65">IF($J65="","",SUM(IF(LEFT($AG65:$DE65,1)="X",1,0)))</f>
        <v>11</v>
      </c>
      <c r="AG65" s="891" t="s">
        <v>1877</v>
      </c>
      <c r="AH65" s="891" t="s">
        <v>34</v>
      </c>
      <c r="AI65" s="891" t="s">
        <v>32</v>
      </c>
      <c r="AJ65" s="891" t="s">
        <v>32</v>
      </c>
      <c r="AK65" s="891" t="s">
        <v>1877</v>
      </c>
      <c r="AL65" s="891" t="s">
        <v>35</v>
      </c>
      <c r="AM65" s="891" t="s">
        <v>32</v>
      </c>
      <c r="AN65" s="891" t="s">
        <v>34</v>
      </c>
      <c r="AO65" s="891" t="s">
        <v>34</v>
      </c>
      <c r="AP65" s="891" t="s">
        <v>34</v>
      </c>
      <c r="AQ65" s="891" t="s">
        <v>36</v>
      </c>
      <c r="AR65" s="891" t="s">
        <v>32</v>
      </c>
      <c r="AS65" s="891" t="s">
        <v>32</v>
      </c>
      <c r="AT65" s="891" t="s">
        <v>32</v>
      </c>
      <c r="AU65" s="891" t="s">
        <v>36</v>
      </c>
      <c r="AV65" s="891" t="s">
        <v>34</v>
      </c>
      <c r="AW65" s="891" t="s">
        <v>35</v>
      </c>
      <c r="AX65" s="891" t="s">
        <v>32</v>
      </c>
      <c r="AY65" s="891" t="s">
        <v>3543</v>
      </c>
      <c r="AZ65" s="891" t="s">
        <v>32</v>
      </c>
      <c r="BA65" s="891" t="s">
        <v>34</v>
      </c>
      <c r="BB65" s="891" t="s">
        <v>32</v>
      </c>
      <c r="BC65" s="891" t="s">
        <v>1877</v>
      </c>
      <c r="BD65" s="891" t="s">
        <v>1877</v>
      </c>
      <c r="BE65" s="891" t="s">
        <v>36</v>
      </c>
      <c r="BF65" s="891" t="s">
        <v>34</v>
      </c>
      <c r="BG65" s="891" t="s">
        <v>32</v>
      </c>
      <c r="BH65" s="891" t="s">
        <v>32</v>
      </c>
      <c r="BI65" s="891" t="s">
        <v>32</v>
      </c>
      <c r="BJ65" s="891" t="s">
        <v>35</v>
      </c>
      <c r="BK65" s="891"/>
      <c r="BL65" s="891"/>
      <c r="BM65" s="910"/>
      <c r="BN65" s="910"/>
      <c r="BO65" s="910"/>
      <c r="BP65" s="891"/>
      <c r="BQ65" s="891"/>
      <c r="BR65" s="891"/>
      <c r="BS65" s="891"/>
      <c r="BT65" s="891"/>
      <c r="BU65" s="891"/>
      <c r="BV65" s="891"/>
      <c r="BW65" s="891"/>
      <c r="BX65" s="891"/>
      <c r="BY65" s="891"/>
      <c r="BZ65" s="891"/>
      <c r="CA65" s="891"/>
      <c r="CB65" s="891"/>
      <c r="CC65" s="891"/>
      <c r="CD65" s="891"/>
      <c r="CE65" s="896"/>
      <c r="CF65" s="896"/>
      <c r="CG65" s="896"/>
      <c r="CH65" s="896"/>
    </row>
    <row r="66" spans="1:86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13</v>
      </c>
      <c r="G66" s="879" t="s">
        <v>884</v>
      </c>
      <c r="H66" s="879" t="s">
        <v>18</v>
      </c>
      <c r="I66" s="879" t="s">
        <v>891</v>
      </c>
      <c r="J66" s="846">
        <v>1</v>
      </c>
      <c r="K66" s="846">
        <v>1</v>
      </c>
      <c r="L66" s="816" t="str">
        <f t="shared" si="31"/>
        <v>D</v>
      </c>
      <c r="M66" s="816">
        <f t="shared" si="32"/>
        <v>2</v>
      </c>
      <c r="N66" s="816" t="str">
        <f t="shared" si="24"/>
        <v>U</v>
      </c>
      <c r="O66" s="816">
        <f t="shared" si="57"/>
        <v>-0.5</v>
      </c>
      <c r="P66" s="829">
        <f t="shared" si="58"/>
        <v>-1</v>
      </c>
      <c r="Q66" s="830">
        <v>0.53</v>
      </c>
      <c r="R66" s="871">
        <f t="shared" si="27"/>
        <v>-0.53</v>
      </c>
      <c r="S66" s="830">
        <v>2.4</v>
      </c>
      <c r="T66" s="871">
        <f t="shared" si="62"/>
        <v>-0.39999999999999991</v>
      </c>
      <c r="U66" s="868">
        <f t="shared" si="60"/>
        <v>1.4649999999999999</v>
      </c>
      <c r="V66" s="868">
        <f t="shared" si="61"/>
        <v>0.93500000000000005</v>
      </c>
      <c r="W66" s="829">
        <v>18</v>
      </c>
      <c r="X66" s="829">
        <v>8</v>
      </c>
      <c r="Y66" s="829">
        <v>4</v>
      </c>
      <c r="Z66" s="829">
        <v>1</v>
      </c>
      <c r="AA66" s="829">
        <v>58</v>
      </c>
      <c r="AB66" s="829">
        <v>42</v>
      </c>
      <c r="AC66" s="829"/>
      <c r="AD66" s="816" t="str">
        <f t="array" ref="AD66">IF($J66="","",IF(SUM(IF(ISNUMBER(VALUE(RIGHT($AG66:$CM66,1))),VALUE(RIGHT($AG66:$CM66,1)),0))=$J66,"T","F"))</f>
        <v>T</v>
      </c>
      <c r="AE66" s="831">
        <f t="array" ref="AE66">IF($J66="","",SUM(IF(LEFT($AG66:$DY66,1)="s",1,0))-SUM(IF(RIGHT(LEFT($AG66:$DY66,2))="-",1,0)))</f>
        <v>0</v>
      </c>
      <c r="AF66" s="816">
        <f t="array" ref="AF66">IF($J66="","",SUM(IF(LEFT($AG66:$DE66,1)="X",1,0)))</f>
        <v>11</v>
      </c>
      <c r="AG66" s="891" t="s">
        <v>1877</v>
      </c>
      <c r="AH66" s="891" t="s">
        <v>34</v>
      </c>
      <c r="AI66" s="891" t="s">
        <v>32</v>
      </c>
      <c r="AJ66" s="891" t="s">
        <v>32</v>
      </c>
      <c r="AK66" s="891" t="s">
        <v>32</v>
      </c>
      <c r="AL66" s="891" t="s">
        <v>34</v>
      </c>
      <c r="AM66" s="891" t="s">
        <v>1877</v>
      </c>
      <c r="AN66" s="891" t="s">
        <v>34</v>
      </c>
      <c r="AO66" s="891" t="s">
        <v>34</v>
      </c>
      <c r="AP66" s="891" t="s">
        <v>34</v>
      </c>
      <c r="AQ66" s="891" t="s">
        <v>1877</v>
      </c>
      <c r="AR66" s="891" t="s">
        <v>32</v>
      </c>
      <c r="AS66" s="891" t="s">
        <v>32</v>
      </c>
      <c r="AT66" s="891" t="s">
        <v>32</v>
      </c>
      <c r="AU66" s="891" t="s">
        <v>32</v>
      </c>
      <c r="AV66" s="891" t="s">
        <v>34</v>
      </c>
      <c r="AW66" s="891" t="s">
        <v>35</v>
      </c>
      <c r="AX66" s="891" t="s">
        <v>32</v>
      </c>
      <c r="AY66" s="891" t="s">
        <v>34</v>
      </c>
      <c r="AZ66" s="891" t="s">
        <v>32</v>
      </c>
      <c r="BA66" s="891" t="s">
        <v>35</v>
      </c>
      <c r="BB66" s="891" t="s">
        <v>32</v>
      </c>
      <c r="BC66" s="891" t="s">
        <v>36</v>
      </c>
      <c r="BD66" s="891" t="s">
        <v>36</v>
      </c>
      <c r="BE66" s="891" t="s">
        <v>35</v>
      </c>
      <c r="BF66" s="891" t="s">
        <v>3572</v>
      </c>
      <c r="BG66" s="891" t="s">
        <v>1877</v>
      </c>
      <c r="BH66" s="891" t="s">
        <v>32</v>
      </c>
      <c r="BI66" s="891" t="s">
        <v>32</v>
      </c>
      <c r="BJ66" s="891" t="s">
        <v>36</v>
      </c>
      <c r="BK66" s="891"/>
      <c r="BL66" s="891"/>
      <c r="BM66" s="910"/>
      <c r="BN66" s="910"/>
      <c r="BO66" s="910"/>
      <c r="BP66" s="891"/>
      <c r="BQ66" s="891"/>
      <c r="BR66" s="891"/>
      <c r="BS66" s="891"/>
      <c r="BT66" s="891"/>
      <c r="BU66" s="891"/>
      <c r="BV66" s="891"/>
      <c r="BW66" s="891"/>
      <c r="BX66" s="891"/>
      <c r="BY66" s="891"/>
      <c r="BZ66" s="891"/>
      <c r="CA66" s="891"/>
      <c r="CB66" s="891"/>
      <c r="CC66" s="891"/>
      <c r="CD66" s="891"/>
      <c r="CE66" s="896"/>
      <c r="CF66" s="896"/>
      <c r="CG66" s="896"/>
      <c r="CH66" s="896"/>
    </row>
    <row r="67" spans="1:86" ht="15">
      <c r="A67" s="882">
        <v>6540</v>
      </c>
      <c r="B67" s="884"/>
      <c r="C67" s="884"/>
      <c r="D67" s="884"/>
      <c r="E67" s="884"/>
      <c r="F67" s="884">
        <f ca="1">IF(I67="","",IF(I67=Table!$C$1,VLOOKUP(G67,Table!$B$9:$AE$32,Table!$AE$6-1,FALSE),""))</f>
        <v>5</v>
      </c>
      <c r="G67" s="879" t="s">
        <v>889</v>
      </c>
      <c r="H67" s="879" t="s">
        <v>3586</v>
      </c>
      <c r="I67" s="879" t="s">
        <v>891</v>
      </c>
      <c r="J67" s="846">
        <v>1</v>
      </c>
      <c r="K67" s="846">
        <v>0</v>
      </c>
      <c r="L67" s="816" t="str">
        <f t="shared" ref="L67:L68" si="63">IF(J67="","",IF(J67&gt;K67,"W",IF(J67=K67,"D",IF(J67&lt;K67,"L"))))</f>
        <v>W</v>
      </c>
      <c r="M67" s="816">
        <f t="shared" ref="M67:M68" si="64">IF(J67="","",J67+K67)</f>
        <v>1</v>
      </c>
      <c r="N67" s="816" t="str">
        <f t="shared" si="24"/>
        <v>U</v>
      </c>
      <c r="O67" s="816">
        <f t="shared" ref="O67" si="65">IF(Q67="","",IF(SIGN(Q67)&lt;&gt;1,VLOOKUP(ABS(Q67),SUP_HDC,3,TRUE),-VLOOKUP(ABS(Q67),SUP_HDC,3,TRUE)))</f>
        <v>-0.25</v>
      </c>
      <c r="P67" s="829">
        <f t="shared" ref="P67" si="66">IF(O67="","",IF((J67-K67+O67)&gt;=0.5,1,IF((J67-K67+O67)=0.25,0.5,IF((J67-K67+O67)&lt;=-0.5,-1,IF((J67-K67+O67)=-0.25,-0.5,0)))))</f>
        <v>1</v>
      </c>
      <c r="Q67" s="830">
        <v>0.15</v>
      </c>
      <c r="R67" s="871">
        <f t="shared" ref="R67" si="67">IF(ISBLANK(Q67),"",J67-K67-Q67)</f>
        <v>0.85</v>
      </c>
      <c r="S67" s="830">
        <v>2.33</v>
      </c>
      <c r="T67" s="871">
        <f t="shared" ref="T67" si="68">IF(ISBLANK(S67),"",J67+K67-S67)</f>
        <v>-1.33</v>
      </c>
      <c r="U67" s="868">
        <f t="shared" ref="U67" si="69">IF(Q67="","",(Q67+S67)/2)</f>
        <v>1.24</v>
      </c>
      <c r="V67" s="868">
        <f t="shared" ref="V67" si="70">IF(Q67="","",S67-U67)</f>
        <v>1.0900000000000001</v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IF($J67="","",IF(SUM(IF(ISNUMBER(VALUE(RIGHT($AG67:$CM67,1))),VALUE(RIGHT($AG67:$CM67,1)),0))=$J67,"T","F"))</f>
        <v>T</v>
      </c>
      <c r="AE67" s="831">
        <f t="array" ref="AE67">IF($J67="","",SUM(IF(LEFT($AG67:$DY67,1)="s",1,0))-SUM(IF(RIGHT(LEFT($AG67:$DY67,2))="-",1,0)))</f>
        <v>0</v>
      </c>
      <c r="AF67" s="816">
        <f t="array" ref="AF67">IF($J67="","",SUM(IF(LEFT($AG67:$DE67,1)="X",1,0)))</f>
        <v>11</v>
      </c>
      <c r="AG67" s="891" t="s">
        <v>3591</v>
      </c>
      <c r="AH67" s="904" t="s">
        <v>3589</v>
      </c>
      <c r="AI67" s="891"/>
      <c r="AJ67" s="891"/>
      <c r="AK67" s="891"/>
      <c r="AL67" s="891" t="s">
        <v>3590</v>
      </c>
      <c r="AM67" s="891" t="s">
        <v>3590</v>
      </c>
      <c r="AN67" s="891" t="s">
        <v>3590</v>
      </c>
      <c r="AO67" s="904" t="s">
        <v>3590</v>
      </c>
      <c r="AP67" s="891" t="s">
        <v>3590</v>
      </c>
      <c r="AQ67" s="891" t="s">
        <v>3591</v>
      </c>
      <c r="AR67" s="891"/>
      <c r="AS67" s="891"/>
      <c r="AT67" s="891"/>
      <c r="AU67" s="891"/>
      <c r="AV67" s="891" t="s">
        <v>2997</v>
      </c>
      <c r="AW67" s="891" t="s">
        <v>3590</v>
      </c>
      <c r="AX67" s="891"/>
      <c r="AY67" s="891" t="s">
        <v>3609</v>
      </c>
      <c r="AZ67" s="891"/>
      <c r="BA67" s="891" t="s">
        <v>3608</v>
      </c>
      <c r="BB67" s="891"/>
      <c r="BC67" s="891" t="s">
        <v>2997</v>
      </c>
      <c r="BD67" s="891" t="s">
        <v>3591</v>
      </c>
      <c r="BE67" s="891" t="s">
        <v>2997</v>
      </c>
      <c r="BF67" s="891" t="s">
        <v>3590</v>
      </c>
      <c r="BG67" s="891" t="s">
        <v>3591</v>
      </c>
      <c r="BH67" s="891"/>
      <c r="BI67" s="891"/>
      <c r="BJ67" s="891" t="s">
        <v>3610</v>
      </c>
      <c r="BK67" s="891"/>
      <c r="BL67" s="891"/>
      <c r="BM67" s="910"/>
      <c r="BN67" s="910"/>
      <c r="BO67" s="910"/>
      <c r="BP67" s="891"/>
      <c r="BQ67" s="891"/>
      <c r="BR67" s="891"/>
      <c r="BS67" s="891"/>
      <c r="BT67" s="891"/>
      <c r="BU67" s="891"/>
      <c r="BV67" s="891"/>
      <c r="BW67" s="891"/>
      <c r="BX67" s="891"/>
      <c r="BY67" s="891"/>
      <c r="BZ67" s="891"/>
      <c r="CA67" s="891"/>
      <c r="CB67" s="891"/>
      <c r="CC67" s="891"/>
      <c r="CD67" s="891"/>
      <c r="CE67" s="896"/>
      <c r="CF67" s="896"/>
      <c r="CG67" s="896"/>
      <c r="CH67" s="896"/>
    </row>
    <row r="68" spans="1:86" ht="15">
      <c r="A68" s="882">
        <v>6547</v>
      </c>
      <c r="B68" s="884"/>
      <c r="C68" s="884"/>
      <c r="D68" s="884"/>
      <c r="E68" s="884"/>
      <c r="F68" s="884">
        <f ca="1">IF(I68="","",IF(I68=Table!$C$1,VLOOKUP(G68,Table!$B$9:$AE$32,Table!$AE$6-1,FALSE),""))</f>
        <v>3</v>
      </c>
      <c r="G68" s="879" t="s">
        <v>1085</v>
      </c>
      <c r="H68" s="879" t="s">
        <v>18</v>
      </c>
      <c r="I68" s="879" t="s">
        <v>891</v>
      </c>
      <c r="J68" s="846">
        <v>0</v>
      </c>
      <c r="K68" s="846">
        <v>0</v>
      </c>
      <c r="L68" s="816" t="str">
        <f t="shared" si="63"/>
        <v>D</v>
      </c>
      <c r="M68" s="816">
        <f t="shared" si="64"/>
        <v>0</v>
      </c>
      <c r="N68" s="816" t="str">
        <f t="shared" si="24"/>
        <v>U</v>
      </c>
      <c r="O68" s="816"/>
      <c r="P68" s="829"/>
      <c r="Q68" s="830"/>
      <c r="R68" s="871"/>
      <c r="S68" s="830"/>
      <c r="T68" s="871"/>
      <c r="U68" s="868"/>
      <c r="V68" s="868"/>
      <c r="W68" s="829"/>
      <c r="X68" s="829"/>
      <c r="Y68" s="829"/>
      <c r="Z68" s="829"/>
      <c r="AA68" s="829"/>
      <c r="AB68" s="829"/>
      <c r="AC68" s="829"/>
      <c r="AE68" s="831"/>
      <c r="AG68" s="891" t="s">
        <v>1877</v>
      </c>
      <c r="AH68" s="891" t="s">
        <v>34</v>
      </c>
      <c r="AI68" s="891" t="s">
        <v>32</v>
      </c>
      <c r="AJ68" s="891" t="s">
        <v>32</v>
      </c>
      <c r="AK68" s="891" t="s">
        <v>32</v>
      </c>
      <c r="AL68" s="891" t="s">
        <v>34</v>
      </c>
      <c r="AM68" s="904" t="s">
        <v>35</v>
      </c>
      <c r="AN68" s="891" t="s">
        <v>34</v>
      </c>
      <c r="AO68" s="891" t="s">
        <v>34</v>
      </c>
      <c r="AP68" s="891" t="s">
        <v>34</v>
      </c>
      <c r="AQ68" s="891" t="s">
        <v>1877</v>
      </c>
      <c r="AR68" s="891" t="s">
        <v>32</v>
      </c>
      <c r="AS68" s="891" t="s">
        <v>32</v>
      </c>
      <c r="AT68" s="891" t="s">
        <v>32</v>
      </c>
      <c r="AU68" s="891" t="s">
        <v>32</v>
      </c>
      <c r="AV68" s="891" t="s">
        <v>36</v>
      </c>
      <c r="AW68" s="891" t="s">
        <v>35</v>
      </c>
      <c r="AX68" s="891" t="s">
        <v>32</v>
      </c>
      <c r="AY68" s="891" t="s">
        <v>34</v>
      </c>
      <c r="AZ68" s="891" t="s">
        <v>32</v>
      </c>
      <c r="BA68" s="904" t="s">
        <v>35</v>
      </c>
      <c r="BB68" s="891" t="s">
        <v>32</v>
      </c>
      <c r="BC68" s="891" t="s">
        <v>36</v>
      </c>
      <c r="BD68" s="891" t="s">
        <v>1877</v>
      </c>
      <c r="BE68" s="891" t="s">
        <v>36</v>
      </c>
      <c r="BF68" s="891" t="s">
        <v>34</v>
      </c>
      <c r="BG68" s="891" t="s">
        <v>1877</v>
      </c>
      <c r="BH68" s="891" t="s">
        <v>32</v>
      </c>
      <c r="BI68" s="891" t="s">
        <v>32</v>
      </c>
      <c r="BJ68" s="891" t="s">
        <v>34</v>
      </c>
      <c r="BK68" s="891"/>
      <c r="BL68" s="891"/>
      <c r="BM68" s="910"/>
      <c r="BN68" s="910"/>
      <c r="BO68" s="910"/>
      <c r="BP68" s="891"/>
      <c r="BQ68" s="891"/>
      <c r="BR68" s="891"/>
      <c r="BS68" s="891"/>
      <c r="BT68" s="891"/>
      <c r="BU68" s="891"/>
      <c r="BV68" s="891"/>
      <c r="BW68" s="891"/>
      <c r="BX68" s="891"/>
      <c r="BY68" s="891"/>
      <c r="BZ68" s="891"/>
      <c r="CA68" s="891"/>
      <c r="CB68" s="891"/>
      <c r="CC68" s="891"/>
      <c r="CD68" s="891"/>
      <c r="CE68" s="896"/>
      <c r="CF68" s="896"/>
      <c r="CG68" s="896"/>
      <c r="CH68" s="896"/>
    </row>
    <row r="69" spans="1:86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L69" s="816" t="str">
        <f t="shared" ref="L69:L73" si="71">IF(J69="","",IF(J69&gt;K69,"W",IF(J69=K69,"D",IF(J69&lt;K69,"L"))))</f>
        <v/>
      </c>
      <c r="M69" s="816" t="str">
        <f t="shared" ref="M69:M73" si="72">IF(J69="","",J69+K69)</f>
        <v/>
      </c>
      <c r="N69" s="816" t="str">
        <f t="shared" si="24"/>
        <v/>
      </c>
      <c r="O69" s="816" t="str">
        <f t="shared" ref="O69:O73" si="73">IF(Q69="","",IF(SIGN(Q69)&lt;&gt;1,VLOOKUP(ABS(Q69),SUP_HDC,3,TRUE),-VLOOKUP(ABS(Q69),SUP_HDC,3,TRUE)))</f>
        <v/>
      </c>
      <c r="P69" s="829" t="str">
        <f t="shared" ref="P69:P73" si="74">IF(O69="","",IF((J69-K69+O69)&gt;=0.5,1,IF((J69-K69+O69)=0.25,0.5,IF((J69-K69+O69)&lt;=-0.5,-1,IF((J69-K69+O69)=-0.25,-0.5,0)))))</f>
        <v/>
      </c>
      <c r="Q69" s="874"/>
      <c r="R69" s="871" t="str">
        <f t="shared" ref="R69:R73" si="75">IF(ISBLANK(Q69),"",J69-K69-Q69)</f>
        <v/>
      </c>
      <c r="T69" s="871" t="str">
        <f t="shared" si="62"/>
        <v/>
      </c>
      <c r="U69" s="868" t="str">
        <f t="shared" si="60"/>
        <v/>
      </c>
      <c r="V69" s="868" t="str">
        <f t="shared" si="61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IF($J69="","",IF(SUM(IF(ISNUMBER(VALUE(RIGHT($AG69:$CM69,1))),VALUE(RIGHT($AG69:$CM69,1)),0))=$J69,"T","F"))</f>
        <v/>
      </c>
      <c r="AE69" s="831" t="str">
        <f t="array" ref="AE69">IF($J69="","",SUM(IF(LEFT($AG69:$DY69,1)="s",1,0))-SUM(IF(RIGHT(LEFT($AG69:$DY69,2))="-",1,0)))</f>
        <v/>
      </c>
      <c r="AF69" s="816" t="str">
        <f t="array" ref="AF69">IF($J69="","",SUM(IF(LEFT($AG69:$DE69,1)="X",1,0)))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1"/>
      <c r="BT69" s="891"/>
      <c r="BU69" s="891"/>
      <c r="BV69" s="891"/>
      <c r="BW69" s="891"/>
      <c r="BX69" s="891"/>
      <c r="BY69" s="891"/>
      <c r="BZ69" s="891"/>
      <c r="CA69" s="891"/>
      <c r="CB69" s="891"/>
      <c r="CC69" s="891"/>
      <c r="CD69" s="891"/>
      <c r="CE69" s="896"/>
      <c r="CF69" s="896"/>
      <c r="CG69" s="896"/>
      <c r="CH69" s="896"/>
    </row>
    <row r="70" spans="1:86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L70" s="816" t="str">
        <f t="shared" si="71"/>
        <v/>
      </c>
      <c r="M70" s="816" t="str">
        <f t="shared" si="72"/>
        <v/>
      </c>
      <c r="N70" s="816" t="str">
        <f t="shared" si="24"/>
        <v/>
      </c>
      <c r="O70" s="816" t="str">
        <f t="shared" si="73"/>
        <v/>
      </c>
      <c r="P70" s="829" t="str">
        <f t="shared" si="74"/>
        <v/>
      </c>
      <c r="Q70" s="874"/>
      <c r="R70" s="871" t="str">
        <f t="shared" si="75"/>
        <v/>
      </c>
      <c r="T70" s="871" t="str">
        <f t="shared" si="62"/>
        <v/>
      </c>
      <c r="U70" s="868" t="str">
        <f t="shared" si="60"/>
        <v/>
      </c>
      <c r="V70" s="868" t="str">
        <f t="shared" si="61"/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IF($J70="","",IF(SUM(IF(ISNUMBER(VALUE(RIGHT($AG70:$CM70,1))),VALUE(RIGHT($AG70:$CM70,1)),0))=$J70,"T","F"))</f>
        <v/>
      </c>
      <c r="AE70" s="831" t="str">
        <f t="array" ref="AE70">IF($J70="","",SUM(IF(LEFT($AG70:$DY70,1)="s",1,0))-SUM(IF(RIGHT(LEFT($AG70:$DY70,2))="-",1,0)))</f>
        <v/>
      </c>
      <c r="AF70" s="816" t="str">
        <f t="array" ref="AF70">IF($J70="","",SUM(IF(LEFT($AG70:$DE70,1)="X",1,0)))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1"/>
      <c r="BT70" s="891"/>
      <c r="BU70" s="891"/>
      <c r="BV70" s="891"/>
      <c r="BW70" s="891"/>
      <c r="BX70" s="891"/>
      <c r="BY70" s="891"/>
      <c r="BZ70" s="891"/>
      <c r="CA70" s="891"/>
      <c r="CB70" s="891"/>
      <c r="CC70" s="891"/>
      <c r="CD70" s="891"/>
      <c r="CE70" s="896"/>
      <c r="CF70" s="896"/>
      <c r="CG70" s="896"/>
      <c r="CH70" s="896"/>
    </row>
    <row r="71" spans="1:86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L71" s="816" t="str">
        <f t="shared" si="71"/>
        <v/>
      </c>
      <c r="M71" s="816" t="str">
        <f t="shared" si="72"/>
        <v/>
      </c>
      <c r="N71" s="816" t="str">
        <f t="shared" si="24"/>
        <v/>
      </c>
      <c r="O71" s="816" t="str">
        <f t="shared" si="73"/>
        <v/>
      </c>
      <c r="P71" s="829" t="str">
        <f t="shared" si="74"/>
        <v/>
      </c>
      <c r="Q71" s="874"/>
      <c r="R71" s="871" t="str">
        <f t="shared" si="75"/>
        <v/>
      </c>
      <c r="T71" s="871" t="str">
        <f t="shared" si="62"/>
        <v/>
      </c>
      <c r="U71" s="868" t="str">
        <f t="shared" si="60"/>
        <v/>
      </c>
      <c r="V71" s="868" t="str">
        <f t="shared" si="61"/>
        <v/>
      </c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IF($J71="","",IF(SUM(IF(ISNUMBER(VALUE(RIGHT($AG71:$CM71,1))),VALUE(RIGHT($AG71:$CM71,1)),0))=$J71,"T","F"))</f>
        <v/>
      </c>
      <c r="AE71" s="831" t="str">
        <f t="array" ref="AE71">IF($J71="","",SUM(IF(LEFT($AG71:$DY71,1)="s",1,0))-SUM(IF(RIGHT(LEFT($AG71:$DY71,2))="-",1,0)))</f>
        <v/>
      </c>
      <c r="AF71" s="816" t="str">
        <f t="array" ref="AF71">IF($J71="","",SUM(IF(LEFT($AG71:$DE71,1)="X",1,0)))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1"/>
      <c r="BT71" s="891"/>
      <c r="BU71" s="891"/>
      <c r="BV71" s="891"/>
      <c r="BW71" s="891"/>
      <c r="BX71" s="891"/>
      <c r="BY71" s="891"/>
      <c r="BZ71" s="891"/>
      <c r="CA71" s="891"/>
      <c r="CB71" s="891"/>
      <c r="CC71" s="891"/>
      <c r="CD71" s="891"/>
      <c r="CE71" s="896"/>
      <c r="CF71" s="896"/>
      <c r="CG71" s="896"/>
      <c r="CH71" s="896"/>
    </row>
    <row r="72" spans="1:86" ht="15">
      <c r="A72" s="881"/>
      <c r="B72" s="884"/>
      <c r="C72" s="884"/>
      <c r="D72" s="884" t="str">
        <f>IF(I72=Table!$C$1,VLOOKUP(G72,Table!$B$38:$AO$61,Table!$AO$35-1,FALSE),"")</f>
        <v/>
      </c>
      <c r="E72" s="884"/>
      <c r="F72" s="884" t="str">
        <f>IF(I72="","",IF(I72=Table!$C$1,VLOOKUP(G72,Table!$B$9:$AE$32,Table!$AE$6-1,FALSE),""))</f>
        <v/>
      </c>
      <c r="G72" s="879"/>
      <c r="H72" s="879"/>
      <c r="I72" s="879"/>
      <c r="J72" s="428"/>
      <c r="K72" s="428"/>
      <c r="L72" s="816" t="str">
        <f t="shared" si="71"/>
        <v/>
      </c>
      <c r="M72" s="816" t="str">
        <f t="shared" si="72"/>
        <v/>
      </c>
      <c r="N72" s="816" t="str">
        <f t="shared" si="24"/>
        <v/>
      </c>
      <c r="O72" s="816" t="str">
        <f t="shared" si="73"/>
        <v/>
      </c>
      <c r="P72" s="829" t="str">
        <f t="shared" si="74"/>
        <v/>
      </c>
      <c r="Q72" s="874"/>
      <c r="R72" s="871" t="str">
        <f t="shared" si="75"/>
        <v/>
      </c>
      <c r="T72" s="871" t="str">
        <f t="shared" ref="T72" si="76">IF(ISBLANK(S72),"",J72+K72-S72)</f>
        <v/>
      </c>
      <c r="U72" s="868" t="str">
        <f t="shared" ref="U72" si="77">IF(Q72="","",(Q72+S72)/2)</f>
        <v/>
      </c>
      <c r="V72" s="868" t="str">
        <f t="shared" ref="V72" si="78">IF(Q72="","",S72-U72)</f>
        <v/>
      </c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IF($J72="","",IF(SUM(IF(ISNUMBER(VALUE(RIGHT($AG72:$CM72,1))),VALUE(RIGHT($AG72:$CM72,1)),0))=$J72,"T","F"))</f>
        <v/>
      </c>
      <c r="AE72" s="831" t="str">
        <f t="array" ref="AE72">IF($J72="","",SUM(IF(LEFT($AG72:$DY72,1)="s",1,0))-SUM(IF(RIGHT(LEFT($AG72:$DY72,2))="-",1,0)))</f>
        <v/>
      </c>
      <c r="AF72" s="816" t="str">
        <f t="array" ref="AF72">IF($J72="","",SUM(IF(LEFT($AG72:$DE72,1)="X",1,0)))</f>
        <v/>
      </c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1"/>
      <c r="BR72" s="891"/>
      <c r="BS72" s="891"/>
      <c r="BT72" s="891"/>
      <c r="BU72" s="891"/>
      <c r="BV72" s="891"/>
      <c r="BW72" s="891"/>
      <c r="BX72" s="891"/>
      <c r="BY72" s="891"/>
      <c r="BZ72" s="891"/>
      <c r="CA72" s="891"/>
      <c r="CB72" s="891"/>
      <c r="CC72" s="891"/>
      <c r="CD72" s="891"/>
      <c r="CE72" s="896"/>
      <c r="CF72" s="896"/>
      <c r="CG72" s="896"/>
      <c r="CH72" s="896"/>
    </row>
    <row r="73" spans="1:86" ht="15">
      <c r="A73" s="881"/>
      <c r="B73" s="884"/>
      <c r="C73" s="884"/>
      <c r="D73" s="884"/>
      <c r="E73" s="884"/>
      <c r="F73" s="884" t="str">
        <f>IF(I73="","",IF(I73=Table!$C$1,VLOOKUP(G73,Table!$B$9:$AE$32,Table!$AE$6-1,FALSE),""))</f>
        <v/>
      </c>
      <c r="G73" s="879"/>
      <c r="H73" s="879"/>
      <c r="I73" s="879"/>
      <c r="J73" s="428"/>
      <c r="K73" s="428"/>
      <c r="L73" s="816" t="str">
        <f t="shared" si="71"/>
        <v/>
      </c>
      <c r="M73" s="816" t="str">
        <f t="shared" si="72"/>
        <v/>
      </c>
      <c r="N73" s="816" t="str">
        <f t="shared" si="24"/>
        <v/>
      </c>
      <c r="O73" s="816" t="str">
        <f t="shared" si="73"/>
        <v/>
      </c>
      <c r="P73" s="829" t="str">
        <f t="shared" si="74"/>
        <v/>
      </c>
      <c r="Q73" s="874"/>
      <c r="R73" s="871" t="str">
        <f t="shared" si="75"/>
        <v/>
      </c>
      <c r="T73" s="871" t="str">
        <f t="shared" ref="T73" si="79">IF(ISBLANK(S73),"",J73+K73-S73)</f>
        <v/>
      </c>
      <c r="U73" s="868" t="str">
        <f t="shared" ref="U73" si="80">IF(Q73="","",(Q73+S73)/2)</f>
        <v/>
      </c>
      <c r="V73" s="868" t="str">
        <f t="shared" ref="V73" si="81">IF(Q73="","",S73-U73)</f>
        <v/>
      </c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IF($J73="","",IF(SUM(IF(ISNUMBER(VALUE(RIGHT($AG73:$CM73,1))),VALUE(RIGHT($AG73:$CM73,1)),0))=$J73,"T","F"))</f>
        <v/>
      </c>
      <c r="AE73" s="831" t="str">
        <f t="array" ref="AE73">IF($J73="","",SUM(IF(LEFT($AG73:$DY73,1)="s",1,0))-SUM(IF(RIGHT(LEFT($AG73:$DY73,2))="-",1,0)))</f>
        <v/>
      </c>
      <c r="AF73" s="816" t="str">
        <f t="array" ref="AF73">IF($J73="","",SUM(IF(LEFT($AG73:$DE73,1)="X",1,0)))</f>
        <v/>
      </c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/>
      <c r="BF73" s="891"/>
      <c r="BG73" s="891"/>
      <c r="BH73" s="891"/>
      <c r="BI73" s="891"/>
      <c r="BJ73" s="891"/>
      <c r="BK73" s="891"/>
      <c r="BL73" s="891"/>
      <c r="BM73" s="891"/>
      <c r="BN73" s="891"/>
      <c r="BO73" s="891"/>
      <c r="BP73" s="891"/>
      <c r="BQ73" s="891"/>
      <c r="BR73" s="891"/>
      <c r="BS73" s="891"/>
      <c r="BT73" s="891"/>
      <c r="BU73" s="891"/>
      <c r="BV73" s="891"/>
      <c r="BW73" s="891"/>
      <c r="BX73" s="891"/>
      <c r="BY73" s="891"/>
      <c r="BZ73" s="891"/>
      <c r="CA73" s="891"/>
      <c r="CB73" s="891"/>
      <c r="CC73" s="891"/>
      <c r="CD73" s="891"/>
      <c r="CE73" s="896"/>
      <c r="CF73" s="896"/>
      <c r="CG73" s="896"/>
      <c r="CH73" s="896"/>
    </row>
    <row r="74" spans="1:86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31"/>
        <v/>
      </c>
      <c r="M74" s="816" t="str">
        <f t="shared" si="32"/>
        <v/>
      </c>
      <c r="N74" s="816" t="str">
        <f t="shared" si="24"/>
        <v/>
      </c>
      <c r="O74" s="816" t="str">
        <f t="shared" si="57"/>
        <v/>
      </c>
      <c r="P74" s="829" t="str">
        <f t="shared" si="58"/>
        <v/>
      </c>
      <c r="R74" s="871" t="str">
        <f t="shared" si="27"/>
        <v/>
      </c>
      <c r="T74" s="829" t="str">
        <f t="shared" si="62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IF($J74="","",IF(SUM(IF(ISNUMBER(VALUE(RIGHT($AG74:$CM74,1))),VALUE(RIGHT($AG74:$CM74,1)),0))=$J74,"T","F"))</f>
        <v/>
      </c>
      <c r="AE74" s="831" t="str">
        <f t="array" ref="AE74">IF($J74="","",SUM(IF(LEFT($AG74:$DY74,1)="s",1,0))-SUM(IF(RIGHT(LEFT($AG74:$DY74,2))="-",1,0)))</f>
        <v/>
      </c>
      <c r="AF74" s="816" t="str">
        <f t="array" ref="AF74">IF($J74="","",SUM(IF(LEFT($AG74:$DE74,1)="X",1,0)))</f>
        <v/>
      </c>
      <c r="AG74" s="891"/>
      <c r="AH74" s="891"/>
      <c r="AI74" s="891"/>
      <c r="AJ74" s="891"/>
      <c r="AK74" s="891"/>
      <c r="AL74" s="891"/>
      <c r="AM74" s="891"/>
      <c r="AN74" s="891"/>
      <c r="AO74" s="891"/>
      <c r="AP74" s="891"/>
      <c r="AQ74" s="891"/>
      <c r="AR74" s="891"/>
      <c r="AS74" s="891"/>
      <c r="AT74" s="891"/>
      <c r="AU74" s="891"/>
      <c r="AV74" s="891"/>
      <c r="AW74" s="891"/>
      <c r="AX74" s="891"/>
      <c r="AY74" s="891"/>
      <c r="AZ74" s="891"/>
      <c r="BA74" s="891"/>
      <c r="BB74" s="891"/>
      <c r="BC74" s="891"/>
      <c r="BD74" s="891"/>
      <c r="BE74" s="891"/>
      <c r="BF74" s="891"/>
      <c r="BG74" s="891"/>
      <c r="BH74" s="891"/>
      <c r="BI74" s="891"/>
      <c r="BJ74" s="891"/>
      <c r="BK74" s="891"/>
      <c r="BL74" s="891"/>
      <c r="BM74" s="891"/>
      <c r="BN74" s="891"/>
      <c r="BO74" s="891"/>
      <c r="BP74" s="891"/>
      <c r="BQ74" s="891"/>
      <c r="BR74" s="891"/>
      <c r="BS74" s="891"/>
      <c r="BT74" s="891"/>
      <c r="BU74" s="891"/>
      <c r="BV74" s="891"/>
      <c r="BW74" s="891"/>
      <c r="BX74" s="891"/>
      <c r="BY74" s="891"/>
      <c r="BZ74" s="891"/>
      <c r="CA74" s="891"/>
      <c r="CB74" s="891"/>
      <c r="CC74" s="891"/>
      <c r="CD74" s="891"/>
      <c r="CE74" s="896"/>
      <c r="CF74" s="896"/>
      <c r="CG74" s="896"/>
      <c r="CH74" s="896"/>
    </row>
    <row r="75" spans="1:86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31"/>
        <v/>
      </c>
      <c r="M75" s="816" t="str">
        <f t="shared" si="32"/>
        <v/>
      </c>
      <c r="N75" s="816" t="str">
        <f t="shared" si="24"/>
        <v/>
      </c>
      <c r="R75" s="871" t="str">
        <f t="shared" si="27"/>
        <v/>
      </c>
      <c r="T75" s="829" t="str">
        <f t="shared" si="62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IF($J75="","",IF(SUM(IF(ISNUMBER(VALUE(RIGHT($AG75:$CM75,1))),VALUE(RIGHT($AG75:$CM75,1)),0))=$J75,"T","F"))</f>
        <v/>
      </c>
      <c r="AE75" s="831" t="str">
        <f t="array" ref="AE75">IF($J75="","",SUM(IF(LEFT($AG75:$DY75,1)="s",1,0))-SUM(IF(RIGHT(LEFT($AG75:$DY75,2))="-",1,0)))</f>
        <v/>
      </c>
      <c r="AF75" s="816" t="str">
        <f t="array" ref="AF75">IF($J75="","",SUM(IF(LEFT($AG75:$DE75,1)="X",1,0)))</f>
        <v/>
      </c>
      <c r="AG75" s="896"/>
      <c r="AH75" s="896"/>
      <c r="AI75" s="896"/>
      <c r="AJ75" s="896"/>
      <c r="AK75" s="893"/>
      <c r="AL75" s="896"/>
      <c r="AM75" s="896"/>
      <c r="AN75" s="896"/>
      <c r="AO75" s="896"/>
      <c r="AP75" s="896"/>
      <c r="AQ75" s="896"/>
      <c r="AR75" s="896"/>
      <c r="AS75" s="896"/>
      <c r="AT75" s="896"/>
      <c r="AU75" s="896"/>
      <c r="AV75" s="896"/>
      <c r="AW75" s="896"/>
      <c r="AX75" s="896"/>
      <c r="AY75" s="896"/>
      <c r="AZ75" s="896"/>
      <c r="BA75" s="896"/>
      <c r="BB75" s="896"/>
      <c r="BC75" s="896"/>
      <c r="BD75" s="893"/>
      <c r="BE75" s="893"/>
      <c r="BF75" s="893"/>
      <c r="BG75" s="896"/>
      <c r="BH75" s="896"/>
      <c r="BI75" s="893"/>
      <c r="BJ75" s="893"/>
      <c r="BK75" s="893"/>
      <c r="BL75" s="896"/>
      <c r="BM75" s="896"/>
      <c r="BN75" s="896"/>
      <c r="BO75" s="896"/>
      <c r="BP75" s="896"/>
      <c r="BQ75" s="896"/>
      <c r="BR75" s="896"/>
      <c r="BS75" s="897"/>
      <c r="BT75" s="897"/>
      <c r="BU75" s="897"/>
      <c r="BV75" s="897"/>
      <c r="BW75" s="897"/>
      <c r="BX75" s="896"/>
      <c r="BY75" s="896"/>
      <c r="BZ75" s="893"/>
      <c r="CA75" s="896"/>
      <c r="CB75" s="893"/>
      <c r="CC75" s="896"/>
      <c r="CD75" s="896"/>
      <c r="CE75" s="896"/>
      <c r="CF75" s="896"/>
      <c r="CG75" s="896"/>
      <c r="CH75" s="896"/>
    </row>
    <row r="76" spans="1:86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31"/>
        <v/>
      </c>
      <c r="M76" s="816" t="str">
        <f t="shared" si="32"/>
        <v/>
      </c>
      <c r="N76" s="816" t="str">
        <f t="shared" si="24"/>
        <v/>
      </c>
      <c r="R76" s="871" t="str">
        <f t="shared" si="27"/>
        <v/>
      </c>
      <c r="T76" s="829" t="str">
        <f t="shared" si="62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IF($J76="","",IF(SUM(IF(ISNUMBER(VALUE(RIGHT($AG76:$CM76,1))),VALUE(RIGHT($AG76:$CM76,1)),0))=$J76,"T","F"))</f>
        <v/>
      </c>
      <c r="AE76" s="831" t="str">
        <f t="array" ref="AE76">IF($J76="","",SUM(IF(LEFT($AG76:$DY76,1)="s",1,0))-SUM(IF(RIGHT(LEFT($AG76:$DY76,2))="-",1,0)))</f>
        <v/>
      </c>
      <c r="AF76" s="816" t="str">
        <f t="array" ref="AF76">IF($J76="","",SUM(IF(LEFT($AG76:$DE76,1)="X",1,0)))</f>
        <v/>
      </c>
      <c r="AG76" s="896"/>
      <c r="AH76" s="896"/>
      <c r="AI76" s="896"/>
      <c r="AJ76" s="896"/>
      <c r="AK76" s="893"/>
      <c r="AL76" s="896"/>
      <c r="AM76" s="896"/>
      <c r="AN76" s="896"/>
      <c r="AO76" s="896"/>
      <c r="AP76" s="896"/>
      <c r="AQ76" s="896"/>
      <c r="AR76" s="896"/>
      <c r="AS76" s="896"/>
      <c r="AT76" s="896"/>
      <c r="AU76" s="896"/>
      <c r="AV76" s="896"/>
      <c r="AW76" s="896"/>
      <c r="AX76" s="896"/>
      <c r="AY76" s="896"/>
      <c r="AZ76" s="896"/>
      <c r="BA76" s="896"/>
      <c r="BB76" s="896"/>
      <c r="BC76" s="896"/>
      <c r="BD76" s="893"/>
      <c r="BE76" s="893"/>
      <c r="BF76" s="893"/>
      <c r="BG76" s="896"/>
      <c r="BH76" s="896"/>
      <c r="BI76" s="893"/>
      <c r="BJ76" s="893"/>
      <c r="BK76" s="893"/>
      <c r="BL76" s="896"/>
      <c r="BM76" s="896"/>
      <c r="BN76" s="896"/>
      <c r="BO76" s="896"/>
      <c r="BP76" s="896"/>
      <c r="BQ76" s="896"/>
      <c r="BR76" s="896"/>
      <c r="BS76" s="897"/>
      <c r="BT76" s="897"/>
      <c r="BU76" s="897"/>
      <c r="BV76" s="897"/>
      <c r="BW76" s="897"/>
      <c r="BX76" s="896"/>
      <c r="BY76" s="896"/>
      <c r="BZ76" s="893"/>
      <c r="CA76" s="896"/>
      <c r="CB76" s="893"/>
      <c r="CC76" s="896"/>
      <c r="CD76" s="896"/>
      <c r="CE76" s="896"/>
      <c r="CF76" s="896"/>
      <c r="CG76" s="896"/>
      <c r="CH76" s="896"/>
    </row>
    <row r="77" spans="1:86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31"/>
        <v/>
      </c>
      <c r="M77" s="816" t="str">
        <f t="shared" si="32"/>
        <v/>
      </c>
      <c r="N77" s="816" t="str">
        <f t="shared" si="24"/>
        <v/>
      </c>
      <c r="R77" s="871" t="str">
        <f t="shared" si="27"/>
        <v/>
      </c>
      <c r="T77" s="829" t="str">
        <f t="shared" si="62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IF($J77="","",IF(SUM(IF(ISNUMBER(VALUE(RIGHT($AG77:$CM77,1))),VALUE(RIGHT($AG77:$CM77,1)),0))=$J77,"T","F"))</f>
        <v/>
      </c>
      <c r="AE77" s="831" t="str">
        <f t="array" ref="AE77">IF($J77="","",SUM(IF(LEFT($AG77:$DY77,1)="s",1,0))-SUM(IF(RIGHT(LEFT($AG77:$DY77,2))="-",1,0)))</f>
        <v/>
      </c>
      <c r="AF77" s="816" t="str">
        <f t="array" ref="AF77">IF($J77="","",SUM(IF(LEFT($AG77:$DE77,1)="X",1,0)))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3"/>
      <c r="BE77" s="893"/>
      <c r="BF77" s="893"/>
      <c r="BG77" s="897"/>
      <c r="BH77" s="897"/>
      <c r="BI77" s="893"/>
      <c r="BJ77" s="893"/>
      <c r="BK77" s="893"/>
      <c r="BL77" s="897"/>
      <c r="BM77" s="897"/>
      <c r="BN77" s="897"/>
      <c r="BO77" s="897"/>
      <c r="BP77" s="897"/>
      <c r="BQ77" s="897"/>
      <c r="BR77" s="897"/>
      <c r="BS77" s="897"/>
      <c r="BT77" s="897"/>
      <c r="BU77" s="897"/>
      <c r="BV77" s="897"/>
      <c r="BW77" s="897"/>
      <c r="BX77" s="897"/>
      <c r="BY77" s="897"/>
      <c r="BZ77" s="893"/>
      <c r="CA77" s="897"/>
      <c r="CB77" s="893"/>
      <c r="CC77" s="897"/>
      <c r="CD77" s="897"/>
      <c r="CE77" s="897"/>
      <c r="CF77" s="897"/>
      <c r="CG77" s="897"/>
      <c r="CH77" s="897"/>
    </row>
    <row r="78" spans="1:86" ht="15">
      <c r="A78" s="843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828"/>
      <c r="H78" s="828"/>
      <c r="I78" s="828"/>
      <c r="J78" s="428"/>
      <c r="K78" s="428"/>
      <c r="L78" s="816" t="str">
        <f t="shared" si="31"/>
        <v/>
      </c>
      <c r="M78" s="816" t="str">
        <f t="shared" si="32"/>
        <v/>
      </c>
      <c r="N78" s="816" t="str">
        <f t="shared" si="24"/>
        <v/>
      </c>
      <c r="R78" s="871" t="str">
        <f t="shared" si="27"/>
        <v/>
      </c>
      <c r="T78" s="829" t="str">
        <f t="shared" si="62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IF($J78="","",IF(SUM(IF(ISNUMBER(VALUE(RIGHT($AG78:$CM78,1))),VALUE(RIGHT($AG78:$CM78,1)),0))=$J78,"T","F"))</f>
        <v/>
      </c>
      <c r="AE78" s="831" t="str">
        <f t="array" ref="AE78">IF($J78="","",SUM(IF(LEFT($AG78:$DY78,1)="s",1,0))-SUM(IF(RIGHT(LEFT($AG78:$DY78,2))="-",1,0)))</f>
        <v/>
      </c>
      <c r="AF78" s="816" t="str">
        <f t="array" ref="AF78">IF($J78="","",SUM(IF(LEFT($AG78:$DE78,1)="X",1,0)))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3"/>
      <c r="BE78" s="893"/>
      <c r="BF78" s="893"/>
      <c r="BG78" s="897"/>
      <c r="BH78" s="897"/>
      <c r="BI78" s="893"/>
      <c r="BJ78" s="893"/>
      <c r="BK78" s="893"/>
      <c r="BL78" s="897"/>
      <c r="BM78" s="897"/>
      <c r="BN78" s="897"/>
      <c r="BO78" s="897"/>
      <c r="BP78" s="897"/>
      <c r="BQ78" s="897"/>
      <c r="BR78" s="897"/>
      <c r="BS78" s="897"/>
      <c r="BT78" s="897"/>
      <c r="BU78" s="897"/>
      <c r="BV78" s="897"/>
      <c r="BW78" s="897"/>
      <c r="BX78" s="897"/>
      <c r="BY78" s="897"/>
      <c r="BZ78" s="893"/>
      <c r="CA78" s="897"/>
      <c r="CB78" s="893"/>
      <c r="CC78" s="897"/>
      <c r="CD78" s="897"/>
      <c r="CE78" s="897"/>
      <c r="CF78" s="897"/>
      <c r="CG78" s="897"/>
      <c r="CH78" s="897"/>
    </row>
    <row r="79" spans="1:86" ht="15">
      <c r="A79" s="843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828"/>
      <c r="H79" s="828"/>
      <c r="I79" s="828"/>
      <c r="J79" s="428"/>
      <c r="K79" s="428"/>
      <c r="L79" s="816" t="str">
        <f t="shared" si="31"/>
        <v/>
      </c>
      <c r="M79" s="816" t="str">
        <f t="shared" si="32"/>
        <v/>
      </c>
      <c r="N79" s="816" t="str">
        <f t="shared" si="24"/>
        <v/>
      </c>
      <c r="R79" s="871" t="str">
        <f t="shared" si="27"/>
        <v/>
      </c>
      <c r="T79" s="829" t="str">
        <f t="shared" si="62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IF($J79="","",IF(SUM(IF(ISNUMBER(VALUE(RIGHT($AG79:$CM79,1))),VALUE(RIGHT($AG79:$CM79,1)),0))=$J79,"T","F"))</f>
        <v/>
      </c>
      <c r="AE79" s="831" t="str">
        <f t="array" ref="AE79">IF($J79="","",SUM(IF(LEFT($AG79:$DY79,1)="s",1,0))-SUM(IF(RIGHT(LEFT($AG79:$DY79,2))="-",1,0)))</f>
        <v/>
      </c>
      <c r="AF79" s="816" t="str">
        <f t="array" ref="AF79">IF($J79="","",SUM(IF(LEFT($AG79:$DE79,1)="X",1,0)))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3"/>
      <c r="BE79" s="893"/>
      <c r="BF79" s="893"/>
      <c r="BG79" s="897"/>
      <c r="BH79" s="897"/>
      <c r="BI79" s="893"/>
      <c r="BJ79" s="893"/>
      <c r="BK79" s="893"/>
      <c r="BL79" s="897"/>
      <c r="BM79" s="897"/>
      <c r="BN79" s="897"/>
      <c r="BO79" s="897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3"/>
      <c r="CA79" s="897"/>
      <c r="CB79" s="893"/>
      <c r="CC79" s="897"/>
      <c r="CD79" s="897"/>
      <c r="CE79" s="897"/>
      <c r="CF79" s="897"/>
      <c r="CG79" s="897"/>
      <c r="CH79" s="897"/>
    </row>
    <row r="80" spans="1:86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428"/>
      <c r="K80" s="428"/>
      <c r="L80" s="816" t="str">
        <f t="shared" si="31"/>
        <v/>
      </c>
      <c r="M80" s="816" t="str">
        <f t="shared" si="32"/>
        <v/>
      </c>
      <c r="N80" s="816" t="str">
        <f t="shared" si="24"/>
        <v/>
      </c>
      <c r="R80" s="871" t="str">
        <f t="shared" si="27"/>
        <v/>
      </c>
      <c r="T80" s="829" t="str">
        <f t="shared" si="62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IF($J80="","",IF(SUM(IF(ISNUMBER(VALUE(RIGHT($AG80:$CM80,1))),VALUE(RIGHT($AG80:$CM80,1)),0))=$J80,"T","F"))</f>
        <v/>
      </c>
      <c r="AE80" s="831" t="str">
        <f t="array" ref="AE80">IF($J80="","",SUM(IF(LEFT($AG80:$DY80,1)="s",1,0))-SUM(IF(RIGHT(LEFT($AG80:$DY80,2))="-",1,0)))</f>
        <v/>
      </c>
      <c r="AF80" s="816" t="str">
        <f t="array" ref="AF80">IF($J80="","",SUM(IF(LEFT($AG80:$DE80,1)="X",1,0)))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3"/>
      <c r="BE80" s="893"/>
      <c r="BF80" s="893"/>
      <c r="BG80" s="897"/>
      <c r="BH80" s="897"/>
      <c r="BI80" s="893"/>
      <c r="BJ80" s="893"/>
      <c r="BK80" s="893"/>
      <c r="BL80" s="897"/>
      <c r="BM80" s="897"/>
      <c r="BN80" s="897"/>
      <c r="BO80" s="897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3"/>
      <c r="CA80" s="897"/>
      <c r="CB80" s="893"/>
      <c r="CC80" s="897"/>
      <c r="CD80" s="897"/>
      <c r="CE80" s="897"/>
      <c r="CF80" s="897"/>
      <c r="CG80" s="897"/>
      <c r="CH80" s="897"/>
    </row>
    <row r="81" spans="1:86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428"/>
      <c r="K81" s="428"/>
      <c r="L81" s="816" t="str">
        <f t="shared" si="31"/>
        <v/>
      </c>
      <c r="M81" s="816" t="str">
        <f t="shared" si="32"/>
        <v/>
      </c>
      <c r="N81" s="816" t="str">
        <f t="shared" si="24"/>
        <v/>
      </c>
      <c r="R81" s="871" t="str">
        <f t="shared" si="27"/>
        <v/>
      </c>
      <c r="T81" s="829" t="str">
        <f t="shared" si="62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IF($J81="","",IF(SUM(IF(ISNUMBER(VALUE(RIGHT($AG81:$CM81,1))),VALUE(RIGHT($AG81:$CM81,1)),0))=$J81,"T","F"))</f>
        <v/>
      </c>
      <c r="AE81" s="831" t="str">
        <f t="array" ref="AE81">IF($J81="","",SUM(IF(LEFT($AG81:$DY81,1)="s",1,0))-SUM(IF(RIGHT(LEFT($AG81:$DY81,2))="-",1,0)))</f>
        <v/>
      </c>
      <c r="AF81" s="816" t="str">
        <f t="array" ref="AF81">IF($J81="","",SUM(IF(LEFT($AG81:$DE81,1)="X",1,0)))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3"/>
      <c r="BE81" s="893"/>
      <c r="BF81" s="893"/>
      <c r="BG81" s="897"/>
      <c r="BH81" s="897"/>
      <c r="BI81" s="893"/>
      <c r="BJ81" s="893"/>
      <c r="BK81" s="893"/>
      <c r="BL81" s="897"/>
      <c r="BM81" s="897"/>
      <c r="BN81" s="897"/>
      <c r="BO81" s="897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3"/>
      <c r="CA81" s="897"/>
      <c r="CB81" s="893"/>
      <c r="CC81" s="897"/>
      <c r="CD81" s="897"/>
      <c r="CE81" s="897"/>
      <c r="CF81" s="897"/>
      <c r="CG81" s="897"/>
      <c r="CH81" s="897"/>
    </row>
    <row r="82" spans="1:86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31"/>
        <v/>
      </c>
      <c r="M82" s="816" t="str">
        <f t="shared" si="32"/>
        <v/>
      </c>
      <c r="N82" s="816" t="str">
        <f t="shared" si="24"/>
        <v/>
      </c>
      <c r="R82" s="871" t="str">
        <f t="shared" si="27"/>
        <v/>
      </c>
      <c r="T82" s="829" t="str">
        <f t="shared" si="62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IF($J82="","",IF(SUM(IF(ISNUMBER(VALUE(RIGHT($AG82:$CM82,1))),VALUE(RIGHT($AG82:$CM82,1)),0))=$J82,"T","F"))</f>
        <v/>
      </c>
      <c r="AE82" s="831" t="str">
        <f t="array" ref="AE82">IF($J82="","",SUM(IF(LEFT($AG82:$DY82,1)="s",1,0))-SUM(IF(RIGHT(LEFT($AG82:$DY82,2))="-",1,0)))</f>
        <v/>
      </c>
      <c r="AF82" s="816" t="str">
        <f t="array" ref="AF82">IF($J82="","",SUM(IF(LEFT($AG82:$DE82,1)="X",1,0)))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3"/>
      <c r="BE82" s="893"/>
      <c r="BF82" s="893"/>
      <c r="BG82" s="897"/>
      <c r="BH82" s="897"/>
      <c r="BI82" s="893"/>
      <c r="BJ82" s="893"/>
      <c r="BK82" s="893"/>
      <c r="BL82" s="897"/>
      <c r="BM82" s="897"/>
      <c r="BN82" s="897"/>
      <c r="BO82" s="897"/>
      <c r="BP82" s="897"/>
      <c r="BQ82" s="897"/>
      <c r="BR82" s="897"/>
      <c r="BS82" s="897"/>
      <c r="BT82" s="897"/>
      <c r="BU82" s="897"/>
      <c r="BV82" s="897"/>
      <c r="BW82" s="897"/>
      <c r="BX82" s="897"/>
      <c r="BY82" s="897"/>
      <c r="BZ82" s="893"/>
      <c r="CA82" s="897"/>
      <c r="CB82" s="893"/>
      <c r="CC82" s="897"/>
      <c r="CD82" s="897"/>
      <c r="CE82" s="897"/>
      <c r="CF82" s="897"/>
      <c r="CG82" s="897"/>
      <c r="CH82" s="897"/>
    </row>
    <row r="83" spans="1:86" ht="15">
      <c r="A83" s="844"/>
      <c r="D83" s="816" t="str">
        <f>IF(I83=Table!$C$1,VLOOKUP(G83,Table!$B$38:$AO$61,Table!$AO$35-1,FALSE),"")</f>
        <v/>
      </c>
      <c r="E83" s="816"/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31"/>
        <v/>
      </c>
      <c r="M83" s="816" t="str">
        <f t="shared" si="32"/>
        <v/>
      </c>
      <c r="N83" s="816" t="str">
        <f t="shared" si="24"/>
        <v/>
      </c>
      <c r="R83" s="871" t="str">
        <f t="shared" si="27"/>
        <v/>
      </c>
      <c r="T83" s="829" t="str">
        <f t="shared" si="62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IF($J83="","",IF(SUM(IF(ISNUMBER(VALUE(RIGHT($AG83:$CM83,1))),VALUE(RIGHT($AG83:$CM83,1)),0))=$J83,"T","F"))</f>
        <v/>
      </c>
      <c r="AE83" s="831" t="str">
        <f t="array" ref="AE83">IF($J83="","",SUM(IF(LEFT($AG83:$DY83,1)="s",1,0))-SUM(IF(RIGHT(LEFT($AG83:$DY83,2))="-",1,0)))</f>
        <v/>
      </c>
      <c r="AF83" s="816" t="str">
        <f t="array" ref="AF83">IF($J83="","",SUM(IF(LEFT($AG83:$DE83,1)="X",1,0)))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3"/>
      <c r="BE83" s="893"/>
      <c r="BF83" s="893"/>
      <c r="BG83" s="897"/>
      <c r="BH83" s="897"/>
      <c r="BI83" s="893"/>
      <c r="BJ83" s="893"/>
      <c r="BK83" s="893"/>
      <c r="BL83" s="897"/>
      <c r="BM83" s="897"/>
      <c r="BN83" s="897"/>
      <c r="BO83" s="897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3"/>
      <c r="CA83" s="897"/>
      <c r="CB83" s="893"/>
      <c r="CC83" s="897"/>
      <c r="CD83" s="897"/>
      <c r="CE83" s="897"/>
      <c r="CF83" s="897"/>
      <c r="CG83" s="897"/>
      <c r="CH83" s="897"/>
    </row>
    <row r="84" spans="1:86" ht="15">
      <c r="A84" s="844"/>
      <c r="D84" s="816" t="str">
        <f>IF(I84=Table!$C$1,VLOOKUP(G84,Table!$B$38:$AO$61,Table!$AO$35-1,FALSE),"")</f>
        <v/>
      </c>
      <c r="E84" s="816"/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31"/>
        <v/>
      </c>
      <c r="M84" s="816" t="str">
        <f t="shared" si="32"/>
        <v/>
      </c>
      <c r="N84" s="816" t="str">
        <f t="shared" si="24"/>
        <v/>
      </c>
      <c r="R84" s="871" t="str">
        <f t="shared" si="27"/>
        <v/>
      </c>
      <c r="T84" s="829" t="str">
        <f t="shared" si="62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IF($J84="","",IF(SUM(IF(ISNUMBER(VALUE(RIGHT($AG84:$CM84,1))),VALUE(RIGHT($AG84:$CM84,1)),0))=$J84,"T","F"))</f>
        <v/>
      </c>
      <c r="AE84" s="831" t="str">
        <f t="array" ref="AE84">IF($J84="","",SUM(IF(LEFT($AG84:$DY84,1)="s",1,0))-SUM(IF(RIGHT(LEFT($AG84:$DY84,2))="-",1,0)))</f>
        <v/>
      </c>
      <c r="AF84" s="816" t="str">
        <f t="array" ref="AF84">IF($J84="","",SUM(IF(LEFT($AG84:$DE84,1)="X",1,0)))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3"/>
      <c r="BE84" s="893"/>
      <c r="BF84" s="893"/>
      <c r="BG84" s="897"/>
      <c r="BH84" s="897"/>
      <c r="BI84" s="893"/>
      <c r="BJ84" s="893"/>
      <c r="BK84" s="893"/>
      <c r="BL84" s="897"/>
      <c r="BM84" s="897"/>
      <c r="BN84" s="897"/>
      <c r="BO84" s="897"/>
      <c r="BP84" s="897"/>
      <c r="BQ84" s="897"/>
      <c r="BR84" s="897"/>
      <c r="BS84" s="897"/>
      <c r="BT84" s="897"/>
      <c r="BU84" s="897"/>
      <c r="BV84" s="897"/>
      <c r="BW84" s="897"/>
      <c r="BX84" s="897"/>
      <c r="BY84" s="897"/>
      <c r="BZ84" s="893"/>
      <c r="CA84" s="897"/>
      <c r="CB84" s="893"/>
      <c r="CC84" s="897"/>
      <c r="CD84" s="897"/>
      <c r="CE84" s="897"/>
      <c r="CF84" s="897"/>
      <c r="CG84" s="897"/>
      <c r="CH84" s="897"/>
    </row>
    <row r="85" spans="1:86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31"/>
        <v/>
      </c>
      <c r="M85" s="816" t="str">
        <f t="shared" si="32"/>
        <v/>
      </c>
      <c r="N85" s="816" t="str">
        <f t="shared" si="24"/>
        <v/>
      </c>
      <c r="R85" s="871" t="str">
        <f t="shared" si="27"/>
        <v/>
      </c>
      <c r="T85" s="829" t="str">
        <f t="shared" si="62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IF($J85="","",IF(SUM(IF(ISNUMBER(VALUE(RIGHT($AG85:$CM85,1))),VALUE(RIGHT($AG85:$CM85,1)),0))=$J85,"T","F"))</f>
        <v/>
      </c>
      <c r="AE85" s="831" t="str">
        <f t="array" ref="AE85">IF($J85="","",SUM(IF(LEFT($AG85:$DY85,1)="s",1,0))-SUM(IF(RIGHT(LEFT($AG85:$DY85,2))="-",1,0)))</f>
        <v/>
      </c>
      <c r="AF85" s="816" t="str">
        <f t="array" ref="AF85">IF($J85="","",SUM(IF(LEFT($AG85:$DE85,1)="X",1,0)))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3"/>
      <c r="BE85" s="893"/>
      <c r="BF85" s="893"/>
      <c r="BG85" s="897"/>
      <c r="BH85" s="897"/>
      <c r="BI85" s="893"/>
      <c r="BJ85" s="893"/>
      <c r="BK85" s="893"/>
      <c r="BL85" s="897"/>
      <c r="BM85" s="897"/>
      <c r="BN85" s="897"/>
      <c r="BO85" s="897"/>
      <c r="BP85" s="897"/>
      <c r="BQ85" s="897"/>
      <c r="BR85" s="897"/>
      <c r="BS85" s="897"/>
      <c r="BT85" s="897"/>
      <c r="BU85" s="897"/>
      <c r="BV85" s="897"/>
      <c r="BW85" s="897"/>
      <c r="BX85" s="897"/>
      <c r="BY85" s="897"/>
      <c r="BZ85" s="893"/>
      <c r="CA85" s="897"/>
      <c r="CB85" s="893"/>
      <c r="CC85" s="897"/>
      <c r="CD85" s="897"/>
      <c r="CE85" s="897"/>
      <c r="CF85" s="897"/>
      <c r="CG85" s="897"/>
      <c r="CH85" s="897"/>
    </row>
    <row r="86" spans="1:86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31"/>
        <v/>
      </c>
      <c r="M86" s="816" t="str">
        <f t="shared" si="32"/>
        <v/>
      </c>
      <c r="N86" s="816" t="str">
        <f t="shared" si="24"/>
        <v/>
      </c>
      <c r="R86" s="871" t="str">
        <f t="shared" si="27"/>
        <v/>
      </c>
      <c r="T86" s="829" t="str">
        <f t="shared" si="62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IF($J86="","",IF(SUM(IF(ISNUMBER(VALUE(RIGHT($AG86:$CM86,1))),VALUE(RIGHT($AG86:$CM86,1)),0))=$J86,"T","F"))</f>
        <v/>
      </c>
      <c r="AE86" s="831" t="str">
        <f t="array" ref="AE86">IF($J86="","",SUM(IF(LEFT($AG86:$DY86,1)="s",1,0))-SUM(IF(RIGHT(LEFT($AG86:$DY86,2))="-",1,0)))</f>
        <v/>
      </c>
      <c r="AF86" s="816" t="str">
        <f t="array" ref="AF86">IF($J86="","",SUM(IF(LEFT($AG86:$DE86,1)="X",1,0)))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3"/>
      <c r="BE86" s="893"/>
      <c r="BF86" s="893"/>
      <c r="BG86" s="897"/>
      <c r="BH86" s="897"/>
      <c r="BI86" s="893"/>
      <c r="BJ86" s="893"/>
      <c r="BK86" s="893"/>
      <c r="BL86" s="897"/>
      <c r="BM86" s="897"/>
      <c r="BN86" s="897"/>
      <c r="BO86" s="897"/>
      <c r="BP86" s="897"/>
      <c r="BQ86" s="897"/>
      <c r="BR86" s="897"/>
      <c r="BS86" s="897"/>
      <c r="BT86" s="897"/>
      <c r="BU86" s="897"/>
      <c r="BV86" s="897"/>
      <c r="BW86" s="897"/>
      <c r="BX86" s="897"/>
      <c r="BY86" s="897"/>
      <c r="BZ86" s="893"/>
      <c r="CA86" s="897"/>
      <c r="CB86" s="893"/>
      <c r="CC86" s="897"/>
      <c r="CD86" s="897"/>
      <c r="CE86" s="897"/>
      <c r="CF86" s="897"/>
      <c r="CG86" s="897"/>
      <c r="CH86" s="897"/>
    </row>
    <row r="87" spans="1:86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31"/>
        <v/>
      </c>
      <c r="M87" s="816" t="str">
        <f t="shared" si="32"/>
        <v/>
      </c>
      <c r="N87" s="816" t="str">
        <f t="shared" si="24"/>
        <v/>
      </c>
      <c r="R87" s="871" t="str">
        <f t="shared" si="27"/>
        <v/>
      </c>
      <c r="T87" s="829" t="str">
        <f t="shared" si="62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IF($J87="","",IF(SUM(IF(ISNUMBER(VALUE(RIGHT($AG87:$CM87,1))),VALUE(RIGHT($AG87:$CM87,1)),0))=$J87,"T","F"))</f>
        <v/>
      </c>
      <c r="AE87" s="831" t="str">
        <f t="array" ref="AE87">IF($J87="","",SUM(IF(LEFT($AG87:$DY87,1)="s",1,0))-SUM(IF(RIGHT(LEFT($AG87:$DY87,2))="-",1,0)))</f>
        <v/>
      </c>
      <c r="AF87" s="816" t="str">
        <f t="array" ref="AF87">IF($J87="","",SUM(IF(LEFT($AG87:$DE87,1)="X",1,0)))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3"/>
      <c r="BE87" s="893"/>
      <c r="BF87" s="893"/>
      <c r="BG87" s="897"/>
      <c r="BH87" s="897"/>
      <c r="BI87" s="893"/>
      <c r="BJ87" s="893"/>
      <c r="BK87" s="893"/>
      <c r="BL87" s="897"/>
      <c r="BM87" s="897"/>
      <c r="BN87" s="897"/>
      <c r="BO87" s="897"/>
      <c r="BP87" s="897"/>
      <c r="BQ87" s="897"/>
      <c r="BR87" s="897"/>
      <c r="BS87" s="897"/>
      <c r="BT87" s="897"/>
      <c r="BU87" s="897"/>
      <c r="BV87" s="897"/>
      <c r="BW87" s="897"/>
      <c r="BX87" s="897"/>
      <c r="BY87" s="897"/>
      <c r="BZ87" s="893"/>
      <c r="CA87" s="897"/>
      <c r="CB87" s="893"/>
      <c r="CC87" s="897"/>
      <c r="CD87" s="897"/>
      <c r="CE87" s="897"/>
      <c r="CF87" s="897"/>
      <c r="CG87" s="897"/>
      <c r="CH87" s="897"/>
    </row>
    <row r="88" spans="1:86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230"/>
      <c r="H88" s="230"/>
      <c r="I88" s="230"/>
      <c r="J88" s="230"/>
      <c r="K88" s="230"/>
      <c r="L88" s="816" t="str">
        <f t="shared" si="31"/>
        <v/>
      </c>
      <c r="M88" s="816" t="str">
        <f t="shared" si="32"/>
        <v/>
      </c>
      <c r="N88" s="816" t="str">
        <f t="shared" si="24"/>
        <v/>
      </c>
      <c r="R88" s="871" t="str">
        <f t="shared" si="27"/>
        <v/>
      </c>
      <c r="T88" s="829" t="str">
        <f t="shared" si="62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IF($J88="","",IF(SUM(IF(ISNUMBER(VALUE(RIGHT($AG88:$CM88,1))),VALUE(RIGHT($AG88:$CM88,1)),0))=$J88,"T","F"))</f>
        <v/>
      </c>
      <c r="AE88" s="831" t="str">
        <f t="array" ref="AE88">IF($J88="","",SUM(IF(LEFT($AG88:$DY88,1)="s",1,0))-SUM(IF(RIGHT(LEFT($AG88:$DY88,2))="-",1,0)))</f>
        <v/>
      </c>
      <c r="AF88" s="816" t="str">
        <f t="array" ref="AF88">IF($J88="","",SUM(IF(LEFT($AG88:$DE88,1)="X",1,0)))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3"/>
      <c r="BE88" s="893"/>
      <c r="BF88" s="893"/>
      <c r="BG88" s="897"/>
      <c r="BH88" s="897"/>
      <c r="BI88" s="893"/>
      <c r="BJ88" s="893"/>
      <c r="BK88" s="893"/>
      <c r="BL88" s="897"/>
      <c r="BM88" s="897"/>
      <c r="BN88" s="897"/>
      <c r="BO88" s="897"/>
      <c r="BP88" s="897"/>
      <c r="BQ88" s="897"/>
      <c r="BR88" s="897"/>
      <c r="BS88" s="897"/>
      <c r="BT88" s="897"/>
      <c r="BU88" s="897"/>
      <c r="BV88" s="897"/>
      <c r="BW88" s="897"/>
      <c r="BX88" s="897"/>
      <c r="BY88" s="897"/>
      <c r="BZ88" s="893"/>
      <c r="CA88" s="897"/>
      <c r="CB88" s="893"/>
      <c r="CC88" s="897"/>
      <c r="CD88" s="897"/>
      <c r="CE88" s="897"/>
      <c r="CF88" s="897"/>
      <c r="CG88" s="897"/>
      <c r="CH88" s="897"/>
    </row>
    <row r="89" spans="1:86" ht="15">
      <c r="A89" s="844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230"/>
      <c r="H89" s="230"/>
      <c r="I89" s="230"/>
      <c r="J89" s="230"/>
      <c r="K89" s="230"/>
      <c r="L89" s="816" t="str">
        <f t="shared" si="31"/>
        <v/>
      </c>
      <c r="M89" s="816" t="str">
        <f t="shared" si="32"/>
        <v/>
      </c>
      <c r="N89" s="816" t="str">
        <f t="shared" si="24"/>
        <v/>
      </c>
      <c r="R89" s="871" t="str">
        <f t="shared" si="27"/>
        <v/>
      </c>
      <c r="T89" s="829" t="str">
        <f t="shared" si="62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IF($J89="","",IF(SUM(IF(ISNUMBER(VALUE(RIGHT($AG89:$CM89,1))),VALUE(RIGHT($AG89:$CM89,1)),0))=$J89,"T","F"))</f>
        <v/>
      </c>
      <c r="AE89" s="831" t="str">
        <f t="array" ref="AE89">IF($J89="","",SUM(IF(LEFT($AG89:$DY89,1)="s",1,0))-SUM(IF(RIGHT(LEFT($AG89:$DY89,2))="-",1,0)))</f>
        <v/>
      </c>
      <c r="AF89" s="816" t="str">
        <f t="array" ref="AF89">IF($J89="","",SUM(IF(LEFT($AG89:$DE89,1)="X",1,0)))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3"/>
      <c r="BE89" s="893"/>
      <c r="BF89" s="893"/>
      <c r="BG89" s="897"/>
      <c r="BH89" s="897"/>
      <c r="BI89" s="893"/>
      <c r="BJ89" s="893"/>
      <c r="BK89" s="893"/>
      <c r="BL89" s="897"/>
      <c r="BM89" s="897"/>
      <c r="BN89" s="897"/>
      <c r="BO89" s="897"/>
      <c r="BP89" s="897"/>
      <c r="BQ89" s="897"/>
      <c r="BR89" s="897"/>
      <c r="BS89" s="897"/>
      <c r="BT89" s="897"/>
      <c r="BU89" s="897"/>
      <c r="BV89" s="897"/>
      <c r="BW89" s="897"/>
      <c r="BX89" s="897"/>
      <c r="BY89" s="897"/>
      <c r="BZ89" s="893"/>
      <c r="CA89" s="897"/>
      <c r="CB89" s="893"/>
      <c r="CC89" s="897"/>
      <c r="CD89" s="897"/>
      <c r="CE89" s="897"/>
      <c r="CF89" s="897"/>
      <c r="CG89" s="897"/>
      <c r="CH89" s="897"/>
    </row>
    <row r="90" spans="1:86" ht="15">
      <c r="A90" s="844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787"/>
      <c r="H90" s="833"/>
      <c r="I90" s="833"/>
      <c r="J90" s="833"/>
      <c r="K90" s="833"/>
      <c r="L90" s="816" t="str">
        <f t="shared" si="31"/>
        <v/>
      </c>
      <c r="M90" s="816" t="str">
        <f t="shared" si="32"/>
        <v/>
      </c>
      <c r="N90" s="816" t="str">
        <f t="shared" si="24"/>
        <v/>
      </c>
      <c r="R90" s="871" t="str">
        <f t="shared" si="27"/>
        <v/>
      </c>
      <c r="T90" s="829" t="str">
        <f t="shared" si="62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IF($J90="","",IF(SUM(IF(ISNUMBER(VALUE(RIGHT($AG90:$CM90,1))),VALUE(RIGHT($AG90:$CM90,1)),0))=$J90,"T","F"))</f>
        <v/>
      </c>
      <c r="AE90" s="831" t="str">
        <f t="array" ref="AE90">IF($J90="","",SUM(IF(LEFT($AG90:$DY90,1)="s",1,0))-SUM(IF(RIGHT(LEFT($AG90:$DY90,2))="-",1,0)))</f>
        <v/>
      </c>
      <c r="AF90" s="816" t="str">
        <f t="array" ref="AF90">IF($J90="","",SUM(IF(LEFT($AG90:$DE90,1)="X",1,0)))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3"/>
      <c r="BE90" s="893"/>
      <c r="BF90" s="893"/>
      <c r="BG90" s="897"/>
      <c r="BH90" s="897"/>
      <c r="BI90" s="893"/>
      <c r="BJ90" s="893"/>
      <c r="BK90" s="893"/>
      <c r="BL90" s="897"/>
      <c r="BM90" s="897"/>
      <c r="BN90" s="897"/>
      <c r="BO90" s="897"/>
      <c r="BP90" s="897"/>
      <c r="BQ90" s="897"/>
      <c r="BR90" s="897"/>
      <c r="BS90" s="897"/>
      <c r="BT90" s="897"/>
      <c r="BU90" s="897"/>
      <c r="BV90" s="897"/>
      <c r="BW90" s="897"/>
      <c r="BX90" s="897"/>
      <c r="BY90" s="897"/>
      <c r="BZ90" s="893"/>
      <c r="CA90" s="897"/>
      <c r="CB90" s="893"/>
      <c r="CC90" s="897"/>
      <c r="CD90" s="897"/>
      <c r="CE90" s="897"/>
      <c r="CF90" s="897"/>
      <c r="CG90" s="897"/>
      <c r="CH90" s="897"/>
    </row>
    <row r="91" spans="1:86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31"/>
        <v/>
      </c>
      <c r="M91" s="816" t="str">
        <f t="shared" si="32"/>
        <v/>
      </c>
      <c r="N91" s="816" t="str">
        <f t="shared" si="24"/>
        <v/>
      </c>
      <c r="R91" s="871" t="str">
        <f t="shared" si="27"/>
        <v/>
      </c>
      <c r="T91" s="829" t="str">
        <f t="shared" si="62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IF($J91="","",IF(SUM(IF(ISNUMBER(VALUE(RIGHT($AG91:$CM91,1))),VALUE(RIGHT($AG91:$CM91,1)),0))=$J91,"T","F"))</f>
        <v/>
      </c>
      <c r="AE91" s="831" t="str">
        <f t="array" ref="AE91">IF($J91="","",SUM(IF(LEFT($AG91:$DY91,1)="s",1,0))-SUM(IF(RIGHT(LEFT($AG91:$DY91,2))="-",1,0)))</f>
        <v/>
      </c>
      <c r="AF91" s="816" t="str">
        <f t="array" ref="AF91">IF($J91="","",SUM(IF(LEFT($AG91:$DE91,1)="X",1,0)))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3"/>
      <c r="BE91" s="893"/>
      <c r="BF91" s="893"/>
      <c r="BG91" s="897"/>
      <c r="BH91" s="897"/>
      <c r="BI91" s="893"/>
      <c r="BJ91" s="893"/>
      <c r="BK91" s="893"/>
      <c r="BL91" s="897"/>
      <c r="BM91" s="897"/>
      <c r="BN91" s="897"/>
      <c r="BO91" s="897"/>
      <c r="BP91" s="897"/>
      <c r="BQ91" s="897"/>
      <c r="BR91" s="897"/>
      <c r="BS91" s="897"/>
      <c r="BT91" s="897"/>
      <c r="BU91" s="897"/>
      <c r="BV91" s="897"/>
      <c r="BW91" s="897"/>
      <c r="BX91" s="897"/>
      <c r="BY91" s="897"/>
      <c r="BZ91" s="893"/>
      <c r="CA91" s="897"/>
      <c r="CB91" s="893"/>
      <c r="CC91" s="897"/>
      <c r="CD91" s="897"/>
      <c r="CE91" s="897"/>
      <c r="CF91" s="897"/>
      <c r="CG91" s="897"/>
      <c r="CH91" s="897"/>
    </row>
    <row r="92" spans="1:86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31"/>
        <v/>
      </c>
      <c r="M92" s="816" t="str">
        <f t="shared" si="32"/>
        <v/>
      </c>
      <c r="N92" s="816" t="str">
        <f t="shared" si="24"/>
        <v/>
      </c>
      <c r="R92" s="871" t="str">
        <f t="shared" si="27"/>
        <v/>
      </c>
      <c r="T92" s="829" t="str">
        <f t="shared" si="62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IF($J92="","",IF(SUM(IF(ISNUMBER(VALUE(RIGHT($AG92:$CM92,1))),VALUE(RIGHT($AG92:$CM92,1)),0))=$J92,"T","F"))</f>
        <v/>
      </c>
      <c r="AE92" s="831" t="str">
        <f t="array" ref="AE92">IF($J92="","",SUM(IF(LEFT($AG92:$DY92,1)="s",1,0))-SUM(IF(RIGHT(LEFT($AG92:$DY92,2))="-",1,0)))</f>
        <v/>
      </c>
      <c r="AF92" s="816" t="str">
        <f t="array" ref="AF92">IF($J92="","",SUM(IF(LEFT($AG92:$DE92,1)="X",1,0)))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3"/>
      <c r="BE92" s="893"/>
      <c r="BF92" s="893"/>
      <c r="BG92" s="897"/>
      <c r="BH92" s="897"/>
      <c r="BI92" s="893"/>
      <c r="BJ92" s="893"/>
      <c r="BK92" s="893"/>
      <c r="BL92" s="897"/>
      <c r="BM92" s="897"/>
      <c r="BN92" s="897"/>
      <c r="BO92" s="897"/>
      <c r="BP92" s="897"/>
      <c r="BQ92" s="897"/>
      <c r="BR92" s="897"/>
      <c r="BS92" s="897"/>
      <c r="BT92" s="897"/>
      <c r="BU92" s="897"/>
      <c r="BV92" s="897"/>
      <c r="BW92" s="897"/>
      <c r="BX92" s="897"/>
      <c r="BY92" s="897"/>
      <c r="BZ92" s="893"/>
      <c r="CA92" s="897"/>
      <c r="CB92" s="893"/>
      <c r="CC92" s="897"/>
      <c r="CD92" s="897"/>
      <c r="CE92" s="897"/>
      <c r="CF92" s="897"/>
      <c r="CG92" s="897"/>
      <c r="CH92" s="897"/>
    </row>
    <row r="93" spans="1:86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31"/>
        <v/>
      </c>
      <c r="M93" s="816" t="str">
        <f t="shared" si="32"/>
        <v/>
      </c>
      <c r="N93" s="816" t="str">
        <f t="shared" si="24"/>
        <v/>
      </c>
      <c r="R93" s="871" t="str">
        <f t="shared" si="27"/>
        <v/>
      </c>
      <c r="T93" s="829" t="str">
        <f t="shared" si="62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IF($J93="","",IF(SUM(IF(ISNUMBER(VALUE(RIGHT($AG93:$CM93,1))),VALUE(RIGHT($AG93:$CM93,1)),0))=$J93,"T","F"))</f>
        <v/>
      </c>
      <c r="AE93" s="831" t="str">
        <f t="array" ref="AE93">IF($J93="","",SUM(IF(LEFT($AG93:$DY93,1)="s",1,0))-SUM(IF(RIGHT(LEFT($AG93:$DY93,2))="-",1,0)))</f>
        <v/>
      </c>
      <c r="AF93" s="816" t="str">
        <f t="array" ref="AF93">IF($J93="","",SUM(IF(LEFT($AG93:$DE93,1)="X",1,0)))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3"/>
      <c r="BE93" s="893"/>
      <c r="BF93" s="893"/>
      <c r="BG93" s="897"/>
      <c r="BH93" s="897"/>
      <c r="BI93" s="893"/>
      <c r="BJ93" s="893"/>
      <c r="BK93" s="893"/>
      <c r="BL93" s="897"/>
      <c r="BM93" s="897"/>
      <c r="BN93" s="897"/>
      <c r="BO93" s="897"/>
      <c r="BP93" s="897"/>
      <c r="BQ93" s="897"/>
      <c r="BR93" s="897"/>
      <c r="BS93" s="897"/>
      <c r="BT93" s="897"/>
      <c r="BU93" s="897"/>
      <c r="BV93" s="897"/>
      <c r="BW93" s="897"/>
      <c r="BX93" s="897"/>
      <c r="BY93" s="897"/>
      <c r="BZ93" s="893"/>
      <c r="CA93" s="897"/>
      <c r="CB93" s="893"/>
      <c r="CC93" s="897"/>
      <c r="CD93" s="897"/>
      <c r="CE93" s="897"/>
      <c r="CF93" s="897"/>
      <c r="CG93" s="897"/>
      <c r="CH93" s="897"/>
    </row>
    <row r="94" spans="1:86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31"/>
        <v/>
      </c>
      <c r="M94" s="816" t="str">
        <f t="shared" si="32"/>
        <v/>
      </c>
      <c r="N94" s="816" t="str">
        <f t="shared" si="24"/>
        <v/>
      </c>
      <c r="R94" s="871" t="str">
        <f t="shared" si="27"/>
        <v/>
      </c>
      <c r="T94" s="829" t="str">
        <f t="shared" si="62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IF($J94="","",IF(SUM(IF(ISNUMBER(VALUE(RIGHT($AG94:$CM94,1))),VALUE(RIGHT($AG94:$CM94,1)),0))=$J94,"T","F"))</f>
        <v/>
      </c>
      <c r="AE94" s="831" t="str">
        <f t="array" ref="AE94">IF($J94="","",SUM(IF(LEFT($AG94:$DY94,1)="s",1,0))-SUM(IF(RIGHT(LEFT($AG94:$DY94,2))="-",1,0)))</f>
        <v/>
      </c>
      <c r="AF94" s="816" t="str">
        <f t="array" ref="AF94">IF($J94="","",SUM(IF(LEFT($AG94:$DE94,1)="X",1,0)))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3"/>
      <c r="BE94" s="893"/>
      <c r="BF94" s="893"/>
      <c r="BG94" s="897"/>
      <c r="BH94" s="897"/>
      <c r="BI94" s="893"/>
      <c r="BJ94" s="893"/>
      <c r="BK94" s="893"/>
      <c r="BL94" s="897"/>
      <c r="BM94" s="897"/>
      <c r="BN94" s="897"/>
      <c r="BO94" s="897"/>
      <c r="BP94" s="897"/>
      <c r="BQ94" s="897"/>
      <c r="BR94" s="897"/>
      <c r="BS94" s="897"/>
      <c r="BT94" s="897"/>
      <c r="BU94" s="897"/>
      <c r="BV94" s="897"/>
      <c r="BW94" s="897"/>
      <c r="BX94" s="897"/>
      <c r="BY94" s="897"/>
      <c r="BZ94" s="893"/>
      <c r="CA94" s="897"/>
      <c r="CB94" s="893"/>
      <c r="CC94" s="897"/>
      <c r="CD94" s="897"/>
      <c r="CE94" s="897"/>
      <c r="CF94" s="897"/>
      <c r="CG94" s="897"/>
      <c r="CH94" s="897"/>
    </row>
    <row r="95" spans="1:86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31"/>
        <v/>
      </c>
      <c r="M95" s="816" t="str">
        <f t="shared" si="32"/>
        <v/>
      </c>
      <c r="N95" s="816" t="str">
        <f t="shared" si="24"/>
        <v/>
      </c>
      <c r="R95" s="871" t="str">
        <f t="shared" si="27"/>
        <v/>
      </c>
      <c r="T95" s="829" t="str">
        <f t="shared" si="62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IF($J95="","",IF(SUM(IF(ISNUMBER(VALUE(RIGHT($AG95:$CM95,1))),VALUE(RIGHT($AG95:$CM95,1)),0))=$J95,"T","F"))</f>
        <v/>
      </c>
      <c r="AE95" s="831" t="str">
        <f t="array" ref="AE95">IF($J95="","",SUM(IF(LEFT($AG95:$DY95,1)="s",1,0))-SUM(IF(RIGHT(LEFT($AG95:$DY95,2))="-",1,0)))</f>
        <v/>
      </c>
      <c r="AF95" s="816" t="str">
        <f t="array" ref="AF95">IF($J95="","",SUM(IF(LEFT($AG95:$DE95,1)="X",1,0)))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3"/>
      <c r="BE95" s="893"/>
      <c r="BF95" s="893"/>
      <c r="BG95" s="897"/>
      <c r="BH95" s="897"/>
      <c r="BI95" s="893"/>
      <c r="BJ95" s="893"/>
      <c r="BK95" s="893"/>
      <c r="BL95" s="897"/>
      <c r="BM95" s="897"/>
      <c r="BN95" s="897"/>
      <c r="BO95" s="897"/>
      <c r="BP95" s="897"/>
      <c r="BQ95" s="897"/>
      <c r="BR95" s="897"/>
      <c r="BS95" s="897"/>
      <c r="BT95" s="897"/>
      <c r="BU95" s="897"/>
      <c r="BV95" s="897"/>
      <c r="BW95" s="897"/>
      <c r="BX95" s="897"/>
      <c r="BY95" s="897"/>
      <c r="BZ95" s="893"/>
      <c r="CA95" s="897"/>
      <c r="CB95" s="893"/>
      <c r="CC95" s="897"/>
      <c r="CD95" s="897"/>
      <c r="CE95" s="897"/>
      <c r="CF95" s="897"/>
      <c r="CG95" s="897"/>
      <c r="CH95" s="897"/>
    </row>
    <row r="96" spans="1:86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31"/>
        <v/>
      </c>
      <c r="M96" s="816" t="str">
        <f t="shared" si="32"/>
        <v/>
      </c>
      <c r="N96" s="816" t="str">
        <f t="shared" si="24"/>
        <v/>
      </c>
      <c r="R96" s="871" t="str">
        <f t="shared" si="27"/>
        <v/>
      </c>
      <c r="T96" s="829" t="str">
        <f t="shared" si="62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IF($J96="","",IF(SUM(IF(ISNUMBER(VALUE(RIGHT($AG96:$CM96,1))),VALUE(RIGHT($AG96:$CM96,1)),0))=$J96,"T","F"))</f>
        <v/>
      </c>
      <c r="AE96" s="831" t="str">
        <f t="array" ref="AE96">IF($J96="","",SUM(IF(LEFT($AG96:$DY96,1)="s",1,0))-SUM(IF(RIGHT(LEFT($AG96:$DY96,2))="-",1,0)))</f>
        <v/>
      </c>
      <c r="AF96" s="816" t="str">
        <f t="array" ref="AF96">IF($J96="","",SUM(IF(LEFT($AG96:$DE96,1)="X",1,0)))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3"/>
      <c r="BE96" s="893"/>
      <c r="BF96" s="893"/>
      <c r="BG96" s="897"/>
      <c r="BH96" s="897"/>
      <c r="BI96" s="893"/>
      <c r="BJ96" s="893"/>
      <c r="BK96" s="893"/>
      <c r="BL96" s="897"/>
      <c r="BM96" s="897"/>
      <c r="BN96" s="897"/>
      <c r="BO96" s="897"/>
      <c r="BP96" s="897"/>
      <c r="BQ96" s="897"/>
      <c r="BR96" s="897"/>
      <c r="BS96" s="897"/>
      <c r="BT96" s="897"/>
      <c r="BU96" s="897"/>
      <c r="BV96" s="897"/>
      <c r="BW96" s="897"/>
      <c r="BX96" s="897"/>
      <c r="BY96" s="897"/>
      <c r="BZ96" s="893"/>
      <c r="CA96" s="897"/>
      <c r="CB96" s="893"/>
      <c r="CC96" s="897"/>
      <c r="CD96" s="897"/>
      <c r="CE96" s="897"/>
      <c r="CF96" s="897"/>
      <c r="CG96" s="897"/>
      <c r="CH96" s="897"/>
    </row>
    <row r="97" spans="1:86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31"/>
        <v/>
      </c>
      <c r="M97" s="816" t="str">
        <f t="shared" si="32"/>
        <v/>
      </c>
      <c r="N97" s="816" t="str">
        <f t="shared" si="24"/>
        <v/>
      </c>
      <c r="R97" s="871" t="str">
        <f t="shared" ref="R97:R134" si="82">IF(ISBLANK(Q97),"",J97-K97-Q97)</f>
        <v/>
      </c>
      <c r="T97" s="829" t="str">
        <f t="shared" si="62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IF($J97="","",IF(SUM(IF(ISNUMBER(VALUE(RIGHT($AG97:$CM97,1))),VALUE(RIGHT($AG97:$CM97,1)),0))=$J97,"T","F"))</f>
        <v/>
      </c>
      <c r="AE97" s="831" t="str">
        <f t="array" ref="AE97">IF($J97="","",SUM(IF(LEFT($AG97:$DY97,1)="s",1,0))-SUM(IF(RIGHT(LEFT($AG97:$DY97,2))="-",1,0)))</f>
        <v/>
      </c>
      <c r="AF97" s="816" t="str">
        <f t="array" ref="AF97">IF($J97="","",SUM(IF(LEFT($AG97:$DE97,1)="X",1,0)))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3"/>
      <c r="BE97" s="893"/>
      <c r="BF97" s="893"/>
      <c r="BG97" s="897"/>
      <c r="BH97" s="897"/>
      <c r="BI97" s="893"/>
      <c r="BJ97" s="893"/>
      <c r="BK97" s="893"/>
      <c r="BL97" s="897"/>
      <c r="BM97" s="897"/>
      <c r="BN97" s="897"/>
      <c r="BO97" s="897"/>
      <c r="BP97" s="897"/>
      <c r="BQ97" s="897"/>
      <c r="BR97" s="897"/>
      <c r="BS97" s="897"/>
      <c r="BT97" s="897"/>
      <c r="BU97" s="897"/>
      <c r="BV97" s="897"/>
      <c r="BW97" s="897"/>
      <c r="BX97" s="897"/>
      <c r="BY97" s="897"/>
      <c r="BZ97" s="893"/>
      <c r="CA97" s="897"/>
      <c r="CB97" s="893"/>
      <c r="CC97" s="897"/>
      <c r="CD97" s="897"/>
      <c r="CE97" s="897"/>
      <c r="CF97" s="897"/>
      <c r="CG97" s="897"/>
      <c r="CH97" s="897"/>
    </row>
    <row r="98" spans="1:86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31"/>
        <v/>
      </c>
      <c r="M98" s="816" t="str">
        <f t="shared" si="32"/>
        <v/>
      </c>
      <c r="N98" s="816" t="str">
        <f t="shared" si="24"/>
        <v/>
      </c>
      <c r="R98" s="871" t="str">
        <f t="shared" si="82"/>
        <v/>
      </c>
      <c r="T98" s="829" t="str">
        <f t="shared" si="62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IF($J98="","",IF(SUM(IF(ISNUMBER(VALUE(RIGHT($AG98:$CM98,1))),VALUE(RIGHT($AG98:$CM98,1)),0))=$J98,"T","F"))</f>
        <v/>
      </c>
      <c r="AE98" s="831" t="str">
        <f t="array" ref="AE98">IF($J98="","",SUM(IF(LEFT($AG98:$DY98,1)="s",1,0))-SUM(IF(RIGHT(LEFT($AG98:$DY98,2))="-",1,0)))</f>
        <v/>
      </c>
      <c r="AF98" s="816" t="str">
        <f t="array" ref="AF98">IF($J98="","",SUM(IF(LEFT($AG98:$DE98,1)="X",1,0)))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3"/>
      <c r="BE98" s="893"/>
      <c r="BF98" s="893"/>
      <c r="BG98" s="897"/>
      <c r="BH98" s="897"/>
      <c r="BI98" s="893"/>
      <c r="BJ98" s="893"/>
      <c r="BK98" s="893"/>
      <c r="BL98" s="897"/>
      <c r="BM98" s="897"/>
      <c r="BN98" s="897"/>
      <c r="BO98" s="897"/>
      <c r="BP98" s="897"/>
      <c r="BQ98" s="897"/>
      <c r="BR98" s="897"/>
      <c r="BS98" s="897"/>
      <c r="BT98" s="897"/>
      <c r="BU98" s="897"/>
      <c r="BV98" s="897"/>
      <c r="BW98" s="897"/>
      <c r="BX98" s="897"/>
      <c r="BY98" s="897"/>
      <c r="BZ98" s="893"/>
      <c r="CA98" s="897"/>
      <c r="CB98" s="893"/>
      <c r="CC98" s="897"/>
      <c r="CD98" s="897"/>
      <c r="CE98" s="897"/>
      <c r="CF98" s="897"/>
      <c r="CG98" s="897"/>
      <c r="CH98" s="897"/>
    </row>
    <row r="99" spans="1:86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31"/>
        <v/>
      </c>
      <c r="M99" s="816" t="str">
        <f t="shared" si="32"/>
        <v/>
      </c>
      <c r="N99" s="816" t="str">
        <f t="shared" si="24"/>
        <v/>
      </c>
      <c r="R99" s="871" t="str">
        <f t="shared" si="82"/>
        <v/>
      </c>
      <c r="T99" s="829" t="str">
        <f t="shared" ref="T99:T134" si="83">IF(ISBLANK(S99),"",J99+K99-S99)</f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IF($J99="","",IF(SUM(IF(ISNUMBER(VALUE(RIGHT($AG99:$CM99,1))),VALUE(RIGHT($AG99:$CM99,1)),0))=$J99,"T","F"))</f>
        <v/>
      </c>
      <c r="AE99" s="831" t="str">
        <f t="array" ref="AE99">IF($J99="","",SUM(IF(LEFT($AG99:$DY99,1)="s",1,0))-SUM(IF(RIGHT(LEFT($AG99:$DY99,2))="-",1,0)))</f>
        <v/>
      </c>
      <c r="AF99" s="816" t="str">
        <f t="array" ref="AF99">IF($J99="","",SUM(IF(LEFT($AG99:$DE99,1)="X",1,0)))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3"/>
      <c r="BE99" s="893"/>
      <c r="BF99" s="893"/>
      <c r="BG99" s="897"/>
      <c r="BH99" s="897"/>
      <c r="BI99" s="893"/>
      <c r="BJ99" s="893"/>
      <c r="BK99" s="893"/>
      <c r="BL99" s="897"/>
      <c r="BM99" s="897"/>
      <c r="BN99" s="897"/>
      <c r="BO99" s="897"/>
      <c r="BP99" s="897"/>
      <c r="BQ99" s="897"/>
      <c r="BR99" s="897"/>
      <c r="BS99" s="897"/>
      <c r="BT99" s="897"/>
      <c r="BU99" s="897"/>
      <c r="BV99" s="897"/>
      <c r="BW99" s="897"/>
      <c r="BX99" s="897"/>
      <c r="BY99" s="897"/>
      <c r="BZ99" s="893"/>
      <c r="CA99" s="897"/>
      <c r="CB99" s="893"/>
      <c r="CC99" s="897"/>
      <c r="CD99" s="897"/>
      <c r="CE99" s="897"/>
      <c r="CF99" s="897"/>
      <c r="CG99" s="897"/>
      <c r="CH99" s="897"/>
    </row>
    <row r="100" spans="1:86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31"/>
        <v/>
      </c>
      <c r="M100" s="816" t="str">
        <f t="shared" si="32"/>
        <v/>
      </c>
      <c r="N100" s="816" t="str">
        <f t="shared" si="24"/>
        <v/>
      </c>
      <c r="R100" s="871" t="str">
        <f t="shared" si="82"/>
        <v/>
      </c>
      <c r="T100" s="829" t="str">
        <f t="shared" si="83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IF($J100="","",IF(SUM(IF(ISNUMBER(VALUE(RIGHT($AG100:$CM100,1))),VALUE(RIGHT($AG100:$CM100,1)),0))=$J100,"T","F"))</f>
        <v/>
      </c>
      <c r="AE100" s="831" t="str">
        <f t="array" ref="AE100">IF($J100="","",SUM(IF(LEFT($AG100:$DY100,1)="s",1,0))-SUM(IF(RIGHT(LEFT($AG100:$DY100,2))="-",1,0)))</f>
        <v/>
      </c>
      <c r="AF100" s="816" t="str">
        <f t="array" ref="AF100">IF($J100="","",SUM(IF(LEFT($AG100:$DE100,1)="X",1,0)))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3"/>
      <c r="BE100" s="893"/>
      <c r="BF100" s="893"/>
      <c r="BG100" s="897"/>
      <c r="BH100" s="897"/>
      <c r="BI100" s="893"/>
      <c r="BJ100" s="893"/>
      <c r="BK100" s="893"/>
      <c r="BL100" s="897"/>
      <c r="BM100" s="897"/>
      <c r="BN100" s="897"/>
      <c r="BO100" s="897"/>
      <c r="BP100" s="897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3"/>
      <c r="CA100" s="897"/>
      <c r="CB100" s="893"/>
      <c r="CC100" s="897"/>
      <c r="CD100" s="897"/>
      <c r="CE100" s="897"/>
      <c r="CF100" s="897"/>
      <c r="CG100" s="897"/>
      <c r="CH100" s="897"/>
    </row>
    <row r="101" spans="1:86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31"/>
        <v/>
      </c>
      <c r="M101" s="816" t="str">
        <f t="shared" si="32"/>
        <v/>
      </c>
      <c r="N101" s="816" t="str">
        <f t="shared" si="24"/>
        <v/>
      </c>
      <c r="R101" s="871" t="str">
        <f t="shared" si="82"/>
        <v/>
      </c>
      <c r="T101" s="829" t="str">
        <f t="shared" si="83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IF($J101="","",IF(SUM(IF(ISNUMBER(VALUE(RIGHT($AG101:$CM101,1))),VALUE(RIGHT($AG101:$CM101,1)),0))=$J101,"T","F"))</f>
        <v/>
      </c>
      <c r="AE101" s="831" t="str">
        <f t="array" ref="AE101">IF($J101="","",SUM(IF(LEFT($AG101:$DY101,1)="s",1,0))-SUM(IF(RIGHT(LEFT($AG101:$DY101,2))="-",1,0)))</f>
        <v/>
      </c>
      <c r="AF101" s="816" t="str">
        <f t="array" ref="AF101">IF($J101="","",SUM(IF(LEFT($AG101:$DE101,1)="X",1,0)))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3"/>
      <c r="BE101" s="893"/>
      <c r="BF101" s="893"/>
      <c r="BG101" s="897"/>
      <c r="BH101" s="897"/>
      <c r="BI101" s="893"/>
      <c r="BJ101" s="893"/>
      <c r="BK101" s="893"/>
      <c r="BL101" s="897"/>
      <c r="BM101" s="897"/>
      <c r="BN101" s="897"/>
      <c r="BO101" s="897"/>
      <c r="BP101" s="897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3"/>
      <c r="CA101" s="897"/>
      <c r="CB101" s="893"/>
      <c r="CC101" s="897"/>
      <c r="CD101" s="897"/>
      <c r="CE101" s="897"/>
      <c r="CF101" s="897"/>
      <c r="CG101" s="897"/>
      <c r="CH101" s="897"/>
    </row>
    <row r="102" spans="1:86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31"/>
        <v/>
      </c>
      <c r="M102" s="816" t="str">
        <f t="shared" si="32"/>
        <v/>
      </c>
      <c r="N102" s="816" t="str">
        <f t="shared" si="24"/>
        <v/>
      </c>
      <c r="R102" s="871" t="str">
        <f t="shared" si="82"/>
        <v/>
      </c>
      <c r="T102" s="829" t="str">
        <f t="shared" si="83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IF($J102="","",IF(SUM(IF(ISNUMBER(VALUE(RIGHT($AG102:$CM102,1))),VALUE(RIGHT($AG102:$CM102,1)),0))=$J102,"T","F"))</f>
        <v/>
      </c>
      <c r="AE102" s="831" t="str">
        <f t="array" ref="AE102">IF($J102="","",SUM(IF(LEFT($AG102:$DY102,1)="s",1,0))-SUM(IF(RIGHT(LEFT($AG102:$DY102,2))="-",1,0)))</f>
        <v/>
      </c>
      <c r="AF102" s="816" t="str">
        <f t="array" ref="AF102">IF($J102="","",SUM(IF(LEFT($AG102:$DE102,1)="X",1,0)))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3"/>
      <c r="BE102" s="893"/>
      <c r="BF102" s="893"/>
      <c r="BG102" s="897"/>
      <c r="BH102" s="897"/>
      <c r="BI102" s="893"/>
      <c r="BJ102" s="893"/>
      <c r="BK102" s="893"/>
      <c r="BL102" s="897"/>
      <c r="BM102" s="897"/>
      <c r="BN102" s="897"/>
      <c r="BO102" s="897"/>
      <c r="BP102" s="897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3"/>
      <c r="CA102" s="897"/>
      <c r="CB102" s="893"/>
      <c r="CC102" s="897"/>
      <c r="CD102" s="897"/>
      <c r="CE102" s="897"/>
      <c r="CF102" s="897"/>
      <c r="CG102" s="897"/>
      <c r="CH102" s="897"/>
    </row>
    <row r="103" spans="1:86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31"/>
        <v/>
      </c>
      <c r="M103" s="816" t="str">
        <f t="shared" si="32"/>
        <v/>
      </c>
      <c r="N103" s="816" t="str">
        <f t="shared" si="24"/>
        <v/>
      </c>
      <c r="R103" s="871" t="str">
        <f t="shared" si="82"/>
        <v/>
      </c>
      <c r="T103" s="829" t="str">
        <f t="shared" si="83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IF($J103="","",IF(SUM(IF(ISNUMBER(VALUE(RIGHT($AG103:$CM103,1))),VALUE(RIGHT($AG103:$CM103,1)),0))=$J103,"T","F"))</f>
        <v/>
      </c>
      <c r="AE103" s="831" t="str">
        <f t="array" ref="AE103">IF($J103="","",SUM(IF(LEFT($AG103:$DY103,1)="s",1,0))-SUM(IF(RIGHT(LEFT($AG103:$DY103,2))="-",1,0)))</f>
        <v/>
      </c>
      <c r="AF103" s="816" t="str">
        <f t="array" ref="AF103">IF($J103="","",SUM(IF(LEFT($AG103:$DE103,1)="X",1,0)))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3"/>
      <c r="BE103" s="893"/>
      <c r="BF103" s="893"/>
      <c r="BG103" s="897"/>
      <c r="BH103" s="897"/>
      <c r="BI103" s="893"/>
      <c r="BJ103" s="893"/>
      <c r="BK103" s="893"/>
      <c r="BL103" s="897"/>
      <c r="BM103" s="897"/>
      <c r="BN103" s="897"/>
      <c r="BO103" s="897"/>
      <c r="BP103" s="897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3"/>
      <c r="CA103" s="897"/>
      <c r="CB103" s="893"/>
      <c r="CC103" s="897"/>
      <c r="CD103" s="897"/>
      <c r="CE103" s="897"/>
      <c r="CF103" s="897"/>
      <c r="CG103" s="897"/>
      <c r="CH103" s="897"/>
    </row>
    <row r="104" spans="1:86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31"/>
        <v/>
      </c>
      <c r="M104" s="816" t="str">
        <f t="shared" si="32"/>
        <v/>
      </c>
      <c r="N104" s="816" t="str">
        <f t="shared" si="24"/>
        <v/>
      </c>
      <c r="R104" s="871" t="str">
        <f t="shared" si="82"/>
        <v/>
      </c>
      <c r="T104" s="829" t="str">
        <f t="shared" si="83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IF($J104="","",IF(SUM(IF(ISNUMBER(VALUE(RIGHT($AG104:$CM104,1))),VALUE(RIGHT($AG104:$CM104,1)),0))=$J104,"T","F"))</f>
        <v/>
      </c>
      <c r="AE104" s="831" t="str">
        <f t="array" ref="AE104">IF($J104="","",SUM(IF(LEFT($AG104:$DY104,1)="s",1,0))-SUM(IF(RIGHT(LEFT($AG104:$DY104,2))="-",1,0)))</f>
        <v/>
      </c>
      <c r="AF104" s="816" t="str">
        <f t="array" ref="AF104">IF($J104="","",SUM(IF(LEFT($AG104:$DE104,1)="X",1,0)))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3"/>
      <c r="BE104" s="893"/>
      <c r="BF104" s="893"/>
      <c r="BG104" s="897"/>
      <c r="BH104" s="897"/>
      <c r="BI104" s="893"/>
      <c r="BJ104" s="893"/>
      <c r="BK104" s="893"/>
      <c r="BL104" s="897"/>
      <c r="BM104" s="897"/>
      <c r="BN104" s="897"/>
      <c r="BO104" s="897"/>
      <c r="BP104" s="897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3"/>
      <c r="CA104" s="897"/>
      <c r="CB104" s="893"/>
      <c r="CC104" s="897"/>
      <c r="CD104" s="897"/>
      <c r="CE104" s="897"/>
      <c r="CF104" s="897"/>
      <c r="CG104" s="897"/>
      <c r="CH104" s="897"/>
    </row>
    <row r="105" spans="1:86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31"/>
        <v/>
      </c>
      <c r="M105" s="816" t="str">
        <f t="shared" si="32"/>
        <v/>
      </c>
      <c r="N105" s="816" t="str">
        <f t="shared" ref="N105:N134" si="84">IF($J105="","",IF($M105&gt;N$19,"O",IF($M105&lt;N$19,"U",IF($M105=N$19,"-"))))</f>
        <v/>
      </c>
      <c r="R105" s="871" t="str">
        <f t="shared" si="82"/>
        <v/>
      </c>
      <c r="T105" s="829" t="str">
        <f t="shared" si="83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IF($J105="","",IF(SUM(IF(ISNUMBER(VALUE(RIGHT($AG105:$CM105,1))),VALUE(RIGHT($AG105:$CM105,1)),0))=$J105,"T","F"))</f>
        <v/>
      </c>
      <c r="AE105" s="831" t="str">
        <f t="array" ref="AE105">IF($J105="","",SUM(IF(LEFT($AG105:$DY105,1)="s",1,0))-SUM(IF(RIGHT(LEFT($AG105:$DY105,2))="-",1,0)))</f>
        <v/>
      </c>
      <c r="AF105" s="816" t="str">
        <f t="array" ref="AF105">IF($J105="","",SUM(IF(LEFT($AG105:$DE105,1)="X",1,0)))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3"/>
      <c r="BE105" s="893"/>
      <c r="BF105" s="893"/>
      <c r="BG105" s="897"/>
      <c r="BH105" s="897"/>
      <c r="BI105" s="893"/>
      <c r="BJ105" s="893"/>
      <c r="BK105" s="893"/>
      <c r="BL105" s="897"/>
      <c r="BM105" s="897"/>
      <c r="BN105" s="897"/>
      <c r="BO105" s="897"/>
      <c r="BP105" s="897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3"/>
      <c r="CA105" s="897"/>
      <c r="CB105" s="893"/>
      <c r="CC105" s="897"/>
      <c r="CD105" s="897"/>
      <c r="CE105" s="897"/>
      <c r="CF105" s="897"/>
      <c r="CG105" s="897"/>
      <c r="CH105" s="897"/>
    </row>
    <row r="106" spans="1:86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31"/>
        <v/>
      </c>
      <c r="M106" s="816" t="str">
        <f t="shared" si="32"/>
        <v/>
      </c>
      <c r="N106" s="816" t="str">
        <f t="shared" si="84"/>
        <v/>
      </c>
      <c r="R106" s="871" t="str">
        <f t="shared" si="82"/>
        <v/>
      </c>
      <c r="T106" s="829" t="str">
        <f t="shared" si="83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IF($J106="","",IF(SUM(IF(ISNUMBER(VALUE(RIGHT($AG106:$CM106,1))),VALUE(RIGHT($AG106:$CM106,1)),0))=$J106,"T","F"))</f>
        <v/>
      </c>
      <c r="AE106" s="831" t="str">
        <f t="array" ref="AE106">IF($J106="","",SUM(IF(LEFT($AG106:$DY106,1)="s",1,0))-SUM(IF(RIGHT(LEFT($AG106:$DY106,2))="-",1,0)))</f>
        <v/>
      </c>
      <c r="AF106" s="816" t="str">
        <f t="array" ref="AF106">IF($J106="","",SUM(IF(LEFT($AG106:$DE106,1)="X",1,0)))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3"/>
      <c r="BE106" s="893"/>
      <c r="BF106" s="893"/>
      <c r="BG106" s="897"/>
      <c r="BH106" s="897"/>
      <c r="BI106" s="893"/>
      <c r="BJ106" s="893"/>
      <c r="BK106" s="893"/>
      <c r="BL106" s="897"/>
      <c r="BM106" s="897"/>
      <c r="BN106" s="897"/>
      <c r="BO106" s="897"/>
      <c r="BP106" s="897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3"/>
      <c r="CA106" s="897"/>
      <c r="CB106" s="893"/>
      <c r="CC106" s="897"/>
      <c r="CD106" s="897"/>
      <c r="CE106" s="897"/>
      <c r="CF106" s="897"/>
      <c r="CG106" s="897"/>
      <c r="CH106" s="897"/>
    </row>
    <row r="107" spans="1:86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ref="L107:L134" si="85">IF(J107="","",IF(J107&gt;K107,"W",IF(J107=K107,"D",IF(J107&lt;K107,"L"))))</f>
        <v/>
      </c>
      <c r="M107" s="816" t="str">
        <f t="shared" si="32"/>
        <v/>
      </c>
      <c r="N107" s="816" t="str">
        <f t="shared" si="84"/>
        <v/>
      </c>
      <c r="R107" s="871" t="str">
        <f t="shared" si="82"/>
        <v/>
      </c>
      <c r="T107" s="829" t="str">
        <f t="shared" si="83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IF($J107="","",IF(SUM(IF(ISNUMBER(VALUE(RIGHT($AG107:$CM107,1))),VALUE(RIGHT($AG107:$CM107,1)),0))=$J107,"T","F"))</f>
        <v/>
      </c>
      <c r="AE107" s="831" t="str">
        <f t="array" ref="AE107">IF($J107="","",SUM(IF(LEFT($AG107:$DY107,1)="s",1,0))-SUM(IF(RIGHT(LEFT($AG107:$DY107,2))="-",1,0)))</f>
        <v/>
      </c>
      <c r="AF107" s="816" t="str">
        <f t="array" ref="AF107">IF($J107="","",SUM(IF(LEFT($AG107:$DE107,1)="X",1,0)))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3"/>
      <c r="BE107" s="893"/>
      <c r="BF107" s="893"/>
      <c r="BG107" s="897"/>
      <c r="BH107" s="897"/>
      <c r="BI107" s="893"/>
      <c r="BJ107" s="893"/>
      <c r="BK107" s="893"/>
      <c r="BL107" s="897"/>
      <c r="BM107" s="897"/>
      <c r="BN107" s="897"/>
      <c r="BO107" s="897"/>
      <c r="BP107" s="897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3"/>
      <c r="CA107" s="897"/>
      <c r="CB107" s="893"/>
      <c r="CC107" s="897"/>
      <c r="CD107" s="897"/>
      <c r="CE107" s="897"/>
      <c r="CF107" s="897"/>
      <c r="CG107" s="897"/>
      <c r="CH107" s="897"/>
    </row>
    <row r="108" spans="1:86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85"/>
        <v/>
      </c>
      <c r="M108" s="816" t="str">
        <f t="shared" ref="M108:M134" si="86">IF(J108="","",J108+K108)</f>
        <v/>
      </c>
      <c r="N108" s="816" t="str">
        <f t="shared" si="84"/>
        <v/>
      </c>
      <c r="R108" s="871" t="str">
        <f t="shared" si="82"/>
        <v/>
      </c>
      <c r="T108" s="829" t="str">
        <f t="shared" si="83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IF($J108="","",IF(SUM(IF(ISNUMBER(VALUE(RIGHT($AG108:$CM108,1))),VALUE(RIGHT($AG108:$CM108,1)),0))=$J108,"T","F"))</f>
        <v/>
      </c>
      <c r="AE108" s="831" t="str">
        <f t="array" ref="AE108">IF($J108="","",SUM(IF(LEFT($AG108:$DY108,1)="s",1,0))-SUM(IF(RIGHT(LEFT($AG108:$DY108,2))="-",1,0)))</f>
        <v/>
      </c>
      <c r="AF108" s="816" t="str">
        <f t="array" ref="AF108">IF($J108="","",SUM(IF(LEFT($AG108:$DE108,1)="X",1,0)))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3"/>
      <c r="BE108" s="893"/>
      <c r="BF108" s="893"/>
      <c r="BG108" s="897"/>
      <c r="BH108" s="897"/>
      <c r="BI108" s="893"/>
      <c r="BJ108" s="893"/>
      <c r="BK108" s="893"/>
      <c r="BL108" s="897"/>
      <c r="BM108" s="897"/>
      <c r="BN108" s="897"/>
      <c r="BO108" s="897"/>
      <c r="BP108" s="897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3"/>
      <c r="CA108" s="897"/>
      <c r="CB108" s="893"/>
      <c r="CC108" s="897"/>
      <c r="CD108" s="897"/>
      <c r="CE108" s="897"/>
      <c r="CF108" s="897"/>
      <c r="CG108" s="897"/>
      <c r="CH108" s="897"/>
    </row>
    <row r="109" spans="1:86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85"/>
        <v/>
      </c>
      <c r="M109" s="816" t="str">
        <f t="shared" si="86"/>
        <v/>
      </c>
      <c r="N109" s="816" t="str">
        <f t="shared" si="84"/>
        <v/>
      </c>
      <c r="R109" s="871" t="str">
        <f t="shared" si="82"/>
        <v/>
      </c>
      <c r="T109" s="829" t="str">
        <f t="shared" si="83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IF($J109="","",IF(SUM(IF(ISNUMBER(VALUE(RIGHT($AG109:$CM109,1))),VALUE(RIGHT($AG109:$CM109,1)),0))=$J109,"T","F"))</f>
        <v/>
      </c>
      <c r="AE109" s="816" t="str">
        <f t="array" ref="AE109">IF($J109="","",SUM(IF(LEFT($AG109:$DY109,1)="s",1,0))-SUM(IF(RIGHT(LEFT($AG109:$DY109,2))="-",1,0)))</f>
        <v/>
      </c>
      <c r="AF109" s="816" t="str">
        <f t="array" ref="AF109">IF($J109="","",SUM(IF(LEFT($AG109:$DE109,1)="X",1,0)))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3"/>
      <c r="BE109" s="893"/>
      <c r="BF109" s="893"/>
      <c r="BG109" s="897"/>
      <c r="BH109" s="897"/>
      <c r="BI109" s="893"/>
      <c r="BJ109" s="893"/>
      <c r="BK109" s="893"/>
      <c r="BL109" s="897"/>
      <c r="BM109" s="897"/>
      <c r="BN109" s="897"/>
      <c r="BO109" s="897"/>
      <c r="BP109" s="897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3"/>
      <c r="CA109" s="897"/>
      <c r="CB109" s="893"/>
      <c r="CC109" s="897"/>
      <c r="CD109" s="897"/>
      <c r="CE109" s="897"/>
      <c r="CF109" s="897"/>
      <c r="CG109" s="897"/>
      <c r="CH109" s="897"/>
    </row>
    <row r="110" spans="1:86" ht="15">
      <c r="A110" s="845"/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85"/>
        <v/>
      </c>
      <c r="M110" s="816" t="str">
        <f t="shared" si="86"/>
        <v/>
      </c>
      <c r="N110" s="816" t="str">
        <f t="shared" si="84"/>
        <v/>
      </c>
      <c r="R110" s="871" t="str">
        <f t="shared" si="82"/>
        <v/>
      </c>
      <c r="T110" s="829" t="str">
        <f t="shared" si="83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IF($J110="","",IF(SUM(IF(ISNUMBER(VALUE(RIGHT($AG110:$CM110,1))),VALUE(RIGHT($AG110:$CM110,1)),0))=$J110,"T","F"))</f>
        <v/>
      </c>
      <c r="AE110" s="816" t="str">
        <f t="array" ref="AE110">IF($J110="","",SUM(IF(LEFT($AG110:$DY110,1)="s",1,0))-SUM(IF(RIGHT(LEFT($AG110:$DY110,2))="-",1,0)))</f>
        <v/>
      </c>
      <c r="AF110" s="816" t="str">
        <f t="array" ref="AF110">IF($J110="","",SUM(IF(LEFT($AG110:$DE110,1)="X",1,0)))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3"/>
      <c r="BE110" s="893"/>
      <c r="BF110" s="893"/>
      <c r="BG110" s="897"/>
      <c r="BH110" s="897"/>
      <c r="BI110" s="893"/>
      <c r="BJ110" s="893"/>
      <c r="BK110" s="893"/>
      <c r="BL110" s="897"/>
      <c r="BM110" s="897"/>
      <c r="BN110" s="897"/>
      <c r="BO110" s="897"/>
      <c r="BP110" s="897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3"/>
      <c r="CA110" s="897"/>
      <c r="CB110" s="893"/>
      <c r="CC110" s="897"/>
      <c r="CD110" s="897"/>
      <c r="CE110" s="897"/>
      <c r="CF110" s="897"/>
      <c r="CG110" s="897"/>
      <c r="CH110" s="897"/>
    </row>
    <row r="111" spans="1:86" ht="15">
      <c r="A111" s="845"/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85"/>
        <v/>
      </c>
      <c r="M111" s="816" t="str">
        <f t="shared" si="86"/>
        <v/>
      </c>
      <c r="N111" s="816" t="str">
        <f t="shared" si="84"/>
        <v/>
      </c>
      <c r="R111" s="871" t="str">
        <f t="shared" si="82"/>
        <v/>
      </c>
      <c r="T111" s="829" t="str">
        <f t="shared" si="83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IF($J111="","",IF(SUM(IF(ISNUMBER(VALUE(RIGHT($AG111:$CM111,1))),VALUE(RIGHT($AG111:$CM111,1)),0))=$J111,"T","F"))</f>
        <v/>
      </c>
      <c r="AE111" s="816" t="str">
        <f t="array" ref="AE111">IF($J111="","",SUM(IF(LEFT($AG111:$DY111,1)="s",1,0))-SUM(IF(RIGHT(LEFT($AG111:$DY111,2))="-",1,0)))</f>
        <v/>
      </c>
      <c r="AF111" s="816" t="str">
        <f t="array" ref="AF111">IF($J111="","",SUM(IF(LEFT($AG111:$DE111,1)="X",1,0)))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3"/>
      <c r="BE111" s="893"/>
      <c r="BF111" s="893"/>
      <c r="BG111" s="897"/>
      <c r="BH111" s="897"/>
      <c r="BI111" s="893"/>
      <c r="BJ111" s="893"/>
      <c r="BK111" s="893"/>
      <c r="BL111" s="897"/>
      <c r="BM111" s="897"/>
      <c r="BN111" s="897"/>
      <c r="BO111" s="897"/>
      <c r="BP111" s="897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3"/>
      <c r="CA111" s="897"/>
      <c r="CB111" s="893"/>
      <c r="CC111" s="897"/>
      <c r="CD111" s="897"/>
      <c r="CE111" s="897"/>
      <c r="CF111" s="897"/>
      <c r="CG111" s="897"/>
      <c r="CH111" s="897"/>
    </row>
    <row r="112" spans="1:86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85"/>
        <v/>
      </c>
      <c r="M112" s="816" t="str">
        <f t="shared" si="86"/>
        <v/>
      </c>
      <c r="N112" s="816" t="str">
        <f t="shared" si="84"/>
        <v/>
      </c>
      <c r="R112" s="871" t="str">
        <f t="shared" si="82"/>
        <v/>
      </c>
      <c r="T112" s="829" t="str">
        <f t="shared" si="83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IF($J112="","",IF(SUM(IF(ISNUMBER(VALUE(RIGHT($AG112:$CM112,1))),VALUE(RIGHT($AG112:$CM112,1)),0))=$J112,"T","F"))</f>
        <v/>
      </c>
      <c r="AE112" s="816" t="str">
        <f t="array" ref="AE112">IF($J112="","",SUM(IF(LEFT($AG112:$DY112,1)="s",1,0))-SUM(IF(RIGHT(LEFT($AG112:$DY112,2))="-",1,0)))</f>
        <v/>
      </c>
      <c r="AF112" s="816" t="str">
        <f t="array" ref="AF112">IF($J112="","",SUM(IF(LEFT($AG112:$DE112,1)="X",1,0)))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3"/>
      <c r="BE112" s="893"/>
      <c r="BF112" s="893"/>
      <c r="BG112" s="897"/>
      <c r="BH112" s="897"/>
      <c r="BI112" s="893"/>
      <c r="BJ112" s="893"/>
      <c r="BK112" s="893"/>
      <c r="BL112" s="897"/>
      <c r="BM112" s="897"/>
      <c r="BN112" s="897"/>
      <c r="BO112" s="897"/>
      <c r="BP112" s="897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3"/>
      <c r="CA112" s="897"/>
      <c r="CB112" s="893"/>
      <c r="CC112" s="897"/>
      <c r="CD112" s="897"/>
      <c r="CE112" s="897"/>
      <c r="CF112" s="897"/>
      <c r="CG112" s="897"/>
      <c r="CH112" s="897"/>
    </row>
    <row r="113" spans="4:86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85"/>
        <v/>
      </c>
      <c r="M113" s="816" t="str">
        <f t="shared" si="86"/>
        <v/>
      </c>
      <c r="N113" s="816" t="str">
        <f t="shared" si="84"/>
        <v/>
      </c>
      <c r="R113" s="871" t="str">
        <f t="shared" si="82"/>
        <v/>
      </c>
      <c r="T113" s="829" t="str">
        <f t="shared" si="83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IF($J113="","",IF(SUM(IF(ISNUMBER(VALUE(RIGHT($AG113:$CM113,1))),VALUE(RIGHT($AG113:$CM113,1)),0))=$J113,"T","F"))</f>
        <v/>
      </c>
      <c r="AE113" s="816" t="str">
        <f t="array" ref="AE113">IF($J113="","",SUM(IF(LEFT($AG113:$DY113,1)="s",1,0))-SUM(IF(RIGHT(LEFT($AG113:$DY113,2))="-",1,0)))</f>
        <v/>
      </c>
      <c r="AF113" s="816" t="str">
        <f t="array" ref="AF113">IF($J113="","",SUM(IF(LEFT($AG113:$DE113,1)="X",1,0)))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3"/>
      <c r="BE113" s="893"/>
      <c r="BF113" s="893"/>
      <c r="BG113" s="897"/>
      <c r="BH113" s="897"/>
      <c r="BI113" s="893"/>
      <c r="BJ113" s="893"/>
      <c r="BK113" s="893"/>
      <c r="BL113" s="897"/>
      <c r="BM113" s="897"/>
      <c r="BN113" s="897"/>
      <c r="BO113" s="897"/>
      <c r="BP113" s="897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3"/>
      <c r="CA113" s="897"/>
      <c r="CB113" s="893"/>
      <c r="CC113" s="897"/>
      <c r="CD113" s="897"/>
      <c r="CE113" s="897"/>
      <c r="CF113" s="897"/>
      <c r="CG113" s="897"/>
      <c r="CH113" s="897"/>
    </row>
    <row r="114" spans="4:86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85"/>
        <v/>
      </c>
      <c r="M114" s="816" t="str">
        <f t="shared" si="86"/>
        <v/>
      </c>
      <c r="N114" s="816" t="str">
        <f t="shared" si="84"/>
        <v/>
      </c>
      <c r="R114" s="871" t="str">
        <f t="shared" si="82"/>
        <v/>
      </c>
      <c r="T114" s="829" t="str">
        <f t="shared" si="83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IF($J114="","",IF(SUM(IF(ISNUMBER(VALUE(RIGHT($AG114:$CM114,1))),VALUE(RIGHT($AG114:$CM114,1)),0))=$J114,"T","F"))</f>
        <v/>
      </c>
      <c r="AE114" s="816" t="str">
        <f t="array" ref="AE114">IF($J114="","",SUM(IF(LEFT($AG114:$DY114,1)="s",1,0))-SUM(IF(RIGHT(LEFT($AG114:$DY114,2))="-",1,0)))</f>
        <v/>
      </c>
      <c r="AF114" s="816" t="str">
        <f t="array" ref="AF114">IF($J114="","",SUM(IF(LEFT($AG114:$DE114,1)="X",1,0)))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3"/>
      <c r="BE114" s="893"/>
      <c r="BF114" s="893"/>
      <c r="BG114" s="897"/>
      <c r="BH114" s="897"/>
      <c r="BI114" s="893"/>
      <c r="BJ114" s="893"/>
      <c r="BK114" s="893"/>
      <c r="BL114" s="897"/>
      <c r="BM114" s="897"/>
      <c r="BN114" s="897"/>
      <c r="BO114" s="897"/>
      <c r="BP114" s="897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3"/>
      <c r="CA114" s="897"/>
      <c r="CB114" s="893"/>
      <c r="CC114" s="897"/>
      <c r="CD114" s="897"/>
      <c r="CE114" s="897"/>
      <c r="CF114" s="897"/>
      <c r="CG114" s="897"/>
      <c r="CH114" s="897"/>
    </row>
    <row r="115" spans="4:86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85"/>
        <v/>
      </c>
      <c r="M115" s="816" t="str">
        <f t="shared" si="86"/>
        <v/>
      </c>
      <c r="N115" s="816" t="str">
        <f t="shared" si="84"/>
        <v/>
      </c>
      <c r="R115" s="871" t="str">
        <f t="shared" si="82"/>
        <v/>
      </c>
      <c r="T115" s="829" t="str">
        <f t="shared" si="83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IF($J115="","",IF(SUM(IF(ISNUMBER(VALUE(RIGHT($AG115:$CM115,1))),VALUE(RIGHT($AG115:$CM115,1)),0))=$J115,"T","F"))</f>
        <v/>
      </c>
      <c r="AE115" s="816" t="str">
        <f t="array" ref="AE115">IF($J115="","",SUM(IF(LEFT($AG115:$DY115,1)="s",1,0))-SUM(IF(RIGHT(LEFT($AG115:$DY115,2))="-",1,0)))</f>
        <v/>
      </c>
      <c r="AF115" s="816" t="str">
        <f t="array" ref="AF115">IF($J115="","",SUM(IF(LEFT($AG115:$DE115,1)="X",1,0)))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3"/>
      <c r="BE115" s="893"/>
      <c r="BF115" s="893"/>
      <c r="BG115" s="897"/>
      <c r="BH115" s="897"/>
      <c r="BI115" s="893"/>
      <c r="BJ115" s="893"/>
      <c r="BK115" s="893"/>
      <c r="BL115" s="897"/>
      <c r="BM115" s="897"/>
      <c r="BN115" s="897"/>
      <c r="BO115" s="897"/>
      <c r="BP115" s="897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3"/>
      <c r="CA115" s="897"/>
      <c r="CB115" s="893"/>
      <c r="CC115" s="897"/>
      <c r="CD115" s="897"/>
      <c r="CE115" s="897"/>
      <c r="CF115" s="897"/>
      <c r="CG115" s="897"/>
      <c r="CH115" s="897"/>
    </row>
    <row r="116" spans="4:86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85"/>
        <v/>
      </c>
      <c r="M116" s="816" t="str">
        <f t="shared" si="86"/>
        <v/>
      </c>
      <c r="N116" s="816" t="str">
        <f t="shared" si="84"/>
        <v/>
      </c>
      <c r="R116" s="871" t="str">
        <f t="shared" si="82"/>
        <v/>
      </c>
      <c r="T116" s="829" t="str">
        <f t="shared" si="83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IF($J116="","",IF(SUM(IF(ISNUMBER(VALUE(RIGHT($AG116:$CM116,1))),VALUE(RIGHT($AG116:$CM116,1)),0))=$J116,"T","F"))</f>
        <v/>
      </c>
      <c r="AE116" s="816" t="str">
        <f t="array" ref="AE116">IF($J116="","",SUM(IF(LEFT($AG116:$DY116,1)="s",1,0))-SUM(IF(RIGHT(LEFT($AG116:$DY116,2))="-",1,0)))</f>
        <v/>
      </c>
      <c r="AF116" s="816" t="str">
        <f t="array" ref="AF116">IF($J116="","",SUM(IF(LEFT($AG116:$DE116,1)="X",1,0)))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3"/>
      <c r="BE116" s="893"/>
      <c r="BF116" s="893"/>
      <c r="BG116" s="897"/>
      <c r="BH116" s="897"/>
      <c r="BI116" s="893"/>
      <c r="BJ116" s="893"/>
      <c r="BK116" s="893"/>
      <c r="BL116" s="897"/>
      <c r="BM116" s="897"/>
      <c r="BN116" s="897"/>
      <c r="BO116" s="897"/>
      <c r="BP116" s="897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3"/>
      <c r="CA116" s="897"/>
      <c r="CB116" s="893"/>
      <c r="CC116" s="897"/>
      <c r="CD116" s="897"/>
      <c r="CE116" s="897"/>
      <c r="CF116" s="897"/>
      <c r="CG116" s="897"/>
      <c r="CH116" s="897"/>
    </row>
    <row r="117" spans="4:86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85"/>
        <v/>
      </c>
      <c r="M117" s="816" t="str">
        <f t="shared" si="86"/>
        <v/>
      </c>
      <c r="N117" s="816" t="str">
        <f t="shared" si="84"/>
        <v/>
      </c>
      <c r="R117" s="871" t="str">
        <f t="shared" si="82"/>
        <v/>
      </c>
      <c r="T117" s="829" t="str">
        <f t="shared" si="83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IF($J117="","",IF(SUM(IF(ISNUMBER(VALUE(RIGHT($AG117:$CM117,1))),VALUE(RIGHT($AG117:$CM117,1)),0))=$J117,"T","F"))</f>
        <v/>
      </c>
      <c r="AE117" s="816" t="str">
        <f t="array" ref="AE117">IF($J117="","",SUM(IF(LEFT($AG117:$DY117,1)="s",1,0))-SUM(IF(RIGHT(LEFT($AG117:$DY117,2))="-",1,0)))</f>
        <v/>
      </c>
      <c r="AF117" s="816" t="str">
        <f t="array" ref="AF117">IF($J117="","",SUM(IF(LEFT($AG117:$DE117,1)="X",1,0)))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3"/>
      <c r="BE117" s="893"/>
      <c r="BF117" s="893"/>
      <c r="BG117" s="897"/>
      <c r="BH117" s="897"/>
      <c r="BI117" s="893"/>
      <c r="BJ117" s="893"/>
      <c r="BK117" s="893"/>
      <c r="BL117" s="897"/>
      <c r="BM117" s="897"/>
      <c r="BN117" s="897"/>
      <c r="BO117" s="897"/>
      <c r="BP117" s="897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3"/>
      <c r="CA117" s="897"/>
      <c r="CB117" s="893"/>
      <c r="CC117" s="897"/>
      <c r="CD117" s="897"/>
      <c r="CE117" s="897"/>
      <c r="CF117" s="897"/>
      <c r="CG117" s="897"/>
      <c r="CH117" s="897"/>
    </row>
    <row r="118" spans="4:86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85"/>
        <v/>
      </c>
      <c r="M118" s="816" t="str">
        <f t="shared" si="86"/>
        <v/>
      </c>
      <c r="N118" s="816" t="str">
        <f t="shared" si="84"/>
        <v/>
      </c>
      <c r="R118" s="871" t="str">
        <f t="shared" si="82"/>
        <v/>
      </c>
      <c r="T118" s="829" t="str">
        <f t="shared" si="83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IF($J118="","",IF(SUM(IF(ISNUMBER(VALUE(RIGHT($AG118:$CM118,1))),VALUE(RIGHT($AG118:$CM118,1)),0))=$J118,"T","F"))</f>
        <v/>
      </c>
      <c r="AE118" s="816" t="str">
        <f t="array" ref="AE118">IF($J118="","",SUM(IF(LEFT($AG118:$DY118,1)="s",1,0))-SUM(IF(RIGHT(LEFT($AG118:$DY118,2))="-",1,0)))</f>
        <v/>
      </c>
      <c r="AF118" s="816" t="str">
        <f t="array" ref="AF118">IF($J118="","",SUM(IF(LEFT($AG118:$DE118,1)="X",1,0)))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3"/>
      <c r="BE118" s="893"/>
      <c r="BF118" s="893"/>
      <c r="BG118" s="897"/>
      <c r="BH118" s="897"/>
      <c r="BI118" s="893"/>
      <c r="BJ118" s="893"/>
      <c r="BK118" s="893"/>
      <c r="BL118" s="897"/>
      <c r="BM118" s="897"/>
      <c r="BN118" s="897"/>
      <c r="BO118" s="897"/>
      <c r="BP118" s="897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3"/>
      <c r="CA118" s="897"/>
      <c r="CB118" s="893"/>
      <c r="CC118" s="897"/>
      <c r="CD118" s="897"/>
      <c r="CE118" s="897"/>
      <c r="CF118" s="897"/>
      <c r="CG118" s="897"/>
      <c r="CH118" s="897"/>
    </row>
    <row r="119" spans="4:86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85"/>
        <v/>
      </c>
      <c r="M119" s="816" t="str">
        <f t="shared" si="86"/>
        <v/>
      </c>
      <c r="N119" s="816" t="str">
        <f t="shared" si="84"/>
        <v/>
      </c>
      <c r="R119" s="871" t="str">
        <f t="shared" si="82"/>
        <v/>
      </c>
      <c r="T119" s="829" t="str">
        <f t="shared" si="83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IF($J119="","",IF(SUM(IF(ISNUMBER(VALUE(RIGHT($AG119:$CM119,1))),VALUE(RIGHT($AG119:$CM119,1)),0))=$J119,"T","F"))</f>
        <v/>
      </c>
      <c r="AE119" s="816" t="str">
        <f t="array" ref="AE119">IF($J119="","",SUM(IF(LEFT($AG119:$DY119,1)="s",1,0))-SUM(IF(RIGHT(LEFT($AG119:$DY119,2))="-",1,0)))</f>
        <v/>
      </c>
      <c r="AF119" s="816" t="str">
        <f t="array" ref="AF119">IF($J119="","",SUM(IF(LEFT($AG119:$DE119,1)="X",1,0)))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3"/>
      <c r="BE119" s="893"/>
      <c r="BF119" s="893"/>
      <c r="BG119" s="897"/>
      <c r="BH119" s="897"/>
      <c r="BI119" s="893"/>
      <c r="BJ119" s="893"/>
      <c r="BK119" s="893"/>
      <c r="BL119" s="897"/>
      <c r="BM119" s="897"/>
      <c r="BN119" s="897"/>
      <c r="BO119" s="897"/>
      <c r="BP119" s="897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3"/>
      <c r="CA119" s="897"/>
      <c r="CB119" s="893"/>
      <c r="CC119" s="897"/>
      <c r="CD119" s="897"/>
      <c r="CE119" s="897"/>
      <c r="CF119" s="897"/>
      <c r="CG119" s="897"/>
      <c r="CH119" s="897"/>
    </row>
    <row r="120" spans="4:86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85"/>
        <v/>
      </c>
      <c r="M120" s="816" t="str">
        <f t="shared" si="86"/>
        <v/>
      </c>
      <c r="N120" s="816" t="str">
        <f t="shared" si="84"/>
        <v/>
      </c>
      <c r="R120" s="871" t="str">
        <f t="shared" si="82"/>
        <v/>
      </c>
      <c r="T120" s="829" t="str">
        <f t="shared" si="83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IF($J120="","",IF(SUM(IF(ISNUMBER(VALUE(RIGHT($AG120:$CM120,1))),VALUE(RIGHT($AG120:$CM120,1)),0))=$J120,"T","F"))</f>
        <v/>
      </c>
      <c r="AE120" s="816" t="str">
        <f t="array" ref="AE120">IF($J120="","",SUM(IF(LEFT($AG120:$DY120,1)="s",1,0))-SUM(IF(RIGHT(LEFT($AG120:$DY120,2))="-",1,0)))</f>
        <v/>
      </c>
      <c r="AF120" s="816" t="str">
        <f t="array" ref="AF120">IF($J120="","",SUM(IF(LEFT($AG120:$DE120,1)="X",1,0)))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3"/>
      <c r="BE120" s="893"/>
      <c r="BF120" s="893"/>
      <c r="BG120" s="897"/>
      <c r="BH120" s="897"/>
      <c r="BI120" s="893"/>
      <c r="BJ120" s="893"/>
      <c r="BK120" s="893"/>
      <c r="BL120" s="897"/>
      <c r="BM120" s="897"/>
      <c r="BN120" s="897"/>
      <c r="BO120" s="897"/>
      <c r="BP120" s="897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3"/>
      <c r="CA120" s="897"/>
      <c r="CB120" s="893"/>
      <c r="CC120" s="897"/>
      <c r="CD120" s="897"/>
      <c r="CE120" s="897"/>
      <c r="CF120" s="897"/>
      <c r="CG120" s="897"/>
      <c r="CH120" s="897"/>
    </row>
    <row r="121" spans="4:86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85"/>
        <v/>
      </c>
      <c r="M121" s="816" t="str">
        <f t="shared" si="86"/>
        <v/>
      </c>
      <c r="N121" s="816" t="str">
        <f t="shared" si="84"/>
        <v/>
      </c>
      <c r="R121" s="871" t="str">
        <f t="shared" si="82"/>
        <v/>
      </c>
      <c r="T121" s="829" t="str">
        <f t="shared" si="83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IF($J121="","",IF(SUM(IF(ISNUMBER(VALUE(RIGHT($AG121:$CM121,1))),VALUE(RIGHT($AG121:$CM121,1)),0))=$J121,"T","F"))</f>
        <v/>
      </c>
      <c r="AE121" s="816" t="str">
        <f t="array" ref="AE121">IF($J121="","",SUM(IF(LEFT($AG121:$DY121,1)="s",1,0))-SUM(IF(RIGHT(LEFT($AG121:$DY121,2))="-",1,0)))</f>
        <v/>
      </c>
      <c r="AF121" s="816" t="str">
        <f t="array" ref="AF121">IF($J121="","",SUM(IF(LEFT($AG121:$DE121,1)="X",1,0)))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3"/>
      <c r="BE121" s="893"/>
      <c r="BF121" s="893"/>
      <c r="BG121" s="897"/>
      <c r="BH121" s="897"/>
      <c r="BI121" s="893"/>
      <c r="BJ121" s="893"/>
      <c r="BK121" s="893"/>
      <c r="BL121" s="897"/>
      <c r="BM121" s="897"/>
      <c r="BN121" s="897"/>
      <c r="BO121" s="897"/>
      <c r="BP121" s="897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3"/>
      <c r="CA121" s="897"/>
      <c r="CB121" s="893"/>
      <c r="CC121" s="897"/>
      <c r="CD121" s="897"/>
      <c r="CE121" s="897"/>
      <c r="CF121" s="897"/>
      <c r="CG121" s="897"/>
      <c r="CH121" s="897"/>
    </row>
    <row r="122" spans="4:86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85"/>
        <v/>
      </c>
      <c r="M122" s="816" t="str">
        <f t="shared" si="86"/>
        <v/>
      </c>
      <c r="N122" s="816" t="str">
        <f t="shared" si="84"/>
        <v/>
      </c>
      <c r="R122" s="871" t="str">
        <f t="shared" si="82"/>
        <v/>
      </c>
      <c r="T122" s="829" t="str">
        <f t="shared" si="83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IF($J122="","",IF(SUM(IF(ISNUMBER(VALUE(RIGHT($AG122:$CM122,1))),VALUE(RIGHT($AG122:$CM122,1)),0))=$J122,"T","F"))</f>
        <v/>
      </c>
      <c r="AE122" s="816" t="str">
        <f t="array" ref="AE122">IF($J122="","",SUM(IF(LEFT($AG122:$DY122,1)="s",1,0))-SUM(IF(RIGHT(LEFT($AG122:$DY122,2))="-",1,0)))</f>
        <v/>
      </c>
      <c r="AF122" s="816" t="str">
        <f t="array" ref="AF122">IF($J122="","",SUM(IF(LEFT($AG122:$DE122,1)="X",1,0)))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3"/>
      <c r="BE122" s="893"/>
      <c r="BF122" s="893"/>
      <c r="BG122" s="897"/>
      <c r="BH122" s="897"/>
      <c r="BI122" s="893"/>
      <c r="BJ122" s="893"/>
      <c r="BK122" s="893"/>
      <c r="BL122" s="897"/>
      <c r="BM122" s="897"/>
      <c r="BN122" s="897"/>
      <c r="BO122" s="897"/>
      <c r="BP122" s="897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3"/>
      <c r="CA122" s="897"/>
      <c r="CB122" s="893"/>
      <c r="CC122" s="897"/>
      <c r="CD122" s="897"/>
      <c r="CE122" s="897"/>
      <c r="CF122" s="897"/>
      <c r="CG122" s="897"/>
      <c r="CH122" s="897"/>
    </row>
    <row r="123" spans="4:86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85"/>
        <v/>
      </c>
      <c r="M123" s="816" t="str">
        <f t="shared" si="86"/>
        <v/>
      </c>
      <c r="N123" s="816" t="str">
        <f t="shared" si="84"/>
        <v/>
      </c>
      <c r="R123" s="871" t="str">
        <f t="shared" si="82"/>
        <v/>
      </c>
      <c r="T123" s="829" t="str">
        <f t="shared" si="83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IF($J123="","",IF(SUM(IF(ISNUMBER(VALUE(RIGHT($AG123:$CM123,1))),VALUE(RIGHT($AG123:$CM123,1)),0))=$J123,"T","F"))</f>
        <v/>
      </c>
      <c r="AE123" s="816" t="str">
        <f t="array" ref="AE123">IF($J123="","",SUM(IF(LEFT($AG123:$DY123,1)="s",1,0))-SUM(IF(RIGHT(LEFT($AG123:$DY123,2))="-",1,0)))</f>
        <v/>
      </c>
      <c r="AF123" s="816" t="str">
        <f t="array" ref="AF123">IF($J123="","",SUM(IF(LEFT($AG123:$DE123,1)="X",1,0)))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3"/>
      <c r="BE123" s="893"/>
      <c r="BF123" s="893"/>
      <c r="BG123" s="897"/>
      <c r="BH123" s="897"/>
      <c r="BI123" s="893"/>
      <c r="BJ123" s="893"/>
      <c r="BK123" s="893"/>
      <c r="BL123" s="897"/>
      <c r="BM123" s="897"/>
      <c r="BN123" s="897"/>
      <c r="BO123" s="897"/>
      <c r="BP123" s="897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3"/>
      <c r="CA123" s="897"/>
      <c r="CB123" s="893"/>
      <c r="CC123" s="897"/>
      <c r="CD123" s="897"/>
      <c r="CE123" s="897"/>
      <c r="CF123" s="897"/>
      <c r="CG123" s="897"/>
      <c r="CH123" s="897"/>
    </row>
    <row r="124" spans="4:86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85"/>
        <v/>
      </c>
      <c r="M124" s="816" t="str">
        <f t="shared" si="86"/>
        <v/>
      </c>
      <c r="N124" s="816" t="str">
        <f t="shared" si="84"/>
        <v/>
      </c>
      <c r="R124" s="871" t="str">
        <f t="shared" si="82"/>
        <v/>
      </c>
      <c r="T124" s="829" t="str">
        <f t="shared" si="83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IF($J124="","",IF(SUM(IF(ISNUMBER(VALUE(RIGHT($AG124:$CM124,1))),VALUE(RIGHT($AG124:$CM124,1)),0))=$J124,"T","F"))</f>
        <v/>
      </c>
      <c r="AE124" s="816" t="str">
        <f t="array" ref="AE124">IF($J124="","",SUM(IF(LEFT($AG124:$DY124,1)="s",1,0))-SUM(IF(RIGHT(LEFT($AG124:$DY124,2))="-",1,0)))</f>
        <v/>
      </c>
      <c r="AF124" s="816" t="str">
        <f t="array" ref="AF124">IF($J124="","",SUM(IF(LEFT($AG124:$DE124,1)="X",1,0)))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3"/>
      <c r="BE124" s="893"/>
      <c r="BF124" s="893"/>
      <c r="BG124" s="897"/>
      <c r="BH124" s="897"/>
      <c r="BI124" s="893"/>
      <c r="BJ124" s="893"/>
      <c r="BK124" s="893"/>
      <c r="BL124" s="897"/>
      <c r="BM124" s="897"/>
      <c r="BN124" s="897"/>
      <c r="BO124" s="897"/>
      <c r="BP124" s="897"/>
      <c r="BQ124" s="897"/>
      <c r="BR124" s="897"/>
      <c r="BS124" s="897"/>
      <c r="BT124" s="897"/>
      <c r="BU124" s="897"/>
      <c r="BV124" s="897"/>
      <c r="BW124" s="897"/>
      <c r="BX124" s="897"/>
      <c r="BY124" s="897"/>
      <c r="BZ124" s="893"/>
      <c r="CA124" s="897"/>
      <c r="CB124" s="893"/>
      <c r="CC124" s="897"/>
      <c r="CD124" s="897"/>
      <c r="CE124" s="897"/>
      <c r="CF124" s="897"/>
      <c r="CG124" s="897"/>
      <c r="CH124" s="897"/>
    </row>
    <row r="125" spans="4:86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85"/>
        <v/>
      </c>
      <c r="M125" s="816" t="str">
        <f t="shared" si="86"/>
        <v/>
      </c>
      <c r="N125" s="816" t="str">
        <f t="shared" si="84"/>
        <v/>
      </c>
      <c r="R125" s="871" t="str">
        <f t="shared" si="82"/>
        <v/>
      </c>
      <c r="T125" s="829" t="str">
        <f t="shared" si="83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IF($J125="","",IF(SUM(IF(ISNUMBER(VALUE(RIGHT($AG125:$CM125,1))),VALUE(RIGHT($AG125:$CM125,1)),0))=$J125,"T","F"))</f>
        <v/>
      </c>
      <c r="AE125" s="816" t="str">
        <f t="array" ref="AE125">IF($J125="","",SUM(IF(LEFT($AG125:$DY125,1)="s",1,0))-SUM(IF(RIGHT(LEFT($AG125:$DY125,2))="-",1,0)))</f>
        <v/>
      </c>
      <c r="AF125" s="816" t="str">
        <f t="array" ref="AF125">IF($J125="","",SUM(IF(LEFT($AG125:$DE125,1)="X",1,0)))</f>
        <v/>
      </c>
      <c r="AG125" s="897"/>
      <c r="AH125" s="897"/>
      <c r="AI125" s="897"/>
      <c r="AJ125" s="897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7"/>
      <c r="BD125" s="893"/>
      <c r="BE125" s="893"/>
      <c r="BF125" s="893"/>
      <c r="BG125" s="897"/>
      <c r="BH125" s="897"/>
      <c r="BI125" s="893"/>
      <c r="BJ125" s="893"/>
      <c r="BK125" s="893"/>
      <c r="BL125" s="897"/>
      <c r="BM125" s="897"/>
      <c r="BN125" s="897"/>
      <c r="BO125" s="897"/>
      <c r="BP125" s="897"/>
      <c r="BQ125" s="897"/>
      <c r="BR125" s="897"/>
      <c r="BS125" s="897"/>
      <c r="BT125" s="897"/>
      <c r="BU125" s="897"/>
      <c r="BV125" s="897"/>
      <c r="BW125" s="897"/>
      <c r="BX125" s="897"/>
      <c r="BY125" s="897"/>
      <c r="BZ125" s="893"/>
      <c r="CA125" s="897"/>
      <c r="CB125" s="893"/>
      <c r="CC125" s="897"/>
      <c r="CD125" s="897"/>
      <c r="CE125" s="897"/>
      <c r="CF125" s="897"/>
      <c r="CG125" s="897"/>
      <c r="CH125" s="897"/>
    </row>
    <row r="126" spans="4:86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85"/>
        <v/>
      </c>
      <c r="M126" s="816" t="str">
        <f t="shared" si="86"/>
        <v/>
      </c>
      <c r="N126" s="816" t="str">
        <f t="shared" si="84"/>
        <v/>
      </c>
      <c r="R126" s="871" t="str">
        <f t="shared" si="82"/>
        <v/>
      </c>
      <c r="T126" s="829" t="str">
        <f t="shared" si="83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IF($J126="","",IF(SUM(IF(ISNUMBER(VALUE(RIGHT($AG126:$CM126,1))),VALUE(RIGHT($AG126:$CM126,1)),0))=$J126,"T","F"))</f>
        <v/>
      </c>
      <c r="AE126" s="816" t="str">
        <f t="array" ref="AE126">IF($J126="","",SUM(IF(LEFT($AG126:$DY126,1)="s",1,0))-SUM(IF(RIGHT(LEFT($AG126:$DY126,2))="-",1,0)))</f>
        <v/>
      </c>
      <c r="AF126" s="816" t="str">
        <f t="array" ref="AF126">IF($J126="","",SUM(IF(LEFT($AG126:$DE126,1)="X",1,0)))</f>
        <v/>
      </c>
      <c r="AG126" s="897"/>
      <c r="AH126" s="897"/>
      <c r="AI126" s="897"/>
      <c r="AJ126" s="897"/>
      <c r="AK126" s="893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7"/>
      <c r="BC126" s="897"/>
      <c r="BD126" s="893"/>
      <c r="BE126" s="893"/>
      <c r="BF126" s="893"/>
      <c r="BG126" s="897"/>
      <c r="BH126" s="897"/>
      <c r="BI126" s="893"/>
      <c r="BJ126" s="893"/>
      <c r="BK126" s="893"/>
      <c r="BL126" s="897"/>
      <c r="BM126" s="897"/>
      <c r="BN126" s="897"/>
      <c r="BO126" s="897"/>
      <c r="BP126" s="897"/>
      <c r="BQ126" s="897"/>
      <c r="BR126" s="897"/>
      <c r="BS126" s="897"/>
      <c r="BT126" s="897"/>
      <c r="BU126" s="897"/>
      <c r="BV126" s="897"/>
      <c r="BW126" s="897"/>
      <c r="BX126" s="897"/>
      <c r="BY126" s="897"/>
      <c r="BZ126" s="893"/>
      <c r="CA126" s="897"/>
      <c r="CB126" s="893"/>
      <c r="CC126" s="897"/>
      <c r="CD126" s="897"/>
      <c r="CE126" s="897"/>
      <c r="CF126" s="897"/>
      <c r="CG126" s="897"/>
      <c r="CH126" s="897"/>
    </row>
    <row r="127" spans="4:86" ht="15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85"/>
        <v/>
      </c>
      <c r="M127" s="816" t="str">
        <f t="shared" si="86"/>
        <v/>
      </c>
      <c r="N127" s="816" t="str">
        <f t="shared" si="84"/>
        <v/>
      </c>
      <c r="R127" s="871" t="str">
        <f t="shared" si="82"/>
        <v/>
      </c>
      <c r="T127" s="829" t="str">
        <f t="shared" si="83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IF($J127="","",IF(SUM(IF(ISNUMBER(VALUE(RIGHT($AG127:$CM127,1))),VALUE(RIGHT($AG127:$CM127,1)),0))=$J127,"T","F"))</f>
        <v/>
      </c>
      <c r="AE127" s="816" t="str">
        <f t="array" ref="AE127">IF($J127="","",SUM(IF(LEFT($AG127:$DY127,1)="s",1,0))-SUM(IF(RIGHT(LEFT($AG127:$DY127,2))="-",1,0)))</f>
        <v/>
      </c>
      <c r="AF127" s="816" t="str">
        <f t="array" ref="AF127">IF($J127="","",SUM(IF(LEFT($AG127:$DE127,1)="X",1,0)))</f>
        <v/>
      </c>
      <c r="AG127" s="897"/>
      <c r="AH127" s="897"/>
      <c r="AI127" s="897"/>
      <c r="AJ127" s="897"/>
      <c r="AK127" s="893"/>
      <c r="AL127" s="897"/>
      <c r="AM127" s="897"/>
      <c r="AN127" s="897"/>
      <c r="AO127" s="897"/>
      <c r="AP127" s="897"/>
      <c r="AQ127" s="897"/>
      <c r="AR127" s="897"/>
      <c r="AS127" s="897"/>
      <c r="AT127" s="897"/>
      <c r="AU127" s="897"/>
      <c r="AV127" s="897"/>
      <c r="AW127" s="897"/>
      <c r="AX127" s="897"/>
      <c r="AY127" s="897"/>
      <c r="AZ127" s="897"/>
      <c r="BA127" s="897"/>
      <c r="BB127" s="897"/>
      <c r="BC127" s="897"/>
      <c r="BD127" s="893"/>
      <c r="BE127" s="893"/>
      <c r="BF127" s="893"/>
      <c r="BG127" s="897"/>
      <c r="BH127" s="897"/>
      <c r="BI127" s="893"/>
      <c r="BJ127" s="893"/>
      <c r="BK127" s="893"/>
      <c r="BL127" s="897"/>
      <c r="BM127" s="897"/>
      <c r="BN127" s="897"/>
      <c r="BO127" s="897"/>
      <c r="BP127" s="897"/>
      <c r="BQ127" s="897"/>
      <c r="BR127" s="897"/>
      <c r="BS127" s="897"/>
      <c r="BT127" s="897"/>
      <c r="BU127" s="897"/>
      <c r="BV127" s="897"/>
      <c r="BW127" s="897"/>
      <c r="BX127" s="897"/>
      <c r="BY127" s="897"/>
      <c r="BZ127" s="893"/>
      <c r="CA127" s="897"/>
      <c r="CB127" s="893"/>
      <c r="CC127" s="897"/>
      <c r="CD127" s="897"/>
      <c r="CE127" s="897"/>
      <c r="CF127" s="897"/>
      <c r="CG127" s="897"/>
      <c r="CH127" s="897"/>
    </row>
    <row r="128" spans="4:86" ht="15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85"/>
        <v/>
      </c>
      <c r="M128" s="816" t="str">
        <f t="shared" si="86"/>
        <v/>
      </c>
      <c r="N128" s="816" t="str">
        <f t="shared" si="84"/>
        <v/>
      </c>
      <c r="R128" s="871" t="str">
        <f t="shared" si="82"/>
        <v/>
      </c>
      <c r="T128" s="829" t="str">
        <f t="shared" si="83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IF($J128="","",IF(SUM(IF(ISNUMBER(VALUE(RIGHT($AG128:$CM128,1))),VALUE(RIGHT($AG128:$CM128,1)),0))=$J128,"T","F"))</f>
        <v/>
      </c>
      <c r="AE128" s="816" t="str">
        <f t="array" ref="AE128">IF($J128="","",SUM(IF(LEFT($AG128:$DY128,1)="s",1,0))-SUM(IF(RIGHT(LEFT($AG128:$DY128,2))="-",1,0)))</f>
        <v/>
      </c>
      <c r="AF128" s="816" t="str">
        <f t="array" ref="AF128">IF($J128="","",SUM(IF(LEFT($AG128:$DE128,1)="X",1,0)))</f>
        <v/>
      </c>
      <c r="AG128" s="897"/>
      <c r="AH128" s="897"/>
      <c r="AI128" s="897"/>
      <c r="AJ128" s="897"/>
      <c r="AK128" s="893"/>
      <c r="AL128" s="897"/>
      <c r="AM128" s="897"/>
      <c r="AN128" s="897"/>
      <c r="AO128" s="897"/>
      <c r="AP128" s="897"/>
      <c r="AQ128" s="897"/>
      <c r="AR128" s="897"/>
      <c r="AS128" s="897"/>
      <c r="AT128" s="897"/>
      <c r="AU128" s="897"/>
      <c r="AV128" s="897"/>
      <c r="AW128" s="897"/>
      <c r="AX128" s="897"/>
      <c r="AY128" s="897"/>
      <c r="AZ128" s="897"/>
      <c r="BA128" s="897"/>
      <c r="BB128" s="897"/>
      <c r="BC128" s="897"/>
      <c r="BD128" s="893"/>
      <c r="BE128" s="893"/>
      <c r="BF128" s="893"/>
      <c r="BG128" s="897"/>
      <c r="BH128" s="897"/>
      <c r="BI128" s="893"/>
      <c r="BJ128" s="893"/>
      <c r="BK128" s="893"/>
      <c r="BL128" s="897"/>
      <c r="BM128" s="897"/>
      <c r="BN128" s="897"/>
      <c r="BO128" s="897"/>
      <c r="BP128" s="897"/>
      <c r="BQ128" s="897"/>
      <c r="BR128" s="897"/>
      <c r="BS128" s="897"/>
      <c r="BT128" s="897"/>
      <c r="BU128" s="897"/>
      <c r="BV128" s="897"/>
      <c r="BW128" s="897"/>
      <c r="BX128" s="897"/>
      <c r="BY128" s="897"/>
      <c r="BZ128" s="893"/>
      <c r="CA128" s="897"/>
      <c r="CB128" s="893"/>
      <c r="CC128" s="897"/>
      <c r="CD128" s="897"/>
      <c r="CE128" s="897"/>
      <c r="CF128" s="897"/>
      <c r="CG128" s="897"/>
      <c r="CH128" s="897"/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85"/>
        <v/>
      </c>
      <c r="M129" s="816" t="str">
        <f t="shared" si="86"/>
        <v/>
      </c>
      <c r="N129" s="816" t="str">
        <f t="shared" si="84"/>
        <v/>
      </c>
      <c r="R129" s="871" t="str">
        <f t="shared" si="82"/>
        <v/>
      </c>
      <c r="T129" s="829" t="str">
        <f t="shared" si="83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IF($J129="","",IF(SUM(IF(ISNUMBER(VALUE(RIGHT($AG129:$CM129,1))),VALUE(RIGHT($AG129:$CM129,1)),0))=$J129,"T","F"))</f>
        <v/>
      </c>
      <c r="AE129" s="816" t="str">
        <f t="array" ref="AE129">IF($J129="","",SUM(IF(LEFT($AG129:$DY129,1)="s",1,0))-SUM(IF(RIGHT(LEFT($AG129:$DY129,2))="-",1,0)))</f>
        <v/>
      </c>
      <c r="AF129" s="816" t="str">
        <f t="array" ref="AF129">IF($J129="","",SUM(IF(LEFT($AG129:$DE129,1)="X",1,0)))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85"/>
        <v/>
      </c>
      <c r="M130" s="816" t="str">
        <f t="shared" si="86"/>
        <v/>
      </c>
      <c r="N130" s="816" t="str">
        <f t="shared" si="84"/>
        <v/>
      </c>
      <c r="R130" s="871" t="str">
        <f t="shared" si="82"/>
        <v/>
      </c>
      <c r="T130" s="829" t="str">
        <f t="shared" si="83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IF($J130="","",IF(SUM(IF(ISNUMBER(VALUE(RIGHT($AG130:$CM130,1))),VALUE(RIGHT($AG130:$CM130,1)),0))=$J130,"T","F"))</f>
        <v/>
      </c>
      <c r="AE130" s="816" t="str">
        <f t="array" ref="AE130">IF($J130="","",SUM(IF(LEFT($AG130:$DY130,1)="s",1,0))-SUM(IF(RIGHT(LEFT($AG130:$DY130,2))="-",1,0)))</f>
        <v/>
      </c>
      <c r="AF130" s="816" t="str">
        <f t="array" ref="AF130">IF($J130="","",SUM(IF(LEFT($AG130:$DE130,1)="X",1,0)))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85"/>
        <v/>
      </c>
      <c r="M131" s="816" t="str">
        <f t="shared" si="86"/>
        <v/>
      </c>
      <c r="N131" s="816" t="str">
        <f t="shared" si="84"/>
        <v/>
      </c>
      <c r="R131" s="871" t="str">
        <f t="shared" si="82"/>
        <v/>
      </c>
      <c r="T131" s="829" t="str">
        <f t="shared" si="83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IF($J131="","",IF(SUM(IF(ISNUMBER(VALUE(RIGHT($AG131:$CM131,1))),VALUE(RIGHT($AG131:$CM131,1)),0))=$J131,"T","F"))</f>
        <v/>
      </c>
      <c r="AE131" s="816" t="str">
        <f t="array" ref="AE131">IF($J131="","",SUM(IF(LEFT($AG131:$DY131,1)="s",1,0))-SUM(IF(RIGHT(LEFT($AG131:$DY131,2))="-",1,0)))</f>
        <v/>
      </c>
      <c r="AF131" s="816" t="str">
        <f t="array" ref="AF131">IF($J131="","",SUM(IF(LEFT($AG131:$DE131,1)="X",1,0)))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85"/>
        <v/>
      </c>
      <c r="M132" s="816" t="str">
        <f t="shared" si="86"/>
        <v/>
      </c>
      <c r="N132" s="816" t="str">
        <f t="shared" si="84"/>
        <v/>
      </c>
      <c r="R132" s="871" t="str">
        <f t="shared" si="82"/>
        <v/>
      </c>
      <c r="T132" s="829" t="str">
        <f t="shared" si="83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IF($J132="","",IF(SUM(IF(ISNUMBER(VALUE(RIGHT($AG132:$CM132,1))),VALUE(RIGHT($AG132:$CM132,1)),0))=$J132,"T","F"))</f>
        <v/>
      </c>
      <c r="AE132" s="816" t="str">
        <f t="array" ref="AE132">IF($J132="","",SUM(IF(LEFT($AG132:$DY132,1)="s",1,0))-SUM(IF(RIGHT(LEFT($AG132:$DY132,2))="-",1,0)))</f>
        <v/>
      </c>
      <c r="AF132" s="816" t="str">
        <f t="array" ref="AF132">IF($J132="","",SUM(IF(LEFT($AG132:$DE132,1)="X",1,0)))</f>
        <v/>
      </c>
    </row>
    <row r="133" spans="4:32">
      <c r="D133" s="816" t="str">
        <f>IF(I133=Table!$C$1,VLOOKUP(G133,Table!$B$38:$AO$61,Table!$AO$35-1,FALSE),"")</f>
        <v/>
      </c>
      <c r="E133" s="816" t="s">
        <v>32</v>
      </c>
      <c r="F133" s="816" t="str">
        <f>IF(I133="","",IF(I133=Table!$C$1,VLOOKUP(G133,Table!$B$9:$AE$32,Table!$AE$6-1,FALSE),""))</f>
        <v/>
      </c>
      <c r="G133" s="833"/>
      <c r="H133" s="833"/>
      <c r="I133" s="833"/>
      <c r="J133" s="833"/>
      <c r="K133" s="833"/>
      <c r="L133" s="816" t="str">
        <f t="shared" si="85"/>
        <v/>
      </c>
      <c r="M133" s="816" t="str">
        <f t="shared" si="86"/>
        <v/>
      </c>
      <c r="N133" s="816" t="str">
        <f t="shared" si="84"/>
        <v/>
      </c>
      <c r="R133" s="871" t="str">
        <f t="shared" si="82"/>
        <v/>
      </c>
      <c r="T133" s="829" t="str">
        <f t="shared" si="83"/>
        <v/>
      </c>
      <c r="U133" s="829"/>
      <c r="V133" s="829"/>
      <c r="W133" s="829"/>
      <c r="X133" s="829"/>
      <c r="Y133" s="829"/>
      <c r="Z133" s="829"/>
      <c r="AA133" s="829"/>
      <c r="AB133" s="829"/>
      <c r="AC133" s="829"/>
      <c r="AD133" s="816" t="str">
        <f t="array" ref="AD133">IF($J133="","",IF(SUM(IF(ISNUMBER(VALUE(RIGHT($AG133:$CM133,1))),VALUE(RIGHT($AG133:$CM133,1)),0))=$J133,"T","F"))</f>
        <v/>
      </c>
      <c r="AE133" s="816" t="str">
        <f t="array" ref="AE133">IF($J133="","",SUM(IF(LEFT($AG133:$DY133,1)="s",1,0))-SUM(IF(RIGHT(LEFT($AG133:$DY133,2))="-",1,0)))</f>
        <v/>
      </c>
      <c r="AF133" s="816" t="str">
        <f t="array" ref="AF133">IF($J133="","",SUM(IF(LEFT($AG133:$DE133,1)="X",1,0)))</f>
        <v/>
      </c>
    </row>
    <row r="134" spans="4:32">
      <c r="D134" s="816" t="str">
        <f>IF(I134=Table!$C$1,VLOOKUP(G134,Table!$B$38:$AO$61,Table!$AO$35-1,FALSE),"")</f>
        <v/>
      </c>
      <c r="E134" s="816" t="s">
        <v>32</v>
      </c>
      <c r="F134" s="816" t="str">
        <f>IF(I134="","",IF(I134=Table!$C$1,VLOOKUP(G134,Table!$B$9:$AE$32,Table!$AE$6-1,FALSE),""))</f>
        <v/>
      </c>
      <c r="G134" s="833"/>
      <c r="H134" s="833"/>
      <c r="I134" s="833"/>
      <c r="J134" s="833"/>
      <c r="K134" s="833"/>
      <c r="L134" s="816" t="str">
        <f t="shared" si="85"/>
        <v/>
      </c>
      <c r="M134" s="816" t="str">
        <f t="shared" si="86"/>
        <v/>
      </c>
      <c r="N134" s="816" t="str">
        <f t="shared" si="84"/>
        <v/>
      </c>
      <c r="R134" s="871" t="str">
        <f t="shared" si="82"/>
        <v/>
      </c>
      <c r="T134" s="829" t="str">
        <f t="shared" si="83"/>
        <v/>
      </c>
      <c r="U134" s="829"/>
      <c r="V134" s="829"/>
      <c r="W134" s="829"/>
      <c r="X134" s="829"/>
      <c r="Y134" s="829"/>
      <c r="Z134" s="829"/>
      <c r="AA134" s="829"/>
      <c r="AB134" s="829"/>
      <c r="AC134" s="829"/>
      <c r="AD134" s="816" t="str">
        <f t="array" ref="AD134">IF($J134="","",IF(SUM(IF(ISNUMBER(VALUE(RIGHT($AG134:$CM134,1))),VALUE(RIGHT($AG134:$CM134,1)),0))=$J134,"T","F"))</f>
        <v/>
      </c>
      <c r="AE134" s="816" t="str">
        <f t="array" ref="AE134">IF($J134="","",SUM(IF(LEFT($AG134:$DY134,1)="s",1,0))-SUM(IF(RIGHT(LEFT($AG134:$DY134,2))="-",1,0)))</f>
        <v/>
      </c>
      <c r="AF134" s="816" t="str">
        <f t="array" ref="AF134">IF($J134="","",SUM(IF(LEFT($AG134:$DE134,1)="X",1,0)))</f>
        <v/>
      </c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  <row r="240" spans="7:29">
      <c r="G240" s="833"/>
      <c r="H240" s="833"/>
      <c r="I240" s="833"/>
      <c r="J240" s="833"/>
      <c r="K240" s="833"/>
      <c r="T240" s="829"/>
      <c r="U240" s="829"/>
      <c r="V240" s="829"/>
      <c r="W240" s="829"/>
      <c r="X240" s="829"/>
      <c r="Y240" s="829"/>
      <c r="Z240" s="829"/>
      <c r="AA240" s="829"/>
      <c r="AB240" s="829"/>
      <c r="AC240" s="829"/>
    </row>
    <row r="241" spans="7:29">
      <c r="G241" s="833"/>
      <c r="H241" s="833"/>
      <c r="I241" s="833"/>
      <c r="J241" s="833"/>
      <c r="K241" s="833"/>
      <c r="T241" s="829"/>
      <c r="U241" s="829"/>
      <c r="V241" s="829"/>
      <c r="W241" s="829"/>
      <c r="X241" s="829"/>
      <c r="Y241" s="829"/>
      <c r="Z241" s="829"/>
      <c r="AA241" s="829"/>
      <c r="AB241" s="829"/>
      <c r="AC241" s="829"/>
    </row>
  </sheetData>
  <autoFilter ref="A22:DK81"/>
  <mergeCells count="3">
    <mergeCell ref="AA19:AB19"/>
    <mergeCell ref="W19:X19"/>
    <mergeCell ref="Y19:Z19"/>
  </mergeCells>
  <phoneticPr fontId="21" type="noConversion"/>
  <conditionalFormatting sqref="AD23:AD311">
    <cfRule type="cellIs" dxfId="1572" priority="118" operator="equal">
      <formula>"T"</formula>
    </cfRule>
  </conditionalFormatting>
  <conditionalFormatting sqref="N23:N311">
    <cfRule type="cellIs" dxfId="1571" priority="127" stopIfTrue="1" operator="equal">
      <formula>"U"</formula>
    </cfRule>
    <cfRule type="cellIs" dxfId="1570" priority="128" stopIfTrue="1" operator="equal">
      <formula>"O"</formula>
    </cfRule>
  </conditionalFormatting>
  <conditionalFormatting sqref="L23:L311">
    <cfRule type="cellIs" dxfId="1569" priority="125" stopIfTrue="1" operator="equal">
      <formula>"W"</formula>
    </cfRule>
    <cfRule type="cellIs" dxfId="1568" priority="126" stopIfTrue="1" operator="equal">
      <formula>"D"</formula>
    </cfRule>
  </conditionalFormatting>
  <conditionalFormatting sqref="AF23:AF311">
    <cfRule type="cellIs" dxfId="1567" priority="123" stopIfTrue="1" operator="notEqual">
      <formula>11</formula>
    </cfRule>
    <cfRule type="cellIs" dxfId="1566" priority="124" stopIfTrue="1" operator="between">
      <formula>0</formula>
      <formula>20</formula>
    </cfRule>
  </conditionalFormatting>
  <conditionalFormatting sqref="AE23:AE311">
    <cfRule type="cellIs" dxfId="1565" priority="119" stopIfTrue="1" operator="notEqual">
      <formula>0</formula>
    </cfRule>
    <cfRule type="cellIs" dxfId="1564" priority="120" stopIfTrue="1" operator="between">
      <formula>0</formula>
      <formula>20</formula>
    </cfRule>
  </conditionalFormatting>
  <conditionalFormatting sqref="CJ19:DA19">
    <cfRule type="expression" dxfId="1563" priority="105">
      <formula>CJ19="G"</formula>
    </cfRule>
    <cfRule type="expression" dxfId="1562" priority="106">
      <formula>CJ19="M"</formula>
    </cfRule>
    <cfRule type="expression" dxfId="1561" priority="107">
      <formula>CJ19="D"</formula>
    </cfRule>
    <cfRule type="expression" dxfId="1560" priority="108">
      <formula>CJ19="A"</formula>
    </cfRule>
  </conditionalFormatting>
  <conditionalFormatting sqref="BM19:CI19 AM19:BJ19">
    <cfRule type="expression" dxfId="1559" priority="68">
      <formula>AM19="G"</formula>
    </cfRule>
    <cfRule type="expression" dxfId="1558" priority="69">
      <formula>OR(AM19="M",AM19="CM",AM19="LM",AM19="RM",AM19="DM",AM19="AM")</formula>
    </cfRule>
    <cfRule type="expression" dxfId="1557" priority="70">
      <formula>OR(AM19="D",AM19="CB",AM19="LB",AM19="RB")</formula>
    </cfRule>
    <cfRule type="expression" dxfId="1556" priority="71">
      <formula>OR(AM19="A",AM19="CF",AM19="SS",AM19="ST",AM19="RW",AM19="LW")</formula>
    </cfRule>
  </conditionalFormatting>
  <conditionalFormatting sqref="BM19:BO19 AG19:BJ19">
    <cfRule type="cellIs" dxfId="1555" priority="39" operator="equal">
      <formula>"M"</formula>
    </cfRule>
  </conditionalFormatting>
  <conditionalFormatting sqref="BM19:BO19 AG19:BJ19">
    <cfRule type="cellIs" dxfId="1554" priority="38" operator="equal">
      <formula>"D"</formula>
    </cfRule>
  </conditionalFormatting>
  <conditionalFormatting sqref="BM19:BO19 AG19:BJ19">
    <cfRule type="cellIs" dxfId="1553" priority="36" operator="equal">
      <formula>"G"</formula>
    </cfRule>
    <cfRule type="cellIs" dxfId="1552" priority="37" operator="equal">
      <formula>"A"</formula>
    </cfRule>
  </conditionalFormatting>
  <conditionalFormatting sqref="BS19:BW19">
    <cfRule type="expression" dxfId="1551" priority="40">
      <formula>BS19="G"</formula>
    </cfRule>
    <cfRule type="expression" dxfId="1550" priority="41">
      <formula>OR(BS19="M",BS19="CM",BS19="LM",BS19="RM",BS19="DM",BS19="AM")</formula>
    </cfRule>
    <cfRule type="expression" dxfId="1549" priority="42">
      <formula>OR(BS19="D",BS19="CB",BS19="LB",BS19="RB")</formula>
    </cfRule>
    <cfRule type="expression" dxfId="1548" priority="43">
      <formula>OR(BS19="A",BS19="CF",BS19="SS",BS19="ST",BS19="RW",BS19="LW")</formula>
    </cfRule>
  </conditionalFormatting>
  <conditionalFormatting sqref="BH40 BK40:BL40 BH23:BK25 BH26:BL39 BM23:CD74 AG47:BG74 AG23:AS46 AV23:BG46 AT46:AU46 BH41:BL74">
    <cfRule type="expression" dxfId="1547" priority="31">
      <formula>IF(ISNUMBER(VALUE(RIGHT(AG23,1))),1,0)</formula>
    </cfRule>
  </conditionalFormatting>
  <conditionalFormatting sqref="BP70:BU73">
    <cfRule type="expression" dxfId="1546" priority="29">
      <formula>IF(ISNUMBER(VALUE(RIGHT(BP70,1))),1,0)</formula>
    </cfRule>
  </conditionalFormatting>
  <conditionalFormatting sqref="BL71">
    <cfRule type="expression" dxfId="1545" priority="28">
      <formula>IF(ISNUMBER(VALUE(RIGHT(BL71,1))),1,0)</formula>
    </cfRule>
  </conditionalFormatting>
  <conditionalFormatting sqref="BM19:BO19 AG19:BJ19">
    <cfRule type="containsText" dxfId="1544" priority="20" operator="containsText" text="FW">
      <formula>NOT(ISERROR(SEARCH("FW",AG19)))</formula>
    </cfRule>
    <cfRule type="containsText" dxfId="1543" priority="21" operator="containsText" text="MF">
      <formula>NOT(ISERROR(SEARCH("MF",AG19)))</formula>
    </cfRule>
    <cfRule type="containsText" dxfId="1542" priority="27" operator="containsText" text="DF">
      <formula>NOT(ISERROR(SEARCH("DF",AG19)))</formula>
    </cfRule>
  </conditionalFormatting>
  <conditionalFormatting sqref="AL19">
    <cfRule type="cellIs" dxfId="1541" priority="26" operator="equal">
      <formula>"M"</formula>
    </cfRule>
  </conditionalFormatting>
  <conditionalFormatting sqref="AL19">
    <cfRule type="cellIs" dxfId="1540" priority="25" operator="equal">
      <formula>"D"</formula>
    </cfRule>
  </conditionalFormatting>
  <conditionalFormatting sqref="AL19">
    <cfRule type="cellIs" dxfId="1539" priority="23" operator="equal">
      <formula>"G"</formula>
    </cfRule>
    <cfRule type="cellIs" dxfId="1538" priority="24" operator="equal">
      <formula>"A"</formula>
    </cfRule>
  </conditionalFormatting>
  <conditionalFormatting sqref="AL19">
    <cfRule type="containsText" dxfId="1537" priority="22" operator="containsText" text="DF">
      <formula>NOT(ISERROR(SEARCH("DF",AL19)))</formula>
    </cfRule>
  </conditionalFormatting>
  <conditionalFormatting sqref="AK19">
    <cfRule type="cellIs" dxfId="1536" priority="19" operator="equal">
      <formula>"M"</formula>
    </cfRule>
  </conditionalFormatting>
  <conditionalFormatting sqref="AK19">
    <cfRule type="cellIs" dxfId="1535" priority="18" operator="equal">
      <formula>"D"</formula>
    </cfRule>
  </conditionalFormatting>
  <conditionalFormatting sqref="AK19">
    <cfRule type="cellIs" dxfId="1534" priority="16" operator="equal">
      <formula>"G"</formula>
    </cfRule>
    <cfRule type="cellIs" dxfId="1533" priority="17" operator="equal">
      <formula>"A"</formula>
    </cfRule>
  </conditionalFormatting>
  <conditionalFormatting sqref="AK19">
    <cfRule type="containsText" dxfId="1532" priority="15" operator="containsText" text="DF">
      <formula>NOT(ISERROR(SEARCH("DF",AK19)))</formula>
    </cfRule>
  </conditionalFormatting>
  <conditionalFormatting sqref="AK19">
    <cfRule type="expression" dxfId="1531" priority="11">
      <formula>AK19="G"</formula>
    </cfRule>
    <cfRule type="expression" dxfId="1530" priority="12">
      <formula>OR(AK19="M",AK19="CM",AK19="LM",AK19="RM",AK19="DM",AK19="AM")</formula>
    </cfRule>
    <cfRule type="expression" dxfId="1529" priority="13">
      <formula>OR(AK19="D",AK19="CB",AK19="LB",AK19="RB")</formula>
    </cfRule>
    <cfRule type="expression" dxfId="1528" priority="14">
      <formula>OR(AK19="A",AK19="CF",AK19="SS",AK19="ST",AK19="RW",AK19="LW")</formula>
    </cfRule>
  </conditionalFormatting>
  <conditionalFormatting sqref="AL19">
    <cfRule type="cellIs" dxfId="1527" priority="10" operator="equal">
      <formula>"M"</formula>
    </cfRule>
  </conditionalFormatting>
  <conditionalFormatting sqref="AL19">
    <cfRule type="cellIs" dxfId="1526" priority="9" operator="equal">
      <formula>"D"</formula>
    </cfRule>
  </conditionalFormatting>
  <conditionalFormatting sqref="AL19">
    <cfRule type="cellIs" dxfId="1525" priority="7" operator="equal">
      <formula>"G"</formula>
    </cfRule>
    <cfRule type="cellIs" dxfId="1524" priority="8" operator="equal">
      <formula>"A"</formula>
    </cfRule>
  </conditionalFormatting>
  <conditionalFormatting sqref="AL19">
    <cfRule type="containsText" dxfId="1523" priority="6" operator="containsText" text="DF">
      <formula>NOT(ISERROR(SEARCH("DF",AL19)))</formula>
    </cfRule>
  </conditionalFormatting>
  <conditionalFormatting sqref="AL19">
    <cfRule type="expression" dxfId="1522" priority="2">
      <formula>AL19="G"</formula>
    </cfRule>
    <cfRule type="expression" dxfId="1521" priority="3">
      <formula>OR(AL19="M",AL19="CM",AL19="LM",AL19="RM",AL19="DM",AL19="AM")</formula>
    </cfRule>
    <cfRule type="expression" dxfId="1520" priority="4">
      <formula>OR(AL19="D",AL19="CB",AL19="LB",AL19="RB")</formula>
    </cfRule>
    <cfRule type="expression" dxfId="1519" priority="5">
      <formula>OR(AL19="A",AL19="CF",AL19="SS",AL19="ST",AL19="RW",AL19="LW")</formula>
    </cfRule>
  </conditionalFormatting>
  <conditionalFormatting sqref="BI40:BJ40">
    <cfRule type="expression" dxfId="1518" priority="1">
      <formula>IF(ISNUMBER(VALUE(RIGHT(BI40,1))),1,0)</formula>
    </cfRule>
  </conditionalFormatting>
  <conditionalFormatting sqref="AG16:CH16">
    <cfRule type="top10" dxfId="1517" priority="633" stopIfTrue="1" rank="5"/>
  </conditionalFormatting>
  <conditionalFormatting sqref="AG15:CH15">
    <cfRule type="top10" dxfId="1516" priority="635" rank="11"/>
  </conditionalFormatting>
  <conditionalFormatting sqref="AG17:CH17">
    <cfRule type="top10" dxfId="1515" priority="637" stopIfTrue="1" rank="5"/>
  </conditionalFormatting>
  <conditionalFormatting sqref="AG14:CH14">
    <cfRule type="top10" dxfId="1514" priority="639" rank="11"/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$I23:$I243</formula1>
    </dataValidation>
  </dataValidations>
  <pageMargins left="0.7" right="0.7" top="0.75" bottom="0.75" header="0.3" footer="0.3"/>
  <pageSetup paperSize="9" orientation="portrait" r:id="rId1"/>
  <ignoredErrors>
    <ignoredError sqref="D24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P237"/>
  <sheetViews>
    <sheetView zoomScale="85" zoomScaleNormal="85" workbookViewId="0">
      <pane xSplit="32" ySplit="22" topLeftCell="AG57" activePane="bottomRight" state="frozen"/>
      <selection activeCell="AB20" sqref="AB20"/>
      <selection pane="topRight" activeCell="AB20" sqref="AB20"/>
      <selection pane="bottomLeft" activeCell="AB20" sqref="AB20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37" width="3.75" customWidth="1"/>
    <col min="38" max="50" width="3.75" style="230" customWidth="1"/>
    <col min="51" max="51" width="3.75" bestFit="1" customWidth="1"/>
    <col min="52" max="52" width="3.75" customWidth="1"/>
    <col min="53" max="53" width="3.75" bestFit="1" customWidth="1"/>
    <col min="54" max="59" width="3.75" style="230" customWidth="1"/>
    <col min="60" max="60" width="3.75" bestFit="1" customWidth="1"/>
    <col min="61" max="61" width="3.75" customWidth="1"/>
    <col min="62" max="65" width="3.75" style="230" customWidth="1"/>
    <col min="66" max="66" width="3.75" bestFit="1" customWidth="1"/>
    <col min="67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K1" si="0">AG20</f>
        <v>Hiroki MAWATARI</v>
      </c>
      <c r="AH1" s="814" t="str">
        <f t="shared" si="0"/>
        <v>Seong-Su Park</v>
      </c>
      <c r="AI1" s="814" t="str">
        <f t="shared" si="0"/>
        <v>Yutaro Hara</v>
      </c>
      <c r="AL1" s="814" t="str">
        <f t="shared" si="0"/>
        <v>Daiki Nishioka</v>
      </c>
      <c r="AM1" s="814"/>
      <c r="AN1" s="814" t="str">
        <f t="shared" si="0"/>
        <v>Shuhei Hotta</v>
      </c>
      <c r="AO1" s="814"/>
      <c r="AP1" s="814" t="str">
        <f>AP20</f>
        <v>Makoto Rindo</v>
      </c>
      <c r="AQ1" s="814" t="str">
        <f>AR20</f>
        <v>Ibuki Fujita</v>
      </c>
      <c r="AR1" s="814"/>
      <c r="AS1" s="814" t="str">
        <f>AW20</f>
        <v>Kosuke Shirai</v>
      </c>
      <c r="AT1" s="814" t="str">
        <f>AU20</f>
        <v>Kodai Yasuda</v>
      </c>
      <c r="AU1" s="814" t="str">
        <f>AV20</f>
        <v>Yumemi KANDA</v>
      </c>
      <c r="AV1" s="814" t="e">
        <f>#REF!</f>
        <v>#REF!</v>
      </c>
      <c r="AW1" s="814"/>
      <c r="AX1" s="814" t="str">
        <f>AY20</f>
        <v>Daiki Kogure</v>
      </c>
      <c r="BB1" s="814" t="str">
        <f>BC20</f>
        <v>Shion NIWA</v>
      </c>
      <c r="BC1" s="814" t="str">
        <f>BD20</f>
        <v>Go Nishida</v>
      </c>
      <c r="BD1" s="814" t="str">
        <f>BE20</f>
        <v>Kazuhisa Kawahara</v>
      </c>
      <c r="BE1" s="814">
        <f>BS20</f>
        <v>0</v>
      </c>
      <c r="BF1" s="814">
        <f>BF20</f>
        <v>0</v>
      </c>
      <c r="BG1" s="814" t="e">
        <f>#REF!</f>
        <v>#REF!</v>
      </c>
      <c r="BJ1" s="814"/>
      <c r="BK1" s="814"/>
      <c r="BL1" s="814"/>
      <c r="BM1" s="814"/>
      <c r="BO1" s="814">
        <f>BO20</f>
        <v>0</v>
      </c>
      <c r="BQ1" s="814">
        <f>BQ20</f>
        <v>0</v>
      </c>
      <c r="BR1" s="814">
        <f>BR20</f>
        <v>0</v>
      </c>
      <c r="BS1" s="814" t="e">
        <f>#REF!</f>
        <v>#REF!</v>
      </c>
      <c r="BT1" s="814"/>
      <c r="BU1" s="814"/>
      <c r="BV1" s="814"/>
      <c r="BW1" s="814"/>
      <c r="BX1" s="814">
        <f t="shared" ref="BX1:CD1" si="1">BX20</f>
        <v>0</v>
      </c>
      <c r="BY1" s="814">
        <f t="shared" si="1"/>
        <v>0</v>
      </c>
      <c r="BZ1" s="814">
        <f t="shared" si="1"/>
        <v>0</v>
      </c>
      <c r="CA1" s="814">
        <f t="shared" si="1"/>
        <v>0</v>
      </c>
      <c r="CB1" s="814">
        <f t="shared" si="1"/>
        <v>0</v>
      </c>
      <c r="CC1" s="814">
        <f t="shared" si="1"/>
        <v>0</v>
      </c>
      <c r="CD1" s="814">
        <f t="shared" si="1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SUM(IF(L$23:L$239="",0,1)*IF(ISBLANK($T$1),1,IF($I$23:$I$239=$T$1,1,0)))</f>
        <v>44</v>
      </c>
      <c r="AG2" s="874">
        <f t="array" ref="AG2">SUM(IF(ISBLANK(AG$23:AG$239),0,IF(AG$23:AG$239="susp",0,1))*IF(ISBLANK($T$1),1,IF($I$23:$I$239=$T$1,1,0)))</f>
        <v>41</v>
      </c>
      <c r="AH2" s="874">
        <f t="array" ref="AH2">SUM(IF(ISBLANK(AH$23:AH$239),0,IF(AH$23:AH$239="susp",0,1))*IF(ISBLANK($T$1),1,IF($I$23:$I$239=$T$1,1,0)))</f>
        <v>44</v>
      </c>
      <c r="AI2" s="874">
        <f t="array" ref="AI2">SUM(IF(ISBLANK(AI$23:AI$239),0,IF(AI$23:AI$239="susp",0,1))*IF(ISBLANK($T$1),1,IF($I$23:$I$239=$T$1,1,0)))</f>
        <v>44</v>
      </c>
      <c r="AL2" s="874">
        <f t="array" ref="AL2">SUM(IF(ISBLANK(AL$23:AL$239),0,IF(AL$23:AL$239="susp",0,1))*IF(ISBLANK($T$1),1,IF($I$23:$I$239=$T$1,1,0)))</f>
        <v>43</v>
      </c>
      <c r="AN2" s="874">
        <f t="array" ref="AN2">SUM(IF(ISBLANK(AN$23:AN$239),0,IF(AN$23:AN$239="susp",0,1))*IF(ISBLANK($T$1),1,IF($I$23:$I$239=$T$1,1,0)))</f>
        <v>43</v>
      </c>
      <c r="AP2" s="874">
        <f t="array" ref="AP2">SUM(IF(ISBLANK(AP$23:AP$239),0,IF(AP$23:AP$239="susp",0,1))*IF(ISBLANK($T$1),1,IF($I$23:$I$239=$T$1,1,0)))</f>
        <v>44</v>
      </c>
      <c r="AQ2" s="874">
        <f t="array" ref="AQ2">SUM(IF(ISBLANK(AQ$23:AQ$239),0,IF(AQ$23:AQ$239="susp",0,1))*IF(ISBLANK($T$1),1,IF($I$23:$I$239=$T$1,1,0)))</f>
        <v>40</v>
      </c>
      <c r="AS2" s="874">
        <f t="array" ref="AS2">SUM(IF(ISBLANK(AS$23:AS$239),0,IF(AS$23:AS$239="susp",0,1))*IF(ISBLANK($T$1),1,IF($I$23:$I$239=$T$1,1,0)))</f>
        <v>44</v>
      </c>
      <c r="AT2" s="874">
        <f t="array" ref="AT2">SUM(IF(ISBLANK(AT$23:AT$239),0,IF(AT$23:AT$239="susp",0,1))*IF(ISBLANK($T$1),1,IF($I$23:$I$239=$T$1,1,0)))</f>
        <v>44</v>
      </c>
      <c r="AU2" s="874">
        <f t="array" ref="AU2">SUM(IF(ISBLANK(AU$23:AU$239),0,IF(AU$23:AU$239="susp",0,1))*IF(ISBLANK($T$1),1,IF($I$23:$I$239=$T$1,1,0)))</f>
        <v>44</v>
      </c>
      <c r="AV2" s="874">
        <f t="array" ref="AV2">SUM(IF(ISBLANK(AV$23:AV$239),0,IF(AV$23:AV$239="susp",0,1))*IF(ISBLANK($T$1),1,IF($I$23:$I$239=$T$1,1,0)))</f>
        <v>43</v>
      </c>
      <c r="AX2" s="874">
        <f t="array" ref="AX2">SUM(IF(ISBLANK(AX$23:AX$239),0,IF(AX$23:AX$239="susp",0,1))*IF(ISBLANK($T$1),1,IF($I$23:$I$239=$T$1,1,0)))</f>
        <v>44</v>
      </c>
      <c r="BB2" s="874">
        <f t="array" ref="BB2">SUM(IF(ISBLANK(BB$23:BB$239),0,IF(BB$23:BB$239="susp",0,1))*IF(ISBLANK($T$1),1,IF($I$23:$I$239=$T$1,1,0)))</f>
        <v>44</v>
      </c>
      <c r="BC2" s="874">
        <f t="array" ref="BC2">SUM(IF(ISBLANK(BC$23:BC$239),0,IF(BC$23:BC$239="susp",0,1))*IF(ISBLANK($T$1),1,IF($I$23:$I$239=$T$1,1,0)))</f>
        <v>44</v>
      </c>
      <c r="BD2" s="874">
        <f t="array" ref="BD2">SUM(IF(ISBLANK(BD$23:BD$239),0,IF(BD$23:BD$239="susp",0,1))*IF(ISBLANK($T$1),1,IF($I$23:$I$239=$T$1,1,0)))</f>
        <v>44</v>
      </c>
      <c r="BE2" s="874">
        <f t="array" ref="BE2">SUM(IF(ISBLANK(BE$26:BE$239),0,IF(BE$26:BE$239="susp",0,1))*IF(ISBLANK($T$1),1,IF($I$23:$I$239=$T$1,1,0)))</f>
        <v>38</v>
      </c>
      <c r="BF2" s="874">
        <f t="array" ref="BF2">SUM(IF(ISBLANK(BF$23:BF$239),0,IF(BF$23:BF$239="susp",0,1))*IF(ISBLANK($T$1),1,IF($I$23:$I$239=$T$1,1,0)))</f>
        <v>1</v>
      </c>
      <c r="BG2" s="874">
        <f t="array" ref="BG2">SUM(IF(ISBLANK(BG$23:BG$239),0,IF(BG$23:BG$239="susp",0,1))*IF(ISBLANK($T$1),1,IF($I$23:$I$239=$T$1,1,0)))</f>
        <v>0</v>
      </c>
      <c r="BO2" s="874">
        <f t="array" ref="BO2">SUM(IF(ISBLANK(BO$23:BO$239),0,IF(BO$23:BO$239="susp",0,1))*IF(ISBLANK($T$1),1,IF($I$23:$I$239=$T$1,1,0)))</f>
        <v>1</v>
      </c>
      <c r="BQ2" s="874">
        <f t="array" ref="BQ2">SUM(IF(ISBLANK(BQ$23:BQ$239),0,IF(BQ$23:BQ$239="susp",0,1))*IF(ISBLANK($T$1),1,IF($I$23:$I$239=$T$1,1,0)))</f>
        <v>1</v>
      </c>
      <c r="BR2" s="874">
        <f t="array" ref="BR2">SUM(IF(ISBLANK(BR$23:BR$239),0,IF(BR$23:BR$239="susp",0,1))*IF(ISBLANK($T$1),1,IF($I$23:$I$239=$T$1,1,0)))</f>
        <v>1</v>
      </c>
      <c r="BS2" s="874">
        <f t="array" ref="BS2">SUM(IF(ISBLANK(BS$40:BS$239),0,IF(BS$40:BS$239="susp",0,1))*IF(ISBLANK($T$1),1,IF($I$23:$I$239=$T$1,1,0)))</f>
        <v>1</v>
      </c>
      <c r="BX2" s="874">
        <f t="array" ref="BX2">SUM(IF(ISBLANK(BX$23:BX$239),0,IF(BX$23:BX$239="susp",0,1))*IF(ISBLANK($T$1),1,IF($I$23:$I$239=$T$1,1,0)))</f>
        <v>0</v>
      </c>
      <c r="BY2" s="874">
        <f t="array" ref="BY2">SUM(IF(ISBLANK(BY$23:BY$239),0,IF(BY$23:BY$239="susp",0,1))*IF(ISBLANK($T$1),1,IF($I$23:$I$239=$T$1,1,0)))</f>
        <v>0</v>
      </c>
      <c r="BZ2" s="874">
        <f t="array" ref="BZ2">SUM(IF(ISBLANK(BZ$23:BZ$239),0,IF(BZ$23:BZ$239="susp",0,1))*IF(ISBLANK($T$1),1,IF($I$23:$I$239=$T$1,1,0)))</f>
        <v>0</v>
      </c>
      <c r="CA2" s="874">
        <f t="array" ref="CA2">SUM(IF(ISBLANK(CA$23:CA$239),0,IF(CA$23:CA$239="susp",0,1))*IF(ISBLANK($T$1),1,IF($I$23:$I$239=$T$1,1,0)))</f>
        <v>0</v>
      </c>
      <c r="CB2" s="874">
        <f t="array" ref="CB2">SUM(IF(ISBLANK(CB$23:CB$239),0,IF(CB$23:CB$239="susp",0,1))*IF(ISBLANK($T$1),1,IF($I$23:$I$239=$T$1,1,0)))</f>
        <v>0</v>
      </c>
      <c r="CC2" s="874">
        <f t="array" ref="CC2">SUM(IF(ISBLANK(CC$23:CC$239),0,IF(CC$23:CC$239="susp",0,1))*IF(ISBLANK($T$1),1,IF($I$23:$I$239=$T$1,1,0)))</f>
        <v>0</v>
      </c>
      <c r="CD2" s="874">
        <f t="array" ref="CD2">SUM(IF(ISBLANK(CD$23:CD$239),0,IF(CD$23:CD$239="susp",0,1))*IF(ISBLANK($T$1),1,IF($I$23:$I$239=$T$1,1,0)))</f>
        <v>0</v>
      </c>
      <c r="CE2" s="874">
        <f t="array" ref="CE2">SUM(IF(ISBLANK(CE$23:CE$239),0,IF(CE$23:CE$239="susp",0,1))*IF(ISBLANK($T$1),1,IF($I$23:$I$239=$T$1,1,0)))</f>
        <v>0</v>
      </c>
      <c r="CF2" s="874">
        <f t="array" ref="CF2">SUM(IF(ISBLANK(CF$23:CF$239),0,IF(CF$23:CF$239="susp",0,1))*IF(ISBLANK($T$1),1,IF($I$23:$I$239=$T$1,1,0)))</f>
        <v>0</v>
      </c>
      <c r="CG2" s="874">
        <f t="array" ref="CG2">SUM(IF(ISBLANK(CG$23:CG$239),0,IF(CG$23:CG$239="susp",0,1))*IF(ISBLANK($T$1),1,IF($I$23:$I$239=$T$1,1,0)))</f>
        <v>0</v>
      </c>
      <c r="CH2" s="874">
        <f t="array" ref="CH2">SUM(IF(ISBLANK(CH$23:CH$239),0,IF(CH$23:CH$239="susp",0,1))*IF(ISBLANK($T$1),1,IF($I$23:$I$239=$T$1,1,0)))</f>
        <v>0</v>
      </c>
      <c r="CI2" s="874">
        <f t="array" ref="CI2">SUM(IF(ISBLANK(CI$23:CI$239),0,IF(CI$23:CI$239="susp",0,1))*IF(ISBLANK($T$1),1,IF($I$23:$I$239=$T$1,1,0)))</f>
        <v>16</v>
      </c>
      <c r="CJ2" s="874">
        <f t="array" ref="CJ2">SUM(IF(ISBLANK(CJ$23:CJ$239),0,IF(CJ$23:CJ$239="susp",0,1))*IF(ISBLANK($T$1),1,IF($I$23:$I$239=$T$1,1,0)))</f>
        <v>16</v>
      </c>
      <c r="CK2" s="874">
        <f t="array" ref="CK2">SUM(IF(ISBLANK(CK$23:CK$239),0,IF(CK$23:CK$239="susp",0,1))*IF(ISBLANK($T$1),1,IF($I$23:$I$239=$T$1,1,0)))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SUM(IF(L$23:L$239="W",1,0)*IF(ISBLANK($T$1),1,IF($I$23:$I$239=$T$1,1,0)))</f>
        <v>15</v>
      </c>
      <c r="AG3" s="874">
        <f t="array" ref="AG3">SUM(IF(ISTEXT(AG$23:AG$239),1,0)*IF(($L$23:$L$239)="W",1,0)*IF(ISBLANK($T$1),1,IF($I$23:$I$239=$T$1,1,0)))</f>
        <v>13</v>
      </c>
      <c r="AH3" s="874">
        <f t="array" ref="AH3">SUM(IF(ISTEXT(AH$23:AH$239),1,0)*IF(($L$23:$L$239)="W",1,0)*IF(ISBLANK($T$1),1,IF($I$23:$I$239=$T$1,1,0)))</f>
        <v>15</v>
      </c>
      <c r="AI3" s="874">
        <f t="array" ref="AI3">SUM(IF(ISTEXT(AI$23:AI$239),1,0)*IF(($L$23:$L$239)="W",1,0)*IF(ISBLANK($T$1),1,IF($I$23:$I$239=$T$1,1,0)))</f>
        <v>15</v>
      </c>
      <c r="AL3" s="874">
        <f t="array" ref="AL3">SUM(IF(ISTEXT(AL$23:AL$239),1,0)*IF(($L$23:$L$239)="W",1,0)*IF(ISBLANK($T$1),1,IF($I$23:$I$239=$T$1,1,0)))</f>
        <v>14</v>
      </c>
      <c r="AN3" s="874">
        <f t="array" ref="AN3">SUM(IF(ISTEXT(AN$23:AN$239),1,0)*IF(($L$23:$L$239)="W",1,0)*IF(ISBLANK($T$1),1,IF($I$23:$I$239=$T$1,1,0)))</f>
        <v>14</v>
      </c>
      <c r="AP3" s="874">
        <f t="array" ref="AP3">SUM(IF(ISTEXT(AP$23:AP$239),1,0)*IF(($L$23:$L$239)="W",1,0)*IF(ISBLANK($T$1),1,IF($I$23:$I$239=$T$1,1,0)))</f>
        <v>15</v>
      </c>
      <c r="AQ3" s="874">
        <f t="array" ref="AQ3">SUM(IF(ISTEXT(AQ$23:AQ$239),1,0)*IF(($L$23:$L$239)="W",1,0)*IF(ISBLANK($T$1),1,IF($I$23:$I$239=$T$1,1,0)))</f>
        <v>13</v>
      </c>
      <c r="AS3" s="874">
        <f t="array" ref="AS3">SUM(IF(ISTEXT(AS$23:AS$239),1,0)*IF(($L$23:$L$239)="W",1,0)*IF(ISBLANK($T$1),1,IF($I$23:$I$239=$T$1,1,0)))</f>
        <v>15</v>
      </c>
      <c r="AT3" s="874">
        <f t="array" ref="AT3">SUM(IF(ISTEXT(AT$23:AT$239),1,0)*IF(($L$23:$L$239)="W",1,0)*IF(ISBLANK($T$1),1,IF($I$23:$I$239=$T$1,1,0)))</f>
        <v>15</v>
      </c>
      <c r="AU3" s="874">
        <f t="array" ref="AU3">SUM(IF(ISTEXT(AU$23:AU$239),1,0)*IF(($L$23:$L$239)="W",1,0)*IF(ISBLANK($T$1),1,IF($I$23:$I$239=$T$1,1,0)))</f>
        <v>15</v>
      </c>
      <c r="AV3" s="874">
        <f t="array" ref="AV3">SUM(IF(ISTEXT(AV$23:AV$239),1,0)*IF(($L$23:$L$239)="W",1,0)*IF(ISBLANK($T$1),1,IF($I$23:$I$239=$T$1,1,0)))</f>
        <v>14</v>
      </c>
      <c r="AX3" s="874">
        <f t="array" ref="AX3">SUM(IF(ISTEXT(AX$23:AX$239),1,0)*IF(($L$23:$L$239)="W",1,0)*IF(ISBLANK($T$1),1,IF($I$23:$I$239=$T$1,1,0)))</f>
        <v>15</v>
      </c>
      <c r="BB3" s="874">
        <f t="array" ref="BB3">SUM(IF(ISTEXT(BB$23:BB$239),1,0)*IF(($L$23:$L$239)="W",1,0)*IF(ISBLANK($T$1),1,IF($I$23:$I$239=$T$1,1,0)))</f>
        <v>15</v>
      </c>
      <c r="BC3" s="874">
        <f t="array" ref="BC3">SUM(IF(ISTEXT(BC$23:BC$239),1,0)*IF(($L$23:$L$239)="W",1,0)*IF(ISBLANK($T$1),1,IF($I$23:$I$239=$T$1,1,0)))</f>
        <v>15</v>
      </c>
      <c r="BD3" s="874">
        <f t="array" ref="BD3">SUM(IF(ISTEXT(BD$23:BD$239),1,0)*IF(($L$23:$L$239)="W",1,0)*IF(ISBLANK($T$1),1,IF($I$23:$I$239=$T$1,1,0)))</f>
        <v>15</v>
      </c>
      <c r="BE3" s="874" t="e">
        <f t="array" ref="BE3">SUM(IF(ISTEXT(BE$26:BE$239),1,0)*IF(($L$23:$L$239)="W",1,0)*IF(ISBLANK($T$1),1,IF($I$23:$I$239=$T$1,1,0)))</f>
        <v>#N/A</v>
      </c>
      <c r="BF3" s="874">
        <f t="array" ref="BF3">SUM(IF(ISTEXT(BF$23:BF$239),1,0)*IF(($L$23:$L$239)="W",1,0)*IF(ISBLANK($T$1),1,IF($I$23:$I$239=$T$1,1,0)))</f>
        <v>0</v>
      </c>
      <c r="BG3" s="874">
        <f t="array" ref="BG3">SUM(IF(ISTEXT(BG$23:BG$239),1,0)*IF(($L$23:$L$239)="W",1,0)*IF(ISBLANK($T$1),1,IF($I$23:$I$239=$T$1,1,0)))</f>
        <v>0</v>
      </c>
      <c r="BO3" s="874">
        <f t="array" ref="BO3">SUM(IF(ISTEXT(BO$23:BO$239),1,0)*IF(($L$23:$L$239)="W",1,0)*IF(ISBLANK($T$1),1,IF($I$23:$I$239=$T$1,1,0)))</f>
        <v>0</v>
      </c>
      <c r="BQ3" s="874">
        <f t="array" ref="BQ3">SUM(IF(ISTEXT(BQ$23:BQ$239),1,0)*IF(($L$23:$L$239)="W",1,0)*IF(ISBLANK($T$1),1,IF($I$23:$I$239=$T$1,1,0)))</f>
        <v>0</v>
      </c>
      <c r="BR3" s="874">
        <f t="array" ref="BR3">SUM(IF(ISTEXT(BR$23:BR$239),1,0)*IF(($L$23:$L$239)="W",1,0)*IF(ISBLANK($T$1),1,IF($I$23:$I$239=$T$1,1,0)))</f>
        <v>0</v>
      </c>
      <c r="BS3" s="874" t="e">
        <f t="array" ref="BS3">SUM(IF(ISTEXT(BS$40:BS$239),1,0)*IF(($L$23:$L$239)="W",1,0)*IF(ISBLANK($T$1),1,IF($I$23:$I$239=$T$1,1,0)))</f>
        <v>#N/A</v>
      </c>
      <c r="BX3" s="874">
        <f t="array" ref="BX3">SUM(IF(ISTEXT(BX$23:BX$239),1,0)*IF(($L$23:$L$239)="W",1,0)*IF(ISBLANK($T$1),1,IF($I$23:$I$239=$T$1,1,0)))</f>
        <v>0</v>
      </c>
      <c r="BY3" s="874">
        <f t="array" ref="BY3">SUM(IF(ISTEXT(BY$23:BY$239),1,0)*IF(($L$23:$L$239)="W",1,0)*IF(ISBLANK($T$1),1,IF($I$23:$I$239=$T$1,1,0)))</f>
        <v>0</v>
      </c>
      <c r="BZ3" s="874">
        <f t="array" ref="BZ3">SUM(IF(ISTEXT(BZ$23:BZ$239),1,0)*IF(($L$23:$L$239)="W",1,0)*IF(ISBLANK($T$1),1,IF($I$23:$I$239=$T$1,1,0)))</f>
        <v>0</v>
      </c>
      <c r="CA3" s="874">
        <f t="array" ref="CA3">SUM(IF(ISTEXT(CA$23:CA$239),1,0)*IF(($L$23:$L$239)="W",1,0)*IF(ISBLANK($T$1),1,IF($I$23:$I$239=$T$1,1,0)))</f>
        <v>0</v>
      </c>
      <c r="CB3" s="874">
        <f t="array" ref="CB3">SUM(IF(ISTEXT(CB$23:CB$239),1,0)*IF(($L$23:$L$239)="W",1,0)*IF(ISBLANK($T$1),1,IF($I$23:$I$239=$T$1,1,0)))</f>
        <v>0</v>
      </c>
      <c r="CC3" s="874">
        <f t="array" ref="CC3">SUM(IF(ISTEXT(CC$23:CC$239),1,0)*IF(($L$23:$L$239)="W",1,0)*IF(ISBLANK($T$1),1,IF($I$23:$I$239=$T$1,1,0)))</f>
        <v>0</v>
      </c>
      <c r="CD3" s="874">
        <f t="array" ref="CD3">SUM(IF(ISTEXT(CD$23:CD$239),1,0)*IF(($L$23:$L$239)="W",1,0)*IF(ISBLANK($T$1),1,IF($I$23:$I$239=$T$1,1,0)))</f>
        <v>0</v>
      </c>
      <c r="CE3" s="874">
        <f t="array" ref="CE3">SUM(IF(ISTEXT(CE$23:CE$239),1,0)*IF(($L$23:$L$239)="W",1,0)*IF(ISBLANK($T$1),1,IF($I$23:$I$239=$T$1,1,0)))</f>
        <v>0</v>
      </c>
      <c r="CF3" s="874">
        <f t="array" ref="CF3">SUM(IF(ISTEXT(CF$23:CF$239),1,0)*IF(($L$23:$L$239)="W",1,0)*IF(ISBLANK($T$1),1,IF($I$23:$I$239=$T$1,1,0)))</f>
        <v>0</v>
      </c>
      <c r="CG3" s="874">
        <f t="array" ref="CG3">SUM(IF(ISTEXT(CG$23:CG$239),1,0)*IF(($L$23:$L$239)="W",1,0)*IF(ISBLANK($T$1),1,IF($I$23:$I$239=$T$1,1,0)))</f>
        <v>0</v>
      </c>
      <c r="CH3" s="874">
        <f t="array" ref="CH3">SUM(IF(ISTEXT(CH$23:CH$239),1,0)*IF(($L$23:$L$239)="W",1,0)*IF(ISBLANK($T$1),1,IF($I$23:$I$239=$T$1,1,0)))</f>
        <v>0</v>
      </c>
      <c r="CI3" s="874">
        <f t="array" ref="CI3">SUM(IF(ISTEXT(CI$23:CI$239),1,0)*IF(($L$23:$L$239)="W",1,0)*IF(ISBLANK($T$1),1,IF($I$23:$I$239=$T$1,1,0)))</f>
        <v>6</v>
      </c>
      <c r="CJ3" s="874">
        <f t="array" ref="CJ3">SUM(IF(ISTEXT(CJ$23:CJ$239),1,0)*IF(($L$23:$L$239)="W",1,0)*IF(ISBLANK($T$1),1,IF($I$23:$I$239=$T$1,1,0)))</f>
        <v>6</v>
      </c>
      <c r="CK3" s="874">
        <f t="array" ref="CK3">SUM(IF(ISTEXT(CK$23:CK$239),1,0)*IF(($L$23:$L$239)="W",1,0)*IF(ISBLANK($T$1),1,IF($I$23:$I$239=$T$1,1,0)))</f>
        <v>5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SUM(IF(L$23:L$239="D",1,0)*IF(ISBLANK($T$1),1,IF($I$23:$I$239=$T$1,1,0)))</f>
        <v>10</v>
      </c>
      <c r="AG4" s="874">
        <f t="array" ref="AG4">SUM(IF(ISTEXT(AG$23:AG$239),1,0)*IF(($L$23:$L$239)="D",1,0)*IF(ISBLANK($T$1),1,IF($I$23:$I$239=$T$1,1,0)))</f>
        <v>10</v>
      </c>
      <c r="AH4" s="874">
        <f t="array" ref="AH4">SUM(IF(ISTEXT(AH$23:AH$239),1,0)*IF(($L$23:$L$239)="D",1,0)*IF(ISBLANK($T$1),1,IF($I$23:$I$239=$T$1,1,0)))</f>
        <v>10</v>
      </c>
      <c r="AI4" s="874">
        <f t="array" ref="AI4">SUM(IF(ISTEXT(AI$23:AI$239),1,0)*IF(($L$23:$L$239)="D",1,0)*IF(ISBLANK($T$1),1,IF($I$23:$I$239=$T$1,1,0)))</f>
        <v>10</v>
      </c>
      <c r="AL4" s="874">
        <f t="array" ref="AL4">SUM(IF(ISTEXT(AL$23:AL$239),1,0)*IF(($L$23:$L$239)="D",1,0)*IF(ISBLANK($T$1),1,IF($I$23:$I$239=$T$1,1,0)))</f>
        <v>10</v>
      </c>
      <c r="AN4" s="874">
        <f t="array" ref="AN4">SUM(IF(ISTEXT(AN$23:AN$239),1,0)*IF(($L$23:$L$239)="D",1,0)*IF(ISBLANK($T$1),1,IF($I$23:$I$239=$T$1,1,0)))</f>
        <v>10</v>
      </c>
      <c r="AP4" s="874">
        <f t="array" ref="AP4">SUM(IF(ISTEXT(AP$23:AP$239),1,0)*IF(($L$23:$L$239)="D",1,0)*IF(ISBLANK($T$1),1,IF($I$23:$I$239=$T$1,1,0)))</f>
        <v>10</v>
      </c>
      <c r="AQ4" s="874">
        <f t="array" ref="AQ4">SUM(IF(ISTEXT(AQ$23:AQ$239),1,0)*IF(($L$23:$L$239)="D",1,0)*IF(ISBLANK($T$1),1,IF($I$23:$I$239=$T$1,1,0)))</f>
        <v>8</v>
      </c>
      <c r="AS4" s="874">
        <f t="array" ref="AS4">SUM(IF(ISTEXT(AS$23:AS$239),1,0)*IF(($L$23:$L$239)="D",1,0)*IF(ISBLANK($T$1),1,IF($I$23:$I$239=$T$1,1,0)))</f>
        <v>10</v>
      </c>
      <c r="AT4" s="874">
        <f t="array" ref="AT4">SUM(IF(ISTEXT(AT$23:AT$239),1,0)*IF(($L$23:$L$239)="D",1,0)*IF(ISBLANK($T$1),1,IF($I$23:$I$239=$T$1,1,0)))</f>
        <v>10</v>
      </c>
      <c r="AU4" s="874">
        <f t="array" ref="AU4">SUM(IF(ISTEXT(AU$23:AU$239),1,0)*IF(($L$23:$L$239)="D",1,0)*IF(ISBLANK($T$1),1,IF($I$23:$I$239=$T$1,1,0)))</f>
        <v>10</v>
      </c>
      <c r="AV4" s="874">
        <f t="array" ref="AV4">SUM(IF(ISTEXT(AV$23:AV$239),1,0)*IF(($L$23:$L$239)="D",1,0)*IF(ISBLANK($T$1),1,IF($I$23:$I$239=$T$1,1,0)))</f>
        <v>10</v>
      </c>
      <c r="AX4" s="874">
        <f t="array" ref="AX4">SUM(IF(ISTEXT(AX$23:AX$239),1,0)*IF(($L$23:$L$239)="D",1,0)*IF(ISBLANK($T$1),1,IF($I$23:$I$239=$T$1,1,0)))</f>
        <v>10</v>
      </c>
      <c r="BB4" s="874">
        <f t="array" ref="BB4">SUM(IF(ISTEXT(BB$23:BB$239),1,0)*IF(($L$23:$L$239)="D",1,0)*IF(ISBLANK($T$1),1,IF($I$23:$I$239=$T$1,1,0)))</f>
        <v>10</v>
      </c>
      <c r="BC4" s="874">
        <f t="array" ref="BC4">SUM(IF(ISTEXT(BC$23:BC$239),1,0)*IF(($L$23:$L$239)="D",1,0)*IF(ISBLANK($T$1),1,IF($I$23:$I$239=$T$1,1,0)))</f>
        <v>10</v>
      </c>
      <c r="BD4" s="874">
        <f t="array" ref="BD4">SUM(IF(ISTEXT(BD$23:BD$239),1,0)*IF(($L$23:$L$239)="D",1,0)*IF(ISBLANK($T$1),1,IF($I$23:$I$239=$T$1,1,0)))</f>
        <v>10</v>
      </c>
      <c r="BE4" s="874" t="e">
        <f t="array" ref="BE4">SUM(IF(ISTEXT(BE$26:BE$239),1,0)*IF(($L$23:$L$239)="D",1,0)*IF(ISBLANK($T$1),1,IF($I$23:$I$239=$T$1,1,0)))</f>
        <v>#N/A</v>
      </c>
      <c r="BF4" s="874">
        <f t="array" ref="BF4">SUM(IF(ISTEXT(BF$23:BF$239),1,0)*IF(($L$23:$L$239)="D",1,0)*IF(ISBLANK($T$1),1,IF($I$23:$I$239=$T$1,1,0)))</f>
        <v>1</v>
      </c>
      <c r="BG4" s="874">
        <f t="array" ref="BG4">SUM(IF(ISTEXT(BG$23:BG$239),1,0)*IF(($L$23:$L$239)="D",1,0)*IF(ISBLANK($T$1),1,IF($I$23:$I$239=$T$1,1,0)))</f>
        <v>0</v>
      </c>
      <c r="BO4" s="874">
        <f t="array" ref="BO4">SUM(IF(ISTEXT(BO$23:BO$239),1,0)*IF(($L$23:$L$239)="D",1,0)*IF(ISBLANK($T$1),1,IF($I$23:$I$239=$T$1,1,0)))</f>
        <v>0</v>
      </c>
      <c r="BQ4" s="874">
        <f t="array" ref="BQ4">SUM(IF(ISTEXT(BQ$23:BQ$239),1,0)*IF(($L$23:$L$239)="D",1,0)*IF(ISBLANK($T$1),1,IF($I$23:$I$239=$T$1,1,0)))</f>
        <v>0</v>
      </c>
      <c r="BR4" s="874">
        <f t="array" ref="BR4">SUM(IF(ISTEXT(BR$23:BR$239),1,0)*IF(($L$23:$L$239)="D",1,0)*IF(ISBLANK($T$1),1,IF($I$23:$I$239=$T$1,1,0)))</f>
        <v>0</v>
      </c>
      <c r="BS4" s="874" t="e">
        <f t="array" ref="BS4">SUM(IF(ISTEXT(BS$40:BS$239),1,0)*IF(($L$23:$L$239)="D",1,0)*IF(ISBLANK($T$1),1,IF($I$23:$I$239=$T$1,1,0)))</f>
        <v>#N/A</v>
      </c>
      <c r="BX4" s="874">
        <f t="array" ref="BX4">SUM(IF(ISTEXT(BX$23:BX$239),1,0)*IF(($L$23:$L$239)="D",1,0)*IF(ISBLANK($T$1),1,IF($I$23:$I$239=$T$1,1,0)))</f>
        <v>0</v>
      </c>
      <c r="BY4" s="874">
        <f t="array" ref="BY4">SUM(IF(ISTEXT(BY$23:BY$239),1,0)*IF(($L$23:$L$239)="D",1,0)*IF(ISBLANK($T$1),1,IF($I$23:$I$239=$T$1,1,0)))</f>
        <v>0</v>
      </c>
      <c r="BZ4" s="874">
        <f t="array" ref="BZ4">SUM(IF(ISTEXT(BZ$23:BZ$239),1,0)*IF(($L$23:$L$239)="D",1,0)*IF(ISBLANK($T$1),1,IF($I$23:$I$239=$T$1,1,0)))</f>
        <v>0</v>
      </c>
      <c r="CA4" s="874">
        <f t="array" ref="CA4">SUM(IF(ISTEXT(CA$23:CA$239),1,0)*IF(($L$23:$L$239)="D",1,0)*IF(ISBLANK($T$1),1,IF($I$23:$I$239=$T$1,1,0)))</f>
        <v>0</v>
      </c>
      <c r="CB4" s="874">
        <f t="array" ref="CB4">SUM(IF(ISTEXT(CB$23:CB$239),1,0)*IF(($L$23:$L$239)="D",1,0)*IF(ISBLANK($T$1),1,IF($I$23:$I$239=$T$1,1,0)))</f>
        <v>0</v>
      </c>
      <c r="CC4" s="874">
        <f t="array" ref="CC4">SUM(IF(ISTEXT(CC$23:CC$239),1,0)*IF(($L$23:$L$239)="D",1,0)*IF(ISBLANK($T$1),1,IF($I$23:$I$239=$T$1,1,0)))</f>
        <v>0</v>
      </c>
      <c r="CD4" s="874">
        <f t="array" ref="CD4">SUM(IF(ISTEXT(CD$23:CD$239),1,0)*IF(($L$23:$L$239)="D",1,0)*IF(ISBLANK($T$1),1,IF($I$23:$I$239=$T$1,1,0)))</f>
        <v>0</v>
      </c>
      <c r="CE4" s="874">
        <f t="array" ref="CE4">SUM(IF(ISTEXT(CE$23:CE$239),1,0)*IF(($L$23:$L$239)="D",1,0)*IF(ISBLANK($T$1),1,IF($I$23:$I$239=$T$1,1,0)))</f>
        <v>0</v>
      </c>
      <c r="CF4" s="874">
        <f t="array" ref="CF4">SUM(IF(ISTEXT(CF$23:CF$239),1,0)*IF(($L$23:$L$239)="D",1,0)*IF(ISBLANK($T$1),1,IF($I$23:$I$239=$T$1,1,0)))</f>
        <v>0</v>
      </c>
      <c r="CG4" s="874">
        <f t="array" ref="CG4">SUM(IF(ISTEXT(CG$23:CG$239),1,0)*IF(($L$23:$L$239)="D",1,0)*IF(ISBLANK($T$1),1,IF($I$23:$I$239=$T$1,1,0)))</f>
        <v>0</v>
      </c>
      <c r="CH4" s="874">
        <f t="array" ref="CH4">SUM(IF(ISTEXT(CH$23:CH$239),1,0)*IF(($L$23:$L$239)="D",1,0)*IF(ISBLANK($T$1),1,IF($I$23:$I$239=$T$1,1,0)))</f>
        <v>0</v>
      </c>
      <c r="CI4" s="874">
        <f t="array" ref="CI4">SUM(IF(ISTEXT(CI$23:CI$239),1,0)*IF(($L$23:$L$239)="D",1,0)*IF(ISBLANK($T$1),1,IF($I$23:$I$239=$T$1,1,0)))</f>
        <v>4</v>
      </c>
      <c r="CJ4" s="874">
        <f t="array" ref="CJ4">SUM(IF(ISTEXT(CJ$23:CJ$239),1,0)*IF(($L$23:$L$239)="D",1,0)*IF(ISBLANK($T$1),1,IF($I$23:$I$239=$T$1,1,0)))</f>
        <v>4</v>
      </c>
      <c r="CK4" s="874">
        <f t="array" ref="CK4">SUM(IF(ISTEXT(CK$23:CK$239),1,0)*IF(($L$23:$L$239)="D",1,0)*IF(ISBLANK($T$1),1,IF($I$23:$I$239=$T$1,1,0)))</f>
        <v>4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SUM(IF(L$23:L$239="L",1,0)*IF(ISBLANK($T$1),1,IF($I$23:$I$239=$T$1,1,0)))</f>
        <v>19</v>
      </c>
      <c r="AG5" s="874">
        <f t="array" ref="AG5">SUM(IF(ISTEXT(AG$23:AG$239),1,0)*IF(($L$23:$L$239)="L",1,0)*IF(ISBLANK($T$1),1,IF($I$23:$I$239=$T$1,1,0)))</f>
        <v>18</v>
      </c>
      <c r="AH5" s="874">
        <f t="array" ref="AH5">SUM(IF(ISTEXT(AH$23:AH$239),1,0)*IF(($L$23:$L$239)="L",1,0)*IF(ISBLANK($T$1),1,IF($I$23:$I$239=$T$1,1,0)))</f>
        <v>19</v>
      </c>
      <c r="AI5" s="874">
        <f t="array" ref="AI5">SUM(IF(ISTEXT(AI$23:AI$239),1,0)*IF(($L$23:$L$239)="L",1,0)*IF(ISBLANK($T$1),1,IF($I$23:$I$239=$T$1,1,0)))</f>
        <v>19</v>
      </c>
      <c r="AL5" s="874">
        <f t="array" ref="AL5">SUM(IF(ISTEXT(AL$23:AL$239),1,0)*IF(($L$23:$L$239)="L",1,0)*IF(ISBLANK($T$1),1,IF($I$23:$I$239=$T$1,1,0)))</f>
        <v>19</v>
      </c>
      <c r="AN5" s="874">
        <f t="array" ref="AN5">SUM(IF(ISTEXT(AN$23:AN$239),1,0)*IF(($L$23:$L$239)="L",1,0)*IF(ISBLANK($T$1),1,IF($I$23:$I$239=$T$1,1,0)))</f>
        <v>19</v>
      </c>
      <c r="AP5" s="874">
        <f t="array" ref="AP5">SUM(IF(ISTEXT(AP$23:AP$239),1,0)*IF(($L$23:$L$239)="L",1,0)*IF(ISBLANK($T$1),1,IF($I$23:$I$239=$T$1,1,0)))</f>
        <v>19</v>
      </c>
      <c r="AQ5" s="874">
        <f t="array" ref="AQ5">SUM(IF(ISTEXT(AQ$23:AQ$239),1,0)*IF(($L$23:$L$239)="L",1,0)*IF(ISBLANK($T$1),1,IF($I$23:$I$239=$T$1,1,0)))</f>
        <v>19</v>
      </c>
      <c r="AS5" s="874">
        <f t="array" ref="AS5">SUM(IF(ISTEXT(AS$23:AS$239),1,0)*IF(($L$23:$L$239)="L",1,0)*IF(ISBLANK($T$1),1,IF($I$23:$I$239=$T$1,1,0)))</f>
        <v>19</v>
      </c>
      <c r="AT5" s="874">
        <f t="array" ref="AT5">SUM(IF(ISTEXT(AT$23:AT$239),1,0)*IF(($L$23:$L$239)="L",1,0)*IF(ISBLANK($T$1),1,IF($I$23:$I$239=$T$1,1,0)))</f>
        <v>19</v>
      </c>
      <c r="AU5" s="874">
        <f t="array" ref="AU5">SUM(IF(ISTEXT(AU$23:AU$239),1,0)*IF(($L$23:$L$239)="L",1,0)*IF(ISBLANK($T$1),1,IF($I$23:$I$239=$T$1,1,0)))</f>
        <v>19</v>
      </c>
      <c r="AV5" s="874">
        <f t="array" ref="AV5">SUM(IF(ISTEXT(AV$23:AV$239),1,0)*IF(($L$23:$L$239)="L",1,0)*IF(ISBLANK($T$1),1,IF($I$23:$I$239=$T$1,1,0)))</f>
        <v>19</v>
      </c>
      <c r="AX5" s="874">
        <f t="array" ref="AX5">SUM(IF(ISTEXT(AX$23:AX$239),1,0)*IF(($L$23:$L$239)="L",1,0)*IF(ISBLANK($T$1),1,IF($I$23:$I$239=$T$1,1,0)))</f>
        <v>19</v>
      </c>
      <c r="BB5" s="874">
        <f t="array" ref="BB5">SUM(IF(ISTEXT(BB$23:BB$239),1,0)*IF(($L$23:$L$239)="L",1,0)*IF(ISBLANK($T$1),1,IF($I$23:$I$239=$T$1,1,0)))</f>
        <v>19</v>
      </c>
      <c r="BC5" s="874">
        <f t="array" ref="BC5">SUM(IF(ISTEXT(BC$23:BC$239),1,0)*IF(($L$23:$L$239)="L",1,0)*IF(ISBLANK($T$1),1,IF($I$23:$I$239=$T$1,1,0)))</f>
        <v>19</v>
      </c>
      <c r="BD5" s="874">
        <f t="array" ref="BD5">SUM(IF(ISTEXT(BD$23:BD$239),1,0)*IF(($L$23:$L$239)="L",1,0)*IF(ISBLANK($T$1),1,IF($I$23:$I$239=$T$1,1,0)))</f>
        <v>19</v>
      </c>
      <c r="BE5" s="874" t="e">
        <f t="array" ref="BE5">SUM(IF(ISTEXT(BE$26:BE$239),1,0)*IF(($L$23:$L$239)="L",1,0)*IF(ISBLANK($T$1),1,IF($I$23:$I$239=$T$1,1,0)))</f>
        <v>#N/A</v>
      </c>
      <c r="BF5" s="874">
        <f t="array" ref="BF5">SUM(IF(ISTEXT(BF$23:BF$239),1,0)*IF(($L$23:$L$239)="L",1,0)*IF(ISBLANK($T$1),1,IF($I$23:$I$239=$T$1,1,0)))</f>
        <v>0</v>
      </c>
      <c r="BG5" s="874">
        <f t="array" ref="BG5">SUM(IF(ISTEXT(BG$23:BG$239),1,0)*IF(($L$23:$L$239)="L",1,0)*IF(ISBLANK($T$1),1,IF($I$23:$I$239=$T$1,1,0)))</f>
        <v>0</v>
      </c>
      <c r="BO5" s="874">
        <f t="array" ref="BO5">SUM(IF(ISTEXT(BO$23:BO$239),1,0)*IF(($L$23:$L$239)="L",1,0)*IF(ISBLANK($T$1),1,IF($I$23:$I$239=$T$1,1,0)))</f>
        <v>1</v>
      </c>
      <c r="BQ5" s="874">
        <f t="array" ref="BQ5">SUM(IF(ISTEXT(BQ$23:BQ$239),1,0)*IF(($L$23:$L$239)="L",1,0)*IF(ISBLANK($T$1),1,IF($I$23:$I$239=$T$1,1,0)))</f>
        <v>1</v>
      </c>
      <c r="BR5" s="874">
        <f t="array" ref="BR5">SUM(IF(ISTEXT(BR$23:BR$239),1,0)*IF(($L$23:$L$239)="L",1,0)*IF(ISBLANK($T$1),1,IF($I$23:$I$239=$T$1,1,0)))</f>
        <v>1</v>
      </c>
      <c r="BS5" s="874" t="e">
        <f t="array" ref="BS5">SUM(IF(ISTEXT(BS$40:BS$239),1,0)*IF(($L$23:$L$239)="L",1,0)*IF(ISBLANK($T$1),1,IF($I$23:$I$239=$T$1,1,0)))</f>
        <v>#N/A</v>
      </c>
      <c r="BX5" s="874">
        <f t="array" ref="BX5">SUM(IF(ISTEXT(BX$23:BX$239),1,0)*IF(($L$23:$L$239)="L",1,0)*IF(ISBLANK($T$1),1,IF($I$23:$I$239=$T$1,1,0)))</f>
        <v>0</v>
      </c>
      <c r="BY5" s="874">
        <f t="array" ref="BY5">SUM(IF(ISTEXT(BY$23:BY$239),1,0)*IF(($L$23:$L$239)="L",1,0)*IF(ISBLANK($T$1),1,IF($I$23:$I$239=$T$1,1,0)))</f>
        <v>0</v>
      </c>
      <c r="BZ5" s="874">
        <f t="array" ref="BZ5">SUM(IF(ISTEXT(BZ$23:BZ$239),1,0)*IF(($L$23:$L$239)="L",1,0)*IF(ISBLANK($T$1),1,IF($I$23:$I$239=$T$1,1,0)))</f>
        <v>0</v>
      </c>
      <c r="CA5" s="874">
        <f t="array" ref="CA5">SUM(IF(ISTEXT(CA$23:CA$239),1,0)*IF(($L$23:$L$239)="L",1,0)*IF(ISBLANK($T$1),1,IF($I$23:$I$239=$T$1,1,0)))</f>
        <v>0</v>
      </c>
      <c r="CB5" s="874">
        <f t="array" ref="CB5">SUM(IF(ISTEXT(CB$23:CB$239),1,0)*IF(($L$23:$L$239)="L",1,0)*IF(ISBLANK($T$1),1,IF($I$23:$I$239=$T$1,1,0)))</f>
        <v>0</v>
      </c>
      <c r="CC5" s="874">
        <f t="array" ref="CC5">SUM(IF(ISTEXT(CC$23:CC$239),1,0)*IF(($L$23:$L$239)="L",1,0)*IF(ISBLANK($T$1),1,IF($I$23:$I$239=$T$1,1,0)))</f>
        <v>0</v>
      </c>
      <c r="CD5" s="874">
        <f t="array" ref="CD5">SUM(IF(ISTEXT(CD$23:CD$239),1,0)*IF(($L$23:$L$239)="L",1,0)*IF(ISBLANK($T$1),1,IF($I$23:$I$239=$T$1,1,0)))</f>
        <v>0</v>
      </c>
      <c r="CE5" s="874">
        <f t="array" ref="CE5">SUM(IF(ISTEXT(CE$23:CE$239),1,0)*IF(($L$23:$L$239)="L",1,0)*IF(ISBLANK($T$1),1,IF($I$23:$I$239=$T$1,1,0)))</f>
        <v>0</v>
      </c>
      <c r="CF5" s="874">
        <f t="array" ref="CF5">SUM(IF(ISTEXT(CF$23:CF$239),1,0)*IF(($L$23:$L$239)="L",1,0)*IF(ISBLANK($T$1),1,IF($I$23:$I$239=$T$1,1,0)))</f>
        <v>0</v>
      </c>
      <c r="CG5" s="874">
        <f t="array" ref="CG5">SUM(IF(ISTEXT(CG$23:CG$239),1,0)*IF(($L$23:$L$239)="L",1,0)*IF(ISBLANK($T$1),1,IF($I$23:$I$239=$T$1,1,0)))</f>
        <v>0</v>
      </c>
      <c r="CH5" s="874">
        <f t="array" ref="CH5">SUM(IF(ISTEXT(CH$23:CH$239),1,0)*IF(($L$23:$L$239)="L",1,0)*IF(ISBLANK($T$1),1,IF($I$23:$I$239=$T$1,1,0)))</f>
        <v>0</v>
      </c>
      <c r="CI5" s="874">
        <f t="array" ref="CI5">SUM(IF(ISTEXT(CI$23:CI$239),1,0)*IF(($L$23:$L$239)="L",1,0)*IF(ISBLANK($T$1),1,IF($I$23:$I$239=$T$1,1,0)))</f>
        <v>6</v>
      </c>
      <c r="CJ5" s="874">
        <f t="array" ref="CJ5">SUM(IF(ISTEXT(CJ$23:CJ$239),1,0)*IF(($L$23:$L$239)="L",1,0)*IF(ISBLANK($T$1),1,IF($I$23:$I$239=$T$1,1,0)))</f>
        <v>6</v>
      </c>
      <c r="CK5" s="874">
        <f t="array" ref="CK5">SUM(IF(ISTEXT(CK$23:CK$239),1,0)*IF(($L$23:$L$239)="L",1,0)*IF(ISBLANK($T$1),1,IF($I$23:$I$239=$T$1,1,0)))</f>
        <v>6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55</v>
      </c>
      <c r="AG6" s="874">
        <f t="shared" ref="AG6:CK6" si="2">AG$3*3+AG$4</f>
        <v>49</v>
      </c>
      <c r="AH6" s="874">
        <f t="shared" si="2"/>
        <v>55</v>
      </c>
      <c r="AI6" s="874">
        <f t="shared" si="2"/>
        <v>55</v>
      </c>
      <c r="AL6" s="874">
        <f t="shared" si="2"/>
        <v>52</v>
      </c>
      <c r="AN6" s="874">
        <f t="shared" si="2"/>
        <v>52</v>
      </c>
      <c r="AP6" s="874">
        <f>AP$3*3+AP$4</f>
        <v>55</v>
      </c>
      <c r="AQ6" s="874">
        <f>AQ$3*3+AQ$4</f>
        <v>47</v>
      </c>
      <c r="AS6" s="874">
        <f t="shared" si="2"/>
        <v>55</v>
      </c>
      <c r="AT6" s="874">
        <f>AT$3*3+AT$4</f>
        <v>55</v>
      </c>
      <c r="AU6" s="874">
        <f>AU$3*3+AU$4</f>
        <v>55</v>
      </c>
      <c r="AV6" s="874">
        <f>AV$3*3+AV$4</f>
        <v>52</v>
      </c>
      <c r="AX6" s="874">
        <f>AX$3*3+AX$4</f>
        <v>55</v>
      </c>
      <c r="BB6" s="874">
        <f t="shared" ref="BB6:BG6" si="3">BB$3*3+BB$4</f>
        <v>55</v>
      </c>
      <c r="BC6" s="874">
        <f t="shared" si="3"/>
        <v>55</v>
      </c>
      <c r="BD6" s="874">
        <f t="shared" si="3"/>
        <v>55</v>
      </c>
      <c r="BE6" s="874" t="e">
        <f t="shared" si="3"/>
        <v>#N/A</v>
      </c>
      <c r="BF6" s="874">
        <f t="shared" si="3"/>
        <v>1</v>
      </c>
      <c r="BG6" s="874">
        <f t="shared" si="3"/>
        <v>0</v>
      </c>
      <c r="BO6" s="874">
        <f>BO$3*3+BO$4</f>
        <v>0</v>
      </c>
      <c r="BQ6" s="874">
        <f>BQ$3*3+BQ$4</f>
        <v>0</v>
      </c>
      <c r="BR6" s="874">
        <f>BR$3*3+BR$4</f>
        <v>0</v>
      </c>
      <c r="BS6" s="874" t="e">
        <f t="shared" si="2"/>
        <v>#N/A</v>
      </c>
      <c r="BX6" s="874">
        <f t="shared" ref="BX6:CD6" si="4">BX$3*3+BX$4</f>
        <v>0</v>
      </c>
      <c r="BY6" s="874">
        <f t="shared" si="4"/>
        <v>0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22</v>
      </c>
      <c r="CJ6" s="874">
        <f t="shared" si="2"/>
        <v>22</v>
      </c>
      <c r="CK6" s="874">
        <f t="shared" si="2"/>
        <v>19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5">AF6/AF2</f>
        <v>1.25</v>
      </c>
      <c r="AG7" s="874">
        <f t="shared" si="5"/>
        <v>1.1951219512195121</v>
      </c>
      <c r="AH7" s="874">
        <f t="shared" si="5"/>
        <v>1.25</v>
      </c>
      <c r="AI7" s="874">
        <f t="shared" si="5"/>
        <v>1.25</v>
      </c>
      <c r="AL7" s="874">
        <f t="shared" si="5"/>
        <v>1.2093023255813953</v>
      </c>
      <c r="AN7" s="874">
        <f t="shared" si="5"/>
        <v>1.2093023255813953</v>
      </c>
      <c r="AP7" s="874">
        <f>AP6/AP2</f>
        <v>1.25</v>
      </c>
      <c r="AQ7" s="874">
        <f>AQ6/AQ2</f>
        <v>1.175</v>
      </c>
      <c r="AS7" s="874">
        <f t="shared" si="5"/>
        <v>1.25</v>
      </c>
      <c r="AT7" s="874">
        <f>AT6/AT2</f>
        <v>1.25</v>
      </c>
      <c r="AU7" s="874">
        <f>AU6/AU2</f>
        <v>1.25</v>
      </c>
      <c r="AV7" s="874">
        <f>AV6/AV2</f>
        <v>1.2093023255813953</v>
      </c>
      <c r="AX7" s="874">
        <f>AX6/AX2</f>
        <v>1.25</v>
      </c>
      <c r="BB7" s="874">
        <f>BB6/BB2</f>
        <v>1.25</v>
      </c>
      <c r="BC7" s="874">
        <f>BC6/BC2</f>
        <v>1.25</v>
      </c>
      <c r="BD7" s="874">
        <f t="shared" ref="BD7" si="6">BD6/BD2</f>
        <v>1.25</v>
      </c>
      <c r="BE7" s="874" t="e">
        <f>BE6/BE2</f>
        <v>#N/A</v>
      </c>
      <c r="BF7" s="874">
        <f>BF6/BF2</f>
        <v>1</v>
      </c>
      <c r="BG7" s="874" t="e">
        <f>BG6/BG2</f>
        <v>#DIV/0!</v>
      </c>
      <c r="BO7" s="874">
        <f>BO6/BO2</f>
        <v>0</v>
      </c>
      <c r="BQ7" s="874">
        <f>BQ6/BQ2</f>
        <v>0</v>
      </c>
      <c r="BR7" s="874">
        <f>BR6/BR2</f>
        <v>0</v>
      </c>
      <c r="BS7" s="874" t="e">
        <f t="shared" si="5"/>
        <v>#N/A</v>
      </c>
      <c r="BX7" s="874" t="e">
        <f t="shared" ref="BX7:CD7" si="7">BX6/BX2</f>
        <v>#DIV/0!</v>
      </c>
      <c r="BY7" s="874" t="e">
        <f t="shared" si="7"/>
        <v>#DIV/0!</v>
      </c>
      <c r="BZ7" s="874" t="e">
        <f t="shared" si="7"/>
        <v>#DIV/0!</v>
      </c>
      <c r="CA7" s="874" t="e">
        <f t="shared" si="7"/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5"/>
        <v>#DIV/0!</v>
      </c>
      <c r="CF7" s="874" t="e">
        <f t="shared" si="5"/>
        <v>#DIV/0!</v>
      </c>
      <c r="CG7" s="874" t="e">
        <f t="shared" si="5"/>
        <v>#DIV/0!</v>
      </c>
      <c r="CH7" s="874" t="e">
        <f t="shared" si="5"/>
        <v>#DIV/0!</v>
      </c>
      <c r="CI7" s="874">
        <f t="shared" si="5"/>
        <v>1.375</v>
      </c>
      <c r="CJ7" s="874">
        <f t="shared" si="5"/>
        <v>1.375</v>
      </c>
      <c r="CK7" s="874">
        <f t="shared" si="5"/>
        <v>1.2666666666666666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SUM(IF(($T$23:$T$239)="",0,$T$23:$T$239)*IF(ISBLANK($T$1),1,IF($I$23:$I$239=$T$1,1,0)))</f>
        <v>19.920000000000005</v>
      </c>
      <c r="AG8" s="874">
        <f t="array" ref="AG8">SUM(IF(ISTEXT(AG$23:AG$239),1,0)*IF(($T$23:$T$239)="",0,$T$23:$T$239)*IF(ISBLANK($T$1),1,IF($I$23:$I$239=$T$1,1,0)))</f>
        <v>21.88</v>
      </c>
      <c r="AH8" s="874">
        <f t="array" ref="AH8">SUM(IF(ISTEXT(AH$23:AH$239),1,0)*IF(($T$23:$T$239)="",0,$T$23:$T$239)*IF(ISBLANK($T$1),1,IF($I$23:$I$239=$T$1,1,0)))</f>
        <v>19.920000000000005</v>
      </c>
      <c r="AI8" s="874">
        <f t="array" ref="AI8">SUM(IF(ISTEXT(AI$23:AI$239),1,0)*IF(($T$23:$T$239)="",0,$T$23:$T$239)*IF(ISBLANK($T$1),1,IF($I$23:$I$239=$T$1,1,0)))</f>
        <v>19.920000000000005</v>
      </c>
      <c r="AL8" s="874">
        <f t="array" ref="AL8">SUM(IF(ISTEXT(AL$23:AL$239),1,0)*IF(($T$23:$T$239)="",0,$T$23:$T$239)*IF(ISBLANK($T$1),1,IF($I$23:$I$239=$T$1,1,0)))</f>
        <v>20.070000000000004</v>
      </c>
      <c r="AN8" s="874">
        <f t="array" ref="AN8">SUM(IF(ISTEXT(AN$23:AN$239),1,0)*IF(($T$23:$T$239)="",0,$T$23:$T$239)*IF(ISBLANK($T$1),1,IF($I$23:$I$239=$T$1,1,0)))</f>
        <v>20.070000000000004</v>
      </c>
      <c r="AP8" s="874">
        <f t="array" ref="AP8">SUM(IF(ISTEXT(AP$23:AP$239),1,0)*IF(($T$23:$T$239)="",0,$T$23:$T$239)*IF(ISBLANK($T$1),1,IF($I$23:$I$239=$T$1,1,0)))</f>
        <v>19.920000000000005</v>
      </c>
      <c r="AQ8" s="874">
        <f t="array" ref="AQ8">SUM(IF(ISTEXT(AQ$23:AQ$239),1,0)*IF(($T$23:$T$239)="",0,$T$23:$T$239)*IF(ISBLANK($T$1),1,IF($I$23:$I$239=$T$1,1,0)))</f>
        <v>21.540000000000003</v>
      </c>
      <c r="AS8" s="874">
        <f t="array" ref="AS8">SUM(IF(ISTEXT(AS$23:AS$239),1,0)*IF(($T$23:$T$239)="",0,$T$23:$T$239)*IF(ISBLANK($T$1),1,IF($I$23:$I$239=$T$1,1,0)))</f>
        <v>19.920000000000005</v>
      </c>
      <c r="AT8" s="874">
        <f t="array" ref="AT8">SUM(IF(ISTEXT(AT$23:AT$239),1,0)*IF(($T$23:$T$239)="",0,$T$23:$T$239)*IF(ISBLANK($T$1),1,IF($I$23:$I$239=$T$1,1,0)))</f>
        <v>19.920000000000005</v>
      </c>
      <c r="AU8" s="874">
        <f t="array" ref="AU8">SUM(IF(ISTEXT(AU$23:AU$239),1,0)*IF(($T$23:$T$239)="",0,$T$23:$T$239)*IF(ISBLANK($T$1),1,IF($I$23:$I$239=$T$1,1,0)))</f>
        <v>19.920000000000005</v>
      </c>
      <c r="AV8" s="874">
        <f t="array" ref="AV8">SUM(IF(ISTEXT(AV$23:AV$239),1,0)*IF(($T$23:$T$239)="",0,$T$23:$T$239)*IF(ISBLANK($T$1),1,IF($I$23:$I$239=$T$1,1,0)))</f>
        <v>20.070000000000004</v>
      </c>
      <c r="AX8" s="874">
        <f t="array" ref="AX8">SUM(IF(ISTEXT(AX$23:AX$239),1,0)*IF(($T$23:$T$239)="",0,$T$23:$T$239)*IF(ISBLANK($T$1),1,IF($I$23:$I$239=$T$1,1,0)))</f>
        <v>19.920000000000005</v>
      </c>
      <c r="BB8" s="874">
        <f t="array" ref="BB8">SUM(IF(ISTEXT(BB$23:BB$239),1,0)*IF(($T$23:$T$239)="",0,$T$23:$T$239)*IF(ISBLANK($T$1),1,IF($I$23:$I$239=$T$1,1,0)))</f>
        <v>19.920000000000005</v>
      </c>
      <c r="BC8" s="874">
        <f t="array" ref="BC8">SUM(IF(ISTEXT(BC$23:BC$239),1,0)*IF(($T$23:$T$239)="",0,$T$23:$T$239)*IF(ISBLANK($T$1),1,IF($I$23:$I$239=$T$1,1,0)))</f>
        <v>19.920000000000005</v>
      </c>
      <c r="BD8" s="874">
        <f t="array" ref="BD8">SUM(IF(ISTEXT(BD$23:BD$239),1,0)*IF(($T$23:$T$239)="",0,$T$23:$T$239)*IF(ISBLANK($T$1),1,IF($I$23:$I$239=$T$1,1,0)))</f>
        <v>19.920000000000005</v>
      </c>
      <c r="BE8" s="874" t="e">
        <f t="array" ref="BE8">SUM(IF(ISTEXT(BE$26:BE$239),1,0)*IF(($T$23:$T$239)="",0,$T$23:$T$239)*IF(ISBLANK($T$1),1,IF($I$23:$I$239=$T$1,1,0)))</f>
        <v>#N/A</v>
      </c>
      <c r="BF8" s="874">
        <f t="array" ref="BF8">SUM(IF(ISTEXT(BF$23:BF$239),1,0)*IF(($T$23:$T$239)="",0,$T$23:$T$239)*IF(ISBLANK($T$1),1,IF($I$23:$I$239=$T$1,1,0)))</f>
        <v>-0.41000000000000014</v>
      </c>
      <c r="BG8" s="874">
        <f t="array" ref="BG8">SUM(IF(ISTEXT(BG$23:BG$239),1,0)*IF(($T$23:$T$239)="",0,$T$23:$T$239)*IF(ISBLANK($T$1),1,IF($I$23:$I$239=$T$1,1,0)))</f>
        <v>0</v>
      </c>
      <c r="BO8" s="874">
        <f t="array" ref="BO8">SUM(IF(ISTEXT(BO$23:BO$239),1,0)*IF(($T$23:$T$239)="",0,$T$23:$T$239)*IF(ISBLANK($T$1),1,IF($I$23:$I$239=$T$1,1,0)))</f>
        <v>0.49000000000000021</v>
      </c>
      <c r="BQ8" s="874">
        <f t="array" ref="BQ8">SUM(IF(ISTEXT(BQ$23:BQ$239),1,0)*IF(($T$23:$T$239)="",0,$T$23:$T$239)*IF(ISBLANK($T$1),1,IF($I$23:$I$239=$T$1,1,0)))</f>
        <v>0.49000000000000021</v>
      </c>
      <c r="BR8" s="874">
        <f t="array" ref="BR8">SUM(IF(ISTEXT(BR$23:BR$239),1,0)*IF(($T$23:$T$239)="",0,$T$23:$T$239)*IF(ISBLANK($T$1),1,IF($I$23:$I$239=$T$1,1,0)))</f>
        <v>0.49000000000000021</v>
      </c>
      <c r="BS8" s="874" t="e">
        <f t="array" ref="BS8">SUM(IF(ISTEXT(BS$40:BS$239),1,0)*IF(($T$23:$T$239)="",0,$T$23:$T$239)*IF(ISBLANK($T$1),1,IF($I$23:$I$239=$T$1,1,0)))</f>
        <v>#N/A</v>
      </c>
      <c r="BX8" s="874">
        <f t="array" ref="BX8">SUM(IF(ISTEXT(BX$23:BX$239),1,0)*IF(($T$23:$T$239)="",0,$T$23:$T$239)*IF(ISBLANK($T$1),1,IF($I$23:$I$239=$T$1,1,0)))</f>
        <v>0</v>
      </c>
      <c r="BY8" s="874">
        <f t="array" ref="BY8">SUM(IF(ISTEXT(BY$23:BY$239),1,0)*IF(($T$23:$T$239)="",0,$T$23:$T$239)*IF(ISBLANK($T$1),1,IF($I$23:$I$239=$T$1,1,0)))</f>
        <v>0</v>
      </c>
      <c r="BZ8" s="874">
        <f t="array" ref="BZ8">SUM(IF(ISTEXT(BZ$23:BZ$239),1,0)*IF(($T$23:$T$239)="",0,$T$23:$T$239)*IF(ISBLANK($T$1),1,IF($I$23:$I$239=$T$1,1,0)))</f>
        <v>0</v>
      </c>
      <c r="CA8" s="874">
        <f t="array" ref="CA8">SUM(IF(ISTEXT(CA$23:CA$239),1,0)*IF(($T$23:$T$239)="",0,$T$23:$T$239)*IF(ISBLANK($T$1),1,IF($I$23:$I$239=$T$1,1,0)))</f>
        <v>0</v>
      </c>
      <c r="CB8" s="874">
        <f t="array" ref="CB8">SUM(IF(ISTEXT(CB$23:CB$239),1,0)*IF(($T$23:$T$239)="",0,$T$23:$T$239)*IF(ISBLANK($T$1),1,IF($I$23:$I$239=$T$1,1,0)))</f>
        <v>0</v>
      </c>
      <c r="CC8" s="874">
        <f t="array" ref="CC8">SUM(IF(ISTEXT(CC$23:CC$239),1,0)*IF(($T$23:$T$239)="",0,$T$23:$T$239)*IF(ISBLANK($T$1),1,IF($I$23:$I$239=$T$1,1,0)))</f>
        <v>0</v>
      </c>
      <c r="CD8" s="874">
        <f t="array" ref="CD8">SUM(IF(ISTEXT(CD$23:CD$239),1,0)*IF(($T$23:$T$239)="",0,$T$23:$T$239)*IF(ISBLANK($T$1),1,IF($I$23:$I$239=$T$1,1,0)))</f>
        <v>0</v>
      </c>
      <c r="CE8" s="874">
        <f t="array" ref="CE8">SUM(IF(ISTEXT(CE$23:CE$239),1,0)*IF(($T$23:$T$239)="",0,$T$23:$T$239)*IF(ISBLANK($T$1),1,IF($I$23:$I$239=$T$1,1,0)))</f>
        <v>0</v>
      </c>
      <c r="CF8" s="874">
        <f t="array" ref="CF8">SUM(IF(ISTEXT(CF$23:CF$239),1,0)*IF(($T$23:$T$239)="",0,$T$23:$T$239)*IF(ISBLANK($T$1),1,IF($I$23:$I$239=$T$1,1,0)))</f>
        <v>0</v>
      </c>
      <c r="CG8" s="874">
        <f t="array" ref="CG8">SUM(IF(ISTEXT(CG$23:CG$239),1,0)*IF(($T$23:$T$239)="",0,$T$23:$T$239)*IF(ISBLANK($T$1),1,IF($I$23:$I$239=$T$1,1,0)))</f>
        <v>0</v>
      </c>
      <c r="CH8" s="874">
        <f t="array" ref="CH8">SUM(IF(ISTEXT(CH$23:CH$239),1,0)*IF(($T$23:$T$239)="",0,$T$23:$T$239)*IF(ISBLANK($T$1),1,IF($I$23:$I$239=$T$1,1,0)))</f>
        <v>0</v>
      </c>
      <c r="CI8" s="874">
        <f t="array" ref="CI8">SUM(IF(ISTEXT(CI$23:CI$239),1,0)*IF(($T$23:$T$239)="",0,$T$23:$T$239)*IF(ISBLANK($T$1),1,IF($I$23:$I$239=$T$1,1,0)))</f>
        <v>6.9499999999999993</v>
      </c>
      <c r="CJ8" s="874">
        <f t="array" ref="CJ8">SUM(IF(ISTEXT(CJ$23:CJ$239),1,0)*IF(($T$23:$T$239)="",0,$T$23:$T$239)*IF(ISBLANK($T$1),1,IF($I$23:$I$239=$T$1,1,0)))</f>
        <v>6.9499999999999993</v>
      </c>
      <c r="CK8" s="874">
        <f t="array" ref="CK8">SUM(IF(ISTEXT(CK$23:CK$239),1,0)*IF(($T$23:$T$239)="",0,$T$23:$T$239)*IF(ISBLANK($T$1),1,IF($I$23:$I$239=$T$1,1,0)))</f>
        <v>7.4799999999999986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8">AF8/AF2</f>
        <v>0.45272727272727287</v>
      </c>
      <c r="AG9" s="874">
        <f t="shared" si="8"/>
        <v>0.53365853658536588</v>
      </c>
      <c r="AH9" s="874">
        <f t="shared" si="8"/>
        <v>0.45272727272727287</v>
      </c>
      <c r="AI9" s="874">
        <f t="shared" si="8"/>
        <v>0.45272727272727287</v>
      </c>
      <c r="AL9" s="874">
        <f t="shared" si="8"/>
        <v>0.46674418604651174</v>
      </c>
      <c r="AN9" s="874">
        <f t="shared" si="8"/>
        <v>0.46674418604651174</v>
      </c>
      <c r="AP9" s="874">
        <f>AP8/AP2</f>
        <v>0.45272727272727287</v>
      </c>
      <c r="AQ9" s="874">
        <f>AQ8/AQ2</f>
        <v>0.53850000000000009</v>
      </c>
      <c r="AS9" s="874">
        <f t="shared" si="8"/>
        <v>0.45272727272727287</v>
      </c>
      <c r="AT9" s="874">
        <f>AT8/AT2</f>
        <v>0.45272727272727287</v>
      </c>
      <c r="AU9" s="874">
        <f>AU8/AU2</f>
        <v>0.45272727272727287</v>
      </c>
      <c r="AV9" s="874">
        <f>AV8/AV2</f>
        <v>0.46674418604651174</v>
      </c>
      <c r="AX9" s="874">
        <f>AX8/AX2</f>
        <v>0.45272727272727287</v>
      </c>
      <c r="BB9" s="874">
        <f>BB8/BB2</f>
        <v>0.45272727272727287</v>
      </c>
      <c r="BC9" s="874">
        <f>BC8/BC2</f>
        <v>0.45272727272727287</v>
      </c>
      <c r="BD9" s="874">
        <f t="shared" ref="BD9" si="9">BD8/BD2</f>
        <v>0.45272727272727287</v>
      </c>
      <c r="BE9" s="874" t="e">
        <f>BE8/BE2</f>
        <v>#N/A</v>
      </c>
      <c r="BF9" s="874">
        <f>BF8/BF2</f>
        <v>-0.41000000000000014</v>
      </c>
      <c r="BG9" s="874" t="e">
        <f>BG8/BG2</f>
        <v>#DIV/0!</v>
      </c>
      <c r="BO9" s="874">
        <f>BO8/BO2</f>
        <v>0.49000000000000021</v>
      </c>
      <c r="BQ9" s="874">
        <f>BQ8/BQ2</f>
        <v>0.49000000000000021</v>
      </c>
      <c r="BR9" s="874">
        <f>BR8/BR2</f>
        <v>0.49000000000000021</v>
      </c>
      <c r="BS9" s="874" t="e">
        <f t="shared" si="8"/>
        <v>#N/A</v>
      </c>
      <c r="BX9" s="874" t="e">
        <f t="shared" ref="BX9:CD9" si="10">BX8/BX2</f>
        <v>#DIV/0!</v>
      </c>
      <c r="BY9" s="874" t="e">
        <f t="shared" si="10"/>
        <v>#DIV/0!</v>
      </c>
      <c r="BZ9" s="874" t="e">
        <f t="shared" si="10"/>
        <v>#DIV/0!</v>
      </c>
      <c r="CA9" s="874" t="e">
        <f t="shared" si="10"/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8"/>
        <v>#DIV/0!</v>
      </c>
      <c r="CF9" s="874" t="e">
        <f t="shared" si="8"/>
        <v>#DIV/0!</v>
      </c>
      <c r="CG9" s="874" t="e">
        <f t="shared" si="8"/>
        <v>#DIV/0!</v>
      </c>
      <c r="CH9" s="874" t="e">
        <f t="shared" si="8"/>
        <v>#DIV/0!</v>
      </c>
      <c r="CI9" s="874">
        <f t="shared" si="8"/>
        <v>0.43437499999999996</v>
      </c>
      <c r="CJ9" s="874">
        <f t="shared" si="8"/>
        <v>0.43437499999999996</v>
      </c>
      <c r="CK9" s="874">
        <f t="shared" si="8"/>
        <v>0.49866666666666659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SUM(IF(ISBLANK($T$1),$J$23:$J$239,IF($I$23:$I$239=$T$1,$J$23:$J$239,0)))</f>
        <v>57</v>
      </c>
      <c r="AG10" s="874">
        <f t="array" ref="AG10">SUM(IF(ISBLANK(AG$23:AG$239),0,IF(ISNUMBER(VALUE(RIGHT(AG$23:AG$239,1))),RIGHT(AG$23:AG$239,1),0)*IF(ISBLANK($T$1),1,IF($I$23:$I$239=$T$1,1,0))))</f>
        <v>0</v>
      </c>
      <c r="AH10" s="874">
        <f t="array" ref="AH10">SUM(IF(ISBLANK(AH$23:AH$239),0,IF(ISNUMBER(VALUE(RIGHT(AH$23:AH$239,1))),RIGHT(AH$23:AH$239,1),0)*IF(ISBLANK($T$1),1,IF($I$23:$I$239=$T$1,1,0))))</f>
        <v>0</v>
      </c>
      <c r="AI10" s="874">
        <f t="array" ref="AI10">SUM(IF(ISBLANK(AI$23:AI$239),0,IF(ISNUMBER(VALUE(RIGHT(AI$23:AI$239,1))),RIGHT(AI$23:AI$239,1),0)*IF(ISBLANK($T$1),1,IF($I$23:$I$239=$T$1,1,0))))</f>
        <v>0</v>
      </c>
      <c r="AL10" s="874">
        <f t="array" ref="AL10">SUM(IF(ISBLANK(AL$23:AL$239),0,IF(ISNUMBER(VALUE(RIGHT(AL$23:AL$239,1))),RIGHT(AL$23:AL$239,1),0)*IF(ISBLANK($T$1),1,IF($I$23:$I$239=$T$1,1,0))))</f>
        <v>0</v>
      </c>
      <c r="AN10" s="874">
        <f t="array" ref="AN10">SUM(IF(ISBLANK(AN$23:AN$239),0,IF(ISNUMBER(VALUE(RIGHT(AN$23:AN$239,1))),RIGHT(AN$23:AN$239,1),0)*IF(ISBLANK($T$1),1,IF($I$23:$I$239=$T$1,1,0))))</f>
        <v>0</v>
      </c>
      <c r="AP10" s="874">
        <f t="array" ref="AP10">SUM(IF(ISBLANK(AP$23:AP$239),0,IF(ISNUMBER(VALUE(RIGHT(AP$23:AP$239,1))),RIGHT(AP$23:AP$239,1),0)*IF(ISBLANK($T$1),1,IF($I$23:$I$239=$T$1,1,0))))</f>
        <v>1</v>
      </c>
      <c r="AQ10" s="874">
        <f t="array" ref="AQ10">SUM(IF(ISBLANK(AQ$23:AQ$239),0,IF(ISNUMBER(VALUE(RIGHT(AQ$23:AQ$239,1))),RIGHT(AQ$23:AQ$239,1),0)*IF(ISBLANK($T$1),1,IF($I$23:$I$239=$T$1,1,0))))</f>
        <v>0</v>
      </c>
      <c r="AS10" s="874">
        <f t="array" ref="AS10">SUM(IF(ISBLANK(AS$23:AS$239),0,IF(ISNUMBER(VALUE(RIGHT(AS$23:AS$239,1))),RIGHT(AS$23:AS$239,1),0)*IF(ISBLANK($T$1),1,IF($I$23:$I$239=$T$1,1,0))))</f>
        <v>7</v>
      </c>
      <c r="AT10" s="874">
        <f t="array" ref="AT10">SUM(IF(ISBLANK(AT$23:AT$239),0,IF(ISNUMBER(VALUE(RIGHT(AT$23:AT$239,1))),RIGHT(AT$23:AT$239,1),0)*IF(ISBLANK($T$1),1,IF($I$23:$I$239=$T$1,1,0))))</f>
        <v>6</v>
      </c>
      <c r="AU10" s="874">
        <f t="array" ref="AU10">SUM(IF(ISBLANK(AU$23:AU$239),0,IF(ISNUMBER(VALUE(RIGHT(AU$23:AU$239,1))),RIGHT(AU$23:AU$239,1),0)*IF(ISBLANK($T$1),1,IF($I$23:$I$239=$T$1,1,0))))</f>
        <v>0</v>
      </c>
      <c r="AV10" s="874">
        <f t="array" ref="AV10">SUM(IF(ISBLANK(AV$23:AV$239),0,IF(ISNUMBER(VALUE(RIGHT(AV$23:AV$239,1))),RIGHT(AV$23:AV$239,1),0)*IF(ISBLANK($T$1),1,IF($I$23:$I$239=$T$1,1,0))))</f>
        <v>1</v>
      </c>
      <c r="AX10" s="874">
        <f t="array" ref="AX10">SUM(IF(ISBLANK(AX$23:AX$239),0,IF(ISNUMBER(VALUE(RIGHT(AX$23:AX$239,1))),RIGHT(AX$23:AX$239,1),0)*IF(ISBLANK($T$1),1,IF($I$23:$I$239=$T$1,1,0))))</f>
        <v>0</v>
      </c>
      <c r="BB10" s="874">
        <f t="array" ref="BB10">SUM(IF(ISBLANK(BB$23:BB$239),0,IF(ISNUMBER(VALUE(RIGHT(BB$23:BB$239,1))),RIGHT(BB$23:BB$239,1),0)*IF(ISBLANK($T$1),1,IF($I$23:$I$239=$T$1,1,0))))</f>
        <v>8</v>
      </c>
      <c r="BC10" s="874">
        <f t="array" ref="BC10">SUM(IF(ISBLANK(BC$23:BC$239),0,IF(ISNUMBER(VALUE(RIGHT(BC$23:BC$239,1))),RIGHT(BC$23:BC$239,1),0)*IF(ISBLANK($T$1),1,IF($I$23:$I$239=$T$1,1,0))))</f>
        <v>8</v>
      </c>
      <c r="BD10" s="874">
        <f t="array" ref="BD10">SUM(IF(ISBLANK(BD$23:BD$239),0,IF(ISNUMBER(VALUE(RIGHT(BD$23:BD$239,1))),RIGHT(BD$23:BD$239,1),0)*IF(ISBLANK($T$1),1,IF($I$23:$I$239=$T$1,1,0))))</f>
        <v>5</v>
      </c>
      <c r="BE10" s="874">
        <f t="array" ref="BE10">SUM(IF(ISBLANK(BE$26:BE$239),0,IF(ISNUMBER(VALUE(RIGHT(BE$26:BE$239,1))),RIGHT(BE$26:BE$239,1),0)*IF(ISBLANK($T$1),1,IF($I$23:$I$239=$T$1,1,0))))</f>
        <v>10</v>
      </c>
      <c r="BF10" s="874">
        <f t="array" ref="BF10">SUM(IF(ISBLANK(BF$23:BF$239),0,IF(ISNUMBER(VALUE(RIGHT(BF$23:BF$239,1))),RIGHT(BF$23:BF$239,1),0)*IF(ISBLANK($T$1),1,IF($I$23:$I$239=$T$1,1,0))))</f>
        <v>0</v>
      </c>
      <c r="BG10" s="874">
        <f t="array" ref="BG10">SUM(IF(ISBLANK(BG$23:BG$239),0,IF(ISNUMBER(VALUE(RIGHT(BG$23:BG$239,1))),RIGHT(BG$23:BG$239,1),0)*IF(ISBLANK($T$1),1,IF($I$23:$I$239=$T$1,1,0))))</f>
        <v>0</v>
      </c>
      <c r="BO10" s="874">
        <f t="array" ref="BO10">SUM(IF(ISBLANK(BO$23:BO$239),0,IF(ISNUMBER(VALUE(RIGHT(BO$23:BO$239,1))),RIGHT(BO$23:BO$239,1),0)*IF(ISBLANK($T$1),1,IF($I$23:$I$239=$T$1,1,0))))</f>
        <v>0</v>
      </c>
      <c r="BQ10" s="874">
        <f t="array" ref="BQ10">SUM(IF(ISBLANK(BQ$23:BQ$239),0,IF(ISNUMBER(VALUE(RIGHT(BQ$23:BQ$239,1))),RIGHT(BQ$23:BQ$239,1),0)*IF(ISBLANK($T$1),1,IF($I$23:$I$239=$T$1,1,0))))</f>
        <v>0</v>
      </c>
      <c r="BR10" s="874">
        <f t="array" ref="BR10">SUM(IF(ISBLANK(BR$23:BR$239),0,IF(ISNUMBER(VALUE(RIGHT(BR$23:BR$239,1))),RIGHT(BR$23:BR$239,1),0)*IF(ISBLANK($T$1),1,IF($I$23:$I$239=$T$1,1,0))))</f>
        <v>0</v>
      </c>
      <c r="BS10" s="874">
        <f t="array" ref="BS10">SUM(IF(ISBLANK(BS$40:BS$239),0,IF(ISNUMBER(VALUE(RIGHT(BS$40:BS$239,1))),RIGHT(BS$40:BS$239,1),0)*IF(ISBLANK($T$1),1,IF($I$23:$I$239=$T$1,1,0))))</f>
        <v>0</v>
      </c>
      <c r="BX10" s="874">
        <f t="array" ref="BX10">SUM(IF(ISBLANK(BX$23:BX$239),0,IF(ISNUMBER(VALUE(RIGHT(BX$23:BX$239,1))),RIGHT(BX$23:BX$239,1),0)*IF(ISBLANK($T$1),1,IF($I$23:$I$239=$T$1,1,0))))</f>
        <v>0</v>
      </c>
      <c r="BY10" s="874">
        <f t="array" ref="BY10">SUM(IF(ISBLANK(BY$23:BY$239),0,IF(ISNUMBER(VALUE(RIGHT(BY$23:BY$239,1))),RIGHT(BY$23:BY$239,1),0)*IF(ISBLANK($T$1),1,IF($I$23:$I$239=$T$1,1,0))))</f>
        <v>0</v>
      </c>
      <c r="BZ10" s="874">
        <f t="array" ref="BZ10">SUM(IF(ISBLANK(BZ$23:BZ$239),0,IF(ISNUMBER(VALUE(RIGHT(BZ$23:BZ$239,1))),RIGHT(BZ$23:BZ$239,1),0)*IF(ISBLANK($T$1),1,IF($I$23:$I$239=$T$1,1,0))))</f>
        <v>0</v>
      </c>
      <c r="CA10" s="874">
        <f t="array" ref="CA10">SUM(IF(ISBLANK(CA$23:CA$239),0,IF(ISNUMBER(VALUE(RIGHT(CA$23:CA$239,1))),RIGHT(CA$23:CA$239,1),0)*IF(ISBLANK($T$1),1,IF($I$23:$I$239=$T$1,1,0))))</f>
        <v>0</v>
      </c>
      <c r="CB10" s="874">
        <f t="array" ref="CB10">SUM(IF(ISBLANK(CB$23:CB$239),0,IF(ISNUMBER(VALUE(RIGHT(CB$23:CB$239,1))),RIGHT(CB$23:CB$239,1),0)*IF(ISBLANK($T$1),1,IF($I$23:$I$239=$T$1,1,0))))</f>
        <v>0</v>
      </c>
      <c r="CC10" s="874">
        <f t="array" ref="CC10">SUM(IF(ISBLANK(CC$23:CC$239),0,IF(ISNUMBER(VALUE(RIGHT(CC$23:CC$239,1))),RIGHT(CC$23:CC$239,1),0)*IF(ISBLANK($T$1),1,IF($I$23:$I$239=$T$1,1,0))))</f>
        <v>0</v>
      </c>
      <c r="CD10" s="874">
        <f t="array" ref="CD10">SUM(IF(ISBLANK(CD$23:CD$239),0,IF(ISNUMBER(VALUE(RIGHT(CD$23:CD$239,1))),RIGHT(CD$23:CD$239,1),0)*IF(ISBLANK($T$1),1,IF($I$23:$I$239=$T$1,1,0))))</f>
        <v>0</v>
      </c>
      <c r="CE10" s="874">
        <f t="array" ref="CE10">SUM(IF(ISBLANK(CE$23:CE$239),0,IF(ISNUMBER(VALUE(RIGHT(CE$23:CE$239,1))),RIGHT(CE$23:CE$239,1),0)*IF(ISBLANK($T$1),1,IF($I$23:$I$239=$T$1,1,0))))</f>
        <v>0</v>
      </c>
      <c r="CF10" s="874">
        <f t="array" ref="CF10">SUM(IF(ISBLANK(CF$23:CF$239),0,IF(ISNUMBER(VALUE(RIGHT(CF$23:CF$239,1))),RIGHT(CF$23:CF$239,1),0)*IF(ISBLANK($T$1),1,IF($I$23:$I$239=$T$1,1,0))))</f>
        <v>0</v>
      </c>
      <c r="CG10" s="874">
        <f t="array" ref="CG10">SUM(IF(ISBLANK(CG$23:CG$239),0,IF(ISNUMBER(VALUE(RIGHT(CG$23:CG$239,1))),RIGHT(CG$23:CG$239,1),0)*IF(ISBLANK($T$1),1,IF($I$23:$I$239=$T$1,1,0))))</f>
        <v>0</v>
      </c>
      <c r="CH10" s="874">
        <f t="array" ref="CH10">SUM(IF(ISBLANK(CH$23:CH$239),0,IF(ISNUMBER(VALUE(RIGHT(CH$23:CH$239,1))),RIGHT(CH$23:CH$239,1),0)*IF(ISBLANK($T$1),1,IF($I$23:$I$239=$T$1,1,0))))</f>
        <v>0</v>
      </c>
      <c r="CI10" s="874">
        <f t="array" ref="CI10">SUM(IF(ISBLANK(CI$23:CI$239),0,IF(ISNUMBER(VALUE(RIGHT(CI$23:CI$239,1))),RIGHT(CI$23:CI$239,1),0)*IF(ISBLANK($T$1),1,IF($I$23:$I$239=$T$1,1,0))))</f>
        <v>0</v>
      </c>
      <c r="CJ10" s="874">
        <f t="array" ref="CJ10">SUM(IF(ISBLANK(CJ$23:CJ$239),0,IF(ISNUMBER(VALUE(RIGHT(CJ$23:CJ$239,1))),RIGHT(CJ$23:CJ$239,1),0)*IF(ISBLANK($T$1),1,IF($I$23:$I$239=$T$1,1,0))))</f>
        <v>0</v>
      </c>
      <c r="CK10" s="874">
        <f t="array" ref="CK10">SUM(IF(ISBLANK(CK$23:CK$239),0,IF(ISNUMBER(VALUE(RIGHT(CK$23:CK$239,1))),RIGHT(CK$23:CK$239,1),0)*IF(ISBLANK($T$1),1,IF($I$23:$I$239=$T$1,1,0))))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1">AF10/AF2</f>
        <v>1.2954545454545454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L11" s="874">
        <f t="shared" si="11"/>
        <v>0</v>
      </c>
      <c r="AN11" s="874">
        <f t="shared" si="11"/>
        <v>0</v>
      </c>
      <c r="AP11" s="874">
        <f>AP10/AP2</f>
        <v>2.2727272727272728E-2</v>
      </c>
      <c r="AQ11" s="874">
        <f>AQ10/AQ2</f>
        <v>0</v>
      </c>
      <c r="AS11" s="874">
        <f t="shared" si="11"/>
        <v>0.15909090909090909</v>
      </c>
      <c r="AT11" s="874">
        <f>AT10/AT2</f>
        <v>0.13636363636363635</v>
      </c>
      <c r="AU11" s="874">
        <f>AU10/AU2</f>
        <v>0</v>
      </c>
      <c r="AV11" s="874">
        <f>AV10/AV2</f>
        <v>2.3255813953488372E-2</v>
      </c>
      <c r="AX11" s="874">
        <f>AX10/AX2</f>
        <v>0</v>
      </c>
      <c r="BB11" s="874">
        <f>BB10/BB2</f>
        <v>0.18181818181818182</v>
      </c>
      <c r="BC11" s="874">
        <f>BC10/BC2</f>
        <v>0.18181818181818182</v>
      </c>
      <c r="BD11" s="874">
        <f t="shared" ref="BD11" si="12">BD10/BD2</f>
        <v>0.11363636363636363</v>
      </c>
      <c r="BE11" s="874">
        <f>BE10/BE2</f>
        <v>0.26315789473684209</v>
      </c>
      <c r="BF11" s="874">
        <f>BF10/BF2</f>
        <v>0</v>
      </c>
      <c r="BG11" s="874" t="e">
        <f>BG10/BG2</f>
        <v>#DIV/0!</v>
      </c>
      <c r="BO11" s="874">
        <f>BO10/BO2</f>
        <v>0</v>
      </c>
      <c r="BQ11" s="874">
        <f>BQ10/BQ2</f>
        <v>0</v>
      </c>
      <c r="BR11" s="874">
        <f>BR10/BR2</f>
        <v>0</v>
      </c>
      <c r="BS11" s="874">
        <f t="shared" si="11"/>
        <v>0</v>
      </c>
      <c r="BX11" s="874" t="e">
        <f t="shared" ref="BX11:CD11" si="13">BX10/BX2</f>
        <v>#DIV/0!</v>
      </c>
      <c r="BY11" s="874" t="e">
        <f t="shared" si="13"/>
        <v>#DIV/0!</v>
      </c>
      <c r="BZ11" s="874" t="e">
        <f t="shared" si="13"/>
        <v>#DIV/0!</v>
      </c>
      <c r="CA11" s="874" t="e">
        <f t="shared" si="13"/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1"/>
        <v>#DIV/0!</v>
      </c>
      <c r="CF11" s="874" t="e">
        <f t="shared" si="11"/>
        <v>#DIV/0!</v>
      </c>
      <c r="CG11" s="874" t="e">
        <f t="shared" si="11"/>
        <v>#DIV/0!</v>
      </c>
      <c r="CH11" s="874" t="e">
        <f t="shared" si="11"/>
        <v>#DIV/0!</v>
      </c>
      <c r="CI11" s="874">
        <f t="shared" si="11"/>
        <v>0</v>
      </c>
      <c r="CJ11" s="874">
        <f t="shared" si="11"/>
        <v>0</v>
      </c>
      <c r="CK11" s="874">
        <f t="shared" si="11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SUM(IF(ISBLANK($T$1),$K$23:$K$239,IF($I$23:$I$239=$T$1,$K$23:$K$239,0)))</f>
        <v>70</v>
      </c>
      <c r="AG12" s="874">
        <f t="array" ref="AG12">SUM(IF(ISBLANK(AG$23:AG$239),0,$K23:$K239)*IF(ISBLANK($T$1),1,IF($I$23:$I$239=$T$1,1,0)))</f>
        <v>69</v>
      </c>
      <c r="AH12" s="874">
        <f t="array" ref="AH12">SUM(IF(ISBLANK(AH$23:AH$239),0,$K23:$K239)*IF(ISBLANK($T$1),1,IF($I$23:$I$239=$T$1,1,0)))</f>
        <v>70</v>
      </c>
      <c r="AI12" s="874">
        <f t="array" ref="AI12">SUM(IF(ISBLANK(AI$23:AI$239),0,$K23:$K239)*IF(ISBLANK($T$1),1,IF($I$23:$I$239=$T$1,1,0)))</f>
        <v>70</v>
      </c>
      <c r="AL12" s="874">
        <f t="array" ref="AL12">SUM(IF(ISBLANK(AL$23:AL$239),0,$K23:$K239)*IF(ISBLANK($T$1),1,IF($I$23:$I$239=$T$1,1,0)))</f>
        <v>70</v>
      </c>
      <c r="AN12" s="874">
        <f t="array" ref="AN12">SUM(IF(ISBLANK(AN$23:AN$239),0,$K23:$K239)*IF(ISBLANK($T$1),1,IF($I$23:$I$239=$T$1,1,0)))</f>
        <v>70</v>
      </c>
      <c r="AP12" s="874">
        <f t="array" ref="AP12">SUM(IF(ISBLANK(AP$23:AP$239),0,$K23:$K239)*IF(ISBLANK($T$1),1,IF($I$23:$I$239=$T$1,1,0)))</f>
        <v>70</v>
      </c>
      <c r="AQ12" s="874">
        <f t="array" ref="AQ12">SUM(IF(ISBLANK(AQ$23:AQ$239),0,$K23:$K239)*IF(ISBLANK($T$1),1,IF($I$23:$I$239=$T$1,1,0)))</f>
        <v>68</v>
      </c>
      <c r="AS12" s="874">
        <f t="array" ref="AS12">SUM(IF(ISBLANK(AS$23:AS$239),0,$K23:$K239)*IF(ISBLANK($T$1),1,IF($I$23:$I$239=$T$1,1,0)))</f>
        <v>70</v>
      </c>
      <c r="AT12" s="874">
        <f t="array" ref="AT12">SUM(IF(ISBLANK(AT$23:AT$239),0,$K23:$K239)*IF(ISBLANK($T$1),1,IF($I$23:$I$239=$T$1,1,0)))</f>
        <v>70</v>
      </c>
      <c r="AU12" s="874">
        <f t="array" ref="AU12">SUM(IF(ISBLANK(AU$23:AU$239),0,$K23:$K239)*IF(ISBLANK($T$1),1,IF($I$23:$I$239=$T$1,1,0)))</f>
        <v>70</v>
      </c>
      <c r="AV12" s="874">
        <f t="array" ref="AV12">SUM(IF(ISBLANK(AV$23:AV$239),0,$K23:$K239)*IF(ISBLANK($T$1),1,IF($I$23:$I$239=$T$1,1,0)))</f>
        <v>70</v>
      </c>
      <c r="AX12" s="874">
        <f t="array" ref="AX12">SUM(IF(ISBLANK(AX$23:AX$239),0,$K23:$K239)*IF(ISBLANK($T$1),1,IF($I$23:$I$239=$T$1,1,0)))</f>
        <v>70</v>
      </c>
      <c r="BB12" s="874">
        <f t="array" ref="BB12">SUM(IF(ISBLANK(BB$23:BB$239),0,$K23:$K239)*IF(ISBLANK($T$1),1,IF($I$23:$I$239=$T$1,1,0)))</f>
        <v>70</v>
      </c>
      <c r="BC12" s="874">
        <f t="array" ref="BC12">SUM(IF(ISBLANK(BC$23:BC$239),0,$K23:$K239)*IF(ISBLANK($T$1),1,IF($I$23:$I$239=$T$1,1,0)))</f>
        <v>70</v>
      </c>
      <c r="BD12" s="874">
        <f t="array" ref="BD12">SUM(IF(ISBLANK(BD$23:BD$239),0,$K23:$K239)*IF(ISBLANK($T$1),1,IF($I$23:$I$239=$T$1,1,0)))</f>
        <v>70</v>
      </c>
      <c r="BE12" s="874" t="e">
        <f t="array" ref="BE12">SUM(IF(ISBLANK(BE$26:BE$239),0,$K23:$K239)*IF(ISBLANK($T$1),1,IF($I$23:$I$239=$T$1,1,0)))</f>
        <v>#N/A</v>
      </c>
      <c r="BF12" s="874">
        <f t="array" ref="BF12">SUM(IF(ISBLANK(BF$23:BF$239),0,$K23:$K239)*IF(ISBLANK($T$1),1,IF($I$23:$I$239=$T$1,1,0)))</f>
        <v>1</v>
      </c>
      <c r="BG12" s="874">
        <f t="array" ref="BG12">SUM(IF(ISBLANK(BG$23:BG$239),0,$K23:$K239)*IF(ISBLANK($T$1),1,IF($I$23:$I$239=$T$1,1,0)))</f>
        <v>0</v>
      </c>
      <c r="BO12" s="874">
        <f t="array" ref="BO12">SUM(IF(ISBLANK(BO$23:BO$239),0,$K23:$K239)*IF(ISBLANK($T$1),1,IF($I$23:$I$239=$T$1,1,0)))</f>
        <v>2</v>
      </c>
      <c r="BQ12" s="874">
        <f t="array" ref="BQ12">SUM(IF(ISBLANK(BQ$23:BQ$239),0,$K23:$K239)*IF(ISBLANK($T$1),1,IF($I$23:$I$239=$T$1,1,0)))</f>
        <v>2</v>
      </c>
      <c r="BR12" s="874">
        <f t="array" ref="BR12">SUM(IF(ISBLANK(BR$23:BR$239),0,$K23:$K239)*IF(ISBLANK($T$1),1,IF($I$23:$I$239=$T$1,1,0)))</f>
        <v>2</v>
      </c>
      <c r="BS12" s="874" t="e">
        <f t="array" ref="BS12">SUM(IF(ISBLANK(BS$40:BS$239),0,$K23:$K239)*IF(ISBLANK($T$1),1,IF($I$23:$I$239=$T$1,1,0)))</f>
        <v>#N/A</v>
      </c>
      <c r="BX12" s="874">
        <f t="array" ref="BX12">SUM(IF(ISBLANK(BX$23:BX$239),0,$K23:$K239)*IF(ISBLANK($T$1),1,IF($I$23:$I$239=$T$1,1,0)))</f>
        <v>0</v>
      </c>
      <c r="BY12" s="874">
        <f t="array" ref="BY12">SUM(IF(ISBLANK(BY$23:BY$239),0,$K23:$K239)*IF(ISBLANK($T$1),1,IF($I$23:$I$239=$T$1,1,0)))</f>
        <v>0</v>
      </c>
      <c r="BZ12" s="874">
        <f t="array" ref="BZ12">SUM(IF(ISBLANK(BZ$23:BZ$239),0,$K23:$K239)*IF(ISBLANK($T$1),1,IF($I$23:$I$239=$T$1,1,0)))</f>
        <v>0</v>
      </c>
      <c r="CA12" s="874">
        <f t="array" ref="CA12">SUM(IF(ISBLANK(CA$23:CA$239),0,$K23:$K239)*IF(ISBLANK($T$1),1,IF($I$23:$I$239=$T$1,1,0)))</f>
        <v>0</v>
      </c>
      <c r="CB12" s="874">
        <f t="array" ref="CB12">SUM(IF(ISBLANK(CB$23:CB$239),0,$K23:$K239)*IF(ISBLANK($T$1),1,IF($I$23:$I$239=$T$1,1,0)))</f>
        <v>0</v>
      </c>
      <c r="CC12" s="874">
        <f t="array" ref="CC12">SUM(IF(ISBLANK(CC$23:CC$239),0,$K23:$K239)*IF(ISBLANK($T$1),1,IF($I$23:$I$239=$T$1,1,0)))</f>
        <v>0</v>
      </c>
      <c r="CD12" s="874">
        <f t="array" ref="CD12">SUM(IF(ISBLANK(CD$23:CD$239),0,$K23:$K239)*IF(ISBLANK($T$1),1,IF($I$23:$I$239=$T$1,1,0)))</f>
        <v>0</v>
      </c>
      <c r="CE12" s="874">
        <f t="array" ref="CE12">SUM(IF(ISBLANK(CE$23:CE$239),0,$K23:$K239)*IF(ISBLANK($T$1),1,IF($I$23:$I$239=$T$1,1,0)))</f>
        <v>0</v>
      </c>
      <c r="CF12" s="874">
        <f t="array" ref="CF12">SUM(IF(ISBLANK(CF$23:CF$239),0,$K23:$K239)*IF(ISBLANK($T$1),1,IF($I$23:$I$239=$T$1,1,0)))</f>
        <v>0</v>
      </c>
      <c r="CG12" s="874">
        <f t="array" ref="CG12">SUM(IF(ISBLANK(CG$23:CG$239),0,$K23:$K239)*IF(ISBLANK($T$1),1,IF($I$23:$I$239=$T$1,1,0)))</f>
        <v>0</v>
      </c>
      <c r="CH12" s="874">
        <f t="array" ref="CH12">SUM(IF(ISBLANK(CH$23:CH$239),0,$K23:$K239)*IF(ISBLANK($T$1),1,IF($I$23:$I$239=$T$1,1,0)))</f>
        <v>0</v>
      </c>
      <c r="CI12" s="874">
        <f t="array" ref="CI12">SUM(IF(ISBLANK(CI$23:CI$239),0,$K23:$K239)*IF(ISBLANK($T$1),1,IF($I$23:$I$239=$T$1,1,0)))</f>
        <v>21</v>
      </c>
      <c r="CJ12" s="874">
        <f t="array" ref="CJ12">SUM(IF(ISBLANK(CJ$23:CJ$239),0,$K23:$K239)*IF(ISBLANK($T$1),1,IF($I$23:$I$239=$T$1,1,0)))</f>
        <v>21</v>
      </c>
      <c r="CK12" s="874">
        <f t="array" ref="CK12">SUM(IF(ISBLANK(CK$23:CK$239),0,$K23:$K239)*IF(ISBLANK($T$1),1,IF($I$23:$I$239=$T$1,1,0)))</f>
        <v>21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4">AF12/AF2</f>
        <v>1.5909090909090908</v>
      </c>
      <c r="AG13" s="874">
        <f t="shared" si="14"/>
        <v>1.6829268292682926</v>
      </c>
      <c r="AH13" s="874">
        <f t="shared" si="14"/>
        <v>1.5909090909090908</v>
      </c>
      <c r="AI13" s="874">
        <f t="shared" si="14"/>
        <v>1.5909090909090908</v>
      </c>
      <c r="AL13" s="874">
        <f t="shared" si="14"/>
        <v>1.6279069767441861</v>
      </c>
      <c r="AN13" s="874">
        <f t="shared" si="14"/>
        <v>1.6279069767441861</v>
      </c>
      <c r="AP13" s="874">
        <f>AP12/AP2</f>
        <v>1.5909090909090908</v>
      </c>
      <c r="AQ13" s="874">
        <f>AQ12/AQ2</f>
        <v>1.7</v>
      </c>
      <c r="AS13" s="874">
        <f t="shared" si="14"/>
        <v>1.5909090909090908</v>
      </c>
      <c r="AT13" s="874">
        <f>AT12/AT2</f>
        <v>1.5909090909090908</v>
      </c>
      <c r="AU13" s="874">
        <f>AU12/AU2</f>
        <v>1.5909090909090908</v>
      </c>
      <c r="AV13" s="874">
        <f>AV12/AV2</f>
        <v>1.6279069767441861</v>
      </c>
      <c r="AX13" s="874">
        <f>AX12/AX2</f>
        <v>1.5909090909090908</v>
      </c>
      <c r="BB13" s="874">
        <f>BB12/BB2</f>
        <v>1.5909090909090908</v>
      </c>
      <c r="BC13" s="874">
        <f>BC12/BC2</f>
        <v>1.5909090909090908</v>
      </c>
      <c r="BD13" s="874">
        <f t="shared" ref="BD13" si="15">BD12/BD2</f>
        <v>1.5909090909090908</v>
      </c>
      <c r="BE13" s="874" t="e">
        <f>BE12/BE2</f>
        <v>#N/A</v>
      </c>
      <c r="BF13" s="874">
        <f>BF12/BF2</f>
        <v>1</v>
      </c>
      <c r="BG13" s="874" t="e">
        <f>BG12/BG2</f>
        <v>#DIV/0!</v>
      </c>
      <c r="BO13" s="874">
        <f>BO12/BO2</f>
        <v>2</v>
      </c>
      <c r="BQ13" s="874">
        <f>BQ12/BQ2</f>
        <v>2</v>
      </c>
      <c r="BR13" s="874">
        <f>BR12/BR2</f>
        <v>2</v>
      </c>
      <c r="BS13" s="874" t="e">
        <f t="shared" si="14"/>
        <v>#N/A</v>
      </c>
      <c r="BX13" s="874" t="e">
        <f t="shared" ref="BX13:CD13" si="16">BX12/BX2</f>
        <v>#DIV/0!</v>
      </c>
      <c r="BY13" s="874" t="e">
        <f t="shared" si="16"/>
        <v>#DIV/0!</v>
      </c>
      <c r="BZ13" s="874" t="e">
        <f t="shared" si="16"/>
        <v>#DIV/0!</v>
      </c>
      <c r="CA13" s="874" t="e">
        <f t="shared" si="16"/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4"/>
        <v>#DIV/0!</v>
      </c>
      <c r="CF13" s="874" t="e">
        <f t="shared" si="14"/>
        <v>#DIV/0!</v>
      </c>
      <c r="CG13" s="874" t="e">
        <f t="shared" si="14"/>
        <v>#DIV/0!</v>
      </c>
      <c r="CH13" s="874" t="e">
        <f t="shared" si="14"/>
        <v>#DIV/0!</v>
      </c>
      <c r="CI13" s="874">
        <f t="shared" si="14"/>
        <v>1.3125</v>
      </c>
      <c r="CJ13" s="874">
        <f t="shared" si="14"/>
        <v>1.3125</v>
      </c>
      <c r="CK13" s="874">
        <f t="shared" si="14"/>
        <v>1.4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L14" si="17">AG15+AG16</f>
        <v>3</v>
      </c>
      <c r="AH14" s="849">
        <f t="shared" si="17"/>
        <v>41</v>
      </c>
      <c r="AI14" s="849">
        <f t="shared" si="17"/>
        <v>0</v>
      </c>
      <c r="AJ14" s="849">
        <f t="shared" si="17"/>
        <v>38</v>
      </c>
      <c r="AK14" s="849">
        <f t="shared" ref="AK14" si="18">AK15+AK16</f>
        <v>28</v>
      </c>
      <c r="AL14" s="849">
        <f t="shared" si="17"/>
        <v>13</v>
      </c>
      <c r="AM14" s="902">
        <f t="shared" ref="AM14:BE14" si="19">AM15+AM16</f>
        <v>10</v>
      </c>
      <c r="AN14" s="902">
        <f t="shared" si="19"/>
        <v>2</v>
      </c>
      <c r="AO14" s="902">
        <f t="shared" si="19"/>
        <v>10</v>
      </c>
      <c r="AP14" s="902">
        <f t="shared" si="19"/>
        <v>39</v>
      </c>
      <c r="AQ14" s="902">
        <f t="shared" si="19"/>
        <v>10</v>
      </c>
      <c r="AR14" s="902">
        <f t="shared" si="19"/>
        <v>42</v>
      </c>
      <c r="AS14" s="902">
        <f t="shared" si="19"/>
        <v>42</v>
      </c>
      <c r="AT14" s="902">
        <f t="shared" si="19"/>
        <v>39</v>
      </c>
      <c r="AU14" s="902">
        <f t="shared" si="19"/>
        <v>14</v>
      </c>
      <c r="AV14" s="902">
        <f t="shared" si="19"/>
        <v>19</v>
      </c>
      <c r="AW14" s="902">
        <f t="shared" si="19"/>
        <v>43</v>
      </c>
      <c r="AX14" s="902">
        <f t="shared" si="19"/>
        <v>24</v>
      </c>
      <c r="AY14" s="902">
        <f t="shared" si="19"/>
        <v>34</v>
      </c>
      <c r="AZ14" s="902">
        <f t="shared" ref="AZ14" si="20">AZ15+AZ16</f>
        <v>2</v>
      </c>
      <c r="BA14" s="902">
        <f t="shared" si="19"/>
        <v>32</v>
      </c>
      <c r="BB14" s="902">
        <f t="shared" si="19"/>
        <v>35</v>
      </c>
      <c r="BC14" s="902">
        <f t="shared" si="19"/>
        <v>36</v>
      </c>
      <c r="BD14" s="902">
        <f t="shared" si="19"/>
        <v>22</v>
      </c>
      <c r="BE14" s="902">
        <f t="shared" si="19"/>
        <v>37</v>
      </c>
      <c r="BF14" s="889"/>
      <c r="BG14" s="889"/>
      <c r="BH14" s="889"/>
      <c r="BI14" s="889"/>
      <c r="BJ14" s="889"/>
      <c r="BK14" s="889"/>
      <c r="BL14" s="889"/>
      <c r="BM14" s="889"/>
      <c r="BN14" s="889"/>
      <c r="BO14" s="889"/>
      <c r="BP14" s="889"/>
      <c r="BQ14" s="889"/>
      <c r="BR14" s="889"/>
      <c r="BS14" s="889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AVERAGEIFS($Q$23:$Q$206,$H$23:$H$206,"H",$I$23:$I$206,Table!$C$1)</f>
        <v>-3.9523809523809524E-2</v>
      </c>
      <c r="S15" s="858">
        <f>AVERAGEIFS($Q$23:$Q$206,$H$23:$H$206,"A",$I$23:$I$206,Table!$C$1)</f>
        <v>-0.30380952380952386</v>
      </c>
      <c r="AF15" s="848" t="s">
        <v>821</v>
      </c>
      <c r="AG15" s="850">
        <f t="array" ref="AG15">SUM(IF(LEFT(AG23:AG160,1)="X",1,0))</f>
        <v>3</v>
      </c>
      <c r="AH15" s="850">
        <f t="array" ref="AH15">SUM(IF(LEFT(AH23:AH160,1)="X",1,0))</f>
        <v>41</v>
      </c>
      <c r="AI15" s="850">
        <f t="array" ref="AI15">SUM(IF(LEFT(AI23:AI160,1)="X",1,0))</f>
        <v>0</v>
      </c>
      <c r="AJ15" s="850">
        <f t="array" ref="AJ15">SUM(IF(LEFT(AJ23:AJ160,1)="X",1,0))</f>
        <v>38</v>
      </c>
      <c r="AK15" s="850">
        <f t="array" ref="AK15">SUM(IF(LEFT(AK23:AK160,1)="X",1,0))</f>
        <v>26</v>
      </c>
      <c r="AL15" s="850">
        <f t="array" ref="AL15">SUM(IF(LEFT(AL23:AL160,1)="X",1,0))</f>
        <v>10</v>
      </c>
      <c r="AM15" s="903">
        <f t="array" ref="AM15">SUM(IF(LEFT(AM23:AM160,1)="X",1,0))</f>
        <v>5</v>
      </c>
      <c r="AN15" s="903">
        <f t="array" ref="AN15">SUM(IF(LEFT(AN23:AN160,1)="X",1,0))</f>
        <v>2</v>
      </c>
      <c r="AO15" s="903">
        <f t="array" ref="AO15">SUM(IF(LEFT(AO23:AO160,1)="X",1,0))</f>
        <v>2</v>
      </c>
      <c r="AP15" s="903">
        <f t="array" ref="AP15">SUM(IF(LEFT(AP23:AP160,1)="X",1,0))</f>
        <v>39</v>
      </c>
      <c r="AQ15" s="903">
        <f t="array" ref="AQ15">SUM(IF(LEFT(AQ23:AQ160,1)="X",1,0))</f>
        <v>3</v>
      </c>
      <c r="AR15" s="903">
        <f t="array" ref="AR15">SUM(IF(LEFT(AR23:AR160,1)="X",1,0))</f>
        <v>39</v>
      </c>
      <c r="AS15" s="903">
        <f t="array" ref="AS15">SUM(IF(LEFT(AS23:AS160,1)="X",1,0))</f>
        <v>36</v>
      </c>
      <c r="AT15" s="903">
        <f t="array" ref="AT15">SUM(IF(LEFT(AT23:AT160,1)="X",1,0))</f>
        <v>36</v>
      </c>
      <c r="AU15" s="903">
        <f t="array" ref="AU15">SUM(IF(LEFT(AU23:AU160,1)="X",1,0))</f>
        <v>4</v>
      </c>
      <c r="AV15" s="903">
        <f t="array" ref="AV15">SUM(IF(LEFT(AV23:AV160,1)="X",1,0))</f>
        <v>14</v>
      </c>
      <c r="AW15" s="903">
        <f t="array" ref="AW15">SUM(IF(LEFT(AW23:AW160,1)="X",1,0))</f>
        <v>40</v>
      </c>
      <c r="AX15" s="903">
        <f t="array" ref="AX15">SUM(IF(LEFT(AX23:AX160,1)="X",1,0))</f>
        <v>20</v>
      </c>
      <c r="AY15" s="903">
        <f t="array" ref="AY15">SUM(IF(LEFT(AY23:AY160,1)="X",1,0))</f>
        <v>20</v>
      </c>
      <c r="AZ15" s="903">
        <f t="array" ref="AZ15">SUM(IF(LEFT(AZ23:AZ160,1)="X",1,0))</f>
        <v>2</v>
      </c>
      <c r="BA15" s="903">
        <f t="array" ref="BA15">SUM(IF(LEFT(BA23:BA160,1)="X",1,0))</f>
        <v>24</v>
      </c>
      <c r="BB15" s="903">
        <f t="array" ref="BB15">SUM(IF(LEFT(BB23:BB160,1)="X",1,0))</f>
        <v>11</v>
      </c>
      <c r="BC15" s="903">
        <f t="array" ref="BC15">SUM(IF(LEFT(BC23:BC160,1)="X",1,0))</f>
        <v>18</v>
      </c>
      <c r="BD15" s="903">
        <f t="array" ref="BD15">SUM(IF(LEFT(BD23:BD160,1)="X",1,0))</f>
        <v>14</v>
      </c>
      <c r="BE15" s="903">
        <f t="array" ref="BE15">SUM(IF(LEFT(BE23:BE160,1)="X",1,0))</f>
        <v>37</v>
      </c>
      <c r="BF15" s="889"/>
      <c r="BG15" s="889"/>
      <c r="BH15" s="889"/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AVERAGEIF($H$23:$H$203,"=H",$J$23:$J$203)</f>
        <v>1.2272727272727273</v>
      </c>
      <c r="J16" s="858">
        <f>AVERAGEIF($H$23:$H$207,"=H",$K$23:$K$207)</f>
        <v>1.0454545454545454</v>
      </c>
      <c r="K16" s="858">
        <f>I16-J16</f>
        <v>0.18181818181818188</v>
      </c>
      <c r="L16" s="857">
        <f>COUNTIFS($L$23:$L$203,"=W",$H$23:$H$203,"=H")</f>
        <v>11</v>
      </c>
      <c r="M16" s="857">
        <f>COUNTIFS($L$23:$L$203,"=D",$H$23:$H$203,"=H")</f>
        <v>4</v>
      </c>
      <c r="N16" s="863">
        <f>COUNTIFS($L$23:$L$203,"=L",$H$23:$H$203,"=H")</f>
        <v>7</v>
      </c>
      <c r="O16" s="858">
        <f>SUM(I16:J16)</f>
        <v>2.2727272727272725</v>
      </c>
      <c r="Q16" s="861" t="s">
        <v>212</v>
      </c>
      <c r="R16" s="858">
        <f>AVERAGEIFS($S$23:$S$204,$H$23:$H$204,"H",$I$23:$I$204,Table!$C$1)</f>
        <v>2.4199999999999995</v>
      </c>
      <c r="S16" s="858">
        <f>AVERAGEIFS($S$23:$S$204,$H$23:$H$204,"A",$I$23:$I$204,Table!$C$1)</f>
        <v>2.440952380952381</v>
      </c>
      <c r="AF16" s="848" t="s">
        <v>724</v>
      </c>
      <c r="AG16" s="850">
        <f t="array" ref="AG16">SUM(IF(LEFT(AG23:AG161,1)="s",1,0))</f>
        <v>0</v>
      </c>
      <c r="AH16" s="850">
        <f t="array" ref="AH16">SUM(IF(LEFT(AH23:AH161,1)="s",1,0))</f>
        <v>0</v>
      </c>
      <c r="AI16" s="850">
        <f t="array" ref="AI16">SUM(IF(LEFT(AI23:AI161,1)="s",1,0))</f>
        <v>0</v>
      </c>
      <c r="AJ16" s="850">
        <f t="array" ref="AJ16">SUM(IF(LEFT(AJ23:AJ161,1)="s",1,0))</f>
        <v>0</v>
      </c>
      <c r="AK16" s="850">
        <f t="array" ref="AK16">SUM(IF(LEFT(AK23:AK161,1)="s",1,0))</f>
        <v>2</v>
      </c>
      <c r="AL16" s="850">
        <f t="array" ref="AL16">SUM(IF(LEFT(AL23:AL161,1)="s",1,0))</f>
        <v>3</v>
      </c>
      <c r="AM16" s="903">
        <f t="array" ref="AM16">SUM(IF(LEFT(AM23:AM161,1)="s",1,0))</f>
        <v>5</v>
      </c>
      <c r="AN16" s="903">
        <f t="array" ref="AN16">SUM(IF(LEFT(AN23:AN161,1)="s",1,0))</f>
        <v>0</v>
      </c>
      <c r="AO16" s="903">
        <f t="array" ref="AO16">SUM(IF(LEFT(AO23:AO161,1)="s",1,0))</f>
        <v>8</v>
      </c>
      <c r="AP16" s="903">
        <f t="array" ref="AP16">SUM(IF(LEFT(AP23:AP161,1)="s",1,0))</f>
        <v>0</v>
      </c>
      <c r="AQ16" s="903">
        <f t="array" ref="AQ16">SUM(IF(LEFT(AQ23:AQ161,1)="s",1,0))</f>
        <v>7</v>
      </c>
      <c r="AR16" s="903">
        <f t="array" ref="AR16">SUM(IF(LEFT(AR23:AR161,1)="s",1,0))</f>
        <v>3</v>
      </c>
      <c r="AS16" s="903">
        <f t="array" ref="AS16">SUM(IF(LEFT(AS23:AS161,1)="s",1,0))</f>
        <v>6</v>
      </c>
      <c r="AT16" s="903">
        <f t="array" ref="AT16">SUM(IF(LEFT(AT23:AT161,1)="s",1,0))</f>
        <v>3</v>
      </c>
      <c r="AU16" s="903">
        <f t="array" ref="AU16">SUM(IF(LEFT(AU23:AU161,1)="s",1,0))</f>
        <v>10</v>
      </c>
      <c r="AV16" s="903">
        <f t="array" ref="AV16">SUM(IF(LEFT(AV23:AV161,1)="s",1,0))</f>
        <v>5</v>
      </c>
      <c r="AW16" s="903">
        <f t="array" ref="AW16">SUM(IF(LEFT(AW23:AW161,1)="s",1,0))</f>
        <v>3</v>
      </c>
      <c r="AX16" s="903">
        <f t="array" ref="AX16">SUM(IF(LEFT(AX23:AX161,1)="s",1,0))</f>
        <v>4</v>
      </c>
      <c r="AY16" s="903">
        <f t="array" ref="AY16">SUM(IF(LEFT(AY23:AY161,1)="s",1,0))</f>
        <v>14</v>
      </c>
      <c r="AZ16" s="903">
        <f t="array" ref="AZ16">SUM(IF(LEFT(AZ23:AZ161,1)="s",1,0))</f>
        <v>0</v>
      </c>
      <c r="BA16" s="903">
        <f t="array" ref="BA16">SUM(IF(LEFT(BA23:BA161,1)="s",1,0))</f>
        <v>8</v>
      </c>
      <c r="BB16" s="903">
        <f t="array" ref="BB16">SUM(IF(LEFT(BB23:BB161,1)="s",1,0))</f>
        <v>24</v>
      </c>
      <c r="BC16" s="903">
        <f t="array" ref="BC16">SUM(IF(LEFT(BC23:BC161,1)="s",1,0))</f>
        <v>18</v>
      </c>
      <c r="BD16" s="903">
        <f t="array" ref="BD16">SUM(IF(LEFT(BD23:BD161,1)="s",1,0))</f>
        <v>8</v>
      </c>
      <c r="BE16" s="903">
        <f t="array" ref="BE16">SUM(IF(LEFT(BE23:BE161,1)="s",1,0))</f>
        <v>0</v>
      </c>
      <c r="BF16" s="889"/>
      <c r="BG16" s="889"/>
      <c r="BH16" s="889"/>
      <c r="BI16" s="889"/>
      <c r="BJ16" s="889"/>
      <c r="BK16" s="889"/>
      <c r="BL16" s="889"/>
      <c r="BM16" s="889"/>
      <c r="BN16" s="889"/>
      <c r="BO16" s="889"/>
      <c r="BP16" s="889"/>
      <c r="BQ16" s="889"/>
      <c r="BR16" s="889"/>
      <c r="BS16" s="889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AVERAGEIF($H$23:$H$203,"=A",$J$23:$J$203)</f>
        <v>1.3636363636363635</v>
      </c>
      <c r="J17" s="860">
        <f>AVERAGEIF($H$23:$H$207,"=A",$K$23:$K$207)</f>
        <v>2.1363636363636362</v>
      </c>
      <c r="K17" s="858">
        <f>I17-J17</f>
        <v>-0.77272727272727271</v>
      </c>
      <c r="L17" s="857">
        <f>COUNTIFS($L$23:$L$203,"=W",$H$23:$H$203,"=A")</f>
        <v>4</v>
      </c>
      <c r="M17" s="857">
        <f>COUNTIFS($L$23:$L$203,"=D",$H$23:$H$203,"=A")</f>
        <v>6</v>
      </c>
      <c r="N17" s="863">
        <f>COUNTIFS($L$23:$L$203,"=L",$H$23:$H$203,"=A")</f>
        <v>12</v>
      </c>
      <c r="O17" s="858">
        <f>SUM(I17:J17)</f>
        <v>3.5</v>
      </c>
      <c r="Q17" s="848"/>
      <c r="R17" s="859"/>
      <c r="S17" s="855"/>
      <c r="AF17" s="848" t="s">
        <v>718</v>
      </c>
      <c r="AG17" s="850">
        <f t="array" ref="AG17">SUM(IF(ISNUMBER(VALUE(RIGHT(AG23:AG169,1))),VALUE(RIGHT(AG23:AG169,1)),0))</f>
        <v>0</v>
      </c>
      <c r="AH17" s="850">
        <f t="array" ref="AH17">SUM(IF(ISNUMBER(VALUE(RIGHT(AH23:AH169,1))),VALUE(RIGHT(AH23:AH169,1)),0))</f>
        <v>0</v>
      </c>
      <c r="AI17" s="850">
        <f t="array" ref="AI17">SUM(IF(ISNUMBER(VALUE(RIGHT(AI23:AI169,1))),VALUE(RIGHT(AI23:AI169,1)),0))</f>
        <v>0</v>
      </c>
      <c r="AJ17" s="850">
        <f t="array" ref="AJ17">SUM(IF(ISNUMBER(VALUE(RIGHT(AJ23:AJ169,1))),VALUE(RIGHT(AJ23:AJ169,1)),0))</f>
        <v>3</v>
      </c>
      <c r="AK17" s="850">
        <f t="array" ref="AK17">SUM(IF(ISNUMBER(VALUE(RIGHT(AK23:AK169,1))),VALUE(RIGHT(AK23:AK169,1)),0))</f>
        <v>1</v>
      </c>
      <c r="AL17" s="850">
        <f t="array" ref="AL17">SUM(IF(ISNUMBER(VALUE(RIGHT(AL23:AL169,1))),VALUE(RIGHT(AL23:AL169,1)),0))</f>
        <v>0</v>
      </c>
      <c r="AM17" s="903">
        <f t="array" ref="AM17">SUM(IF(ISNUMBER(VALUE(RIGHT(AM23:AM169,1))),VALUE(RIGHT(AM23:AM169,1)),0))</f>
        <v>1</v>
      </c>
      <c r="AN17" s="903">
        <f t="array" ref="AN17">SUM(IF(ISNUMBER(VALUE(RIGHT(AN23:AN169,1))),VALUE(RIGHT(AN23:AN169,1)),0))</f>
        <v>0</v>
      </c>
      <c r="AO17" s="903">
        <f t="array" ref="AO17">SUM(IF(ISNUMBER(VALUE(RIGHT(AO23:AO169,1))),VALUE(RIGHT(AO23:AO169,1)),0))</f>
        <v>0</v>
      </c>
      <c r="AP17" s="903">
        <f t="array" ref="AP17">SUM(IF(ISNUMBER(VALUE(RIGHT(AP23:AP169,1))),VALUE(RIGHT(AP23:AP169,1)),0))</f>
        <v>1</v>
      </c>
      <c r="AQ17" s="903">
        <f t="array" ref="AQ17">SUM(IF(ISNUMBER(VALUE(RIGHT(AQ23:AQ169,1))),VALUE(RIGHT(AQ23:AQ169,1)),0))</f>
        <v>0</v>
      </c>
      <c r="AR17" s="903">
        <f t="array" ref="AR17">SUM(IF(ISNUMBER(VALUE(RIGHT(AR23:AR169,1))),VALUE(RIGHT(AR23:AR169,1)),0))</f>
        <v>0</v>
      </c>
      <c r="AS17" s="903">
        <f t="array" ref="AS17">SUM(IF(ISNUMBER(VALUE(RIGHT(AS23:AS169,1))),VALUE(RIGHT(AS23:AS169,1)),0))</f>
        <v>7</v>
      </c>
      <c r="AT17" s="903">
        <f t="array" ref="AT17">SUM(IF(ISNUMBER(VALUE(RIGHT(AT23:AT169,1))),VALUE(RIGHT(AT23:AT169,1)),0))</f>
        <v>6</v>
      </c>
      <c r="AU17" s="903">
        <f t="array" ref="AU17">SUM(IF(ISNUMBER(VALUE(RIGHT(AU23:AU169,1))),VALUE(RIGHT(AU23:AU169,1)),0))</f>
        <v>0</v>
      </c>
      <c r="AV17" s="903">
        <f t="array" ref="AV17">SUM(IF(ISNUMBER(VALUE(RIGHT(AV23:AV169,1))),VALUE(RIGHT(AV23:AV169,1)),0))</f>
        <v>1</v>
      </c>
      <c r="AW17" s="903">
        <f t="array" ref="AW17">SUM(IF(ISNUMBER(VALUE(RIGHT(AW23:AW169,1))),VALUE(RIGHT(AW23:AW169,1)),0))</f>
        <v>4</v>
      </c>
      <c r="AX17" s="903">
        <f t="array" ref="AX17">SUM(IF(ISNUMBER(VALUE(RIGHT(AX23:AX169,1))),VALUE(RIGHT(AX23:AX169,1)),0))</f>
        <v>0</v>
      </c>
      <c r="AY17" s="903">
        <f t="array" ref="AY17">SUM(IF(ISNUMBER(VALUE(RIGHT(AY23:AY169,1))),VALUE(RIGHT(AY23:AY169,1)),0))</f>
        <v>1</v>
      </c>
      <c r="AZ17" s="903">
        <f t="array" ref="AZ17">SUM(IF(ISNUMBER(VALUE(RIGHT(AZ23:AZ169,1))),VALUE(RIGHT(AZ23:AZ169,1)),0))</f>
        <v>0</v>
      </c>
      <c r="BA17" s="903">
        <f t="array" ref="BA17">SUM(IF(ISNUMBER(VALUE(RIGHT(BA23:BA169,1))),VALUE(RIGHT(BA23:BA169,1)),0))</f>
        <v>0</v>
      </c>
      <c r="BB17" s="903">
        <f t="array" ref="BB17">SUM(IF(ISNUMBER(VALUE(RIGHT(BB23:BB169,1))),VALUE(RIGHT(BB23:BB169,1)),0))</f>
        <v>8</v>
      </c>
      <c r="BC17" s="903">
        <f t="array" ref="BC17">SUM(IF(ISNUMBER(VALUE(RIGHT(BC23:BC169,1))),VALUE(RIGHT(BC23:BC169,1)),0))</f>
        <v>8</v>
      </c>
      <c r="BD17" s="903">
        <f t="array" ref="BD17">SUM(IF(ISNUMBER(VALUE(RIGHT(BD23:BD169,1))),VALUE(RIGHT(BD23:BD169,1)),0))</f>
        <v>5</v>
      </c>
      <c r="BE17" s="903">
        <f t="array" ref="BE17">SUM(IF(ISNUMBER(VALUE(RIGHT(BE23:BE169,1))),VALUE(RIGHT(BE23:BE169,1)),0))</f>
        <v>11</v>
      </c>
      <c r="BF17" s="889"/>
      <c r="BG17" s="889"/>
      <c r="BH17" s="889"/>
      <c r="BI17" s="889"/>
      <c r="BJ17" s="889"/>
      <c r="BK17" s="889"/>
      <c r="BL17" s="889"/>
      <c r="BM17" s="889"/>
      <c r="BN17" s="889"/>
      <c r="BO17" s="889"/>
      <c r="BP17" s="889"/>
      <c r="BQ17" s="889"/>
      <c r="BR17" s="889"/>
      <c r="BS17" s="889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AVERAGEIFS($Y$23:$Y$206,$H$23:$H$206,"H",$I$23:$I$206,Table!$C$1)</f>
        <v>3.9047619047619047</v>
      </c>
      <c r="S18" s="858">
        <f>AVERAGEIFS($Y$23:$Y$206,$H$23:$H$206,"A",$I$23:$I$206,Table!$C$1)</f>
        <v>3.6190476190476191</v>
      </c>
      <c r="AG18" s="885">
        <v>21</v>
      </c>
      <c r="AH18" s="885">
        <v>31</v>
      </c>
      <c r="AI18" s="885">
        <v>37</v>
      </c>
      <c r="AJ18" s="885">
        <v>2</v>
      </c>
      <c r="AK18" s="885">
        <v>3</v>
      </c>
      <c r="AL18" s="885">
        <v>4</v>
      </c>
      <c r="AM18" s="885">
        <v>6</v>
      </c>
      <c r="AN18" s="885">
        <v>19</v>
      </c>
      <c r="AO18" s="885">
        <v>22</v>
      </c>
      <c r="AP18" s="885">
        <v>23</v>
      </c>
      <c r="AQ18" s="885">
        <v>40</v>
      </c>
      <c r="AR18" s="885">
        <v>5</v>
      </c>
      <c r="AS18" s="885">
        <v>7</v>
      </c>
      <c r="AT18" s="885">
        <v>8</v>
      </c>
      <c r="AU18" s="885">
        <v>10</v>
      </c>
      <c r="AV18" s="885">
        <v>11</v>
      </c>
      <c r="AW18" s="885">
        <v>14</v>
      </c>
      <c r="AX18" s="885">
        <v>16</v>
      </c>
      <c r="AY18" s="885">
        <v>17</v>
      </c>
      <c r="AZ18" s="885">
        <v>24</v>
      </c>
      <c r="BA18" s="885">
        <v>41</v>
      </c>
      <c r="BB18" s="885">
        <v>9</v>
      </c>
      <c r="BC18" s="885">
        <v>15</v>
      </c>
      <c r="BD18" s="885">
        <v>18</v>
      </c>
      <c r="BE18" s="885">
        <v>20</v>
      </c>
      <c r="BF18" s="885"/>
      <c r="BH18" s="885"/>
      <c r="BI18" s="885"/>
      <c r="BJ18" s="876"/>
      <c r="BK18" s="876"/>
      <c r="BL18" s="885"/>
      <c r="BM18" s="876"/>
      <c r="BN18" s="876"/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AVERAGEIFS($Z$23:$Z$204,$H$23:$H$204,"H",$I$23:$I$204,Table!$C$1)</f>
        <v>3.6666666666666665</v>
      </c>
      <c r="S19" s="858">
        <f>AVERAGEIFS($Z$23:$Z$204,$H$23:$H$204,"A",$I$23:$I$204,Table!$C$1)</f>
        <v>5.0476190476190474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1998</v>
      </c>
      <c r="AK19" s="901" t="s">
        <v>1986</v>
      </c>
      <c r="AL19" s="901" t="s">
        <v>1984</v>
      </c>
      <c r="AM19" s="901" t="s">
        <v>1988</v>
      </c>
      <c r="AN19" s="901" t="s">
        <v>1984</v>
      </c>
      <c r="AO19" s="901" t="s">
        <v>1984</v>
      </c>
      <c r="AP19" s="901" t="s">
        <v>1984</v>
      </c>
      <c r="AQ19" s="901" t="s">
        <v>1988</v>
      </c>
      <c r="AR19" s="901" t="s">
        <v>1990</v>
      </c>
      <c r="AS19" s="901" t="s">
        <v>1999</v>
      </c>
      <c r="AT19" s="901" t="s">
        <v>1989</v>
      </c>
      <c r="AU19" s="901" t="s">
        <v>1999</v>
      </c>
      <c r="AV19" s="901" t="s">
        <v>1999</v>
      </c>
      <c r="AW19" s="901" t="s">
        <v>1991</v>
      </c>
      <c r="AX19" s="901" t="s">
        <v>1989</v>
      </c>
      <c r="AY19" s="901" t="s">
        <v>1993</v>
      </c>
      <c r="AZ19" s="901" t="s">
        <v>2696</v>
      </c>
      <c r="BA19" s="901" t="s">
        <v>1991</v>
      </c>
      <c r="BB19" s="901" t="s">
        <v>1994</v>
      </c>
      <c r="BC19" s="901" t="s">
        <v>1997</v>
      </c>
      <c r="BD19" s="901" t="s">
        <v>1994</v>
      </c>
      <c r="BE19" s="901" t="s">
        <v>1994</v>
      </c>
      <c r="BF19" s="877"/>
      <c r="BH19" s="877"/>
      <c r="BI19" s="877"/>
      <c r="BJ19" s="877"/>
      <c r="BK19" s="877"/>
      <c r="BL19" s="877"/>
      <c r="BM19" s="877"/>
      <c r="BN19" s="877"/>
      <c r="BO19" s="877"/>
      <c r="BP19" s="877"/>
      <c r="BQ19" s="877"/>
      <c r="BR19" s="877"/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15</v>
      </c>
      <c r="G20" s="822" t="str">
        <f ca="1">MID(CELL("filename",A1),FIND("]",CELL("filename",A1))+1,LEN(CELL("filename",A1))-FIND("]",CELL("filename",A1)))</f>
        <v>Ehime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1887</v>
      </c>
      <c r="AH20" s="887" t="s">
        <v>1381</v>
      </c>
      <c r="AI20" s="887" t="s">
        <v>2274</v>
      </c>
      <c r="AJ20" s="887" t="s">
        <v>3456</v>
      </c>
      <c r="AK20" s="887" t="s">
        <v>2697</v>
      </c>
      <c r="AL20" s="887" t="s">
        <v>1382</v>
      </c>
      <c r="AM20" s="887" t="s">
        <v>1383</v>
      </c>
      <c r="AN20" s="887" t="s">
        <v>1384</v>
      </c>
      <c r="AO20" s="887" t="s">
        <v>1385</v>
      </c>
      <c r="AP20" s="887" t="s">
        <v>1386</v>
      </c>
      <c r="AQ20" s="887" t="s">
        <v>1889</v>
      </c>
      <c r="AR20" s="887" t="s">
        <v>1387</v>
      </c>
      <c r="AS20" s="887" t="s">
        <v>3109</v>
      </c>
      <c r="AT20" s="887" t="s">
        <v>3295</v>
      </c>
      <c r="AU20" s="887" t="s">
        <v>1388</v>
      </c>
      <c r="AV20" s="887" t="s">
        <v>1888</v>
      </c>
      <c r="AW20" s="887" t="s">
        <v>1389</v>
      </c>
      <c r="AX20" s="887" t="s">
        <v>2272</v>
      </c>
      <c r="AY20" s="887" t="s">
        <v>1390</v>
      </c>
      <c r="AZ20" s="887" t="s">
        <v>2695</v>
      </c>
      <c r="BA20" s="887" t="s">
        <v>1391</v>
      </c>
      <c r="BB20" s="887" t="s">
        <v>1392</v>
      </c>
      <c r="BC20" s="887" t="s">
        <v>1890</v>
      </c>
      <c r="BD20" s="887" t="s">
        <v>1393</v>
      </c>
      <c r="BE20" s="887" t="s">
        <v>1394</v>
      </c>
      <c r="BF20" s="887"/>
      <c r="BH20" s="887"/>
      <c r="BI20" s="887"/>
      <c r="BJ20" s="864"/>
      <c r="BK20" s="864"/>
      <c r="BL20" s="887"/>
      <c r="BM20" s="864"/>
      <c r="BN20" s="864"/>
      <c r="BO20" s="864"/>
      <c r="BP20" s="864"/>
      <c r="BQ20" s="864"/>
      <c r="BR20" s="864"/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1289</v>
      </c>
      <c r="AH21" s="886" t="s">
        <v>1738</v>
      </c>
      <c r="AI21" s="886" t="s">
        <v>2275</v>
      </c>
      <c r="AJ21" s="886" t="s">
        <v>2774</v>
      </c>
      <c r="AK21" s="886" t="s">
        <v>897</v>
      </c>
      <c r="AL21" s="886" t="s">
        <v>898</v>
      </c>
      <c r="AM21" s="886" t="s">
        <v>1290</v>
      </c>
      <c r="AN21" s="886" t="s">
        <v>1739</v>
      </c>
      <c r="AO21" s="886" t="s">
        <v>900</v>
      </c>
      <c r="AP21" s="886" t="s">
        <v>1740</v>
      </c>
      <c r="AQ21" s="886" t="s">
        <v>901</v>
      </c>
      <c r="AR21" s="886" t="s">
        <v>1291</v>
      </c>
      <c r="AS21" s="886" t="s">
        <v>1292</v>
      </c>
      <c r="AT21" s="886" t="s">
        <v>1741</v>
      </c>
      <c r="AU21" s="886" t="s">
        <v>1293</v>
      </c>
      <c r="AV21" s="886" t="s">
        <v>1294</v>
      </c>
      <c r="AW21" s="886" t="s">
        <v>902</v>
      </c>
      <c r="AX21" s="886" t="s">
        <v>2273</v>
      </c>
      <c r="AY21" s="886" t="s">
        <v>1295</v>
      </c>
      <c r="AZ21" s="886" t="s">
        <v>2694</v>
      </c>
      <c r="BA21" s="886" t="s">
        <v>929</v>
      </c>
      <c r="BB21" s="886" t="s">
        <v>1296</v>
      </c>
      <c r="BC21" s="886" t="s">
        <v>1297</v>
      </c>
      <c r="BD21" s="886" t="s">
        <v>1742</v>
      </c>
      <c r="BE21" s="886" t="s">
        <v>906</v>
      </c>
      <c r="BF21" s="886"/>
      <c r="BH21" s="886"/>
      <c r="BI21" s="886"/>
      <c r="BJ21" s="864"/>
      <c r="BK21" s="864"/>
      <c r="BL21" s="886"/>
      <c r="BM21" s="864"/>
      <c r="BN21" s="864"/>
      <c r="BO21" s="864"/>
      <c r="BP21" s="864"/>
      <c r="BQ21" s="864"/>
      <c r="BR21" s="864"/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17</v>
      </c>
      <c r="G23" s="879" t="s">
        <v>875</v>
      </c>
      <c r="H23" s="879" t="s">
        <v>22</v>
      </c>
      <c r="I23" s="879" t="s">
        <v>891</v>
      </c>
      <c r="J23" s="846">
        <v>1</v>
      </c>
      <c r="K23" s="846">
        <v>0</v>
      </c>
      <c r="L23" s="816" t="str">
        <f>IF(J23="","",IF(J23&gt;K23,"W",IF(J23=K23,"D",IF(J23&lt;K23,"L"))))</f>
        <v>W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7" si="21">IF(Q23="","",IF(SIGN(Q23)&lt;&gt;1,VLOOKUP(ABS(Q23),SUP_HDC,3,TRUE),-VLOOKUP(ABS(Q23),SUP_HDC,3,TRUE)))</f>
        <v>-0.25</v>
      </c>
      <c r="P23" s="829">
        <f>IF(O23="","",IF((J23-K23+O23)&gt;=0.5,1,IF((J23-K23+O23)=0.25,0.5,IF((J23-K23+O23)&lt;=-0.5,-1,IF((J23-K23+O23)=-0.25,-0.5,0)))))</f>
        <v>1</v>
      </c>
      <c r="Q23" s="830">
        <v>0.17</v>
      </c>
      <c r="R23" s="871">
        <f>IF(ISBLANK(Q23),"",J23-K23-Q23)</f>
        <v>0.83</v>
      </c>
      <c r="S23" s="830">
        <v>2.2000000000000002</v>
      </c>
      <c r="T23" s="871">
        <f>IF(ISBLANK(S23),"",J23+K23-S23)</f>
        <v>-1.2000000000000002</v>
      </c>
      <c r="U23" s="868">
        <f>IF(Q23="","",(Q23+S23)/2)</f>
        <v>1.1850000000000001</v>
      </c>
      <c r="V23" s="868">
        <f>IF(Q23="","",S23-U23)</f>
        <v>1.0150000000000001</v>
      </c>
      <c r="W23" s="829">
        <v>13</v>
      </c>
      <c r="X23" s="829">
        <v>10</v>
      </c>
      <c r="Y23" s="829">
        <v>7</v>
      </c>
      <c r="Z23" s="829">
        <v>0</v>
      </c>
      <c r="AA23" s="829">
        <v>51</v>
      </c>
      <c r="AB23" s="829">
        <v>49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32</v>
      </c>
      <c r="AH23" s="891" t="s">
        <v>34</v>
      </c>
      <c r="AI23" s="891" t="s">
        <v>1877</v>
      </c>
      <c r="AJ23" s="904" t="s">
        <v>34</v>
      </c>
      <c r="AK23" s="891" t="s">
        <v>32</v>
      </c>
      <c r="AL23" s="891" t="s">
        <v>32</v>
      </c>
      <c r="AM23" s="891" t="s">
        <v>32</v>
      </c>
      <c r="AN23" s="891" t="s">
        <v>32</v>
      </c>
      <c r="AO23" s="891" t="s">
        <v>1877</v>
      </c>
      <c r="AP23" s="891" t="s">
        <v>34</v>
      </c>
      <c r="AR23" s="906" t="s">
        <v>1881</v>
      </c>
      <c r="AS23" s="904" t="s">
        <v>35</v>
      </c>
      <c r="AT23" s="891" t="s">
        <v>35</v>
      </c>
      <c r="AU23" s="891" t="s">
        <v>1877</v>
      </c>
      <c r="AV23" s="891" t="s">
        <v>34</v>
      </c>
      <c r="AW23" s="891" t="s">
        <v>34</v>
      </c>
      <c r="AX23" s="891" t="s">
        <v>34</v>
      </c>
      <c r="AY23" s="891" t="s">
        <v>36</v>
      </c>
      <c r="AZ23" s="910"/>
      <c r="BA23" s="891" t="s">
        <v>34</v>
      </c>
      <c r="BB23" s="891" t="s">
        <v>36</v>
      </c>
      <c r="BC23" s="891" t="s">
        <v>1877</v>
      </c>
      <c r="BD23" s="891" t="s">
        <v>35</v>
      </c>
      <c r="BE23" s="891" t="s">
        <v>1879</v>
      </c>
      <c r="BF23" s="891"/>
      <c r="BG23" s="891"/>
      <c r="BH23" s="891"/>
      <c r="BI23" s="891"/>
      <c r="BJ23" s="891"/>
      <c r="BK23" s="891"/>
      <c r="BL23" s="891"/>
      <c r="BM23" s="891"/>
      <c r="BN23" s="891"/>
      <c r="BO23" s="891"/>
      <c r="BP23" s="891"/>
      <c r="BQ23" s="891"/>
      <c r="BR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8</v>
      </c>
      <c r="G24" s="879" t="s">
        <v>880</v>
      </c>
      <c r="H24" s="879" t="s">
        <v>22</v>
      </c>
      <c r="I24" s="879" t="s">
        <v>891</v>
      </c>
      <c r="J24" s="846">
        <v>0</v>
      </c>
      <c r="K24" s="846">
        <v>0</v>
      </c>
      <c r="L24" s="816" t="str">
        <f>IF(J24="","",IF(J24&gt;K24,"W",IF(J24=K24,"D",IF(J24&lt;K24,"L"))))</f>
        <v>D</v>
      </c>
      <c r="M24" s="816">
        <f>IF(J24="","",J24+K24)</f>
        <v>0</v>
      </c>
      <c r="N24" s="816" t="str">
        <f t="shared" ref="N24:N29" si="22">IF($J24="","",IF($M24&gt;N$19,"O",IF($M24&lt;N$19,"U",IF($M24=N$19,"-"))))</f>
        <v>U</v>
      </c>
      <c r="O24" s="816">
        <f t="shared" si="21"/>
        <v>0.25</v>
      </c>
      <c r="P24" s="829">
        <f t="shared" ref="P24:P57" si="23">IF(O24="","",IF((J24-K24+O24)&gt;=0.5,1,IF((J24-K24+O24)=0.25,0.5,IF((J24-K24+O24)&lt;=-0.5,-1,IF((J24-K24+O24)=-0.25,-0.5,0)))))</f>
        <v>0.5</v>
      </c>
      <c r="Q24" s="830">
        <v>-0.36</v>
      </c>
      <c r="R24" s="871">
        <f t="shared" ref="R24:R66" si="24">IF(ISBLANK(Q24),"",J24-K24-Q24)</f>
        <v>0.36</v>
      </c>
      <c r="S24" s="830">
        <v>2.12</v>
      </c>
      <c r="T24" s="871">
        <f t="shared" ref="T24:T69" si="25">IF(ISBLANK(S24),"",J24+K24-S24)</f>
        <v>-2.12</v>
      </c>
      <c r="U24" s="868">
        <f t="shared" ref="U24:U69" si="26">IF(Q24="","",(Q24+S24)/2)</f>
        <v>0.88000000000000012</v>
      </c>
      <c r="V24" s="868">
        <f t="shared" ref="V24:V69" si="27">IF(Q24="","",S24-U24)</f>
        <v>1.24</v>
      </c>
      <c r="W24" s="829">
        <v>5</v>
      </c>
      <c r="X24" s="829">
        <v>14</v>
      </c>
      <c r="Y24" s="829">
        <v>2</v>
      </c>
      <c r="Z24" s="829">
        <v>4</v>
      </c>
      <c r="AA24" s="829">
        <v>47</v>
      </c>
      <c r="AB24" s="829">
        <v>53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32</v>
      </c>
      <c r="AH24" s="891" t="s">
        <v>34</v>
      </c>
      <c r="AI24" s="891" t="s">
        <v>1877</v>
      </c>
      <c r="AJ24" s="891" t="s">
        <v>34</v>
      </c>
      <c r="AK24" s="891" t="s">
        <v>32</v>
      </c>
      <c r="AL24" s="891" t="s">
        <v>36</v>
      </c>
      <c r="AM24" s="891" t="s">
        <v>1877</v>
      </c>
      <c r="AN24" s="891" t="s">
        <v>32</v>
      </c>
      <c r="AO24" s="891" t="s">
        <v>36</v>
      </c>
      <c r="AP24" s="904" t="s">
        <v>34</v>
      </c>
      <c r="AR24" s="891" t="s">
        <v>34</v>
      </c>
      <c r="AS24" s="891" t="s">
        <v>34</v>
      </c>
      <c r="AT24" s="891" t="s">
        <v>32</v>
      </c>
      <c r="AU24" s="891" t="s">
        <v>1877</v>
      </c>
      <c r="AV24" s="891" t="s">
        <v>35</v>
      </c>
      <c r="AW24" s="891" t="s">
        <v>34</v>
      </c>
      <c r="AX24" s="891" t="s">
        <v>35</v>
      </c>
      <c r="AY24" s="891" t="s">
        <v>34</v>
      </c>
      <c r="AZ24" s="910"/>
      <c r="BA24" s="891" t="s">
        <v>34</v>
      </c>
      <c r="BB24" s="891" t="s">
        <v>36</v>
      </c>
      <c r="BC24" s="891" t="s">
        <v>1877</v>
      </c>
      <c r="BD24" s="891" t="s">
        <v>35</v>
      </c>
      <c r="BE24" s="891"/>
      <c r="BF24" s="891"/>
      <c r="BG24" s="891"/>
      <c r="BH24" s="891"/>
      <c r="BI24" s="891"/>
      <c r="BJ24" s="891"/>
      <c r="BK24" s="891"/>
      <c r="BL24" s="891"/>
      <c r="BM24" s="891"/>
      <c r="BN24" s="891"/>
      <c r="BO24" s="891"/>
      <c r="BP24" s="891"/>
      <c r="BQ24" s="891"/>
      <c r="BR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</row>
    <row r="25" spans="1:115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19</v>
      </c>
      <c r="G25" s="879" t="s">
        <v>885</v>
      </c>
      <c r="H25" s="879" t="s">
        <v>18</v>
      </c>
      <c r="I25" s="879" t="s">
        <v>891</v>
      </c>
      <c r="J25" s="846">
        <v>2</v>
      </c>
      <c r="K25" s="846">
        <v>2</v>
      </c>
      <c r="L25" s="816" t="str">
        <f>IF(J25="","",IF(J25&gt;K25,"W",IF(J25=K25,"D",IF(J25&lt;K25,"L"))))</f>
        <v>D</v>
      </c>
      <c r="M25" s="816">
        <f>IF(J25="","",J25+K25)</f>
        <v>4</v>
      </c>
      <c r="N25" s="816" t="str">
        <f t="shared" si="22"/>
        <v>O</v>
      </c>
      <c r="O25" s="816">
        <f t="shared" si="21"/>
        <v>-0.25</v>
      </c>
      <c r="P25" s="829">
        <f t="shared" si="23"/>
        <v>-0.5</v>
      </c>
      <c r="Q25" s="830">
        <v>0.22</v>
      </c>
      <c r="R25" s="871">
        <f t="shared" si="24"/>
        <v>-0.22</v>
      </c>
      <c r="S25" s="830">
        <v>2.15</v>
      </c>
      <c r="T25" s="871">
        <f t="shared" si="25"/>
        <v>1.85</v>
      </c>
      <c r="U25" s="868">
        <f t="shared" si="26"/>
        <v>1.1850000000000001</v>
      </c>
      <c r="V25" s="868">
        <f t="shared" si="27"/>
        <v>0.96499999999999986</v>
      </c>
      <c r="W25" s="829">
        <v>14</v>
      </c>
      <c r="X25" s="829">
        <v>14</v>
      </c>
      <c r="Y25" s="829">
        <v>4</v>
      </c>
      <c r="Z25" s="829">
        <v>5</v>
      </c>
      <c r="AA25" s="829">
        <v>59</v>
      </c>
      <c r="AB25" s="829">
        <v>41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32</v>
      </c>
      <c r="AH25" s="891" t="s">
        <v>34</v>
      </c>
      <c r="AI25" s="891" t="s">
        <v>1877</v>
      </c>
      <c r="AJ25" s="891" t="s">
        <v>34</v>
      </c>
      <c r="AK25" s="891" t="s">
        <v>34</v>
      </c>
      <c r="AL25" s="904" t="s">
        <v>34</v>
      </c>
      <c r="AM25" s="891" t="s">
        <v>36</v>
      </c>
      <c r="AN25" s="891" t="s">
        <v>32</v>
      </c>
      <c r="AO25" s="891" t="s">
        <v>1877</v>
      </c>
      <c r="AP25" s="891" t="s">
        <v>32</v>
      </c>
      <c r="AR25" s="891" t="s">
        <v>34</v>
      </c>
      <c r="AS25" s="891" t="s">
        <v>1975</v>
      </c>
      <c r="AT25" s="891" t="s">
        <v>36</v>
      </c>
      <c r="AU25" s="891" t="s">
        <v>35</v>
      </c>
      <c r="AV25" s="891" t="s">
        <v>36</v>
      </c>
      <c r="AW25" s="891" t="s">
        <v>35</v>
      </c>
      <c r="AX25" s="891" t="s">
        <v>2009</v>
      </c>
      <c r="AY25" s="891" t="s">
        <v>35</v>
      </c>
      <c r="AZ25" s="910"/>
      <c r="BA25" s="891" t="s">
        <v>34</v>
      </c>
      <c r="BB25" s="891" t="s">
        <v>1877</v>
      </c>
      <c r="BC25" s="891" t="s">
        <v>1877</v>
      </c>
      <c r="BD25" s="891" t="s">
        <v>1975</v>
      </c>
      <c r="BE25" s="891"/>
      <c r="BF25" s="891"/>
      <c r="BG25" s="891"/>
      <c r="BH25" s="891"/>
      <c r="BI25" s="891"/>
      <c r="BJ25" s="891"/>
      <c r="BK25" s="891"/>
      <c r="BL25" s="891"/>
      <c r="BM25" s="891"/>
      <c r="BN25" s="891"/>
      <c r="BO25" s="891"/>
      <c r="BP25" s="891"/>
      <c r="BQ25" s="891"/>
      <c r="BR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</v>
      </c>
      <c r="G26" s="879" t="s">
        <v>1086</v>
      </c>
      <c r="H26" s="879" t="s">
        <v>22</v>
      </c>
      <c r="I26" s="879" t="s">
        <v>891</v>
      </c>
      <c r="J26" s="846">
        <v>0</v>
      </c>
      <c r="K26" s="846">
        <v>1</v>
      </c>
      <c r="L26" s="816" t="str">
        <f t="shared" ref="L26:L29" si="28">IF(J26="","",IF(J26&gt;K26,"W",IF(J26=K26,"D",IF(J26&lt;K26,"L"))))</f>
        <v>L</v>
      </c>
      <c r="M26" s="816">
        <f t="shared" ref="M26:M29" si="29">IF(J26="","",J26+K26)</f>
        <v>1</v>
      </c>
      <c r="N26" s="816" t="str">
        <f t="shared" si="22"/>
        <v>U</v>
      </c>
      <c r="O26" s="816">
        <f t="shared" si="21"/>
        <v>0.5</v>
      </c>
      <c r="P26" s="829">
        <f t="shared" si="23"/>
        <v>-1</v>
      </c>
      <c r="Q26" s="830">
        <v>-0.46</v>
      </c>
      <c r="R26" s="871">
        <f t="shared" si="24"/>
        <v>-0.54</v>
      </c>
      <c r="S26" s="830">
        <v>2.25</v>
      </c>
      <c r="T26" s="871">
        <f t="shared" si="25"/>
        <v>-1.25</v>
      </c>
      <c r="U26" s="868">
        <f t="shared" si="26"/>
        <v>0.89500000000000002</v>
      </c>
      <c r="V26" s="868">
        <f t="shared" si="27"/>
        <v>1.355</v>
      </c>
      <c r="W26" s="829">
        <v>15</v>
      </c>
      <c r="X26" s="829">
        <v>18</v>
      </c>
      <c r="Y26" s="829">
        <v>5</v>
      </c>
      <c r="Z26" s="829">
        <v>5</v>
      </c>
      <c r="AA26" s="829">
        <v>44</v>
      </c>
      <c r="AB26" s="829">
        <v>56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32</v>
      </c>
      <c r="AH26" s="891" t="s">
        <v>34</v>
      </c>
      <c r="AI26" s="891" t="s">
        <v>1877</v>
      </c>
      <c r="AJ26" s="891" t="s">
        <v>34</v>
      </c>
      <c r="AK26" s="891" t="s">
        <v>35</v>
      </c>
      <c r="AL26" s="891" t="s">
        <v>34</v>
      </c>
      <c r="AM26" s="891" t="s">
        <v>36</v>
      </c>
      <c r="AN26" s="891" t="s">
        <v>32</v>
      </c>
      <c r="AO26" s="891" t="s">
        <v>32</v>
      </c>
      <c r="AP26" s="891" t="s">
        <v>32</v>
      </c>
      <c r="AQ26" s="891" t="s">
        <v>36</v>
      </c>
      <c r="AR26" s="891" t="s">
        <v>34</v>
      </c>
      <c r="AS26" s="891" t="s">
        <v>34</v>
      </c>
      <c r="AT26" s="891" t="s">
        <v>34</v>
      </c>
      <c r="AU26" s="891" t="s">
        <v>1877</v>
      </c>
      <c r="AV26" s="891" t="s">
        <v>1877</v>
      </c>
      <c r="AW26" s="891" t="s">
        <v>34</v>
      </c>
      <c r="AX26" s="891" t="s">
        <v>1884</v>
      </c>
      <c r="AY26" s="891" t="s">
        <v>36</v>
      </c>
      <c r="AZ26" s="910"/>
      <c r="BA26" s="891" t="s">
        <v>35</v>
      </c>
      <c r="BB26" s="891" t="s">
        <v>34</v>
      </c>
      <c r="BC26" s="891" t="s">
        <v>1877</v>
      </c>
      <c r="BD26" s="891" t="s">
        <v>35</v>
      </c>
      <c r="BE26" s="891"/>
      <c r="BF26" s="891"/>
      <c r="BG26" s="891"/>
      <c r="BH26" s="891"/>
      <c r="BI26" s="891"/>
      <c r="BJ26" s="891"/>
      <c r="BK26" s="891"/>
      <c r="BL26" s="891"/>
      <c r="BM26" s="891"/>
      <c r="BN26" s="891"/>
      <c r="BO26" s="891"/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"/>
      <c r="CF26" s="4"/>
      <c r="CG26" s="4"/>
      <c r="CH26" s="4"/>
      <c r="CI26" s="4" t="s">
        <v>32</v>
      </c>
      <c r="CJ26" s="4" t="s">
        <v>32</v>
      </c>
      <c r="CK26" s="4" t="s">
        <v>32</v>
      </c>
      <c r="CL26" s="6" t="s">
        <v>32</v>
      </c>
      <c r="CM26" s="6" t="s">
        <v>32</v>
      </c>
      <c r="CN26" s="6" t="s">
        <v>32</v>
      </c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0"/>
    </row>
    <row r="27" spans="1:115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14</v>
      </c>
      <c r="G27" s="879" t="s">
        <v>873</v>
      </c>
      <c r="H27" s="879" t="s">
        <v>18</v>
      </c>
      <c r="I27" s="879" t="s">
        <v>891</v>
      </c>
      <c r="J27" s="846">
        <v>0</v>
      </c>
      <c r="K27" s="846">
        <v>1</v>
      </c>
      <c r="L27" s="816" t="str">
        <f t="shared" si="28"/>
        <v>L</v>
      </c>
      <c r="M27" s="816">
        <f t="shared" si="29"/>
        <v>1</v>
      </c>
      <c r="N27" s="816" t="str">
        <f t="shared" si="22"/>
        <v>U</v>
      </c>
      <c r="O27" s="816">
        <f t="shared" si="21"/>
        <v>0.25</v>
      </c>
      <c r="P27" s="829">
        <f t="shared" si="23"/>
        <v>-1</v>
      </c>
      <c r="Q27" s="830">
        <v>-0.23</v>
      </c>
      <c r="R27" s="871">
        <f t="shared" si="24"/>
        <v>-0.77</v>
      </c>
      <c r="S27" s="830">
        <v>2.23</v>
      </c>
      <c r="T27" s="871">
        <f t="shared" si="25"/>
        <v>-1.23</v>
      </c>
      <c r="U27" s="868">
        <f t="shared" si="26"/>
        <v>1</v>
      </c>
      <c r="V27" s="868">
        <f t="shared" si="27"/>
        <v>1.23</v>
      </c>
      <c r="W27" s="829">
        <v>15</v>
      </c>
      <c r="X27" s="829">
        <v>10</v>
      </c>
      <c r="Y27" s="829">
        <v>3</v>
      </c>
      <c r="Z27" s="829">
        <v>2</v>
      </c>
      <c r="AA27" s="829">
        <v>57</v>
      </c>
      <c r="AB27" s="829">
        <v>43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/>
      <c r="AH27" s="891" t="s">
        <v>34</v>
      </c>
      <c r="AI27" s="891" t="s">
        <v>2271</v>
      </c>
      <c r="AJ27" s="891" t="s">
        <v>34</v>
      </c>
      <c r="AK27" s="891" t="s">
        <v>35</v>
      </c>
      <c r="AL27" s="891" t="s">
        <v>34</v>
      </c>
      <c r="AM27" s="891" t="s">
        <v>36</v>
      </c>
      <c r="AN27" s="891" t="s">
        <v>1877</v>
      </c>
      <c r="AO27" s="891" t="s">
        <v>32</v>
      </c>
      <c r="AP27" s="891" t="s">
        <v>32</v>
      </c>
      <c r="AQ27" s="891" t="s">
        <v>36</v>
      </c>
      <c r="AR27" s="891" t="s">
        <v>34</v>
      </c>
      <c r="AS27" s="891" t="s">
        <v>34</v>
      </c>
      <c r="AT27" s="891" t="s">
        <v>34</v>
      </c>
      <c r="AU27" s="891" t="s">
        <v>1877</v>
      </c>
      <c r="AV27" s="891" t="s">
        <v>35</v>
      </c>
      <c r="AW27" s="891" t="s">
        <v>34</v>
      </c>
      <c r="AX27" s="891" t="s">
        <v>1884</v>
      </c>
      <c r="AY27" s="891" t="s">
        <v>1877</v>
      </c>
      <c r="AZ27" s="910"/>
      <c r="BA27" s="891" t="s">
        <v>34</v>
      </c>
      <c r="BB27" s="891" t="s">
        <v>36</v>
      </c>
      <c r="BC27" s="891" t="s">
        <v>32</v>
      </c>
      <c r="BD27" s="891" t="s">
        <v>35</v>
      </c>
      <c r="BE27" s="891"/>
      <c r="BF27" s="891"/>
      <c r="BG27" s="891"/>
      <c r="BH27" s="891"/>
      <c r="BI27" s="891"/>
      <c r="BJ27" s="891"/>
      <c r="BK27" s="891"/>
      <c r="BL27" s="891"/>
      <c r="BM27" s="891"/>
      <c r="BN27" s="891"/>
      <c r="BO27" s="891"/>
      <c r="BP27" s="891"/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865"/>
      <c r="CF27" s="865"/>
      <c r="CG27" s="865"/>
      <c r="CH27" s="865"/>
      <c r="CI27" s="865" t="s">
        <v>32</v>
      </c>
      <c r="CJ27" s="865" t="s">
        <v>32</v>
      </c>
      <c r="CK27" s="865" t="s">
        <v>32</v>
      </c>
      <c r="CL27" s="4" t="s">
        <v>32</v>
      </c>
      <c r="CM27" s="6" t="s">
        <v>32</v>
      </c>
      <c r="CN27" s="6" t="s">
        <v>32</v>
      </c>
      <c r="CO27" s="6" t="s">
        <v>32</v>
      </c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5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9</v>
      </c>
      <c r="G28" s="879" t="s">
        <v>1083</v>
      </c>
      <c r="H28" s="879" t="s">
        <v>18</v>
      </c>
      <c r="I28" s="879" t="s">
        <v>891</v>
      </c>
      <c r="J28" s="846">
        <v>1</v>
      </c>
      <c r="K28" s="846">
        <v>1</v>
      </c>
      <c r="L28" s="816" t="str">
        <f t="shared" si="28"/>
        <v>D</v>
      </c>
      <c r="M28" s="816">
        <f t="shared" si="29"/>
        <v>2</v>
      </c>
      <c r="N28" s="816" t="str">
        <f t="shared" si="22"/>
        <v>U</v>
      </c>
      <c r="O28" s="816">
        <f t="shared" si="21"/>
        <v>0</v>
      </c>
      <c r="P28" s="829">
        <f t="shared" si="23"/>
        <v>0</v>
      </c>
      <c r="Q28" s="830">
        <v>-0.05</v>
      </c>
      <c r="R28" s="871">
        <f t="shared" si="24"/>
        <v>0.05</v>
      </c>
      <c r="S28" s="830">
        <v>2.16</v>
      </c>
      <c r="T28" s="871">
        <f t="shared" si="25"/>
        <v>-0.16000000000000014</v>
      </c>
      <c r="U28" s="868">
        <f t="shared" si="26"/>
        <v>1.0550000000000002</v>
      </c>
      <c r="V28" s="868">
        <f t="shared" si="27"/>
        <v>1.105</v>
      </c>
      <c r="W28" s="829">
        <v>9</v>
      </c>
      <c r="X28" s="829">
        <v>9</v>
      </c>
      <c r="Y28" s="829">
        <v>2</v>
      </c>
      <c r="Z28" s="829">
        <v>2</v>
      </c>
      <c r="AA28" s="829">
        <v>37</v>
      </c>
      <c r="AB28" s="829">
        <v>63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1877</v>
      </c>
      <c r="AH28" s="891" t="s">
        <v>34</v>
      </c>
      <c r="AI28" s="891" t="s">
        <v>2271</v>
      </c>
      <c r="AJ28" s="891" t="s">
        <v>34</v>
      </c>
      <c r="AK28" s="891" t="s">
        <v>34</v>
      </c>
      <c r="AL28" s="891" t="s">
        <v>36</v>
      </c>
      <c r="AM28" s="891" t="s">
        <v>1877</v>
      </c>
      <c r="AN28" s="891" t="s">
        <v>32</v>
      </c>
      <c r="AO28" s="891" t="s">
        <v>32</v>
      </c>
      <c r="AP28" s="891" t="s">
        <v>34</v>
      </c>
      <c r="AQ28" s="891" t="s">
        <v>32</v>
      </c>
      <c r="AR28" s="891" t="s">
        <v>34</v>
      </c>
      <c r="AS28" s="891" t="s">
        <v>35</v>
      </c>
      <c r="AT28" s="891" t="s">
        <v>34</v>
      </c>
      <c r="AU28" s="891" t="s">
        <v>1877</v>
      </c>
      <c r="AV28" s="891" t="s">
        <v>36</v>
      </c>
      <c r="AW28" s="891" t="s">
        <v>34</v>
      </c>
      <c r="AX28" s="891" t="s">
        <v>1884</v>
      </c>
      <c r="AY28" s="891" t="s">
        <v>1877</v>
      </c>
      <c r="AZ28" s="910"/>
      <c r="BA28" s="891" t="s">
        <v>34</v>
      </c>
      <c r="BB28" s="891" t="s">
        <v>32</v>
      </c>
      <c r="BC28" s="891" t="s">
        <v>1877</v>
      </c>
      <c r="BD28" s="891" t="s">
        <v>2165</v>
      </c>
      <c r="BE28" s="891" t="s">
        <v>34</v>
      </c>
      <c r="BF28" s="891"/>
      <c r="BG28" s="891"/>
      <c r="BH28" s="891"/>
      <c r="BI28" s="891"/>
      <c r="BJ28" s="891"/>
      <c r="BK28" s="891"/>
      <c r="BL28" s="891"/>
      <c r="BM28" s="891" t="s">
        <v>32</v>
      </c>
      <c r="BN28" s="891"/>
      <c r="BO28" s="891"/>
      <c r="BP28" s="891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"/>
      <c r="CF28" s="4"/>
      <c r="CG28" s="4"/>
      <c r="CH28" s="4"/>
      <c r="CI28" s="4" t="s">
        <v>32</v>
      </c>
      <c r="CJ28" s="4" t="s">
        <v>32</v>
      </c>
      <c r="CK28" s="4" t="s">
        <v>32</v>
      </c>
      <c r="CL28" s="4" t="s">
        <v>32</v>
      </c>
      <c r="CM28" s="6" t="s">
        <v>32</v>
      </c>
      <c r="CN28" s="6" t="s">
        <v>32</v>
      </c>
      <c r="CO28" s="6" t="s">
        <v>32</v>
      </c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</row>
    <row r="29" spans="1:115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21</v>
      </c>
      <c r="G29" s="879" t="s">
        <v>890</v>
      </c>
      <c r="H29" s="879" t="s">
        <v>22</v>
      </c>
      <c r="I29" s="879" t="s">
        <v>891</v>
      </c>
      <c r="J29" s="846">
        <v>1</v>
      </c>
      <c r="K29" s="846">
        <v>0</v>
      </c>
      <c r="L29" s="816" t="str">
        <f t="shared" si="28"/>
        <v>W</v>
      </c>
      <c r="M29" s="816">
        <f t="shared" si="29"/>
        <v>1</v>
      </c>
      <c r="N29" s="816" t="str">
        <f t="shared" si="22"/>
        <v>U</v>
      </c>
      <c r="O29" s="816">
        <f t="shared" si="21"/>
        <v>-0.5</v>
      </c>
      <c r="P29" s="829">
        <f t="shared" si="23"/>
        <v>1</v>
      </c>
      <c r="Q29" s="830">
        <v>0.48</v>
      </c>
      <c r="R29" s="871">
        <f t="shared" si="24"/>
        <v>0.52</v>
      </c>
      <c r="S29" s="830">
        <v>2.1</v>
      </c>
      <c r="T29" s="871">
        <f t="shared" si="25"/>
        <v>-1.1000000000000001</v>
      </c>
      <c r="U29" s="868">
        <f t="shared" si="26"/>
        <v>1.29</v>
      </c>
      <c r="V29" s="868">
        <f t="shared" si="27"/>
        <v>0.81</v>
      </c>
      <c r="W29" s="829">
        <v>25</v>
      </c>
      <c r="X29" s="829">
        <v>7</v>
      </c>
      <c r="Y29" s="829">
        <v>5</v>
      </c>
      <c r="Z29" s="829">
        <v>2</v>
      </c>
      <c r="AA29" s="829">
        <v>55</v>
      </c>
      <c r="AB29" s="829">
        <v>45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1877</v>
      </c>
      <c r="AH29" s="891" t="s">
        <v>34</v>
      </c>
      <c r="AI29" s="891" t="s">
        <v>2271</v>
      </c>
      <c r="AJ29" s="891" t="s">
        <v>34</v>
      </c>
      <c r="AK29" s="891" t="s">
        <v>34</v>
      </c>
      <c r="AL29" s="891" t="s">
        <v>1877</v>
      </c>
      <c r="AM29" s="891" t="s">
        <v>1877</v>
      </c>
      <c r="AN29" s="891" t="s">
        <v>1877</v>
      </c>
      <c r="AO29" s="891" t="s">
        <v>32</v>
      </c>
      <c r="AP29" s="891" t="s">
        <v>34</v>
      </c>
      <c r="AQ29" s="891" t="s">
        <v>32</v>
      </c>
      <c r="AR29" s="891" t="s">
        <v>34</v>
      </c>
      <c r="AS29" s="891" t="s">
        <v>35</v>
      </c>
      <c r="AT29" s="891" t="s">
        <v>34</v>
      </c>
      <c r="AU29" s="891" t="s">
        <v>36</v>
      </c>
      <c r="AV29" s="891" t="s">
        <v>35</v>
      </c>
      <c r="AW29" s="891" t="s">
        <v>34</v>
      </c>
      <c r="AX29" s="891" t="s">
        <v>1884</v>
      </c>
      <c r="AY29" s="891" t="s">
        <v>36</v>
      </c>
      <c r="AZ29" s="910"/>
      <c r="BA29" s="891" t="s">
        <v>35</v>
      </c>
      <c r="BB29" s="891" t="s">
        <v>32</v>
      </c>
      <c r="BC29" s="891" t="s">
        <v>2205</v>
      </c>
      <c r="BD29" s="891" t="s">
        <v>32</v>
      </c>
      <c r="BE29" s="891" t="s">
        <v>34</v>
      </c>
      <c r="BF29" s="891"/>
      <c r="BG29" s="891"/>
      <c r="BH29" s="891"/>
      <c r="BI29" s="891"/>
      <c r="BJ29" s="891"/>
      <c r="BK29" s="891"/>
      <c r="BL29" s="891"/>
      <c r="BM29" s="891"/>
      <c r="BN29" s="891"/>
      <c r="BO29" s="891"/>
      <c r="BP29" s="891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1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12</v>
      </c>
      <c r="G30" s="879" t="s">
        <v>879</v>
      </c>
      <c r="H30" s="879" t="s">
        <v>18</v>
      </c>
      <c r="I30" s="879" t="s">
        <v>891</v>
      </c>
      <c r="J30" s="846">
        <v>2</v>
      </c>
      <c r="K30" s="846">
        <v>3</v>
      </c>
      <c r="L30" s="816" t="str">
        <f>IF(J30="","",IF(J30&gt;K30,"W",IF(J30=K30,"D",IF(J30&lt;K30,"L"))))</f>
        <v>L</v>
      </c>
      <c r="M30" s="816">
        <f>IF(J30="","",J30+K30)</f>
        <v>5</v>
      </c>
      <c r="N30" s="816" t="str">
        <f>IF($J30="","",IF($M30&gt;N$19,"O",IF($M30&lt;N$19,"U",IF($M30=N$19,"-"))))</f>
        <v>O</v>
      </c>
      <c r="O30" s="816">
        <f t="shared" si="21"/>
        <v>0</v>
      </c>
      <c r="P30" s="829">
        <f t="shared" si="23"/>
        <v>-1</v>
      </c>
      <c r="Q30" s="830">
        <v>-0.13</v>
      </c>
      <c r="R30" s="871">
        <f t="shared" si="24"/>
        <v>-0.87</v>
      </c>
      <c r="S30" s="830">
        <v>2.1</v>
      </c>
      <c r="T30" s="871">
        <f t="shared" si="25"/>
        <v>2.9</v>
      </c>
      <c r="U30" s="868">
        <f t="shared" si="26"/>
        <v>0.9850000000000001</v>
      </c>
      <c r="V30" s="868">
        <f t="shared" si="27"/>
        <v>1.115</v>
      </c>
      <c r="W30" s="829">
        <v>14</v>
      </c>
      <c r="X30" s="829">
        <v>16</v>
      </c>
      <c r="Y30" s="829">
        <v>7</v>
      </c>
      <c r="Z30" s="829">
        <v>4</v>
      </c>
      <c r="AA30" s="829">
        <v>54</v>
      </c>
      <c r="AB30" s="829">
        <v>46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32</v>
      </c>
      <c r="AH30" s="891" t="s">
        <v>34</v>
      </c>
      <c r="AI30" s="891" t="s">
        <v>2271</v>
      </c>
      <c r="AJ30" s="891" t="s">
        <v>2240</v>
      </c>
      <c r="AK30" s="891" t="s">
        <v>34</v>
      </c>
      <c r="AL30" s="891" t="s">
        <v>32</v>
      </c>
      <c r="AM30" s="891" t="s">
        <v>1877</v>
      </c>
      <c r="AN30" s="891" t="s">
        <v>1877</v>
      </c>
      <c r="AO30" s="891" t="s">
        <v>32</v>
      </c>
      <c r="AP30" s="904" t="s">
        <v>34</v>
      </c>
      <c r="AQ30" s="891" t="s">
        <v>32</v>
      </c>
      <c r="AR30" s="891" t="s">
        <v>34</v>
      </c>
      <c r="AS30" s="891" t="s">
        <v>2241</v>
      </c>
      <c r="AT30" s="891" t="s">
        <v>35</v>
      </c>
      <c r="AU30" s="891" t="s">
        <v>36</v>
      </c>
      <c r="AV30" s="891" t="s">
        <v>35</v>
      </c>
      <c r="AW30" s="891" t="s">
        <v>34</v>
      </c>
      <c r="AX30" s="891" t="s">
        <v>1884</v>
      </c>
      <c r="AY30" s="891" t="s">
        <v>1877</v>
      </c>
      <c r="AZ30" s="910"/>
      <c r="BA30" s="891" t="s">
        <v>34</v>
      </c>
      <c r="BB30" s="904" t="s">
        <v>36</v>
      </c>
      <c r="BC30" s="891" t="s">
        <v>36</v>
      </c>
      <c r="BD30" s="891" t="s">
        <v>32</v>
      </c>
      <c r="BE30" s="891" t="s">
        <v>35</v>
      </c>
      <c r="BF30" s="891"/>
      <c r="BG30" s="891"/>
      <c r="BH30" s="891"/>
      <c r="BI30" s="891"/>
      <c r="BJ30" s="891"/>
      <c r="BK30" s="891"/>
      <c r="BL30" s="891"/>
      <c r="BM30" s="891"/>
      <c r="BN30" s="891"/>
      <c r="BO30" s="891"/>
      <c r="BP30" s="891"/>
      <c r="BQ30" s="891"/>
      <c r="BR30" s="891"/>
      <c r="BS30" s="891"/>
      <c r="BT30" s="896"/>
      <c r="BU30" s="896"/>
      <c r="BV30" s="896"/>
      <c r="BW30" s="896"/>
      <c r="BX30" s="896"/>
      <c r="BY30" s="896"/>
      <c r="BZ30" s="896"/>
      <c r="CA30" s="896"/>
      <c r="CB30" s="896"/>
      <c r="CC30" s="896"/>
      <c r="CD30" s="896"/>
      <c r="CE30" s="428"/>
      <c r="CF30" s="428"/>
      <c r="CG30" s="428"/>
      <c r="CH30" s="428"/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2</v>
      </c>
      <c r="G31" s="879" t="s">
        <v>886</v>
      </c>
      <c r="H31" s="879" t="s">
        <v>22</v>
      </c>
      <c r="I31" s="879" t="s">
        <v>891</v>
      </c>
      <c r="J31" s="846">
        <v>1</v>
      </c>
      <c r="K31" s="846">
        <v>0</v>
      </c>
      <c r="L31" s="816" t="str">
        <f>IF(J31="","",IF(J31&gt;K31,"W",IF(J31=K31,"D",IF(J31&lt;K31,"L"))))</f>
        <v>W</v>
      </c>
      <c r="M31" s="816">
        <f>IF(J31="","",J31+K31)</f>
        <v>1</v>
      </c>
      <c r="N31" s="816" t="str">
        <f>IF($J31="","",IF($M31&gt;N$19,"O",IF($M31&lt;N$19,"U",IF($M31=N$19,"-"))))</f>
        <v>U</v>
      </c>
      <c r="O31" s="816">
        <f t="shared" si="21"/>
        <v>-0.25</v>
      </c>
      <c r="P31" s="829">
        <f t="shared" si="23"/>
        <v>1</v>
      </c>
      <c r="Q31" s="830">
        <v>0.14000000000000001</v>
      </c>
      <c r="R31" s="871">
        <f t="shared" si="24"/>
        <v>0.86</v>
      </c>
      <c r="S31" s="830">
        <v>2.04</v>
      </c>
      <c r="T31" s="871">
        <f t="shared" si="25"/>
        <v>-1.04</v>
      </c>
      <c r="U31" s="868">
        <f t="shared" si="26"/>
        <v>1.0900000000000001</v>
      </c>
      <c r="V31" s="868">
        <f t="shared" si="27"/>
        <v>0.95</v>
      </c>
      <c r="W31" s="829">
        <v>9</v>
      </c>
      <c r="X31" s="829">
        <v>8</v>
      </c>
      <c r="Y31" s="829">
        <v>4</v>
      </c>
      <c r="Z31" s="829">
        <v>2</v>
      </c>
      <c r="AA31" s="829">
        <v>50</v>
      </c>
      <c r="AB31" s="829">
        <v>50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1877</v>
      </c>
      <c r="AH31" s="891" t="s">
        <v>34</v>
      </c>
      <c r="AI31" s="891" t="s">
        <v>1886</v>
      </c>
      <c r="AJ31" s="891" t="s">
        <v>34</v>
      </c>
      <c r="AK31" s="891" t="s">
        <v>34</v>
      </c>
      <c r="AL31" s="891" t="s">
        <v>32</v>
      </c>
      <c r="AM31" s="891" t="s">
        <v>1877</v>
      </c>
      <c r="AN31" s="891" t="s">
        <v>32</v>
      </c>
      <c r="AO31" s="891" t="s">
        <v>36</v>
      </c>
      <c r="AP31" s="891" t="s">
        <v>34</v>
      </c>
      <c r="AQ31" s="891" t="s">
        <v>1877</v>
      </c>
      <c r="AR31" s="891" t="s">
        <v>34</v>
      </c>
      <c r="AS31" s="904" t="s">
        <v>34</v>
      </c>
      <c r="AT31" s="891" t="s">
        <v>2315</v>
      </c>
      <c r="AU31" s="891" t="s">
        <v>1877</v>
      </c>
      <c r="AV31" s="904" t="s">
        <v>35</v>
      </c>
      <c r="AW31" s="891" t="s">
        <v>35</v>
      </c>
      <c r="AX31" s="891" t="s">
        <v>1884</v>
      </c>
      <c r="AY31" s="891" t="s">
        <v>36</v>
      </c>
      <c r="AZ31" s="910"/>
      <c r="BA31" s="891" t="s">
        <v>34</v>
      </c>
      <c r="BB31" s="891" t="s">
        <v>32</v>
      </c>
      <c r="BC31" s="891" t="s">
        <v>36</v>
      </c>
      <c r="BD31" s="891" t="s">
        <v>32</v>
      </c>
      <c r="BE31" s="891" t="s">
        <v>35</v>
      </c>
      <c r="BF31" s="891"/>
      <c r="BG31" s="891"/>
      <c r="BH31" s="891"/>
      <c r="BI31" s="891"/>
      <c r="BJ31" s="891"/>
      <c r="BK31" s="891"/>
      <c r="BL31" s="891"/>
      <c r="BM31" s="891"/>
      <c r="BN31" s="892"/>
      <c r="BO31" s="896"/>
      <c r="BP31" s="892"/>
      <c r="BQ31" s="896"/>
      <c r="BR31" s="896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28"/>
      <c r="CF31" s="428"/>
      <c r="CG31" s="428"/>
      <c r="CH31" s="428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11</v>
      </c>
      <c r="G32" s="879" t="s">
        <v>874</v>
      </c>
      <c r="H32" s="879" t="s">
        <v>22</v>
      </c>
      <c r="I32" s="879" t="s">
        <v>891</v>
      </c>
      <c r="J32" s="846">
        <v>2</v>
      </c>
      <c r="K32" s="846">
        <v>0</v>
      </c>
      <c r="L32" s="816" t="str">
        <f t="shared" ref="L32:L66" si="30">IF(J32="","",IF(J32&gt;K32,"W",IF(J32=K32,"D",IF(J32&lt;K32,"L"))))</f>
        <v>W</v>
      </c>
      <c r="M32" s="816">
        <f t="shared" ref="M32:M66" si="31">IF(J32="","",J32+K32)</f>
        <v>2</v>
      </c>
      <c r="N32" s="816" t="str">
        <f t="shared" ref="N32:N66" si="32">IF($J32="","",IF($M32&gt;N$19,"O",IF($M32&lt;N$19,"U",IF($M32=N$19,"-"))))</f>
        <v>U</v>
      </c>
      <c r="O32" s="816">
        <f t="shared" si="21"/>
        <v>0.25</v>
      </c>
      <c r="P32" s="829">
        <f t="shared" si="23"/>
        <v>1</v>
      </c>
      <c r="Q32" s="830">
        <v>-0.15</v>
      </c>
      <c r="R32" s="871">
        <f t="shared" si="24"/>
        <v>2.15</v>
      </c>
      <c r="S32" s="830">
        <v>2.15</v>
      </c>
      <c r="T32" s="871">
        <f t="shared" si="25"/>
        <v>-0.14999999999999991</v>
      </c>
      <c r="U32" s="868">
        <f t="shared" si="26"/>
        <v>1</v>
      </c>
      <c r="V32" s="868">
        <f t="shared" si="27"/>
        <v>1.1499999999999999</v>
      </c>
      <c r="W32" s="829">
        <v>9</v>
      </c>
      <c r="X32" s="829">
        <v>9</v>
      </c>
      <c r="Y32" s="829">
        <v>3</v>
      </c>
      <c r="Z32" s="829">
        <v>2</v>
      </c>
      <c r="AA32" s="829">
        <v>44</v>
      </c>
      <c r="AB32" s="829">
        <v>56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 t="s">
        <v>2349</v>
      </c>
      <c r="AH32" s="891" t="s">
        <v>2335</v>
      </c>
      <c r="AI32" s="891" t="s">
        <v>2271</v>
      </c>
      <c r="AJ32" s="891" t="s">
        <v>2332</v>
      </c>
      <c r="AK32" s="891" t="s">
        <v>2357</v>
      </c>
      <c r="AL32" s="891"/>
      <c r="AM32" s="891" t="s">
        <v>2349</v>
      </c>
      <c r="AN32" s="891"/>
      <c r="AO32" s="891" t="s">
        <v>2348</v>
      </c>
      <c r="AP32" s="891" t="s">
        <v>2332</v>
      </c>
      <c r="AQ32" s="891"/>
      <c r="AR32" s="891" t="s">
        <v>2332</v>
      </c>
      <c r="AS32" s="891" t="s">
        <v>2354</v>
      </c>
      <c r="AT32" s="891" t="s">
        <v>2332</v>
      </c>
      <c r="AU32" s="891" t="s">
        <v>2349</v>
      </c>
      <c r="AV32" s="891"/>
      <c r="AW32" s="891" t="s">
        <v>2332</v>
      </c>
      <c r="AX32" s="891" t="s">
        <v>1884</v>
      </c>
      <c r="AY32" s="891" t="s">
        <v>2348</v>
      </c>
      <c r="AZ32" s="910"/>
      <c r="BA32" s="891" t="s">
        <v>871</v>
      </c>
      <c r="BB32" s="891" t="s">
        <v>2349</v>
      </c>
      <c r="BC32" s="891" t="s">
        <v>2356</v>
      </c>
      <c r="BD32" s="904" t="s">
        <v>2348</v>
      </c>
      <c r="BE32" s="891" t="s">
        <v>2332</v>
      </c>
      <c r="BF32" s="891"/>
      <c r="BG32" s="891"/>
      <c r="BH32" s="891"/>
      <c r="BI32" s="891"/>
      <c r="BJ32" s="891"/>
      <c r="BK32" s="891"/>
      <c r="BL32" s="891"/>
      <c r="BM32" s="891"/>
      <c r="BN32" s="892"/>
      <c r="BO32" s="896"/>
      <c r="BP32" s="892"/>
      <c r="BQ32" s="896"/>
      <c r="BR32" s="896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428"/>
      <c r="CF32" s="428"/>
      <c r="CG32" s="428"/>
      <c r="CH32" s="428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10</v>
      </c>
      <c r="G33" s="879" t="s">
        <v>883</v>
      </c>
      <c r="H33" s="879" t="s">
        <v>18</v>
      </c>
      <c r="I33" s="879" t="s">
        <v>891</v>
      </c>
      <c r="J33" s="846">
        <v>0</v>
      </c>
      <c r="K33" s="846">
        <v>4</v>
      </c>
      <c r="L33" s="816" t="str">
        <f t="shared" si="30"/>
        <v>L</v>
      </c>
      <c r="M33" s="816">
        <f t="shared" si="31"/>
        <v>4</v>
      </c>
      <c r="N33" s="816" t="str">
        <f t="shared" si="32"/>
        <v>O</v>
      </c>
      <c r="O33" s="816">
        <f t="shared" si="21"/>
        <v>0.25</v>
      </c>
      <c r="P33" s="829">
        <f t="shared" si="23"/>
        <v>-1</v>
      </c>
      <c r="Q33" s="830">
        <v>-0.2</v>
      </c>
      <c r="R33" s="871">
        <f t="shared" si="24"/>
        <v>-3.8</v>
      </c>
      <c r="S33" s="830">
        <v>2.2000000000000002</v>
      </c>
      <c r="T33" s="871">
        <f t="shared" si="25"/>
        <v>1.7999999999999998</v>
      </c>
      <c r="U33" s="868">
        <f t="shared" si="26"/>
        <v>1</v>
      </c>
      <c r="V33" s="868">
        <f t="shared" si="27"/>
        <v>1.2000000000000002</v>
      </c>
      <c r="W33" s="829">
        <v>13</v>
      </c>
      <c r="X33" s="829">
        <v>17</v>
      </c>
      <c r="Y33" s="829">
        <v>3</v>
      </c>
      <c r="Z33" s="829">
        <v>5</v>
      </c>
      <c r="AA33" s="829">
        <v>55</v>
      </c>
      <c r="AB33" s="829">
        <v>45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1877</v>
      </c>
      <c r="AH33" s="891" t="s">
        <v>34</v>
      </c>
      <c r="AI33" s="891" t="s">
        <v>1886</v>
      </c>
      <c r="AJ33" s="891" t="s">
        <v>34</v>
      </c>
      <c r="AK33" s="891" t="s">
        <v>34</v>
      </c>
      <c r="AL33" s="891" t="s">
        <v>32</v>
      </c>
      <c r="AM33" s="891" t="s">
        <v>1877</v>
      </c>
      <c r="AN33" s="891" t="s">
        <v>32</v>
      </c>
      <c r="AO33" s="891" t="s">
        <v>1877</v>
      </c>
      <c r="AP33" s="891" t="s">
        <v>34</v>
      </c>
      <c r="AQ33" s="891" t="s">
        <v>32</v>
      </c>
      <c r="AR33" s="891" t="s">
        <v>35</v>
      </c>
      <c r="AS33" s="891" t="s">
        <v>34</v>
      </c>
      <c r="AT33" s="891" t="s">
        <v>34</v>
      </c>
      <c r="AU33" s="891" t="s">
        <v>36</v>
      </c>
      <c r="AV33" s="891" t="s">
        <v>32</v>
      </c>
      <c r="AW33" s="891" t="s">
        <v>34</v>
      </c>
      <c r="AX33" s="891" t="s">
        <v>1884</v>
      </c>
      <c r="AY33" s="891" t="s">
        <v>1877</v>
      </c>
      <c r="AZ33" s="910"/>
      <c r="BA33" s="891" t="s">
        <v>34</v>
      </c>
      <c r="BB33" s="891" t="s">
        <v>36</v>
      </c>
      <c r="BC33" s="891" t="s">
        <v>35</v>
      </c>
      <c r="BD33" s="891" t="s">
        <v>36</v>
      </c>
      <c r="BE33" s="891" t="s">
        <v>35</v>
      </c>
      <c r="BF33" s="891"/>
      <c r="BG33" s="891"/>
      <c r="BH33" s="891"/>
      <c r="BI33" s="891"/>
      <c r="BJ33" s="891"/>
      <c r="BK33" s="891"/>
      <c r="BL33" s="891"/>
      <c r="BM33" s="891"/>
      <c r="BN33" s="891"/>
      <c r="BO33" s="891"/>
      <c r="BP33" s="891"/>
      <c r="BQ33" s="891"/>
      <c r="BR33" s="891"/>
      <c r="BS33" s="891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428"/>
      <c r="CF33" s="428"/>
      <c r="CG33" s="428"/>
      <c r="CH33" s="428"/>
      <c r="CL33" s="4" t="s">
        <v>32</v>
      </c>
      <c r="CM33" s="6" t="s">
        <v>32</v>
      </c>
      <c r="CN33" s="6" t="s">
        <v>32</v>
      </c>
      <c r="CO33" s="6" t="s">
        <v>32</v>
      </c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20</v>
      </c>
      <c r="G34" s="879" t="s">
        <v>882</v>
      </c>
      <c r="H34" s="879" t="s">
        <v>22</v>
      </c>
      <c r="I34" s="879" t="s">
        <v>891</v>
      </c>
      <c r="J34" s="846">
        <v>2</v>
      </c>
      <c r="K34" s="846">
        <v>1</v>
      </c>
      <c r="L34" s="816" t="str">
        <f>IF(J34="","",IF(J34&gt;K34,"W",IF(J34=K34,"D",IF(J34&lt;K34,"L"))))</f>
        <v>W</v>
      </c>
      <c r="M34" s="816">
        <f>IF(J34="","",J34+K34)</f>
        <v>3</v>
      </c>
      <c r="N34" s="816" t="str">
        <f>IF($J34="","",IF($M34&gt;N$19,"O",IF($M34&lt;N$19,"U",IF($M34=N$19,"-"))))</f>
        <v>O</v>
      </c>
      <c r="O34" s="816">
        <f>IF(Q34="","",IF(SIGN(Q34)&lt;&gt;1,VLOOKUP(ABS(Q34),SUP_HDC,3,TRUE),-VLOOKUP(ABS(Q34),SUP_HDC,3,TRUE)))</f>
        <v>-0.25</v>
      </c>
      <c r="P34" s="829">
        <f>IF(O34="","",IF((J34-K34+O34)&gt;=0.5,1,IF((J34-K34+O34)=0.25,0.5,IF((J34-K34+O34)&lt;=-0.5,-1,IF((J34-K34+O34)=-0.25,-0.5,0)))))</f>
        <v>1</v>
      </c>
      <c r="Q34" s="830">
        <v>0.16</v>
      </c>
      <c r="R34" s="871">
        <f t="shared" si="24"/>
        <v>0.84</v>
      </c>
      <c r="S34" s="830">
        <v>2.42</v>
      </c>
      <c r="T34" s="871">
        <f>IF(ISBLANK(S34),"",J34+K34-S34)</f>
        <v>0.58000000000000007</v>
      </c>
      <c r="U34" s="868">
        <f>IF(Q34="","",(Q34+S34)/2)</f>
        <v>1.29</v>
      </c>
      <c r="V34" s="868">
        <f>IF(Q34="","",S34-U34)</f>
        <v>1.1299999999999999</v>
      </c>
      <c r="W34" s="829">
        <v>12</v>
      </c>
      <c r="X34" s="829">
        <v>12</v>
      </c>
      <c r="Y34" s="829">
        <v>4</v>
      </c>
      <c r="Z34" s="829">
        <v>3</v>
      </c>
      <c r="AA34" s="829">
        <v>50</v>
      </c>
      <c r="AB34" s="829">
        <v>50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32</v>
      </c>
      <c r="AH34" s="891" t="s">
        <v>34</v>
      </c>
      <c r="AI34" s="891" t="s">
        <v>1886</v>
      </c>
      <c r="AJ34" s="891" t="s">
        <v>2441</v>
      </c>
      <c r="AK34" s="891" t="s">
        <v>34</v>
      </c>
      <c r="AL34" s="891" t="s">
        <v>32</v>
      </c>
      <c r="AM34" s="891" t="s">
        <v>35</v>
      </c>
      <c r="AN34" s="891" t="s">
        <v>32</v>
      </c>
      <c r="AO34" s="891" t="s">
        <v>1877</v>
      </c>
      <c r="AP34" s="891" t="s">
        <v>34</v>
      </c>
      <c r="AQ34" s="891" t="s">
        <v>1877</v>
      </c>
      <c r="AR34" s="891" t="s">
        <v>34</v>
      </c>
      <c r="AS34" s="891" t="s">
        <v>34</v>
      </c>
      <c r="AT34" s="891" t="s">
        <v>34</v>
      </c>
      <c r="AU34" s="891" t="s">
        <v>32</v>
      </c>
      <c r="AV34" s="904" t="s">
        <v>2449</v>
      </c>
      <c r="AW34" s="891" t="s">
        <v>34</v>
      </c>
      <c r="AX34" s="891" t="s">
        <v>36</v>
      </c>
      <c r="AY34" s="891" t="s">
        <v>36</v>
      </c>
      <c r="AZ34" s="891"/>
      <c r="BA34" s="891" t="s">
        <v>32</v>
      </c>
      <c r="BB34" s="891" t="s">
        <v>35</v>
      </c>
      <c r="BC34" s="891" t="s">
        <v>32</v>
      </c>
      <c r="BD34" s="891" t="s">
        <v>36</v>
      </c>
      <c r="BE34" s="891" t="s">
        <v>1877</v>
      </c>
      <c r="BF34" s="891"/>
      <c r="BG34" s="891"/>
      <c r="BH34" s="891"/>
      <c r="BI34" s="891"/>
      <c r="BJ34" s="891"/>
      <c r="BK34" s="891"/>
      <c r="BL34" s="891"/>
      <c r="BM34" s="891"/>
      <c r="BN34" s="891"/>
      <c r="BO34" s="891"/>
      <c r="BP34" s="891"/>
      <c r="BQ34" s="891"/>
      <c r="BR34" s="891"/>
      <c r="BS34" s="891"/>
      <c r="BT34" s="896"/>
      <c r="BU34" s="896"/>
      <c r="BV34" s="896"/>
      <c r="BW34" s="896"/>
      <c r="BX34" s="891"/>
      <c r="BY34" s="891"/>
      <c r="BZ34" s="891"/>
      <c r="CA34" s="891"/>
      <c r="CB34" s="891"/>
      <c r="CC34" s="891"/>
      <c r="CD34" s="891"/>
      <c r="CE34" s="428"/>
      <c r="CF34" s="428"/>
      <c r="CG34" s="428"/>
      <c r="CH34" s="428"/>
      <c r="CI34" s="230" t="s">
        <v>32</v>
      </c>
      <c r="CJ34" s="230" t="s">
        <v>32</v>
      </c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22</v>
      </c>
      <c r="G35" s="879" t="s">
        <v>1087</v>
      </c>
      <c r="H35" s="879" t="s">
        <v>18</v>
      </c>
      <c r="I35" s="879" t="s">
        <v>891</v>
      </c>
      <c r="J35" s="846">
        <v>3</v>
      </c>
      <c r="K35" s="846">
        <v>0</v>
      </c>
      <c r="L35" s="816" t="str">
        <f t="shared" si="30"/>
        <v>W</v>
      </c>
      <c r="M35" s="816">
        <f t="shared" si="31"/>
        <v>3</v>
      </c>
      <c r="N35" s="816" t="str">
        <f t="shared" si="32"/>
        <v>O</v>
      </c>
      <c r="O35" s="816">
        <f t="shared" si="21"/>
        <v>-0.25</v>
      </c>
      <c r="P35" s="829">
        <f t="shared" si="23"/>
        <v>1</v>
      </c>
      <c r="Q35" s="830">
        <v>0.3</v>
      </c>
      <c r="R35" s="871">
        <f t="shared" si="24"/>
        <v>2.7</v>
      </c>
      <c r="S35" s="830">
        <v>2.44</v>
      </c>
      <c r="T35" s="871">
        <f t="shared" si="25"/>
        <v>0.56000000000000005</v>
      </c>
      <c r="U35" s="868">
        <f t="shared" si="26"/>
        <v>1.3699999999999999</v>
      </c>
      <c r="V35" s="868">
        <f t="shared" si="27"/>
        <v>1.07</v>
      </c>
      <c r="W35" s="829">
        <v>16</v>
      </c>
      <c r="X35" s="829">
        <v>13</v>
      </c>
      <c r="Y35" s="829">
        <v>4</v>
      </c>
      <c r="Z35" s="829">
        <v>5</v>
      </c>
      <c r="AA35" s="829">
        <v>57</v>
      </c>
      <c r="AB35" s="829">
        <v>43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32</v>
      </c>
      <c r="AH35" s="891" t="s">
        <v>34</v>
      </c>
      <c r="AI35" s="891" t="s">
        <v>1886</v>
      </c>
      <c r="AJ35" s="891" t="s">
        <v>34</v>
      </c>
      <c r="AK35" s="891" t="s">
        <v>1877</v>
      </c>
      <c r="AL35" s="891" t="s">
        <v>32</v>
      </c>
      <c r="AM35" s="891" t="s">
        <v>32</v>
      </c>
      <c r="AN35" s="891" t="s">
        <v>32</v>
      </c>
      <c r="AO35" s="891" t="s">
        <v>1877</v>
      </c>
      <c r="AP35" s="891" t="s">
        <v>34</v>
      </c>
      <c r="AQ35" s="891" t="s">
        <v>32</v>
      </c>
      <c r="AR35" s="891" t="s">
        <v>34</v>
      </c>
      <c r="AS35" s="891" t="s">
        <v>34</v>
      </c>
      <c r="AT35" s="891" t="s">
        <v>2464</v>
      </c>
      <c r="AU35" s="891" t="s">
        <v>32</v>
      </c>
      <c r="AV35" s="891" t="s">
        <v>1877</v>
      </c>
      <c r="AW35" s="891" t="s">
        <v>35</v>
      </c>
      <c r="AX35" s="891" t="s">
        <v>34</v>
      </c>
      <c r="AY35" s="891" t="s">
        <v>34</v>
      </c>
      <c r="AZ35" s="891"/>
      <c r="BA35" s="891" t="s">
        <v>36</v>
      </c>
      <c r="BB35" s="891" t="s">
        <v>35</v>
      </c>
      <c r="BC35" s="891" t="s">
        <v>36</v>
      </c>
      <c r="BD35" s="891" t="s">
        <v>36</v>
      </c>
      <c r="BE35" s="891" t="s">
        <v>2463</v>
      </c>
      <c r="BF35" s="891"/>
      <c r="BG35" s="891"/>
      <c r="BH35" s="891"/>
      <c r="BI35" s="891"/>
      <c r="BJ35" s="891"/>
      <c r="BK35" s="891"/>
      <c r="BL35" s="891"/>
      <c r="BM35" s="891"/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6"/>
      <c r="CC35" s="896"/>
      <c r="CD35" s="896"/>
      <c r="CE35" s="428"/>
      <c r="CF35" s="428"/>
      <c r="CG35" s="428"/>
      <c r="CH35" s="428"/>
      <c r="CI35" s="230" t="s">
        <v>32</v>
      </c>
      <c r="CJ35" s="230" t="s">
        <v>32</v>
      </c>
      <c r="CK35" s="230" t="s">
        <v>32</v>
      </c>
      <c r="CL35" s="230" t="s">
        <v>32</v>
      </c>
      <c r="CM35" s="230" t="s">
        <v>32</v>
      </c>
      <c r="CN35" s="230" t="s">
        <v>32</v>
      </c>
      <c r="CO35" s="230" t="s">
        <v>32</v>
      </c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13</v>
      </c>
      <c r="G36" s="879" t="s">
        <v>884</v>
      </c>
      <c r="H36" s="879" t="s">
        <v>22</v>
      </c>
      <c r="I36" s="879" t="s">
        <v>891</v>
      </c>
      <c r="J36" s="846">
        <v>2</v>
      </c>
      <c r="K36" s="846">
        <v>0</v>
      </c>
      <c r="L36" s="816" t="str">
        <f t="shared" si="30"/>
        <v>W</v>
      </c>
      <c r="M36" s="816">
        <f t="shared" si="31"/>
        <v>2</v>
      </c>
      <c r="N36" s="816" t="str">
        <f t="shared" si="32"/>
        <v>U</v>
      </c>
      <c r="O36" s="816">
        <f t="shared" si="21"/>
        <v>-0.25</v>
      </c>
      <c r="P36" s="829">
        <f t="shared" si="23"/>
        <v>1</v>
      </c>
      <c r="Q36" s="830">
        <v>0.32</v>
      </c>
      <c r="R36" s="871">
        <f t="shared" si="24"/>
        <v>1.68</v>
      </c>
      <c r="S36" s="830">
        <v>2.2000000000000002</v>
      </c>
      <c r="T36" s="871">
        <f t="shared" si="25"/>
        <v>-0.20000000000000018</v>
      </c>
      <c r="U36" s="868">
        <f t="shared" si="26"/>
        <v>1.26</v>
      </c>
      <c r="V36" s="868">
        <f t="shared" si="27"/>
        <v>0.94000000000000017</v>
      </c>
      <c r="W36" s="829">
        <v>7</v>
      </c>
      <c r="X36" s="829">
        <v>10</v>
      </c>
      <c r="Y36" s="829">
        <v>3</v>
      </c>
      <c r="Z36" s="829">
        <v>3</v>
      </c>
      <c r="AA36" s="829">
        <v>48</v>
      </c>
      <c r="AB36" s="829">
        <v>52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/>
      <c r="AH36" s="891" t="s">
        <v>34</v>
      </c>
      <c r="AI36" s="891" t="s">
        <v>1886</v>
      </c>
      <c r="AJ36" s="891" t="s">
        <v>34</v>
      </c>
      <c r="AK36" s="891" t="s">
        <v>34</v>
      </c>
      <c r="AL36" s="891" t="s">
        <v>32</v>
      </c>
      <c r="AM36" s="891" t="s">
        <v>32</v>
      </c>
      <c r="AN36" s="891" t="s">
        <v>32</v>
      </c>
      <c r="AO36" s="891" t="s">
        <v>1877</v>
      </c>
      <c r="AP36" s="891" t="s">
        <v>34</v>
      </c>
      <c r="AQ36" s="891" t="s">
        <v>32</v>
      </c>
      <c r="AR36" s="891" t="s">
        <v>34</v>
      </c>
      <c r="AS36" s="891" t="s">
        <v>36</v>
      </c>
      <c r="AT36" s="891" t="s">
        <v>34</v>
      </c>
      <c r="AU36" s="891" t="s">
        <v>32</v>
      </c>
      <c r="AV36" s="891" t="s">
        <v>35</v>
      </c>
      <c r="AW36" s="891" t="s">
        <v>34</v>
      </c>
      <c r="AX36" s="891" t="s">
        <v>1877</v>
      </c>
      <c r="AY36" s="904" t="s">
        <v>36</v>
      </c>
      <c r="AZ36" s="891"/>
      <c r="BA36" s="891" t="s">
        <v>35</v>
      </c>
      <c r="BB36" s="891" t="s">
        <v>2498</v>
      </c>
      <c r="BC36" s="891" t="s">
        <v>1877</v>
      </c>
      <c r="BD36" s="891" t="s">
        <v>35</v>
      </c>
      <c r="BE36" s="891" t="s">
        <v>2491</v>
      </c>
      <c r="BF36" s="891"/>
      <c r="BG36" s="891"/>
      <c r="BH36" s="891"/>
      <c r="BI36" s="891"/>
      <c r="BJ36" s="891"/>
      <c r="BK36" s="891"/>
      <c r="BL36" s="891"/>
      <c r="BM36" s="891"/>
      <c r="BN36" s="891"/>
      <c r="BO36" s="891"/>
      <c r="BP36" s="891"/>
      <c r="BQ36" s="891"/>
      <c r="BR36" s="891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428"/>
      <c r="CF36" s="428"/>
      <c r="CG36" s="428"/>
      <c r="CH36" s="428"/>
      <c r="CM36" s="4" t="s">
        <v>32</v>
      </c>
      <c r="CN36" s="4" t="s">
        <v>32</v>
      </c>
      <c r="CO36" s="4" t="s">
        <v>32</v>
      </c>
      <c r="CP36" s="4" t="s">
        <v>32</v>
      </c>
      <c r="CQ36" s="4" t="s">
        <v>32</v>
      </c>
      <c r="CR36" s="4" t="s">
        <v>32</v>
      </c>
      <c r="CS36" s="6" t="s">
        <v>32</v>
      </c>
      <c r="CT36" s="6" t="s">
        <v>32</v>
      </c>
      <c r="CU36" s="6" t="s">
        <v>32</v>
      </c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3</v>
      </c>
      <c r="G37" s="883" t="s">
        <v>1085</v>
      </c>
      <c r="H37" s="879" t="s">
        <v>22</v>
      </c>
      <c r="I37" s="879" t="s">
        <v>891</v>
      </c>
      <c r="J37" s="846">
        <v>1</v>
      </c>
      <c r="K37" s="846">
        <v>2</v>
      </c>
      <c r="L37" s="816" t="str">
        <f t="shared" si="30"/>
        <v>L</v>
      </c>
      <c r="M37" s="816">
        <f t="shared" si="31"/>
        <v>3</v>
      </c>
      <c r="N37" s="816" t="str">
        <f t="shared" si="32"/>
        <v>O</v>
      </c>
      <c r="O37" s="816">
        <f t="shared" si="21"/>
        <v>0</v>
      </c>
      <c r="P37" s="829">
        <f t="shared" si="23"/>
        <v>-1</v>
      </c>
      <c r="Q37" s="830">
        <v>-0.04</v>
      </c>
      <c r="R37" s="871">
        <f t="shared" si="24"/>
        <v>-0.96</v>
      </c>
      <c r="S37" s="830">
        <v>2.4900000000000002</v>
      </c>
      <c r="T37" s="871">
        <f t="shared" si="25"/>
        <v>0.50999999999999979</v>
      </c>
      <c r="U37" s="868">
        <f t="shared" si="26"/>
        <v>1.2250000000000001</v>
      </c>
      <c r="V37" s="868">
        <f t="shared" si="27"/>
        <v>1.2650000000000001</v>
      </c>
      <c r="W37" s="829">
        <v>11</v>
      </c>
      <c r="X37" s="829">
        <v>12</v>
      </c>
      <c r="Y37" s="829">
        <v>3</v>
      </c>
      <c r="Z37" s="829">
        <v>4</v>
      </c>
      <c r="AA37" s="829">
        <v>42</v>
      </c>
      <c r="AB37" s="829">
        <v>58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32</v>
      </c>
      <c r="AH37" s="891" t="s">
        <v>34</v>
      </c>
      <c r="AI37" s="891" t="s">
        <v>1886</v>
      </c>
      <c r="AJ37" s="891" t="s">
        <v>34</v>
      </c>
      <c r="AK37" s="891" t="s">
        <v>1877</v>
      </c>
      <c r="AL37" s="891" t="s">
        <v>32</v>
      </c>
      <c r="AM37" s="891" t="s">
        <v>32</v>
      </c>
      <c r="AN37" s="891" t="s">
        <v>32</v>
      </c>
      <c r="AO37" s="891" t="s">
        <v>1877</v>
      </c>
      <c r="AP37" s="891" t="s">
        <v>34</v>
      </c>
      <c r="AQ37" s="891" t="s">
        <v>32</v>
      </c>
      <c r="AR37" s="891" t="s">
        <v>35</v>
      </c>
      <c r="AS37" s="904" t="s">
        <v>2505</v>
      </c>
      <c r="AT37" s="891" t="s">
        <v>34</v>
      </c>
      <c r="AU37" s="891" t="s">
        <v>1877</v>
      </c>
      <c r="AV37" s="891" t="s">
        <v>32</v>
      </c>
      <c r="AW37" s="891" t="s">
        <v>34</v>
      </c>
      <c r="AX37" s="891" t="s">
        <v>34</v>
      </c>
      <c r="AY37" s="891" t="s">
        <v>34</v>
      </c>
      <c r="AZ37" s="891"/>
      <c r="BA37" s="891" t="s">
        <v>36</v>
      </c>
      <c r="BB37" s="904" t="s">
        <v>35</v>
      </c>
      <c r="BC37" s="891" t="s">
        <v>36</v>
      </c>
      <c r="BD37" s="891" t="s">
        <v>36</v>
      </c>
      <c r="BE37" s="891" t="s">
        <v>35</v>
      </c>
      <c r="BF37" s="891"/>
      <c r="BG37" s="891"/>
      <c r="BH37" s="891"/>
      <c r="BI37" s="891"/>
      <c r="BJ37" s="891"/>
      <c r="BK37" s="891"/>
      <c r="BL37" s="891"/>
      <c r="BM37" s="891"/>
      <c r="BN37" s="891"/>
      <c r="BO37" s="891"/>
      <c r="BP37" s="891"/>
      <c r="BQ37" s="891"/>
      <c r="BR37" s="891"/>
      <c r="BS37" s="891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  <c r="CI37" s="230" t="s">
        <v>32</v>
      </c>
      <c r="CJ37" s="230" t="s">
        <v>32</v>
      </c>
      <c r="CK37" s="230" t="s">
        <v>32</v>
      </c>
      <c r="CL37" s="230" t="s">
        <v>32</v>
      </c>
      <c r="CM37" s="230" t="s">
        <v>32</v>
      </c>
      <c r="CN37" s="230" t="s">
        <v>32</v>
      </c>
      <c r="CO37" s="230" t="s">
        <v>32</v>
      </c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6</v>
      </c>
      <c r="G38" s="879" t="s">
        <v>876</v>
      </c>
      <c r="H38" s="879" t="s">
        <v>18</v>
      </c>
      <c r="I38" s="879" t="s">
        <v>891</v>
      </c>
      <c r="J38" s="846">
        <v>2</v>
      </c>
      <c r="K38" s="846">
        <v>4</v>
      </c>
      <c r="L38" s="816" t="str">
        <f t="shared" si="30"/>
        <v>L</v>
      </c>
      <c r="M38" s="816">
        <f t="shared" si="31"/>
        <v>6</v>
      </c>
      <c r="N38" s="816" t="str">
        <f t="shared" si="32"/>
        <v>O</v>
      </c>
      <c r="O38" s="816">
        <f t="shared" si="21"/>
        <v>0.25</v>
      </c>
      <c r="P38" s="829">
        <f t="shared" si="23"/>
        <v>-1</v>
      </c>
      <c r="Q38" s="830">
        <v>-0.33</v>
      </c>
      <c r="R38" s="871">
        <f t="shared" si="24"/>
        <v>-1.67</v>
      </c>
      <c r="S38" s="830">
        <v>2.46</v>
      </c>
      <c r="T38" s="871">
        <f t="shared" si="25"/>
        <v>3.54</v>
      </c>
      <c r="U38" s="868">
        <f t="shared" si="26"/>
        <v>1.0649999999999999</v>
      </c>
      <c r="V38" s="868">
        <f t="shared" si="27"/>
        <v>1.395</v>
      </c>
      <c r="W38" s="829">
        <v>12</v>
      </c>
      <c r="X38" s="829">
        <v>17</v>
      </c>
      <c r="Y38" s="829">
        <v>4</v>
      </c>
      <c r="Z38" s="829">
        <v>10</v>
      </c>
      <c r="AA38" s="829">
        <v>43</v>
      </c>
      <c r="AB38" s="829">
        <v>57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32</v>
      </c>
      <c r="AH38" s="891" t="s">
        <v>34</v>
      </c>
      <c r="AI38" s="891" t="s">
        <v>1886</v>
      </c>
      <c r="AJ38" s="891" t="s">
        <v>34</v>
      </c>
      <c r="AK38" s="891" t="s">
        <v>1877</v>
      </c>
      <c r="AL38" s="891" t="s">
        <v>32</v>
      </c>
      <c r="AM38" s="891" t="s">
        <v>1877</v>
      </c>
      <c r="AN38" s="891" t="s">
        <v>32</v>
      </c>
      <c r="AO38" s="891" t="s">
        <v>1877</v>
      </c>
      <c r="AP38" s="891" t="s">
        <v>34</v>
      </c>
      <c r="AQ38" s="891" t="s">
        <v>32</v>
      </c>
      <c r="AR38" s="891" t="s">
        <v>35</v>
      </c>
      <c r="AS38" s="891" t="s">
        <v>2533</v>
      </c>
      <c r="AT38" s="904" t="s">
        <v>2533</v>
      </c>
      <c r="AU38" s="891" t="s">
        <v>36</v>
      </c>
      <c r="AV38" s="891" t="s">
        <v>32</v>
      </c>
      <c r="AW38" s="891" t="s">
        <v>34</v>
      </c>
      <c r="AX38" s="891" t="s">
        <v>34</v>
      </c>
      <c r="AY38" s="891" t="s">
        <v>34</v>
      </c>
      <c r="AZ38" s="891"/>
      <c r="BA38" s="891" t="s">
        <v>32</v>
      </c>
      <c r="BB38" s="891" t="s">
        <v>36</v>
      </c>
      <c r="BC38" s="891" t="s">
        <v>36</v>
      </c>
      <c r="BD38" s="891" t="s">
        <v>35</v>
      </c>
      <c r="BE38" s="891" t="s">
        <v>35</v>
      </c>
      <c r="BF38" s="891"/>
      <c r="BG38" s="891"/>
      <c r="BH38" s="891"/>
      <c r="BI38" s="891"/>
      <c r="BJ38" s="891"/>
      <c r="BK38" s="891"/>
      <c r="BL38" s="891"/>
      <c r="BM38" s="891"/>
      <c r="BN38" s="892"/>
      <c r="BO38" s="896"/>
      <c r="BP38" s="892"/>
      <c r="BQ38" s="896"/>
      <c r="BR38" s="896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6365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16</v>
      </c>
      <c r="G39" s="883" t="s">
        <v>872</v>
      </c>
      <c r="H39" s="879" t="s">
        <v>18</v>
      </c>
      <c r="I39" s="879" t="s">
        <v>891</v>
      </c>
      <c r="J39" s="846">
        <v>2</v>
      </c>
      <c r="K39" s="846">
        <v>1</v>
      </c>
      <c r="L39" s="816" t="str">
        <f t="shared" si="30"/>
        <v>W</v>
      </c>
      <c r="M39" s="816">
        <f t="shared" si="31"/>
        <v>3</v>
      </c>
      <c r="N39" s="816" t="str">
        <f t="shared" si="32"/>
        <v>O</v>
      </c>
      <c r="O39" s="816">
        <f t="shared" si="21"/>
        <v>0.25</v>
      </c>
      <c r="P39" s="829">
        <f t="shared" si="23"/>
        <v>1</v>
      </c>
      <c r="Q39" s="830">
        <v>-0.18</v>
      </c>
      <c r="R39" s="871">
        <f t="shared" si="24"/>
        <v>1.18</v>
      </c>
      <c r="S39" s="830">
        <v>2.33</v>
      </c>
      <c r="T39" s="871">
        <f t="shared" si="25"/>
        <v>0.66999999999999993</v>
      </c>
      <c r="U39" s="868">
        <f t="shared" si="26"/>
        <v>1.075</v>
      </c>
      <c r="V39" s="868">
        <f t="shared" si="27"/>
        <v>1.2550000000000001</v>
      </c>
      <c r="W39" s="829">
        <v>5</v>
      </c>
      <c r="X39" s="829">
        <v>16</v>
      </c>
      <c r="Y39" s="829">
        <v>3</v>
      </c>
      <c r="Z39" s="829">
        <v>4</v>
      </c>
      <c r="AA39" s="829">
        <v>52</v>
      </c>
      <c r="AB39" s="829">
        <v>48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32</v>
      </c>
      <c r="AH39" s="891" t="s">
        <v>34</v>
      </c>
      <c r="AI39" s="891" t="s">
        <v>1886</v>
      </c>
      <c r="AJ39" s="891" t="s">
        <v>34</v>
      </c>
      <c r="AK39" s="891" t="s">
        <v>1877</v>
      </c>
      <c r="AL39" s="891" t="s">
        <v>34</v>
      </c>
      <c r="AM39" s="891" t="s">
        <v>32</v>
      </c>
      <c r="AN39" s="891" t="s">
        <v>32</v>
      </c>
      <c r="AO39" s="891" t="s">
        <v>32</v>
      </c>
      <c r="AP39" s="891" t="s">
        <v>34</v>
      </c>
      <c r="AQ39" s="891" t="s">
        <v>32</v>
      </c>
      <c r="AR39" s="891" t="s">
        <v>35</v>
      </c>
      <c r="AS39" s="891" t="s">
        <v>34</v>
      </c>
      <c r="AT39" s="904" t="s">
        <v>34</v>
      </c>
      <c r="AU39" s="891" t="s">
        <v>36</v>
      </c>
      <c r="AV39" s="891" t="s">
        <v>32</v>
      </c>
      <c r="AW39" s="891" t="s">
        <v>2555</v>
      </c>
      <c r="AX39" s="891" t="s">
        <v>1877</v>
      </c>
      <c r="AY39" s="904" t="s">
        <v>35</v>
      </c>
      <c r="AZ39" s="891"/>
      <c r="BA39" s="891" t="s">
        <v>36</v>
      </c>
      <c r="BB39" s="891" t="s">
        <v>35</v>
      </c>
      <c r="BC39" s="891" t="s">
        <v>36</v>
      </c>
      <c r="BD39" s="891" t="s">
        <v>1877</v>
      </c>
      <c r="BE39" s="891" t="s">
        <v>2555</v>
      </c>
      <c r="BF39" s="891"/>
      <c r="BG39" s="891"/>
      <c r="BH39" s="891"/>
      <c r="BI39" s="891"/>
      <c r="BJ39" s="891"/>
      <c r="BK39" s="891"/>
      <c r="BL39" s="891"/>
      <c r="BM39" s="891"/>
      <c r="BN39" s="891"/>
      <c r="BO39" s="891"/>
      <c r="BP39" s="892"/>
      <c r="BQ39" s="896"/>
      <c r="BR39" s="891"/>
      <c r="BS39" s="891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18</v>
      </c>
      <c r="G40" s="879" t="s">
        <v>887</v>
      </c>
      <c r="H40" s="879" t="s">
        <v>22</v>
      </c>
      <c r="I40" s="879" t="s">
        <v>891</v>
      </c>
      <c r="J40" s="846">
        <v>2</v>
      </c>
      <c r="K40" s="846">
        <v>0</v>
      </c>
      <c r="L40" s="816" t="str">
        <f t="shared" si="30"/>
        <v>W</v>
      </c>
      <c r="M40" s="816">
        <f t="shared" si="31"/>
        <v>2</v>
      </c>
      <c r="N40" s="816" t="str">
        <f t="shared" si="32"/>
        <v>U</v>
      </c>
      <c r="O40" s="816">
        <f t="shared" si="21"/>
        <v>-0.25</v>
      </c>
      <c r="P40" s="829">
        <f t="shared" si="23"/>
        <v>1</v>
      </c>
      <c r="Q40" s="830">
        <v>0.28000000000000003</v>
      </c>
      <c r="R40" s="871">
        <f t="shared" si="24"/>
        <v>1.72</v>
      </c>
      <c r="S40" s="830">
        <v>2.5299999999999998</v>
      </c>
      <c r="T40" s="871">
        <f t="shared" si="25"/>
        <v>-0.5299999999999998</v>
      </c>
      <c r="U40" s="868">
        <f t="shared" si="26"/>
        <v>1.4049999999999998</v>
      </c>
      <c r="V40" s="868">
        <f t="shared" si="27"/>
        <v>1.125</v>
      </c>
      <c r="W40" s="829">
        <v>15</v>
      </c>
      <c r="X40" s="829">
        <v>12</v>
      </c>
      <c r="Y40" s="829">
        <v>5</v>
      </c>
      <c r="Z40" s="829">
        <v>3</v>
      </c>
      <c r="AA40" s="829">
        <v>34</v>
      </c>
      <c r="AB40" s="829">
        <v>66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/>
      <c r="AH40" s="891" t="s">
        <v>34</v>
      </c>
      <c r="AI40" s="891" t="s">
        <v>1886</v>
      </c>
      <c r="AJ40" s="891" t="s">
        <v>35</v>
      </c>
      <c r="AK40" s="891" t="s">
        <v>36</v>
      </c>
      <c r="AL40" s="891" t="s">
        <v>34</v>
      </c>
      <c r="AM40" s="891" t="s">
        <v>32</v>
      </c>
      <c r="AN40" s="891" t="s">
        <v>32</v>
      </c>
      <c r="AO40" s="891" t="s">
        <v>32</v>
      </c>
      <c r="AP40" s="891" t="s">
        <v>34</v>
      </c>
      <c r="AQ40" s="891" t="s">
        <v>32</v>
      </c>
      <c r="AR40" s="891" t="s">
        <v>34</v>
      </c>
      <c r="AS40" s="891" t="s">
        <v>34</v>
      </c>
      <c r="AT40" s="891" t="s">
        <v>34</v>
      </c>
      <c r="AU40" s="891" t="s">
        <v>1877</v>
      </c>
      <c r="AV40" s="891" t="s">
        <v>32</v>
      </c>
      <c r="AW40" s="891" t="s">
        <v>34</v>
      </c>
      <c r="AX40" s="891" t="s">
        <v>1877</v>
      </c>
      <c r="AY40" s="891" t="s">
        <v>36</v>
      </c>
      <c r="AZ40" s="891"/>
      <c r="BA40" s="891" t="s">
        <v>35</v>
      </c>
      <c r="BB40" s="891" t="s">
        <v>2598</v>
      </c>
      <c r="BC40" s="891" t="s">
        <v>2597</v>
      </c>
      <c r="BD40" s="891" t="s">
        <v>1877</v>
      </c>
      <c r="BE40" s="891" t="s">
        <v>34</v>
      </c>
      <c r="BF40" s="891"/>
      <c r="BG40" s="891"/>
      <c r="BH40" s="891"/>
      <c r="BI40" s="891"/>
      <c r="BJ40" s="891"/>
      <c r="BK40" s="891"/>
      <c r="BL40" s="891"/>
      <c r="BM40" s="891"/>
      <c r="BN40" s="891"/>
      <c r="BO40" s="891"/>
      <c r="BP40" s="892"/>
      <c r="BQ40" s="896"/>
      <c r="BR40" s="891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"/>
      <c r="CF40" s="4"/>
      <c r="CG40" s="4"/>
      <c r="CH40" s="4"/>
      <c r="CI40" s="6" t="s">
        <v>32</v>
      </c>
      <c r="CJ40" s="6" t="s">
        <v>32</v>
      </c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5</v>
      </c>
      <c r="G41" s="879" t="s">
        <v>889</v>
      </c>
      <c r="H41" s="879" t="s">
        <v>18</v>
      </c>
      <c r="I41" s="879" t="s">
        <v>891</v>
      </c>
      <c r="J41" s="846">
        <v>3</v>
      </c>
      <c r="K41" s="846">
        <v>3</v>
      </c>
      <c r="L41" s="816" t="str">
        <f t="shared" si="30"/>
        <v>D</v>
      </c>
      <c r="M41" s="816">
        <f t="shared" si="31"/>
        <v>6</v>
      </c>
      <c r="N41" s="816" t="str">
        <f t="shared" si="32"/>
        <v>O</v>
      </c>
      <c r="O41" s="816">
        <f t="shared" si="21"/>
        <v>0.25</v>
      </c>
      <c r="P41" s="829">
        <f t="shared" si="23"/>
        <v>0.5</v>
      </c>
      <c r="Q41" s="830">
        <v>-0.23</v>
      </c>
      <c r="R41" s="871">
        <f t="shared" si="24"/>
        <v>0.23</v>
      </c>
      <c r="S41" s="830">
        <v>2.42</v>
      </c>
      <c r="T41" s="871">
        <f t="shared" si="25"/>
        <v>3.58</v>
      </c>
      <c r="U41" s="868">
        <f t="shared" si="26"/>
        <v>1.095</v>
      </c>
      <c r="V41" s="868">
        <f t="shared" si="27"/>
        <v>1.325</v>
      </c>
      <c r="W41" s="829">
        <v>8</v>
      </c>
      <c r="X41" s="829">
        <v>17</v>
      </c>
      <c r="Y41" s="829">
        <v>5</v>
      </c>
      <c r="Z41" s="829">
        <v>6</v>
      </c>
      <c r="AA41" s="829">
        <v>47</v>
      </c>
      <c r="AB41" s="829">
        <v>53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1877</v>
      </c>
      <c r="AH41" s="891" t="s">
        <v>34</v>
      </c>
      <c r="AI41" s="891" t="s">
        <v>1886</v>
      </c>
      <c r="AJ41" s="891" t="s">
        <v>32</v>
      </c>
      <c r="AK41" s="891" t="s">
        <v>35</v>
      </c>
      <c r="AL41" s="891" t="s">
        <v>34</v>
      </c>
      <c r="AM41" s="891" t="s">
        <v>32</v>
      </c>
      <c r="AN41" s="891" t="s">
        <v>32</v>
      </c>
      <c r="AO41" s="891" t="s">
        <v>32</v>
      </c>
      <c r="AP41" s="891" t="s">
        <v>34</v>
      </c>
      <c r="AQ41" s="891" t="s">
        <v>32</v>
      </c>
      <c r="AR41" s="891" t="s">
        <v>34</v>
      </c>
      <c r="AS41" s="891" t="s">
        <v>2689</v>
      </c>
      <c r="AT41" s="891" t="s">
        <v>34</v>
      </c>
      <c r="AU41" s="891" t="s">
        <v>1877</v>
      </c>
      <c r="AV41" s="891" t="s">
        <v>1877</v>
      </c>
      <c r="AW41" s="891" t="s">
        <v>2688</v>
      </c>
      <c r="AX41" s="906" t="s">
        <v>2679</v>
      </c>
      <c r="AY41" s="891" t="s">
        <v>36</v>
      </c>
      <c r="AZ41" s="891"/>
      <c r="BA41" s="891" t="s">
        <v>35</v>
      </c>
      <c r="BB41" s="891" t="s">
        <v>36</v>
      </c>
      <c r="BC41" s="891" t="s">
        <v>35</v>
      </c>
      <c r="BD41" s="891" t="s">
        <v>1877</v>
      </c>
      <c r="BE41" s="891" t="s">
        <v>2688</v>
      </c>
      <c r="BF41" s="891"/>
      <c r="BG41" s="891"/>
      <c r="BH41" s="891"/>
      <c r="BI41" s="891"/>
      <c r="BJ41" s="891"/>
      <c r="BK41" s="891"/>
      <c r="BL41" s="891"/>
      <c r="BM41" s="891"/>
      <c r="BN41" s="892"/>
      <c r="BO41" s="896"/>
      <c r="BP41" s="892"/>
      <c r="BQ41" s="896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84"/>
      <c r="C42" s="884"/>
      <c r="D42" s="884"/>
      <c r="E42" s="884"/>
      <c r="F42" s="884"/>
      <c r="G42" s="828" t="s">
        <v>885</v>
      </c>
      <c r="H42" s="828" t="s">
        <v>22</v>
      </c>
      <c r="I42" s="828" t="s">
        <v>2654</v>
      </c>
      <c r="J42" s="895">
        <v>2</v>
      </c>
      <c r="K42" s="895">
        <v>1</v>
      </c>
      <c r="L42" s="816" t="str">
        <f t="shared" ref="L42" si="33">IF(J42="","",IF(J42&gt;K42,"W",IF(J42=K42,"D",IF(J42&lt;K42,"L"))))</f>
        <v>W</v>
      </c>
      <c r="M42" s="816">
        <f t="shared" ref="M42" si="34">IF(J42="","",J42+K42)</f>
        <v>3</v>
      </c>
      <c r="N42" s="816" t="str">
        <f t="shared" si="32"/>
        <v>O</v>
      </c>
      <c r="O42" s="816" t="str">
        <f t="shared" ref="O42" si="35">IF(Q42="","",IF(SIGN(Q42)&lt;&gt;1,VLOOKUP(ABS(Q42),SUP_HDC,3,TRUE),-VLOOKUP(ABS(Q42),SUP_HDC,3,TRUE)))</f>
        <v/>
      </c>
      <c r="P42" s="829" t="str">
        <f t="shared" ref="P42" si="36">IF(O42="","",IF((J42-K42+O42)&gt;=0.5,1,IF((J42-K42+O42)=0.25,0.5,IF((J42-K42+O42)&lt;=-0.5,-1,IF((J42-K42+O42)=-0.25,-0.5,0)))))</f>
        <v/>
      </c>
      <c r="Q42" s="830"/>
      <c r="R42" s="871" t="str">
        <f t="shared" ref="R42" si="37">IF(ISBLANK(Q42),"",J42-K42-Q42)</f>
        <v/>
      </c>
      <c r="S42" s="830"/>
      <c r="T42" s="871" t="str">
        <f t="shared" ref="T42" si="38">IF(ISBLANK(S42),"",J42+K42-S42)</f>
        <v/>
      </c>
      <c r="U42" s="868" t="str">
        <f t="shared" ref="U42" si="39">IF(Q42="","",(Q42+S42)/2)</f>
        <v/>
      </c>
      <c r="V42" s="868" t="str">
        <f t="shared" ref="V42" si="40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34</v>
      </c>
      <c r="AH42" s="891" t="s">
        <v>1877</v>
      </c>
      <c r="AI42" s="891" t="s">
        <v>1886</v>
      </c>
      <c r="AJ42" s="891" t="s">
        <v>32</v>
      </c>
      <c r="AK42" s="891" t="s">
        <v>2780</v>
      </c>
      <c r="AL42" s="891" t="s">
        <v>32</v>
      </c>
      <c r="AM42" s="891" t="s">
        <v>32</v>
      </c>
      <c r="AN42" s="891" t="s">
        <v>34</v>
      </c>
      <c r="AO42" s="891" t="s">
        <v>34</v>
      </c>
      <c r="AP42" s="891" t="s">
        <v>1877</v>
      </c>
      <c r="AQ42" s="891" t="s">
        <v>34</v>
      </c>
      <c r="AR42" s="891" t="s">
        <v>32</v>
      </c>
      <c r="AS42" s="891" t="s">
        <v>36</v>
      </c>
      <c r="AT42" s="891" t="s">
        <v>1877</v>
      </c>
      <c r="AU42" s="904" t="s">
        <v>34</v>
      </c>
      <c r="AV42" s="891" t="s">
        <v>34</v>
      </c>
      <c r="AW42" s="891" t="s">
        <v>36</v>
      </c>
      <c r="AX42" s="891" t="s">
        <v>34</v>
      </c>
      <c r="AY42" s="891" t="s">
        <v>35</v>
      </c>
      <c r="AZ42" s="891" t="s">
        <v>35</v>
      </c>
      <c r="BA42" s="891" t="s">
        <v>32</v>
      </c>
      <c r="BB42" s="891" t="s">
        <v>2707</v>
      </c>
      <c r="BC42" s="891" t="s">
        <v>2703</v>
      </c>
      <c r="BD42" s="891" t="s">
        <v>35</v>
      </c>
      <c r="BE42" s="891"/>
      <c r="BF42" s="891"/>
      <c r="BG42" s="891"/>
      <c r="BH42" s="891"/>
      <c r="BI42" s="891"/>
      <c r="BJ42" s="891"/>
      <c r="BK42" s="891"/>
      <c r="BL42" s="891"/>
      <c r="BM42" s="891"/>
      <c r="BN42" s="892"/>
      <c r="BO42" s="896"/>
      <c r="BP42" s="892"/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428"/>
      <c r="CF42" s="428"/>
      <c r="CG42" s="428"/>
      <c r="CH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4</v>
      </c>
      <c r="G43" s="879" t="s">
        <v>1084</v>
      </c>
      <c r="H43" s="879" t="s">
        <v>22</v>
      </c>
      <c r="I43" s="879" t="s">
        <v>891</v>
      </c>
      <c r="J43" s="846">
        <v>0</v>
      </c>
      <c r="K43" s="846">
        <v>1</v>
      </c>
      <c r="L43" s="816" t="str">
        <f t="shared" si="30"/>
        <v>L</v>
      </c>
      <c r="M43" s="816">
        <f t="shared" si="31"/>
        <v>1</v>
      </c>
      <c r="N43" s="816" t="str">
        <f t="shared" si="32"/>
        <v>U</v>
      </c>
      <c r="O43" s="816">
        <f t="shared" si="21"/>
        <v>0.25</v>
      </c>
      <c r="P43" s="829">
        <f t="shared" si="23"/>
        <v>-1</v>
      </c>
      <c r="Q43" s="830">
        <v>-0.4</v>
      </c>
      <c r="R43" s="871">
        <f t="shared" si="24"/>
        <v>-0.6</v>
      </c>
      <c r="S43" s="830">
        <v>2.4500000000000002</v>
      </c>
      <c r="T43" s="871">
        <f t="shared" si="25"/>
        <v>-1.4500000000000002</v>
      </c>
      <c r="U43" s="868">
        <f t="shared" si="26"/>
        <v>1.0250000000000001</v>
      </c>
      <c r="V43" s="868">
        <f t="shared" si="27"/>
        <v>1.425</v>
      </c>
      <c r="W43" s="829">
        <v>11</v>
      </c>
      <c r="X43" s="829">
        <v>26</v>
      </c>
      <c r="Y43" s="829">
        <v>1</v>
      </c>
      <c r="Z43" s="829">
        <v>9</v>
      </c>
      <c r="AA43" s="829">
        <v>50</v>
      </c>
      <c r="AB43" s="829">
        <v>50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1877</v>
      </c>
      <c r="AH43" s="891" t="s">
        <v>34</v>
      </c>
      <c r="AI43" s="891" t="s">
        <v>1886</v>
      </c>
      <c r="AJ43" s="891" t="s">
        <v>2775</v>
      </c>
      <c r="AK43" s="891" t="s">
        <v>2780</v>
      </c>
      <c r="AL43" s="891" t="s">
        <v>34</v>
      </c>
      <c r="AM43" s="891" t="s">
        <v>32</v>
      </c>
      <c r="AN43" s="891" t="s">
        <v>32</v>
      </c>
      <c r="AO43" s="891" t="s">
        <v>1877</v>
      </c>
      <c r="AP43" s="891" t="s">
        <v>34</v>
      </c>
      <c r="AQ43" s="891" t="s">
        <v>36</v>
      </c>
      <c r="AR43" s="891" t="s">
        <v>35</v>
      </c>
      <c r="AS43" s="891" t="s">
        <v>34</v>
      </c>
      <c r="AT43" s="891" t="s">
        <v>34</v>
      </c>
      <c r="AU43" s="891" t="s">
        <v>1877</v>
      </c>
      <c r="AV43" s="891" t="s">
        <v>32</v>
      </c>
      <c r="AW43" s="891" t="s">
        <v>34</v>
      </c>
      <c r="AX43" s="891" t="s">
        <v>34</v>
      </c>
      <c r="AY43" s="891" t="s">
        <v>1877</v>
      </c>
      <c r="AZ43" s="891" t="s">
        <v>32</v>
      </c>
      <c r="BA43" s="891" t="s">
        <v>34</v>
      </c>
      <c r="BB43" s="891" t="s">
        <v>36</v>
      </c>
      <c r="BC43" s="891" t="s">
        <v>36</v>
      </c>
      <c r="BD43" s="891" t="s">
        <v>35</v>
      </c>
      <c r="BE43" s="891" t="s">
        <v>35</v>
      </c>
      <c r="BF43" s="891"/>
      <c r="BG43" s="891"/>
      <c r="BH43" s="891"/>
      <c r="BI43" s="891"/>
      <c r="BJ43" s="891"/>
      <c r="BK43" s="891"/>
      <c r="BL43" s="891"/>
      <c r="BM43" s="891"/>
      <c r="BN43" s="892"/>
      <c r="BO43" s="896"/>
      <c r="BP43" s="892"/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7</v>
      </c>
      <c r="G44" s="879" t="s">
        <v>888</v>
      </c>
      <c r="H44" s="879" t="s">
        <v>18</v>
      </c>
      <c r="I44" s="879" t="s">
        <v>891</v>
      </c>
      <c r="J44" s="846">
        <v>1</v>
      </c>
      <c r="K44" s="846">
        <v>4</v>
      </c>
      <c r="L44" s="816" t="str">
        <f t="shared" si="30"/>
        <v>L</v>
      </c>
      <c r="M44" s="816">
        <f t="shared" si="31"/>
        <v>5</v>
      </c>
      <c r="N44" s="816" t="str">
        <f t="shared" si="32"/>
        <v>O</v>
      </c>
      <c r="O44" s="816">
        <f t="shared" si="21"/>
        <v>0.5</v>
      </c>
      <c r="P44" s="829">
        <f t="shared" si="23"/>
        <v>-1</v>
      </c>
      <c r="Q44" s="830">
        <v>-0.63</v>
      </c>
      <c r="R44" s="871">
        <f t="shared" si="24"/>
        <v>-2.37</v>
      </c>
      <c r="S44" s="830">
        <v>2.5299999999999998</v>
      </c>
      <c r="T44" s="871">
        <f t="shared" si="25"/>
        <v>2.4700000000000002</v>
      </c>
      <c r="U44" s="868">
        <f t="shared" si="26"/>
        <v>0.95</v>
      </c>
      <c r="V44" s="868">
        <f t="shared" si="27"/>
        <v>1.5799999999999998</v>
      </c>
      <c r="W44" s="829">
        <v>9</v>
      </c>
      <c r="X44" s="829">
        <v>28</v>
      </c>
      <c r="Y44" s="829">
        <v>5</v>
      </c>
      <c r="Z44" s="829">
        <v>14</v>
      </c>
      <c r="AA44" s="829">
        <v>42</v>
      </c>
      <c r="AB44" s="829">
        <v>58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1877</v>
      </c>
      <c r="AH44" s="891" t="s">
        <v>34</v>
      </c>
      <c r="AI44" s="891" t="s">
        <v>1886</v>
      </c>
      <c r="AJ44" s="891"/>
      <c r="AK44" s="891" t="s">
        <v>1954</v>
      </c>
      <c r="AL44" s="891" t="s">
        <v>34</v>
      </c>
      <c r="AM44" s="891" t="s">
        <v>32</v>
      </c>
      <c r="AN44" s="891" t="s">
        <v>32</v>
      </c>
      <c r="AO44" s="891" t="s">
        <v>1877</v>
      </c>
      <c r="AP44" s="891" t="s">
        <v>34</v>
      </c>
      <c r="AQ44" s="891" t="s">
        <v>32</v>
      </c>
      <c r="AR44" s="891" t="s">
        <v>35</v>
      </c>
      <c r="AS44" s="891" t="s">
        <v>34</v>
      </c>
      <c r="AT44" s="891" t="s">
        <v>34</v>
      </c>
      <c r="AU44" s="891" t="s">
        <v>36</v>
      </c>
      <c r="AV44" s="891" t="s">
        <v>1877</v>
      </c>
      <c r="AW44" s="891" t="s">
        <v>35</v>
      </c>
      <c r="AX44" s="891" t="s">
        <v>34</v>
      </c>
      <c r="AY44" s="891" t="s">
        <v>36</v>
      </c>
      <c r="AZ44" s="891" t="s">
        <v>32</v>
      </c>
      <c r="BA44" s="891" t="s">
        <v>34</v>
      </c>
      <c r="BB44" s="891" t="s">
        <v>36</v>
      </c>
      <c r="BC44" s="891" t="s">
        <v>35</v>
      </c>
      <c r="BD44" s="891" t="s">
        <v>1877</v>
      </c>
      <c r="BE44" s="891" t="s">
        <v>2802</v>
      </c>
      <c r="BF44" s="891"/>
      <c r="BG44" s="891"/>
      <c r="BH44" s="891"/>
      <c r="BI44" s="891"/>
      <c r="BJ44" s="891"/>
      <c r="BK44" s="891"/>
      <c r="BL44" s="891"/>
      <c r="BM44" s="891"/>
      <c r="BN44" s="892"/>
      <c r="BO44" s="896"/>
      <c r="BP44" s="892"/>
      <c r="BQ44" s="896"/>
      <c r="BR44" s="891"/>
      <c r="BS44" s="896"/>
      <c r="BT44" s="896"/>
      <c r="BU44" s="896"/>
      <c r="BV44" s="896"/>
      <c r="BW44" s="896"/>
      <c r="BX44" s="891"/>
      <c r="BY44" s="891"/>
      <c r="BZ44" s="891"/>
      <c r="CA44" s="891"/>
      <c r="CB44" s="891"/>
      <c r="CC44" s="891"/>
      <c r="CD44" s="891"/>
      <c r="CE44" s="428"/>
      <c r="CF44" s="428"/>
      <c r="CG44" s="428"/>
      <c r="CH44" s="428"/>
    </row>
    <row r="45" spans="1:120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2</v>
      </c>
      <c r="G45" s="879" t="s">
        <v>886</v>
      </c>
      <c r="H45" s="879" t="s">
        <v>18</v>
      </c>
      <c r="I45" s="879" t="s">
        <v>891</v>
      </c>
      <c r="J45" s="846">
        <v>0</v>
      </c>
      <c r="K45" s="846">
        <v>2</v>
      </c>
      <c r="L45" s="816" t="str">
        <f t="shared" si="30"/>
        <v>L</v>
      </c>
      <c r="M45" s="816">
        <f t="shared" si="31"/>
        <v>2</v>
      </c>
      <c r="N45" s="816" t="str">
        <f t="shared" si="32"/>
        <v>U</v>
      </c>
      <c r="O45" s="816">
        <f t="shared" si="21"/>
        <v>0.25</v>
      </c>
      <c r="P45" s="829">
        <f t="shared" si="23"/>
        <v>-1</v>
      </c>
      <c r="Q45" s="830">
        <v>-0.34</v>
      </c>
      <c r="R45" s="871">
        <f t="shared" si="24"/>
        <v>-1.66</v>
      </c>
      <c r="S45" s="830">
        <v>2.17</v>
      </c>
      <c r="T45" s="871">
        <f t="shared" si="25"/>
        <v>-0.16999999999999993</v>
      </c>
      <c r="U45" s="868">
        <f t="shared" si="26"/>
        <v>0.91499999999999992</v>
      </c>
      <c r="V45" s="868">
        <f t="shared" si="27"/>
        <v>1.2549999999999999</v>
      </c>
      <c r="W45" s="829">
        <v>11</v>
      </c>
      <c r="X45" s="829">
        <v>8</v>
      </c>
      <c r="Y45" s="829">
        <v>2</v>
      </c>
      <c r="Z45" s="829">
        <v>3</v>
      </c>
      <c r="AA45" s="829">
        <v>61</v>
      </c>
      <c r="AB45" s="829">
        <v>39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1877</v>
      </c>
      <c r="AH45" s="891" t="s">
        <v>34</v>
      </c>
      <c r="AI45" s="891" t="s">
        <v>1886</v>
      </c>
      <c r="AJ45" s="891" t="s">
        <v>32</v>
      </c>
      <c r="AK45" s="891" t="s">
        <v>1886</v>
      </c>
      <c r="AL45" s="891" t="s">
        <v>1877</v>
      </c>
      <c r="AM45" s="891" t="s">
        <v>32</v>
      </c>
      <c r="AN45" s="891" t="s">
        <v>32</v>
      </c>
      <c r="AO45" s="904" t="s">
        <v>34</v>
      </c>
      <c r="AP45" s="891" t="s">
        <v>34</v>
      </c>
      <c r="AQ45" s="891" t="s">
        <v>1877</v>
      </c>
      <c r="AR45" s="891" t="s">
        <v>34</v>
      </c>
      <c r="AS45" s="891" t="s">
        <v>36</v>
      </c>
      <c r="AT45" s="891" t="s">
        <v>34</v>
      </c>
      <c r="AU45" s="891" t="s">
        <v>1877</v>
      </c>
      <c r="AV45" s="904" t="s">
        <v>35</v>
      </c>
      <c r="AW45" s="891" t="s">
        <v>36</v>
      </c>
      <c r="AX45" s="891" t="s">
        <v>34</v>
      </c>
      <c r="AY45" s="891" t="s">
        <v>35</v>
      </c>
      <c r="AZ45" s="891" t="s">
        <v>32</v>
      </c>
      <c r="BA45" s="891" t="s">
        <v>34</v>
      </c>
      <c r="BB45" s="891" t="s">
        <v>32</v>
      </c>
      <c r="BC45" s="891" t="s">
        <v>36</v>
      </c>
      <c r="BD45" s="891" t="s">
        <v>35</v>
      </c>
      <c r="BE45" s="891" t="s">
        <v>34</v>
      </c>
      <c r="BF45" s="891"/>
      <c r="BG45" s="891"/>
      <c r="BH45" s="891"/>
      <c r="BI45" s="891"/>
      <c r="BJ45" s="891"/>
      <c r="BK45" s="891"/>
      <c r="BL45" s="891"/>
      <c r="BM45" s="891"/>
      <c r="BN45" s="892"/>
      <c r="BO45" s="896"/>
      <c r="BP45" s="892"/>
      <c r="BQ45" s="896"/>
      <c r="BR45" s="896"/>
      <c r="BS45" s="896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428"/>
      <c r="CF45" s="428"/>
      <c r="CG45" s="428"/>
      <c r="CH45" s="428"/>
    </row>
    <row r="46" spans="1:120" ht="15">
      <c r="A46" s="912">
        <v>6403</v>
      </c>
      <c r="B46" s="894"/>
      <c r="C46" s="894"/>
      <c r="D46" s="894"/>
      <c r="E46" s="894"/>
      <c r="F46" s="894"/>
      <c r="G46" s="828" t="s">
        <v>2762</v>
      </c>
      <c r="H46" s="828" t="s">
        <v>2763</v>
      </c>
      <c r="I46" s="828" t="s">
        <v>2649</v>
      </c>
      <c r="J46" s="898">
        <v>1</v>
      </c>
      <c r="K46" s="898">
        <v>1</v>
      </c>
      <c r="L46" s="816" t="str">
        <f t="shared" si="30"/>
        <v>D</v>
      </c>
      <c r="M46" s="816">
        <f t="shared" si="31"/>
        <v>2</v>
      </c>
      <c r="N46" s="816" t="str">
        <f t="shared" si="32"/>
        <v>U</v>
      </c>
      <c r="O46" s="816"/>
      <c r="P46" s="829"/>
      <c r="Q46" s="830"/>
      <c r="R46" s="871" t="str">
        <f t="shared" si="24"/>
        <v/>
      </c>
      <c r="S46" s="830"/>
      <c r="T46" s="871" t="str">
        <f t="shared" si="25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34</v>
      </c>
      <c r="AH46" s="891" t="s">
        <v>32</v>
      </c>
      <c r="AI46" s="891" t="s">
        <v>1886</v>
      </c>
      <c r="AJ46" s="891" t="s">
        <v>35</v>
      </c>
      <c r="AK46" s="891" t="s">
        <v>1886</v>
      </c>
      <c r="AL46" s="891" t="s">
        <v>34</v>
      </c>
      <c r="AM46" s="904" t="s">
        <v>34</v>
      </c>
      <c r="AN46" s="891" t="s">
        <v>32</v>
      </c>
      <c r="AO46" s="891" t="s">
        <v>32</v>
      </c>
      <c r="AP46" s="891" t="s">
        <v>1877</v>
      </c>
      <c r="AQ46" s="891" t="s">
        <v>34</v>
      </c>
      <c r="AR46" s="891" t="s">
        <v>32</v>
      </c>
      <c r="AS46" s="891" t="s">
        <v>2857</v>
      </c>
      <c r="AT46" s="891" t="s">
        <v>36</v>
      </c>
      <c r="AU46" s="891" t="s">
        <v>34</v>
      </c>
      <c r="AV46" s="891" t="s">
        <v>35</v>
      </c>
      <c r="AW46" s="891" t="s">
        <v>34</v>
      </c>
      <c r="AX46" s="891" t="s">
        <v>36</v>
      </c>
      <c r="AY46" s="891" t="s">
        <v>36</v>
      </c>
      <c r="AZ46" s="891" t="s">
        <v>35</v>
      </c>
      <c r="BA46" s="891" t="s">
        <v>1877</v>
      </c>
      <c r="BB46" s="891" t="s">
        <v>32</v>
      </c>
      <c r="BC46" s="891" t="s">
        <v>34</v>
      </c>
      <c r="BD46" s="891" t="s">
        <v>32</v>
      </c>
      <c r="BE46" s="891" t="s">
        <v>1877</v>
      </c>
      <c r="BF46" s="891"/>
      <c r="BG46" s="891"/>
      <c r="BH46" s="891"/>
      <c r="BI46" s="891"/>
      <c r="BJ46" s="891"/>
      <c r="BK46" s="891"/>
      <c r="BL46" s="891"/>
      <c r="BM46" s="891"/>
      <c r="BN46" s="892"/>
      <c r="BO46" s="896"/>
      <c r="BP46" s="892"/>
      <c r="BQ46" s="896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428"/>
      <c r="CF46" s="428"/>
      <c r="CG46" s="428"/>
      <c r="CH46" s="428"/>
    </row>
    <row r="47" spans="1:120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9</v>
      </c>
      <c r="G47" s="883" t="s">
        <v>1083</v>
      </c>
      <c r="H47" s="879" t="s">
        <v>22</v>
      </c>
      <c r="I47" s="879" t="s">
        <v>891</v>
      </c>
      <c r="J47" s="846">
        <v>2</v>
      </c>
      <c r="K47" s="846">
        <v>2</v>
      </c>
      <c r="L47" s="816" t="str">
        <f t="shared" si="30"/>
        <v>D</v>
      </c>
      <c r="M47" s="816">
        <f t="shared" si="31"/>
        <v>4</v>
      </c>
      <c r="N47" s="816" t="str">
        <f t="shared" si="32"/>
        <v>O</v>
      </c>
      <c r="O47" s="816">
        <f t="shared" si="21"/>
        <v>0</v>
      </c>
      <c r="P47" s="829">
        <f t="shared" si="23"/>
        <v>0</v>
      </c>
      <c r="Q47" s="830">
        <v>-0.13</v>
      </c>
      <c r="R47" s="871">
        <f t="shared" si="24"/>
        <v>0.13</v>
      </c>
      <c r="S47" s="830">
        <v>2.42</v>
      </c>
      <c r="T47" s="871">
        <f t="shared" si="25"/>
        <v>1.58</v>
      </c>
      <c r="U47" s="868">
        <f t="shared" si="26"/>
        <v>1.145</v>
      </c>
      <c r="V47" s="868">
        <f t="shared" si="27"/>
        <v>1.2749999999999999</v>
      </c>
      <c r="W47" s="829">
        <v>12</v>
      </c>
      <c r="X47" s="829">
        <v>17</v>
      </c>
      <c r="Y47" s="829">
        <v>4</v>
      </c>
      <c r="Z47" s="829">
        <v>4</v>
      </c>
      <c r="AA47" s="829">
        <v>55</v>
      </c>
      <c r="AB47" s="829">
        <v>45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1877</v>
      </c>
      <c r="AH47" s="891" t="s">
        <v>34</v>
      </c>
      <c r="AI47" s="891" t="s">
        <v>1886</v>
      </c>
      <c r="AJ47" s="891" t="s">
        <v>34</v>
      </c>
      <c r="AK47" s="891" t="s">
        <v>1886</v>
      </c>
      <c r="AL47" s="891" t="s">
        <v>32</v>
      </c>
      <c r="AM47" s="891" t="s">
        <v>32</v>
      </c>
      <c r="AN47" s="891" t="s">
        <v>32</v>
      </c>
      <c r="AO47" s="891" t="s">
        <v>36</v>
      </c>
      <c r="AP47" s="891" t="s">
        <v>34</v>
      </c>
      <c r="AQ47" s="891" t="s">
        <v>1877</v>
      </c>
      <c r="AR47" s="891" t="s">
        <v>34</v>
      </c>
      <c r="AS47" s="891" t="s">
        <v>35</v>
      </c>
      <c r="AT47" s="891" t="s">
        <v>34</v>
      </c>
      <c r="AU47" s="891" t="s">
        <v>1877</v>
      </c>
      <c r="AV47" s="891" t="s">
        <v>1877</v>
      </c>
      <c r="AW47" s="891" t="s">
        <v>36</v>
      </c>
      <c r="AX47" s="891" t="s">
        <v>35</v>
      </c>
      <c r="AY47" s="891" t="s">
        <v>34</v>
      </c>
      <c r="AZ47" s="891" t="s">
        <v>32</v>
      </c>
      <c r="BA47" s="891" t="s">
        <v>34</v>
      </c>
      <c r="BB47" s="891" t="s">
        <v>2888</v>
      </c>
      <c r="BC47" s="891" t="s">
        <v>35</v>
      </c>
      <c r="BD47" s="891" t="s">
        <v>32</v>
      </c>
      <c r="BE47" s="891" t="s">
        <v>2887</v>
      </c>
      <c r="BF47" s="891"/>
      <c r="BG47" s="891"/>
      <c r="BH47" s="891"/>
      <c r="BI47" s="891"/>
      <c r="BJ47" s="891"/>
      <c r="BK47" s="891"/>
      <c r="BL47" s="891"/>
      <c r="BM47" s="891"/>
      <c r="BN47" s="892"/>
      <c r="BO47" s="896"/>
      <c r="BP47" s="892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428"/>
      <c r="CF47" s="428"/>
      <c r="CG47" s="428"/>
      <c r="CH47" s="428"/>
    </row>
    <row r="48" spans="1:120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8</v>
      </c>
      <c r="G48" s="883" t="s">
        <v>880</v>
      </c>
      <c r="H48" s="879" t="s">
        <v>18</v>
      </c>
      <c r="I48" s="879" t="s">
        <v>891</v>
      </c>
      <c r="J48" s="846">
        <v>1</v>
      </c>
      <c r="K48" s="846">
        <v>2</v>
      </c>
      <c r="L48" s="816" t="str">
        <f t="shared" si="30"/>
        <v>L</v>
      </c>
      <c r="M48" s="816">
        <f t="shared" si="31"/>
        <v>3</v>
      </c>
      <c r="N48" s="816" t="str">
        <f t="shared" si="32"/>
        <v>O</v>
      </c>
      <c r="O48" s="816">
        <f t="shared" si="21"/>
        <v>0.75</v>
      </c>
      <c r="P48" s="829">
        <f t="shared" si="23"/>
        <v>-0.5</v>
      </c>
      <c r="Q48" s="830">
        <v>-0.8</v>
      </c>
      <c r="R48" s="871">
        <f t="shared" si="24"/>
        <v>-0.19999999999999996</v>
      </c>
      <c r="S48" s="830">
        <v>2.5099999999999998</v>
      </c>
      <c r="T48" s="871">
        <f t="shared" si="25"/>
        <v>0.49000000000000021</v>
      </c>
      <c r="U48" s="868">
        <f t="shared" si="26"/>
        <v>0.85499999999999987</v>
      </c>
      <c r="V48" s="868">
        <f t="shared" si="27"/>
        <v>1.6549999999999998</v>
      </c>
      <c r="W48" s="829">
        <v>15</v>
      </c>
      <c r="X48" s="829">
        <v>13</v>
      </c>
      <c r="Y48" s="829">
        <v>2</v>
      </c>
      <c r="Z48" s="829">
        <v>4</v>
      </c>
      <c r="AA48" s="829">
        <v>66</v>
      </c>
      <c r="AB48" s="829">
        <v>34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34</v>
      </c>
      <c r="AH48" s="891" t="s">
        <v>1877</v>
      </c>
      <c r="AI48" s="891" t="s">
        <v>1886</v>
      </c>
      <c r="AJ48" s="891" t="s">
        <v>34</v>
      </c>
      <c r="AK48" s="891" t="s">
        <v>1877</v>
      </c>
      <c r="AL48" s="891" t="s">
        <v>32</v>
      </c>
      <c r="AM48" s="891" t="s">
        <v>32</v>
      </c>
      <c r="AN48" s="891" t="s">
        <v>32</v>
      </c>
      <c r="AO48" s="891" t="s">
        <v>1877</v>
      </c>
      <c r="AP48" s="891" t="s">
        <v>34</v>
      </c>
      <c r="AQ48" s="891" t="s">
        <v>36</v>
      </c>
      <c r="AR48" s="891" t="s">
        <v>34</v>
      </c>
      <c r="AS48" s="891" t="s">
        <v>35</v>
      </c>
      <c r="AT48" s="904" t="s">
        <v>2901</v>
      </c>
      <c r="AU48" s="891" t="s">
        <v>32</v>
      </c>
      <c r="AV48" s="891" t="s">
        <v>36</v>
      </c>
      <c r="AW48" s="891" t="s">
        <v>1877</v>
      </c>
      <c r="AX48" s="891" t="s">
        <v>34</v>
      </c>
      <c r="AY48" s="891" t="s">
        <v>34</v>
      </c>
      <c r="AZ48" s="891" t="s">
        <v>32</v>
      </c>
      <c r="BA48" s="891" t="s">
        <v>34</v>
      </c>
      <c r="BB48" s="891" t="s">
        <v>36</v>
      </c>
      <c r="BC48" s="891" t="s">
        <v>35</v>
      </c>
      <c r="BD48" s="891" t="s">
        <v>32</v>
      </c>
      <c r="BE48" s="904" t="s">
        <v>35</v>
      </c>
      <c r="BF48" s="891"/>
      <c r="BG48" s="891"/>
      <c r="BH48" s="891"/>
      <c r="BI48" s="891"/>
      <c r="BJ48" s="891"/>
      <c r="BK48" s="891"/>
      <c r="BL48" s="891"/>
      <c r="BM48" s="891" t="s">
        <v>32</v>
      </c>
      <c r="BN48" s="892" t="s">
        <v>32</v>
      </c>
      <c r="BO48" s="896" t="s">
        <v>32</v>
      </c>
      <c r="BP48" s="892" t="s">
        <v>32</v>
      </c>
      <c r="BQ48" s="896" t="s">
        <v>32</v>
      </c>
      <c r="BR48" s="896" t="s">
        <v>32</v>
      </c>
      <c r="BS48" s="896" t="s">
        <v>32</v>
      </c>
      <c r="BT48" s="896" t="s">
        <v>32</v>
      </c>
      <c r="BU48" s="896" t="s">
        <v>32</v>
      </c>
      <c r="BV48" s="896" t="s">
        <v>32</v>
      </c>
      <c r="BW48" s="896" t="s">
        <v>32</v>
      </c>
      <c r="BX48" s="896"/>
      <c r="BY48" s="896"/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93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6</v>
      </c>
      <c r="G49" s="879" t="s">
        <v>876</v>
      </c>
      <c r="H49" s="879" t="s">
        <v>22</v>
      </c>
      <c r="I49" s="879" t="s">
        <v>891</v>
      </c>
      <c r="J49" s="846">
        <v>1</v>
      </c>
      <c r="K49" s="908">
        <v>0</v>
      </c>
      <c r="L49" s="816" t="str">
        <f t="shared" si="30"/>
        <v>W</v>
      </c>
      <c r="M49" s="816">
        <f t="shared" si="31"/>
        <v>1</v>
      </c>
      <c r="N49" s="816" t="str">
        <f t="shared" si="32"/>
        <v>U</v>
      </c>
      <c r="O49" s="816">
        <f t="shared" si="21"/>
        <v>0.25</v>
      </c>
      <c r="P49" s="829">
        <f t="shared" si="23"/>
        <v>1</v>
      </c>
      <c r="Q49" s="830">
        <v>-0.28000000000000003</v>
      </c>
      <c r="R49" s="871">
        <f t="shared" si="24"/>
        <v>1.28</v>
      </c>
      <c r="S49" s="830">
        <v>2.81</v>
      </c>
      <c r="T49" s="871">
        <f t="shared" si="25"/>
        <v>-1.81</v>
      </c>
      <c r="U49" s="868">
        <f t="shared" si="26"/>
        <v>1.2650000000000001</v>
      </c>
      <c r="V49" s="868">
        <f t="shared" si="27"/>
        <v>1.5449999999999999</v>
      </c>
      <c r="W49" s="829">
        <v>9</v>
      </c>
      <c r="X49" s="829">
        <v>13</v>
      </c>
      <c r="Y49" s="829">
        <v>4</v>
      </c>
      <c r="Z49" s="829">
        <v>2</v>
      </c>
      <c r="AA49" s="829">
        <v>38</v>
      </c>
      <c r="AB49" s="829">
        <v>62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1877</v>
      </c>
      <c r="AH49" s="891" t="s">
        <v>34</v>
      </c>
      <c r="AI49" s="891" t="s">
        <v>2967</v>
      </c>
      <c r="AJ49" s="891" t="s">
        <v>2968</v>
      </c>
      <c r="AK49" s="891" t="s">
        <v>36</v>
      </c>
      <c r="AL49" s="891" t="s">
        <v>32</v>
      </c>
      <c r="AM49" s="891" t="s">
        <v>1877</v>
      </c>
      <c r="AN49" s="891" t="s">
        <v>32</v>
      </c>
      <c r="AO49" s="904" t="s">
        <v>36</v>
      </c>
      <c r="AP49" s="891" t="s">
        <v>34</v>
      </c>
      <c r="AQ49" s="891" t="s">
        <v>32</v>
      </c>
      <c r="AR49" s="891" t="s">
        <v>34</v>
      </c>
      <c r="AS49" s="891" t="s">
        <v>35</v>
      </c>
      <c r="AT49" s="891" t="s">
        <v>34</v>
      </c>
      <c r="AU49" s="891" t="s">
        <v>1877</v>
      </c>
      <c r="AV49" s="891" t="s">
        <v>1877</v>
      </c>
      <c r="AW49" s="891" t="s">
        <v>35</v>
      </c>
      <c r="AX49" s="891" t="s">
        <v>34</v>
      </c>
      <c r="AY49" s="904" t="s">
        <v>34</v>
      </c>
      <c r="AZ49" s="891" t="s">
        <v>32</v>
      </c>
      <c r="BA49" s="891" t="s">
        <v>32</v>
      </c>
      <c r="BB49" s="891" t="s">
        <v>35</v>
      </c>
      <c r="BC49" s="891" t="s">
        <v>36</v>
      </c>
      <c r="BD49" s="891" t="s">
        <v>32</v>
      </c>
      <c r="BE49" s="891" t="s">
        <v>34</v>
      </c>
      <c r="BF49" s="891"/>
      <c r="BG49" s="891"/>
      <c r="BH49" s="891"/>
      <c r="BI49" s="891"/>
      <c r="BJ49" s="891"/>
      <c r="BK49" s="891"/>
      <c r="BL49" s="891"/>
      <c r="BM49" s="891"/>
      <c r="BN49" s="892"/>
      <c r="BO49" s="896"/>
      <c r="BP49" s="892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93" ht="15">
      <c r="A50" s="882">
        <v>6428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3</v>
      </c>
      <c r="G50" s="879" t="s">
        <v>1085</v>
      </c>
      <c r="H50" s="879" t="s">
        <v>18</v>
      </c>
      <c r="I50" s="879" t="s">
        <v>891</v>
      </c>
      <c r="J50" s="846">
        <v>4</v>
      </c>
      <c r="K50" s="846">
        <v>7</v>
      </c>
      <c r="L50" s="816" t="str">
        <f t="shared" si="30"/>
        <v>L</v>
      </c>
      <c r="M50" s="816">
        <f t="shared" si="31"/>
        <v>11</v>
      </c>
      <c r="N50" s="816" t="str">
        <f t="shared" si="32"/>
        <v>O</v>
      </c>
      <c r="O50" s="816">
        <f t="shared" si="21"/>
        <v>0.5</v>
      </c>
      <c r="P50" s="829">
        <f t="shared" si="23"/>
        <v>-1</v>
      </c>
      <c r="Q50" s="830">
        <v>-0.53</v>
      </c>
      <c r="R50" s="871">
        <f t="shared" si="24"/>
        <v>-2.4699999999999998</v>
      </c>
      <c r="S50" s="830">
        <v>2.7</v>
      </c>
      <c r="T50" s="871">
        <f t="shared" si="25"/>
        <v>8.3000000000000007</v>
      </c>
      <c r="U50" s="868">
        <f t="shared" si="26"/>
        <v>1.085</v>
      </c>
      <c r="V50" s="868">
        <f t="shared" si="27"/>
        <v>1.6150000000000002</v>
      </c>
      <c r="W50" s="829">
        <v>12</v>
      </c>
      <c r="X50" s="829">
        <v>17</v>
      </c>
      <c r="Y50" s="829">
        <v>7</v>
      </c>
      <c r="Z50" s="829">
        <v>10</v>
      </c>
      <c r="AA50" s="829">
        <v>50</v>
      </c>
      <c r="AB50" s="829">
        <v>50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1877</v>
      </c>
      <c r="AH50" s="891" t="s">
        <v>34</v>
      </c>
      <c r="AI50" s="891" t="s">
        <v>3030</v>
      </c>
      <c r="AJ50" s="891" t="s">
        <v>34</v>
      </c>
      <c r="AK50" s="891" t="s">
        <v>1877</v>
      </c>
      <c r="AL50" s="891" t="s">
        <v>32</v>
      </c>
      <c r="AM50" s="891" t="s">
        <v>36</v>
      </c>
      <c r="AN50" s="891" t="s">
        <v>32</v>
      </c>
      <c r="AO50" s="891" t="s">
        <v>32</v>
      </c>
      <c r="AP50" s="891" t="s">
        <v>34</v>
      </c>
      <c r="AQ50" s="891" t="s">
        <v>32</v>
      </c>
      <c r="AR50" s="891" t="s">
        <v>34</v>
      </c>
      <c r="AS50" s="891" t="s">
        <v>36</v>
      </c>
      <c r="AT50" s="891" t="s">
        <v>34</v>
      </c>
      <c r="AU50" s="891" t="s">
        <v>1877</v>
      </c>
      <c r="AV50" s="891" t="s">
        <v>35</v>
      </c>
      <c r="AW50" s="891" t="s">
        <v>3042</v>
      </c>
      <c r="AX50" s="891" t="s">
        <v>34</v>
      </c>
      <c r="AY50" s="891" t="s">
        <v>35</v>
      </c>
      <c r="AZ50" s="891" t="s">
        <v>32</v>
      </c>
      <c r="BA50" s="891" t="s">
        <v>32</v>
      </c>
      <c r="BB50" s="891" t="s">
        <v>1877</v>
      </c>
      <c r="BC50" s="891" t="s">
        <v>3041</v>
      </c>
      <c r="BD50" s="891" t="s">
        <v>35</v>
      </c>
      <c r="BE50" s="904" t="s">
        <v>3040</v>
      </c>
      <c r="BF50" s="891"/>
      <c r="BG50" s="891"/>
      <c r="BH50" s="891"/>
      <c r="BI50" s="891"/>
      <c r="BJ50" s="891"/>
      <c r="BK50" s="891"/>
      <c r="BL50" s="891"/>
      <c r="BM50" s="891"/>
      <c r="BN50" s="892"/>
      <c r="BO50" s="896"/>
      <c r="BP50" s="892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93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14</v>
      </c>
      <c r="G51" s="879" t="s">
        <v>873</v>
      </c>
      <c r="H51" s="879" t="s">
        <v>22</v>
      </c>
      <c r="I51" s="879" t="s">
        <v>891</v>
      </c>
      <c r="J51" s="846">
        <v>0</v>
      </c>
      <c r="K51" s="846">
        <v>0</v>
      </c>
      <c r="L51" s="816" t="str">
        <f t="shared" si="30"/>
        <v>D</v>
      </c>
      <c r="M51" s="816">
        <f t="shared" si="31"/>
        <v>0</v>
      </c>
      <c r="N51" s="816" t="str">
        <f t="shared" si="32"/>
        <v>U</v>
      </c>
      <c r="O51" s="816">
        <f t="shared" si="21"/>
        <v>-0.25</v>
      </c>
      <c r="P51" s="829">
        <f t="shared" si="23"/>
        <v>-0.5</v>
      </c>
      <c r="Q51" s="830">
        <v>0.25</v>
      </c>
      <c r="R51" s="871">
        <f t="shared" si="24"/>
        <v>-0.25</v>
      </c>
      <c r="S51" s="830">
        <v>2.38</v>
      </c>
      <c r="T51" s="871">
        <f t="shared" si="25"/>
        <v>-2.38</v>
      </c>
      <c r="U51" s="868">
        <f t="shared" si="26"/>
        <v>1.3149999999999999</v>
      </c>
      <c r="V51" s="868">
        <f t="shared" si="27"/>
        <v>1.0649999999999999</v>
      </c>
      <c r="W51" s="829">
        <v>11</v>
      </c>
      <c r="X51" s="829">
        <v>18</v>
      </c>
      <c r="Y51" s="829">
        <v>2</v>
      </c>
      <c r="Z51" s="829">
        <v>5</v>
      </c>
      <c r="AA51" s="829">
        <v>52</v>
      </c>
      <c r="AB51" s="829">
        <v>48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 t="s">
        <v>1877</v>
      </c>
      <c r="AH51" s="891" t="s">
        <v>34</v>
      </c>
      <c r="AI51" s="891" t="s">
        <v>1886</v>
      </c>
      <c r="AJ51" s="891" t="s">
        <v>34</v>
      </c>
      <c r="AK51" s="891" t="s">
        <v>34</v>
      </c>
      <c r="AL51" s="891" t="s">
        <v>1877</v>
      </c>
      <c r="AM51" s="891" t="s">
        <v>1877</v>
      </c>
      <c r="AN51" s="891" t="s">
        <v>32</v>
      </c>
      <c r="AO51" s="891" t="s">
        <v>32</v>
      </c>
      <c r="AP51" s="891" t="s">
        <v>34</v>
      </c>
      <c r="AQ51" s="891" t="s">
        <v>32</v>
      </c>
      <c r="AR51" s="904" t="s">
        <v>34</v>
      </c>
      <c r="AS51" s="891" t="s">
        <v>34</v>
      </c>
      <c r="AT51" s="891" t="s">
        <v>34</v>
      </c>
      <c r="AU51" s="891" t="s">
        <v>36</v>
      </c>
      <c r="AV51" s="891" t="s">
        <v>32</v>
      </c>
      <c r="AW51" s="891" t="s">
        <v>34</v>
      </c>
      <c r="AX51" s="891" t="s">
        <v>1877</v>
      </c>
      <c r="AY51" s="904" t="s">
        <v>35</v>
      </c>
      <c r="AZ51" s="891" t="s">
        <v>32</v>
      </c>
      <c r="BA51" s="891" t="s">
        <v>36</v>
      </c>
      <c r="BB51" s="891" t="s">
        <v>35</v>
      </c>
      <c r="BC51" s="891" t="s">
        <v>36</v>
      </c>
      <c r="BD51" s="891" t="s">
        <v>32</v>
      </c>
      <c r="BE51" s="891" t="s">
        <v>35</v>
      </c>
      <c r="BF51" s="891"/>
      <c r="BG51" s="891"/>
      <c r="BH51" s="891"/>
      <c r="BI51" s="891"/>
      <c r="BJ51" s="891"/>
      <c r="BK51" s="891"/>
      <c r="BL51" s="891"/>
      <c r="BM51" s="891"/>
      <c r="BN51" s="892"/>
      <c r="BO51" s="896"/>
      <c r="BP51" s="892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93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13</v>
      </c>
      <c r="G52" s="879" t="s">
        <v>884</v>
      </c>
      <c r="H52" s="879" t="s">
        <v>18</v>
      </c>
      <c r="I52" s="879" t="s">
        <v>891</v>
      </c>
      <c r="J52" s="846">
        <v>1</v>
      </c>
      <c r="K52" s="846">
        <v>0</v>
      </c>
      <c r="L52" s="816" t="str">
        <f t="shared" si="30"/>
        <v>W</v>
      </c>
      <c r="M52" s="816">
        <f t="shared" si="31"/>
        <v>1</v>
      </c>
      <c r="N52" s="816" t="str">
        <f t="shared" si="32"/>
        <v>U</v>
      </c>
      <c r="O52" s="816">
        <f t="shared" si="21"/>
        <v>0.5</v>
      </c>
      <c r="P52" s="829">
        <f t="shared" si="23"/>
        <v>1</v>
      </c>
      <c r="Q52" s="830">
        <v>-0.43</v>
      </c>
      <c r="R52" s="871">
        <f t="shared" si="24"/>
        <v>1.43</v>
      </c>
      <c r="S52" s="830">
        <v>2.58</v>
      </c>
      <c r="T52" s="871">
        <f t="shared" si="25"/>
        <v>-1.58</v>
      </c>
      <c r="U52" s="868">
        <f t="shared" si="26"/>
        <v>1.075</v>
      </c>
      <c r="V52" s="868">
        <f t="shared" si="27"/>
        <v>1.5050000000000001</v>
      </c>
      <c r="W52" s="829">
        <v>4</v>
      </c>
      <c r="X52" s="829">
        <v>10</v>
      </c>
      <c r="Y52" s="829">
        <v>2</v>
      </c>
      <c r="Z52" s="829">
        <v>1</v>
      </c>
      <c r="AA52" s="829">
        <v>46</v>
      </c>
      <c r="AB52" s="829">
        <v>54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 t="s">
        <v>1877</v>
      </c>
      <c r="AH52" s="904" t="s">
        <v>34</v>
      </c>
      <c r="AI52" s="230" t="s">
        <v>32</v>
      </c>
      <c r="AJ52" s="891" t="s">
        <v>34</v>
      </c>
      <c r="AK52" s="891" t="s">
        <v>34</v>
      </c>
      <c r="AL52" s="891" t="s">
        <v>36</v>
      </c>
      <c r="AM52" s="891" t="s">
        <v>1877</v>
      </c>
      <c r="AN52" s="891" t="s">
        <v>32</v>
      </c>
      <c r="AO52" s="891" t="s">
        <v>32</v>
      </c>
      <c r="AP52" s="891" t="s">
        <v>3095</v>
      </c>
      <c r="AQ52" s="891" t="s">
        <v>32</v>
      </c>
      <c r="AR52" s="891" t="s">
        <v>34</v>
      </c>
      <c r="AS52" s="904" t="s">
        <v>35</v>
      </c>
      <c r="AT52" s="891" t="s">
        <v>34</v>
      </c>
      <c r="AU52" s="891" t="s">
        <v>1877</v>
      </c>
      <c r="AV52" s="891" t="s">
        <v>1877</v>
      </c>
      <c r="AW52" s="891" t="s">
        <v>34</v>
      </c>
      <c r="AX52" s="891" t="s">
        <v>36</v>
      </c>
      <c r="AY52" s="891" t="s">
        <v>3081</v>
      </c>
      <c r="AZ52" s="891" t="s">
        <v>32</v>
      </c>
      <c r="BA52" s="891" t="s">
        <v>35</v>
      </c>
      <c r="BB52" s="891" t="s">
        <v>36</v>
      </c>
      <c r="BC52" s="891" t="s">
        <v>35</v>
      </c>
      <c r="BD52" s="891" t="s">
        <v>32</v>
      </c>
      <c r="BE52" s="891" t="s">
        <v>34</v>
      </c>
      <c r="BF52" s="891"/>
      <c r="BG52" s="891"/>
      <c r="BH52" s="891"/>
      <c r="BI52" s="891"/>
      <c r="BJ52" s="891"/>
      <c r="BK52" s="891"/>
      <c r="BL52" s="891"/>
      <c r="BM52" s="891"/>
      <c r="BN52" s="892"/>
      <c r="BO52" s="896"/>
      <c r="BP52" s="892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93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16</v>
      </c>
      <c r="G53" s="879" t="s">
        <v>872</v>
      </c>
      <c r="H53" s="879" t="s">
        <v>22</v>
      </c>
      <c r="I53" s="879" t="s">
        <v>891</v>
      </c>
      <c r="J53" s="846">
        <v>1</v>
      </c>
      <c r="K53" s="846">
        <v>1</v>
      </c>
      <c r="L53" s="816" t="str">
        <f t="shared" si="30"/>
        <v>D</v>
      </c>
      <c r="M53" s="816">
        <f t="shared" si="31"/>
        <v>2</v>
      </c>
      <c r="N53" s="816" t="str">
        <f t="shared" si="32"/>
        <v>U</v>
      </c>
      <c r="O53" s="816">
        <f t="shared" si="21"/>
        <v>0</v>
      </c>
      <c r="P53" s="829">
        <f t="shared" si="23"/>
        <v>0</v>
      </c>
      <c r="Q53" s="830">
        <v>0.05</v>
      </c>
      <c r="R53" s="871">
        <f t="shared" si="24"/>
        <v>-0.05</v>
      </c>
      <c r="S53" s="830">
        <v>2.41</v>
      </c>
      <c r="T53" s="871">
        <f t="shared" si="25"/>
        <v>-0.41000000000000014</v>
      </c>
      <c r="U53" s="868">
        <f t="shared" si="26"/>
        <v>1.23</v>
      </c>
      <c r="V53" s="868">
        <f t="shared" si="27"/>
        <v>1.1800000000000002</v>
      </c>
      <c r="W53" s="829">
        <v>9</v>
      </c>
      <c r="X53" s="829">
        <v>11</v>
      </c>
      <c r="Y53" s="829">
        <v>2</v>
      </c>
      <c r="Z53" s="829">
        <v>0</v>
      </c>
      <c r="AA53" s="829">
        <v>51</v>
      </c>
      <c r="AB53" s="829">
        <v>49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1877</v>
      </c>
      <c r="AH53" s="891" t="s">
        <v>34</v>
      </c>
      <c r="AI53" s="891" t="s">
        <v>32</v>
      </c>
      <c r="AJ53" s="904" t="s">
        <v>34</v>
      </c>
      <c r="AK53" s="891" t="s">
        <v>34</v>
      </c>
      <c r="AL53" s="891" t="s">
        <v>1877</v>
      </c>
      <c r="AM53" s="891" t="s">
        <v>32</v>
      </c>
      <c r="AN53" s="891" t="s">
        <v>32</v>
      </c>
      <c r="AO53" s="891" t="s">
        <v>32</v>
      </c>
      <c r="AP53" s="891" t="s">
        <v>34</v>
      </c>
      <c r="AQ53" s="891" t="s">
        <v>35</v>
      </c>
      <c r="AR53" s="891" t="s">
        <v>34</v>
      </c>
      <c r="AS53" s="891" t="s">
        <v>3117</v>
      </c>
      <c r="AT53" s="891" t="s">
        <v>34</v>
      </c>
      <c r="AU53" s="891" t="s">
        <v>1877</v>
      </c>
      <c r="AV53" s="891" t="s">
        <v>36</v>
      </c>
      <c r="AW53" s="891" t="s">
        <v>34</v>
      </c>
      <c r="AX53" s="891" t="s">
        <v>1877</v>
      </c>
      <c r="AY53" s="891" t="s">
        <v>34</v>
      </c>
      <c r="AZ53" s="891" t="s">
        <v>32</v>
      </c>
      <c r="BA53" s="891" t="s">
        <v>36</v>
      </c>
      <c r="BB53" s="891" t="s">
        <v>3125</v>
      </c>
      <c r="BC53" s="891" t="s">
        <v>36</v>
      </c>
      <c r="BD53" s="891" t="s">
        <v>32</v>
      </c>
      <c r="BE53" s="891" t="s">
        <v>35</v>
      </c>
      <c r="BF53" s="891" t="s">
        <v>32</v>
      </c>
      <c r="BG53" s="891"/>
      <c r="BH53" s="891"/>
      <c r="BI53" s="891"/>
      <c r="BJ53" s="891"/>
      <c r="BK53" s="891"/>
      <c r="BL53" s="891"/>
      <c r="BM53" s="891"/>
      <c r="BN53" s="892"/>
      <c r="BO53" s="896"/>
      <c r="BP53" s="892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93" ht="15">
      <c r="A54" s="882">
        <v>6448</v>
      </c>
      <c r="B54" s="884"/>
      <c r="C54" s="884"/>
      <c r="D54" s="884"/>
      <c r="E54" s="884"/>
      <c r="F54" s="884">
        <f ca="1">IF(I54="","",IF(I54=Table!$C$1,VLOOKUP(G54,Table!$B$9:$AE$32,Table!$AE$6-1,FALSE),""))</f>
        <v>5</v>
      </c>
      <c r="G54" s="879" t="s">
        <v>889</v>
      </c>
      <c r="H54" s="879" t="s">
        <v>22</v>
      </c>
      <c r="I54" s="879" t="s">
        <v>891</v>
      </c>
      <c r="J54" s="846">
        <v>0</v>
      </c>
      <c r="K54" s="846">
        <v>3</v>
      </c>
      <c r="L54" s="816" t="str">
        <f t="shared" si="30"/>
        <v>L</v>
      </c>
      <c r="M54" s="816">
        <f t="shared" si="31"/>
        <v>3</v>
      </c>
      <c r="N54" s="816" t="str">
        <f t="shared" si="32"/>
        <v>O</v>
      </c>
      <c r="O54" s="816">
        <f t="shared" ref="O54" si="41">IF(Q54="","",IF(SIGN(Q54)&lt;&gt;1,VLOOKUP(ABS(Q54),SUP_HDC,3,TRUE),-VLOOKUP(ABS(Q54),SUP_HDC,3,TRUE)))</f>
        <v>0.25</v>
      </c>
      <c r="P54" s="829">
        <f t="shared" ref="P54" si="42">IF(O54="","",IF((J54-K54+O54)&gt;=0.5,1,IF((J54-K54+O54)=0.25,0.5,IF((J54-K54+O54)&lt;=-0.5,-1,IF((J54-K54+O54)=-0.25,-0.5,0)))))</f>
        <v>-1</v>
      </c>
      <c r="Q54" s="830">
        <v>-0.26</v>
      </c>
      <c r="R54" s="871">
        <f t="shared" ref="R54" si="43">IF(ISBLANK(Q54),"",J54-K54-Q54)</f>
        <v>-2.74</v>
      </c>
      <c r="S54" s="830">
        <v>2.5099999999999998</v>
      </c>
      <c r="T54" s="871">
        <f t="shared" ref="T54" si="44">IF(ISBLANK(S54),"",J54+K54-S54)</f>
        <v>0.49000000000000021</v>
      </c>
      <c r="U54" s="868">
        <f t="shared" ref="U54" si="45">IF(Q54="","",(Q54+S54)/2)</f>
        <v>1.125</v>
      </c>
      <c r="V54" s="868">
        <f t="shared" ref="V54" si="46">IF(Q54="","",S54-U54)</f>
        <v>1.3849999999999998</v>
      </c>
      <c r="W54" s="829">
        <v>9</v>
      </c>
      <c r="X54" s="829">
        <v>13</v>
      </c>
      <c r="Y54" s="829">
        <v>1</v>
      </c>
      <c r="Z54" s="829">
        <v>5</v>
      </c>
      <c r="AA54" s="829">
        <v>51</v>
      </c>
      <c r="AB54" s="829">
        <v>49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1877</v>
      </c>
      <c r="AH54" s="891" t="s">
        <v>34</v>
      </c>
      <c r="AI54" s="891" t="s">
        <v>32</v>
      </c>
      <c r="AJ54" s="904" t="s">
        <v>34</v>
      </c>
      <c r="AK54" s="891" t="s">
        <v>34</v>
      </c>
      <c r="AL54" s="891" t="s">
        <v>35</v>
      </c>
      <c r="AM54" s="891" t="s">
        <v>32</v>
      </c>
      <c r="AN54" s="891" t="s">
        <v>32</v>
      </c>
      <c r="AO54" s="891" t="s">
        <v>32</v>
      </c>
      <c r="AP54" s="891" t="s">
        <v>34</v>
      </c>
      <c r="AQ54" s="891" t="s">
        <v>36</v>
      </c>
      <c r="AR54" s="891" t="s">
        <v>35</v>
      </c>
      <c r="AS54" s="891" t="s">
        <v>36</v>
      </c>
      <c r="AT54" s="891" t="s">
        <v>34</v>
      </c>
      <c r="AU54" s="891" t="s">
        <v>1877</v>
      </c>
      <c r="AV54" s="891" t="s">
        <v>32</v>
      </c>
      <c r="AW54" s="891" t="s">
        <v>34</v>
      </c>
      <c r="AX54" s="891" t="s">
        <v>1877</v>
      </c>
      <c r="AY54" s="891" t="s">
        <v>34</v>
      </c>
      <c r="AZ54" s="891" t="s">
        <v>32</v>
      </c>
      <c r="BA54" s="891" t="s">
        <v>1877</v>
      </c>
      <c r="BB54" s="891" t="s">
        <v>34</v>
      </c>
      <c r="BC54" s="891" t="s">
        <v>36</v>
      </c>
      <c r="BD54" s="891" t="s">
        <v>32</v>
      </c>
      <c r="BE54" s="891" t="s">
        <v>35</v>
      </c>
      <c r="BF54" s="891"/>
      <c r="BG54" s="891"/>
      <c r="BH54" s="891"/>
      <c r="BI54" s="891"/>
      <c r="BJ54" s="891"/>
      <c r="BK54" s="891"/>
      <c r="BL54" s="891"/>
      <c r="BM54" s="891"/>
      <c r="BN54" s="892"/>
      <c r="BO54" s="896"/>
      <c r="BP54" s="892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93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18</v>
      </c>
      <c r="G55" s="879" t="s">
        <v>887</v>
      </c>
      <c r="H55" s="879" t="s">
        <v>18</v>
      </c>
      <c r="I55" s="879" t="s">
        <v>891</v>
      </c>
      <c r="J55" s="846">
        <v>1</v>
      </c>
      <c r="K55" s="846">
        <v>2</v>
      </c>
      <c r="L55" s="816" t="str">
        <f>IF(J55="","",IF(J55&gt;K55,"W",IF(J55=K55,"D",IF(J55&lt;K55,"L"))))</f>
        <v>L</v>
      </c>
      <c r="M55" s="816">
        <f>IF(J55="","",J55+K55)</f>
        <v>3</v>
      </c>
      <c r="N55" s="816" t="str">
        <f>IF($J55="","",IF($M55&gt;N$19,"O",IF($M55&lt;N$19,"U",IF($M55=N$19,"-"))))</f>
        <v>O</v>
      </c>
      <c r="O55" s="816">
        <f>IF(Q55="","",IF(SIGN(Q55)&lt;&gt;1,VLOOKUP(ABS(Q55),SUP_HDC,3,TRUE),-VLOOKUP(ABS(Q55),SUP_HDC,3,TRUE)))</f>
        <v>0.25</v>
      </c>
      <c r="P55" s="829">
        <f>IF(O55="","",IF((J55-K55+O55)&gt;=0.5,1,IF((J55-K55+O55)=0.25,0.5,IF((J55-K55+O55)&lt;=-0.5,-1,IF((J55-K55+O55)=-0.25,-0.5,0)))))</f>
        <v>-1</v>
      </c>
      <c r="Q55" s="830">
        <v>-0.35</v>
      </c>
      <c r="R55" s="871">
        <f>IF(ISBLANK(Q55),"",J55-K55-Q55)</f>
        <v>-0.65</v>
      </c>
      <c r="S55" s="830">
        <v>2.65</v>
      </c>
      <c r="T55" s="871">
        <f>IF(ISBLANK(S55),"",J55+K55-S55)</f>
        <v>0.35000000000000009</v>
      </c>
      <c r="U55" s="868">
        <f>IF(Q55="","",(Q55+S55)/2)</f>
        <v>1.1499999999999999</v>
      </c>
      <c r="V55" s="868">
        <f>IF(Q55="","",S55-U55)</f>
        <v>1.5</v>
      </c>
      <c r="W55" s="829">
        <v>5</v>
      </c>
      <c r="X55" s="829">
        <v>18</v>
      </c>
      <c r="Y55" s="829">
        <v>1</v>
      </c>
      <c r="Z55" s="829">
        <v>6</v>
      </c>
      <c r="AA55" s="829">
        <v>36</v>
      </c>
      <c r="AB55" s="829">
        <v>64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 t="s">
        <v>1877</v>
      </c>
      <c r="AH55" s="891" t="s">
        <v>34</v>
      </c>
      <c r="AI55" s="891" t="s">
        <v>32</v>
      </c>
      <c r="AJ55" s="891" t="s">
        <v>34</v>
      </c>
      <c r="AK55" s="891" t="s">
        <v>1877</v>
      </c>
      <c r="AL55" s="891" t="s">
        <v>32</v>
      </c>
      <c r="AM55" s="891" t="s">
        <v>32</v>
      </c>
      <c r="AN55" s="891" t="s">
        <v>35</v>
      </c>
      <c r="AO55" s="891" t="s">
        <v>32</v>
      </c>
      <c r="AP55" s="891" t="s">
        <v>34</v>
      </c>
      <c r="AQ55" s="891" t="s">
        <v>1877</v>
      </c>
      <c r="AR55" s="904" t="s">
        <v>36</v>
      </c>
      <c r="AS55" s="891" t="s">
        <v>34</v>
      </c>
      <c r="AT55" s="891" t="s">
        <v>34</v>
      </c>
      <c r="AU55" s="891" t="s">
        <v>1877</v>
      </c>
      <c r="AV55" s="891" t="s">
        <v>32</v>
      </c>
      <c r="AW55" s="891" t="s">
        <v>34</v>
      </c>
      <c r="AX55" s="891" t="s">
        <v>34</v>
      </c>
      <c r="AY55" s="891" t="s">
        <v>35</v>
      </c>
      <c r="AZ55" s="891" t="s">
        <v>32</v>
      </c>
      <c r="BA55" s="891" t="s">
        <v>36</v>
      </c>
      <c r="BB55" s="891" t="s">
        <v>3205</v>
      </c>
      <c r="BC55" s="891" t="s">
        <v>36</v>
      </c>
      <c r="BD55" s="891" t="s">
        <v>32</v>
      </c>
      <c r="BE55" s="891" t="s">
        <v>34</v>
      </c>
      <c r="BF55" s="891"/>
      <c r="BG55" s="891"/>
      <c r="BH55" s="891"/>
      <c r="BI55" s="891"/>
      <c r="BJ55" s="891"/>
      <c r="BK55" s="891"/>
      <c r="BL55" s="891"/>
      <c r="BM55" s="891"/>
      <c r="BN55" s="892"/>
      <c r="BO55" s="896"/>
      <c r="BP55" s="892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  <c r="CI55" s="230" t="s">
        <v>32</v>
      </c>
      <c r="CJ55" s="230" t="s">
        <v>32</v>
      </c>
      <c r="CK55" s="230" t="s">
        <v>32</v>
      </c>
      <c r="CL55" s="230" t="s">
        <v>32</v>
      </c>
      <c r="CM55" s="230" t="s">
        <v>32</v>
      </c>
      <c r="CN55" s="230" t="s">
        <v>32</v>
      </c>
      <c r="CO55" s="230" t="s">
        <v>32</v>
      </c>
    </row>
    <row r="56" spans="1:93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4</v>
      </c>
      <c r="G56" s="879" t="s">
        <v>1084</v>
      </c>
      <c r="H56" s="879" t="s">
        <v>18</v>
      </c>
      <c r="I56" s="879" t="s">
        <v>891</v>
      </c>
      <c r="J56" s="846">
        <v>1</v>
      </c>
      <c r="K56" s="846">
        <v>0</v>
      </c>
      <c r="L56" s="816" t="str">
        <f>IF(J56="","",IF(J56&gt;K56,"W",IF(J56=K56,"D",IF(J56&lt;K56,"L"))))</f>
        <v>W</v>
      </c>
      <c r="M56" s="816">
        <f>IF(J56="","",J56+K56)</f>
        <v>1</v>
      </c>
      <c r="N56" s="816" t="str">
        <f>IF($J56="","",IF($M56&gt;N$19,"O",IF($M56&lt;N$19,"U",IF($M56=N$19,"-"))))</f>
        <v>U</v>
      </c>
      <c r="O56" s="816">
        <f t="shared" ref="O56" si="47">IF(Q56="","",IF(SIGN(Q56)&lt;&gt;1,VLOOKUP(ABS(Q56),SUP_HDC,3,TRUE),-VLOOKUP(ABS(Q56),SUP_HDC,3,TRUE)))</f>
        <v>0.75</v>
      </c>
      <c r="P56" s="829">
        <f t="shared" ref="P56" si="48">IF(O56="","",IF((J56-K56+O56)&gt;=0.5,1,IF((J56-K56+O56)=0.25,0.5,IF((J56-K56+O56)&lt;=-0.5,-1,IF((J56-K56+O56)=-0.25,-0.5,0)))))</f>
        <v>1</v>
      </c>
      <c r="Q56" s="830">
        <v>-0.88</v>
      </c>
      <c r="R56" s="871">
        <f t="shared" ref="R56" si="49">IF(ISBLANK(Q56),"",J56-K56-Q56)</f>
        <v>1.88</v>
      </c>
      <c r="S56" s="830">
        <v>2.48</v>
      </c>
      <c r="T56" s="829">
        <f t="shared" ref="T56" si="50">IF(ISBLANK(S56),"",J56+K56-S56)</f>
        <v>-1.48</v>
      </c>
      <c r="U56" s="868">
        <f t="shared" ref="U56" si="51">IF(Q56="","",(Q56+S56)/2)</f>
        <v>0.8</v>
      </c>
      <c r="V56" s="868">
        <f t="shared" ref="V56" si="52">IF(Q56="","",S56-U56)</f>
        <v>1.68</v>
      </c>
      <c r="W56" s="829">
        <v>11</v>
      </c>
      <c r="X56" s="829">
        <v>23</v>
      </c>
      <c r="Y56" s="829">
        <v>2</v>
      </c>
      <c r="Z56" s="829">
        <v>1</v>
      </c>
      <c r="AA56" s="829">
        <v>43</v>
      </c>
      <c r="AB56" s="829">
        <v>57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1877</v>
      </c>
      <c r="AH56" s="891" t="s">
        <v>34</v>
      </c>
      <c r="AI56" s="891" t="s">
        <v>32</v>
      </c>
      <c r="AJ56" s="891" t="s">
        <v>34</v>
      </c>
      <c r="AK56" s="891" t="s">
        <v>34</v>
      </c>
      <c r="AL56" s="891" t="s">
        <v>32</v>
      </c>
      <c r="AM56" s="891" t="s">
        <v>32</v>
      </c>
      <c r="AN56" s="891" t="s">
        <v>32</v>
      </c>
      <c r="AO56" s="891" t="s">
        <v>36</v>
      </c>
      <c r="AP56" s="891" t="s">
        <v>34</v>
      </c>
      <c r="AQ56" s="891" t="s">
        <v>32</v>
      </c>
      <c r="AR56" s="907" t="s">
        <v>3235</v>
      </c>
      <c r="AS56" s="891" t="s">
        <v>35</v>
      </c>
      <c r="AT56" s="891" t="s">
        <v>35</v>
      </c>
      <c r="AU56" s="891" t="s">
        <v>1877</v>
      </c>
      <c r="AV56" s="891" t="s">
        <v>32</v>
      </c>
      <c r="AW56" s="891" t="s">
        <v>34</v>
      </c>
      <c r="AX56" s="904" t="s">
        <v>34</v>
      </c>
      <c r="AY56" s="891" t="s">
        <v>36</v>
      </c>
      <c r="AZ56" s="891" t="s">
        <v>32</v>
      </c>
      <c r="BA56" s="891" t="s">
        <v>35</v>
      </c>
      <c r="BB56" s="891" t="s">
        <v>1877</v>
      </c>
      <c r="BC56" s="891" t="s">
        <v>3231</v>
      </c>
      <c r="BD56" s="891" t="s">
        <v>32</v>
      </c>
      <c r="BE56" s="891" t="s">
        <v>34</v>
      </c>
      <c r="BF56" s="891"/>
      <c r="BG56" s="891"/>
      <c r="BH56" s="891"/>
      <c r="BI56" s="891"/>
      <c r="BJ56" s="891"/>
      <c r="BK56" s="891"/>
      <c r="BL56" s="891"/>
      <c r="BM56" s="891"/>
      <c r="BN56" s="892"/>
      <c r="BO56" s="896"/>
      <c r="BP56" s="892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93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10</v>
      </c>
      <c r="G57" s="879" t="s">
        <v>883</v>
      </c>
      <c r="H57" s="879" t="s">
        <v>22</v>
      </c>
      <c r="I57" s="879" t="s">
        <v>891</v>
      </c>
      <c r="J57" s="846">
        <v>2</v>
      </c>
      <c r="K57" s="846">
        <v>3</v>
      </c>
      <c r="L57" s="816" t="str">
        <f t="shared" si="30"/>
        <v>L</v>
      </c>
      <c r="M57" s="816">
        <f t="shared" si="31"/>
        <v>5</v>
      </c>
      <c r="N57" s="816" t="str">
        <f t="shared" si="32"/>
        <v>O</v>
      </c>
      <c r="O57" s="816">
        <f t="shared" si="21"/>
        <v>0.25</v>
      </c>
      <c r="P57" s="829">
        <f t="shared" si="23"/>
        <v>-1</v>
      </c>
      <c r="Q57" s="830">
        <v>-0.18</v>
      </c>
      <c r="R57" s="871">
        <f t="shared" si="24"/>
        <v>-0.82000000000000006</v>
      </c>
      <c r="S57" s="830">
        <v>2.46</v>
      </c>
      <c r="T57" s="829">
        <f t="shared" si="25"/>
        <v>2.54</v>
      </c>
      <c r="U57" s="868">
        <f t="shared" si="26"/>
        <v>1.1399999999999999</v>
      </c>
      <c r="V57" s="868">
        <f t="shared" si="27"/>
        <v>1.32</v>
      </c>
      <c r="W57" s="829">
        <v>13</v>
      </c>
      <c r="X57" s="829">
        <v>14</v>
      </c>
      <c r="Y57" s="829">
        <v>5</v>
      </c>
      <c r="Z57" s="829">
        <v>5</v>
      </c>
      <c r="AA57" s="829">
        <v>58</v>
      </c>
      <c r="AB57" s="829">
        <v>42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1877</v>
      </c>
      <c r="AH57" s="891" t="s">
        <v>34</v>
      </c>
      <c r="AI57" s="891" t="s">
        <v>32</v>
      </c>
      <c r="AJ57" s="891" t="s">
        <v>34</v>
      </c>
      <c r="AK57" s="891" t="s">
        <v>34</v>
      </c>
      <c r="AL57" s="891" t="s">
        <v>1877</v>
      </c>
      <c r="AM57" s="891" t="s">
        <v>35</v>
      </c>
      <c r="AN57" s="891" t="s">
        <v>32</v>
      </c>
      <c r="AO57" s="891" t="s">
        <v>1877</v>
      </c>
      <c r="AP57" s="891" t="s">
        <v>34</v>
      </c>
      <c r="AQ57" s="891" t="s">
        <v>1877</v>
      </c>
      <c r="AR57" s="891" t="s">
        <v>34</v>
      </c>
      <c r="AS57" s="891" t="s">
        <v>35</v>
      </c>
      <c r="AT57" s="891" t="s">
        <v>1886</v>
      </c>
      <c r="AU57" s="891" t="s">
        <v>36</v>
      </c>
      <c r="AV57" s="891" t="s">
        <v>32</v>
      </c>
      <c r="AW57" s="891" t="s">
        <v>34</v>
      </c>
      <c r="AX57" s="891" t="s">
        <v>35</v>
      </c>
      <c r="AY57" s="891" t="s">
        <v>3310</v>
      </c>
      <c r="AZ57" s="891" t="s">
        <v>32</v>
      </c>
      <c r="BA57" s="891" t="s">
        <v>32</v>
      </c>
      <c r="BB57" s="891" t="s">
        <v>36</v>
      </c>
      <c r="BC57" s="891" t="s">
        <v>34</v>
      </c>
      <c r="BD57" s="891" t="s">
        <v>32</v>
      </c>
      <c r="BE57" s="904" t="s">
        <v>3330</v>
      </c>
      <c r="BF57" s="891"/>
      <c r="BG57" s="891"/>
      <c r="BH57" s="891"/>
      <c r="BI57" s="891"/>
      <c r="BJ57" s="891"/>
      <c r="BK57" s="891"/>
      <c r="BL57" s="891"/>
      <c r="BM57" s="891"/>
      <c r="BN57" s="892"/>
      <c r="BO57" s="896"/>
      <c r="BP57" s="892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93" ht="15">
      <c r="A58" s="882">
        <v>6483</v>
      </c>
      <c r="B58" s="884"/>
      <c r="C58" s="884"/>
      <c r="D58" s="884"/>
      <c r="E58" s="884"/>
      <c r="F58" s="884">
        <f ca="1">IF(I58="","",IF(I58=Table!$C$1,VLOOKUP(G58,Table!$B$9:$AE$32,Table!$AE$6-1,FALSE),""))</f>
        <v>21</v>
      </c>
      <c r="G58" s="879" t="s">
        <v>890</v>
      </c>
      <c r="H58" s="879" t="s">
        <v>18</v>
      </c>
      <c r="I58" s="879" t="s">
        <v>891</v>
      </c>
      <c r="J58" s="846">
        <v>1</v>
      </c>
      <c r="K58" s="846">
        <v>2</v>
      </c>
      <c r="L58" s="816" t="str">
        <f t="shared" ref="L58" si="53">IF(J58="","",IF(J58&gt;K58,"W",IF(J58=K58,"D",IF(J58&lt;K58,"L"))))</f>
        <v>L</v>
      </c>
      <c r="M58" s="816">
        <f t="shared" ref="M58" si="54">IF(J58="","",J58+K58)</f>
        <v>3</v>
      </c>
      <c r="N58" s="816" t="str">
        <f t="shared" si="32"/>
        <v>O</v>
      </c>
      <c r="O58" s="816">
        <f t="shared" ref="O58:O66" si="55">IF(Q58="","",IF(SIGN(Q58)&lt;&gt;1,VLOOKUP(ABS(Q58),SUP_HDC,3,TRUE),-VLOOKUP(ABS(Q58),SUP_HDC,3,TRUE)))</f>
        <v>-0.25</v>
      </c>
      <c r="P58" s="829">
        <f t="shared" ref="P58:P66" si="56">IF(O58="","",IF((J58-K58+O58)&gt;=0.5,1,IF((J58-K58+O58)=0.25,0.5,IF((J58-K58+O58)&lt;=-0.5,-1,IF((J58-K58+O58)=-0.25,-0.5,0)))))</f>
        <v>-1</v>
      </c>
      <c r="Q58" s="830">
        <v>0.18</v>
      </c>
      <c r="R58" s="871">
        <f t="shared" ref="R58" si="57">IF(ISBLANK(Q58),"",J58-K58-Q58)</f>
        <v>-1.18</v>
      </c>
      <c r="S58" s="830">
        <v>2.2000000000000002</v>
      </c>
      <c r="T58" s="829">
        <f t="shared" ref="T58" si="58">IF(ISBLANK(S58),"",J58+K58-S58)</f>
        <v>0.79999999999999982</v>
      </c>
      <c r="U58" s="829">
        <f t="shared" si="26"/>
        <v>1.1900000000000002</v>
      </c>
      <c r="V58" s="829">
        <f t="shared" si="27"/>
        <v>1.01</v>
      </c>
      <c r="W58" s="829">
        <v>20</v>
      </c>
      <c r="X58" s="829">
        <v>13</v>
      </c>
      <c r="Y58" s="829">
        <v>4</v>
      </c>
      <c r="Z58" s="829">
        <v>6</v>
      </c>
      <c r="AA58" s="829">
        <v>61</v>
      </c>
      <c r="AB58" s="829">
        <v>39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1877</v>
      </c>
      <c r="AH58" s="891" t="s">
        <v>34</v>
      </c>
      <c r="AI58" s="891" t="s">
        <v>32</v>
      </c>
      <c r="AJ58" s="891" t="s">
        <v>34</v>
      </c>
      <c r="AK58" s="891" t="s">
        <v>35</v>
      </c>
      <c r="AL58" s="891" t="s">
        <v>1877</v>
      </c>
      <c r="AM58" s="891" t="s">
        <v>3365</v>
      </c>
      <c r="AN58" s="891" t="s">
        <v>32</v>
      </c>
      <c r="AO58" s="891" t="s">
        <v>1877</v>
      </c>
      <c r="AP58" s="891" t="s">
        <v>34</v>
      </c>
      <c r="AQ58" s="891" t="s">
        <v>36</v>
      </c>
      <c r="AR58" s="891" t="s">
        <v>35</v>
      </c>
      <c r="AS58" s="891" t="s">
        <v>34</v>
      </c>
      <c r="AT58" s="891" t="s">
        <v>1886</v>
      </c>
      <c r="AU58" s="891" t="s">
        <v>36</v>
      </c>
      <c r="AV58" s="891" t="s">
        <v>32</v>
      </c>
      <c r="AW58" s="891" t="s">
        <v>34</v>
      </c>
      <c r="AX58" s="891" t="s">
        <v>34</v>
      </c>
      <c r="AY58" s="891" t="s">
        <v>1877</v>
      </c>
      <c r="AZ58" s="891" t="s">
        <v>32</v>
      </c>
      <c r="BA58" s="891" t="s">
        <v>32</v>
      </c>
      <c r="BB58" s="891" t="s">
        <v>36</v>
      </c>
      <c r="BC58" s="891" t="s">
        <v>35</v>
      </c>
      <c r="BD58" s="891" t="s">
        <v>32</v>
      </c>
      <c r="BE58" s="891" t="s">
        <v>34</v>
      </c>
      <c r="BF58" s="891"/>
      <c r="BG58" s="891"/>
      <c r="BH58" s="891"/>
      <c r="BI58" s="891"/>
      <c r="BJ58" s="891"/>
      <c r="BK58" s="891"/>
      <c r="BL58" s="891"/>
      <c r="BM58" s="891"/>
      <c r="BN58" s="892"/>
      <c r="BO58" s="896"/>
      <c r="BP58" s="892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93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17</v>
      </c>
      <c r="G59" s="879" t="s">
        <v>875</v>
      </c>
      <c r="H59" s="879" t="s">
        <v>18</v>
      </c>
      <c r="I59" s="879" t="s">
        <v>891</v>
      </c>
      <c r="J59" s="846">
        <v>1</v>
      </c>
      <c r="K59" s="846">
        <v>4</v>
      </c>
      <c r="L59" s="816" t="str">
        <f t="shared" si="30"/>
        <v>L</v>
      </c>
      <c r="M59" s="816">
        <f t="shared" si="31"/>
        <v>5</v>
      </c>
      <c r="N59" s="816" t="str">
        <f t="shared" si="32"/>
        <v>O</v>
      </c>
      <c r="O59" s="816">
        <f t="shared" si="55"/>
        <v>0</v>
      </c>
      <c r="P59" s="829">
        <f t="shared" si="56"/>
        <v>-1</v>
      </c>
      <c r="Q59" s="830">
        <v>-0.04</v>
      </c>
      <c r="R59" s="871">
        <f t="shared" si="24"/>
        <v>-2.96</v>
      </c>
      <c r="S59" s="830">
        <v>2.72</v>
      </c>
      <c r="T59" s="829">
        <f t="shared" si="25"/>
        <v>2.2799999999999998</v>
      </c>
      <c r="U59" s="829">
        <f t="shared" si="26"/>
        <v>1.34</v>
      </c>
      <c r="V59" s="829">
        <f t="shared" si="27"/>
        <v>1.3800000000000001</v>
      </c>
      <c r="W59" s="829">
        <v>10</v>
      </c>
      <c r="X59" s="829">
        <v>20</v>
      </c>
      <c r="Y59" s="829">
        <v>7</v>
      </c>
      <c r="Z59" s="829">
        <v>8</v>
      </c>
      <c r="AA59" s="829">
        <v>55</v>
      </c>
      <c r="AB59" s="829">
        <v>45</v>
      </c>
      <c r="AC59" s="829"/>
      <c r="AD59" s="816" t="str">
        <f t="array" ref="AD59">IF($J59="","",IF(SUM(IF(ISNUMBER(VALUE(RIGHT($AG59:$DW59,1))),VALUE(RIGHT($AG59:$DW59,1)),0))=$J59,"T","F"))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IF($J59="","",SUM(IF(LEFT($AG59:$DW59,1)="X",1,0)))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34</v>
      </c>
      <c r="AK59" s="904" t="s">
        <v>34</v>
      </c>
      <c r="AL59" s="891" t="s">
        <v>1877</v>
      </c>
      <c r="AM59" s="891" t="s">
        <v>35</v>
      </c>
      <c r="AN59" s="891" t="s">
        <v>32</v>
      </c>
      <c r="AO59" s="891" t="s">
        <v>1877</v>
      </c>
      <c r="AP59" s="891" t="s">
        <v>34</v>
      </c>
      <c r="AQ59" s="891" t="s">
        <v>36</v>
      </c>
      <c r="AR59" s="891" t="s">
        <v>34</v>
      </c>
      <c r="AS59" s="891" t="s">
        <v>34</v>
      </c>
      <c r="AT59" s="891" t="s">
        <v>1886</v>
      </c>
      <c r="AU59" s="891" t="s">
        <v>35</v>
      </c>
      <c r="AV59" s="891" t="s">
        <v>32</v>
      </c>
      <c r="AW59" s="891" t="s">
        <v>3401</v>
      </c>
      <c r="AX59" s="891" t="s">
        <v>1877</v>
      </c>
      <c r="AY59" s="891" t="s">
        <v>36</v>
      </c>
      <c r="AZ59" s="891" t="s">
        <v>32</v>
      </c>
      <c r="BA59" s="891" t="s">
        <v>32</v>
      </c>
      <c r="BB59" s="891" t="s">
        <v>36</v>
      </c>
      <c r="BC59" s="891" t="s">
        <v>35</v>
      </c>
      <c r="BD59" s="891" t="s">
        <v>32</v>
      </c>
      <c r="BE59" s="891" t="s">
        <v>34</v>
      </c>
      <c r="BF59" s="891"/>
      <c r="BG59" s="891"/>
      <c r="BH59" s="891"/>
      <c r="BI59" s="891"/>
      <c r="BJ59" s="891"/>
      <c r="BK59" s="891"/>
      <c r="BL59" s="891"/>
      <c r="BM59" s="891"/>
      <c r="BN59" s="892"/>
      <c r="BO59" s="896"/>
      <c r="BP59" s="892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93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19</v>
      </c>
      <c r="G60" s="879" t="s">
        <v>885</v>
      </c>
      <c r="H60" s="879" t="s">
        <v>22</v>
      </c>
      <c r="I60" s="879" t="s">
        <v>891</v>
      </c>
      <c r="J60" s="846">
        <v>2</v>
      </c>
      <c r="K60" s="846">
        <v>1</v>
      </c>
      <c r="L60" s="816" t="str">
        <f t="shared" si="30"/>
        <v>W</v>
      </c>
      <c r="M60" s="816">
        <f t="shared" si="31"/>
        <v>3</v>
      </c>
      <c r="N60" s="816" t="str">
        <f t="shared" si="32"/>
        <v>O</v>
      </c>
      <c r="O60" s="816">
        <f t="shared" si="55"/>
        <v>-0.25</v>
      </c>
      <c r="P60" s="829">
        <f t="shared" si="56"/>
        <v>1</v>
      </c>
      <c r="Q60" s="830">
        <v>0.18</v>
      </c>
      <c r="R60" s="871">
        <f t="shared" si="24"/>
        <v>0.82000000000000006</v>
      </c>
      <c r="S60" s="830">
        <v>2.5499999999999998</v>
      </c>
      <c r="T60" s="829">
        <f t="shared" si="25"/>
        <v>0.45000000000000018</v>
      </c>
      <c r="U60" s="829">
        <f t="shared" si="26"/>
        <v>1.365</v>
      </c>
      <c r="V60" s="829">
        <f t="shared" si="27"/>
        <v>1.1849999999999998</v>
      </c>
      <c r="W60" s="829">
        <v>12</v>
      </c>
      <c r="X60" s="829">
        <v>6</v>
      </c>
      <c r="Y60" s="829">
        <v>5</v>
      </c>
      <c r="Z60" s="829">
        <v>2</v>
      </c>
      <c r="AA60" s="829">
        <v>46</v>
      </c>
      <c r="AB60" s="829">
        <v>54</v>
      </c>
      <c r="AC60" s="829"/>
      <c r="AD60" s="816" t="str">
        <f t="array" ref="AD60">IF($J60="","",IF(SUM(IF(ISNUMBER(VALUE(RIGHT($AG60:$DW60,1))),VALUE(RIGHT($AG60:$DW60,1)),0))=$J60,"T","F"))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IF($J60="","",SUM(IF(LEFT($AG60:$DW60,1)="X",1,0)))</f>
        <v>11</v>
      </c>
      <c r="AG60" s="891" t="s">
        <v>32</v>
      </c>
      <c r="AH60" s="891" t="s">
        <v>34</v>
      </c>
      <c r="AI60" s="891" t="s">
        <v>32</v>
      </c>
      <c r="AJ60" s="904" t="s">
        <v>34</v>
      </c>
      <c r="AK60" s="891" t="s">
        <v>35</v>
      </c>
      <c r="AL60" s="891" t="s">
        <v>1877</v>
      </c>
      <c r="AM60" s="891" t="s">
        <v>1877</v>
      </c>
      <c r="AN60" s="891" t="s">
        <v>32</v>
      </c>
      <c r="AO60" s="891" t="s">
        <v>36</v>
      </c>
      <c r="AP60" s="891" t="s">
        <v>34</v>
      </c>
      <c r="AQ60" s="891" t="s">
        <v>32</v>
      </c>
      <c r="AR60" s="891" t="s">
        <v>34</v>
      </c>
      <c r="AS60" s="891" t="s">
        <v>34</v>
      </c>
      <c r="AT60" s="891" t="s">
        <v>3446</v>
      </c>
      <c r="AU60" s="891" t="s">
        <v>1877</v>
      </c>
      <c r="AV60" s="891" t="s">
        <v>32</v>
      </c>
      <c r="AW60" s="891" t="s">
        <v>35</v>
      </c>
      <c r="AX60" s="891" t="s">
        <v>34</v>
      </c>
      <c r="AY60" s="904" t="s">
        <v>34</v>
      </c>
      <c r="AZ60" s="891" t="s">
        <v>32</v>
      </c>
      <c r="BA60" s="891" t="s">
        <v>32</v>
      </c>
      <c r="BB60" s="891" t="s">
        <v>36</v>
      </c>
      <c r="BC60" s="891" t="s">
        <v>35</v>
      </c>
      <c r="BD60" s="891" t="s">
        <v>32</v>
      </c>
      <c r="BE60" s="891" t="s">
        <v>3423</v>
      </c>
      <c r="BF60" s="891"/>
      <c r="BG60" s="891"/>
      <c r="BH60" s="891"/>
      <c r="BI60" s="891"/>
      <c r="BJ60" s="891"/>
      <c r="BK60" s="891"/>
      <c r="BL60" s="891"/>
      <c r="BM60" s="891"/>
      <c r="BN60" s="892"/>
      <c r="BO60" s="896"/>
      <c r="BP60" s="892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</row>
    <row r="61" spans="1:93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</v>
      </c>
      <c r="G61" s="879" t="s">
        <v>1086</v>
      </c>
      <c r="H61" s="879" t="s">
        <v>18</v>
      </c>
      <c r="I61" s="879" t="s">
        <v>891</v>
      </c>
      <c r="J61" s="846">
        <v>0</v>
      </c>
      <c r="K61" s="846">
        <v>1</v>
      </c>
      <c r="L61" s="816" t="str">
        <f t="shared" si="30"/>
        <v>L</v>
      </c>
      <c r="M61" s="816">
        <f t="shared" si="31"/>
        <v>1</v>
      </c>
      <c r="N61" s="816" t="str">
        <f t="shared" si="32"/>
        <v>U</v>
      </c>
      <c r="O61" s="816">
        <f t="shared" si="55"/>
        <v>1</v>
      </c>
      <c r="P61" s="829">
        <f t="shared" si="56"/>
        <v>0</v>
      </c>
      <c r="Q61" s="830">
        <v>-0.98</v>
      </c>
      <c r="R61" s="871">
        <f t="shared" si="24"/>
        <v>-2.0000000000000018E-2</v>
      </c>
      <c r="S61" s="830">
        <v>2.85</v>
      </c>
      <c r="T61" s="829">
        <f t="shared" si="25"/>
        <v>-1.85</v>
      </c>
      <c r="U61" s="829">
        <f t="shared" si="26"/>
        <v>0.93500000000000005</v>
      </c>
      <c r="V61" s="829">
        <f t="shared" si="27"/>
        <v>1.915</v>
      </c>
      <c r="W61" s="829">
        <v>12</v>
      </c>
      <c r="X61" s="829">
        <v>13</v>
      </c>
      <c r="Y61" s="829">
        <v>0</v>
      </c>
      <c r="Z61" s="829">
        <v>3</v>
      </c>
      <c r="AA61" s="829">
        <v>54</v>
      </c>
      <c r="AB61" s="829">
        <v>46</v>
      </c>
      <c r="AC61" s="829"/>
      <c r="AD61" s="816" t="str">
        <f t="array" ref="AD61">IF($J61="","",IF(SUM(IF(ISNUMBER(VALUE(RIGHT($AG61:$DW61,1))),VALUE(RIGHT($AG61:$DW61,1)),0))=$J61,"T","F"))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IF($J61="","",SUM(IF(LEFT($AG61:$DW61,1)="X",1,0)))</f>
        <v>11</v>
      </c>
      <c r="AG61" s="891" t="s">
        <v>32</v>
      </c>
      <c r="AH61" s="891" t="s">
        <v>34</v>
      </c>
      <c r="AI61" s="891" t="s">
        <v>32</v>
      </c>
      <c r="AJ61" s="891" t="s">
        <v>3473</v>
      </c>
      <c r="AK61" s="891" t="s">
        <v>34</v>
      </c>
      <c r="AL61" s="891" t="s">
        <v>1877</v>
      </c>
      <c r="AM61" s="891" t="s">
        <v>36</v>
      </c>
      <c r="AN61" s="891" t="s">
        <v>32</v>
      </c>
      <c r="AO61" s="891" t="s">
        <v>1877</v>
      </c>
      <c r="AP61" s="891" t="s">
        <v>34</v>
      </c>
      <c r="AQ61" s="891" t="s">
        <v>32</v>
      </c>
      <c r="AR61" s="891" t="s">
        <v>34</v>
      </c>
      <c r="AS61" s="891" t="s">
        <v>35</v>
      </c>
      <c r="AT61" s="891" t="s">
        <v>34</v>
      </c>
      <c r="AU61" s="891" t="s">
        <v>1877</v>
      </c>
      <c r="AV61" s="891" t="s">
        <v>32</v>
      </c>
      <c r="AW61" s="891" t="s">
        <v>34</v>
      </c>
      <c r="AX61" s="891" t="s">
        <v>34</v>
      </c>
      <c r="AY61" s="891" t="s">
        <v>34</v>
      </c>
      <c r="AZ61" s="891" t="s">
        <v>32</v>
      </c>
      <c r="BA61" s="891" t="s">
        <v>32</v>
      </c>
      <c r="BB61" s="891" t="s">
        <v>36</v>
      </c>
      <c r="BC61" s="891" t="s">
        <v>35</v>
      </c>
      <c r="BD61" s="891" t="s">
        <v>36</v>
      </c>
      <c r="BE61" s="891" t="s">
        <v>35</v>
      </c>
      <c r="BF61" s="891"/>
      <c r="BG61" s="891"/>
      <c r="BH61" s="891"/>
      <c r="BI61" s="891"/>
      <c r="BJ61" s="891"/>
      <c r="BK61" s="891"/>
      <c r="BL61" s="891"/>
      <c r="BM61" s="891"/>
      <c r="BN61" s="892"/>
      <c r="BO61" s="896"/>
      <c r="BP61" s="892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</row>
    <row r="62" spans="1:93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11</v>
      </c>
      <c r="G62" s="879" t="s">
        <v>874</v>
      </c>
      <c r="H62" s="879" t="s">
        <v>18</v>
      </c>
      <c r="I62" s="879" t="s">
        <v>891</v>
      </c>
      <c r="J62" s="846">
        <v>2</v>
      </c>
      <c r="K62" s="846">
        <v>2</v>
      </c>
      <c r="L62" s="816" t="str">
        <f t="shared" si="30"/>
        <v>D</v>
      </c>
      <c r="M62" s="816">
        <f t="shared" si="31"/>
        <v>4</v>
      </c>
      <c r="N62" s="816" t="str">
        <f t="shared" si="32"/>
        <v>O</v>
      </c>
      <c r="O62" s="816">
        <f t="shared" si="55"/>
        <v>0.5</v>
      </c>
      <c r="P62" s="829">
        <f t="shared" si="56"/>
        <v>1</v>
      </c>
      <c r="Q62" s="830">
        <v>-0.45</v>
      </c>
      <c r="R62" s="871">
        <f t="shared" si="24"/>
        <v>0.45</v>
      </c>
      <c r="S62" s="830">
        <v>2.58</v>
      </c>
      <c r="T62" s="829">
        <f t="shared" si="25"/>
        <v>1.42</v>
      </c>
      <c r="U62" s="829">
        <f t="shared" si="26"/>
        <v>1.0649999999999999</v>
      </c>
      <c r="V62" s="829">
        <f t="shared" si="27"/>
        <v>1.5150000000000001</v>
      </c>
      <c r="W62" s="829">
        <v>9</v>
      </c>
      <c r="X62" s="829">
        <v>14</v>
      </c>
      <c r="Y62" s="829">
        <v>4</v>
      </c>
      <c r="Z62" s="829">
        <v>3</v>
      </c>
      <c r="AA62" s="829">
        <v>48</v>
      </c>
      <c r="AB62" s="829">
        <v>52</v>
      </c>
      <c r="AC62" s="829"/>
      <c r="AD62" s="816" t="str">
        <f t="array" ref="AD62">IF($J62="","",IF(SUM(IF(ISNUMBER(VALUE(RIGHT($AG62:$DW62,1))),VALUE(RIGHT($AG62:$DW62,1)),0))=$J62,"T","F"))</f>
        <v>T</v>
      </c>
      <c r="AE62" s="831">
        <f t="array" ref="AE62">IF($J62="","",SUM(IF(LEFT($AG62:$DW62,1)="s",1,0))-SUM(IF(RIGHT(LEFT($AG62:$DW62,2))="-",1,0)))</f>
        <v>0</v>
      </c>
      <c r="AF62" s="816">
        <f t="array" ref="AF62">IF($J62="","",SUM(IF(LEFT($AG62:$DW62,1)="X",1,0)))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34</v>
      </c>
      <c r="AK62" s="891" t="s">
        <v>34</v>
      </c>
      <c r="AL62" s="891" t="s">
        <v>32</v>
      </c>
      <c r="AM62" s="891" t="s">
        <v>32</v>
      </c>
      <c r="AN62" s="891" t="s">
        <v>32</v>
      </c>
      <c r="AO62" s="891" t="s">
        <v>1877</v>
      </c>
      <c r="AP62" s="891" t="s">
        <v>34</v>
      </c>
      <c r="AQ62" s="891" t="s">
        <v>32</v>
      </c>
      <c r="AR62" s="891" t="s">
        <v>34</v>
      </c>
      <c r="AS62" s="891" t="s">
        <v>3500</v>
      </c>
      <c r="AT62" s="891" t="s">
        <v>34</v>
      </c>
      <c r="AU62" s="891" t="s">
        <v>1877</v>
      </c>
      <c r="AV62" s="891" t="s">
        <v>32</v>
      </c>
      <c r="AW62" s="891" t="s">
        <v>34</v>
      </c>
      <c r="AX62" s="891" t="s">
        <v>1877</v>
      </c>
      <c r="AY62" s="904" t="s">
        <v>35</v>
      </c>
      <c r="AZ62" s="891" t="s">
        <v>32</v>
      </c>
      <c r="BA62" s="891" t="s">
        <v>36</v>
      </c>
      <c r="BB62" s="891" t="s">
        <v>36</v>
      </c>
      <c r="BC62" s="891" t="s">
        <v>35</v>
      </c>
      <c r="BD62" s="891" t="s">
        <v>3498</v>
      </c>
      <c r="BE62" s="891" t="s">
        <v>34</v>
      </c>
      <c r="BF62" s="891"/>
      <c r="BG62" s="891"/>
      <c r="BH62" s="891"/>
      <c r="BI62" s="891"/>
      <c r="BJ62" s="891"/>
      <c r="BK62" s="891"/>
      <c r="BL62" s="891"/>
      <c r="BM62" s="891"/>
      <c r="BN62" s="892"/>
      <c r="BO62" s="896"/>
      <c r="BP62" s="892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</row>
    <row r="63" spans="1:93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7</v>
      </c>
      <c r="G63" s="879" t="s">
        <v>888</v>
      </c>
      <c r="H63" s="879" t="s">
        <v>22</v>
      </c>
      <c r="I63" s="879" t="s">
        <v>891</v>
      </c>
      <c r="J63" s="846">
        <v>1</v>
      </c>
      <c r="K63" s="846">
        <v>3</v>
      </c>
      <c r="L63" s="816" t="str">
        <f t="shared" si="30"/>
        <v>L</v>
      </c>
      <c r="M63" s="816">
        <f t="shared" si="31"/>
        <v>4</v>
      </c>
      <c r="N63" s="816" t="str">
        <f t="shared" si="32"/>
        <v>O</v>
      </c>
      <c r="O63" s="816">
        <f t="shared" si="55"/>
        <v>0.75</v>
      </c>
      <c r="P63" s="829">
        <f t="shared" si="56"/>
        <v>-1</v>
      </c>
      <c r="Q63" s="830">
        <v>-0.73</v>
      </c>
      <c r="R63" s="871">
        <f t="shared" si="24"/>
        <v>-1.27</v>
      </c>
      <c r="S63" s="830">
        <v>2.83</v>
      </c>
      <c r="T63" s="829">
        <f t="shared" si="25"/>
        <v>1.17</v>
      </c>
      <c r="U63" s="829">
        <f t="shared" si="26"/>
        <v>1.05</v>
      </c>
      <c r="V63" s="829">
        <f t="shared" si="27"/>
        <v>1.78</v>
      </c>
      <c r="W63" s="829">
        <v>10</v>
      </c>
      <c r="X63" s="829">
        <v>20</v>
      </c>
      <c r="Y63" s="829">
        <v>4</v>
      </c>
      <c r="Z63" s="829">
        <v>10</v>
      </c>
      <c r="AA63" s="829">
        <v>37</v>
      </c>
      <c r="AB63" s="829">
        <v>63</v>
      </c>
      <c r="AC63" s="829"/>
      <c r="AD63" s="816" t="str">
        <f t="array" ref="AD63">IF($J63="","",IF(SUM(IF(ISNUMBER(VALUE(RIGHT($AG63:$DW63,1))),VALUE(RIGHT($AG63:$DW63,1)),0))=$J63,"T","F"))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IF($J63="","",SUM(IF(LEFT($AG63:$DW63,1)="X",1,0)))</f>
        <v>11</v>
      </c>
      <c r="AG63" s="891" t="s">
        <v>1877</v>
      </c>
      <c r="AH63" s="891" t="s">
        <v>34</v>
      </c>
      <c r="AI63" s="891" t="s">
        <v>32</v>
      </c>
      <c r="AJ63" s="891" t="s">
        <v>34</v>
      </c>
      <c r="AK63" s="891" t="s">
        <v>1877</v>
      </c>
      <c r="AL63" s="891" t="s">
        <v>32</v>
      </c>
      <c r="AM63" s="891" t="s">
        <v>32</v>
      </c>
      <c r="AN63" s="891" t="s">
        <v>32</v>
      </c>
      <c r="AO63" s="891" t="s">
        <v>1877</v>
      </c>
      <c r="AP63" s="891" t="s">
        <v>34</v>
      </c>
      <c r="AQ63" s="891" t="s">
        <v>32</v>
      </c>
      <c r="AR63" s="891" t="s">
        <v>35</v>
      </c>
      <c r="AS63" s="891" t="s">
        <v>35</v>
      </c>
      <c r="AT63" s="891" t="s">
        <v>34</v>
      </c>
      <c r="AU63" s="891" t="s">
        <v>36</v>
      </c>
      <c r="AV63" s="891" t="s">
        <v>32</v>
      </c>
      <c r="AW63" s="891" t="s">
        <v>34</v>
      </c>
      <c r="AX63" s="904" t="s">
        <v>34</v>
      </c>
      <c r="AY63" s="891" t="s">
        <v>1877</v>
      </c>
      <c r="AZ63" s="891" t="s">
        <v>32</v>
      </c>
      <c r="BA63" s="891" t="s">
        <v>34</v>
      </c>
      <c r="BB63" s="891" t="s">
        <v>3523</v>
      </c>
      <c r="BC63" s="891" t="s">
        <v>36</v>
      </c>
      <c r="BD63" s="891" t="s">
        <v>36</v>
      </c>
      <c r="BE63" s="891" t="s">
        <v>35</v>
      </c>
      <c r="BF63" s="891"/>
      <c r="BG63" s="891"/>
      <c r="BH63" s="891"/>
      <c r="BI63" s="891"/>
      <c r="BJ63" s="891"/>
      <c r="BK63" s="891"/>
      <c r="BL63" s="891"/>
      <c r="BM63" s="891"/>
      <c r="BN63" s="893"/>
      <c r="BO63" s="896"/>
      <c r="BP63" s="893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</row>
    <row r="64" spans="1:93" ht="15">
      <c r="A64" s="921">
        <v>6522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12</v>
      </c>
      <c r="G64" s="879" t="s">
        <v>879</v>
      </c>
      <c r="H64" s="879" t="s">
        <v>22</v>
      </c>
      <c r="I64" s="879" t="s">
        <v>891</v>
      </c>
      <c r="J64" s="846">
        <v>0</v>
      </c>
      <c r="K64" s="846">
        <v>2</v>
      </c>
      <c r="L64" s="816" t="str">
        <f>IF(J64="","",IF(J64&gt;K64,"W",IF(J64=K64,"D",IF(J64&lt;K64,"L"))))</f>
        <v>L</v>
      </c>
      <c r="M64" s="816">
        <f>IF(J64="","",J64+K64)</f>
        <v>2</v>
      </c>
      <c r="N64" s="816" t="str">
        <f>IF($J64="","",IF($M64&gt;N$19,"O",IF($M64&lt;N$19,"U",IF($M64=N$19,"-"))))</f>
        <v>U</v>
      </c>
      <c r="O64" s="816">
        <f>IF(Q64="","",IF(SIGN(Q64)&lt;&gt;1,VLOOKUP(ABS(Q64),SUP_HDC,3,TRUE),-VLOOKUP(ABS(Q64),SUP_HDC,3,TRUE)))</f>
        <v>0</v>
      </c>
      <c r="P64" s="829">
        <f>IF(O64="","",IF((J64-K64+O64)&gt;=0.5,1,IF((J64-K64+O64)=0.25,0.5,IF((J64-K64+O64)&lt;=-0.5,-1,IF((J64-K64+O64)=-0.25,-0.5,0)))))</f>
        <v>-1</v>
      </c>
      <c r="Q64" s="830">
        <v>0.05</v>
      </c>
      <c r="R64" s="871">
        <f>IF(ISBLANK(Q64),"",J64-K64-Q64)</f>
        <v>-2.0499999999999998</v>
      </c>
      <c r="S64" s="830">
        <v>2.6</v>
      </c>
      <c r="T64" s="829">
        <f>IF(ISBLANK(S64),"",J64+K64-S64)</f>
        <v>-0.60000000000000009</v>
      </c>
      <c r="U64" s="868">
        <f>IF(Q64="","",(Q64+S64)/2)</f>
        <v>1.325</v>
      </c>
      <c r="V64" s="868">
        <f>IF(Q64="","",S64-U64)</f>
        <v>1.2750000000000001</v>
      </c>
      <c r="W64" s="829">
        <v>15</v>
      </c>
      <c r="X64" s="829">
        <v>9</v>
      </c>
      <c r="Y64" s="829">
        <v>7</v>
      </c>
      <c r="Z64" s="829">
        <v>4</v>
      </c>
      <c r="AA64" s="829">
        <v>55</v>
      </c>
      <c r="AB64" s="829">
        <v>45</v>
      </c>
      <c r="AC64" s="829"/>
      <c r="AD64" s="816" t="str">
        <f t="array" ref="AD64">IF($J64="","",IF(SUM(IF(ISNUMBER(VALUE(RIGHT($AG64:$DW64,1))),VALUE(RIGHT($AG64:$DW64,1)),0))=$J64,"T","F"))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IF($J64="","",SUM(IF(LEFT($AG64:$DW64,1)="X",1,0)))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34</v>
      </c>
      <c r="AK64" s="891" t="s">
        <v>34</v>
      </c>
      <c r="AL64" s="891" t="s">
        <v>32</v>
      </c>
      <c r="AM64" s="891" t="s">
        <v>32</v>
      </c>
      <c r="AN64" s="891" t="s">
        <v>32</v>
      </c>
      <c r="AO64" s="891" t="s">
        <v>1877</v>
      </c>
      <c r="AP64" s="891" t="s">
        <v>34</v>
      </c>
      <c r="AQ64" s="891" t="s">
        <v>32</v>
      </c>
      <c r="AR64" s="891" t="s">
        <v>34</v>
      </c>
      <c r="AS64" s="891" t="s">
        <v>35</v>
      </c>
      <c r="AT64" s="891" t="s">
        <v>34</v>
      </c>
      <c r="AU64" s="891" t="s">
        <v>32</v>
      </c>
      <c r="AV64" s="891" t="s">
        <v>36</v>
      </c>
      <c r="AW64" s="891" t="s">
        <v>34</v>
      </c>
      <c r="AX64" s="891" t="s">
        <v>1877</v>
      </c>
      <c r="AY64" s="891" t="s">
        <v>35</v>
      </c>
      <c r="AZ64" s="891" t="s">
        <v>32</v>
      </c>
      <c r="BA64" s="891" t="s">
        <v>36</v>
      </c>
      <c r="BB64" s="891" t="s">
        <v>36</v>
      </c>
      <c r="BC64" s="891" t="s">
        <v>35</v>
      </c>
      <c r="BD64" s="891" t="s">
        <v>1877</v>
      </c>
      <c r="BE64" s="891" t="s">
        <v>34</v>
      </c>
      <c r="BF64" s="891"/>
      <c r="BG64" s="891"/>
      <c r="BH64" s="891"/>
      <c r="BI64" s="891"/>
      <c r="BJ64" s="891"/>
      <c r="BK64" s="891"/>
      <c r="BL64" s="891"/>
      <c r="BM64" s="891"/>
      <c r="BN64" s="892"/>
      <c r="BO64" s="896"/>
      <c r="BP64" s="892"/>
      <c r="BQ64" s="896"/>
      <c r="BR64" s="896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  <c r="CE64" s="428"/>
      <c r="CF64" s="428"/>
      <c r="CG64" s="428"/>
      <c r="CH64" s="428"/>
    </row>
    <row r="65" spans="1:82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22</v>
      </c>
      <c r="G65" s="879" t="s">
        <v>1087</v>
      </c>
      <c r="H65" s="879" t="s">
        <v>22</v>
      </c>
      <c r="I65" s="879" t="s">
        <v>891</v>
      </c>
      <c r="J65" s="846">
        <v>4</v>
      </c>
      <c r="K65" s="846">
        <v>2</v>
      </c>
      <c r="L65" s="816" t="str">
        <f t="shared" si="30"/>
        <v>W</v>
      </c>
      <c r="M65" s="816">
        <f t="shared" si="31"/>
        <v>6</v>
      </c>
      <c r="N65" s="816" t="str">
        <f t="shared" si="32"/>
        <v>O</v>
      </c>
      <c r="O65" s="816">
        <f t="shared" si="55"/>
        <v>0</v>
      </c>
      <c r="P65" s="829">
        <f t="shared" si="56"/>
        <v>1</v>
      </c>
      <c r="Q65" s="830">
        <v>0.08</v>
      </c>
      <c r="R65" s="871">
        <f t="shared" si="24"/>
        <v>1.92</v>
      </c>
      <c r="S65" s="830">
        <v>2.9</v>
      </c>
      <c r="T65" s="829">
        <f t="shared" si="25"/>
        <v>3.1</v>
      </c>
      <c r="U65" s="829">
        <f t="shared" si="26"/>
        <v>1.49</v>
      </c>
      <c r="V65" s="829">
        <f t="shared" si="27"/>
        <v>1.41</v>
      </c>
      <c r="W65" s="829">
        <v>9</v>
      </c>
      <c r="X65" s="829">
        <v>7</v>
      </c>
      <c r="Y65" s="829">
        <v>6</v>
      </c>
      <c r="Z65" s="829">
        <v>3</v>
      </c>
      <c r="AA65" s="829">
        <v>45</v>
      </c>
      <c r="AB65" s="829">
        <v>55</v>
      </c>
      <c r="AC65" s="829"/>
      <c r="AD65" s="816" t="str">
        <f t="array" ref="AD65">IF($J65="","",IF(SUM(IF(ISNUMBER(VALUE(RIGHT($AG65:$DW65,1))),VALUE(RIGHT($AG65:$DW65,1)),0))=$J65,"T","F"))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IF($J65="","",SUM(IF(LEFT($AG65:$DW65,1)="X",1,0)))</f>
        <v>11</v>
      </c>
      <c r="AG65" s="891" t="s">
        <v>1877</v>
      </c>
      <c r="AH65" s="891" t="s">
        <v>34</v>
      </c>
      <c r="AI65" s="891" t="s">
        <v>32</v>
      </c>
      <c r="AJ65" s="891" t="s">
        <v>34</v>
      </c>
      <c r="AK65" s="891" t="s">
        <v>34</v>
      </c>
      <c r="AL65" s="891" t="s">
        <v>32</v>
      </c>
      <c r="AM65" s="891" t="s">
        <v>32</v>
      </c>
      <c r="AN65" s="891" t="s">
        <v>32</v>
      </c>
      <c r="AO65" s="904" t="s">
        <v>36</v>
      </c>
      <c r="AP65" s="891" t="s">
        <v>34</v>
      </c>
      <c r="AQ65" s="891" t="s">
        <v>1877</v>
      </c>
      <c r="AR65" s="891" t="s">
        <v>34</v>
      </c>
      <c r="AS65" s="891" t="s">
        <v>32</v>
      </c>
      <c r="AT65" s="891" t="s">
        <v>35</v>
      </c>
      <c r="AU65" s="891" t="s">
        <v>32</v>
      </c>
      <c r="AV65" s="891" t="s">
        <v>35</v>
      </c>
      <c r="AW65" s="891" t="s">
        <v>34</v>
      </c>
      <c r="AX65" s="891" t="s">
        <v>1877</v>
      </c>
      <c r="AY65" s="891" t="s">
        <v>1877</v>
      </c>
      <c r="AZ65" s="891" t="s">
        <v>32</v>
      </c>
      <c r="BA65" s="891" t="s">
        <v>34</v>
      </c>
      <c r="BB65" s="891" t="s">
        <v>36</v>
      </c>
      <c r="BC65" s="891" t="s">
        <v>3564</v>
      </c>
      <c r="BD65" s="891" t="s">
        <v>3563</v>
      </c>
      <c r="BE65" s="891" t="s">
        <v>3561</v>
      </c>
      <c r="BF65" s="891"/>
      <c r="BG65" s="891"/>
      <c r="BH65" s="891"/>
      <c r="BI65" s="891"/>
      <c r="BJ65" s="891"/>
      <c r="BK65" s="891"/>
      <c r="BL65" s="891"/>
      <c r="BM65" s="891"/>
      <c r="BN65" s="893"/>
      <c r="BO65" s="896"/>
      <c r="BP65" s="893"/>
      <c r="BQ65" s="896"/>
      <c r="BR65" s="896"/>
      <c r="BS65" s="897"/>
      <c r="BT65" s="897"/>
      <c r="BU65" s="897"/>
      <c r="BV65" s="897"/>
      <c r="BW65" s="897"/>
      <c r="BX65" s="896"/>
      <c r="BY65" s="896"/>
      <c r="BZ65" s="896"/>
      <c r="CA65" s="896"/>
      <c r="CB65" s="896"/>
      <c r="CC65" s="896"/>
      <c r="CD65" s="896"/>
    </row>
    <row r="66" spans="1:82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20</v>
      </c>
      <c r="G66" s="879" t="s">
        <v>882</v>
      </c>
      <c r="H66" s="879" t="s">
        <v>18</v>
      </c>
      <c r="I66" s="879" t="s">
        <v>891</v>
      </c>
      <c r="J66" s="846">
        <v>1</v>
      </c>
      <c r="K66" s="846">
        <v>1</v>
      </c>
      <c r="L66" s="816" t="str">
        <f t="shared" si="30"/>
        <v>D</v>
      </c>
      <c r="M66" s="816">
        <f t="shared" si="31"/>
        <v>2</v>
      </c>
      <c r="N66" s="816" t="str">
        <f t="shared" si="32"/>
        <v>U</v>
      </c>
      <c r="O66" s="816">
        <f t="shared" si="55"/>
        <v>0.25</v>
      </c>
      <c r="P66" s="829">
        <f t="shared" si="56"/>
        <v>0.5</v>
      </c>
      <c r="Q66" s="830">
        <v>-0.3</v>
      </c>
      <c r="R66" s="871">
        <f t="shared" si="24"/>
        <v>0.3</v>
      </c>
      <c r="S66" s="830">
        <v>2.8</v>
      </c>
      <c r="T66" s="829">
        <f t="shared" si="25"/>
        <v>-0.79999999999999982</v>
      </c>
      <c r="U66" s="829">
        <f t="shared" si="26"/>
        <v>1.25</v>
      </c>
      <c r="V66" s="829">
        <f t="shared" si="27"/>
        <v>1.5499999999999998</v>
      </c>
      <c r="W66" s="829">
        <v>13</v>
      </c>
      <c r="X66" s="829">
        <v>13</v>
      </c>
      <c r="Y66" s="829">
        <v>5</v>
      </c>
      <c r="Z66" s="829">
        <v>4</v>
      </c>
      <c r="AA66" s="829">
        <v>46</v>
      </c>
      <c r="AB66" s="829">
        <v>54</v>
      </c>
      <c r="AC66" s="829"/>
      <c r="AD66" s="816" t="str">
        <f t="array" ref="AD66">IF($J66="","",IF(SUM(IF(ISNUMBER(VALUE(RIGHT($AG66:$DW66,1))),VALUE(RIGHT($AG66:$DW66,1)),0))=$J66,"T","F"))</f>
        <v>T</v>
      </c>
      <c r="AE66" s="831">
        <f t="array" ref="AE66">IF($J66="","",SUM(IF(LEFT($AG66:$DW66,1)="s",1,0))-SUM(IF(RIGHT(LEFT($AG66:$DW66,2))="-",1,0)))</f>
        <v>0</v>
      </c>
      <c r="AF66" s="816">
        <f t="array" ref="AF66">IF($J66="","",SUM(IF(LEFT($AG66:$DW66,1)="X",1,0)))</f>
        <v>11</v>
      </c>
      <c r="AG66" s="891" t="s">
        <v>1877</v>
      </c>
      <c r="AH66" s="891" t="s">
        <v>34</v>
      </c>
      <c r="AI66" s="891" t="s">
        <v>32</v>
      </c>
      <c r="AJ66" s="891" t="s">
        <v>34</v>
      </c>
      <c r="AK66" s="891" t="s">
        <v>34</v>
      </c>
      <c r="AL66" s="891" t="s">
        <v>32</v>
      </c>
      <c r="AM66" s="891" t="s">
        <v>32</v>
      </c>
      <c r="AN66" s="891" t="s">
        <v>32</v>
      </c>
      <c r="AO66" s="891" t="s">
        <v>1877</v>
      </c>
      <c r="AP66" s="891" t="s">
        <v>34</v>
      </c>
      <c r="AQ66" s="891" t="s">
        <v>32</v>
      </c>
      <c r="AR66" s="904" t="s">
        <v>34</v>
      </c>
      <c r="AS66" s="891" t="s">
        <v>36</v>
      </c>
      <c r="AT66" s="891" t="s">
        <v>34</v>
      </c>
      <c r="AU66" s="891" t="s">
        <v>32</v>
      </c>
      <c r="AV66" s="891" t="s">
        <v>35</v>
      </c>
      <c r="AW66" s="891" t="s">
        <v>34</v>
      </c>
      <c r="AX66" s="891" t="s">
        <v>1877</v>
      </c>
      <c r="AY66" s="891" t="s">
        <v>1877</v>
      </c>
      <c r="AZ66" s="891" t="s">
        <v>32</v>
      </c>
      <c r="BA66" s="891" t="s">
        <v>34</v>
      </c>
      <c r="BB66" s="891" t="s">
        <v>3581</v>
      </c>
      <c r="BC66" s="891" t="s">
        <v>36</v>
      </c>
      <c r="BD66" s="891" t="s">
        <v>35</v>
      </c>
      <c r="BE66" s="891" t="s">
        <v>35</v>
      </c>
      <c r="BF66" s="891"/>
      <c r="BG66" s="891"/>
      <c r="BH66" s="891"/>
      <c r="BI66" s="891"/>
      <c r="BJ66" s="891"/>
      <c r="BK66" s="891"/>
      <c r="BL66" s="891"/>
      <c r="BM66" s="891"/>
      <c r="BN66" s="893"/>
      <c r="BO66" s="896"/>
      <c r="BP66" s="893"/>
      <c r="BQ66" s="896"/>
      <c r="BR66" s="896"/>
      <c r="BS66" s="897"/>
      <c r="BT66" s="897"/>
      <c r="BU66" s="897"/>
      <c r="BV66" s="897"/>
      <c r="BW66" s="897"/>
      <c r="BX66" s="896"/>
      <c r="BY66" s="896"/>
      <c r="BZ66" s="896"/>
      <c r="CA66" s="896"/>
      <c r="CB66" s="896"/>
      <c r="CC66" s="896"/>
      <c r="CD66" s="896"/>
    </row>
    <row r="67" spans="1:82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29" t="str">
        <f t="shared" si="25"/>
        <v/>
      </c>
      <c r="U67" s="829" t="str">
        <f t="shared" si="26"/>
        <v/>
      </c>
      <c r="V67" s="829" t="str">
        <f t="shared" si="27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IF($J67="","",IF(SUM(IF(ISNUMBER(VALUE(RIGHT($AG67:$DW67,1))),VALUE(RIGHT($AG67:$DW67,1)),0))=$J67,"T","F"))</f>
        <v/>
      </c>
      <c r="AE67" s="831" t="str">
        <f t="array" ref="AE67">IF($J67="","",SUM(IF(LEFT($AG67:$DW67,1)="s",1,0))-SUM(IF(RIGHT(LEFT($AG67:$DW67,2))="-",1,0)))</f>
        <v/>
      </c>
      <c r="AF67" s="816" t="str">
        <f t="array" ref="AF67">IF($J67="","",SUM(IF(LEFT($AG67:$DW67,1)="X",1,0)))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3"/>
      <c r="BO67" s="896"/>
      <c r="BP67" s="893"/>
      <c r="BQ67" s="896"/>
      <c r="BR67" s="896"/>
      <c r="BS67" s="897"/>
      <c r="BT67" s="897"/>
      <c r="BU67" s="897"/>
      <c r="BV67" s="897"/>
      <c r="BW67" s="897"/>
      <c r="BX67" s="896"/>
      <c r="BY67" s="896"/>
      <c r="BZ67" s="896"/>
      <c r="CA67" s="896"/>
      <c r="CB67" s="896"/>
      <c r="CC67" s="896"/>
      <c r="CD67" s="896"/>
    </row>
    <row r="68" spans="1:82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29" t="str">
        <f t="shared" si="25"/>
        <v/>
      </c>
      <c r="U68" s="829" t="str">
        <f t="shared" si="26"/>
        <v/>
      </c>
      <c r="V68" s="829" t="str">
        <f t="shared" si="27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IF($J68="","",IF(SUM(IF(ISNUMBER(VALUE(RIGHT($AG68:$DW68,1))),VALUE(RIGHT($AG68:$DW68,1)),0))=$J68,"T","F"))</f>
        <v/>
      </c>
      <c r="AE68" s="831" t="str">
        <f t="array" ref="AE68">IF($J68="","",SUM(IF(LEFT($AG68:$DW68,1)="s",1,0))-SUM(IF(RIGHT(LEFT($AG68:$DW68,2))="-",1,0)))</f>
        <v/>
      </c>
      <c r="AF68" s="816" t="str">
        <f t="array" ref="AF68">IF($J68="","",SUM(IF(LEFT($AG68:$DW68,1)="X",1,0)))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3"/>
      <c r="BO68" s="896"/>
      <c r="BP68" s="893"/>
      <c r="BQ68" s="896"/>
      <c r="BR68" s="896"/>
      <c r="BS68" s="897"/>
      <c r="BT68" s="897"/>
      <c r="BU68" s="897"/>
      <c r="BV68" s="897"/>
      <c r="BW68" s="897"/>
      <c r="BX68" s="896"/>
      <c r="BY68" s="896"/>
      <c r="BZ68" s="896"/>
      <c r="CA68" s="896"/>
      <c r="CB68" s="896"/>
      <c r="CC68" s="896"/>
      <c r="CD68" s="896"/>
    </row>
    <row r="69" spans="1:82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29" t="str">
        <f t="shared" si="25"/>
        <v/>
      </c>
      <c r="U69" s="829" t="str">
        <f t="shared" si="26"/>
        <v/>
      </c>
      <c r="V69" s="829" t="str">
        <f t="shared" si="27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IF($J69="","",IF(SUM(IF(ISNUMBER(VALUE(RIGHT($AG69:$DW69,1))),VALUE(RIGHT($AG69:$DW69,1)),0))=$J69,"T","F"))</f>
        <v/>
      </c>
      <c r="AE69" s="831" t="str">
        <f t="array" ref="AE69">IF($J69="","",SUM(IF(LEFT($AG69:$DW69,1)="s",1,0))-SUM(IF(RIGHT(LEFT($AG69:$DW69,2))="-",1,0)))</f>
        <v/>
      </c>
      <c r="AF69" s="816" t="str">
        <f t="array" ref="AF69">IF($J69="","",SUM(IF(LEFT($AG69:$DW69,1)="X",1,0)))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3"/>
      <c r="BO69" s="896"/>
      <c r="BP69" s="893"/>
      <c r="BQ69" s="896"/>
      <c r="BR69" s="896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3"/>
      <c r="BO70" s="896"/>
      <c r="BP70" s="893"/>
      <c r="BQ70" s="896"/>
      <c r="BR70" s="896"/>
      <c r="BS70" s="897"/>
      <c r="BT70" s="897"/>
      <c r="BU70" s="897"/>
      <c r="BV70" s="897"/>
      <c r="BW70" s="897"/>
      <c r="BX70" s="896"/>
      <c r="BY70" s="896"/>
      <c r="BZ70" s="896"/>
      <c r="CA70" s="896"/>
      <c r="CB70" s="896"/>
      <c r="CC70" s="896"/>
      <c r="CD70" s="896"/>
    </row>
    <row r="71" spans="1:82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3"/>
      <c r="AK71" s="893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6"/>
      <c r="BC71" s="896"/>
      <c r="BD71" s="896"/>
      <c r="BE71" s="896"/>
      <c r="BF71" s="893"/>
      <c r="BG71" s="893"/>
      <c r="BH71" s="893"/>
      <c r="BI71" s="893"/>
      <c r="BJ71" s="896"/>
      <c r="BK71" s="896"/>
      <c r="BL71" s="896"/>
      <c r="BM71" s="896"/>
      <c r="BN71" s="893"/>
      <c r="BO71" s="896"/>
      <c r="BP71" s="893"/>
      <c r="BQ71" s="896"/>
      <c r="BR71" s="896"/>
      <c r="BS71" s="897"/>
      <c r="BT71" s="897"/>
      <c r="BU71" s="897"/>
      <c r="BV71" s="897"/>
      <c r="BW71" s="897"/>
      <c r="BX71" s="896"/>
      <c r="BY71" s="896"/>
      <c r="BZ71" s="896"/>
      <c r="CA71" s="896"/>
      <c r="CB71" s="896"/>
      <c r="CC71" s="896"/>
      <c r="CD71" s="896"/>
    </row>
    <row r="72" spans="1:82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6"/>
      <c r="AH72" s="896"/>
      <c r="AI72" s="896"/>
      <c r="AJ72" s="893"/>
      <c r="AK72" s="893"/>
      <c r="AL72" s="896"/>
      <c r="AM72" s="896"/>
      <c r="AN72" s="896"/>
      <c r="AO72" s="896"/>
      <c r="AP72" s="896"/>
      <c r="AQ72" s="896"/>
      <c r="AR72" s="896"/>
      <c r="AS72" s="896"/>
      <c r="AT72" s="896"/>
      <c r="AU72" s="896"/>
      <c r="AV72" s="896"/>
      <c r="AW72" s="896"/>
      <c r="AX72" s="896"/>
      <c r="AY72" s="896"/>
      <c r="AZ72" s="896"/>
      <c r="BA72" s="896"/>
      <c r="BB72" s="896"/>
      <c r="BC72" s="896"/>
      <c r="BD72" s="896"/>
      <c r="BE72" s="896"/>
      <c r="BF72" s="893"/>
      <c r="BG72" s="893"/>
      <c r="BH72" s="893"/>
      <c r="BI72" s="893"/>
      <c r="BJ72" s="896"/>
      <c r="BK72" s="896"/>
      <c r="BL72" s="896"/>
      <c r="BM72" s="896"/>
      <c r="BN72" s="893"/>
      <c r="BO72" s="896"/>
      <c r="BP72" s="893"/>
      <c r="BQ72" s="896"/>
      <c r="BR72" s="896"/>
      <c r="BS72" s="897"/>
      <c r="BT72" s="897"/>
      <c r="BU72" s="897"/>
      <c r="BV72" s="897"/>
      <c r="BW72" s="897"/>
      <c r="BX72" s="896"/>
      <c r="BY72" s="896"/>
      <c r="BZ72" s="896"/>
      <c r="CA72" s="896"/>
      <c r="CB72" s="896"/>
      <c r="CC72" s="896"/>
      <c r="CD72" s="896"/>
    </row>
    <row r="73" spans="1:82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ref="L73:L130" si="59">IF(J73="","",IF(J73&gt;K73,"W",IF(J73=K73,"D",IF(J73&lt;K73,"L"))))</f>
        <v/>
      </c>
      <c r="M73" s="816" t="str">
        <f t="shared" ref="M73:M130" si="60">IF(J73="","",J73+K73)</f>
        <v/>
      </c>
      <c r="N73" s="816" t="str">
        <f t="shared" ref="N73:N130" si="61">IF($J73="","",IF($M73&gt;N$19,"O",IF($M73&lt;N$19,"U",IF($M73=N$19,"-"))))</f>
        <v/>
      </c>
      <c r="R73" s="816" t="str">
        <f t="shared" ref="R73:R130" si="62">IF(ISBLANK(Q73),"",J73-K73-Q73)</f>
        <v/>
      </c>
      <c r="T73" s="829" t="str">
        <f t="shared" ref="T73:T130" si="63">IF(ISBLANK(S73),"",J73+K73-S73)</f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IF($J73="","",IF(SUM(IF(ISNUMBER(VALUE(RIGHT($AG73:$CI73,1))),VALUE(RIGHT($AG73:$CI73,1)),0))=$J73,"T","F"))</f>
        <v/>
      </c>
      <c r="AE73" s="831" t="str">
        <f t="array" ref="AE73">IF($J73="","",SUM(IF(LEFT($AG73:$DU73,1)="s",1,0))-SUM(IF(RIGHT(LEFT($AG73:$DU73,2))="-",1,0)))</f>
        <v/>
      </c>
      <c r="AF73" s="816" t="str">
        <f t="array" ref="AF73">IF($J73="","",SUM(IF(LEFT($AG73:$DA73,1)="X",1,0)))</f>
        <v/>
      </c>
      <c r="AG73" s="897"/>
      <c r="AH73" s="897"/>
      <c r="AI73" s="897"/>
      <c r="AJ73" s="893"/>
      <c r="AK73" s="893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7"/>
      <c r="BE73" s="897"/>
      <c r="BF73" s="893"/>
      <c r="BG73" s="893"/>
      <c r="BH73" s="893"/>
      <c r="BI73" s="893"/>
      <c r="BJ73" s="897"/>
      <c r="BK73" s="897"/>
      <c r="BL73" s="897"/>
      <c r="BM73" s="897"/>
      <c r="BN73" s="893"/>
      <c r="BO73" s="897"/>
      <c r="BP73" s="893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</row>
    <row r="74" spans="1:82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59"/>
        <v/>
      </c>
      <c r="M74" s="816" t="str">
        <f t="shared" si="60"/>
        <v/>
      </c>
      <c r="N74" s="816" t="str">
        <f t="shared" si="61"/>
        <v/>
      </c>
      <c r="R74" s="816" t="str">
        <f t="shared" si="62"/>
        <v/>
      </c>
      <c r="T74" s="829" t="str">
        <f t="shared" si="63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IF($J74="","",IF(SUM(IF(ISNUMBER(VALUE(RIGHT($AG74:$CI74,1))),VALUE(RIGHT($AG74:$CI74,1)),0))=$J74,"T","F"))</f>
        <v/>
      </c>
      <c r="AE74" s="831" t="str">
        <f t="array" ref="AE74">IF($J74="","",SUM(IF(LEFT($AG74:$DU74,1)="s",1,0))-SUM(IF(RIGHT(LEFT($AG74:$DU74,2))="-",1,0)))</f>
        <v/>
      </c>
      <c r="AF74" s="816" t="str">
        <f t="array" ref="AF74">IF($J74="","",SUM(IF(LEFT($AG74:$DA74,1)="X",1,0)))</f>
        <v/>
      </c>
      <c r="AG74" s="897"/>
      <c r="AH74" s="897"/>
      <c r="AI74" s="897"/>
      <c r="AJ74" s="893"/>
      <c r="AK74" s="893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7"/>
      <c r="BE74" s="897"/>
      <c r="BF74" s="893"/>
      <c r="BG74" s="893"/>
      <c r="BH74" s="893"/>
      <c r="BI74" s="893"/>
      <c r="BJ74" s="897"/>
      <c r="BK74" s="897"/>
      <c r="BL74" s="897"/>
      <c r="BM74" s="897"/>
      <c r="BN74" s="893"/>
      <c r="BO74" s="897"/>
      <c r="BP74" s="893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</row>
    <row r="75" spans="1:82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59"/>
        <v/>
      </c>
      <c r="M75" s="816" t="str">
        <f t="shared" si="60"/>
        <v/>
      </c>
      <c r="N75" s="816" t="str">
        <f t="shared" si="61"/>
        <v/>
      </c>
      <c r="R75" s="816" t="str">
        <f t="shared" si="62"/>
        <v/>
      </c>
      <c r="T75" s="829" t="str">
        <f t="shared" si="63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3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7"/>
      <c r="BF75" s="893"/>
      <c r="BG75" s="893"/>
      <c r="BH75" s="893"/>
      <c r="BI75" s="893"/>
      <c r="BJ75" s="897"/>
      <c r="BK75" s="897"/>
      <c r="BL75" s="897"/>
      <c r="BM75" s="897"/>
      <c r="BN75" s="893"/>
      <c r="BO75" s="897"/>
      <c r="BP75" s="893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</row>
    <row r="76" spans="1:82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59"/>
        <v/>
      </c>
      <c r="M76" s="816" t="str">
        <f t="shared" si="60"/>
        <v/>
      </c>
      <c r="N76" s="816" t="str">
        <f t="shared" si="61"/>
        <v/>
      </c>
      <c r="R76" s="816" t="str">
        <f t="shared" si="62"/>
        <v/>
      </c>
      <c r="T76" s="829" t="str">
        <f t="shared" si="63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3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3"/>
      <c r="BG76" s="893"/>
      <c r="BH76" s="893"/>
      <c r="BI76" s="893"/>
      <c r="BJ76" s="897"/>
      <c r="BK76" s="897"/>
      <c r="BL76" s="897"/>
      <c r="BM76" s="897"/>
      <c r="BN76" s="893"/>
      <c r="BO76" s="897"/>
      <c r="BP76" s="893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</row>
    <row r="77" spans="1:82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428"/>
      <c r="K77" s="428"/>
      <c r="L77" s="816" t="str">
        <f t="shared" si="59"/>
        <v/>
      </c>
      <c r="M77" s="816" t="str">
        <f t="shared" si="60"/>
        <v/>
      </c>
      <c r="N77" s="816" t="str">
        <f t="shared" si="61"/>
        <v/>
      </c>
      <c r="R77" s="816" t="str">
        <f t="shared" si="62"/>
        <v/>
      </c>
      <c r="T77" s="829" t="str">
        <f t="shared" si="63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3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7"/>
      <c r="BF77" s="893"/>
      <c r="BG77" s="893"/>
      <c r="BH77" s="893"/>
      <c r="BI77" s="893"/>
      <c r="BJ77" s="897"/>
      <c r="BK77" s="897"/>
      <c r="BL77" s="897"/>
      <c r="BM77" s="897"/>
      <c r="BN77" s="893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9"/>
        <v/>
      </c>
      <c r="M78" s="816" t="str">
        <f t="shared" si="60"/>
        <v/>
      </c>
      <c r="N78" s="816" t="str">
        <f t="shared" si="61"/>
        <v/>
      </c>
      <c r="R78" s="816" t="str">
        <f t="shared" si="62"/>
        <v/>
      </c>
      <c r="T78" s="829" t="str">
        <f t="shared" si="63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3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7"/>
      <c r="BF78" s="893"/>
      <c r="BG78" s="893"/>
      <c r="BH78" s="893"/>
      <c r="BI78" s="893"/>
      <c r="BJ78" s="897"/>
      <c r="BK78" s="897"/>
      <c r="BL78" s="897"/>
      <c r="BM78" s="897"/>
      <c r="BN78" s="893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9"/>
        <v/>
      </c>
      <c r="M79" s="816" t="str">
        <f t="shared" si="60"/>
        <v/>
      </c>
      <c r="N79" s="816" t="str">
        <f t="shared" si="61"/>
        <v/>
      </c>
      <c r="R79" s="816" t="str">
        <f t="shared" si="62"/>
        <v/>
      </c>
      <c r="T79" s="829" t="str">
        <f t="shared" si="63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3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3"/>
      <c r="BG79" s="893"/>
      <c r="BH79" s="893"/>
      <c r="BI79" s="893"/>
      <c r="BJ79" s="897"/>
      <c r="BK79" s="897"/>
      <c r="BL79" s="897"/>
      <c r="BM79" s="897"/>
      <c r="BN79" s="893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9"/>
        <v/>
      </c>
      <c r="M80" s="816" t="str">
        <f t="shared" si="60"/>
        <v/>
      </c>
      <c r="N80" s="816" t="str">
        <f t="shared" si="61"/>
        <v/>
      </c>
      <c r="R80" s="816" t="str">
        <f t="shared" si="62"/>
        <v/>
      </c>
      <c r="T80" s="829" t="str">
        <f t="shared" si="63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3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3"/>
      <c r="BG80" s="893"/>
      <c r="BH80" s="893"/>
      <c r="BI80" s="893"/>
      <c r="BJ80" s="897"/>
      <c r="BK80" s="897"/>
      <c r="BL80" s="897"/>
      <c r="BM80" s="897"/>
      <c r="BN80" s="893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9"/>
        <v/>
      </c>
      <c r="M81" s="816" t="str">
        <f t="shared" si="60"/>
        <v/>
      </c>
      <c r="N81" s="816" t="str">
        <f t="shared" si="61"/>
        <v/>
      </c>
      <c r="R81" s="816" t="str">
        <f t="shared" si="62"/>
        <v/>
      </c>
      <c r="T81" s="829" t="str">
        <f t="shared" si="63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3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3"/>
      <c r="BG81" s="893"/>
      <c r="BH81" s="893"/>
      <c r="BI81" s="893"/>
      <c r="BJ81" s="897"/>
      <c r="BK81" s="897"/>
      <c r="BL81" s="897"/>
      <c r="BM81" s="897"/>
      <c r="BN81" s="893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9"/>
        <v/>
      </c>
      <c r="M82" s="816" t="str">
        <f t="shared" si="60"/>
        <v/>
      </c>
      <c r="N82" s="816" t="str">
        <f t="shared" si="61"/>
        <v/>
      </c>
      <c r="R82" s="816" t="str">
        <f t="shared" si="62"/>
        <v/>
      </c>
      <c r="T82" s="829" t="str">
        <f t="shared" si="63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3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7"/>
      <c r="BF82" s="893"/>
      <c r="BG82" s="893"/>
      <c r="BH82" s="893"/>
      <c r="BI82" s="893"/>
      <c r="BJ82" s="897"/>
      <c r="BK82" s="897"/>
      <c r="BL82" s="897"/>
      <c r="BM82" s="897"/>
      <c r="BN82" s="893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9"/>
        <v/>
      </c>
      <c r="M83" s="816" t="str">
        <f t="shared" si="60"/>
        <v/>
      </c>
      <c r="N83" s="816" t="str">
        <f t="shared" si="61"/>
        <v/>
      </c>
      <c r="R83" s="816" t="str">
        <f t="shared" si="62"/>
        <v/>
      </c>
      <c r="T83" s="829" t="str">
        <f t="shared" si="63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3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3"/>
      <c r="BG83" s="893"/>
      <c r="BH83" s="893"/>
      <c r="BI83" s="893"/>
      <c r="BJ83" s="897"/>
      <c r="BK83" s="897"/>
      <c r="BL83" s="897"/>
      <c r="BM83" s="897"/>
      <c r="BN83" s="893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59"/>
        <v/>
      </c>
      <c r="M84" s="816" t="str">
        <f t="shared" si="60"/>
        <v/>
      </c>
      <c r="N84" s="816" t="str">
        <f t="shared" si="61"/>
        <v/>
      </c>
      <c r="R84" s="816" t="str">
        <f t="shared" si="62"/>
        <v/>
      </c>
      <c r="T84" s="829" t="str">
        <f t="shared" si="63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3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7"/>
      <c r="BF84" s="893"/>
      <c r="BG84" s="893"/>
      <c r="BH84" s="893"/>
      <c r="BI84" s="893"/>
      <c r="BJ84" s="897"/>
      <c r="BK84" s="897"/>
      <c r="BL84" s="897"/>
      <c r="BM84" s="897"/>
      <c r="BN84" s="893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59"/>
        <v/>
      </c>
      <c r="M85" s="816" t="str">
        <f t="shared" si="60"/>
        <v/>
      </c>
      <c r="N85" s="816" t="str">
        <f t="shared" si="61"/>
        <v/>
      </c>
      <c r="R85" s="816" t="str">
        <f t="shared" si="62"/>
        <v/>
      </c>
      <c r="T85" s="829" t="str">
        <f t="shared" si="63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3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7"/>
      <c r="BF85" s="893"/>
      <c r="BG85" s="893"/>
      <c r="BH85" s="893"/>
      <c r="BI85" s="893"/>
      <c r="BJ85" s="897"/>
      <c r="BK85" s="897"/>
      <c r="BL85" s="897"/>
      <c r="BM85" s="897"/>
      <c r="BN85" s="893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787"/>
      <c r="H86" s="833"/>
      <c r="I86" s="833"/>
      <c r="J86" s="833"/>
      <c r="K86" s="833"/>
      <c r="L86" s="816" t="str">
        <f t="shared" si="59"/>
        <v/>
      </c>
      <c r="M86" s="816" t="str">
        <f t="shared" si="60"/>
        <v/>
      </c>
      <c r="N86" s="816" t="str">
        <f t="shared" si="61"/>
        <v/>
      </c>
      <c r="R86" s="816" t="str">
        <f t="shared" si="62"/>
        <v/>
      </c>
      <c r="T86" s="829" t="str">
        <f t="shared" si="63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3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7"/>
      <c r="BF86" s="893"/>
      <c r="BG86" s="893"/>
      <c r="BH86" s="893"/>
      <c r="BI86" s="893"/>
      <c r="BJ86" s="897"/>
      <c r="BK86" s="897"/>
      <c r="BL86" s="897"/>
      <c r="BM86" s="897"/>
      <c r="BN86" s="893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9"/>
        <v/>
      </c>
      <c r="M87" s="816" t="str">
        <f t="shared" si="60"/>
        <v/>
      </c>
      <c r="N87" s="816" t="str">
        <f t="shared" si="61"/>
        <v/>
      </c>
      <c r="R87" s="816" t="str">
        <f t="shared" si="62"/>
        <v/>
      </c>
      <c r="T87" s="829" t="str">
        <f t="shared" si="63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3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7"/>
      <c r="BF87" s="893"/>
      <c r="BG87" s="893"/>
      <c r="BH87" s="893"/>
      <c r="BI87" s="893"/>
      <c r="BJ87" s="897"/>
      <c r="BK87" s="897"/>
      <c r="BL87" s="897"/>
      <c r="BM87" s="897"/>
      <c r="BN87" s="893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9"/>
        <v/>
      </c>
      <c r="M88" s="816" t="str">
        <f t="shared" si="60"/>
        <v/>
      </c>
      <c r="N88" s="816" t="str">
        <f t="shared" si="61"/>
        <v/>
      </c>
      <c r="R88" s="816" t="str">
        <f t="shared" si="62"/>
        <v/>
      </c>
      <c r="T88" s="829" t="str">
        <f t="shared" si="63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3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7"/>
      <c r="BF88" s="893"/>
      <c r="BG88" s="893"/>
      <c r="BH88" s="893"/>
      <c r="BI88" s="893"/>
      <c r="BJ88" s="897"/>
      <c r="BK88" s="897"/>
      <c r="BL88" s="897"/>
      <c r="BM88" s="897"/>
      <c r="BN88" s="893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9"/>
        <v/>
      </c>
      <c r="M89" s="816" t="str">
        <f t="shared" si="60"/>
        <v/>
      </c>
      <c r="N89" s="816" t="str">
        <f t="shared" si="61"/>
        <v/>
      </c>
      <c r="R89" s="816" t="str">
        <f t="shared" si="62"/>
        <v/>
      </c>
      <c r="T89" s="829" t="str">
        <f t="shared" si="63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3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7"/>
      <c r="BF89" s="893"/>
      <c r="BG89" s="893"/>
      <c r="BH89" s="893"/>
      <c r="BI89" s="893"/>
      <c r="BJ89" s="897"/>
      <c r="BK89" s="897"/>
      <c r="BL89" s="897"/>
      <c r="BM89" s="897"/>
      <c r="BN89" s="893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9"/>
        <v/>
      </c>
      <c r="M90" s="816" t="str">
        <f t="shared" si="60"/>
        <v/>
      </c>
      <c r="N90" s="816" t="str">
        <f t="shared" si="61"/>
        <v/>
      </c>
      <c r="R90" s="816" t="str">
        <f t="shared" si="62"/>
        <v/>
      </c>
      <c r="T90" s="829" t="str">
        <f t="shared" si="63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3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7"/>
      <c r="BF90" s="893"/>
      <c r="BG90" s="893"/>
      <c r="BH90" s="893"/>
      <c r="BI90" s="893"/>
      <c r="BJ90" s="897"/>
      <c r="BK90" s="897"/>
      <c r="BL90" s="897"/>
      <c r="BM90" s="897"/>
      <c r="BN90" s="893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9"/>
        <v/>
      </c>
      <c r="M91" s="816" t="str">
        <f t="shared" si="60"/>
        <v/>
      </c>
      <c r="N91" s="816" t="str">
        <f t="shared" si="61"/>
        <v/>
      </c>
      <c r="R91" s="816" t="str">
        <f t="shared" si="62"/>
        <v/>
      </c>
      <c r="T91" s="829" t="str">
        <f t="shared" si="63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3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7"/>
      <c r="BF91" s="893"/>
      <c r="BG91" s="893"/>
      <c r="BH91" s="893"/>
      <c r="BI91" s="893"/>
      <c r="BJ91" s="897"/>
      <c r="BK91" s="897"/>
      <c r="BL91" s="897"/>
      <c r="BM91" s="897"/>
      <c r="BN91" s="893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9"/>
        <v/>
      </c>
      <c r="M92" s="816" t="str">
        <f t="shared" si="60"/>
        <v/>
      </c>
      <c r="N92" s="816" t="str">
        <f t="shared" si="61"/>
        <v/>
      </c>
      <c r="R92" s="816" t="str">
        <f t="shared" si="62"/>
        <v/>
      </c>
      <c r="T92" s="829" t="str">
        <f t="shared" si="63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3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7"/>
      <c r="BF92" s="893"/>
      <c r="BG92" s="893"/>
      <c r="BH92" s="893"/>
      <c r="BI92" s="893"/>
      <c r="BJ92" s="897"/>
      <c r="BK92" s="897"/>
      <c r="BL92" s="897"/>
      <c r="BM92" s="897"/>
      <c r="BN92" s="893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9"/>
        <v/>
      </c>
      <c r="M93" s="816" t="str">
        <f t="shared" si="60"/>
        <v/>
      </c>
      <c r="N93" s="816" t="str">
        <f t="shared" si="61"/>
        <v/>
      </c>
      <c r="R93" s="816" t="str">
        <f t="shared" si="62"/>
        <v/>
      </c>
      <c r="T93" s="829" t="str">
        <f t="shared" si="63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3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7"/>
      <c r="BF93" s="893"/>
      <c r="BG93" s="893"/>
      <c r="BH93" s="893"/>
      <c r="BI93" s="893"/>
      <c r="BJ93" s="897"/>
      <c r="BK93" s="897"/>
      <c r="BL93" s="897"/>
      <c r="BM93" s="897"/>
      <c r="BN93" s="893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9"/>
        <v/>
      </c>
      <c r="M94" s="816" t="str">
        <f t="shared" si="60"/>
        <v/>
      </c>
      <c r="N94" s="816" t="str">
        <f t="shared" si="61"/>
        <v/>
      </c>
      <c r="R94" s="816" t="str">
        <f t="shared" si="62"/>
        <v/>
      </c>
      <c r="T94" s="829" t="str">
        <f t="shared" si="63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3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7"/>
      <c r="BF94" s="893"/>
      <c r="BG94" s="893"/>
      <c r="BH94" s="893"/>
      <c r="BI94" s="893"/>
      <c r="BJ94" s="897"/>
      <c r="BK94" s="897"/>
      <c r="BL94" s="897"/>
      <c r="BM94" s="897"/>
      <c r="BN94" s="893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9"/>
        <v/>
      </c>
      <c r="M95" s="816" t="str">
        <f t="shared" si="60"/>
        <v/>
      </c>
      <c r="N95" s="816" t="str">
        <f t="shared" si="61"/>
        <v/>
      </c>
      <c r="R95" s="816" t="str">
        <f t="shared" si="62"/>
        <v/>
      </c>
      <c r="T95" s="829" t="str">
        <f t="shared" si="63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3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7"/>
      <c r="BF95" s="893"/>
      <c r="BG95" s="893"/>
      <c r="BH95" s="893"/>
      <c r="BI95" s="893"/>
      <c r="BJ95" s="897"/>
      <c r="BK95" s="897"/>
      <c r="BL95" s="897"/>
      <c r="BM95" s="897"/>
      <c r="BN95" s="893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9"/>
        <v/>
      </c>
      <c r="M96" s="816" t="str">
        <f t="shared" si="60"/>
        <v/>
      </c>
      <c r="N96" s="816" t="str">
        <f t="shared" si="61"/>
        <v/>
      </c>
      <c r="R96" s="816" t="str">
        <f t="shared" si="62"/>
        <v/>
      </c>
      <c r="T96" s="829" t="str">
        <f t="shared" si="63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3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7"/>
      <c r="BF96" s="893"/>
      <c r="BG96" s="893"/>
      <c r="BH96" s="893"/>
      <c r="BI96" s="893"/>
      <c r="BJ96" s="897"/>
      <c r="BK96" s="897"/>
      <c r="BL96" s="897"/>
      <c r="BM96" s="897"/>
      <c r="BN96" s="893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9"/>
        <v/>
      </c>
      <c r="M97" s="816" t="str">
        <f t="shared" si="60"/>
        <v/>
      </c>
      <c r="N97" s="816" t="str">
        <f t="shared" si="61"/>
        <v/>
      </c>
      <c r="R97" s="816" t="str">
        <f t="shared" si="62"/>
        <v/>
      </c>
      <c r="T97" s="829" t="str">
        <f t="shared" si="63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3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7"/>
      <c r="BF97" s="893"/>
      <c r="BG97" s="893"/>
      <c r="BH97" s="893"/>
      <c r="BI97" s="893"/>
      <c r="BJ97" s="897"/>
      <c r="BK97" s="897"/>
      <c r="BL97" s="897"/>
      <c r="BM97" s="897"/>
      <c r="BN97" s="893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9"/>
        <v/>
      </c>
      <c r="M98" s="816" t="str">
        <f t="shared" si="60"/>
        <v/>
      </c>
      <c r="N98" s="816" t="str">
        <f t="shared" si="61"/>
        <v/>
      </c>
      <c r="R98" s="816" t="str">
        <f t="shared" si="62"/>
        <v/>
      </c>
      <c r="T98" s="829" t="str">
        <f t="shared" si="63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3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7"/>
      <c r="BF98" s="893"/>
      <c r="BG98" s="893"/>
      <c r="BH98" s="893"/>
      <c r="BI98" s="893"/>
      <c r="BJ98" s="897"/>
      <c r="BK98" s="897"/>
      <c r="BL98" s="897"/>
      <c r="BM98" s="897"/>
      <c r="BN98" s="893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9"/>
        <v/>
      </c>
      <c r="M99" s="816" t="str">
        <f t="shared" si="60"/>
        <v/>
      </c>
      <c r="N99" s="816" t="str">
        <f t="shared" si="61"/>
        <v/>
      </c>
      <c r="R99" s="816" t="str">
        <f t="shared" si="62"/>
        <v/>
      </c>
      <c r="T99" s="829" t="str">
        <f t="shared" si="63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3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7"/>
      <c r="BF99" s="893"/>
      <c r="BG99" s="893"/>
      <c r="BH99" s="893"/>
      <c r="BI99" s="893"/>
      <c r="BJ99" s="897"/>
      <c r="BK99" s="897"/>
      <c r="BL99" s="897"/>
      <c r="BM99" s="897"/>
      <c r="BN99" s="893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9"/>
        <v/>
      </c>
      <c r="M100" s="816" t="str">
        <f t="shared" si="60"/>
        <v/>
      </c>
      <c r="N100" s="816" t="str">
        <f t="shared" si="61"/>
        <v/>
      </c>
      <c r="R100" s="816" t="str">
        <f t="shared" si="62"/>
        <v/>
      </c>
      <c r="T100" s="829" t="str">
        <f t="shared" si="63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3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7"/>
      <c r="BF100" s="893"/>
      <c r="BG100" s="893"/>
      <c r="BH100" s="893"/>
      <c r="BI100" s="893"/>
      <c r="BJ100" s="897"/>
      <c r="BK100" s="897"/>
      <c r="BL100" s="897"/>
      <c r="BM100" s="897"/>
      <c r="BN100" s="893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9"/>
        <v/>
      </c>
      <c r="M101" s="816" t="str">
        <f t="shared" si="60"/>
        <v/>
      </c>
      <c r="N101" s="816" t="str">
        <f t="shared" si="61"/>
        <v/>
      </c>
      <c r="R101" s="816" t="str">
        <f t="shared" si="62"/>
        <v/>
      </c>
      <c r="T101" s="829" t="str">
        <f t="shared" si="63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3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7"/>
      <c r="BF101" s="893"/>
      <c r="BG101" s="893"/>
      <c r="BH101" s="893"/>
      <c r="BI101" s="893"/>
      <c r="BJ101" s="897"/>
      <c r="BK101" s="897"/>
      <c r="BL101" s="897"/>
      <c r="BM101" s="897"/>
      <c r="BN101" s="893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9"/>
        <v/>
      </c>
      <c r="M102" s="816" t="str">
        <f t="shared" si="60"/>
        <v/>
      </c>
      <c r="N102" s="816" t="str">
        <f t="shared" si="61"/>
        <v/>
      </c>
      <c r="R102" s="816" t="str">
        <f t="shared" si="62"/>
        <v/>
      </c>
      <c r="T102" s="829" t="str">
        <f t="shared" si="63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3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7"/>
      <c r="BF102" s="893"/>
      <c r="BG102" s="893"/>
      <c r="BH102" s="893"/>
      <c r="BI102" s="893"/>
      <c r="BJ102" s="897"/>
      <c r="BK102" s="897"/>
      <c r="BL102" s="897"/>
      <c r="BM102" s="897"/>
      <c r="BN102" s="893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9"/>
        <v/>
      </c>
      <c r="M103" s="816" t="str">
        <f t="shared" si="60"/>
        <v/>
      </c>
      <c r="N103" s="816" t="str">
        <f t="shared" si="61"/>
        <v/>
      </c>
      <c r="R103" s="816" t="str">
        <f t="shared" si="62"/>
        <v/>
      </c>
      <c r="T103" s="829" t="str">
        <f t="shared" si="63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3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7"/>
      <c r="BF103" s="893"/>
      <c r="BG103" s="893"/>
      <c r="BH103" s="893"/>
      <c r="BI103" s="893"/>
      <c r="BJ103" s="897"/>
      <c r="BK103" s="897"/>
      <c r="BL103" s="897"/>
      <c r="BM103" s="897"/>
      <c r="BN103" s="893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9"/>
        <v/>
      </c>
      <c r="M104" s="816" t="str">
        <f t="shared" si="60"/>
        <v/>
      </c>
      <c r="N104" s="816" t="str">
        <f t="shared" si="61"/>
        <v/>
      </c>
      <c r="R104" s="816" t="str">
        <f t="shared" si="62"/>
        <v/>
      </c>
      <c r="T104" s="829" t="str">
        <f t="shared" si="63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3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7"/>
      <c r="BF104" s="893"/>
      <c r="BG104" s="893"/>
      <c r="BH104" s="893"/>
      <c r="BI104" s="893"/>
      <c r="BJ104" s="897"/>
      <c r="BK104" s="897"/>
      <c r="BL104" s="897"/>
      <c r="BM104" s="897"/>
      <c r="BN104" s="893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9"/>
        <v/>
      </c>
      <c r="M105" s="816" t="str">
        <f t="shared" si="60"/>
        <v/>
      </c>
      <c r="N105" s="816" t="str">
        <f t="shared" si="61"/>
        <v/>
      </c>
      <c r="R105" s="816" t="str">
        <f t="shared" si="62"/>
        <v/>
      </c>
      <c r="T105" s="829" t="str">
        <f t="shared" si="63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16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3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7"/>
      <c r="BF105" s="893"/>
      <c r="BG105" s="893"/>
      <c r="BH105" s="893"/>
      <c r="BI105" s="893"/>
      <c r="BJ105" s="897"/>
      <c r="BK105" s="897"/>
      <c r="BL105" s="897"/>
      <c r="BM105" s="897"/>
      <c r="BN105" s="893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9"/>
        <v/>
      </c>
      <c r="M106" s="816" t="str">
        <f t="shared" si="60"/>
        <v/>
      </c>
      <c r="N106" s="816" t="str">
        <f t="shared" si="61"/>
        <v/>
      </c>
      <c r="R106" s="816" t="str">
        <f t="shared" si="62"/>
        <v/>
      </c>
      <c r="T106" s="829" t="str">
        <f t="shared" si="63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16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3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3"/>
      <c r="BG106" s="893"/>
      <c r="BH106" s="893"/>
      <c r="BI106" s="893"/>
      <c r="BJ106" s="897"/>
      <c r="BK106" s="897"/>
      <c r="BL106" s="897"/>
      <c r="BM106" s="897"/>
      <c r="BN106" s="893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9"/>
        <v/>
      </c>
      <c r="M107" s="816" t="str">
        <f t="shared" si="60"/>
        <v/>
      </c>
      <c r="N107" s="816" t="str">
        <f t="shared" si="61"/>
        <v/>
      </c>
      <c r="R107" s="816" t="str">
        <f t="shared" si="62"/>
        <v/>
      </c>
      <c r="T107" s="829" t="str">
        <f t="shared" si="63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3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3"/>
      <c r="BG107" s="893"/>
      <c r="BH107" s="893"/>
      <c r="BI107" s="893"/>
      <c r="BJ107" s="897"/>
      <c r="BK107" s="897"/>
      <c r="BL107" s="897"/>
      <c r="BM107" s="897"/>
      <c r="BN107" s="893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9"/>
        <v/>
      </c>
      <c r="M108" s="816" t="str">
        <f t="shared" si="60"/>
        <v/>
      </c>
      <c r="N108" s="816" t="str">
        <f t="shared" si="61"/>
        <v/>
      </c>
      <c r="R108" s="816" t="str">
        <f t="shared" si="62"/>
        <v/>
      </c>
      <c r="T108" s="829" t="str">
        <f t="shared" si="63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3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3"/>
      <c r="BG108" s="893"/>
      <c r="BH108" s="893"/>
      <c r="BI108" s="893"/>
      <c r="BJ108" s="897"/>
      <c r="BK108" s="897"/>
      <c r="BL108" s="897"/>
      <c r="BM108" s="897"/>
      <c r="BN108" s="893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9"/>
        <v/>
      </c>
      <c r="M109" s="816" t="str">
        <f t="shared" si="60"/>
        <v/>
      </c>
      <c r="N109" s="816" t="str">
        <f t="shared" si="61"/>
        <v/>
      </c>
      <c r="R109" s="816" t="str">
        <f t="shared" si="62"/>
        <v/>
      </c>
      <c r="T109" s="829" t="str">
        <f t="shared" si="63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3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3"/>
      <c r="BG109" s="893"/>
      <c r="BH109" s="893"/>
      <c r="BI109" s="893"/>
      <c r="BJ109" s="897"/>
      <c r="BK109" s="897"/>
      <c r="BL109" s="897"/>
      <c r="BM109" s="897"/>
      <c r="BN109" s="893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9"/>
        <v/>
      </c>
      <c r="M110" s="816" t="str">
        <f t="shared" si="60"/>
        <v/>
      </c>
      <c r="N110" s="816" t="str">
        <f t="shared" si="61"/>
        <v/>
      </c>
      <c r="R110" s="816" t="str">
        <f t="shared" si="62"/>
        <v/>
      </c>
      <c r="T110" s="829" t="str">
        <f t="shared" si="63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3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3"/>
      <c r="BG110" s="893"/>
      <c r="BH110" s="893"/>
      <c r="BI110" s="893"/>
      <c r="BJ110" s="897"/>
      <c r="BK110" s="897"/>
      <c r="BL110" s="897"/>
      <c r="BM110" s="897"/>
      <c r="BN110" s="893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9"/>
        <v/>
      </c>
      <c r="M111" s="816" t="str">
        <f t="shared" si="60"/>
        <v/>
      </c>
      <c r="N111" s="816" t="str">
        <f t="shared" si="61"/>
        <v/>
      </c>
      <c r="R111" s="816" t="str">
        <f t="shared" si="62"/>
        <v/>
      </c>
      <c r="T111" s="829" t="str">
        <f t="shared" si="63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3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3"/>
      <c r="BG111" s="893"/>
      <c r="BH111" s="893"/>
      <c r="BI111" s="893"/>
      <c r="BJ111" s="897"/>
      <c r="BK111" s="897"/>
      <c r="BL111" s="897"/>
      <c r="BM111" s="897"/>
      <c r="BN111" s="893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9"/>
        <v/>
      </c>
      <c r="M112" s="816" t="str">
        <f t="shared" si="60"/>
        <v/>
      </c>
      <c r="N112" s="816" t="str">
        <f t="shared" si="61"/>
        <v/>
      </c>
      <c r="R112" s="816" t="str">
        <f t="shared" si="62"/>
        <v/>
      </c>
      <c r="T112" s="829" t="str">
        <f t="shared" si="63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3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3"/>
      <c r="BG112" s="893"/>
      <c r="BH112" s="893"/>
      <c r="BI112" s="893"/>
      <c r="BJ112" s="897"/>
      <c r="BK112" s="897"/>
      <c r="BL112" s="897"/>
      <c r="BM112" s="897"/>
      <c r="BN112" s="893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9"/>
        <v/>
      </c>
      <c r="M113" s="816" t="str">
        <f t="shared" si="60"/>
        <v/>
      </c>
      <c r="N113" s="816" t="str">
        <f t="shared" si="61"/>
        <v/>
      </c>
      <c r="R113" s="816" t="str">
        <f t="shared" si="62"/>
        <v/>
      </c>
      <c r="T113" s="829" t="str">
        <f t="shared" si="63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3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3"/>
      <c r="BG113" s="893"/>
      <c r="BH113" s="893"/>
      <c r="BI113" s="893"/>
      <c r="BJ113" s="897"/>
      <c r="BK113" s="897"/>
      <c r="BL113" s="897"/>
      <c r="BM113" s="897"/>
      <c r="BN113" s="893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9"/>
        <v/>
      </c>
      <c r="M114" s="816" t="str">
        <f t="shared" si="60"/>
        <v/>
      </c>
      <c r="N114" s="816" t="str">
        <f t="shared" si="61"/>
        <v/>
      </c>
      <c r="R114" s="816" t="str">
        <f t="shared" si="62"/>
        <v/>
      </c>
      <c r="T114" s="829" t="str">
        <f t="shared" si="63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3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7"/>
      <c r="BF114" s="893"/>
      <c r="BG114" s="893"/>
      <c r="BH114" s="893"/>
      <c r="BI114" s="893"/>
      <c r="BJ114" s="897"/>
      <c r="BK114" s="897"/>
      <c r="BL114" s="897"/>
      <c r="BM114" s="897"/>
      <c r="BN114" s="893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9"/>
        <v/>
      </c>
      <c r="M115" s="816" t="str">
        <f t="shared" si="60"/>
        <v/>
      </c>
      <c r="N115" s="816" t="str">
        <f t="shared" si="61"/>
        <v/>
      </c>
      <c r="R115" s="816" t="str">
        <f t="shared" si="62"/>
        <v/>
      </c>
      <c r="T115" s="829" t="str">
        <f t="shared" si="63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3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7"/>
      <c r="BF115" s="893"/>
      <c r="BG115" s="893"/>
      <c r="BH115" s="893"/>
      <c r="BI115" s="893"/>
      <c r="BJ115" s="897"/>
      <c r="BK115" s="897"/>
      <c r="BL115" s="897"/>
      <c r="BM115" s="897"/>
      <c r="BN115" s="893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9"/>
        <v/>
      </c>
      <c r="M116" s="816" t="str">
        <f t="shared" si="60"/>
        <v/>
      </c>
      <c r="N116" s="816" t="str">
        <f t="shared" si="61"/>
        <v/>
      </c>
      <c r="R116" s="816" t="str">
        <f t="shared" si="62"/>
        <v/>
      </c>
      <c r="T116" s="829" t="str">
        <f t="shared" si="63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3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7"/>
      <c r="BF116" s="893"/>
      <c r="BG116" s="893"/>
      <c r="BH116" s="893"/>
      <c r="BI116" s="893"/>
      <c r="BJ116" s="897"/>
      <c r="BK116" s="897"/>
      <c r="BL116" s="897"/>
      <c r="BM116" s="897"/>
      <c r="BN116" s="893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9"/>
        <v/>
      </c>
      <c r="M117" s="816" t="str">
        <f t="shared" si="60"/>
        <v/>
      </c>
      <c r="N117" s="816" t="str">
        <f t="shared" si="61"/>
        <v/>
      </c>
      <c r="R117" s="816" t="str">
        <f t="shared" si="62"/>
        <v/>
      </c>
      <c r="T117" s="829" t="str">
        <f t="shared" si="63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3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7"/>
      <c r="BF117" s="893"/>
      <c r="BG117" s="893"/>
      <c r="BH117" s="893"/>
      <c r="BI117" s="893"/>
      <c r="BJ117" s="897"/>
      <c r="BK117" s="897"/>
      <c r="BL117" s="897"/>
      <c r="BM117" s="897"/>
      <c r="BN117" s="893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9"/>
        <v/>
      </c>
      <c r="M118" s="816" t="str">
        <f t="shared" si="60"/>
        <v/>
      </c>
      <c r="N118" s="816" t="str">
        <f t="shared" si="61"/>
        <v/>
      </c>
      <c r="R118" s="816" t="str">
        <f t="shared" si="62"/>
        <v/>
      </c>
      <c r="T118" s="829" t="str">
        <f t="shared" si="63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3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7"/>
      <c r="BF118" s="893"/>
      <c r="BG118" s="893"/>
      <c r="BH118" s="893"/>
      <c r="BI118" s="893"/>
      <c r="BJ118" s="897"/>
      <c r="BK118" s="897"/>
      <c r="BL118" s="897"/>
      <c r="BM118" s="897"/>
      <c r="BN118" s="893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9"/>
        <v/>
      </c>
      <c r="M119" s="816" t="str">
        <f t="shared" si="60"/>
        <v/>
      </c>
      <c r="N119" s="816" t="str">
        <f t="shared" si="61"/>
        <v/>
      </c>
      <c r="R119" s="816" t="str">
        <f t="shared" si="62"/>
        <v/>
      </c>
      <c r="T119" s="829" t="str">
        <f t="shared" si="63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3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7"/>
      <c r="BF119" s="893"/>
      <c r="BG119" s="893"/>
      <c r="BH119" s="893"/>
      <c r="BI119" s="893"/>
      <c r="BJ119" s="897"/>
      <c r="BK119" s="897"/>
      <c r="BL119" s="897"/>
      <c r="BM119" s="897"/>
      <c r="BN119" s="893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9"/>
        <v/>
      </c>
      <c r="M120" s="816" t="str">
        <f t="shared" si="60"/>
        <v/>
      </c>
      <c r="N120" s="816" t="str">
        <f t="shared" si="61"/>
        <v/>
      </c>
      <c r="R120" s="816" t="str">
        <f t="shared" si="62"/>
        <v/>
      </c>
      <c r="T120" s="829" t="str">
        <f t="shared" si="63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3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7"/>
      <c r="BF120" s="893"/>
      <c r="BG120" s="893"/>
      <c r="BH120" s="893"/>
      <c r="BI120" s="893"/>
      <c r="BJ120" s="897"/>
      <c r="BK120" s="897"/>
      <c r="BL120" s="897"/>
      <c r="BM120" s="897"/>
      <c r="BN120" s="893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9"/>
        <v/>
      </c>
      <c r="M121" s="816" t="str">
        <f t="shared" si="60"/>
        <v/>
      </c>
      <c r="N121" s="816" t="str">
        <f t="shared" si="61"/>
        <v/>
      </c>
      <c r="R121" s="816" t="str">
        <f t="shared" si="62"/>
        <v/>
      </c>
      <c r="T121" s="829" t="str">
        <f t="shared" si="63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3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3"/>
      <c r="BG121" s="893"/>
      <c r="BH121" s="893"/>
      <c r="BI121" s="893"/>
      <c r="BJ121" s="897"/>
      <c r="BK121" s="897"/>
      <c r="BL121" s="897"/>
      <c r="BM121" s="897"/>
      <c r="BN121" s="893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9"/>
        <v/>
      </c>
      <c r="M122" s="816" t="str">
        <f t="shared" si="60"/>
        <v/>
      </c>
      <c r="N122" s="816" t="str">
        <f t="shared" si="61"/>
        <v/>
      </c>
      <c r="R122" s="816" t="str">
        <f t="shared" si="62"/>
        <v/>
      </c>
      <c r="T122" s="829" t="str">
        <f t="shared" si="63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3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7"/>
      <c r="BF122" s="893"/>
      <c r="BG122" s="893"/>
      <c r="BH122" s="893"/>
      <c r="BI122" s="893"/>
      <c r="BJ122" s="897"/>
      <c r="BK122" s="897"/>
      <c r="BL122" s="897"/>
      <c r="BM122" s="897"/>
      <c r="BN122" s="893"/>
      <c r="BO122" s="897"/>
      <c r="BP122" s="893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9"/>
        <v/>
      </c>
      <c r="M123" s="816" t="str">
        <f t="shared" si="60"/>
        <v/>
      </c>
      <c r="N123" s="816" t="str">
        <f t="shared" si="61"/>
        <v/>
      </c>
      <c r="R123" s="816" t="str">
        <f t="shared" si="62"/>
        <v/>
      </c>
      <c r="T123" s="829" t="str">
        <f t="shared" si="63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3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7"/>
      <c r="BE123" s="897"/>
      <c r="BF123" s="893"/>
      <c r="BG123" s="893"/>
      <c r="BH123" s="893"/>
      <c r="BI123" s="893"/>
      <c r="BJ123" s="897"/>
      <c r="BK123" s="897"/>
      <c r="BL123" s="897"/>
      <c r="BM123" s="897"/>
      <c r="BN123" s="893"/>
      <c r="BO123" s="897"/>
      <c r="BP123" s="893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</row>
    <row r="124" spans="4:82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9"/>
        <v/>
      </c>
      <c r="M124" s="816" t="str">
        <f t="shared" si="60"/>
        <v/>
      </c>
      <c r="N124" s="816" t="str">
        <f t="shared" si="61"/>
        <v/>
      </c>
      <c r="R124" s="816" t="str">
        <f t="shared" si="62"/>
        <v/>
      </c>
      <c r="T124" s="829" t="str">
        <f t="shared" si="63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G124" s="897"/>
      <c r="AH124" s="897"/>
      <c r="AI124" s="897"/>
      <c r="AJ124" s="893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7"/>
      <c r="BE124" s="897"/>
      <c r="BF124" s="893"/>
      <c r="BG124" s="893"/>
      <c r="BH124" s="893"/>
      <c r="BI124" s="893"/>
      <c r="BJ124" s="897"/>
      <c r="BK124" s="897"/>
      <c r="BL124" s="897"/>
      <c r="BM124" s="897"/>
      <c r="BN124" s="893"/>
      <c r="BO124" s="897"/>
      <c r="BP124" s="893"/>
      <c r="BQ124" s="897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</row>
    <row r="125" spans="4:82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9"/>
        <v/>
      </c>
      <c r="M125" s="816" t="str">
        <f t="shared" si="60"/>
        <v/>
      </c>
      <c r="N125" s="816" t="str">
        <f t="shared" si="61"/>
        <v/>
      </c>
      <c r="R125" s="816" t="str">
        <f t="shared" si="62"/>
        <v/>
      </c>
      <c r="T125" s="829" t="str">
        <f t="shared" si="63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</row>
    <row r="126" spans="4:82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9"/>
        <v/>
      </c>
      <c r="M126" s="816" t="str">
        <f t="shared" si="60"/>
        <v/>
      </c>
      <c r="N126" s="816" t="str">
        <f t="shared" si="61"/>
        <v/>
      </c>
      <c r="R126" s="816" t="str">
        <f t="shared" si="62"/>
        <v/>
      </c>
      <c r="T126" s="829" t="str">
        <f t="shared" si="63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9"/>
        <v/>
      </c>
      <c r="M127" s="816" t="str">
        <f t="shared" si="60"/>
        <v/>
      </c>
      <c r="N127" s="816" t="str">
        <f t="shared" si="61"/>
        <v/>
      </c>
      <c r="R127" s="816" t="str">
        <f t="shared" si="62"/>
        <v/>
      </c>
      <c r="T127" s="829" t="str">
        <f t="shared" si="63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9"/>
        <v/>
      </c>
      <c r="M128" s="816" t="str">
        <f t="shared" si="60"/>
        <v/>
      </c>
      <c r="N128" s="816" t="str">
        <f t="shared" si="61"/>
        <v/>
      </c>
      <c r="R128" s="816" t="str">
        <f t="shared" si="62"/>
        <v/>
      </c>
      <c r="T128" s="829" t="str">
        <f t="shared" si="63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59"/>
        <v/>
      </c>
      <c r="M129" s="816" t="str">
        <f t="shared" si="60"/>
        <v/>
      </c>
      <c r="N129" s="816" t="str">
        <f t="shared" si="61"/>
        <v/>
      </c>
      <c r="R129" s="816" t="str">
        <f t="shared" si="62"/>
        <v/>
      </c>
      <c r="T129" s="829" t="str">
        <f t="shared" si="63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59"/>
        <v/>
      </c>
      <c r="M130" s="816" t="str">
        <f t="shared" si="60"/>
        <v/>
      </c>
      <c r="N130" s="816" t="str">
        <f t="shared" si="61"/>
        <v/>
      </c>
      <c r="R130" s="816" t="str">
        <f t="shared" si="62"/>
        <v/>
      </c>
      <c r="T130" s="829" t="str">
        <f t="shared" si="63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</sheetData>
  <autoFilter ref="A22:DG77"/>
  <mergeCells count="3">
    <mergeCell ref="W19:X19"/>
    <mergeCell ref="Y19:Z19"/>
    <mergeCell ref="AA19:AB19"/>
  </mergeCells>
  <phoneticPr fontId="21" type="noConversion"/>
  <conditionalFormatting sqref="AD23:AD307">
    <cfRule type="cellIs" dxfId="1513" priority="50" operator="equal">
      <formula>"T"</formula>
    </cfRule>
  </conditionalFormatting>
  <conditionalFormatting sqref="N23:N307">
    <cfRule type="cellIs" dxfId="1512" priority="57" stopIfTrue="1" operator="equal">
      <formula>"U"</formula>
    </cfRule>
    <cfRule type="cellIs" dxfId="1511" priority="58" stopIfTrue="1" operator="equal">
      <formula>"O"</formula>
    </cfRule>
  </conditionalFormatting>
  <conditionalFormatting sqref="L23:L307">
    <cfRule type="cellIs" dxfId="1510" priority="55" stopIfTrue="1" operator="equal">
      <formula>"W"</formula>
    </cfRule>
    <cfRule type="cellIs" dxfId="1509" priority="56" stopIfTrue="1" operator="equal">
      <formula>"D"</formula>
    </cfRule>
  </conditionalFormatting>
  <conditionalFormatting sqref="AF23:AF307">
    <cfRule type="cellIs" dxfId="1508" priority="53" stopIfTrue="1" operator="notEqual">
      <formula>11</formula>
    </cfRule>
    <cfRule type="cellIs" dxfId="1507" priority="54" stopIfTrue="1" operator="between">
      <formula>0</formula>
      <formula>20</formula>
    </cfRule>
  </conditionalFormatting>
  <conditionalFormatting sqref="AE23:AE307">
    <cfRule type="cellIs" dxfId="1506" priority="51" stopIfTrue="1" operator="notEqual">
      <formula>0</formula>
    </cfRule>
    <cfRule type="cellIs" dxfId="1505" priority="52" stopIfTrue="1" operator="between">
      <formula>0</formula>
      <formula>20</formula>
    </cfRule>
  </conditionalFormatting>
  <conditionalFormatting sqref="CF19:CW19">
    <cfRule type="expression" dxfId="1504" priority="46">
      <formula>CF19="G"</formula>
    </cfRule>
    <cfRule type="expression" dxfId="1503" priority="47">
      <formula>CF19="M"</formula>
    </cfRule>
    <cfRule type="expression" dxfId="1502" priority="48">
      <formula>CF19="D"</formula>
    </cfRule>
    <cfRule type="expression" dxfId="1501" priority="49">
      <formula>CF19="A"</formula>
    </cfRule>
  </conditionalFormatting>
  <conditionalFormatting sqref="BH19:CE19 AK19:BF19">
    <cfRule type="expression" dxfId="1500" priority="42">
      <formula>AK19="G"</formula>
    </cfRule>
    <cfRule type="expression" dxfId="1499" priority="43">
      <formula>OR(AK19="M",AK19="CM",AK19="LM",AK19="RM",AK19="DM",AK19="AM")</formula>
    </cfRule>
    <cfRule type="expression" dxfId="1498" priority="44">
      <formula>OR(AK19="D",AK19="CB",AK19="LB",AK19="RB")</formula>
    </cfRule>
    <cfRule type="expression" dxfId="1497" priority="45">
      <formula>OR(AK19="A",AK19="CF",AK19="SS",AK19="ST",AK19="RW",AK19="LW")</formula>
    </cfRule>
  </conditionalFormatting>
  <conditionalFormatting sqref="BX16:CD16 AG16:BS16">
    <cfRule type="top10" dxfId="1496" priority="59" stopIfTrue="1" rank="5"/>
  </conditionalFormatting>
  <conditionalFormatting sqref="BX15:CD15 AG15:BS15">
    <cfRule type="top10" dxfId="1495" priority="60" rank="11"/>
  </conditionalFormatting>
  <conditionalFormatting sqref="BX17:CD17 AG17:BS17">
    <cfRule type="top10" dxfId="1494" priority="61" stopIfTrue="1" rank="5"/>
  </conditionalFormatting>
  <conditionalFormatting sqref="BX14:CD14 BF14:BL17 AG14:BS14">
    <cfRule type="top10" dxfId="1493" priority="62" rank="11"/>
  </conditionalFormatting>
  <conditionalFormatting sqref="AG23:AP25 AR23:BV25 AG26:BV49 AG50:AH52 AG53:BC53 AJ50:BC52 BE50:BV53 BD51:BD53 AI50:AI51 AG65:BM70 AG54:BV67">
    <cfRule type="expression" dxfId="1492" priority="32">
      <formula>IF(ISNUMBER(VALUE(RIGHT(AG23,1))),1,0)</formula>
    </cfRule>
  </conditionalFormatting>
  <conditionalFormatting sqref="AG68:BJ68">
    <cfRule type="expression" dxfId="1491" priority="31">
      <formula>IF(ISNUMBER(VALUE(RIGHT(AG68,1))),1,0)</formula>
    </cfRule>
  </conditionalFormatting>
  <conditionalFormatting sqref="AG19:AI19 AK19:BE19">
    <cfRule type="cellIs" dxfId="1490" priority="30" operator="equal">
      <formula>"M"</formula>
    </cfRule>
  </conditionalFormatting>
  <conditionalFormatting sqref="AG19:AI19 AK19:BE19">
    <cfRule type="cellIs" dxfId="1489" priority="29" operator="equal">
      <formula>"D"</formula>
    </cfRule>
  </conditionalFormatting>
  <conditionalFormatting sqref="AG19:AI19 AK19:BE19">
    <cfRule type="cellIs" dxfId="1488" priority="27" operator="equal">
      <formula>"G"</formula>
    </cfRule>
    <cfRule type="cellIs" dxfId="1487" priority="28" operator="equal">
      <formula>"A"</formula>
    </cfRule>
  </conditionalFormatting>
  <conditionalFormatting sqref="AG19:AI19 AK19:BE19">
    <cfRule type="containsText" dxfId="1486" priority="24" operator="containsText" text="FW">
      <formula>NOT(ISERROR(SEARCH("FW",AG19)))</formula>
    </cfRule>
    <cfRule type="containsText" dxfId="1485" priority="25" operator="containsText" text="MF">
      <formula>NOT(ISERROR(SEARCH("MF",AG19)))</formula>
    </cfRule>
    <cfRule type="containsText" dxfId="1484" priority="26" operator="containsText" text="DF">
      <formula>NOT(ISERROR(SEARCH("DF",AG19)))</formula>
    </cfRule>
  </conditionalFormatting>
  <conditionalFormatting sqref="AJ19">
    <cfRule type="expression" dxfId="1483" priority="9">
      <formula>AJ19="G"</formula>
    </cfRule>
    <cfRule type="expression" dxfId="1482" priority="10">
      <formula>OR(AJ19="M",AJ19="CM",AJ19="LM",AJ19="RM",AJ19="DM",AJ19="AM")</formula>
    </cfRule>
    <cfRule type="expression" dxfId="1481" priority="11">
      <formula>OR(AJ19="D",AJ19="CB",AJ19="LB",AJ19="RB")</formula>
    </cfRule>
    <cfRule type="expression" dxfId="1480" priority="12">
      <formula>OR(AJ19="A",AJ19="CF",AJ19="SS",AJ19="ST",AJ19="RW",AJ19="LW")</formula>
    </cfRule>
  </conditionalFormatting>
  <conditionalFormatting sqref="AJ19">
    <cfRule type="cellIs" dxfId="1479" priority="8" operator="equal">
      <formula>"M"</formula>
    </cfRule>
  </conditionalFormatting>
  <conditionalFormatting sqref="AJ19">
    <cfRule type="cellIs" dxfId="1478" priority="7" operator="equal">
      <formula>"D"</formula>
    </cfRule>
  </conditionalFormatting>
  <conditionalFormatting sqref="AJ19">
    <cfRule type="cellIs" dxfId="1477" priority="5" operator="equal">
      <formula>"G"</formula>
    </cfRule>
    <cfRule type="cellIs" dxfId="1476" priority="6" operator="equal">
      <formula>"A"</formula>
    </cfRule>
  </conditionalFormatting>
  <conditionalFormatting sqref="AJ19">
    <cfRule type="containsText" dxfId="1475" priority="2" operator="containsText" text="FW">
      <formula>NOT(ISERROR(SEARCH("FW",AJ19)))</formula>
    </cfRule>
    <cfRule type="containsText" dxfId="1474" priority="3" operator="containsText" text="MF">
      <formula>NOT(ISERROR(SEARCH("MF",AJ19)))</formula>
    </cfRule>
    <cfRule type="containsText" dxfId="1473" priority="4" operator="containsText" text="DF">
      <formula>NOT(ISERROR(SEARCH("DF",AJ19)))</formula>
    </cfRule>
  </conditionalFormatting>
  <conditionalFormatting sqref="BD50">
    <cfRule type="expression" dxfId="1472" priority="1">
      <formula>IF(ISNUMBER(VALUE(RIGHT(BD50,1))),1,0)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P239"/>
  <sheetViews>
    <sheetView zoomScale="85" zoomScaleNormal="85" workbookViewId="0">
      <pane xSplit="32" ySplit="22" topLeftCell="AG58" activePane="bottomRight" state="frozen"/>
      <selection activeCell="AB20" sqref="AB20"/>
      <selection pane="topRight" activeCell="AB20" sqref="AB20"/>
      <selection pane="bottomLeft" activeCell="AB20" sqref="AB20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8" width="3.75" style="230" customWidth="1"/>
    <col min="49" max="50" width="3.75" bestFit="1" customWidth="1"/>
    <col min="51" max="54" width="3.75" style="230" customWidth="1"/>
    <col min="55" max="55" width="3.75" bestFit="1" customWidth="1"/>
    <col min="56" max="57" width="3.75" customWidth="1"/>
    <col min="58" max="59" width="3.75" style="230" customWidth="1"/>
    <col min="60" max="60" width="3.75" bestFit="1" customWidth="1"/>
    <col min="61" max="61" width="3.75" style="230" customWidth="1"/>
    <col min="62" max="62" width="4.25" bestFit="1" customWidth="1"/>
    <col min="63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K1" s="814" t="e">
        <f>#REF!</f>
        <v>#REF!</v>
      </c>
      <c r="AL1" s="814"/>
      <c r="AM1" s="814" t="e">
        <f>#REF!</f>
        <v>#REF!</v>
      </c>
      <c r="AN1" s="814"/>
      <c r="AO1" s="814"/>
      <c r="AP1" s="814" t="e">
        <f>#REF!</f>
        <v>#REF!</v>
      </c>
      <c r="AQ1" s="814" t="e">
        <f>#REF!</f>
        <v>#REF!</v>
      </c>
      <c r="AR1" s="814" t="str">
        <f>BF20</f>
        <v>Makoto Mimura</v>
      </c>
      <c r="AS1" s="814"/>
      <c r="AT1" s="814" t="e">
        <f>#REF!</f>
        <v>#REF!</v>
      </c>
      <c r="AU1" s="814" t="str">
        <f>AG20</f>
        <v>Kazuma Shiina</v>
      </c>
      <c r="AV1" s="814" t="str">
        <f>AH20</f>
        <v>Masatoshi Kushibiki</v>
      </c>
      <c r="AY1" s="814" t="str">
        <f>AK20</f>
        <v>LEE Kyungtae</v>
      </c>
      <c r="AZ1" s="814" t="str">
        <f>AX20</f>
        <v>Kohei Kiyama</v>
      </c>
      <c r="BA1" s="814" t="str">
        <f>AL20</f>
        <v>Tetsushi Kondo</v>
      </c>
      <c r="BB1" s="814" t="str">
        <f>AM20</f>
        <v>Tadashi Takeda</v>
      </c>
      <c r="BF1" s="814"/>
      <c r="BG1" s="814"/>
      <c r="BI1" s="814" t="str">
        <f>AT20</f>
        <v>Kazuhito Watanabe</v>
      </c>
      <c r="BK1" s="814" t="str">
        <f>AV20</f>
        <v>Hideki Ishige</v>
      </c>
      <c r="BL1" s="814"/>
      <c r="BM1" s="814"/>
      <c r="BN1" s="814" t="str">
        <f>AW20</f>
        <v>Yohei Otake</v>
      </c>
      <c r="BO1" s="814" t="e">
        <f>#REF!</f>
        <v>#REF!</v>
      </c>
      <c r="BP1" s="814"/>
      <c r="BQ1" s="814"/>
      <c r="BR1" s="814"/>
      <c r="BS1" s="814"/>
      <c r="BT1" s="814" t="str">
        <f>BE20</f>
        <v>Kosuke Fujioka</v>
      </c>
      <c r="BU1" s="814" t="str">
        <f>BC20</f>
        <v>Kento Kato</v>
      </c>
      <c r="BV1" s="814" t="e">
        <f>#REF!</f>
        <v>#REF!</v>
      </c>
      <c r="BW1" s="814"/>
      <c r="BX1" s="814" t="str">
        <f>BH20</f>
        <v>Yoshiki Fujimoto</v>
      </c>
      <c r="BY1" s="814" t="str">
        <f>BI20</f>
        <v>Shingo Akamine</v>
      </c>
      <c r="BZ1" s="814" t="str">
        <f>BJ20</f>
        <v>Yuta Toyokawa</v>
      </c>
      <c r="CA1" s="814" t="str">
        <f>BK20</f>
        <v>Yuki Tanaka</v>
      </c>
      <c r="CB1" s="814">
        <f t="shared" ref="CB1:CD1" si="0">CB20</f>
        <v>0</v>
      </c>
      <c r="CC1" s="814">
        <f t="shared" si="0"/>
        <v>0</v>
      </c>
      <c r="CD1" s="814">
        <f t="shared" si="0"/>
        <v>0</v>
      </c>
      <c r="CE1" s="814">
        <f t="shared" ref="CE1:CK1" si="1">CE20</f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  <c r="CK1" s="814">
        <f t="shared" si="1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SUM(IF(L$23:L$241="",0,1)*IF(ISBLANK($T$1),1,IF($I$23:$I$241=$T$1,1,0)))</f>
        <v>44</v>
      </c>
      <c r="AG2" s="874">
        <f t="array" ref="AG2">SUM(IF(ISBLANK(AG$23:AG$241),0,IF(AG$23:AG$241="susp",0,1))*IF(ISBLANK($T$1),1,IF($I$23:$I$241=$T$1,1,0)))</f>
        <v>36</v>
      </c>
      <c r="AH2" s="874">
        <f t="array" ref="AH2">SUM(IF(ISBLANK(AH$23:AH$241),0,IF(AH$23:AH$241="susp",0,1))*IF(ISBLANK($T$1),1,IF($I$23:$I$241=$T$1,1,0)))</f>
        <v>44</v>
      </c>
      <c r="AI2" s="874">
        <f t="array" ref="AI2">SUM(IF(ISBLANK(AI$23:AI$241),0,IF(AI$23:AI$241="susp",0,1))*IF(ISBLANK($T$1),1,IF($I$23:$I$241=$T$1,1,0)))</f>
        <v>44</v>
      </c>
      <c r="AK2" s="874">
        <f t="array" ref="AK2">SUM(IF(ISBLANK(AK$23:AK$241),0,IF(AK$23:AK$241="susp",0,1))*IF(ISBLANK($T$1),1,IF($I$23:$I$241=$T$1,1,0)))</f>
        <v>43</v>
      </c>
      <c r="AM2" s="874">
        <f t="array" ref="AM2">SUM(IF(ISBLANK(AM$23:AM$241),0,IF(AM$23:AM$241="susp",0,1))*IF(ISBLANK($T$1),1,IF($I$23:$I$241=$T$1,1,0)))</f>
        <v>43</v>
      </c>
      <c r="AP2" s="874">
        <f t="array" ref="AP2">SUM(IF(ISBLANK(AP$23:AP$241),0,IF(AP$23:AP$241="susp",0,1))*IF(ISBLANK($T$1),1,IF($I$23:$I$241=$T$1,1,0)))</f>
        <v>43</v>
      </c>
      <c r="AQ2" s="874">
        <f t="array" ref="AQ2">SUM(IF(ISBLANK(AQ$23:AQ$241),0,IF(AQ$23:AQ$241="susp",0,1))*IF(ISBLANK($T$1),1,IF($I$23:$I$241=$T$1,1,0)))</f>
        <v>43</v>
      </c>
      <c r="AR2" s="874">
        <f t="array" ref="AR2">SUM(IF(ISBLANK(AR$23:AR$241),0,IF(AR$23:AR$241="susp",0,1))*IF(ISBLANK($T$1),1,IF($I$23:$I$241=$T$1,1,0)))</f>
        <v>44</v>
      </c>
      <c r="AT2" s="874">
        <f t="array" ref="AT2">SUM(IF(ISBLANK(AT$23:AT$241),0,IF(AT$23:AT$241="susp",0,1))*IF(ISBLANK($T$1),1,IF($I$23:$I$241=$T$1,1,0)))</f>
        <v>44</v>
      </c>
      <c r="AU2" s="874">
        <f t="array" ref="AU2">SUM(IF(ISBLANK(AU$23:AU$241),0,IF(AU$23:AU$241="susp",0,1))*IF(ISBLANK($T$1),1,IF($I$23:$I$241=$T$1,1,0)))</f>
        <v>44</v>
      </c>
      <c r="AV2" s="874">
        <f t="array" ref="AV2">SUM(IF(ISBLANK(AV$23:AV$241),0,IF(AV$23:AV$241="susp",0,1))*IF(ISBLANK($T$1),1,IF($I$23:$I$241=$T$1,1,0)))</f>
        <v>44</v>
      </c>
      <c r="AY2" s="874">
        <f t="array" ref="AY2">SUM(IF(ISBLANK(AY$23:AY$241),0,IF(AY$23:AY$241="susp",0,1))*IF(ISBLANK($T$1),1,IF($I$23:$I$241=$T$1,1,0)))</f>
        <v>44</v>
      </c>
      <c r="AZ2" s="874">
        <f t="array" ref="AZ2">SUM(IF(ISBLANK(AZ$23:AZ$241),0,IF(AZ$23:AZ$241="susp",0,1))*IF(ISBLANK($T$1),1,IF($I$23:$I$241=$T$1,1,0)))</f>
        <v>44</v>
      </c>
      <c r="BA2" s="874">
        <f t="array" ref="BA2">SUM(IF(ISBLANK(BA$23:BA$241),0,IF(BA$23:BA$241="susp",0,1))*IF(ISBLANK($T$1),1,IF($I$23:$I$241=$T$1,1,0)))</f>
        <v>43</v>
      </c>
      <c r="BB2" s="874">
        <f t="array" ref="BB2">SUM(IF(ISBLANK(BB$23:BB$241),0,IF(BB$23:BB$241="susp",0,1))*IF(ISBLANK($T$1),1,IF($I$23:$I$241=$T$1,1,0)))</f>
        <v>44</v>
      </c>
      <c r="BI2" s="874">
        <f t="array" ref="BI2">SUM(IF(ISBLANK(BI$23:BI$241),0,IF(BI$23:BI$241="susp",0,1))*IF(ISBLANK($T$1),1,IF($I$23:$I$241=$T$1,1,0)))</f>
        <v>44</v>
      </c>
      <c r="BK2" s="874">
        <f t="array" ref="BK2">SUM(IF(ISBLANK(BK$23:BK$241),0,IF(BK$23:BK$241="susp",0,1))*IF(ISBLANK($T$1),1,IF($I$23:$I$241=$T$1,1,0)))</f>
        <v>16</v>
      </c>
      <c r="BN2" s="874">
        <f t="array" ref="BN2">SUM(IF(ISBLANK(BN$23:BN$241),0,IF(BN$23:BN$241="susp",0,1))*IF(ISBLANK($T$1),1,IF($I$23:$I$241=$T$1,1,0)))</f>
        <v>3</v>
      </c>
      <c r="BO2" s="874">
        <f t="array" ref="BO2">SUM(IF(ISBLANK(BO$41:BO$241),0,IF(BO$41:BO$241="susp",0,1))*IF(ISBLANK($T$1),1,IF($I$23:$I$241=$T$1,1,0)))</f>
        <v>0</v>
      </c>
      <c r="BT2" s="874">
        <f t="array" ref="BT2">SUM(IF(ISBLANK(BT$23:BT$241),0,IF(BT$23:BT$241="susp",0,1))*IF(ISBLANK($T$1),1,IF($I$23:$I$241=$T$1,1,0)))</f>
        <v>0</v>
      </c>
      <c r="BU2" s="874">
        <f t="array" ref="BU2">SUM(IF(ISBLANK(BU$23:BU$241),0,IF(BU$23:BU$241="susp",0,1))*IF(ISBLANK($T$1),1,IF($I$23:$I$241=$T$1,1,0)))</f>
        <v>0</v>
      </c>
      <c r="BV2" s="874">
        <f t="array" ref="BV2">SUM(IF(ISBLANK(BV$23:BV$241),0,IF(BV$23:BV$241="susp",0,1))*IF(ISBLANK($T$1),1,IF($I$23:$I$241=$T$1,1,0)))</f>
        <v>0</v>
      </c>
      <c r="BX2" s="874">
        <f t="array" ref="BX2">SUM(IF(ISBLANK(BX$23:BX$241),0,IF(BX$23:BX$241="susp",0,1))*IF(ISBLANK($T$1),1,IF($I$23:$I$241=$T$1,1,0)))</f>
        <v>0</v>
      </c>
      <c r="BY2" s="874">
        <f t="array" ref="BY2">SUM(IF(ISBLANK(BY$23:BY$241),0,IF(BY$23:BY$241="susp",0,1))*IF(ISBLANK($T$1),1,IF($I$23:$I$241=$T$1,1,0)))</f>
        <v>0</v>
      </c>
      <c r="BZ2" s="874">
        <f t="array" ref="BZ2">SUM(IF(ISBLANK(BZ$23:BZ$241),0,IF(BZ$23:BZ$241="susp",0,1))*IF(ISBLANK($T$1),1,IF($I$23:$I$241=$T$1,1,0)))</f>
        <v>0</v>
      </c>
      <c r="CA2" s="874">
        <f t="array" ref="CA2">SUM(IF(ISBLANK(CA$23:CA$241),0,IF(CA$23:CA$241="susp",0,1))*IF(ISBLANK($T$1),1,IF($I$23:$I$241=$T$1,1,0)))</f>
        <v>0</v>
      </c>
      <c r="CB2" s="874">
        <f t="array" ref="CB2">SUM(IF(ISBLANK(CB$23:CB$241),0,IF(CB$23:CB$241="susp",0,1))*IF(ISBLANK($T$1),1,IF($I$23:$I$241=$T$1,1,0)))</f>
        <v>0</v>
      </c>
      <c r="CC2" s="874">
        <f t="array" ref="CC2">SUM(IF(ISBLANK(CC$23:CC$241),0,IF(CC$23:CC$241="susp",0,1))*IF(ISBLANK($T$1),1,IF($I$23:$I$241=$T$1,1,0)))</f>
        <v>0</v>
      </c>
      <c r="CD2" s="874">
        <f t="array" ref="CD2">SUM(IF(ISBLANK(CD$23:CD$241),0,IF(CD$23:CD$241="susp",0,1))*IF(ISBLANK($T$1),1,IF($I$23:$I$241=$T$1,1,0)))</f>
        <v>0</v>
      </c>
      <c r="CE2" s="874">
        <f t="array" ref="CE2">SUM(IF(ISBLANK(CE$23:CE$241),0,IF(CE$23:CE$241="susp",0,1))*IF(ISBLANK($T$1),1,IF($I$23:$I$241=$T$1,1,0)))</f>
        <v>0</v>
      </c>
      <c r="CF2" s="874">
        <f t="array" ref="CF2">SUM(IF(ISBLANK(CF$23:CF$241),0,IF(CF$23:CF$241="susp",0,1))*IF(ISBLANK($T$1),1,IF($I$23:$I$241=$T$1,1,0)))</f>
        <v>0</v>
      </c>
      <c r="CG2" s="874">
        <f t="array" ref="CG2">SUM(IF(ISBLANK(CG$23:CG$241),0,IF(CG$23:CG$241="susp",0,1))*IF(ISBLANK($T$1),1,IF($I$23:$I$241=$T$1,1,0)))</f>
        <v>0</v>
      </c>
      <c r="CH2" s="874">
        <f t="array" ref="CH2">SUM(IF(ISBLANK(CH$23:CH$241),0,IF(CH$23:CH$241="susp",0,1))*IF(ISBLANK($T$1),1,IF($I$23:$I$241=$T$1,1,0)))</f>
        <v>0</v>
      </c>
      <c r="CI2" s="874">
        <f t="array" ref="CI2">SUM(IF(ISBLANK(CI$23:CI$241),0,IF(CI$23:CI$241="susp",0,1))*IF(ISBLANK($T$1),1,IF($I$23:$I$241=$T$1,1,0)))</f>
        <v>16</v>
      </c>
      <c r="CJ2" s="874">
        <f t="array" ref="CJ2">SUM(IF(ISBLANK(CJ$23:CJ$241),0,IF(CJ$23:CJ$241="susp",0,1))*IF(ISBLANK($T$1),1,IF($I$23:$I$241=$T$1,1,0)))</f>
        <v>16</v>
      </c>
      <c r="CK2" s="874">
        <f t="array" ref="CK2">SUM(IF(ISBLANK(CK$23:CK$241),0,IF(CK$23:CK$241="susp",0,1))*IF(ISBLANK($T$1),1,IF($I$23:$I$241=$T$1,1,0)))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SUM(IF(L$23:L$241="W",1,0)*IF(ISBLANK($T$1),1,IF($I$23:$I$241=$T$1,1,0)))</f>
        <v>13</v>
      </c>
      <c r="AG3" s="874">
        <f t="array" ref="AG3">SUM(IF(ISTEXT(AG$23:AG$241),1,0)*IF(($L$23:$L$241)="W",1,0)*IF(ISBLANK($T$1),1,IF($I$23:$I$241=$T$1,1,0)))</f>
        <v>11</v>
      </c>
      <c r="AH3" s="874">
        <f t="array" ref="AH3">SUM(IF(ISTEXT(AH$23:AH$241),1,0)*IF(($L$23:$L$241)="W",1,0)*IF(ISBLANK($T$1),1,IF($I$23:$I$241=$T$1,1,0)))</f>
        <v>13</v>
      </c>
      <c r="AI3" s="874">
        <f t="array" ref="AI3">SUM(IF(ISTEXT(AI$23:AI$241),1,0)*IF(($L$23:$L$241)="W",1,0)*IF(ISBLANK($T$1),1,IF($I$23:$I$241=$T$1,1,0)))</f>
        <v>13</v>
      </c>
      <c r="AK3" s="874">
        <f t="array" ref="AK3">SUM(IF(ISTEXT(AK$23:AK$241),1,0)*IF(($L$23:$L$241)="W",1,0)*IF(ISBLANK($T$1),1,IF($I$23:$I$241=$T$1,1,0)))</f>
        <v>13</v>
      </c>
      <c r="AM3" s="874">
        <f t="array" ref="AM3">SUM(IF(ISTEXT(AM$23:AM$241),1,0)*IF(($L$23:$L$241)="W",1,0)*IF(ISBLANK($T$1),1,IF($I$23:$I$241=$T$1,1,0)))</f>
        <v>13</v>
      </c>
      <c r="AP3" s="874">
        <f t="array" ref="AP3">SUM(IF(ISTEXT(AP$23:AP$241),1,0)*IF(($L$23:$L$241)="W",1,0)*IF(ISBLANK($T$1),1,IF($I$23:$I$241=$T$1,1,0)))</f>
        <v>13</v>
      </c>
      <c r="AQ3" s="874">
        <f t="array" ref="AQ3">SUM(IF(ISTEXT(AQ$23:AQ$241),1,0)*IF(($L$23:$L$241)="W",1,0)*IF(ISBLANK($T$1),1,IF($I$23:$I$241=$T$1,1,0)))</f>
        <v>13</v>
      </c>
      <c r="AR3" s="874">
        <f t="array" ref="AR3">SUM(IF(ISTEXT(AR$23:AR$241),1,0)*IF(($L$23:$L$241)="W",1,0)*IF(ISBLANK($T$1),1,IF($I$23:$I$241=$T$1,1,0)))</f>
        <v>13</v>
      </c>
      <c r="AT3" s="874">
        <f t="array" ref="AT3">SUM(IF(ISTEXT(AT$23:AT$241),1,0)*IF(($L$23:$L$241)="W",1,0)*IF(ISBLANK($T$1),1,IF($I$23:$I$241=$T$1,1,0)))</f>
        <v>13</v>
      </c>
      <c r="AU3" s="874">
        <f t="array" ref="AU3">SUM(IF(ISTEXT(AU$23:AU$241),1,0)*IF(($L$23:$L$241)="W",1,0)*IF(ISBLANK($T$1),1,IF($I$23:$I$241=$T$1,1,0)))</f>
        <v>13</v>
      </c>
      <c r="AV3" s="874">
        <f t="array" ref="AV3">SUM(IF(ISTEXT(AV$23:AV$241),1,0)*IF(($L$23:$L$241)="W",1,0)*IF(ISBLANK($T$1),1,IF($I$23:$I$241=$T$1,1,0)))</f>
        <v>13</v>
      </c>
      <c r="AY3" s="874">
        <f t="array" ref="AY3">SUM(IF(ISTEXT(AY$23:AY$241),1,0)*IF(($L$23:$L$241)="W",1,0)*IF(ISBLANK($T$1),1,IF($I$23:$I$241=$T$1,1,0)))</f>
        <v>13</v>
      </c>
      <c r="AZ3" s="874">
        <f t="array" ref="AZ3">SUM(IF(ISTEXT(AZ$23:AZ$241),1,0)*IF(($L$23:$L$241)="W",1,0)*IF(ISBLANK($T$1),1,IF($I$23:$I$241=$T$1,1,0)))</f>
        <v>13</v>
      </c>
      <c r="BA3" s="874">
        <f t="array" ref="BA3">SUM(IF(ISTEXT(BA$23:BA$241),1,0)*IF(($L$23:$L$241)="W",1,0)*IF(ISBLANK($T$1),1,IF($I$23:$I$241=$T$1,1,0)))</f>
        <v>13</v>
      </c>
      <c r="BB3" s="874">
        <f t="array" ref="BB3">SUM(IF(ISTEXT(BB$23:BB$241),1,0)*IF(($L$23:$L$241)="W",1,0)*IF(ISBLANK($T$1),1,IF($I$23:$I$241=$T$1,1,0)))</f>
        <v>13</v>
      </c>
      <c r="BI3" s="874">
        <f t="array" ref="BI3">SUM(IF(ISTEXT(BI$23:BI$241),1,0)*IF(($L$23:$L$241)="W",1,0)*IF(ISBLANK($T$1),1,IF($I$23:$I$241=$T$1,1,0)))</f>
        <v>13</v>
      </c>
      <c r="BK3" s="874">
        <f t="array" ref="BK3">SUM(IF(ISTEXT(BK$23:BK$241),1,0)*IF(($L$23:$L$241)="W",1,0)*IF(ISBLANK($T$1),1,IF($I$23:$I$241=$T$1,1,0)))</f>
        <v>2</v>
      </c>
      <c r="BN3" s="874">
        <f t="array" ref="BN3">SUM(IF(ISTEXT(BN$23:BN$241),1,0)*IF(($L$23:$L$241)="W",1,0)*IF(ISBLANK($T$1),1,IF($I$23:$I$241=$T$1,1,0)))</f>
        <v>0</v>
      </c>
      <c r="BO3" s="874" t="e">
        <f t="array" ref="BO3">SUM(IF(ISTEXT(BO$41:BO$241),1,0)*IF(($L$23:$L$241)="W",1,0)*IF(ISBLANK($T$1),1,IF($I$23:$I$241=$T$1,1,0)))</f>
        <v>#N/A</v>
      </c>
      <c r="BT3" s="874">
        <f t="array" ref="BT3">SUM(IF(ISTEXT(BT$23:BT$241),1,0)*IF(($L$23:$L$241)="W",1,0)*IF(ISBLANK($T$1),1,IF($I$23:$I$241=$T$1,1,0)))</f>
        <v>0</v>
      </c>
      <c r="BU3" s="874">
        <f t="array" ref="BU3">SUM(IF(ISTEXT(BU$23:BU$241),1,0)*IF(($L$23:$L$241)="W",1,0)*IF(ISBLANK($T$1),1,IF($I$23:$I$241=$T$1,1,0)))</f>
        <v>0</v>
      </c>
      <c r="BV3" s="874">
        <f t="array" ref="BV3">SUM(IF(ISTEXT(BV$23:BV$241),1,0)*IF(($L$23:$L$241)="W",1,0)*IF(ISBLANK($T$1),1,IF($I$23:$I$241=$T$1,1,0)))</f>
        <v>0</v>
      </c>
      <c r="BX3" s="874">
        <f t="array" ref="BX3">SUM(IF(ISTEXT(BX$23:BX$241),1,0)*IF(($L$23:$L$241)="W",1,0)*IF(ISBLANK($T$1),1,IF($I$23:$I$241=$T$1,1,0)))</f>
        <v>0</v>
      </c>
      <c r="BY3" s="874">
        <f t="array" ref="BY3">SUM(IF(ISTEXT(BY$23:BY$241),1,0)*IF(($L$23:$L$241)="W",1,0)*IF(ISBLANK($T$1),1,IF($I$23:$I$241=$T$1,1,0)))</f>
        <v>0</v>
      </c>
      <c r="BZ3" s="874">
        <f t="array" ref="BZ3">SUM(IF(ISTEXT(BZ$23:BZ$241),1,0)*IF(($L$23:$L$241)="W",1,0)*IF(ISBLANK($T$1),1,IF($I$23:$I$241=$T$1,1,0)))</f>
        <v>0</v>
      </c>
      <c r="CA3" s="874">
        <f t="array" ref="CA3">SUM(IF(ISTEXT(CA$23:CA$241),1,0)*IF(($L$23:$L$241)="W",1,0)*IF(ISBLANK($T$1),1,IF($I$23:$I$241=$T$1,1,0)))</f>
        <v>0</v>
      </c>
      <c r="CB3" s="874">
        <f t="array" ref="CB3">SUM(IF(ISTEXT(CB$23:CB$241),1,0)*IF(($L$23:$L$241)="W",1,0)*IF(ISBLANK($T$1),1,IF($I$23:$I$241=$T$1,1,0)))</f>
        <v>0</v>
      </c>
      <c r="CC3" s="874">
        <f t="array" ref="CC3">SUM(IF(ISTEXT(CC$23:CC$241),1,0)*IF(($L$23:$L$241)="W",1,0)*IF(ISBLANK($T$1),1,IF($I$23:$I$241=$T$1,1,0)))</f>
        <v>0</v>
      </c>
      <c r="CD3" s="874">
        <f t="array" ref="CD3">SUM(IF(ISTEXT(CD$23:CD$241),1,0)*IF(($L$23:$L$241)="W",1,0)*IF(ISBLANK($T$1),1,IF($I$23:$I$241=$T$1,1,0)))</f>
        <v>0</v>
      </c>
      <c r="CE3" s="874">
        <f t="array" ref="CE3">SUM(IF(ISTEXT(CE$23:CE$241),1,0)*IF(($L$23:$L$241)="W",1,0)*IF(ISBLANK($T$1),1,IF($I$23:$I$241=$T$1,1,0)))</f>
        <v>0</v>
      </c>
      <c r="CF3" s="874">
        <f t="array" ref="CF3">SUM(IF(ISTEXT(CF$23:CF$241),1,0)*IF(($L$23:$L$241)="W",1,0)*IF(ISBLANK($T$1),1,IF($I$23:$I$241=$T$1,1,0)))</f>
        <v>0</v>
      </c>
      <c r="CG3" s="874">
        <f t="array" ref="CG3">SUM(IF(ISTEXT(CG$23:CG$241),1,0)*IF(($L$23:$L$241)="W",1,0)*IF(ISBLANK($T$1),1,IF($I$23:$I$241=$T$1,1,0)))</f>
        <v>0</v>
      </c>
      <c r="CH3" s="874">
        <f t="array" ref="CH3">SUM(IF(ISTEXT(CH$23:CH$241),1,0)*IF(($L$23:$L$241)="W",1,0)*IF(ISBLANK($T$1),1,IF($I$23:$I$241=$T$1,1,0)))</f>
        <v>0</v>
      </c>
      <c r="CI3" s="874">
        <f t="array" ref="CI3">SUM(IF(ISTEXT(CI$23:CI$241),1,0)*IF(($L$23:$L$241)="W",1,0)*IF(ISBLANK($T$1),1,IF($I$23:$I$241=$T$1,1,0)))</f>
        <v>5</v>
      </c>
      <c r="CJ3" s="874">
        <f t="array" ref="CJ3">SUM(IF(ISTEXT(CJ$23:CJ$241),1,0)*IF(($L$23:$L$241)="W",1,0)*IF(ISBLANK($T$1),1,IF($I$23:$I$241=$T$1,1,0)))</f>
        <v>5</v>
      </c>
      <c r="CK3" s="874">
        <f t="array" ref="CK3">SUM(IF(ISTEXT(CK$23:CK$241),1,0)*IF(($L$23:$L$241)="W",1,0)*IF(ISBLANK($T$1),1,IF($I$23:$I$241=$T$1,1,0)))</f>
        <v>5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SUM(IF(L$23:L$241="D",1,0)*IF(ISBLANK($T$1),1,IF($I$23:$I$241=$T$1,1,0)))</f>
        <v>17</v>
      </c>
      <c r="AG4" s="874">
        <f t="array" ref="AG4">SUM(IF(ISTEXT(AG$23:AG$241),1,0)*IF(($L$23:$L$241)="D",1,0)*IF(ISBLANK($T$1),1,IF($I$23:$I$241=$T$1,1,0)))</f>
        <v>15</v>
      </c>
      <c r="AH4" s="874">
        <f t="array" ref="AH4">SUM(IF(ISTEXT(AH$23:AH$241),1,0)*IF(($L$23:$L$241)="D",1,0)*IF(ISBLANK($T$1),1,IF($I$23:$I$241=$T$1,1,0)))</f>
        <v>17</v>
      </c>
      <c r="AI4" s="874">
        <f t="array" ref="AI4">SUM(IF(ISTEXT(AI$23:AI$241),1,0)*IF(($L$23:$L$241)="D",1,0)*IF(ISBLANK($T$1),1,IF($I$23:$I$241=$T$1,1,0)))</f>
        <v>17</v>
      </c>
      <c r="AK4" s="874">
        <f t="array" ref="AK4">SUM(IF(ISTEXT(AK$23:AK$241),1,0)*IF(($L$23:$L$241)="D",1,0)*IF(ISBLANK($T$1),1,IF($I$23:$I$241=$T$1,1,0)))</f>
        <v>17</v>
      </c>
      <c r="AM4" s="874">
        <f t="array" ref="AM4">SUM(IF(ISTEXT(AM$23:AM$241),1,0)*IF(($L$23:$L$241)="D",1,0)*IF(ISBLANK($T$1),1,IF($I$23:$I$241=$T$1,1,0)))</f>
        <v>17</v>
      </c>
      <c r="AP4" s="874">
        <f t="array" ref="AP4">SUM(IF(ISTEXT(AP$23:AP$241),1,0)*IF(($L$23:$L$241)="D",1,0)*IF(ISBLANK($T$1),1,IF($I$23:$I$241=$T$1,1,0)))</f>
        <v>17</v>
      </c>
      <c r="AQ4" s="874">
        <f t="array" ref="AQ4">SUM(IF(ISTEXT(AQ$23:AQ$241),1,0)*IF(($L$23:$L$241)="D",1,0)*IF(ISBLANK($T$1),1,IF($I$23:$I$241=$T$1,1,0)))</f>
        <v>17</v>
      </c>
      <c r="AR4" s="874">
        <f t="array" ref="AR4">SUM(IF(ISTEXT(AR$23:AR$241),1,0)*IF(($L$23:$L$241)="D",1,0)*IF(ISBLANK($T$1),1,IF($I$23:$I$241=$T$1,1,0)))</f>
        <v>17</v>
      </c>
      <c r="AT4" s="874">
        <f t="array" ref="AT4">SUM(IF(ISTEXT(AT$23:AT$241),1,0)*IF(($L$23:$L$241)="D",1,0)*IF(ISBLANK($T$1),1,IF($I$23:$I$241=$T$1,1,0)))</f>
        <v>17</v>
      </c>
      <c r="AU4" s="874">
        <f t="array" ref="AU4">SUM(IF(ISTEXT(AU$23:AU$241),1,0)*IF(($L$23:$L$241)="D",1,0)*IF(ISBLANK($T$1),1,IF($I$23:$I$241=$T$1,1,0)))</f>
        <v>17</v>
      </c>
      <c r="AV4" s="874">
        <f t="array" ref="AV4">SUM(IF(ISTEXT(AV$23:AV$241),1,0)*IF(($L$23:$L$241)="D",1,0)*IF(ISBLANK($T$1),1,IF($I$23:$I$241=$T$1,1,0)))</f>
        <v>17</v>
      </c>
      <c r="AY4" s="874">
        <f t="array" ref="AY4">SUM(IF(ISTEXT(AY$23:AY$241),1,0)*IF(($L$23:$L$241)="D",1,0)*IF(ISBLANK($T$1),1,IF($I$23:$I$241=$T$1,1,0)))</f>
        <v>17</v>
      </c>
      <c r="AZ4" s="874">
        <f t="array" ref="AZ4">SUM(IF(ISTEXT(AZ$23:AZ$241),1,0)*IF(($L$23:$L$241)="D",1,0)*IF(ISBLANK($T$1),1,IF($I$23:$I$241=$T$1,1,0)))</f>
        <v>17</v>
      </c>
      <c r="BA4" s="874">
        <f t="array" ref="BA4">SUM(IF(ISTEXT(BA$23:BA$241),1,0)*IF(($L$23:$L$241)="D",1,0)*IF(ISBLANK($T$1),1,IF($I$23:$I$241=$T$1,1,0)))</f>
        <v>17</v>
      </c>
      <c r="BB4" s="874">
        <f t="array" ref="BB4">SUM(IF(ISTEXT(BB$23:BB$241),1,0)*IF(($L$23:$L$241)="D",1,0)*IF(ISBLANK($T$1),1,IF($I$23:$I$241=$T$1,1,0)))</f>
        <v>17</v>
      </c>
      <c r="BI4" s="874">
        <f t="array" ref="BI4">SUM(IF(ISTEXT(BI$23:BI$241),1,0)*IF(($L$23:$L$241)="D",1,0)*IF(ISBLANK($T$1),1,IF($I$23:$I$241=$T$1,1,0)))</f>
        <v>17</v>
      </c>
      <c r="BK4" s="874">
        <f t="array" ref="BK4">SUM(IF(ISTEXT(BK$23:BK$241),1,0)*IF(($L$23:$L$241)="D",1,0)*IF(ISBLANK($T$1),1,IF($I$23:$I$241=$T$1,1,0)))</f>
        <v>7</v>
      </c>
      <c r="BN4" s="874">
        <f t="array" ref="BN4">SUM(IF(ISTEXT(BN$23:BN$241),1,0)*IF(($L$23:$L$241)="D",1,0)*IF(ISBLANK($T$1),1,IF($I$23:$I$241=$T$1,1,0)))</f>
        <v>1</v>
      </c>
      <c r="BO4" s="874" t="e">
        <f t="array" ref="BO4">SUM(IF(ISTEXT(BO$41:BO$241),1,0)*IF(($L$23:$L$241)="D",1,0)*IF(ISBLANK($T$1),1,IF($I$23:$I$241=$T$1,1,0)))</f>
        <v>#N/A</v>
      </c>
      <c r="BT4" s="874">
        <f t="array" ref="BT4">SUM(IF(ISTEXT(BT$23:BT$241),1,0)*IF(($L$23:$L$241)="D",1,0)*IF(ISBLANK($T$1),1,IF($I$23:$I$241=$T$1,1,0)))</f>
        <v>0</v>
      </c>
      <c r="BU4" s="874">
        <f t="array" ref="BU4">SUM(IF(ISTEXT(BU$23:BU$241),1,0)*IF(($L$23:$L$241)="D",1,0)*IF(ISBLANK($T$1),1,IF($I$23:$I$241=$T$1,1,0)))</f>
        <v>0</v>
      </c>
      <c r="BV4" s="874">
        <f t="array" ref="BV4">SUM(IF(ISTEXT(BV$23:BV$241),1,0)*IF(($L$23:$L$241)="D",1,0)*IF(ISBLANK($T$1),1,IF($I$23:$I$241=$T$1,1,0)))</f>
        <v>0</v>
      </c>
      <c r="BX4" s="874">
        <f t="array" ref="BX4">SUM(IF(ISTEXT(BX$23:BX$241),1,0)*IF(($L$23:$L$241)="D",1,0)*IF(ISBLANK($T$1),1,IF($I$23:$I$241=$T$1,1,0)))</f>
        <v>0</v>
      </c>
      <c r="BY4" s="874">
        <f t="array" ref="BY4">SUM(IF(ISTEXT(BY$23:BY$241),1,0)*IF(($L$23:$L$241)="D",1,0)*IF(ISBLANK($T$1),1,IF($I$23:$I$241=$T$1,1,0)))</f>
        <v>0</v>
      </c>
      <c r="BZ4" s="874">
        <f t="array" ref="BZ4">SUM(IF(ISTEXT(BZ$23:BZ$241),1,0)*IF(($L$23:$L$241)="D",1,0)*IF(ISBLANK($T$1),1,IF($I$23:$I$241=$T$1,1,0)))</f>
        <v>0</v>
      </c>
      <c r="CA4" s="874">
        <f t="array" ref="CA4">SUM(IF(ISTEXT(CA$23:CA$241),1,0)*IF(($L$23:$L$241)="D",1,0)*IF(ISBLANK($T$1),1,IF($I$23:$I$241=$T$1,1,0)))</f>
        <v>0</v>
      </c>
      <c r="CB4" s="874">
        <f t="array" ref="CB4">SUM(IF(ISTEXT(CB$23:CB$241),1,0)*IF(($L$23:$L$241)="D",1,0)*IF(ISBLANK($T$1),1,IF($I$23:$I$241=$T$1,1,0)))</f>
        <v>0</v>
      </c>
      <c r="CC4" s="874">
        <f t="array" ref="CC4">SUM(IF(ISTEXT(CC$23:CC$241),1,0)*IF(($L$23:$L$241)="D",1,0)*IF(ISBLANK($T$1),1,IF($I$23:$I$241=$T$1,1,0)))</f>
        <v>0</v>
      </c>
      <c r="CD4" s="874">
        <f t="array" ref="CD4">SUM(IF(ISTEXT(CD$23:CD$241),1,0)*IF(($L$23:$L$241)="D",1,0)*IF(ISBLANK($T$1),1,IF($I$23:$I$241=$T$1,1,0)))</f>
        <v>0</v>
      </c>
      <c r="CE4" s="874">
        <f t="array" ref="CE4">SUM(IF(ISTEXT(CE$23:CE$241),1,0)*IF(($L$23:$L$241)="D",1,0)*IF(ISBLANK($T$1),1,IF($I$23:$I$241=$T$1,1,0)))</f>
        <v>0</v>
      </c>
      <c r="CF4" s="874">
        <f t="array" ref="CF4">SUM(IF(ISTEXT(CF$23:CF$241),1,0)*IF(($L$23:$L$241)="D",1,0)*IF(ISBLANK($T$1),1,IF($I$23:$I$241=$T$1,1,0)))</f>
        <v>0</v>
      </c>
      <c r="CG4" s="874">
        <f t="array" ref="CG4">SUM(IF(ISTEXT(CG$23:CG$241),1,0)*IF(($L$23:$L$241)="D",1,0)*IF(ISBLANK($T$1),1,IF($I$23:$I$241=$T$1,1,0)))</f>
        <v>0</v>
      </c>
      <c r="CH4" s="874">
        <f t="array" ref="CH4">SUM(IF(ISTEXT(CH$23:CH$241),1,0)*IF(($L$23:$L$241)="D",1,0)*IF(ISBLANK($T$1),1,IF($I$23:$I$241=$T$1,1,0)))</f>
        <v>0</v>
      </c>
      <c r="CI4" s="874">
        <f t="array" ref="CI4">SUM(IF(ISTEXT(CI$23:CI$241),1,0)*IF(($L$23:$L$241)="D",1,0)*IF(ISBLANK($T$1),1,IF($I$23:$I$241=$T$1,1,0)))</f>
        <v>6</v>
      </c>
      <c r="CJ4" s="874">
        <f t="array" ref="CJ4">SUM(IF(ISTEXT(CJ$23:CJ$241),1,0)*IF(($L$23:$L$241)="D",1,0)*IF(ISBLANK($T$1),1,IF($I$23:$I$241=$T$1,1,0)))</f>
        <v>6</v>
      </c>
      <c r="CK4" s="874">
        <f t="array" ref="CK4">SUM(IF(ISTEXT(CK$23:CK$241),1,0)*IF(($L$23:$L$241)="D",1,0)*IF(ISBLANK($T$1),1,IF($I$23:$I$241=$T$1,1,0)))</f>
        <v>5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SUM(IF(L$23:L$241="L",1,0)*IF(ISBLANK($T$1),1,IF($I$23:$I$241=$T$1,1,0)))</f>
        <v>14</v>
      </c>
      <c r="AG5" s="874">
        <f t="array" ref="AG5">SUM(IF(ISTEXT(AG$23:AG$241),1,0)*IF(($L$23:$L$241)="L",1,0)*IF(ISBLANK($T$1),1,IF($I$23:$I$241=$T$1,1,0)))</f>
        <v>10</v>
      </c>
      <c r="AH5" s="874">
        <f t="array" ref="AH5">SUM(IF(ISTEXT(AH$23:AH$241),1,0)*IF(($L$23:$L$241)="L",1,0)*IF(ISBLANK($T$1),1,IF($I$23:$I$241=$T$1,1,0)))</f>
        <v>14</v>
      </c>
      <c r="AI5" s="874">
        <f t="array" ref="AI5">SUM(IF(ISTEXT(AI$23:AI$241),1,0)*IF(($L$23:$L$241)="L",1,0)*IF(ISBLANK($T$1),1,IF($I$23:$I$241=$T$1,1,0)))</f>
        <v>14</v>
      </c>
      <c r="AK5" s="874">
        <f t="array" ref="AK5">SUM(IF(ISTEXT(AK$23:AK$241),1,0)*IF(($L$23:$L$241)="L",1,0)*IF(ISBLANK($T$1),1,IF($I$23:$I$241=$T$1,1,0)))</f>
        <v>13</v>
      </c>
      <c r="AM5" s="874">
        <f t="array" ref="AM5">SUM(IF(ISTEXT(AM$23:AM$241),1,0)*IF(($L$23:$L$241)="L",1,0)*IF(ISBLANK($T$1),1,IF($I$23:$I$241=$T$1,1,0)))</f>
        <v>13</v>
      </c>
      <c r="AP5" s="874">
        <f t="array" ref="AP5">SUM(IF(ISTEXT(AP$23:AP$241),1,0)*IF(($L$23:$L$241)="L",1,0)*IF(ISBLANK($T$1),1,IF($I$23:$I$241=$T$1,1,0)))</f>
        <v>13</v>
      </c>
      <c r="AQ5" s="874">
        <f t="array" ref="AQ5">SUM(IF(ISTEXT(AQ$23:AQ$241),1,0)*IF(($L$23:$L$241)="L",1,0)*IF(ISBLANK($T$1),1,IF($I$23:$I$241=$T$1,1,0)))</f>
        <v>13</v>
      </c>
      <c r="AR5" s="874">
        <f t="array" ref="AR5">SUM(IF(ISTEXT(AR$23:AR$241),1,0)*IF(($L$23:$L$241)="L",1,0)*IF(ISBLANK($T$1),1,IF($I$23:$I$241=$T$1,1,0)))</f>
        <v>14</v>
      </c>
      <c r="AT5" s="874">
        <f t="array" ref="AT5">SUM(IF(ISTEXT(AT$23:AT$241),1,0)*IF(($L$23:$L$241)="L",1,0)*IF(ISBLANK($T$1),1,IF($I$23:$I$241=$T$1,1,0)))</f>
        <v>14</v>
      </c>
      <c r="AU5" s="874">
        <f t="array" ref="AU5">SUM(IF(ISTEXT(AU$23:AU$241),1,0)*IF(($L$23:$L$241)="L",1,0)*IF(ISBLANK($T$1),1,IF($I$23:$I$241=$T$1,1,0)))</f>
        <v>14</v>
      </c>
      <c r="AV5" s="874">
        <f t="array" ref="AV5">SUM(IF(ISTEXT(AV$23:AV$241),1,0)*IF(($L$23:$L$241)="L",1,0)*IF(ISBLANK($T$1),1,IF($I$23:$I$241=$T$1,1,0)))</f>
        <v>14</v>
      </c>
      <c r="AY5" s="874">
        <f t="array" ref="AY5">SUM(IF(ISTEXT(AY$23:AY$241),1,0)*IF(($L$23:$L$241)="L",1,0)*IF(ISBLANK($T$1),1,IF($I$23:$I$241=$T$1,1,0)))</f>
        <v>14</v>
      </c>
      <c r="AZ5" s="874">
        <f t="array" ref="AZ5">SUM(IF(ISTEXT(AZ$23:AZ$241),1,0)*IF(($L$23:$L$241)="L",1,0)*IF(ISBLANK($T$1),1,IF($I$23:$I$241=$T$1,1,0)))</f>
        <v>14</v>
      </c>
      <c r="BA5" s="874">
        <f t="array" ref="BA5">SUM(IF(ISTEXT(BA$23:BA$241),1,0)*IF(($L$23:$L$241)="L",1,0)*IF(ISBLANK($T$1),1,IF($I$23:$I$241=$T$1,1,0)))</f>
        <v>13</v>
      </c>
      <c r="BB5" s="874">
        <f t="array" ref="BB5">SUM(IF(ISTEXT(BB$23:BB$241),1,0)*IF(($L$23:$L$241)="L",1,0)*IF(ISBLANK($T$1),1,IF($I$23:$I$241=$T$1,1,0)))</f>
        <v>14</v>
      </c>
      <c r="BI5" s="874">
        <f t="array" ref="BI5">SUM(IF(ISTEXT(BI$23:BI$241),1,0)*IF(($L$23:$L$241)="L",1,0)*IF(ISBLANK($T$1),1,IF($I$23:$I$241=$T$1,1,0)))</f>
        <v>14</v>
      </c>
      <c r="BK5" s="874">
        <f t="array" ref="BK5">SUM(IF(ISTEXT(BK$23:BK$241),1,0)*IF(($L$23:$L$241)="L",1,0)*IF(ISBLANK($T$1),1,IF($I$23:$I$241=$T$1,1,0)))</f>
        <v>7</v>
      </c>
      <c r="BN5" s="874">
        <f t="array" ref="BN5">SUM(IF(ISTEXT(BN$23:BN$241),1,0)*IF(($L$23:$L$241)="L",1,0)*IF(ISBLANK($T$1),1,IF($I$23:$I$241=$T$1,1,0)))</f>
        <v>0</v>
      </c>
      <c r="BO5" s="874" t="e">
        <f t="array" ref="BO5">SUM(IF(ISTEXT(BO$41:BO$241),1,0)*IF(($L$23:$L$241)="L",1,0)*IF(ISBLANK($T$1),1,IF($I$23:$I$241=$T$1,1,0)))</f>
        <v>#N/A</v>
      </c>
      <c r="BT5" s="874">
        <f t="array" ref="BT5">SUM(IF(ISTEXT(BT$23:BT$241),1,0)*IF(($L$23:$L$241)="L",1,0)*IF(ISBLANK($T$1),1,IF($I$23:$I$241=$T$1,1,0)))</f>
        <v>0</v>
      </c>
      <c r="BU5" s="874">
        <f t="array" ref="BU5">SUM(IF(ISTEXT(BU$23:BU$241),1,0)*IF(($L$23:$L$241)="L",1,0)*IF(ISBLANK($T$1),1,IF($I$23:$I$241=$T$1,1,0)))</f>
        <v>0</v>
      </c>
      <c r="BV5" s="874">
        <f t="array" ref="BV5">SUM(IF(ISTEXT(BV$23:BV$241),1,0)*IF(($L$23:$L$241)="L",1,0)*IF(ISBLANK($T$1),1,IF($I$23:$I$241=$T$1,1,0)))</f>
        <v>0</v>
      </c>
      <c r="BX5" s="874">
        <f t="array" ref="BX5">SUM(IF(ISTEXT(BX$23:BX$241),1,0)*IF(($L$23:$L$241)="L",1,0)*IF(ISBLANK($T$1),1,IF($I$23:$I$241=$T$1,1,0)))</f>
        <v>0</v>
      </c>
      <c r="BY5" s="874">
        <f t="array" ref="BY5">SUM(IF(ISTEXT(BY$23:BY$241),1,0)*IF(($L$23:$L$241)="L",1,0)*IF(ISBLANK($T$1),1,IF($I$23:$I$241=$T$1,1,0)))</f>
        <v>0</v>
      </c>
      <c r="BZ5" s="874">
        <f t="array" ref="BZ5">SUM(IF(ISTEXT(BZ$23:BZ$241),1,0)*IF(($L$23:$L$241)="L",1,0)*IF(ISBLANK($T$1),1,IF($I$23:$I$241=$T$1,1,0)))</f>
        <v>0</v>
      </c>
      <c r="CA5" s="874">
        <f t="array" ref="CA5">SUM(IF(ISTEXT(CA$23:CA$241),1,0)*IF(($L$23:$L$241)="L",1,0)*IF(ISBLANK($T$1),1,IF($I$23:$I$241=$T$1,1,0)))</f>
        <v>0</v>
      </c>
      <c r="CB5" s="874">
        <f t="array" ref="CB5">SUM(IF(ISTEXT(CB$23:CB$241),1,0)*IF(($L$23:$L$241)="L",1,0)*IF(ISBLANK($T$1),1,IF($I$23:$I$241=$T$1,1,0)))</f>
        <v>0</v>
      </c>
      <c r="CC5" s="874">
        <f t="array" ref="CC5">SUM(IF(ISTEXT(CC$23:CC$241),1,0)*IF(($L$23:$L$241)="L",1,0)*IF(ISBLANK($T$1),1,IF($I$23:$I$241=$T$1,1,0)))</f>
        <v>0</v>
      </c>
      <c r="CD5" s="874">
        <f t="array" ref="CD5">SUM(IF(ISTEXT(CD$23:CD$241),1,0)*IF(($L$23:$L$241)="L",1,0)*IF(ISBLANK($T$1),1,IF($I$23:$I$241=$T$1,1,0)))</f>
        <v>0</v>
      </c>
      <c r="CE5" s="874">
        <f t="array" ref="CE5">SUM(IF(ISTEXT(CE$23:CE$241),1,0)*IF(($L$23:$L$241)="L",1,0)*IF(ISBLANK($T$1),1,IF($I$23:$I$241=$T$1,1,0)))</f>
        <v>0</v>
      </c>
      <c r="CF5" s="874">
        <f t="array" ref="CF5">SUM(IF(ISTEXT(CF$23:CF$241),1,0)*IF(($L$23:$L$241)="L",1,0)*IF(ISBLANK($T$1),1,IF($I$23:$I$241=$T$1,1,0)))</f>
        <v>0</v>
      </c>
      <c r="CG5" s="874">
        <f t="array" ref="CG5">SUM(IF(ISTEXT(CG$23:CG$241),1,0)*IF(($L$23:$L$241)="L",1,0)*IF(ISBLANK($T$1),1,IF($I$23:$I$241=$T$1,1,0)))</f>
        <v>0</v>
      </c>
      <c r="CH5" s="874">
        <f t="array" ref="CH5">SUM(IF(ISTEXT(CH$23:CH$241),1,0)*IF(($L$23:$L$241)="L",1,0)*IF(ISBLANK($T$1),1,IF($I$23:$I$241=$T$1,1,0)))</f>
        <v>0</v>
      </c>
      <c r="CI5" s="874">
        <f t="array" ref="CI5">SUM(IF(ISTEXT(CI$23:CI$241),1,0)*IF(($L$23:$L$241)="L",1,0)*IF(ISBLANK($T$1),1,IF($I$23:$I$241=$T$1,1,0)))</f>
        <v>5</v>
      </c>
      <c r="CJ5" s="874">
        <f t="array" ref="CJ5">SUM(IF(ISTEXT(CJ$23:CJ$241),1,0)*IF(($L$23:$L$241)="L",1,0)*IF(ISBLANK($T$1),1,IF($I$23:$I$241=$T$1,1,0)))</f>
        <v>5</v>
      </c>
      <c r="CK5" s="874">
        <f t="array" ref="CK5">SUM(IF(ISTEXT(CK$23:CK$241),1,0)*IF(($L$23:$L$241)="L",1,0)*IF(ISBLANK($T$1),1,IF($I$23:$I$241=$T$1,1,0)))</f>
        <v>5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56</v>
      </c>
      <c r="AG6" s="874">
        <f t="shared" ref="AG6:CK6" si="2">AG$3*3+AG$4</f>
        <v>48</v>
      </c>
      <c r="AH6" s="874">
        <f t="shared" si="2"/>
        <v>56</v>
      </c>
      <c r="AI6" s="874">
        <f t="shared" si="2"/>
        <v>56</v>
      </c>
      <c r="AK6" s="874">
        <f t="shared" si="2"/>
        <v>56</v>
      </c>
      <c r="AM6" s="874">
        <f t="shared" si="2"/>
        <v>56</v>
      </c>
      <c r="AP6" s="874">
        <f>AP$3*3+AP$4</f>
        <v>56</v>
      </c>
      <c r="AQ6" s="874">
        <f>AQ$3*3+AQ$4</f>
        <v>56</v>
      </c>
      <c r="AR6" s="874">
        <f t="shared" si="2"/>
        <v>56</v>
      </c>
      <c r="AT6" s="874">
        <f>AT$3*3+AT$4</f>
        <v>56</v>
      </c>
      <c r="AU6" s="874">
        <f>AU$3*3+AU$4</f>
        <v>56</v>
      </c>
      <c r="AV6" s="874">
        <f>AV$3*3+AV$4</f>
        <v>56</v>
      </c>
      <c r="AY6" s="874">
        <f>AY$3*3+AY$4</f>
        <v>56</v>
      </c>
      <c r="AZ6" s="874">
        <f>AZ$3*3+AZ$4</f>
        <v>56</v>
      </c>
      <c r="BA6" s="874">
        <f>BA$3*3+BA$4</f>
        <v>56</v>
      </c>
      <c r="BB6" s="874">
        <f>BB$3*3+BB$4</f>
        <v>56</v>
      </c>
      <c r="BI6" s="874">
        <f>BI$3*3+BI$4</f>
        <v>56</v>
      </c>
      <c r="BK6" s="874">
        <f>BK$3*3+BK$4</f>
        <v>13</v>
      </c>
      <c r="BN6" s="874">
        <f>BN$3*3+BN$4</f>
        <v>1</v>
      </c>
      <c r="BO6" s="874" t="e">
        <f t="shared" si="2"/>
        <v>#N/A</v>
      </c>
      <c r="BT6" s="874">
        <f t="shared" ref="BT6:CD6" si="3">BT$3*3+BT$4</f>
        <v>0</v>
      </c>
      <c r="BU6" s="874">
        <f>BU$3*3+BU$4</f>
        <v>0</v>
      </c>
      <c r="BV6" s="874">
        <f>BV$3*3+BV$4</f>
        <v>0</v>
      </c>
      <c r="BX6" s="874">
        <f>BX$3*3+BX$4</f>
        <v>0</v>
      </c>
      <c r="BY6" s="874">
        <f t="shared" si="3"/>
        <v>0</v>
      </c>
      <c r="BZ6" s="874">
        <f t="shared" si="3"/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21</v>
      </c>
      <c r="CJ6" s="874">
        <f t="shared" si="2"/>
        <v>21</v>
      </c>
      <c r="CK6" s="874">
        <f t="shared" si="2"/>
        <v>20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4">AF6/AF2</f>
        <v>1.2727272727272727</v>
      </c>
      <c r="AG7" s="874">
        <f t="shared" si="4"/>
        <v>1.3333333333333333</v>
      </c>
      <c r="AH7" s="874">
        <f t="shared" si="4"/>
        <v>1.2727272727272727</v>
      </c>
      <c r="AI7" s="874">
        <f t="shared" si="4"/>
        <v>1.2727272727272727</v>
      </c>
      <c r="AK7" s="874">
        <f t="shared" si="4"/>
        <v>1.3023255813953489</v>
      </c>
      <c r="AM7" s="874">
        <f t="shared" si="4"/>
        <v>1.3023255813953489</v>
      </c>
      <c r="AP7" s="874">
        <f>AP6/AP2</f>
        <v>1.3023255813953489</v>
      </c>
      <c r="AQ7" s="874">
        <f>AQ6/AQ2</f>
        <v>1.3023255813953489</v>
      </c>
      <c r="AR7" s="874">
        <f t="shared" si="4"/>
        <v>1.2727272727272727</v>
      </c>
      <c r="AT7" s="874">
        <f>AT6/AT2</f>
        <v>1.2727272727272727</v>
      </c>
      <c r="AU7" s="874">
        <f>AU6/AU2</f>
        <v>1.2727272727272727</v>
      </c>
      <c r="AV7" s="874">
        <f>AV6/AV2</f>
        <v>1.2727272727272727</v>
      </c>
      <c r="AY7" s="874">
        <f>AY6/AY2</f>
        <v>1.2727272727272727</v>
      </c>
      <c r="AZ7" s="874">
        <f>AZ6/AZ2</f>
        <v>1.2727272727272727</v>
      </c>
      <c r="BA7" s="874">
        <f>BA6/BA2</f>
        <v>1.3023255813953489</v>
      </c>
      <c r="BB7" s="874">
        <f>BB6/BB2</f>
        <v>1.2727272727272727</v>
      </c>
      <c r="BI7" s="874">
        <f>BI6/BI2</f>
        <v>1.2727272727272727</v>
      </c>
      <c r="BK7" s="874">
        <f>BK6/BK2</f>
        <v>0.8125</v>
      </c>
      <c r="BN7" s="874">
        <f>BN6/BN2</f>
        <v>0.33333333333333331</v>
      </c>
      <c r="BO7" s="874" t="e">
        <f t="shared" si="4"/>
        <v>#N/A</v>
      </c>
      <c r="BT7" s="874" t="e">
        <f t="shared" ref="BT7:CD7" si="5">BT6/BT2</f>
        <v>#DIV/0!</v>
      </c>
      <c r="BU7" s="874" t="e">
        <f t="shared" ref="BU7" si="6">BU6/BU2</f>
        <v>#DIV/0!</v>
      </c>
      <c r="BV7" s="874" t="e">
        <f>BV6/BV2</f>
        <v>#DIV/0!</v>
      </c>
      <c r="BX7" s="874" t="e">
        <f>BX6/BX2</f>
        <v>#DIV/0!</v>
      </c>
      <c r="BY7" s="874" t="e">
        <f t="shared" si="5"/>
        <v>#DIV/0!</v>
      </c>
      <c r="BZ7" s="874" t="e">
        <f t="shared" si="5"/>
        <v>#DIV/0!</v>
      </c>
      <c r="CA7" s="874" t="e">
        <f t="shared" si="5"/>
        <v>#DIV/0!</v>
      </c>
      <c r="CB7" s="874" t="e">
        <f t="shared" si="5"/>
        <v>#DIV/0!</v>
      </c>
      <c r="CC7" s="874" t="e">
        <f t="shared" si="5"/>
        <v>#DIV/0!</v>
      </c>
      <c r="CD7" s="874" t="e">
        <f t="shared" si="5"/>
        <v>#DIV/0!</v>
      </c>
      <c r="CE7" s="874" t="e">
        <f t="shared" si="4"/>
        <v>#DIV/0!</v>
      </c>
      <c r="CF7" s="874" t="e">
        <f t="shared" si="4"/>
        <v>#DIV/0!</v>
      </c>
      <c r="CG7" s="874" t="e">
        <f t="shared" si="4"/>
        <v>#DIV/0!</v>
      </c>
      <c r="CH7" s="874" t="e">
        <f t="shared" si="4"/>
        <v>#DIV/0!</v>
      </c>
      <c r="CI7" s="874">
        <f t="shared" si="4"/>
        <v>1.3125</v>
      </c>
      <c r="CJ7" s="874">
        <f t="shared" si="4"/>
        <v>1.3125</v>
      </c>
      <c r="CK7" s="874">
        <f t="shared" si="4"/>
        <v>1.3333333333333333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SUM(IF(($T$23:$T$241)="",0,$T$23:$T$241)*IF(ISBLANK($T$1),1,IF($I$23:$I$241=$T$1,1,0)))</f>
        <v>-7.3500000000000014</v>
      </c>
      <c r="AG8" s="874">
        <f t="array" ref="AG8">SUM(IF(ISTEXT(AG$23:AG$241),1,0)*IF(($T$23:$T$241)="",0,$T$23:$T$241)*IF(ISBLANK($T$1),1,IF($I$23:$I$241=$T$1,1,0)))</f>
        <v>-3.5900000000000016</v>
      </c>
      <c r="AH8" s="874">
        <f t="array" ref="AH8">SUM(IF(ISTEXT(AH$23:AH$241),1,0)*IF(($T$23:$T$241)="",0,$T$23:$T$241)*IF(ISBLANK($T$1),1,IF($I$23:$I$241=$T$1,1,0)))</f>
        <v>-7.3500000000000014</v>
      </c>
      <c r="AI8" s="874">
        <f t="array" ref="AI8">SUM(IF(ISTEXT(AI$23:AI$241),1,0)*IF(($T$23:$T$241)="",0,$T$23:$T$241)*IF(ISBLANK($T$1),1,IF($I$23:$I$241=$T$1,1,0)))</f>
        <v>-7.3500000000000014</v>
      </c>
      <c r="AK8" s="874">
        <f t="array" ref="AK8">SUM(IF(ISTEXT(AK$23:AK$241),1,0)*IF(($T$23:$T$241)="",0,$T$23:$T$241)*IF(ISBLANK($T$1),1,IF($I$23:$I$241=$T$1,1,0)))</f>
        <v>-7.0000000000000018</v>
      </c>
      <c r="AM8" s="874">
        <f t="array" ref="AM8">SUM(IF(ISTEXT(AM$23:AM$241),1,0)*IF(($T$23:$T$241)="",0,$T$23:$T$241)*IF(ISBLANK($T$1),1,IF($I$23:$I$241=$T$1,1,0)))</f>
        <v>-7.0000000000000018</v>
      </c>
      <c r="AP8" s="874">
        <f t="array" ref="AP8">SUM(IF(ISTEXT(AP$23:AP$241),1,0)*IF(($T$23:$T$241)="",0,$T$23:$T$241)*IF(ISBLANK($T$1),1,IF($I$23:$I$241=$T$1,1,0)))</f>
        <v>-7.0000000000000018</v>
      </c>
      <c r="AQ8" s="874">
        <f t="array" ref="AQ8">SUM(IF(ISTEXT(AQ$23:AQ$241),1,0)*IF(($T$23:$T$241)="",0,$T$23:$T$241)*IF(ISBLANK($T$1),1,IF($I$23:$I$241=$T$1,1,0)))</f>
        <v>-7.0000000000000018</v>
      </c>
      <c r="AR8" s="874">
        <f t="array" ref="AR8">SUM(IF(ISTEXT(AR$23:AR$241),1,0)*IF(($T$23:$T$241)="",0,$T$23:$T$241)*IF(ISBLANK($T$1),1,IF($I$23:$I$241=$T$1,1,0)))</f>
        <v>-7.3500000000000014</v>
      </c>
      <c r="AT8" s="874">
        <f t="array" ref="AT8">SUM(IF(ISTEXT(AT$23:AT$241),1,0)*IF(($T$23:$T$241)="",0,$T$23:$T$241)*IF(ISBLANK($T$1),1,IF($I$23:$I$241=$T$1,1,0)))</f>
        <v>-7.3500000000000014</v>
      </c>
      <c r="AU8" s="874">
        <f t="array" ref="AU8">SUM(IF(ISTEXT(AU$23:AU$241),1,0)*IF(($T$23:$T$241)="",0,$T$23:$T$241)*IF(ISBLANK($T$1),1,IF($I$23:$I$241=$T$1,1,0)))</f>
        <v>-7.3500000000000014</v>
      </c>
      <c r="AV8" s="874">
        <f t="array" ref="AV8">SUM(IF(ISTEXT(AV$23:AV$241),1,0)*IF(($T$23:$T$241)="",0,$T$23:$T$241)*IF(ISBLANK($T$1),1,IF($I$23:$I$241=$T$1,1,0)))</f>
        <v>-7.3500000000000014</v>
      </c>
      <c r="AY8" s="874">
        <f t="array" ref="AY8">SUM(IF(ISTEXT(AY$23:AY$241),1,0)*IF(($T$23:$T$241)="",0,$T$23:$T$241)*IF(ISBLANK($T$1),1,IF($I$23:$I$241=$T$1,1,0)))</f>
        <v>-7.3500000000000014</v>
      </c>
      <c r="AZ8" s="874">
        <f t="array" ref="AZ8">SUM(IF(ISTEXT(AZ$23:AZ$241),1,0)*IF(($T$23:$T$241)="",0,$T$23:$T$241)*IF(ISBLANK($T$1),1,IF($I$23:$I$241=$T$1,1,0)))</f>
        <v>-7.3500000000000014</v>
      </c>
      <c r="BA8" s="874">
        <f t="array" ref="BA8">SUM(IF(ISTEXT(BA$23:BA$241),1,0)*IF(($T$23:$T$241)="",0,$T$23:$T$241)*IF(ISBLANK($T$1),1,IF($I$23:$I$241=$T$1,1,0)))</f>
        <v>-7.0000000000000018</v>
      </c>
      <c r="BB8" s="874">
        <f t="array" ref="BB8">SUM(IF(ISTEXT(BB$23:BB$241),1,0)*IF(($T$23:$T$241)="",0,$T$23:$T$241)*IF(ISBLANK($T$1),1,IF($I$23:$I$241=$T$1,1,0)))</f>
        <v>-7.3500000000000014</v>
      </c>
      <c r="BI8" s="874">
        <f t="array" ref="BI8">SUM(IF(ISTEXT(BI$23:BI$241),1,0)*IF(($T$23:$T$241)="",0,$T$23:$T$241)*IF(ISBLANK($T$1),1,IF($I$23:$I$241=$T$1,1,0)))</f>
        <v>-7.3500000000000014</v>
      </c>
      <c r="BK8" s="874">
        <f t="array" ref="BK8">SUM(IF(ISTEXT(BK$23:BK$241),1,0)*IF(($T$23:$T$241)="",0,$T$23:$T$241)*IF(ISBLANK($T$1),1,IF($I$23:$I$241=$T$1,1,0)))</f>
        <v>-10.62</v>
      </c>
      <c r="BN8" s="874">
        <f t="array" ref="BN8">SUM(IF(ISTEXT(BN$23:BN$241),1,0)*IF(($T$23:$T$241)="",0,$T$23:$T$241)*IF(ISBLANK($T$1),1,IF($I$23:$I$241=$T$1,1,0)))</f>
        <v>-2.42</v>
      </c>
      <c r="BO8" s="874" t="e">
        <f t="array" ref="BO8">SUM(IF(ISTEXT(BO$41:BO$241),1,0)*IF(($T$23:$T$241)="",0,$T$23:$T$241)*IF(ISBLANK($T$1),1,IF($I$23:$I$241=$T$1,1,0)))</f>
        <v>#N/A</v>
      </c>
      <c r="BT8" s="874">
        <f t="array" ref="BT8">SUM(IF(ISTEXT(BT$23:BT$241),1,0)*IF(($T$23:$T$241)="",0,$T$23:$T$241)*IF(ISBLANK($T$1),1,IF($I$23:$I$241=$T$1,1,0)))</f>
        <v>0</v>
      </c>
      <c r="BU8" s="874">
        <f t="array" ref="BU8">SUM(IF(ISTEXT(BU$23:BU$241),1,0)*IF(($T$23:$T$241)="",0,$T$23:$T$241)*IF(ISBLANK($T$1),1,IF($I$23:$I$241=$T$1,1,0)))</f>
        <v>0</v>
      </c>
      <c r="BV8" s="874">
        <f t="array" ref="BV8">SUM(IF(ISTEXT(BV$23:BV$241),1,0)*IF(($T$23:$T$241)="",0,$T$23:$T$241)*IF(ISBLANK($T$1),1,IF($I$23:$I$241=$T$1,1,0)))</f>
        <v>0</v>
      </c>
      <c r="BX8" s="874">
        <f t="array" ref="BX8">SUM(IF(ISTEXT(BX$23:BX$241),1,0)*IF(($T$23:$T$241)="",0,$T$23:$T$241)*IF(ISBLANK($T$1),1,IF($I$23:$I$241=$T$1,1,0)))</f>
        <v>0</v>
      </c>
      <c r="BY8" s="874">
        <f t="array" ref="BY8">SUM(IF(ISTEXT(BY$23:BY$241),1,0)*IF(($T$23:$T$241)="",0,$T$23:$T$241)*IF(ISBLANK($T$1),1,IF($I$23:$I$241=$T$1,1,0)))</f>
        <v>0</v>
      </c>
      <c r="BZ8" s="874">
        <f t="array" ref="BZ8">SUM(IF(ISTEXT(BZ$23:BZ$241),1,0)*IF(($T$23:$T$241)="",0,$T$23:$T$241)*IF(ISBLANK($T$1),1,IF($I$23:$I$241=$T$1,1,0)))</f>
        <v>0</v>
      </c>
      <c r="CA8" s="874">
        <f t="array" ref="CA8">SUM(IF(ISTEXT(CA$23:CA$241),1,0)*IF(($T$23:$T$241)="",0,$T$23:$T$241)*IF(ISBLANK($T$1),1,IF($I$23:$I$241=$T$1,1,0)))</f>
        <v>0</v>
      </c>
      <c r="CB8" s="874">
        <f t="array" ref="CB8">SUM(IF(ISTEXT(CB$23:CB$241),1,0)*IF(($T$23:$T$241)="",0,$T$23:$T$241)*IF(ISBLANK($T$1),1,IF($I$23:$I$241=$T$1,1,0)))</f>
        <v>0</v>
      </c>
      <c r="CC8" s="874">
        <f t="array" ref="CC8">SUM(IF(ISTEXT(CC$23:CC$241),1,0)*IF(($T$23:$T$241)="",0,$T$23:$T$241)*IF(ISBLANK($T$1),1,IF($I$23:$I$241=$T$1,1,0)))</f>
        <v>0</v>
      </c>
      <c r="CD8" s="874">
        <f t="array" ref="CD8">SUM(IF(ISTEXT(CD$23:CD$241),1,0)*IF(($T$23:$T$241)="",0,$T$23:$T$241)*IF(ISBLANK($T$1),1,IF($I$23:$I$241=$T$1,1,0)))</f>
        <v>0</v>
      </c>
      <c r="CE8" s="874">
        <f t="array" ref="CE8">SUM(IF(ISTEXT(CE$23:CE$241),1,0)*IF(($T$23:$T$241)="",0,$T$23:$T$241)*IF(ISBLANK($T$1),1,IF($I$23:$I$241=$T$1,1,0)))</f>
        <v>0</v>
      </c>
      <c r="CF8" s="874">
        <f t="array" ref="CF8">SUM(IF(ISTEXT(CF$23:CF$241),1,0)*IF(($T$23:$T$241)="",0,$T$23:$T$241)*IF(ISBLANK($T$1),1,IF($I$23:$I$241=$T$1,1,0)))</f>
        <v>0</v>
      </c>
      <c r="CG8" s="874">
        <f t="array" ref="CG8">SUM(IF(ISTEXT(CG$23:CG$241),1,0)*IF(($T$23:$T$241)="",0,$T$23:$T$241)*IF(ISBLANK($T$1),1,IF($I$23:$I$241=$T$1,1,0)))</f>
        <v>0</v>
      </c>
      <c r="CH8" s="874">
        <f t="array" ref="CH8">SUM(IF(ISTEXT(CH$23:CH$241),1,0)*IF(($T$23:$T$241)="",0,$T$23:$T$241)*IF(ISBLANK($T$1),1,IF($I$23:$I$241=$T$1,1,0)))</f>
        <v>0</v>
      </c>
      <c r="CI8" s="874">
        <f t="array" ref="CI8">SUM(IF(ISTEXT(CI$23:CI$241),1,0)*IF(($T$23:$T$241)="",0,$T$23:$T$241)*IF(ISBLANK($T$1),1,IF($I$23:$I$241=$T$1,1,0)))</f>
        <v>-2.6200000000000006</v>
      </c>
      <c r="CJ8" s="874">
        <f t="array" ref="CJ8">SUM(IF(ISTEXT(CJ$23:CJ$241),1,0)*IF(($T$23:$T$241)="",0,$T$23:$T$241)*IF(ISBLANK($T$1),1,IF($I$23:$I$241=$T$1,1,0)))</f>
        <v>-2.6200000000000006</v>
      </c>
      <c r="CK8" s="874">
        <f t="array" ref="CK8">SUM(IF(ISTEXT(CK$23:CK$241),1,0)*IF(($T$23:$T$241)="",0,$T$23:$T$241)*IF(ISBLANK($T$1),1,IF($I$23:$I$241=$T$1,1,0)))</f>
        <v>-2.1300000000000003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7">AF8/AF2</f>
        <v>-0.16704545454545458</v>
      </c>
      <c r="AG9" s="874">
        <f t="shared" si="7"/>
        <v>-9.9722222222222268E-2</v>
      </c>
      <c r="AH9" s="874">
        <f t="shared" si="7"/>
        <v>-0.16704545454545458</v>
      </c>
      <c r="AI9" s="874">
        <f t="shared" si="7"/>
        <v>-0.16704545454545458</v>
      </c>
      <c r="AK9" s="874">
        <f t="shared" si="7"/>
        <v>-0.16279069767441864</v>
      </c>
      <c r="AM9" s="874">
        <f t="shared" si="7"/>
        <v>-0.16279069767441864</v>
      </c>
      <c r="AP9" s="874">
        <f>AP8/AP2</f>
        <v>-0.16279069767441864</v>
      </c>
      <c r="AQ9" s="874">
        <f>AQ8/AQ2</f>
        <v>-0.16279069767441864</v>
      </c>
      <c r="AR9" s="874">
        <f t="shared" si="7"/>
        <v>-0.16704545454545458</v>
      </c>
      <c r="AT9" s="874">
        <f>AT8/AT2</f>
        <v>-0.16704545454545458</v>
      </c>
      <c r="AU9" s="874">
        <f>AU8/AU2</f>
        <v>-0.16704545454545458</v>
      </c>
      <c r="AV9" s="874">
        <f>AV8/AV2</f>
        <v>-0.16704545454545458</v>
      </c>
      <c r="AY9" s="874">
        <f>AY8/AY2</f>
        <v>-0.16704545454545458</v>
      </c>
      <c r="AZ9" s="874">
        <f>AZ8/AZ2</f>
        <v>-0.16704545454545458</v>
      </c>
      <c r="BA9" s="874">
        <f>BA8/BA2</f>
        <v>-0.16279069767441864</v>
      </c>
      <c r="BB9" s="874">
        <f>BB8/BB2</f>
        <v>-0.16704545454545458</v>
      </c>
      <c r="BI9" s="874">
        <f>BI8/BI2</f>
        <v>-0.16704545454545458</v>
      </c>
      <c r="BK9" s="874">
        <f>BK8/BK2</f>
        <v>-0.66374999999999995</v>
      </c>
      <c r="BN9" s="874">
        <f>BN8/BN2</f>
        <v>-0.80666666666666664</v>
      </c>
      <c r="BO9" s="874" t="e">
        <f t="shared" si="7"/>
        <v>#N/A</v>
      </c>
      <c r="BT9" s="874" t="e">
        <f t="shared" ref="BT9:CD9" si="8">BT8/BT2</f>
        <v>#DIV/0!</v>
      </c>
      <c r="BU9" s="874" t="e">
        <f t="shared" ref="BU9" si="9">BU8/BU2</f>
        <v>#DIV/0!</v>
      </c>
      <c r="BV9" s="874" t="e">
        <f>BV8/BV2</f>
        <v>#DIV/0!</v>
      </c>
      <c r="BX9" s="874" t="e">
        <f>BX8/BX2</f>
        <v>#DIV/0!</v>
      </c>
      <c r="BY9" s="874" t="e">
        <f t="shared" si="8"/>
        <v>#DIV/0!</v>
      </c>
      <c r="BZ9" s="874" t="e">
        <f t="shared" si="8"/>
        <v>#DIV/0!</v>
      </c>
      <c r="CA9" s="874" t="e">
        <f t="shared" si="8"/>
        <v>#DIV/0!</v>
      </c>
      <c r="CB9" s="874" t="e">
        <f t="shared" si="8"/>
        <v>#DIV/0!</v>
      </c>
      <c r="CC9" s="874" t="e">
        <f t="shared" si="8"/>
        <v>#DIV/0!</v>
      </c>
      <c r="CD9" s="874" t="e">
        <f t="shared" si="8"/>
        <v>#DIV/0!</v>
      </c>
      <c r="CE9" s="874" t="e">
        <f t="shared" si="7"/>
        <v>#DIV/0!</v>
      </c>
      <c r="CF9" s="874" t="e">
        <f t="shared" si="7"/>
        <v>#DIV/0!</v>
      </c>
      <c r="CG9" s="874" t="e">
        <f t="shared" si="7"/>
        <v>#DIV/0!</v>
      </c>
      <c r="CH9" s="874" t="e">
        <f t="shared" si="7"/>
        <v>#DIV/0!</v>
      </c>
      <c r="CI9" s="874">
        <f t="shared" si="7"/>
        <v>-0.16375000000000003</v>
      </c>
      <c r="CJ9" s="874">
        <f t="shared" si="7"/>
        <v>-0.16375000000000003</v>
      </c>
      <c r="CK9" s="874">
        <f t="shared" si="7"/>
        <v>-0.14200000000000002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SUM(IF(ISBLANK($T$1),$J$23:$J$241,IF($I$23:$I$241=$T$1,$J$23:$J$241,0)))</f>
        <v>44</v>
      </c>
      <c r="AG10" s="874">
        <f t="array" ref="AG10">SUM(IF(ISBLANK(AG$23:AG$241),0,IF(ISNUMBER(VALUE(RIGHT(AG$23:AG$241,1))),RIGHT(AG$23:AG$241,1),0)*IF(ISBLANK($T$1),1,IF($I$23:$I$241=$T$1,1,0))))</f>
        <v>0</v>
      </c>
      <c r="AH10" s="874">
        <f t="array" ref="AH10">SUM(IF(ISBLANK(AH$23:AH$241),0,IF(ISNUMBER(VALUE(RIGHT(AH$23:AH$241,1))),RIGHT(AH$23:AH$241,1),0)*IF(ISBLANK($T$1),1,IF($I$23:$I$241=$T$1,1,0))))</f>
        <v>0</v>
      </c>
      <c r="AI10" s="874">
        <f t="array" ref="AI10">SUM(IF(ISBLANK(AI$23:AI$241),0,IF(ISNUMBER(VALUE(RIGHT(AI$23:AI$241,1))),RIGHT(AI$23:AI$241,1),0)*IF(ISBLANK($T$1),1,IF($I$23:$I$241=$T$1,1,0))))</f>
        <v>0</v>
      </c>
      <c r="AK10" s="874">
        <f t="array" ref="AK10">SUM(IF(ISBLANK(AK$23:AK$241),0,IF(ISNUMBER(VALUE(RIGHT(AK$23:AK$241,1))),RIGHT(AK$23:AK$241,1),0)*IF(ISBLANK($T$1),1,IF($I$23:$I$241=$T$1,1,0))))</f>
        <v>0</v>
      </c>
      <c r="AM10" s="874">
        <f t="array" ref="AM10">SUM(IF(ISBLANK(AM$23:AM$241),0,IF(ISNUMBER(VALUE(RIGHT(AM$23:AM$241,1))),RIGHT(AM$23:AM$241,1),0)*IF(ISBLANK($T$1),1,IF($I$23:$I$241=$T$1,1,0))))</f>
        <v>1</v>
      </c>
      <c r="AP10" s="874">
        <f t="array" ref="AP10">SUM(IF(ISBLANK(AP$23:AP$241),0,IF(ISNUMBER(VALUE(RIGHT(AP$23:AP$241,1))),RIGHT(AP$23:AP$241,1),0)*IF(ISBLANK($T$1),1,IF($I$23:$I$241=$T$1,1,0))))</f>
        <v>0</v>
      </c>
      <c r="AQ10" s="874">
        <f t="array" ref="AQ10">SUM(IF(ISBLANK(AQ$23:AQ$241),0,IF(ISNUMBER(VALUE(RIGHT(AQ$23:AQ$241,1))),RIGHT(AQ$23:AQ$241,1),0)*IF(ISBLANK($T$1),1,IF($I$23:$I$241=$T$1,1,0))))</f>
        <v>0</v>
      </c>
      <c r="AR10" s="874">
        <f t="array" ref="AR10">SUM(IF(ISBLANK(AR$23:AR$241),0,IF(ISNUMBER(VALUE(RIGHT(AR$23:AR$241,1))),RIGHT(AR$23:AR$241,1),0)*IF(ISBLANK($T$1),1,IF($I$23:$I$241=$T$1,1,0))))</f>
        <v>1</v>
      </c>
      <c r="AT10" s="874">
        <f t="array" ref="AT10">SUM(IF(ISBLANK(AT$23:AT$241),0,IF(ISNUMBER(VALUE(RIGHT(AT$23:AT$241,1))),RIGHT(AT$23:AT$241,1),0)*IF(ISBLANK($T$1),1,IF($I$23:$I$241=$T$1,1,0))))</f>
        <v>0</v>
      </c>
      <c r="AU10" s="874">
        <f t="array" ref="AU10">SUM(IF(ISBLANK(AU$23:AU$241),0,IF(ISNUMBER(VALUE(RIGHT(AU$23:AU$241,1))),RIGHT(AU$23:AU$241,1),0)*IF(ISBLANK($T$1),1,IF($I$23:$I$241=$T$1,1,0))))</f>
        <v>1</v>
      </c>
      <c r="AV10" s="874">
        <f t="array" ref="AV10">SUM(IF(ISBLANK(AV$23:AV$241),0,IF(ISNUMBER(VALUE(RIGHT(AV$23:AV$241,1))),RIGHT(AV$23:AV$241,1),0)*IF(ISBLANK($T$1),1,IF($I$23:$I$241=$T$1,1,0))))</f>
        <v>2</v>
      </c>
      <c r="AY10" s="874">
        <f t="array" ref="AY10">SUM(IF(ISBLANK(AY$23:AY$241),0,IF(ISNUMBER(VALUE(RIGHT(AY$23:AY$241,1))),RIGHT(AY$23:AY$241,1),0)*IF(ISBLANK($T$1),1,IF($I$23:$I$241=$T$1,1,0))))</f>
        <v>1</v>
      </c>
      <c r="AZ10" s="874">
        <f t="array" ref="AZ10">SUM(IF(ISBLANK(AZ$23:AZ$241),0,IF(ISNUMBER(VALUE(RIGHT(AZ$23:AZ$241,1))),RIGHT(AZ$23:AZ$241,1),0)*IF(ISBLANK($T$1),1,IF($I$23:$I$241=$T$1,1,0))))</f>
        <v>3</v>
      </c>
      <c r="BA10" s="874">
        <f t="array" ref="BA10">SUM(IF(ISBLANK(BA$23:BA$241),0,IF(ISNUMBER(VALUE(RIGHT(BA$23:BA$241,1))),RIGHT(BA$23:BA$241,1),0)*IF(ISBLANK($T$1),1,IF($I$23:$I$241=$T$1,1,0))))</f>
        <v>1</v>
      </c>
      <c r="BB10" s="874">
        <f t="array" ref="BB10">SUM(IF(ISBLANK(BB$23:BB$241),0,IF(ISNUMBER(VALUE(RIGHT(BB$23:BB$241,1))),RIGHT(BB$23:BB$241,1),0)*IF(ISBLANK($T$1),1,IF($I$23:$I$241=$T$1,1,0))))</f>
        <v>0</v>
      </c>
      <c r="BI10" s="874">
        <f t="array" ref="BI10">SUM(IF(ISBLANK(BI$23:BI$241),0,IF(ISNUMBER(VALUE(RIGHT(BI$23:BI$241,1))),RIGHT(BI$23:BI$241,1),0)*IF(ISBLANK($T$1),1,IF($I$23:$I$241=$T$1,1,0))))</f>
        <v>10</v>
      </c>
      <c r="BK10" s="874">
        <f t="array" ref="BK10">SUM(IF(ISBLANK(BK$23:BK$241),0,IF(ISNUMBER(VALUE(RIGHT(BK$23:BK$241,1))),RIGHT(BK$23:BK$241,1),0)*IF(ISBLANK($T$1),1,IF($I$23:$I$241=$T$1,1,0))))</f>
        <v>0</v>
      </c>
      <c r="BN10" s="874">
        <f t="array" ref="BN10">SUM(IF(ISBLANK(BN$23:BN$241),0,IF(ISNUMBER(VALUE(RIGHT(BN$23:BN$241,1))),RIGHT(BN$23:BN$241,1),0)*IF(ISBLANK($T$1),1,IF($I$23:$I$241=$T$1,1,0))))</f>
        <v>2</v>
      </c>
      <c r="BO10" s="874">
        <f t="array" ref="BO10">SUM(IF(ISBLANK(BO$41:BO$241),0,IF(ISNUMBER(VALUE(RIGHT(BO$41:BO$241,1))),RIGHT(BO$41:BO$241,1),0)*IF(ISBLANK($T$1),1,IF($I$23:$I$241=$T$1,1,0))))</f>
        <v>0</v>
      </c>
      <c r="BT10" s="874">
        <f t="array" ref="BT10">SUM(IF(ISBLANK(BT$23:BT$241),0,IF(ISNUMBER(VALUE(RIGHT(BT$23:BT$241,1))),RIGHT(BT$23:BT$241,1),0)*IF(ISBLANK($T$1),1,IF($I$23:$I$241=$T$1,1,0))))</f>
        <v>0</v>
      </c>
      <c r="BU10" s="874">
        <f t="array" ref="BU10">SUM(IF(ISBLANK(BU$23:BU$241),0,IF(ISNUMBER(VALUE(RIGHT(BU$23:BU$241,1))),RIGHT(BU$23:BU$241,1),0)*IF(ISBLANK($T$1),1,IF($I$23:$I$241=$T$1,1,0))))</f>
        <v>0</v>
      </c>
      <c r="BV10" s="874">
        <f t="array" ref="BV10">SUM(IF(ISBLANK(BV$23:BV$241),0,IF(ISNUMBER(VALUE(RIGHT(BV$23:BV$241,1))),RIGHT(BV$23:BV$241,1),0)*IF(ISBLANK($T$1),1,IF($I$23:$I$241=$T$1,1,0))))</f>
        <v>0</v>
      </c>
      <c r="BX10" s="874">
        <f t="array" ref="BX10">SUM(IF(ISBLANK(BX$23:BX$241),0,IF(ISNUMBER(VALUE(RIGHT(BX$23:BX$241,1))),RIGHT(BX$23:BX$241,1),0)*IF(ISBLANK($T$1),1,IF($I$23:$I$241=$T$1,1,0))))</f>
        <v>0</v>
      </c>
      <c r="BY10" s="874">
        <f t="array" ref="BY10">SUM(IF(ISBLANK(BY$23:BY$241),0,IF(ISNUMBER(VALUE(RIGHT(BY$23:BY$241,1))),RIGHT(BY$23:BY$241,1),0)*IF(ISBLANK($T$1),1,IF($I$23:$I$241=$T$1,1,0))))</f>
        <v>0</v>
      </c>
      <c r="BZ10" s="874">
        <f t="array" ref="BZ10">SUM(IF(ISBLANK(BZ$23:BZ$241),0,IF(ISNUMBER(VALUE(RIGHT(BZ$23:BZ$241,1))),RIGHT(BZ$23:BZ$241,1),0)*IF(ISBLANK($T$1),1,IF($I$23:$I$241=$T$1,1,0))))</f>
        <v>0</v>
      </c>
      <c r="CA10" s="874">
        <f t="array" ref="CA10">SUM(IF(ISBLANK(CA$23:CA$241),0,IF(ISNUMBER(VALUE(RIGHT(CA$23:CA$241,1))),RIGHT(CA$23:CA$241,1),0)*IF(ISBLANK($T$1),1,IF($I$23:$I$241=$T$1,1,0))))</f>
        <v>0</v>
      </c>
      <c r="CB10" s="874">
        <f t="array" ref="CB10">SUM(IF(ISBLANK(CB$23:CB$241),0,IF(ISNUMBER(VALUE(RIGHT(CB$23:CB$241,1))),RIGHT(CB$23:CB$241,1),0)*IF(ISBLANK($T$1),1,IF($I$23:$I$241=$T$1,1,0))))</f>
        <v>0</v>
      </c>
      <c r="CC10" s="874">
        <f t="array" ref="CC10">SUM(IF(ISBLANK(CC$23:CC$241),0,IF(ISNUMBER(VALUE(RIGHT(CC$23:CC$241,1))),RIGHT(CC$23:CC$241,1),0)*IF(ISBLANK($T$1),1,IF($I$23:$I$241=$T$1,1,0))))</f>
        <v>0</v>
      </c>
      <c r="CD10" s="874">
        <f t="array" ref="CD10">SUM(IF(ISBLANK(CD$23:CD$241),0,IF(ISNUMBER(VALUE(RIGHT(CD$23:CD$241,1))),RIGHT(CD$23:CD$241,1),0)*IF(ISBLANK($T$1),1,IF($I$23:$I$241=$T$1,1,0))))</f>
        <v>0</v>
      </c>
      <c r="CE10" s="874">
        <f t="array" ref="CE10">SUM(IF(ISBLANK(CE$23:CE$241),0,IF(ISNUMBER(VALUE(RIGHT(CE$23:CE$241,1))),RIGHT(CE$23:CE$241,1),0)*IF(ISBLANK($T$1),1,IF($I$23:$I$241=$T$1,1,0))))</f>
        <v>0</v>
      </c>
      <c r="CF10" s="874">
        <f t="array" ref="CF10">SUM(IF(ISBLANK(CF$23:CF$241),0,IF(ISNUMBER(VALUE(RIGHT(CF$23:CF$241,1))),RIGHT(CF$23:CF$241,1),0)*IF(ISBLANK($T$1),1,IF($I$23:$I$241=$T$1,1,0))))</f>
        <v>0</v>
      </c>
      <c r="CG10" s="874">
        <f t="array" ref="CG10">SUM(IF(ISBLANK(CG$23:CG$241),0,IF(ISNUMBER(VALUE(RIGHT(CG$23:CG$241,1))),RIGHT(CG$23:CG$241,1),0)*IF(ISBLANK($T$1),1,IF($I$23:$I$241=$T$1,1,0))))</f>
        <v>0</v>
      </c>
      <c r="CH10" s="874">
        <f t="array" ref="CH10">SUM(IF(ISBLANK(CH$23:CH$241),0,IF(ISNUMBER(VALUE(RIGHT(CH$23:CH$241,1))),RIGHT(CH$23:CH$241,1),0)*IF(ISBLANK($T$1),1,IF($I$23:$I$241=$T$1,1,0))))</f>
        <v>0</v>
      </c>
      <c r="CI10" s="874">
        <f t="array" ref="CI10">SUM(IF(ISBLANK(CI$23:CI$241),0,IF(ISNUMBER(VALUE(RIGHT(CI$23:CI$241,1))),RIGHT(CI$23:CI$241,1),0)*IF(ISBLANK($T$1),1,IF($I$23:$I$241=$T$1,1,0))))</f>
        <v>0</v>
      </c>
      <c r="CJ10" s="874">
        <f t="array" ref="CJ10">SUM(IF(ISBLANK(CJ$23:CJ$241),0,IF(ISNUMBER(VALUE(RIGHT(CJ$23:CJ$241,1))),RIGHT(CJ$23:CJ$241,1),0)*IF(ISBLANK($T$1),1,IF($I$23:$I$241=$T$1,1,0))))</f>
        <v>0</v>
      </c>
      <c r="CK10" s="874">
        <f t="array" ref="CK10">SUM(IF(ISBLANK(CK$23:CK$241),0,IF(ISNUMBER(VALUE(RIGHT(CK$23:CK$241,1))),RIGHT(CK$23:CK$241,1),0)*IF(ISBLANK($T$1),1,IF($I$23:$I$241=$T$1,1,0))))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0">AF10/AF2</f>
        <v>1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K11" s="874">
        <f t="shared" si="10"/>
        <v>0</v>
      </c>
      <c r="AM11" s="874">
        <f t="shared" si="10"/>
        <v>2.3255813953488372E-2</v>
      </c>
      <c r="AP11" s="874">
        <f>AP10/AP2</f>
        <v>0</v>
      </c>
      <c r="AQ11" s="874">
        <f>AQ10/AQ2</f>
        <v>0</v>
      </c>
      <c r="AR11" s="874">
        <f t="shared" si="10"/>
        <v>2.2727272727272728E-2</v>
      </c>
      <c r="AT11" s="874">
        <f>AT10/AT2</f>
        <v>0</v>
      </c>
      <c r="AU11" s="874">
        <f>AU10/AU2</f>
        <v>2.2727272727272728E-2</v>
      </c>
      <c r="AV11" s="874">
        <f>AV10/AV2</f>
        <v>4.5454545454545456E-2</v>
      </c>
      <c r="AY11" s="874">
        <f>AY10/AY2</f>
        <v>2.2727272727272728E-2</v>
      </c>
      <c r="AZ11" s="874">
        <f>AZ10/AZ2</f>
        <v>6.8181818181818177E-2</v>
      </c>
      <c r="BA11" s="874">
        <f>BA10/BA2</f>
        <v>2.3255813953488372E-2</v>
      </c>
      <c r="BB11" s="874">
        <f>BB10/BB2</f>
        <v>0</v>
      </c>
      <c r="BI11" s="874">
        <f>BI10/BI2</f>
        <v>0.22727272727272727</v>
      </c>
      <c r="BK11" s="874">
        <f>BK10/BK2</f>
        <v>0</v>
      </c>
      <c r="BN11" s="874">
        <f>BN10/BN2</f>
        <v>0.66666666666666663</v>
      </c>
      <c r="BO11" s="874" t="e">
        <f t="shared" si="10"/>
        <v>#DIV/0!</v>
      </c>
      <c r="BT11" s="874" t="e">
        <f t="shared" ref="BT11:CD11" si="11">BT10/BT2</f>
        <v>#DIV/0!</v>
      </c>
      <c r="BU11" s="874" t="e">
        <f t="shared" ref="BU11" si="12">BU10/BU2</f>
        <v>#DIV/0!</v>
      </c>
      <c r="BV11" s="874" t="e">
        <f>BV10/BV2</f>
        <v>#DIV/0!</v>
      </c>
      <c r="BX11" s="874" t="e">
        <f>BX10/BX2</f>
        <v>#DIV/0!</v>
      </c>
      <c r="BY11" s="874" t="e">
        <f t="shared" si="11"/>
        <v>#DIV/0!</v>
      </c>
      <c r="BZ11" s="874" t="e">
        <f t="shared" si="11"/>
        <v>#DIV/0!</v>
      </c>
      <c r="CA11" s="874" t="e">
        <f t="shared" si="11"/>
        <v>#DIV/0!</v>
      </c>
      <c r="CB11" s="874" t="e">
        <f t="shared" si="11"/>
        <v>#DIV/0!</v>
      </c>
      <c r="CC11" s="874" t="e">
        <f t="shared" si="11"/>
        <v>#DIV/0!</v>
      </c>
      <c r="CD11" s="874" t="e">
        <f t="shared" si="11"/>
        <v>#DIV/0!</v>
      </c>
      <c r="CE11" s="874" t="e">
        <f t="shared" si="10"/>
        <v>#DIV/0!</v>
      </c>
      <c r="CF11" s="874" t="e">
        <f t="shared" si="10"/>
        <v>#DIV/0!</v>
      </c>
      <c r="CG11" s="874" t="e">
        <f t="shared" si="10"/>
        <v>#DIV/0!</v>
      </c>
      <c r="CH11" s="874" t="e">
        <f t="shared" si="10"/>
        <v>#DIV/0!</v>
      </c>
      <c r="CI11" s="874">
        <f t="shared" si="10"/>
        <v>0</v>
      </c>
      <c r="CJ11" s="874">
        <f t="shared" si="10"/>
        <v>0</v>
      </c>
      <c r="CK11" s="874">
        <f t="shared" si="10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SUM(IF(ISBLANK($T$1),$K$23:$K$241,IF($I$23:$I$241=$T$1,$K$23:$K$241,0)))</f>
        <v>50</v>
      </c>
      <c r="AG12" s="874">
        <f t="array" ref="AG12">SUM(IF(ISBLANK(AG$23:AG$241),0,$K23:$K241)*IF(ISBLANK($T$1),1,IF($I$23:$I$241=$T$1,1,0)))</f>
        <v>39</v>
      </c>
      <c r="AH12" s="874">
        <f t="array" ref="AH12">SUM(IF(ISBLANK(AH$23:AH$241),0,$K23:$K241)*IF(ISBLANK($T$1),1,IF($I$23:$I$241=$T$1,1,0)))</f>
        <v>50</v>
      </c>
      <c r="AI12" s="874">
        <f t="array" ref="AI12">SUM(IF(ISBLANK(AI$23:AI$241),0,$K23:$K241)*IF(ISBLANK($T$1),1,IF($I$23:$I$241=$T$1,1,0)))</f>
        <v>50</v>
      </c>
      <c r="AK12" s="874">
        <f t="array" ref="AK12">SUM(IF(ISBLANK(AK$23:AK$241),0,$K23:$K241)*IF(ISBLANK($T$1),1,IF($I$23:$I$241=$T$1,1,0)))</f>
        <v>48</v>
      </c>
      <c r="AM12" s="874">
        <f t="array" ref="AM12">SUM(IF(ISBLANK(AM$23:AM$241),0,$K23:$K241)*IF(ISBLANK($T$1),1,IF($I$23:$I$241=$T$1,1,0)))</f>
        <v>48</v>
      </c>
      <c r="AP12" s="874">
        <f t="array" ref="AP12">SUM(IF(ISBLANK(AP$23:AP$241),0,$K23:$K241)*IF(ISBLANK($T$1),1,IF($I$23:$I$241=$T$1,1,0)))</f>
        <v>48</v>
      </c>
      <c r="AQ12" s="874">
        <f t="array" ref="AQ12">SUM(IF(ISBLANK(AQ$23:AQ$241),0,$K23:$K241)*IF(ISBLANK($T$1),1,IF($I$23:$I$241=$T$1,1,0)))</f>
        <v>48</v>
      </c>
      <c r="AR12" s="874">
        <f t="array" ref="AR12">SUM(IF(ISBLANK(AR$23:AR$241),0,$K23:$K241)*IF(ISBLANK($T$1),1,IF($I$23:$I$241=$T$1,1,0)))</f>
        <v>50</v>
      </c>
      <c r="AT12" s="874">
        <f t="array" ref="AT12">SUM(IF(ISBLANK(AT$23:AT$241),0,$K23:$K241)*IF(ISBLANK($T$1),1,IF($I$23:$I$241=$T$1,1,0)))</f>
        <v>50</v>
      </c>
      <c r="AU12" s="874">
        <f t="array" ref="AU12">SUM(IF(ISBLANK(AU$23:AU$241),0,$K23:$K241)*IF(ISBLANK($T$1),1,IF($I$23:$I$241=$T$1,1,0)))</f>
        <v>50</v>
      </c>
      <c r="AV12" s="874">
        <f t="array" ref="AV12">SUM(IF(ISBLANK(AV$23:AV$241),0,$K23:$K241)*IF(ISBLANK($T$1),1,IF($I$23:$I$241=$T$1,1,0)))</f>
        <v>50</v>
      </c>
      <c r="AY12" s="874">
        <f t="array" ref="AY12">SUM(IF(ISBLANK(AY$23:AY$241),0,$K23:$K241)*IF(ISBLANK($T$1),1,IF($I$23:$I$241=$T$1,1,0)))</f>
        <v>50</v>
      </c>
      <c r="AZ12" s="874">
        <f t="array" ref="AZ12">SUM(IF(ISBLANK(AZ$23:AZ$241),0,$K23:$K241)*IF(ISBLANK($T$1),1,IF($I$23:$I$241=$T$1,1,0)))</f>
        <v>50</v>
      </c>
      <c r="BA12" s="874">
        <f t="array" ref="BA12">SUM(IF(ISBLANK(BA$23:BA$241),0,$K23:$K241)*IF(ISBLANK($T$1),1,IF($I$23:$I$241=$T$1,1,0)))</f>
        <v>48</v>
      </c>
      <c r="BB12" s="874">
        <f t="array" ref="BB12">SUM(IF(ISBLANK(BB$23:BB$241),0,$K23:$K241)*IF(ISBLANK($T$1),1,IF($I$23:$I$241=$T$1,1,0)))</f>
        <v>50</v>
      </c>
      <c r="BI12" s="874">
        <f t="array" ref="BI12">SUM(IF(ISBLANK(BI$23:BI$241),0,$K23:$K241)*IF(ISBLANK($T$1),1,IF($I$23:$I$241=$T$1,1,0)))</f>
        <v>50</v>
      </c>
      <c r="BK12" s="874">
        <f t="array" ref="BK12">SUM(IF(ISBLANK(BK$23:BK$241),0,$K23:$K241)*IF(ISBLANK($T$1),1,IF($I$23:$I$241=$T$1,1,0)))</f>
        <v>16</v>
      </c>
      <c r="BN12" s="874">
        <f t="array" ref="BN12">SUM(IF(ISBLANK(BN$23:BN$241),0,$K23:$K241)*IF(ISBLANK($T$1),1,IF($I$23:$I$241=$T$1,1,0)))</f>
        <v>2</v>
      </c>
      <c r="BO12" s="874" t="e">
        <f t="array" ref="BO12">SUM(IF(ISBLANK(BO$41:BO$241),0,$K23:$K241)*IF(ISBLANK($T$1),1,IF($I$23:$I$241=$T$1,1,0)))</f>
        <v>#N/A</v>
      </c>
      <c r="BT12" s="874">
        <f t="array" ref="BT12">SUM(IF(ISBLANK(BT$23:BT$241),0,$K23:$K241)*IF(ISBLANK($T$1),1,IF($I$23:$I$241=$T$1,1,0)))</f>
        <v>0</v>
      </c>
      <c r="BU12" s="874">
        <f t="array" ref="BU12">SUM(IF(ISBLANK(BU$23:BU$241),0,$K23:$K241)*IF(ISBLANK($T$1),1,IF($I$23:$I$241=$T$1,1,0)))</f>
        <v>0</v>
      </c>
      <c r="BV12" s="874">
        <f t="array" ref="BV12">SUM(IF(ISBLANK(BV$23:BV$241),0,$K23:$K241)*IF(ISBLANK($T$1),1,IF($I$23:$I$241=$T$1,1,0)))</f>
        <v>0</v>
      </c>
      <c r="BX12" s="874">
        <f t="array" ref="BX12">SUM(IF(ISBLANK(BX$23:BX$241),0,$K23:$K241)*IF(ISBLANK($T$1),1,IF($I$23:$I$241=$T$1,1,0)))</f>
        <v>0</v>
      </c>
      <c r="BY12" s="874">
        <f t="array" ref="BY12">SUM(IF(ISBLANK(BY$23:BY$241),0,$K23:$K241)*IF(ISBLANK($T$1),1,IF($I$23:$I$241=$T$1,1,0)))</f>
        <v>0</v>
      </c>
      <c r="BZ12" s="874">
        <f t="array" ref="BZ12">SUM(IF(ISBLANK(BZ$23:BZ$241),0,$K23:$K241)*IF(ISBLANK($T$1),1,IF($I$23:$I$241=$T$1,1,0)))</f>
        <v>0</v>
      </c>
      <c r="CA12" s="874">
        <f t="array" ref="CA12">SUM(IF(ISBLANK(CA$23:CA$241),0,$K23:$K241)*IF(ISBLANK($T$1),1,IF($I$23:$I$241=$T$1,1,0)))</f>
        <v>0</v>
      </c>
      <c r="CB12" s="874">
        <f t="array" ref="CB12">SUM(IF(ISBLANK(CB$23:CB$241),0,$K23:$K241)*IF(ISBLANK($T$1),1,IF($I$23:$I$241=$T$1,1,0)))</f>
        <v>0</v>
      </c>
      <c r="CC12" s="874">
        <f t="array" ref="CC12">SUM(IF(ISBLANK(CC$23:CC$241),0,$K23:$K241)*IF(ISBLANK($T$1),1,IF($I$23:$I$241=$T$1,1,0)))</f>
        <v>0</v>
      </c>
      <c r="CD12" s="874">
        <f t="array" ref="CD12">SUM(IF(ISBLANK(CD$23:CD$241),0,$K23:$K241)*IF(ISBLANK($T$1),1,IF($I$23:$I$241=$T$1,1,0)))</f>
        <v>0</v>
      </c>
      <c r="CE12" s="874">
        <f t="array" ref="CE12">SUM(IF(ISBLANK(CE$23:CE$241),0,$K23:$K241)*IF(ISBLANK($T$1),1,IF($I$23:$I$241=$T$1,1,0)))</f>
        <v>0</v>
      </c>
      <c r="CF12" s="874">
        <f t="array" ref="CF12">SUM(IF(ISBLANK(CF$23:CF$241),0,$K23:$K241)*IF(ISBLANK($T$1),1,IF($I$23:$I$241=$T$1,1,0)))</f>
        <v>0</v>
      </c>
      <c r="CG12" s="874">
        <f t="array" ref="CG12">SUM(IF(ISBLANK(CG$23:CG$241),0,$K23:$K241)*IF(ISBLANK($T$1),1,IF($I$23:$I$241=$T$1,1,0)))</f>
        <v>0</v>
      </c>
      <c r="CH12" s="874">
        <f t="array" ref="CH12">SUM(IF(ISBLANK(CH$23:CH$241),0,$K23:$K241)*IF(ISBLANK($T$1),1,IF($I$23:$I$241=$T$1,1,0)))</f>
        <v>0</v>
      </c>
      <c r="CI12" s="874">
        <f t="array" ref="CI12">SUM(IF(ISBLANK(CI$23:CI$241),0,$K23:$K241)*IF(ISBLANK($T$1),1,IF($I$23:$I$241=$T$1,1,0)))</f>
        <v>19</v>
      </c>
      <c r="CJ12" s="874">
        <f t="array" ref="CJ12">SUM(IF(ISBLANK(CJ$23:CJ$241),0,$K23:$K241)*IF(ISBLANK($T$1),1,IF($I$23:$I$241=$T$1,1,0)))</f>
        <v>19</v>
      </c>
      <c r="CK12" s="874">
        <f t="array" ref="CK12">SUM(IF(ISBLANK(CK$23:CK$241),0,$K23:$K241)*IF(ISBLANK($T$1),1,IF($I$23:$I$241=$T$1,1,0)))</f>
        <v>18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3">AF12/AF2</f>
        <v>1.1363636363636365</v>
      </c>
      <c r="AG13" s="874">
        <f t="shared" si="13"/>
        <v>1.0833333333333333</v>
      </c>
      <c r="AH13" s="874">
        <f t="shared" si="13"/>
        <v>1.1363636363636365</v>
      </c>
      <c r="AI13" s="874">
        <f t="shared" si="13"/>
        <v>1.1363636363636365</v>
      </c>
      <c r="AK13" s="874">
        <f t="shared" si="13"/>
        <v>1.1162790697674418</v>
      </c>
      <c r="AM13" s="874">
        <f t="shared" si="13"/>
        <v>1.1162790697674418</v>
      </c>
      <c r="AP13" s="874">
        <f>AP12/AP2</f>
        <v>1.1162790697674418</v>
      </c>
      <c r="AQ13" s="874">
        <f>AQ12/AQ2</f>
        <v>1.1162790697674418</v>
      </c>
      <c r="AR13" s="874">
        <f t="shared" si="13"/>
        <v>1.1363636363636365</v>
      </c>
      <c r="AT13" s="874">
        <f>AT12/AT2</f>
        <v>1.1363636363636365</v>
      </c>
      <c r="AU13" s="874">
        <f>AU12/AU2</f>
        <v>1.1363636363636365</v>
      </c>
      <c r="AV13" s="874">
        <f>AV12/AV2</f>
        <v>1.1363636363636365</v>
      </c>
      <c r="AY13" s="874">
        <f>AY12/AY2</f>
        <v>1.1363636363636365</v>
      </c>
      <c r="AZ13" s="874">
        <f>AZ12/AZ2</f>
        <v>1.1363636363636365</v>
      </c>
      <c r="BA13" s="874">
        <f>BA12/BA2</f>
        <v>1.1162790697674418</v>
      </c>
      <c r="BB13" s="874">
        <f>BB12/BB2</f>
        <v>1.1363636363636365</v>
      </c>
      <c r="BI13" s="874">
        <f>BI12/BI2</f>
        <v>1.1363636363636365</v>
      </c>
      <c r="BK13" s="874">
        <f>BK12/BK2</f>
        <v>1</v>
      </c>
      <c r="BN13" s="874">
        <f>BN12/BN2</f>
        <v>0.66666666666666663</v>
      </c>
      <c r="BO13" s="874" t="e">
        <f t="shared" si="13"/>
        <v>#N/A</v>
      </c>
      <c r="BT13" s="874" t="e">
        <f t="shared" ref="BT13:CD13" si="14">BT12/BT2</f>
        <v>#DIV/0!</v>
      </c>
      <c r="BU13" s="874" t="e">
        <f t="shared" ref="BU13" si="15">BU12/BU2</f>
        <v>#DIV/0!</v>
      </c>
      <c r="BV13" s="874" t="e">
        <f>BV12/BV2</f>
        <v>#DIV/0!</v>
      </c>
      <c r="BX13" s="874" t="e">
        <f>BX12/BX2</f>
        <v>#DIV/0!</v>
      </c>
      <c r="BY13" s="874" t="e">
        <f t="shared" si="14"/>
        <v>#DIV/0!</v>
      </c>
      <c r="BZ13" s="874" t="e">
        <f t="shared" si="14"/>
        <v>#DIV/0!</v>
      </c>
      <c r="CA13" s="874" t="e">
        <f t="shared" si="14"/>
        <v>#DIV/0!</v>
      </c>
      <c r="CB13" s="874" t="e">
        <f t="shared" si="14"/>
        <v>#DIV/0!</v>
      </c>
      <c r="CC13" s="874" t="e">
        <f t="shared" si="14"/>
        <v>#DIV/0!</v>
      </c>
      <c r="CD13" s="874" t="e">
        <f t="shared" si="14"/>
        <v>#DIV/0!</v>
      </c>
      <c r="CE13" s="874" t="e">
        <f t="shared" si="13"/>
        <v>#DIV/0!</v>
      </c>
      <c r="CF13" s="874" t="e">
        <f t="shared" si="13"/>
        <v>#DIV/0!</v>
      </c>
      <c r="CG13" s="874" t="e">
        <f t="shared" si="13"/>
        <v>#DIV/0!</v>
      </c>
      <c r="CH13" s="874" t="e">
        <f t="shared" si="13"/>
        <v>#DIV/0!</v>
      </c>
      <c r="CI13" s="874">
        <f t="shared" si="13"/>
        <v>1.1875</v>
      </c>
      <c r="CJ13" s="874">
        <f t="shared" si="13"/>
        <v>1.1875</v>
      </c>
      <c r="CK13" s="874">
        <f t="shared" si="13"/>
        <v>1.2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AJ14" si="16">AG15+AG16</f>
        <v>0</v>
      </c>
      <c r="AH14" s="902">
        <f t="shared" si="16"/>
        <v>8</v>
      </c>
      <c r="AI14" s="902">
        <f t="shared" si="16"/>
        <v>36</v>
      </c>
      <c r="AJ14" s="902">
        <f t="shared" si="16"/>
        <v>0</v>
      </c>
      <c r="AK14" s="902">
        <f t="shared" ref="AK14:BG14" si="17">AK15+AK16</f>
        <v>0</v>
      </c>
      <c r="AL14" s="902">
        <f t="shared" si="17"/>
        <v>3</v>
      </c>
      <c r="AM14" s="902">
        <f t="shared" si="17"/>
        <v>11</v>
      </c>
      <c r="AN14" s="902">
        <f t="shared" si="17"/>
        <v>24</v>
      </c>
      <c r="AO14" s="902">
        <f t="shared" si="17"/>
        <v>0</v>
      </c>
      <c r="AP14" s="902">
        <f t="shared" si="17"/>
        <v>2</v>
      </c>
      <c r="AQ14" s="902">
        <f t="shared" si="17"/>
        <v>4</v>
      </c>
      <c r="AR14" s="902">
        <f t="shared" si="17"/>
        <v>33</v>
      </c>
      <c r="AS14" s="902">
        <f t="shared" si="17"/>
        <v>26</v>
      </c>
      <c r="AT14" s="902">
        <f t="shared" si="17"/>
        <v>31</v>
      </c>
      <c r="AU14" s="902">
        <f t="shared" si="17"/>
        <v>25</v>
      </c>
      <c r="AV14" s="902">
        <f t="shared" si="17"/>
        <v>31</v>
      </c>
      <c r="AW14" s="902">
        <f t="shared" si="17"/>
        <v>31</v>
      </c>
      <c r="AX14" s="902">
        <f t="shared" si="17"/>
        <v>41</v>
      </c>
      <c r="AY14" s="902">
        <f t="shared" si="17"/>
        <v>40</v>
      </c>
      <c r="AZ14" s="902">
        <f t="shared" si="17"/>
        <v>33</v>
      </c>
      <c r="BA14" s="902">
        <f t="shared" si="17"/>
        <v>3</v>
      </c>
      <c r="BB14" s="902">
        <f t="shared" si="17"/>
        <v>6</v>
      </c>
      <c r="BC14" s="902">
        <f t="shared" si="17"/>
        <v>1</v>
      </c>
      <c r="BD14" s="902">
        <f t="shared" si="17"/>
        <v>33</v>
      </c>
      <c r="BE14" s="902">
        <f t="shared" si="17"/>
        <v>35</v>
      </c>
      <c r="BF14" s="902">
        <f t="shared" si="17"/>
        <v>29</v>
      </c>
      <c r="BG14" s="902">
        <f t="shared" si="17"/>
        <v>28</v>
      </c>
      <c r="BH14" s="902">
        <f t="shared" ref="BH14:BK14" si="18">BH15+BH16</f>
        <v>21</v>
      </c>
      <c r="BI14" s="902">
        <f t="shared" si="18"/>
        <v>22</v>
      </c>
      <c r="BJ14" s="902">
        <f t="shared" si="18"/>
        <v>36</v>
      </c>
      <c r="BK14" s="902">
        <f t="shared" si="18"/>
        <v>2</v>
      </c>
      <c r="BL14" s="902">
        <f t="shared" ref="BL14" si="19">BL15+BL16</f>
        <v>2</v>
      </c>
      <c r="BM14" s="902">
        <f>BM15+BM16</f>
        <v>12</v>
      </c>
      <c r="BN14" s="889"/>
      <c r="BO14" s="889"/>
      <c r="BP14" s="889"/>
      <c r="BQ14" s="889"/>
      <c r="BR14" s="889"/>
      <c r="BS14" s="889"/>
      <c r="BT14" s="889"/>
      <c r="BU14" s="889"/>
      <c r="BV14" s="889"/>
      <c r="BW14" s="889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AVERAGEIFS($Q$23:$Q$208,$H$23:$H$208,"H",$I$23:$I$208,Table!$C$1)</f>
        <v>4.2380952380952387E-2</v>
      </c>
      <c r="S15" s="858">
        <f>AVERAGEIFS($Q$23:$Q$208,$H$23:$H$208,"A",$I$23:$I$208,Table!$C$1)</f>
        <v>-0.22619047619047622</v>
      </c>
      <c r="AF15" s="848" t="s">
        <v>821</v>
      </c>
      <c r="AG15" s="903">
        <f t="array" ref="AG15">SUM(IF(LEFT(AG23:AG162,1)="X",1,0))</f>
        <v>0</v>
      </c>
      <c r="AH15" s="903">
        <f t="array" ref="AH15">SUM(IF(LEFT(AH23:AH162,1)="X",1,0))</f>
        <v>8</v>
      </c>
      <c r="AI15" s="903">
        <f t="array" ref="AI15">SUM(IF(LEFT(AI23:AI162,1)="X",1,0))</f>
        <v>36</v>
      </c>
      <c r="AJ15" s="903">
        <f t="array" ref="AJ15">SUM(IF(LEFT(AJ23:AJ162,1)="X",1,0))</f>
        <v>0</v>
      </c>
      <c r="AK15" s="903">
        <f t="array" ref="AK15">SUM(IF(LEFT(AK23:AK162,1)="X",1,0))</f>
        <v>0</v>
      </c>
      <c r="AL15" s="903">
        <f t="array" ref="AL15">SUM(IF(LEFT(AL23:AL162,1)="X",1,0))</f>
        <v>1</v>
      </c>
      <c r="AM15" s="903">
        <f t="array" ref="AM15">SUM(IF(LEFT(AM23:AM162,1)="X",1,0))</f>
        <v>8</v>
      </c>
      <c r="AN15" s="903">
        <f t="array" ref="AN15">SUM(IF(LEFT(AN23:AN162,1)="X",1,0))</f>
        <v>23</v>
      </c>
      <c r="AO15" s="903">
        <f t="array" ref="AO15">SUM(IF(LEFT(AO23:AO162,1)="X",1,0))</f>
        <v>0</v>
      </c>
      <c r="AP15" s="903">
        <f t="array" ref="AP15">SUM(IF(LEFT(AP23:AP162,1)="X",1,0))</f>
        <v>2</v>
      </c>
      <c r="AQ15" s="903">
        <f t="array" ref="AQ15">SUM(IF(LEFT(AQ23:AQ162,1)="X",1,0))</f>
        <v>4</v>
      </c>
      <c r="AR15" s="903">
        <f t="array" ref="AR15">SUM(IF(LEFT(AR23:AR162,1)="X",1,0))</f>
        <v>33</v>
      </c>
      <c r="AS15" s="903">
        <f t="array" ref="AS15">SUM(IF(LEFT(AS23:AS162,1)="X",1,0))</f>
        <v>21</v>
      </c>
      <c r="AT15" s="903">
        <f t="array" ref="AT15">SUM(IF(LEFT(AT23:AT162,1)="X",1,0))</f>
        <v>23</v>
      </c>
      <c r="AU15" s="903">
        <f t="array" ref="AU15">SUM(IF(LEFT(AU23:AU162,1)="X",1,0))</f>
        <v>20</v>
      </c>
      <c r="AV15" s="903">
        <f t="array" ref="AV15">SUM(IF(LEFT(AV23:AV162,1)="X",1,0))</f>
        <v>20</v>
      </c>
      <c r="AW15" s="903">
        <f t="array" ref="AW15">SUM(IF(LEFT(AW23:AW162,1)="X",1,0))</f>
        <v>11</v>
      </c>
      <c r="AX15" s="903">
        <f t="array" ref="AX15">SUM(IF(LEFT(AX23:AX162,1)="X",1,0))</f>
        <v>41</v>
      </c>
      <c r="AY15" s="903">
        <f t="array" ref="AY15">SUM(IF(LEFT(AY23:AY162,1)="X",1,0))</f>
        <v>38</v>
      </c>
      <c r="AZ15" s="903">
        <f t="array" ref="AZ15">SUM(IF(LEFT(AZ23:AZ162,1)="X",1,0))</f>
        <v>30</v>
      </c>
      <c r="BA15" s="903">
        <f t="array" ref="BA15">SUM(IF(LEFT(BA23:BA162,1)="X",1,0))</f>
        <v>3</v>
      </c>
      <c r="BB15" s="903">
        <f t="array" ref="BB15">SUM(IF(LEFT(BB23:BB162,1)="X",1,0))</f>
        <v>3</v>
      </c>
      <c r="BC15" s="903">
        <f t="array" ref="BC15">SUM(IF(LEFT(BC23:BC162,1)="X",1,0))</f>
        <v>1</v>
      </c>
      <c r="BD15" s="903">
        <f t="array" ref="BD15">SUM(IF(LEFT(BD23:BD162,1)="X",1,0))</f>
        <v>30</v>
      </c>
      <c r="BE15" s="903">
        <f t="array" ref="BE15">SUM(IF(LEFT(BE23:BE162,1)="X",1,0))</f>
        <v>30</v>
      </c>
      <c r="BF15" s="903">
        <f t="array" ref="BF15">SUM(IF(LEFT(BF23:BF162,1)="X",1,0))</f>
        <v>14</v>
      </c>
      <c r="BG15" s="903">
        <f t="array" ref="BG15">SUM(IF(LEFT(BG23:BG162,1)="X",1,0))</f>
        <v>20</v>
      </c>
      <c r="BH15" s="903">
        <f t="array" ref="BH15">SUM(IF(LEFT(BH23:BH162,1)="X",1,0))</f>
        <v>9</v>
      </c>
      <c r="BI15" s="903">
        <f t="array" ref="BI15">SUM(IF(LEFT(BI23:BI162,1)="X",1,0))</f>
        <v>17</v>
      </c>
      <c r="BJ15" s="903">
        <f t="array" ref="BJ15">SUM(IF(LEFT(BJ23:BJ162,1)="X",1,0))</f>
        <v>30</v>
      </c>
      <c r="BK15" s="903">
        <f t="array" ref="BK15">SUM(IF(LEFT(BK23:BK162,1)="X",1,0))</f>
        <v>2</v>
      </c>
      <c r="BL15" s="903">
        <f t="array" ref="BL15">SUM(IF(LEFT(BL23:BL162,1)="X",1,0))</f>
        <v>1</v>
      </c>
      <c r="BM15" s="903">
        <f t="array" ref="BM15">SUM(IF(LEFT(BM23:BM162,1)="X",1,0))</f>
        <v>5</v>
      </c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AVERAGEIF($H$23:$H$205,"=H",$J$23:$J$205)</f>
        <v>1.0909090909090908</v>
      </c>
      <c r="J16" s="858">
        <f>AVERAGEIF($H$23:$H$209,"=H",$K$23:$K$209)</f>
        <v>1</v>
      </c>
      <c r="K16" s="858">
        <f>I16-J16</f>
        <v>9.0909090909090828E-2</v>
      </c>
      <c r="L16" s="857">
        <f>COUNTIFS($L$23:$L$205,"=W",$H$23:$H$205,"=H")</f>
        <v>9</v>
      </c>
      <c r="M16" s="857">
        <f>COUNTIFS($L$23:$L$205,"=D",$H$23:$H$205,"=H")</f>
        <v>6</v>
      </c>
      <c r="N16" s="863">
        <f>COUNTIFS($L$23:$L$205,"=L",$H$23:$H$205,"=H")</f>
        <v>7</v>
      </c>
      <c r="O16" s="858">
        <f>SUM(I16:J16)</f>
        <v>2.0909090909090908</v>
      </c>
      <c r="Q16" s="861" t="s">
        <v>212</v>
      </c>
      <c r="R16" s="858">
        <f>AVERAGEIFS($S$23:$S$206,$H$23:$H$206,"H",$I$23:$I$206,Table!$C$1)</f>
        <v>2.3909523809523812</v>
      </c>
      <c r="S16" s="858">
        <f>AVERAGEIFS($S$23:$S$206,$H$23:$H$206,"A",$I$23:$I$206,Table!$C$1)</f>
        <v>2.3876190476190482</v>
      </c>
      <c r="AF16" s="848" t="s">
        <v>724</v>
      </c>
      <c r="AG16" s="903">
        <f t="array" ref="AG16">SUM(IF(LEFT(AG23:AG163,1)="s",1,0))</f>
        <v>0</v>
      </c>
      <c r="AH16" s="903">
        <f t="array" ref="AH16">SUM(IF(LEFT(AH23:AH163,1)="s",1,0))</f>
        <v>0</v>
      </c>
      <c r="AI16" s="903">
        <f t="array" ref="AI16">SUM(IF(LEFT(AI23:AI163,1)="s",1,0))</f>
        <v>0</v>
      </c>
      <c r="AJ16" s="903">
        <f t="array" ref="AJ16">SUM(IF(LEFT(AJ23:AJ163,1)="s",1,0))</f>
        <v>0</v>
      </c>
      <c r="AK16" s="903">
        <f t="array" ref="AK16">SUM(IF(LEFT(AK23:AK163,1)="s",1,0))</f>
        <v>0</v>
      </c>
      <c r="AL16" s="903">
        <f t="array" ref="AL16">SUM(IF(LEFT(AL23:AL163,1)="s",1,0))</f>
        <v>2</v>
      </c>
      <c r="AM16" s="903">
        <f t="array" ref="AM16">SUM(IF(LEFT(AM23:AM163,1)="s",1,0))</f>
        <v>3</v>
      </c>
      <c r="AN16" s="903">
        <f t="array" ref="AN16">SUM(IF(LEFT(AN23:AN163,1)="s",1,0))</f>
        <v>1</v>
      </c>
      <c r="AO16" s="903">
        <f t="array" ref="AO16">SUM(IF(LEFT(AO23:AO163,1)="s",1,0))</f>
        <v>0</v>
      </c>
      <c r="AP16" s="903">
        <f t="array" ref="AP16">SUM(IF(LEFT(AP23:AP163,1)="s",1,0))</f>
        <v>0</v>
      </c>
      <c r="AQ16" s="903">
        <f t="array" ref="AQ16">SUM(IF(LEFT(AQ23:AQ163,1)="s",1,0))</f>
        <v>0</v>
      </c>
      <c r="AR16" s="903">
        <f t="array" ref="AR16">SUM(IF(LEFT(AR23:AR163,1)="s",1,0))</f>
        <v>0</v>
      </c>
      <c r="AS16" s="903">
        <f t="array" ref="AS16">SUM(IF(LEFT(AS23:AS163,1)="s",1,0))</f>
        <v>5</v>
      </c>
      <c r="AT16" s="903">
        <f t="array" ref="AT16">SUM(IF(LEFT(AT23:AT163,1)="s",1,0))</f>
        <v>8</v>
      </c>
      <c r="AU16" s="903">
        <f t="array" ref="AU16">SUM(IF(LEFT(AU23:AU163,1)="s",1,0))</f>
        <v>5</v>
      </c>
      <c r="AV16" s="903">
        <f t="array" ref="AV16">SUM(IF(LEFT(AV23:AV163,1)="s",1,0))</f>
        <v>11</v>
      </c>
      <c r="AW16" s="903">
        <f t="array" ref="AW16">SUM(IF(LEFT(AW23:AW163,1)="s",1,0))</f>
        <v>20</v>
      </c>
      <c r="AX16" s="903">
        <f t="array" ref="AX16">SUM(IF(LEFT(AX23:AX163,1)="s",1,0))</f>
        <v>0</v>
      </c>
      <c r="AY16" s="903">
        <f t="array" ref="AY16">SUM(IF(LEFT(AY23:AY163,1)="s",1,0))</f>
        <v>2</v>
      </c>
      <c r="AZ16" s="903">
        <f t="array" ref="AZ16">SUM(IF(LEFT(AZ23:AZ163,1)="s",1,0))</f>
        <v>3</v>
      </c>
      <c r="BA16" s="903">
        <f t="array" ref="BA16">SUM(IF(LEFT(BA23:BA163,1)="s",1,0))</f>
        <v>0</v>
      </c>
      <c r="BB16" s="903">
        <f t="array" ref="BB16">SUM(IF(LEFT(BB23:BB163,1)="s",1,0))</f>
        <v>3</v>
      </c>
      <c r="BC16" s="903">
        <f t="array" ref="BC16">SUM(IF(LEFT(BC23:BC163,1)="s",1,0))</f>
        <v>0</v>
      </c>
      <c r="BD16" s="903">
        <f t="array" ref="BD16">SUM(IF(LEFT(BD23:BD163,1)="s",1,0))</f>
        <v>3</v>
      </c>
      <c r="BE16" s="903">
        <f t="array" ref="BE16">SUM(IF(LEFT(BE23:BE163,1)="s",1,0))</f>
        <v>5</v>
      </c>
      <c r="BF16" s="903">
        <f t="array" ref="BF16">SUM(IF(LEFT(BF23:BF163,1)="s",1,0))</f>
        <v>15</v>
      </c>
      <c r="BG16" s="903">
        <f t="array" ref="BG16">SUM(IF(LEFT(BG23:BG163,1)="s",1,0))</f>
        <v>8</v>
      </c>
      <c r="BH16" s="903">
        <f t="array" ref="BH16">SUM(IF(LEFT(BH23:BH163,1)="s",1,0))</f>
        <v>12</v>
      </c>
      <c r="BI16" s="903">
        <f t="array" ref="BI16">SUM(IF(LEFT(BI23:BI163,1)="s",1,0))</f>
        <v>5</v>
      </c>
      <c r="BJ16" s="903">
        <f t="array" ref="BJ16">SUM(IF(LEFT(BJ23:BJ163,1)="s",1,0))</f>
        <v>6</v>
      </c>
      <c r="BK16" s="903">
        <f t="array" ref="BK16">SUM(IF(LEFT(BK23:BK163,1)="s",1,0))</f>
        <v>0</v>
      </c>
      <c r="BL16" s="903">
        <f t="array" ref="BL16">SUM(IF(LEFT(BL23:BL163,1)="s",1,0))</f>
        <v>1</v>
      </c>
      <c r="BM16" s="903">
        <f t="array" ref="BM16">SUM(IF(LEFT(BM23:BM163,1)="s",1,0))</f>
        <v>7</v>
      </c>
      <c r="BN16" s="889"/>
      <c r="BO16" s="889"/>
      <c r="BP16" s="889"/>
      <c r="BQ16" s="889"/>
      <c r="BR16" s="889"/>
      <c r="BS16" s="889"/>
      <c r="BT16" s="889"/>
      <c r="BU16" s="889"/>
      <c r="BV16" s="889"/>
      <c r="BW16" s="889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AVERAGEIF($H$23:$H$205,"=A",$J$23:$J$205)</f>
        <v>0.90909090909090906</v>
      </c>
      <c r="J17" s="860">
        <f>AVERAGEIF($H$23:$H$209,"=A",$K$23:$K$209)</f>
        <v>1.2727272727272727</v>
      </c>
      <c r="K17" s="858">
        <f>I17-J17</f>
        <v>-0.36363636363636365</v>
      </c>
      <c r="L17" s="857">
        <f>COUNTIFS($L$23:$L$205,"=W",$H$23:$H$205,"=A")</f>
        <v>4</v>
      </c>
      <c r="M17" s="857">
        <f>COUNTIFS($L$23:$L$205,"=D",$H$23:$H$205,"=A")</f>
        <v>11</v>
      </c>
      <c r="N17" s="863">
        <f>COUNTIFS($L$23:$L$205,"=L",$H$23:$H$205,"=A")</f>
        <v>7</v>
      </c>
      <c r="O17" s="858">
        <f>SUM(I17:J17)</f>
        <v>2.1818181818181817</v>
      </c>
      <c r="Q17" s="848"/>
      <c r="R17" s="859"/>
      <c r="S17" s="855"/>
      <c r="AF17" s="848" t="s">
        <v>718</v>
      </c>
      <c r="AG17" s="903">
        <f t="array" ref="AG17">SUM(IF(ISNUMBER(VALUE(RIGHT(AG23:AG171,1))),VALUE(RIGHT(AG23:AG171,1)),0))</f>
        <v>0</v>
      </c>
      <c r="AH17" s="903">
        <f t="array" ref="AH17">SUM(IF(ISNUMBER(VALUE(RIGHT(AH23:AH171,1))),VALUE(RIGHT(AH23:AH171,1)),0))</f>
        <v>0</v>
      </c>
      <c r="AI17" s="903">
        <f t="array" ref="AI17">SUM(IF(ISNUMBER(VALUE(RIGHT(AI23:AI171,1))),VALUE(RIGHT(AI23:AI171,1)),0))</f>
        <v>0</v>
      </c>
      <c r="AJ17" s="903">
        <f t="array" ref="AJ17">SUM(IF(ISNUMBER(VALUE(RIGHT(AJ23:AJ171,1))),VALUE(RIGHT(AJ23:AJ171,1)),0))</f>
        <v>0</v>
      </c>
      <c r="AK17" s="903">
        <f t="array" ref="AK17">SUM(IF(ISNUMBER(VALUE(RIGHT(AK23:AK171,1))),VALUE(RIGHT(AK23:AK171,1)),0))</f>
        <v>0</v>
      </c>
      <c r="AL17" s="903">
        <f t="array" ref="AL17">SUM(IF(ISNUMBER(VALUE(RIGHT(AL23:AL171,1))),VALUE(RIGHT(AL23:AL171,1)),0))</f>
        <v>0</v>
      </c>
      <c r="AM17" s="903">
        <f t="array" ref="AM17">SUM(IF(ISNUMBER(VALUE(RIGHT(AM23:AM171,1))),VALUE(RIGHT(AM23:AM171,1)),0))</f>
        <v>1</v>
      </c>
      <c r="AN17" s="903">
        <f t="array" ref="AN17">SUM(IF(ISNUMBER(VALUE(RIGHT(AN23:AN171,1))),VALUE(RIGHT(AN23:AN171,1)),0))</f>
        <v>0</v>
      </c>
      <c r="AO17" s="903">
        <f t="array" ref="AO17">SUM(IF(ISNUMBER(VALUE(RIGHT(AO23:AO171,1))),VALUE(RIGHT(AO23:AO171,1)),0))</f>
        <v>0</v>
      </c>
      <c r="AP17" s="903">
        <f t="array" ref="AP17">SUM(IF(ISNUMBER(VALUE(RIGHT(AP23:AP171,1))),VALUE(RIGHT(AP23:AP171,1)),0))</f>
        <v>0</v>
      </c>
      <c r="AQ17" s="903">
        <f t="array" ref="AQ17">SUM(IF(ISNUMBER(VALUE(RIGHT(AQ23:AQ171,1))),VALUE(RIGHT(AQ23:AQ171,1)),0))</f>
        <v>0</v>
      </c>
      <c r="AR17" s="903">
        <f t="array" ref="AR17">SUM(IF(ISNUMBER(VALUE(RIGHT(AR23:AR171,1))),VALUE(RIGHT(AR23:AR171,1)),0))</f>
        <v>1</v>
      </c>
      <c r="AS17" s="903">
        <f t="array" ref="AS17">SUM(IF(ISNUMBER(VALUE(RIGHT(AS23:AS171,1))),VALUE(RIGHT(AS23:AS171,1)),0))</f>
        <v>1</v>
      </c>
      <c r="AT17" s="903">
        <f t="array" ref="AT17">SUM(IF(ISNUMBER(VALUE(RIGHT(AT23:AT171,1))),VALUE(RIGHT(AT23:AT171,1)),0))</f>
        <v>0</v>
      </c>
      <c r="AU17" s="903">
        <f t="array" ref="AU17">SUM(IF(ISNUMBER(VALUE(RIGHT(AU23:AU171,1))),VALUE(RIGHT(AU23:AU171,1)),0))</f>
        <v>1</v>
      </c>
      <c r="AV17" s="903">
        <f t="array" ref="AV17">SUM(IF(ISNUMBER(VALUE(RIGHT(AV23:AV171,1))),VALUE(RIGHT(AV23:AV171,1)),0))</f>
        <v>2</v>
      </c>
      <c r="AW17" s="903">
        <f t="array" ref="AW17">SUM(IF(ISNUMBER(VALUE(RIGHT(AW23:AW171,1))),VALUE(RIGHT(AW23:AW171,1)),0))</f>
        <v>3</v>
      </c>
      <c r="AX17" s="903">
        <f t="array" ref="AX17">SUM(IF(ISNUMBER(VALUE(RIGHT(AX23:AX171,1))),VALUE(RIGHT(AX23:AX171,1)),0))</f>
        <v>2</v>
      </c>
      <c r="AY17" s="903">
        <f t="array" ref="AY17">SUM(IF(ISNUMBER(VALUE(RIGHT(AY23:AY171,1))),VALUE(RIGHT(AY23:AY171,1)),0))</f>
        <v>1</v>
      </c>
      <c r="AZ17" s="903">
        <f t="array" ref="AZ17">SUM(IF(ISNUMBER(VALUE(RIGHT(AZ23:AZ171,1))),VALUE(RIGHT(AZ23:AZ171,1)),0))</f>
        <v>3</v>
      </c>
      <c r="BA17" s="903">
        <f t="array" ref="BA17">SUM(IF(ISNUMBER(VALUE(RIGHT(BA23:BA171,1))),VALUE(RIGHT(BA23:BA171,1)),0))</f>
        <v>1</v>
      </c>
      <c r="BB17" s="903">
        <f t="array" ref="BB17">SUM(IF(ISNUMBER(VALUE(RIGHT(BB23:BB171,1))),VALUE(RIGHT(BB23:BB171,1)),0))</f>
        <v>0</v>
      </c>
      <c r="BC17" s="903">
        <f t="array" ref="BC17">SUM(IF(ISNUMBER(VALUE(RIGHT(BC23:BC171,1))),VALUE(RIGHT(BC23:BC171,1)),0))</f>
        <v>0</v>
      </c>
      <c r="BD17" s="903">
        <f t="array" ref="BD17">SUM(IF(ISNUMBER(VALUE(RIGHT(BD23:BD171,1))),VALUE(RIGHT(BD23:BD171,1)),0))</f>
        <v>1</v>
      </c>
      <c r="BE17" s="903">
        <f t="array" ref="BE17">SUM(IF(ISNUMBER(VALUE(RIGHT(BE23:BE171,1))),VALUE(RIGHT(BE23:BE171,1)),0))</f>
        <v>2</v>
      </c>
      <c r="BF17" s="903">
        <f t="array" ref="BF17">SUM(IF(ISNUMBER(VALUE(RIGHT(BF23:BF171,1))),VALUE(RIGHT(BF23:BF171,1)),0))</f>
        <v>1</v>
      </c>
      <c r="BG17" s="903">
        <f t="array" ref="BG17">SUM(IF(ISNUMBER(VALUE(RIGHT(BG23:BG171,1))),VALUE(RIGHT(BG23:BG171,1)),0))</f>
        <v>2</v>
      </c>
      <c r="BH17" s="903">
        <f t="array" ref="BH17">SUM(IF(ISNUMBER(VALUE(RIGHT(BH23:BH171,1))),VALUE(RIGHT(BH23:BH171,1)),0))</f>
        <v>1</v>
      </c>
      <c r="BI17" s="903">
        <f t="array" ref="BI17">SUM(IF(ISNUMBER(VALUE(RIGHT(BI23:BI171,1))),VALUE(RIGHT(BI23:BI171,1)),0))</f>
        <v>10</v>
      </c>
      <c r="BJ17" s="903">
        <f t="array" ref="BJ17">SUM(IF(ISNUMBER(VALUE(RIGHT(BJ23:BJ171,1))),VALUE(RIGHT(BJ23:BJ171,1)),0))</f>
        <v>8</v>
      </c>
      <c r="BK17" s="903">
        <f t="array" ref="BK17">SUM(IF(ISNUMBER(VALUE(RIGHT(BK23:BK171,1))),VALUE(RIGHT(BK23:BK171,1)),0))</f>
        <v>0</v>
      </c>
      <c r="BL17" s="903">
        <f t="array" ref="BL17">SUM(IF(ISNUMBER(VALUE(RIGHT(BL23:BL171,1))),VALUE(RIGHT(BL23:BL171,1)),0))</f>
        <v>0</v>
      </c>
      <c r="BM17" s="903">
        <f t="array" ref="BM17">SUM(IF(ISNUMBER(VALUE(RIGHT(BM23:BM171,1))),VALUE(RIGHT(BM23:BM171,1)),0))</f>
        <v>1</v>
      </c>
      <c r="BN17" s="889"/>
      <c r="BO17" s="889"/>
      <c r="BP17" s="889"/>
      <c r="BQ17" s="889"/>
      <c r="BR17" s="889"/>
      <c r="BS17" s="889"/>
      <c r="BT17" s="889"/>
      <c r="BU17" s="889"/>
      <c r="BV17" s="889"/>
      <c r="BW17" s="889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AVERAGEIFS($Y$23:$Y$208,$H$23:$H$208,"H",$I$23:$I$208,Table!$C$1)</f>
        <v>3.7619047619047619</v>
      </c>
      <c r="S18" s="858">
        <f>AVERAGEIFS($Y$23:$Y$208,$H$23:$H$208,"A",$I$23:$I$208,Table!$C$1)</f>
        <v>3.3333333333333335</v>
      </c>
      <c r="AG18" s="885">
        <v>1</v>
      </c>
      <c r="AH18" s="885">
        <v>13</v>
      </c>
      <c r="AI18" s="885">
        <v>22</v>
      </c>
      <c r="AJ18" s="885">
        <v>29</v>
      </c>
      <c r="AK18" s="885">
        <v>40</v>
      </c>
      <c r="AL18" s="885">
        <v>4</v>
      </c>
      <c r="AM18" s="885">
        <v>6</v>
      </c>
      <c r="AN18" s="885">
        <v>21</v>
      </c>
      <c r="AO18" s="885">
        <v>23</v>
      </c>
      <c r="AP18" s="885">
        <v>31</v>
      </c>
      <c r="AQ18" s="885">
        <v>33</v>
      </c>
      <c r="AR18" s="885">
        <v>39</v>
      </c>
      <c r="AS18" s="885">
        <v>2</v>
      </c>
      <c r="AT18" s="885">
        <v>5</v>
      </c>
      <c r="AU18" s="885">
        <v>7</v>
      </c>
      <c r="AV18" s="885">
        <v>8</v>
      </c>
      <c r="AW18" s="885">
        <v>10</v>
      </c>
      <c r="AX18" s="885">
        <v>14</v>
      </c>
      <c r="AY18" s="885">
        <v>16</v>
      </c>
      <c r="AZ18" s="885">
        <v>17</v>
      </c>
      <c r="BA18" s="885">
        <v>25</v>
      </c>
      <c r="BB18" s="885">
        <v>26</v>
      </c>
      <c r="BC18" s="885">
        <v>28</v>
      </c>
      <c r="BD18" s="885">
        <v>19</v>
      </c>
      <c r="BE18" s="885">
        <v>27</v>
      </c>
      <c r="BF18" s="885">
        <v>11</v>
      </c>
      <c r="BG18" s="885">
        <v>3</v>
      </c>
      <c r="BH18" s="885">
        <v>20</v>
      </c>
      <c r="BI18" s="885">
        <v>24</v>
      </c>
      <c r="BJ18" s="885">
        <v>30</v>
      </c>
      <c r="BK18" s="885">
        <v>34</v>
      </c>
      <c r="BL18" s="885">
        <v>9</v>
      </c>
      <c r="BM18" s="885">
        <v>18</v>
      </c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AVERAGEIFS($Z$23:$Z$206,$H$23:$H$206,"H",$I$23:$I$206,Table!$C$1)</f>
        <v>4.2857142857142856</v>
      </c>
      <c r="S19" s="858">
        <f>AVERAGEIFS($Z$23:$Z$206,$H$23:$H$206,"A",$I$23:$I$206,Table!$C$1)</f>
        <v>4.3809523809523814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896</v>
      </c>
      <c r="AL19" s="901" t="s">
        <v>1984</v>
      </c>
      <c r="AM19" s="901" t="s">
        <v>1984</v>
      </c>
      <c r="AN19" s="901" t="s">
        <v>1986</v>
      </c>
      <c r="AO19" s="901" t="s">
        <v>1984</v>
      </c>
      <c r="AP19" s="901" t="s">
        <v>1984</v>
      </c>
      <c r="AQ19" s="901" t="s">
        <v>1984</v>
      </c>
      <c r="AR19" s="901" t="s">
        <v>1984</v>
      </c>
      <c r="AS19" s="901" t="s">
        <v>1993</v>
      </c>
      <c r="AT19" s="901" t="s">
        <v>1989</v>
      </c>
      <c r="AU19" s="901" t="s">
        <v>1990</v>
      </c>
      <c r="AV19" s="901" t="s">
        <v>1999</v>
      </c>
      <c r="AW19" s="901" t="s">
        <v>1999</v>
      </c>
      <c r="AX19" s="901" t="s">
        <v>1989</v>
      </c>
      <c r="AY19" s="901" t="s">
        <v>1999</v>
      </c>
      <c r="AZ19" s="901" t="s">
        <v>1991</v>
      </c>
      <c r="BA19" s="901" t="s">
        <v>2001</v>
      </c>
      <c r="BB19" s="901" t="s">
        <v>1993</v>
      </c>
      <c r="BC19" s="901" t="s">
        <v>2001</v>
      </c>
      <c r="BD19" s="901" t="s">
        <v>1991</v>
      </c>
      <c r="BE19" s="901" t="s">
        <v>1994</v>
      </c>
      <c r="BF19" s="901" t="s">
        <v>1992</v>
      </c>
      <c r="BG19" s="901" t="s">
        <v>2000</v>
      </c>
      <c r="BH19" s="901" t="s">
        <v>1994</v>
      </c>
      <c r="BI19" s="901" t="s">
        <v>1994</v>
      </c>
      <c r="BJ19" s="901" t="s">
        <v>1992</v>
      </c>
      <c r="BK19" s="901" t="s">
        <v>2002</v>
      </c>
      <c r="BL19" s="901" t="s">
        <v>1663</v>
      </c>
      <c r="BM19" s="901" t="s">
        <v>2002</v>
      </c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13</v>
      </c>
      <c r="G20" s="822" t="str">
        <f ca="1">MID(CELL("filename",A1),FIND("]",CELL("filename",A1))+1,LEN(CELL("filename",A1))-FIND("]",CELL("filename",A1)))</f>
        <v>Fagiano Okayama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1395</v>
      </c>
      <c r="AH20" s="887" t="s">
        <v>1396</v>
      </c>
      <c r="AI20" s="887" t="s">
        <v>1397</v>
      </c>
      <c r="AJ20" s="887" t="s">
        <v>1398</v>
      </c>
      <c r="AK20" s="887" t="s">
        <v>1891</v>
      </c>
      <c r="AL20" s="887" t="s">
        <v>2660</v>
      </c>
      <c r="AM20" s="887" t="s">
        <v>1399</v>
      </c>
      <c r="AN20" s="887" t="s">
        <v>1400</v>
      </c>
      <c r="AO20" s="887" t="s">
        <v>2329</v>
      </c>
      <c r="AP20" s="887" t="s">
        <v>1401</v>
      </c>
      <c r="AQ20" s="887" t="s">
        <v>2285</v>
      </c>
      <c r="AR20" s="887" t="s">
        <v>3460</v>
      </c>
      <c r="AS20" s="887" t="s">
        <v>2529</v>
      </c>
      <c r="AT20" s="887" t="s">
        <v>2646</v>
      </c>
      <c r="AU20" s="887" t="s">
        <v>2433</v>
      </c>
      <c r="AV20" s="887" t="s">
        <v>1402</v>
      </c>
      <c r="AW20" s="887" t="s">
        <v>1403</v>
      </c>
      <c r="AX20" s="887" t="s">
        <v>1404</v>
      </c>
      <c r="AY20" s="887" t="s">
        <v>1405</v>
      </c>
      <c r="AZ20" s="887" t="s">
        <v>1406</v>
      </c>
      <c r="BA20" s="887" t="s">
        <v>1892</v>
      </c>
      <c r="BB20" s="887" t="s">
        <v>2781</v>
      </c>
      <c r="BC20" s="887" t="s">
        <v>2783</v>
      </c>
      <c r="BD20" s="887" t="s">
        <v>3284</v>
      </c>
      <c r="BE20" s="887" t="s">
        <v>3144</v>
      </c>
      <c r="BF20" s="887" t="s">
        <v>1407</v>
      </c>
      <c r="BG20" s="887" t="s">
        <v>3385</v>
      </c>
      <c r="BH20" s="887" t="s">
        <v>2286</v>
      </c>
      <c r="BI20" s="887" t="s">
        <v>3054</v>
      </c>
      <c r="BJ20" s="887" t="s">
        <v>3108</v>
      </c>
      <c r="BK20" s="887" t="s">
        <v>1408</v>
      </c>
      <c r="BL20" s="887" t="s">
        <v>2870</v>
      </c>
      <c r="BM20" s="887" t="s">
        <v>3464</v>
      </c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1715</v>
      </c>
      <c r="AH21" s="886" t="s">
        <v>1246</v>
      </c>
      <c r="AI21" s="886" t="s">
        <v>1716</v>
      </c>
      <c r="AJ21" s="886" t="s">
        <v>907</v>
      </c>
      <c r="AK21" s="886" t="s">
        <v>1247</v>
      </c>
      <c r="AL21" s="886" t="s">
        <v>2661</v>
      </c>
      <c r="AM21" s="886" t="s">
        <v>1249</v>
      </c>
      <c r="AN21" s="886" t="s">
        <v>1717</v>
      </c>
      <c r="AO21" s="886" t="s">
        <v>2330</v>
      </c>
      <c r="AP21" s="886" t="s">
        <v>1250</v>
      </c>
      <c r="AQ21" s="886" t="s">
        <v>1251</v>
      </c>
      <c r="AR21" s="886" t="s">
        <v>1718</v>
      </c>
      <c r="AS21" s="886" t="s">
        <v>2288</v>
      </c>
      <c r="AT21" s="886" t="s">
        <v>2578</v>
      </c>
      <c r="AU21" s="886" t="s">
        <v>908</v>
      </c>
      <c r="AV21" s="886" t="s">
        <v>1719</v>
      </c>
      <c r="AW21" s="886" t="s">
        <v>1252</v>
      </c>
      <c r="AX21" s="886" t="s">
        <v>970</v>
      </c>
      <c r="AY21" s="886" t="s">
        <v>1253</v>
      </c>
      <c r="AZ21" s="886" t="s">
        <v>1720</v>
      </c>
      <c r="BA21" s="886" t="s">
        <v>1254</v>
      </c>
      <c r="BB21" s="886" t="s">
        <v>2782</v>
      </c>
      <c r="BC21" s="886" t="s">
        <v>2784</v>
      </c>
      <c r="BD21" s="886" t="s">
        <v>1256</v>
      </c>
      <c r="BE21" s="886" t="s">
        <v>1255</v>
      </c>
      <c r="BF21" s="886" t="s">
        <v>1721</v>
      </c>
      <c r="BG21" s="886" t="s">
        <v>1248</v>
      </c>
      <c r="BH21" s="886" t="s">
        <v>2287</v>
      </c>
      <c r="BI21" s="886" t="s">
        <v>3055</v>
      </c>
      <c r="BJ21" s="886" t="s">
        <v>1257</v>
      </c>
      <c r="BK21" s="886" t="s">
        <v>1258</v>
      </c>
      <c r="BL21" s="886" t="s">
        <v>3070</v>
      </c>
      <c r="BM21" s="886" t="s">
        <v>3093</v>
      </c>
      <c r="BN21" s="886" t="s">
        <v>1974</v>
      </c>
      <c r="CB21" s="888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O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3</v>
      </c>
      <c r="G23" s="879" t="s">
        <v>1085</v>
      </c>
      <c r="H23" s="879" t="s">
        <v>18</v>
      </c>
      <c r="I23" s="879" t="s">
        <v>891</v>
      </c>
      <c r="J23" s="846">
        <v>0</v>
      </c>
      <c r="K23" s="846">
        <v>2</v>
      </c>
      <c r="L23" s="816" t="str">
        <f>IF(J23="","",IF(J23&gt;K23,"W",IF(J23=K23,"D",IF(J23&lt;K23,"L"))))</f>
        <v>L</v>
      </c>
      <c r="M23" s="816">
        <f>IF(J23="","",J23+K23)</f>
        <v>2</v>
      </c>
      <c r="N23" s="816" t="str">
        <f>IF($J23="","",IF($M23&gt;N$19,"O",IF($M23&lt;N$19,"U",IF($M23=N$19,"-"))))</f>
        <v>U</v>
      </c>
      <c r="O23" s="816">
        <f t="shared" ref="O23:O58" si="20">IF(Q23="","",IF(SIGN(Q23)&lt;&gt;1,VLOOKUP(ABS(Q23),SUP_HDC,3,TRUE),-VLOOKUP(ABS(Q23),SUP_HDC,3,TRUE)))</f>
        <v>0.25</v>
      </c>
      <c r="P23" s="829">
        <f>IF(O23="","",IF((J23-K23+O23)&gt;=0.5,1,IF((J23-K23+O23)=0.25,0.5,IF((J23-K23+O23)&lt;=-0.5,-1,IF((J23-K23+O23)=-0.25,-0.5,0)))))</f>
        <v>-1</v>
      </c>
      <c r="Q23" s="830">
        <v>-0.4</v>
      </c>
      <c r="R23" s="871">
        <f>IF(ISBLANK(Q23),"",J23-K23-Q23)</f>
        <v>-1.6</v>
      </c>
      <c r="S23" s="830">
        <v>2.4700000000000002</v>
      </c>
      <c r="T23" s="871">
        <f>IF(ISBLANK(S23),"",J23+K23-S23)</f>
        <v>-0.4700000000000002</v>
      </c>
      <c r="U23" s="868">
        <f>IF(Q23="","",(Q23+S23)/2)</f>
        <v>1.0350000000000001</v>
      </c>
      <c r="V23" s="868">
        <f>IF(Q23="","",S23-U23)</f>
        <v>1.4350000000000001</v>
      </c>
      <c r="W23" s="816">
        <v>10</v>
      </c>
      <c r="X23" s="816">
        <v>13</v>
      </c>
      <c r="Y23" s="829">
        <v>2</v>
      </c>
      <c r="Z23" s="829">
        <v>5</v>
      </c>
      <c r="AA23" s="829">
        <v>48</v>
      </c>
      <c r="AB23" s="829">
        <v>52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1877</v>
      </c>
      <c r="AH23" s="891" t="s">
        <v>34</v>
      </c>
      <c r="AI23" s="891" t="s">
        <v>32</v>
      </c>
      <c r="AJ23" s="891" t="s">
        <v>32</v>
      </c>
      <c r="AK23" s="891" t="s">
        <v>32</v>
      </c>
      <c r="AL23" s="891" t="s">
        <v>32</v>
      </c>
      <c r="AM23" s="891" t="s">
        <v>36</v>
      </c>
      <c r="AN23" s="891" t="s">
        <v>34</v>
      </c>
      <c r="AO23" s="891" t="s">
        <v>2004</v>
      </c>
      <c r="AP23" s="891" t="s">
        <v>32</v>
      </c>
      <c r="AQ23" s="891" t="s">
        <v>2005</v>
      </c>
      <c r="AR23" s="891" t="s">
        <v>34</v>
      </c>
      <c r="AS23" s="891" t="s">
        <v>35</v>
      </c>
      <c r="AT23" s="891" t="s">
        <v>35</v>
      </c>
      <c r="AU23" s="891" t="s">
        <v>34</v>
      </c>
      <c r="AV23" s="891" t="s">
        <v>36</v>
      </c>
      <c r="AW23" s="891" t="s">
        <v>36</v>
      </c>
      <c r="AX23" s="891" t="s">
        <v>34</v>
      </c>
      <c r="AY23" s="891" t="s">
        <v>34</v>
      </c>
      <c r="AZ23" s="891" t="s">
        <v>34</v>
      </c>
      <c r="BA23" s="891" t="s">
        <v>32</v>
      </c>
      <c r="BB23" s="891" t="s">
        <v>1877</v>
      </c>
      <c r="BD23" s="891" t="s">
        <v>1886</v>
      </c>
      <c r="BE23" s="891" t="s">
        <v>32</v>
      </c>
      <c r="BF23" s="891" t="s">
        <v>1877</v>
      </c>
      <c r="BG23" s="891" t="s">
        <v>1877</v>
      </c>
      <c r="BH23" s="891" t="s">
        <v>35</v>
      </c>
      <c r="BI23" s="891" t="s">
        <v>1886</v>
      </c>
      <c r="BJ23" s="891" t="s">
        <v>34</v>
      </c>
      <c r="BK23" s="891"/>
      <c r="BL23" s="910"/>
      <c r="BM23" s="910"/>
      <c r="BN23" s="891"/>
      <c r="BO23" s="891"/>
      <c r="BQ23" s="891"/>
      <c r="BR23" s="891"/>
      <c r="BS23" s="891"/>
      <c r="BT23" s="891"/>
      <c r="BU23" s="891"/>
      <c r="BV23" s="891"/>
      <c r="BW23" s="891"/>
      <c r="BX23" s="891"/>
      <c r="BY23" s="891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21</v>
      </c>
      <c r="G24" s="879" t="s">
        <v>890</v>
      </c>
      <c r="H24" s="879" t="s">
        <v>22</v>
      </c>
      <c r="I24" s="879" t="s">
        <v>891</v>
      </c>
      <c r="J24" s="846">
        <v>1</v>
      </c>
      <c r="K24" s="846">
        <v>1</v>
      </c>
      <c r="L24" s="816" t="str">
        <f>IF(J24="","",IF(J24&gt;K24,"W",IF(J24=K24,"D",IF(J24&lt;K24,"L"))))</f>
        <v>D</v>
      </c>
      <c r="M24" s="816">
        <f>IF(J24="","",J24+K24)</f>
        <v>2</v>
      </c>
      <c r="N24" s="816" t="str">
        <f t="shared" ref="N24:N30" si="21">IF($J24="","",IF($M24&gt;N$19,"O",IF($M24&lt;N$19,"U",IF($M24=N$19,"-"))))</f>
        <v>U</v>
      </c>
      <c r="O24" s="816">
        <f t="shared" si="20"/>
        <v>-0.25</v>
      </c>
      <c r="P24" s="829">
        <f t="shared" ref="P24:P58" si="22">IF(O24="","",IF((J24-K24+O24)&gt;=0.5,1,IF((J24-K24+O24)=0.25,0.5,IF((J24-K24+O24)&lt;=-0.5,-1,IF((J24-K24+O24)=-0.25,-0.5,0)))))</f>
        <v>-0.5</v>
      </c>
      <c r="Q24" s="830">
        <v>0.34</v>
      </c>
      <c r="R24" s="871">
        <f t="shared" ref="R24:R66" si="23">IF(ISBLANK(Q24),"",J24-K24-Q24)</f>
        <v>-0.34</v>
      </c>
      <c r="S24" s="830">
        <v>2.14</v>
      </c>
      <c r="T24" s="871">
        <f t="shared" ref="T24:T66" si="24">IF(ISBLANK(S24),"",J24+K24-S24)</f>
        <v>-0.14000000000000012</v>
      </c>
      <c r="U24" s="868">
        <f t="shared" ref="U24:U58" si="25">IF(Q24="","",(Q24+S24)/2)</f>
        <v>1.24</v>
      </c>
      <c r="V24" s="868">
        <f t="shared" ref="V24:V58" si="26">IF(Q24="","",S24-U24)</f>
        <v>0.90000000000000013</v>
      </c>
      <c r="W24" s="829">
        <v>11</v>
      </c>
      <c r="X24" s="829">
        <v>6</v>
      </c>
      <c r="Y24" s="829">
        <v>2</v>
      </c>
      <c r="Z24" s="829">
        <v>4</v>
      </c>
      <c r="AA24" s="829">
        <v>50</v>
      </c>
      <c r="AB24" s="829">
        <v>50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1877</v>
      </c>
      <c r="AH24" s="891" t="s">
        <v>34</v>
      </c>
      <c r="AI24" s="891" t="s">
        <v>32</v>
      </c>
      <c r="AJ24" s="891" t="s">
        <v>32</v>
      </c>
      <c r="AK24" s="891" t="s">
        <v>32</v>
      </c>
      <c r="AL24" s="891" t="s">
        <v>32</v>
      </c>
      <c r="AM24" s="891" t="s">
        <v>1877</v>
      </c>
      <c r="AN24" s="891" t="s">
        <v>34</v>
      </c>
      <c r="AO24" s="891" t="s">
        <v>2004</v>
      </c>
      <c r="AP24" s="891" t="s">
        <v>32</v>
      </c>
      <c r="AQ24" s="891" t="s">
        <v>2005</v>
      </c>
      <c r="AR24" s="891" t="s">
        <v>34</v>
      </c>
      <c r="AS24" s="891" t="s">
        <v>34</v>
      </c>
      <c r="AT24" s="891" t="s">
        <v>35</v>
      </c>
      <c r="AU24" s="891" t="s">
        <v>34</v>
      </c>
      <c r="AV24" s="891" t="s">
        <v>32</v>
      </c>
      <c r="AW24" s="891" t="s">
        <v>35</v>
      </c>
      <c r="AX24" s="891" t="s">
        <v>34</v>
      </c>
      <c r="AY24" s="891" t="s">
        <v>36</v>
      </c>
      <c r="AZ24" s="891" t="s">
        <v>34</v>
      </c>
      <c r="BA24" s="891" t="s">
        <v>32</v>
      </c>
      <c r="BB24" s="891" t="s">
        <v>1877</v>
      </c>
      <c r="BD24" s="891" t="s">
        <v>1954</v>
      </c>
      <c r="BE24" s="891" t="s">
        <v>36</v>
      </c>
      <c r="BF24" s="891" t="s">
        <v>36</v>
      </c>
      <c r="BG24" s="891" t="s">
        <v>1877</v>
      </c>
      <c r="BH24" s="891" t="s">
        <v>34</v>
      </c>
      <c r="BI24" s="891" t="s">
        <v>1955</v>
      </c>
      <c r="BJ24" s="891" t="s">
        <v>1956</v>
      </c>
      <c r="BK24" s="891"/>
      <c r="BL24" s="910"/>
      <c r="BM24" s="910"/>
      <c r="BN24" s="891"/>
      <c r="BO24" s="891"/>
      <c r="BQ24" s="891"/>
      <c r="BR24" s="891"/>
      <c r="BS24" s="891"/>
      <c r="BT24" s="891"/>
      <c r="BU24" s="891"/>
      <c r="BV24" s="891"/>
      <c r="BW24" s="891"/>
      <c r="BX24" s="891"/>
      <c r="BY24" s="891"/>
      <c r="BZ24" s="896"/>
      <c r="CA24" s="896"/>
      <c r="CB24" s="896"/>
      <c r="CC24" s="896"/>
      <c r="CD24" s="896"/>
      <c r="CE24" s="428"/>
      <c r="CF24" s="428"/>
      <c r="CG24" s="428"/>
      <c r="CH24" s="428"/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</row>
    <row r="25" spans="1:115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16</v>
      </c>
      <c r="G25" s="879" t="s">
        <v>872</v>
      </c>
      <c r="H25" s="879" t="s">
        <v>18</v>
      </c>
      <c r="I25" s="879" t="s">
        <v>891</v>
      </c>
      <c r="J25" s="846">
        <v>1</v>
      </c>
      <c r="K25" s="846">
        <v>1</v>
      </c>
      <c r="L25" s="816" t="str">
        <f>IF(J25="","",IF(J25&gt;K25,"W",IF(J25=K25,"D",IF(J25&lt;K25,"L"))))</f>
        <v>D</v>
      </c>
      <c r="M25" s="816">
        <f>IF(J25="","",J25+K25)</f>
        <v>2</v>
      </c>
      <c r="N25" s="816" t="str">
        <f t="shared" si="21"/>
        <v>U</v>
      </c>
      <c r="O25" s="816">
        <f t="shared" si="20"/>
        <v>0.25</v>
      </c>
      <c r="P25" s="829">
        <f t="shared" si="22"/>
        <v>0.5</v>
      </c>
      <c r="Q25" s="830">
        <v>-0.22</v>
      </c>
      <c r="R25" s="871">
        <f t="shared" si="23"/>
        <v>0.22</v>
      </c>
      <c r="S25" s="830">
        <v>2.23</v>
      </c>
      <c r="T25" s="871">
        <f t="shared" si="24"/>
        <v>-0.22999999999999998</v>
      </c>
      <c r="U25" s="868">
        <f t="shared" si="25"/>
        <v>1.0049999999999999</v>
      </c>
      <c r="V25" s="868">
        <f t="shared" si="26"/>
        <v>1.2250000000000001</v>
      </c>
      <c r="W25" s="829">
        <v>7</v>
      </c>
      <c r="X25" s="829">
        <v>11</v>
      </c>
      <c r="Y25" s="829">
        <v>0</v>
      </c>
      <c r="Z25" s="829">
        <v>4</v>
      </c>
      <c r="AA25" s="829">
        <v>46</v>
      </c>
      <c r="AB25" s="829">
        <v>54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32</v>
      </c>
      <c r="AH25" s="891" t="s">
        <v>34</v>
      </c>
      <c r="AI25" s="891" t="s">
        <v>32</v>
      </c>
      <c r="AJ25" s="891" t="s">
        <v>32</v>
      </c>
      <c r="AK25" s="891" t="s">
        <v>32</v>
      </c>
      <c r="AL25" s="891" t="s">
        <v>32</v>
      </c>
      <c r="AM25" s="891" t="s">
        <v>1877</v>
      </c>
      <c r="AN25" s="891" t="s">
        <v>34</v>
      </c>
      <c r="AO25" s="891" t="s">
        <v>2004</v>
      </c>
      <c r="AP25" s="891" t="s">
        <v>32</v>
      </c>
      <c r="AQ25" s="891" t="s">
        <v>2005</v>
      </c>
      <c r="AR25" s="891" t="s">
        <v>34</v>
      </c>
      <c r="AS25" s="891" t="s">
        <v>34</v>
      </c>
      <c r="AT25" s="904" t="s">
        <v>34</v>
      </c>
      <c r="AU25" s="891" t="s">
        <v>35</v>
      </c>
      <c r="AV25" s="891" t="s">
        <v>36</v>
      </c>
      <c r="AW25" s="891" t="s">
        <v>36</v>
      </c>
      <c r="AX25" s="891" t="s">
        <v>34</v>
      </c>
      <c r="AY25" s="891" t="s">
        <v>34</v>
      </c>
      <c r="AZ25" s="904" t="s">
        <v>34</v>
      </c>
      <c r="BA25" s="891" t="s">
        <v>32</v>
      </c>
      <c r="BB25" s="891" t="s">
        <v>2006</v>
      </c>
      <c r="BD25" s="891" t="s">
        <v>1886</v>
      </c>
      <c r="BE25" s="891" t="s">
        <v>1877</v>
      </c>
      <c r="BF25" s="891" t="s">
        <v>1877</v>
      </c>
      <c r="BG25" s="891" t="s">
        <v>1877</v>
      </c>
      <c r="BH25" s="891" t="s">
        <v>34</v>
      </c>
      <c r="BI25" s="891" t="s">
        <v>1886</v>
      </c>
      <c r="BJ25" s="891" t="s">
        <v>35</v>
      </c>
      <c r="BK25" s="891"/>
      <c r="BL25" s="910"/>
      <c r="BM25" s="910"/>
      <c r="BN25" s="891">
        <v>1</v>
      </c>
      <c r="BO25" s="891"/>
      <c r="BQ25" s="891"/>
      <c r="BR25" s="891"/>
      <c r="BS25" s="891"/>
      <c r="BT25" s="891"/>
      <c r="BU25" s="891"/>
      <c r="BV25" s="891"/>
      <c r="BW25" s="891"/>
      <c r="BX25" s="891"/>
      <c r="BY25" s="891"/>
      <c r="BZ25" s="896"/>
      <c r="CA25" s="896"/>
      <c r="CB25" s="896"/>
      <c r="CC25" s="896"/>
      <c r="CD25" s="896"/>
      <c r="CE25" s="428"/>
      <c r="CF25" s="428"/>
      <c r="CG25" s="428"/>
      <c r="CH25" s="428"/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12</v>
      </c>
      <c r="G26" s="879" t="s">
        <v>879</v>
      </c>
      <c r="H26" s="879" t="s">
        <v>22</v>
      </c>
      <c r="I26" s="879" t="s">
        <v>891</v>
      </c>
      <c r="J26" s="846">
        <v>2</v>
      </c>
      <c r="K26" s="846">
        <v>1</v>
      </c>
      <c r="L26" s="816" t="str">
        <f t="shared" ref="L26:L30" si="27">IF(J26="","",IF(J26&gt;K26,"W",IF(J26=K26,"D",IF(J26&lt;K26,"L"))))</f>
        <v>W</v>
      </c>
      <c r="M26" s="816">
        <f t="shared" ref="M26:M30" si="28">IF(J26="","",J26+K26)</f>
        <v>3</v>
      </c>
      <c r="N26" s="816" t="str">
        <f t="shared" si="21"/>
        <v>O</v>
      </c>
      <c r="O26" s="816">
        <f t="shared" si="20"/>
        <v>0</v>
      </c>
      <c r="P26" s="829">
        <f t="shared" si="22"/>
        <v>1</v>
      </c>
      <c r="Q26" s="830">
        <v>0.01</v>
      </c>
      <c r="R26" s="871">
        <f t="shared" si="23"/>
        <v>0.99</v>
      </c>
      <c r="S26" s="830">
        <v>2.16</v>
      </c>
      <c r="T26" s="871">
        <f t="shared" si="24"/>
        <v>0.83999999999999986</v>
      </c>
      <c r="U26" s="868">
        <f t="shared" si="25"/>
        <v>1.085</v>
      </c>
      <c r="V26" s="868">
        <f t="shared" si="26"/>
        <v>1.0750000000000002</v>
      </c>
      <c r="W26" s="829">
        <v>12</v>
      </c>
      <c r="X26" s="829">
        <v>9</v>
      </c>
      <c r="Y26" s="829">
        <v>2</v>
      </c>
      <c r="Z26" s="829">
        <v>2</v>
      </c>
      <c r="AA26" s="829">
        <v>50</v>
      </c>
      <c r="AB26" s="829">
        <v>50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32</v>
      </c>
      <c r="AH26" s="891" t="s">
        <v>1877</v>
      </c>
      <c r="AI26" s="891" t="s">
        <v>34</v>
      </c>
      <c r="AJ26" s="891" t="s">
        <v>32</v>
      </c>
      <c r="AK26" s="891" t="s">
        <v>32</v>
      </c>
      <c r="AL26" s="891" t="s">
        <v>1877</v>
      </c>
      <c r="AM26" s="891" t="s">
        <v>1877</v>
      </c>
      <c r="AN26" s="891" t="s">
        <v>34</v>
      </c>
      <c r="AO26" s="891" t="s">
        <v>1884</v>
      </c>
      <c r="AP26" s="891" t="s">
        <v>32</v>
      </c>
      <c r="AQ26" s="891" t="s">
        <v>2103</v>
      </c>
      <c r="AR26" s="904" t="s">
        <v>34</v>
      </c>
      <c r="AS26" s="891" t="s">
        <v>1877</v>
      </c>
      <c r="AT26" s="891" t="s">
        <v>35</v>
      </c>
      <c r="AU26" s="891" t="s">
        <v>34</v>
      </c>
      <c r="AV26" s="891" t="s">
        <v>32</v>
      </c>
      <c r="AW26" s="891" t="s">
        <v>36</v>
      </c>
      <c r="AX26" s="891" t="s">
        <v>34</v>
      </c>
      <c r="AY26" s="891" t="s">
        <v>34</v>
      </c>
      <c r="AZ26" s="904" t="s">
        <v>34</v>
      </c>
      <c r="BA26" s="891" t="s">
        <v>32</v>
      </c>
      <c r="BB26" s="891" t="s">
        <v>1886</v>
      </c>
      <c r="BC26" s="891" t="s">
        <v>1886</v>
      </c>
      <c r="BD26" s="891" t="s">
        <v>1886</v>
      </c>
      <c r="BE26" s="891" t="s">
        <v>32</v>
      </c>
      <c r="BF26" s="891" t="s">
        <v>36</v>
      </c>
      <c r="BG26" s="891" t="s">
        <v>34</v>
      </c>
      <c r="BH26" s="891" t="s">
        <v>35</v>
      </c>
      <c r="BI26" s="891" t="s">
        <v>2104</v>
      </c>
      <c r="BJ26" s="891" t="s">
        <v>35</v>
      </c>
      <c r="BK26" s="891"/>
      <c r="BL26" s="910"/>
      <c r="BM26" s="910"/>
      <c r="BN26" s="891"/>
      <c r="BO26" s="891"/>
      <c r="BP26" s="891"/>
      <c r="BQ26" s="891"/>
      <c r="BR26" s="891"/>
      <c r="BS26" s="891"/>
      <c r="BT26" s="891"/>
      <c r="BU26" s="891"/>
      <c r="BV26" s="891"/>
      <c r="BW26" s="891"/>
      <c r="BX26" s="891"/>
      <c r="BY26" s="891"/>
      <c r="BZ26" s="896"/>
      <c r="CA26" s="896"/>
      <c r="CB26" s="896"/>
      <c r="CC26" s="896"/>
      <c r="CD26" s="896"/>
      <c r="CE26" s="4"/>
      <c r="CF26" s="4"/>
      <c r="CG26" s="4"/>
      <c r="CH26" s="4"/>
      <c r="CI26" s="4" t="s">
        <v>32</v>
      </c>
      <c r="CJ26" s="4" t="s">
        <v>32</v>
      </c>
      <c r="CK26" s="4" t="s">
        <v>32</v>
      </c>
      <c r="CL26" s="6" t="s">
        <v>32</v>
      </c>
      <c r="CM26" s="6" t="s">
        <v>32</v>
      </c>
      <c r="CN26" s="6" t="s">
        <v>32</v>
      </c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0"/>
    </row>
    <row r="27" spans="1:115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22</v>
      </c>
      <c r="G27" s="879" t="s">
        <v>1087</v>
      </c>
      <c r="H27" s="879" t="s">
        <v>18</v>
      </c>
      <c r="I27" s="879" t="s">
        <v>891</v>
      </c>
      <c r="J27" s="846">
        <v>2</v>
      </c>
      <c r="K27" s="846">
        <v>1</v>
      </c>
      <c r="L27" s="816" t="str">
        <f t="shared" si="27"/>
        <v>W</v>
      </c>
      <c r="M27" s="816">
        <f t="shared" si="28"/>
        <v>3</v>
      </c>
      <c r="N27" s="816" t="str">
        <f t="shared" si="21"/>
        <v>O</v>
      </c>
      <c r="O27" s="816">
        <f t="shared" si="20"/>
        <v>-0.25</v>
      </c>
      <c r="P27" s="829">
        <f t="shared" si="22"/>
        <v>1</v>
      </c>
      <c r="Q27" s="830">
        <v>0.38</v>
      </c>
      <c r="R27" s="871">
        <f t="shared" si="23"/>
        <v>0.62</v>
      </c>
      <c r="S27" s="830">
        <v>2.38</v>
      </c>
      <c r="T27" s="871">
        <f t="shared" si="24"/>
        <v>0.62000000000000011</v>
      </c>
      <c r="U27" s="868">
        <f t="shared" si="25"/>
        <v>1.38</v>
      </c>
      <c r="V27" s="868">
        <f t="shared" si="26"/>
        <v>1</v>
      </c>
      <c r="W27" s="829">
        <v>12</v>
      </c>
      <c r="X27" s="829">
        <v>11</v>
      </c>
      <c r="Y27" s="829">
        <v>2</v>
      </c>
      <c r="Z27" s="829">
        <v>3</v>
      </c>
      <c r="AA27" s="829">
        <v>44</v>
      </c>
      <c r="AB27" s="829">
        <v>56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 t="s">
        <v>1877</v>
      </c>
      <c r="AH27" s="891" t="s">
        <v>32</v>
      </c>
      <c r="AI27" s="891" t="s">
        <v>34</v>
      </c>
      <c r="AJ27" s="891" t="s">
        <v>32</v>
      </c>
      <c r="AK27" s="891" t="s">
        <v>32</v>
      </c>
      <c r="AL27" s="891" t="s">
        <v>32</v>
      </c>
      <c r="AM27" s="891" t="s">
        <v>1877</v>
      </c>
      <c r="AN27" s="891" t="s">
        <v>34</v>
      </c>
      <c r="AO27" s="891" t="s">
        <v>1884</v>
      </c>
      <c r="AP27" s="891" t="s">
        <v>32</v>
      </c>
      <c r="AQ27" s="891" t="s">
        <v>1886</v>
      </c>
      <c r="AR27" s="904" t="s">
        <v>34</v>
      </c>
      <c r="AS27" s="891" t="s">
        <v>36</v>
      </c>
      <c r="AT27" s="891" t="s">
        <v>35</v>
      </c>
      <c r="AU27" s="904" t="s">
        <v>34</v>
      </c>
      <c r="AV27" s="891" t="s">
        <v>1877</v>
      </c>
      <c r="AW27" s="891" t="s">
        <v>36</v>
      </c>
      <c r="AX27" s="891" t="s">
        <v>34</v>
      </c>
      <c r="AY27" s="891" t="s">
        <v>34</v>
      </c>
      <c r="AZ27" s="891" t="s">
        <v>34</v>
      </c>
      <c r="BA27" s="891" t="s">
        <v>32</v>
      </c>
      <c r="BB27" s="891" t="s">
        <v>1886</v>
      </c>
      <c r="BC27" s="891" t="s">
        <v>1886</v>
      </c>
      <c r="BD27" s="891" t="s">
        <v>1886</v>
      </c>
      <c r="BE27" s="891" t="s">
        <v>32</v>
      </c>
      <c r="BF27" s="891" t="s">
        <v>1877</v>
      </c>
      <c r="BG27" s="891" t="s">
        <v>34</v>
      </c>
      <c r="BH27" s="891" t="s">
        <v>35</v>
      </c>
      <c r="BI27" s="906" t="s">
        <v>2134</v>
      </c>
      <c r="BJ27" s="891" t="s">
        <v>2135</v>
      </c>
      <c r="BK27" s="891"/>
      <c r="BL27" s="910"/>
      <c r="BM27" s="910"/>
      <c r="BN27" s="891"/>
      <c r="BO27" s="891"/>
      <c r="BP27" s="891"/>
      <c r="BQ27" s="891"/>
      <c r="BR27" s="891"/>
      <c r="BS27" s="891"/>
      <c r="BT27" s="891"/>
      <c r="BU27" s="891"/>
      <c r="BV27" s="891"/>
      <c r="BW27" s="891"/>
      <c r="BX27" s="891"/>
      <c r="BY27" s="891"/>
      <c r="BZ27" s="896"/>
      <c r="CA27" s="896"/>
      <c r="CB27" s="896"/>
      <c r="CC27" s="896"/>
      <c r="CD27" s="896"/>
      <c r="CE27" s="865"/>
      <c r="CF27" s="865"/>
      <c r="CG27" s="865"/>
      <c r="CH27" s="865"/>
      <c r="CI27" s="865" t="s">
        <v>32</v>
      </c>
      <c r="CJ27" s="865" t="s">
        <v>32</v>
      </c>
      <c r="CK27" s="865" t="s">
        <v>32</v>
      </c>
      <c r="CL27" s="4" t="s">
        <v>32</v>
      </c>
      <c r="CM27" s="6" t="s">
        <v>32</v>
      </c>
      <c r="CN27" s="6" t="s">
        <v>32</v>
      </c>
      <c r="CO27" s="6" t="s">
        <v>32</v>
      </c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5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5</v>
      </c>
      <c r="G28" s="879" t="s">
        <v>889</v>
      </c>
      <c r="H28" s="879" t="s">
        <v>22</v>
      </c>
      <c r="I28" s="879" t="s">
        <v>891</v>
      </c>
      <c r="J28" s="846">
        <v>0</v>
      </c>
      <c r="K28" s="846">
        <v>1</v>
      </c>
      <c r="L28" s="816" t="str">
        <f t="shared" si="27"/>
        <v>L</v>
      </c>
      <c r="M28" s="816">
        <f t="shared" si="28"/>
        <v>1</v>
      </c>
      <c r="N28" s="816" t="str">
        <f t="shared" si="21"/>
        <v>U</v>
      </c>
      <c r="O28" s="816">
        <f t="shared" si="20"/>
        <v>0</v>
      </c>
      <c r="P28" s="829">
        <f t="shared" si="22"/>
        <v>-1</v>
      </c>
      <c r="Q28" s="830">
        <v>0.06</v>
      </c>
      <c r="R28" s="871">
        <f t="shared" si="23"/>
        <v>-1.06</v>
      </c>
      <c r="S28" s="830">
        <v>2.31</v>
      </c>
      <c r="T28" s="871">
        <f t="shared" si="24"/>
        <v>-1.31</v>
      </c>
      <c r="U28" s="868">
        <f t="shared" si="25"/>
        <v>1.1850000000000001</v>
      </c>
      <c r="V28" s="868">
        <f t="shared" si="26"/>
        <v>1.125</v>
      </c>
      <c r="W28" s="829">
        <v>15</v>
      </c>
      <c r="X28" s="829">
        <v>12</v>
      </c>
      <c r="Y28" s="829">
        <v>4</v>
      </c>
      <c r="Z28" s="829">
        <v>5</v>
      </c>
      <c r="AA28" s="829">
        <v>47</v>
      </c>
      <c r="AB28" s="829">
        <v>53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1877</v>
      </c>
      <c r="AH28" s="891" t="s">
        <v>32</v>
      </c>
      <c r="AI28" s="891" t="s">
        <v>34</v>
      </c>
      <c r="AJ28" s="891" t="s">
        <v>32</v>
      </c>
      <c r="AK28" s="891" t="s">
        <v>32</v>
      </c>
      <c r="AL28" s="891" t="s">
        <v>32</v>
      </c>
      <c r="AM28" s="891" t="s">
        <v>34</v>
      </c>
      <c r="AN28" s="891" t="s">
        <v>1877</v>
      </c>
      <c r="AO28" s="891" t="s">
        <v>1884</v>
      </c>
      <c r="AP28" s="891" t="s">
        <v>1877</v>
      </c>
      <c r="AQ28" s="891" t="s">
        <v>1886</v>
      </c>
      <c r="AR28" s="891" t="s">
        <v>34</v>
      </c>
      <c r="AS28" s="891" t="s">
        <v>34</v>
      </c>
      <c r="AT28" s="891" t="s">
        <v>32</v>
      </c>
      <c r="AU28" s="891" t="s">
        <v>35</v>
      </c>
      <c r="AV28" s="891" t="s">
        <v>36</v>
      </c>
      <c r="AW28" s="891" t="s">
        <v>35</v>
      </c>
      <c r="AX28" s="904" t="s">
        <v>34</v>
      </c>
      <c r="AY28" s="891" t="s">
        <v>34</v>
      </c>
      <c r="AZ28" s="891" t="s">
        <v>34</v>
      </c>
      <c r="BA28" s="891" t="s">
        <v>32</v>
      </c>
      <c r="BB28" s="891" t="s">
        <v>1886</v>
      </c>
      <c r="BC28" s="891" t="s">
        <v>1886</v>
      </c>
      <c r="BD28" s="891" t="s">
        <v>34</v>
      </c>
      <c r="BE28" s="891" t="s">
        <v>35</v>
      </c>
      <c r="BF28" s="891" t="s">
        <v>36</v>
      </c>
      <c r="BG28" s="891" t="s">
        <v>1877</v>
      </c>
      <c r="BH28" s="891" t="s">
        <v>1886</v>
      </c>
      <c r="BI28" s="891" t="s">
        <v>1886</v>
      </c>
      <c r="BJ28" s="891" t="s">
        <v>36</v>
      </c>
      <c r="BK28" s="891"/>
      <c r="BL28" s="910"/>
      <c r="BM28" s="910"/>
      <c r="BN28" s="891"/>
      <c r="BO28" s="891"/>
      <c r="BP28" s="891"/>
      <c r="BQ28" s="891"/>
      <c r="BR28" s="891"/>
      <c r="BS28" s="891"/>
      <c r="BT28" s="891"/>
      <c r="BU28" s="891"/>
      <c r="BV28" s="891"/>
      <c r="BW28" s="891"/>
      <c r="BX28" s="891"/>
      <c r="BY28" s="891"/>
      <c r="BZ28" s="896"/>
      <c r="CA28" s="896"/>
      <c r="CB28" s="896"/>
      <c r="CC28" s="896"/>
      <c r="CD28" s="896"/>
      <c r="CE28" s="4"/>
      <c r="CF28" s="4"/>
      <c r="CG28" s="4"/>
      <c r="CH28" s="4"/>
      <c r="CI28" s="4" t="s">
        <v>32</v>
      </c>
      <c r="CJ28" s="4" t="s">
        <v>32</v>
      </c>
      <c r="CK28" s="4" t="s">
        <v>32</v>
      </c>
      <c r="CL28" s="4" t="s">
        <v>32</v>
      </c>
      <c r="CM28" s="6" t="s">
        <v>32</v>
      </c>
      <c r="CN28" s="6" t="s">
        <v>32</v>
      </c>
      <c r="CO28" s="6" t="s">
        <v>32</v>
      </c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</row>
    <row r="29" spans="1:115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17</v>
      </c>
      <c r="G29" s="879" t="s">
        <v>875</v>
      </c>
      <c r="H29" s="879" t="s">
        <v>22</v>
      </c>
      <c r="I29" s="879" t="s">
        <v>891</v>
      </c>
      <c r="J29" s="846">
        <v>0</v>
      </c>
      <c r="K29" s="846">
        <v>1</v>
      </c>
      <c r="L29" s="816" t="str">
        <f t="shared" si="27"/>
        <v>L</v>
      </c>
      <c r="M29" s="816">
        <f t="shared" si="28"/>
        <v>1</v>
      </c>
      <c r="N29" s="816" t="str">
        <f t="shared" si="21"/>
        <v>U</v>
      </c>
      <c r="O29" s="816">
        <f t="shared" si="20"/>
        <v>0</v>
      </c>
      <c r="P29" s="829">
        <f t="shared" si="22"/>
        <v>-1</v>
      </c>
      <c r="Q29" s="830">
        <v>0.08</v>
      </c>
      <c r="R29" s="871">
        <f t="shared" si="23"/>
        <v>-1.08</v>
      </c>
      <c r="S29" s="830">
        <v>2.1800000000000002</v>
      </c>
      <c r="T29" s="871">
        <f t="shared" si="24"/>
        <v>-1.1800000000000002</v>
      </c>
      <c r="U29" s="868">
        <f t="shared" si="25"/>
        <v>1.1300000000000001</v>
      </c>
      <c r="V29" s="868">
        <f t="shared" si="26"/>
        <v>1.05</v>
      </c>
      <c r="W29" s="829">
        <v>10</v>
      </c>
      <c r="X29" s="829">
        <v>10</v>
      </c>
      <c r="Y29" s="829">
        <v>1</v>
      </c>
      <c r="Z29" s="829">
        <v>6</v>
      </c>
      <c r="AA29" s="829">
        <v>51</v>
      </c>
      <c r="AB29" s="829">
        <v>49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32</v>
      </c>
      <c r="AH29" s="891" t="s">
        <v>1877</v>
      </c>
      <c r="AI29" s="891" t="s">
        <v>34</v>
      </c>
      <c r="AJ29" s="891" t="s">
        <v>32</v>
      </c>
      <c r="AK29" s="891" t="s">
        <v>32</v>
      </c>
      <c r="AL29" s="891" t="s">
        <v>32</v>
      </c>
      <c r="AM29" s="891" t="s">
        <v>1877</v>
      </c>
      <c r="AN29" s="891" t="s">
        <v>34</v>
      </c>
      <c r="AO29" s="891" t="s">
        <v>1884</v>
      </c>
      <c r="AP29" s="891" t="s">
        <v>1877</v>
      </c>
      <c r="AQ29" s="891" t="s">
        <v>1886</v>
      </c>
      <c r="AR29" s="891" t="s">
        <v>34</v>
      </c>
      <c r="AS29" s="891" t="s">
        <v>2199</v>
      </c>
      <c r="AT29" s="891" t="s">
        <v>34</v>
      </c>
      <c r="AU29" s="891" t="s">
        <v>35</v>
      </c>
      <c r="AV29" s="891" t="s">
        <v>1877</v>
      </c>
      <c r="AW29" s="891" t="s">
        <v>36</v>
      </c>
      <c r="AX29" s="891" t="s">
        <v>34</v>
      </c>
      <c r="AY29" s="891" t="s">
        <v>34</v>
      </c>
      <c r="AZ29" s="891" t="s">
        <v>35</v>
      </c>
      <c r="BA29" s="891" t="s">
        <v>32</v>
      </c>
      <c r="BB29" s="891" t="s">
        <v>1886</v>
      </c>
      <c r="BC29" s="891" t="s">
        <v>1886</v>
      </c>
      <c r="BD29" s="904" t="s">
        <v>34</v>
      </c>
      <c r="BE29" s="891" t="s">
        <v>35</v>
      </c>
      <c r="BF29" s="891" t="s">
        <v>36</v>
      </c>
      <c r="BG29" s="891" t="s">
        <v>34</v>
      </c>
      <c r="BH29" s="891" t="s">
        <v>2200</v>
      </c>
      <c r="BI29" s="891" t="s">
        <v>2201</v>
      </c>
      <c r="BJ29" s="891" t="s">
        <v>36</v>
      </c>
      <c r="BK29" s="891"/>
      <c r="BL29" s="910"/>
      <c r="BM29" s="910"/>
      <c r="BN29" s="891"/>
      <c r="BO29" s="891"/>
      <c r="BP29" s="891"/>
      <c r="BQ29" s="891"/>
      <c r="BR29" s="891"/>
      <c r="BS29" s="891"/>
      <c r="BT29" s="891"/>
      <c r="BU29" s="891"/>
      <c r="BV29" s="891"/>
      <c r="BW29" s="891"/>
      <c r="BX29" s="891"/>
      <c r="BY29" s="891"/>
      <c r="BZ29" s="896"/>
      <c r="CA29" s="896"/>
      <c r="CB29" s="896"/>
      <c r="CC29" s="896"/>
      <c r="CD29" s="891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</row>
    <row r="30" spans="1:115" ht="15">
      <c r="A30" s="882">
        <v>6316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19</v>
      </c>
      <c r="G30" s="879" t="s">
        <v>885</v>
      </c>
      <c r="H30" s="879" t="s">
        <v>18</v>
      </c>
      <c r="I30" s="879" t="s">
        <v>891</v>
      </c>
      <c r="J30" s="846">
        <v>1</v>
      </c>
      <c r="K30" s="846">
        <v>1</v>
      </c>
      <c r="L30" s="816" t="str">
        <f t="shared" si="27"/>
        <v>D</v>
      </c>
      <c r="M30" s="816">
        <f t="shared" si="28"/>
        <v>2</v>
      </c>
      <c r="N30" s="816" t="str">
        <f t="shared" si="21"/>
        <v>U</v>
      </c>
      <c r="O30" s="816">
        <f t="shared" si="20"/>
        <v>0</v>
      </c>
      <c r="P30" s="829">
        <f t="shared" si="22"/>
        <v>0</v>
      </c>
      <c r="Q30" s="830">
        <v>0.03</v>
      </c>
      <c r="R30" s="871">
        <f t="shared" si="23"/>
        <v>-0.03</v>
      </c>
      <c r="S30" s="830">
        <v>2.27</v>
      </c>
      <c r="T30" s="871">
        <f t="shared" si="24"/>
        <v>-0.27</v>
      </c>
      <c r="U30" s="868">
        <f t="shared" si="25"/>
        <v>1.1499999999999999</v>
      </c>
      <c r="V30" s="868">
        <f t="shared" si="26"/>
        <v>1.1200000000000001</v>
      </c>
      <c r="W30" s="829">
        <v>9</v>
      </c>
      <c r="X30" s="829">
        <v>16</v>
      </c>
      <c r="Y30" s="829">
        <v>3</v>
      </c>
      <c r="Z30" s="829">
        <v>5</v>
      </c>
      <c r="AA30" s="829">
        <v>50</v>
      </c>
      <c r="AB30" s="829">
        <v>50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32</v>
      </c>
      <c r="AH30" s="891" t="s">
        <v>34</v>
      </c>
      <c r="AI30" s="891" t="s">
        <v>1877</v>
      </c>
      <c r="AJ30" s="891" t="s">
        <v>32</v>
      </c>
      <c r="AK30" s="891" t="s">
        <v>32</v>
      </c>
      <c r="AL30" s="891" t="s">
        <v>36</v>
      </c>
      <c r="AM30" s="891" t="s">
        <v>1877</v>
      </c>
      <c r="AN30" s="891" t="s">
        <v>34</v>
      </c>
      <c r="AO30" s="891" t="s">
        <v>1884</v>
      </c>
      <c r="AP30" s="891" t="s">
        <v>32</v>
      </c>
      <c r="AQ30" s="891" t="s">
        <v>32</v>
      </c>
      <c r="AR30" s="891" t="s">
        <v>34</v>
      </c>
      <c r="AS30" s="891" t="s">
        <v>1886</v>
      </c>
      <c r="AT30" s="891" t="s">
        <v>34</v>
      </c>
      <c r="AU30" s="891" t="s">
        <v>2247</v>
      </c>
      <c r="AV30" s="891" t="s">
        <v>32</v>
      </c>
      <c r="AW30" s="891" t="s">
        <v>32</v>
      </c>
      <c r="AX30" s="891" t="s">
        <v>35</v>
      </c>
      <c r="AY30" s="891" t="s">
        <v>34</v>
      </c>
      <c r="AZ30" s="891" t="s">
        <v>34</v>
      </c>
      <c r="BA30" s="891" t="s">
        <v>32</v>
      </c>
      <c r="BB30" s="891" t="s">
        <v>1877</v>
      </c>
      <c r="BC30" s="891" t="s">
        <v>1886</v>
      </c>
      <c r="BD30" s="904" t="s">
        <v>34</v>
      </c>
      <c r="BE30" s="891" t="s">
        <v>35</v>
      </c>
      <c r="BF30" s="891" t="s">
        <v>36</v>
      </c>
      <c r="BG30" s="904" t="s">
        <v>34</v>
      </c>
      <c r="BH30" s="891" t="s">
        <v>1877</v>
      </c>
      <c r="BI30" s="891" t="s">
        <v>1886</v>
      </c>
      <c r="BJ30" s="891" t="s">
        <v>36</v>
      </c>
      <c r="BK30" s="891"/>
      <c r="BL30" s="910"/>
      <c r="BM30" s="910"/>
      <c r="BN30" s="891"/>
      <c r="BO30" s="891"/>
      <c r="BP30" s="891"/>
      <c r="BQ30" s="891"/>
      <c r="BR30" s="891"/>
      <c r="BS30" s="891"/>
      <c r="BT30" s="891"/>
      <c r="BU30" s="891"/>
      <c r="BV30" s="891"/>
      <c r="BW30" s="891"/>
      <c r="BX30" s="891"/>
      <c r="BY30" s="891"/>
      <c r="BZ30" s="891"/>
      <c r="CA30" s="891"/>
      <c r="CB30" s="891"/>
      <c r="CC30" s="891"/>
      <c r="CD30" s="891"/>
      <c r="CE30" s="428"/>
      <c r="CF30" s="428"/>
      <c r="CG30" s="428"/>
      <c r="CH30" s="428"/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</row>
    <row r="31" spans="1:115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11</v>
      </c>
      <c r="G31" s="879" t="s">
        <v>874</v>
      </c>
      <c r="H31" s="879" t="s">
        <v>22</v>
      </c>
      <c r="I31" s="879" t="s">
        <v>891</v>
      </c>
      <c r="J31" s="846">
        <v>2</v>
      </c>
      <c r="K31" s="846">
        <v>1</v>
      </c>
      <c r="L31" s="816" t="str">
        <f>IF(J31="","",IF(J31&gt;K31,"W",IF(J31=K31,"D",IF(J31&lt;K31,"L"))))</f>
        <v>W</v>
      </c>
      <c r="M31" s="816">
        <f>IF(J31="","",J31+K31)</f>
        <v>3</v>
      </c>
      <c r="N31" s="816" t="str">
        <f>IF($J31="","",IF($M31&gt;N$19,"O",IF($M31&lt;N$19,"U",IF($M31=N$19,"-"))))</f>
        <v>O</v>
      </c>
      <c r="O31" s="816">
        <f t="shared" si="20"/>
        <v>0</v>
      </c>
      <c r="P31" s="829">
        <f t="shared" si="22"/>
        <v>1</v>
      </c>
      <c r="Q31" s="830">
        <v>0.01</v>
      </c>
      <c r="R31" s="871">
        <f t="shared" si="23"/>
        <v>0.99</v>
      </c>
      <c r="S31" s="830">
        <v>2.08</v>
      </c>
      <c r="T31" s="871">
        <f t="shared" si="24"/>
        <v>0.91999999999999993</v>
      </c>
      <c r="U31" s="868">
        <f t="shared" si="25"/>
        <v>1.0449999999999999</v>
      </c>
      <c r="V31" s="868">
        <f t="shared" si="26"/>
        <v>1.0350000000000001</v>
      </c>
      <c r="W31" s="829">
        <v>9</v>
      </c>
      <c r="X31" s="829">
        <v>16</v>
      </c>
      <c r="Y31" s="829">
        <v>3</v>
      </c>
      <c r="Z31" s="829">
        <v>3</v>
      </c>
      <c r="AA31" s="829">
        <v>35</v>
      </c>
      <c r="AB31" s="829">
        <v>65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32</v>
      </c>
      <c r="AH31" s="891" t="s">
        <v>34</v>
      </c>
      <c r="AI31" s="891" t="s">
        <v>1877</v>
      </c>
      <c r="AJ31" s="891" t="s">
        <v>32</v>
      </c>
      <c r="AK31" s="891" t="s">
        <v>32</v>
      </c>
      <c r="AL31" s="891" t="s">
        <v>32</v>
      </c>
      <c r="AM31" s="891" t="s">
        <v>36</v>
      </c>
      <c r="AN31" s="891" t="s">
        <v>34</v>
      </c>
      <c r="AO31" s="891" t="s">
        <v>1884</v>
      </c>
      <c r="AP31" s="891" t="s">
        <v>32</v>
      </c>
      <c r="AQ31" s="891" t="s">
        <v>1877</v>
      </c>
      <c r="AR31" s="891" t="s">
        <v>34</v>
      </c>
      <c r="AS31" s="891" t="s">
        <v>2318</v>
      </c>
      <c r="AT31" s="891" t="s">
        <v>35</v>
      </c>
      <c r="AU31" s="891" t="s">
        <v>35</v>
      </c>
      <c r="AV31" s="891" t="s">
        <v>32</v>
      </c>
      <c r="AW31" s="891" t="s">
        <v>32</v>
      </c>
      <c r="AX31" s="891" t="s">
        <v>2302</v>
      </c>
      <c r="AY31" s="891" t="s">
        <v>34</v>
      </c>
      <c r="AZ31" s="891" t="s">
        <v>34</v>
      </c>
      <c r="BA31" s="891" t="s">
        <v>32</v>
      </c>
      <c r="BB31" s="891" t="s">
        <v>1877</v>
      </c>
      <c r="BC31" s="891" t="s">
        <v>1886</v>
      </c>
      <c r="BD31" s="891" t="s">
        <v>34</v>
      </c>
      <c r="BE31" s="891" t="s">
        <v>36</v>
      </c>
      <c r="BF31" s="891" t="s">
        <v>36</v>
      </c>
      <c r="BG31" s="891" t="s">
        <v>34</v>
      </c>
      <c r="BH31" s="891" t="s">
        <v>35</v>
      </c>
      <c r="BI31" s="891" t="s">
        <v>1886</v>
      </c>
      <c r="BJ31" s="891" t="s">
        <v>1877</v>
      </c>
      <c r="BK31" s="891"/>
      <c r="BL31" s="910"/>
      <c r="BM31" s="910"/>
      <c r="BN31" s="891">
        <v>1</v>
      </c>
      <c r="BO31" s="891"/>
      <c r="BP31" s="891"/>
      <c r="BQ31" s="891"/>
      <c r="BR31" s="891"/>
      <c r="BS31" s="891"/>
      <c r="BT31" s="891"/>
      <c r="BU31" s="891"/>
      <c r="BV31" s="891"/>
      <c r="BW31" s="891"/>
      <c r="BX31" s="891"/>
      <c r="BY31" s="891"/>
      <c r="BZ31" s="896"/>
      <c r="CA31" s="896"/>
      <c r="CB31" s="896"/>
      <c r="CC31" s="896"/>
      <c r="CD31" s="896"/>
      <c r="CE31" s="428"/>
      <c r="CF31" s="428"/>
      <c r="CG31" s="428"/>
      <c r="CH31" s="428"/>
      <c r="CI31" s="230" t="s">
        <v>32</v>
      </c>
      <c r="CJ31" s="230" t="s">
        <v>32</v>
      </c>
      <c r="CK31" s="230" t="s">
        <v>32</v>
      </c>
      <c r="CL31" s="230" t="s">
        <v>32</v>
      </c>
      <c r="CM31" s="230" t="s">
        <v>32</v>
      </c>
      <c r="CN31" s="230" t="s">
        <v>32</v>
      </c>
      <c r="CO31" s="230" t="s">
        <v>32</v>
      </c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</v>
      </c>
      <c r="G32" s="879" t="s">
        <v>1086</v>
      </c>
      <c r="H32" s="879" t="s">
        <v>22</v>
      </c>
      <c r="I32" s="879" t="s">
        <v>891</v>
      </c>
      <c r="J32" s="846">
        <v>0</v>
      </c>
      <c r="K32" s="846">
        <v>2</v>
      </c>
      <c r="L32" s="816" t="str">
        <f>IF(J32="","",IF(J32&gt;K32,"W",IF(J32=K32,"D",IF(J32&lt;K32,"L"))))</f>
        <v>L</v>
      </c>
      <c r="M32" s="816">
        <f>IF(J32="","",J32+K32)</f>
        <v>2</v>
      </c>
      <c r="N32" s="816" t="str">
        <f>IF($J32="","",IF($M32&gt;N$19,"O",IF($M32&lt;N$19,"U",IF($M32=N$19,"-"))))</f>
        <v>U</v>
      </c>
      <c r="O32" s="816">
        <f t="shared" si="20"/>
        <v>0.25</v>
      </c>
      <c r="P32" s="829">
        <f t="shared" si="22"/>
        <v>-1</v>
      </c>
      <c r="Q32" s="830">
        <v>-0.2</v>
      </c>
      <c r="R32" s="871">
        <f t="shared" si="23"/>
        <v>-1.8</v>
      </c>
      <c r="S32" s="830">
        <v>2.35</v>
      </c>
      <c r="T32" s="871">
        <f t="shared" si="24"/>
        <v>-0.35000000000000009</v>
      </c>
      <c r="U32" s="868">
        <f t="shared" si="25"/>
        <v>1.075</v>
      </c>
      <c r="V32" s="868">
        <f t="shared" si="26"/>
        <v>1.2750000000000001</v>
      </c>
      <c r="W32" s="829">
        <v>6</v>
      </c>
      <c r="X32" s="829">
        <v>15</v>
      </c>
      <c r="Y32" s="829">
        <v>1</v>
      </c>
      <c r="Z32" s="829">
        <v>5</v>
      </c>
      <c r="AA32" s="829">
        <v>49</v>
      </c>
      <c r="AB32" s="829">
        <v>51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/>
      <c r="AH32" s="891" t="s">
        <v>2332</v>
      </c>
      <c r="AI32" s="891" t="s">
        <v>2349</v>
      </c>
      <c r="AJ32" s="891"/>
      <c r="AK32" s="891"/>
      <c r="AL32" s="891" t="s">
        <v>2349</v>
      </c>
      <c r="AM32" s="891"/>
      <c r="AN32" s="891" t="s">
        <v>871</v>
      </c>
      <c r="AO32" s="891" t="s">
        <v>2004</v>
      </c>
      <c r="AP32" s="891"/>
      <c r="AQ32" s="891"/>
      <c r="AR32" s="904" t="s">
        <v>2332</v>
      </c>
      <c r="AS32" s="891" t="s">
        <v>2349</v>
      </c>
      <c r="AT32" s="891" t="s">
        <v>2332</v>
      </c>
      <c r="AU32" s="891" t="s">
        <v>2401</v>
      </c>
      <c r="AV32" s="891" t="s">
        <v>2349</v>
      </c>
      <c r="AW32" s="891" t="s">
        <v>2348</v>
      </c>
      <c r="AX32" s="891" t="s">
        <v>2332</v>
      </c>
      <c r="AY32" s="891" t="s">
        <v>2332</v>
      </c>
      <c r="AZ32" s="891" t="s">
        <v>2332</v>
      </c>
      <c r="BA32" s="891"/>
      <c r="BB32" s="891" t="s">
        <v>2348</v>
      </c>
      <c r="BC32" s="891" t="s">
        <v>1886</v>
      </c>
      <c r="BD32" s="891" t="s">
        <v>2332</v>
      </c>
      <c r="BE32" s="891" t="s">
        <v>871</v>
      </c>
      <c r="BF32" s="891" t="s">
        <v>2348</v>
      </c>
      <c r="BG32" s="891" t="s">
        <v>2332</v>
      </c>
      <c r="BH32" s="891" t="s">
        <v>871</v>
      </c>
      <c r="BI32" s="891" t="s">
        <v>2331</v>
      </c>
      <c r="BJ32" s="891"/>
      <c r="BK32" s="891"/>
      <c r="BL32" s="910"/>
      <c r="BM32" s="910"/>
      <c r="BN32" s="891"/>
      <c r="BO32" s="891"/>
      <c r="BP32" s="891"/>
      <c r="BQ32" s="891"/>
      <c r="BR32" s="891"/>
      <c r="BS32" s="891"/>
      <c r="BT32" s="891"/>
      <c r="BU32" s="891"/>
      <c r="BV32" s="891"/>
      <c r="BW32" s="891"/>
      <c r="BX32" s="891"/>
      <c r="BY32" s="891"/>
      <c r="BZ32" s="896"/>
      <c r="CA32" s="896"/>
      <c r="CB32" s="896"/>
      <c r="CC32" s="896"/>
      <c r="CD32" s="896"/>
      <c r="CE32" s="428"/>
      <c r="CF32" s="428"/>
      <c r="CG32" s="428"/>
      <c r="CH32" s="428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2</v>
      </c>
      <c r="G33" s="879" t="s">
        <v>886</v>
      </c>
      <c r="H33" s="879" t="s">
        <v>18</v>
      </c>
      <c r="I33" s="879" t="s">
        <v>891</v>
      </c>
      <c r="J33" s="846">
        <v>0</v>
      </c>
      <c r="K33" s="846">
        <v>3</v>
      </c>
      <c r="L33" s="816" t="str">
        <f t="shared" ref="L33:L66" si="29">IF(J33="","",IF(J33&gt;K33,"W",IF(J33=K33,"D",IF(J33&lt;K33,"L"))))</f>
        <v>L</v>
      </c>
      <c r="M33" s="816">
        <f t="shared" ref="M33:M66" si="30">IF(J33="","",J33+K33)</f>
        <v>3</v>
      </c>
      <c r="N33" s="816" t="str">
        <f t="shared" ref="N33:N66" si="31">IF($J33="","",IF($M33&gt;N$19,"O",IF($M33&lt;N$19,"U",IF($M33=N$19,"-"))))</f>
        <v>O</v>
      </c>
      <c r="O33" s="816">
        <f t="shared" si="20"/>
        <v>0.25</v>
      </c>
      <c r="P33" s="829">
        <f t="shared" si="22"/>
        <v>-1</v>
      </c>
      <c r="Q33" s="830">
        <v>-0.23</v>
      </c>
      <c r="R33" s="871">
        <f t="shared" si="23"/>
        <v>-2.77</v>
      </c>
      <c r="S33" s="830">
        <v>2.13</v>
      </c>
      <c r="T33" s="871">
        <f t="shared" si="24"/>
        <v>0.87000000000000011</v>
      </c>
      <c r="U33" s="868">
        <f t="shared" si="25"/>
        <v>0.95</v>
      </c>
      <c r="V33" s="868">
        <f t="shared" si="26"/>
        <v>1.18</v>
      </c>
      <c r="W33" s="829">
        <v>10</v>
      </c>
      <c r="X33" s="829">
        <v>14</v>
      </c>
      <c r="Y33" s="829">
        <v>1</v>
      </c>
      <c r="Z33" s="829">
        <v>6</v>
      </c>
      <c r="AA33" s="829">
        <v>65</v>
      </c>
      <c r="AB33" s="829">
        <v>35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/>
      <c r="AH33" s="891" t="s">
        <v>1877</v>
      </c>
      <c r="AI33" s="891" t="s">
        <v>34</v>
      </c>
      <c r="AJ33" s="891" t="s">
        <v>32</v>
      </c>
      <c r="AK33" s="891" t="s">
        <v>32</v>
      </c>
      <c r="AL33" s="891" t="s">
        <v>1877</v>
      </c>
      <c r="AM33" s="891" t="s">
        <v>32</v>
      </c>
      <c r="AN33" s="891" t="s">
        <v>35</v>
      </c>
      <c r="AO33" s="891" t="s">
        <v>1884</v>
      </c>
      <c r="AP33" s="891" t="s">
        <v>32</v>
      </c>
      <c r="AQ33" s="891" t="s">
        <v>32</v>
      </c>
      <c r="AR33" s="891" t="s">
        <v>34</v>
      </c>
      <c r="AS33" s="891" t="s">
        <v>1877</v>
      </c>
      <c r="AT33" s="904" t="s">
        <v>35</v>
      </c>
      <c r="AU33" s="891" t="s">
        <v>1886</v>
      </c>
      <c r="AV33" s="891" t="s">
        <v>36</v>
      </c>
      <c r="AW33" s="891" t="s">
        <v>34</v>
      </c>
      <c r="AX33" s="891" t="s">
        <v>34</v>
      </c>
      <c r="AY33" s="891" t="s">
        <v>34</v>
      </c>
      <c r="AZ33" s="891" t="s">
        <v>35</v>
      </c>
      <c r="BA33" s="891" t="s">
        <v>32</v>
      </c>
      <c r="BB33" s="891" t="s">
        <v>36</v>
      </c>
      <c r="BC33" s="891" t="s">
        <v>1886</v>
      </c>
      <c r="BD33" s="891" t="s">
        <v>34</v>
      </c>
      <c r="BE33" s="891" t="s">
        <v>34</v>
      </c>
      <c r="BF33" s="891" t="s">
        <v>36</v>
      </c>
      <c r="BG33" s="891" t="s">
        <v>34</v>
      </c>
      <c r="BH33" s="891" t="s">
        <v>1877</v>
      </c>
      <c r="BI33" s="891" t="s">
        <v>1885</v>
      </c>
      <c r="BJ33" s="891"/>
      <c r="BK33" s="891"/>
      <c r="BL33" s="910"/>
      <c r="BM33" s="910"/>
      <c r="BN33" s="891"/>
      <c r="BO33" s="891"/>
      <c r="BP33" s="891"/>
      <c r="BQ33" s="891"/>
      <c r="BR33" s="891"/>
      <c r="BS33" s="891"/>
      <c r="BT33" s="891"/>
      <c r="BU33" s="891"/>
      <c r="BV33" s="891"/>
      <c r="BW33" s="891"/>
      <c r="BX33" s="891"/>
      <c r="BY33" s="891"/>
      <c r="BZ33" s="896"/>
      <c r="CA33" s="896"/>
      <c r="CB33" s="896"/>
      <c r="CC33" s="896"/>
      <c r="CD33" s="896"/>
      <c r="CE33" s="428"/>
      <c r="CF33" s="428"/>
      <c r="CG33" s="428"/>
      <c r="CH33" s="428"/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7</v>
      </c>
      <c r="G34" s="879" t="s">
        <v>888</v>
      </c>
      <c r="H34" s="879" t="s">
        <v>22</v>
      </c>
      <c r="I34" s="879" t="s">
        <v>891</v>
      </c>
      <c r="J34" s="846">
        <v>3</v>
      </c>
      <c r="K34" s="846">
        <v>2</v>
      </c>
      <c r="L34" s="816" t="str">
        <f t="shared" si="29"/>
        <v>W</v>
      </c>
      <c r="M34" s="816">
        <f t="shared" si="30"/>
        <v>5</v>
      </c>
      <c r="N34" s="816" t="str">
        <f t="shared" si="31"/>
        <v>O</v>
      </c>
      <c r="O34" s="816">
        <f t="shared" si="20"/>
        <v>0.25</v>
      </c>
      <c r="P34" s="829">
        <f t="shared" si="22"/>
        <v>1</v>
      </c>
      <c r="Q34" s="830">
        <v>-0.14000000000000001</v>
      </c>
      <c r="R34" s="871">
        <f t="shared" si="23"/>
        <v>1.1400000000000001</v>
      </c>
      <c r="S34" s="830">
        <v>2.2999999999999998</v>
      </c>
      <c r="T34" s="871">
        <f t="shared" si="24"/>
        <v>2.7</v>
      </c>
      <c r="U34" s="868">
        <f t="shared" si="25"/>
        <v>1.0799999999999998</v>
      </c>
      <c r="V34" s="868">
        <f t="shared" si="26"/>
        <v>1.22</v>
      </c>
      <c r="W34" s="829">
        <v>13</v>
      </c>
      <c r="X34" s="829">
        <v>18</v>
      </c>
      <c r="Y34" s="829">
        <v>4</v>
      </c>
      <c r="Z34" s="829">
        <v>3</v>
      </c>
      <c r="AA34" s="829">
        <v>38</v>
      </c>
      <c r="AB34" s="829">
        <v>62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32</v>
      </c>
      <c r="AH34" s="891" t="s">
        <v>1877</v>
      </c>
      <c r="AI34" s="891" t="s">
        <v>34</v>
      </c>
      <c r="AJ34" s="891" t="s">
        <v>32</v>
      </c>
      <c r="AK34" s="891" t="s">
        <v>32</v>
      </c>
      <c r="AL34" s="891" t="s">
        <v>1877</v>
      </c>
      <c r="AM34" s="891" t="s">
        <v>32</v>
      </c>
      <c r="AN34" s="891" t="s">
        <v>35</v>
      </c>
      <c r="AO34" s="891" t="s">
        <v>1884</v>
      </c>
      <c r="AP34" s="891" t="s">
        <v>32</v>
      </c>
      <c r="AQ34" s="891" t="s">
        <v>32</v>
      </c>
      <c r="AR34" s="891" t="s">
        <v>34</v>
      </c>
      <c r="AS34" s="891" t="s">
        <v>1877</v>
      </c>
      <c r="AT34" s="891" t="s">
        <v>1877</v>
      </c>
      <c r="AU34" s="891" t="s">
        <v>1886</v>
      </c>
      <c r="AV34" s="891" t="s">
        <v>34</v>
      </c>
      <c r="AW34" s="891" t="s">
        <v>35</v>
      </c>
      <c r="AX34" s="904" t="s">
        <v>34</v>
      </c>
      <c r="AY34" s="891" t="s">
        <v>34</v>
      </c>
      <c r="AZ34" s="891" t="s">
        <v>34</v>
      </c>
      <c r="BA34" s="891" t="s">
        <v>32</v>
      </c>
      <c r="BB34" s="891" t="s">
        <v>36</v>
      </c>
      <c r="BC34" s="891" t="s">
        <v>1886</v>
      </c>
      <c r="BD34" s="891" t="s">
        <v>32</v>
      </c>
      <c r="BE34" s="891" t="s">
        <v>2441</v>
      </c>
      <c r="BF34" s="891" t="s">
        <v>36</v>
      </c>
      <c r="BG34" s="891" t="s">
        <v>34</v>
      </c>
      <c r="BH34" s="891" t="s">
        <v>2442</v>
      </c>
      <c r="BI34" s="891" t="s">
        <v>1885</v>
      </c>
      <c r="BJ34" s="904" t="s">
        <v>2440</v>
      </c>
      <c r="BK34" s="891"/>
      <c r="BL34" s="910"/>
      <c r="BM34" s="910"/>
      <c r="BN34" s="891"/>
      <c r="BO34" s="891"/>
      <c r="BP34" s="891"/>
      <c r="BQ34" s="891"/>
      <c r="BR34" s="891"/>
      <c r="BS34" s="891"/>
      <c r="BT34" s="891"/>
      <c r="BU34" s="891"/>
      <c r="BV34" s="891"/>
      <c r="BW34" s="891"/>
      <c r="BX34" s="891"/>
      <c r="BY34" s="891"/>
      <c r="BZ34" s="896"/>
      <c r="CA34" s="896"/>
      <c r="CB34" s="896"/>
      <c r="CC34" s="896"/>
      <c r="CD34" s="896"/>
      <c r="CE34" s="428"/>
      <c r="CF34" s="428"/>
      <c r="CG34" s="428"/>
      <c r="CH34" s="428"/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4</v>
      </c>
      <c r="G35" s="879" t="s">
        <v>1084</v>
      </c>
      <c r="H35" s="879" t="s">
        <v>18</v>
      </c>
      <c r="I35" s="879" t="s">
        <v>891</v>
      </c>
      <c r="J35" s="846">
        <v>0</v>
      </c>
      <c r="K35" s="846">
        <v>1</v>
      </c>
      <c r="L35" s="816" t="str">
        <f t="shared" si="29"/>
        <v>L</v>
      </c>
      <c r="M35" s="816">
        <f t="shared" si="30"/>
        <v>1</v>
      </c>
      <c r="N35" s="816" t="str">
        <f t="shared" si="31"/>
        <v>U</v>
      </c>
      <c r="O35" s="816">
        <f t="shared" si="20"/>
        <v>0.5</v>
      </c>
      <c r="P35" s="829">
        <f t="shared" si="22"/>
        <v>-1</v>
      </c>
      <c r="Q35" s="830">
        <v>-0.56999999999999995</v>
      </c>
      <c r="R35" s="871">
        <f t="shared" si="23"/>
        <v>-0.43000000000000005</v>
      </c>
      <c r="S35" s="830">
        <v>2.33</v>
      </c>
      <c r="T35" s="871">
        <f t="shared" si="24"/>
        <v>-1.33</v>
      </c>
      <c r="U35" s="868">
        <f t="shared" si="25"/>
        <v>0.88000000000000012</v>
      </c>
      <c r="V35" s="868">
        <f t="shared" si="26"/>
        <v>1.45</v>
      </c>
      <c r="W35" s="829">
        <v>5</v>
      </c>
      <c r="X35" s="829">
        <v>26</v>
      </c>
      <c r="Y35" s="829">
        <v>0</v>
      </c>
      <c r="Z35" s="829">
        <v>6</v>
      </c>
      <c r="AA35" s="829">
        <v>45</v>
      </c>
      <c r="AB35" s="829">
        <v>55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32</v>
      </c>
      <c r="AH35" s="891" t="s">
        <v>1877</v>
      </c>
      <c r="AI35" s="891" t="s">
        <v>34</v>
      </c>
      <c r="AJ35" s="891" t="s">
        <v>32</v>
      </c>
      <c r="AK35" s="891" t="s">
        <v>32</v>
      </c>
      <c r="AL35" s="891" t="s">
        <v>1877</v>
      </c>
      <c r="AM35" s="891" t="s">
        <v>1886</v>
      </c>
      <c r="AN35" s="891" t="s">
        <v>34</v>
      </c>
      <c r="AO35" s="891" t="s">
        <v>32</v>
      </c>
      <c r="AP35" s="891" t="s">
        <v>32</v>
      </c>
      <c r="AQ35" s="891" t="s">
        <v>32</v>
      </c>
      <c r="AR35" s="904" t="s">
        <v>34</v>
      </c>
      <c r="AS35" s="891" t="s">
        <v>1877</v>
      </c>
      <c r="AT35" s="891" t="s">
        <v>36</v>
      </c>
      <c r="AU35" s="891" t="s">
        <v>1886</v>
      </c>
      <c r="AV35" s="891" t="s">
        <v>34</v>
      </c>
      <c r="AW35" s="891" t="s">
        <v>35</v>
      </c>
      <c r="AX35" s="891" t="s">
        <v>34</v>
      </c>
      <c r="AY35" s="891" t="s">
        <v>35</v>
      </c>
      <c r="AZ35" s="891" t="s">
        <v>34</v>
      </c>
      <c r="BA35" s="891" t="s">
        <v>32</v>
      </c>
      <c r="BB35" s="891" t="s">
        <v>1877</v>
      </c>
      <c r="BC35" s="891" t="s">
        <v>1886</v>
      </c>
      <c r="BD35" s="891" t="s">
        <v>32</v>
      </c>
      <c r="BE35" s="891" t="s">
        <v>34</v>
      </c>
      <c r="BF35" s="891" t="s">
        <v>36</v>
      </c>
      <c r="BG35" s="904" t="s">
        <v>34</v>
      </c>
      <c r="BH35" s="891" t="s">
        <v>36</v>
      </c>
      <c r="BI35" s="891" t="s">
        <v>1885</v>
      </c>
      <c r="BJ35" s="891" t="s">
        <v>35</v>
      </c>
      <c r="BK35" s="891"/>
      <c r="BL35" s="910"/>
      <c r="BM35" s="910"/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6"/>
      <c r="CA35" s="896"/>
      <c r="CB35" s="896"/>
      <c r="CC35" s="896"/>
      <c r="CD35" s="896"/>
      <c r="CE35" s="428"/>
      <c r="CF35" s="428"/>
      <c r="CG35" s="428"/>
      <c r="CH35" s="428"/>
      <c r="CL35" s="4" t="s">
        <v>32</v>
      </c>
      <c r="CM35" s="6" t="s">
        <v>32</v>
      </c>
      <c r="CN35" s="6" t="s">
        <v>32</v>
      </c>
      <c r="CO35" s="6" t="s">
        <v>32</v>
      </c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15</v>
      </c>
      <c r="G36" s="879" t="s">
        <v>881</v>
      </c>
      <c r="H36" s="879" t="s">
        <v>18</v>
      </c>
      <c r="I36" s="879" t="s">
        <v>891</v>
      </c>
      <c r="J36" s="846">
        <v>0</v>
      </c>
      <c r="K36" s="846">
        <v>2</v>
      </c>
      <c r="L36" s="816" t="str">
        <f t="shared" si="29"/>
        <v>L</v>
      </c>
      <c r="M36" s="816">
        <f t="shared" si="30"/>
        <v>2</v>
      </c>
      <c r="N36" s="816" t="str">
        <f t="shared" si="31"/>
        <v>U</v>
      </c>
      <c r="O36" s="816">
        <f t="shared" si="20"/>
        <v>0.25</v>
      </c>
      <c r="P36" s="829">
        <f t="shared" si="22"/>
        <v>-1</v>
      </c>
      <c r="Q36" s="830">
        <v>-0.32</v>
      </c>
      <c r="R36" s="871">
        <f t="shared" si="23"/>
        <v>-1.68</v>
      </c>
      <c r="S36" s="830">
        <v>2.2000000000000002</v>
      </c>
      <c r="T36" s="871">
        <f t="shared" si="24"/>
        <v>-0.20000000000000018</v>
      </c>
      <c r="U36" s="868">
        <f t="shared" si="25"/>
        <v>0.94000000000000006</v>
      </c>
      <c r="V36" s="868">
        <f t="shared" si="26"/>
        <v>1.2600000000000002</v>
      </c>
      <c r="W36" s="829">
        <v>10</v>
      </c>
      <c r="X36" s="829">
        <v>7</v>
      </c>
      <c r="Y36" s="829">
        <v>3</v>
      </c>
      <c r="Z36" s="829">
        <v>3</v>
      </c>
      <c r="AA36" s="829">
        <v>52</v>
      </c>
      <c r="AB36" s="829">
        <v>48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1877</v>
      </c>
      <c r="AH36" s="891" t="s">
        <v>32</v>
      </c>
      <c r="AI36" s="891" t="s">
        <v>34</v>
      </c>
      <c r="AJ36" s="891" t="s">
        <v>32</v>
      </c>
      <c r="AK36" s="891" t="s">
        <v>32</v>
      </c>
      <c r="AL36" s="891" t="s">
        <v>34</v>
      </c>
      <c r="AM36" s="891" t="s">
        <v>1886</v>
      </c>
      <c r="AN36" s="891" t="s">
        <v>1877</v>
      </c>
      <c r="AO36" s="891" t="s">
        <v>32</v>
      </c>
      <c r="AP36" s="891" t="s">
        <v>32</v>
      </c>
      <c r="AQ36" s="891" t="s">
        <v>1877</v>
      </c>
      <c r="AR36" s="891" t="s">
        <v>2499</v>
      </c>
      <c r="AS36" s="891" t="s">
        <v>34</v>
      </c>
      <c r="AT36" s="891" t="s">
        <v>36</v>
      </c>
      <c r="AU36" s="891" t="s">
        <v>1886</v>
      </c>
      <c r="AV36" s="891" t="s">
        <v>34</v>
      </c>
      <c r="AW36" s="891" t="s">
        <v>35</v>
      </c>
      <c r="AX36" s="904" t="s">
        <v>34</v>
      </c>
      <c r="AY36" s="891" t="s">
        <v>34</v>
      </c>
      <c r="AZ36" s="891" t="s">
        <v>34</v>
      </c>
      <c r="BA36" s="891" t="s">
        <v>32</v>
      </c>
      <c r="BB36" s="891" t="s">
        <v>35</v>
      </c>
      <c r="BC36" s="891" t="s">
        <v>2500</v>
      </c>
      <c r="BD36" s="891" t="s">
        <v>32</v>
      </c>
      <c r="BE36" s="891" t="s">
        <v>34</v>
      </c>
      <c r="BF36" s="891" t="s">
        <v>36</v>
      </c>
      <c r="BG36" s="891" t="s">
        <v>1877</v>
      </c>
      <c r="BH36" s="891" t="s">
        <v>36</v>
      </c>
      <c r="BI36" s="891" t="s">
        <v>32</v>
      </c>
      <c r="BJ36" s="891" t="s">
        <v>35</v>
      </c>
      <c r="BK36" s="891"/>
      <c r="BL36" s="910"/>
      <c r="BM36" s="910"/>
      <c r="BN36" s="891"/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6"/>
      <c r="CC36" s="896"/>
      <c r="CD36" s="896"/>
      <c r="CE36" s="428"/>
      <c r="CF36" s="428"/>
      <c r="CG36" s="428"/>
      <c r="CH36" s="428"/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10</v>
      </c>
      <c r="G37" s="879" t="s">
        <v>883</v>
      </c>
      <c r="H37" s="879" t="s">
        <v>22</v>
      </c>
      <c r="I37" s="879" t="s">
        <v>891</v>
      </c>
      <c r="J37" s="846">
        <v>2</v>
      </c>
      <c r="K37" s="846">
        <v>1</v>
      </c>
      <c r="L37" s="816" t="str">
        <f t="shared" si="29"/>
        <v>W</v>
      </c>
      <c r="M37" s="816">
        <f t="shared" si="30"/>
        <v>3</v>
      </c>
      <c r="N37" s="816" t="str">
        <f t="shared" si="31"/>
        <v>O</v>
      </c>
      <c r="O37" s="816">
        <f t="shared" si="20"/>
        <v>0.25</v>
      </c>
      <c r="P37" s="829">
        <f t="shared" si="22"/>
        <v>1</v>
      </c>
      <c r="Q37" s="830">
        <v>-0.23</v>
      </c>
      <c r="R37" s="871">
        <f t="shared" si="23"/>
        <v>1.23</v>
      </c>
      <c r="S37" s="830">
        <v>2.23</v>
      </c>
      <c r="T37" s="871">
        <f t="shared" si="24"/>
        <v>0.77</v>
      </c>
      <c r="U37" s="868">
        <f t="shared" si="25"/>
        <v>1</v>
      </c>
      <c r="V37" s="868">
        <f t="shared" si="26"/>
        <v>1.23</v>
      </c>
      <c r="W37" s="829">
        <v>10</v>
      </c>
      <c r="X37" s="829">
        <v>14</v>
      </c>
      <c r="Y37" s="829">
        <v>4</v>
      </c>
      <c r="Z37" s="829">
        <v>5</v>
      </c>
      <c r="AA37" s="829">
        <v>49</v>
      </c>
      <c r="AB37" s="829">
        <v>51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32</v>
      </c>
      <c r="AH37" s="891" t="s">
        <v>1877</v>
      </c>
      <c r="AI37" s="891" t="s">
        <v>34</v>
      </c>
      <c r="AJ37" s="891" t="s">
        <v>32</v>
      </c>
      <c r="AK37" s="891" t="s">
        <v>32</v>
      </c>
      <c r="AL37" s="891" t="s">
        <v>36</v>
      </c>
      <c r="AM37" s="891" t="s">
        <v>1886</v>
      </c>
      <c r="AN37" s="891" t="s">
        <v>34</v>
      </c>
      <c r="AO37" s="891" t="s">
        <v>32</v>
      </c>
      <c r="AP37" s="891" t="s">
        <v>32</v>
      </c>
      <c r="AQ37" s="891" t="s">
        <v>1877</v>
      </c>
      <c r="AR37" s="891" t="s">
        <v>34</v>
      </c>
      <c r="AS37" s="891" t="s">
        <v>2528</v>
      </c>
      <c r="AT37" s="904" t="s">
        <v>34</v>
      </c>
      <c r="AU37" s="891" t="s">
        <v>2511</v>
      </c>
      <c r="AV37" s="891" t="s">
        <v>35</v>
      </c>
      <c r="AW37" s="891" t="s">
        <v>36</v>
      </c>
      <c r="AX37" s="891" t="s">
        <v>34</v>
      </c>
      <c r="AY37" s="891" t="s">
        <v>34</v>
      </c>
      <c r="AZ37" s="891" t="s">
        <v>34</v>
      </c>
      <c r="BA37" s="891" t="s">
        <v>32</v>
      </c>
      <c r="BB37" s="891" t="s">
        <v>1877</v>
      </c>
      <c r="BC37" s="891" t="s">
        <v>32</v>
      </c>
      <c r="BD37" s="891" t="s">
        <v>32</v>
      </c>
      <c r="BE37" s="904" t="s">
        <v>35</v>
      </c>
      <c r="BF37" s="891" t="s">
        <v>1877</v>
      </c>
      <c r="BG37" s="891" t="s">
        <v>2505</v>
      </c>
      <c r="BH37" s="891" t="s">
        <v>36</v>
      </c>
      <c r="BI37" s="891" t="s">
        <v>32</v>
      </c>
      <c r="BJ37" s="891" t="s">
        <v>2509</v>
      </c>
      <c r="BK37" s="891"/>
      <c r="BL37" s="910"/>
      <c r="BM37" s="910"/>
      <c r="BN37" s="891"/>
      <c r="BO37" s="891"/>
      <c r="BP37" s="891"/>
      <c r="BQ37" s="891"/>
      <c r="BR37" s="891"/>
      <c r="BS37" s="891"/>
      <c r="BT37" s="891"/>
      <c r="BU37" s="891"/>
      <c r="BV37" s="891"/>
      <c r="BW37" s="891"/>
      <c r="BX37" s="891"/>
      <c r="BY37" s="891"/>
      <c r="BZ37" s="896"/>
      <c r="CA37" s="896"/>
      <c r="CB37" s="896"/>
      <c r="CC37" s="896"/>
      <c r="CD37" s="896"/>
      <c r="CE37" s="428"/>
      <c r="CF37" s="428"/>
      <c r="CG37" s="428"/>
      <c r="CH37" s="428"/>
      <c r="CM37" s="4" t="s">
        <v>32</v>
      </c>
      <c r="CN37" s="4" t="s">
        <v>32</v>
      </c>
      <c r="CO37" s="4" t="s">
        <v>32</v>
      </c>
      <c r="CP37" s="4" t="s">
        <v>32</v>
      </c>
      <c r="CQ37" s="4" t="s">
        <v>32</v>
      </c>
      <c r="CR37" s="4" t="s">
        <v>32</v>
      </c>
      <c r="CS37" s="6" t="s">
        <v>32</v>
      </c>
      <c r="CT37" s="6" t="s">
        <v>32</v>
      </c>
      <c r="CU37" s="6" t="s">
        <v>32</v>
      </c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</row>
    <row r="38" spans="1:120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9</v>
      </c>
      <c r="G38" s="879" t="s">
        <v>1083</v>
      </c>
      <c r="H38" s="879" t="s">
        <v>18</v>
      </c>
      <c r="I38" s="879" t="s">
        <v>891</v>
      </c>
      <c r="J38" s="846">
        <v>1</v>
      </c>
      <c r="K38" s="846">
        <v>1</v>
      </c>
      <c r="L38" s="816" t="str">
        <f t="shared" si="29"/>
        <v>D</v>
      </c>
      <c r="M38" s="816">
        <f t="shared" si="30"/>
        <v>2</v>
      </c>
      <c r="N38" s="816" t="str">
        <f t="shared" si="31"/>
        <v>U</v>
      </c>
      <c r="O38" s="816">
        <f t="shared" si="20"/>
        <v>0.25</v>
      </c>
      <c r="P38" s="829">
        <f t="shared" si="22"/>
        <v>0.5</v>
      </c>
      <c r="Q38" s="830">
        <v>-0.42</v>
      </c>
      <c r="R38" s="871">
        <f t="shared" si="23"/>
        <v>0.42</v>
      </c>
      <c r="S38" s="830">
        <v>2.27</v>
      </c>
      <c r="T38" s="871">
        <f t="shared" si="24"/>
        <v>-0.27</v>
      </c>
      <c r="U38" s="868">
        <f t="shared" si="25"/>
        <v>0.92500000000000004</v>
      </c>
      <c r="V38" s="868">
        <f t="shared" si="26"/>
        <v>1.345</v>
      </c>
      <c r="W38" s="829">
        <v>11</v>
      </c>
      <c r="X38" s="829">
        <v>13</v>
      </c>
      <c r="Y38" s="829">
        <v>4</v>
      </c>
      <c r="Z38" s="829">
        <v>5</v>
      </c>
      <c r="AA38" s="829">
        <v>45</v>
      </c>
      <c r="AB38" s="829">
        <v>55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1877</v>
      </c>
      <c r="AH38" s="891" t="s">
        <v>32</v>
      </c>
      <c r="AI38" s="891" t="s">
        <v>34</v>
      </c>
      <c r="AJ38" s="891" t="s">
        <v>32</v>
      </c>
      <c r="AK38" s="891" t="s">
        <v>32</v>
      </c>
      <c r="AL38" s="891" t="s">
        <v>32</v>
      </c>
      <c r="AM38" s="891" t="s">
        <v>1886</v>
      </c>
      <c r="AN38" s="891" t="s">
        <v>35</v>
      </c>
      <c r="AO38" s="891" t="s">
        <v>32</v>
      </c>
      <c r="AP38" s="891" t="s">
        <v>1877</v>
      </c>
      <c r="AQ38" s="891" t="s">
        <v>1877</v>
      </c>
      <c r="AR38" s="891" t="s">
        <v>34</v>
      </c>
      <c r="AS38" s="891" t="s">
        <v>1886</v>
      </c>
      <c r="AT38" s="891" t="s">
        <v>34</v>
      </c>
      <c r="AU38" s="891" t="s">
        <v>1886</v>
      </c>
      <c r="AV38" s="891" t="s">
        <v>34</v>
      </c>
      <c r="AW38" s="891" t="s">
        <v>1877</v>
      </c>
      <c r="AX38" s="891" t="s">
        <v>34</v>
      </c>
      <c r="AY38" s="891" t="s">
        <v>34</v>
      </c>
      <c r="AZ38" s="891" t="s">
        <v>34</v>
      </c>
      <c r="BA38" s="891" t="s">
        <v>2532</v>
      </c>
      <c r="BB38" s="891" t="s">
        <v>32</v>
      </c>
      <c r="BC38" s="891" t="s">
        <v>32</v>
      </c>
      <c r="BD38" s="891" t="s">
        <v>36</v>
      </c>
      <c r="BE38" s="891" t="s">
        <v>32</v>
      </c>
      <c r="BF38" s="891" t="s">
        <v>36</v>
      </c>
      <c r="BG38" s="891" t="s">
        <v>34</v>
      </c>
      <c r="BH38" s="891" t="s">
        <v>1877</v>
      </c>
      <c r="BI38" s="891" t="s">
        <v>32</v>
      </c>
      <c r="BJ38" s="891" t="s">
        <v>34</v>
      </c>
      <c r="BK38" s="891"/>
      <c r="BL38" s="910"/>
      <c r="BM38" s="910"/>
      <c r="BN38" s="891"/>
      <c r="BO38" s="891"/>
      <c r="BP38" s="891"/>
      <c r="BQ38" s="891"/>
      <c r="BR38" s="891"/>
      <c r="BS38" s="891"/>
      <c r="BT38" s="891"/>
      <c r="BU38" s="891"/>
      <c r="BV38" s="891"/>
      <c r="BW38" s="891"/>
      <c r="BX38" s="891"/>
      <c r="BY38" s="891"/>
      <c r="BZ38" s="896"/>
      <c r="CA38" s="896"/>
      <c r="CB38" s="896"/>
      <c r="CC38" s="896"/>
      <c r="CD38" s="896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6</v>
      </c>
      <c r="G39" s="879" t="s">
        <v>876</v>
      </c>
      <c r="H39" s="879" t="s">
        <v>22</v>
      </c>
      <c r="I39" s="879" t="s">
        <v>891</v>
      </c>
      <c r="J39" s="846">
        <v>2</v>
      </c>
      <c r="K39" s="846">
        <v>1</v>
      </c>
      <c r="L39" s="816" t="str">
        <f t="shared" si="29"/>
        <v>W</v>
      </c>
      <c r="M39" s="816">
        <f t="shared" si="30"/>
        <v>3</v>
      </c>
      <c r="N39" s="816" t="str">
        <f t="shared" si="31"/>
        <v>O</v>
      </c>
      <c r="O39" s="816">
        <f t="shared" si="20"/>
        <v>0.25</v>
      </c>
      <c r="P39" s="829">
        <f t="shared" si="22"/>
        <v>1</v>
      </c>
      <c r="Q39" s="830">
        <v>-0.34</v>
      </c>
      <c r="R39" s="871">
        <f t="shared" si="23"/>
        <v>1.34</v>
      </c>
      <c r="S39" s="830">
        <v>2.61</v>
      </c>
      <c r="T39" s="871">
        <f t="shared" si="24"/>
        <v>0.39000000000000012</v>
      </c>
      <c r="U39" s="868">
        <f t="shared" si="25"/>
        <v>1.135</v>
      </c>
      <c r="V39" s="868">
        <f t="shared" si="26"/>
        <v>1.4749999999999999</v>
      </c>
      <c r="W39" s="829">
        <v>14</v>
      </c>
      <c r="X39" s="829">
        <v>11</v>
      </c>
      <c r="Y39" s="829">
        <v>4</v>
      </c>
      <c r="Z39" s="829">
        <v>5</v>
      </c>
      <c r="AA39" s="829">
        <v>38</v>
      </c>
      <c r="AB39" s="829">
        <v>62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32</v>
      </c>
      <c r="AH39" s="891" t="s">
        <v>1877</v>
      </c>
      <c r="AI39" s="891" t="s">
        <v>34</v>
      </c>
      <c r="AJ39" s="891" t="s">
        <v>32</v>
      </c>
      <c r="AK39" s="891" t="s">
        <v>32</v>
      </c>
      <c r="AL39" s="891" t="s">
        <v>32</v>
      </c>
      <c r="AM39" s="891" t="s">
        <v>1886</v>
      </c>
      <c r="AN39" s="891" t="s">
        <v>34</v>
      </c>
      <c r="AO39" s="891" t="s">
        <v>32</v>
      </c>
      <c r="AP39" s="891" t="s">
        <v>32</v>
      </c>
      <c r="AQ39" s="891" t="s">
        <v>1877</v>
      </c>
      <c r="AR39" s="891" t="s">
        <v>34</v>
      </c>
      <c r="AS39" s="891" t="s">
        <v>1886</v>
      </c>
      <c r="AT39" s="891" t="s">
        <v>35</v>
      </c>
      <c r="AU39" s="891" t="s">
        <v>1886</v>
      </c>
      <c r="AV39" s="891" t="s">
        <v>2555</v>
      </c>
      <c r="AW39" s="891" t="s">
        <v>1877</v>
      </c>
      <c r="AX39" s="891" t="s">
        <v>34</v>
      </c>
      <c r="AY39" s="891" t="s">
        <v>34</v>
      </c>
      <c r="AZ39" s="891" t="s">
        <v>34</v>
      </c>
      <c r="BA39" s="891" t="s">
        <v>1877</v>
      </c>
      <c r="BB39" s="891" t="s">
        <v>32</v>
      </c>
      <c r="BC39" s="891" t="s">
        <v>32</v>
      </c>
      <c r="BD39" s="891" t="s">
        <v>2561</v>
      </c>
      <c r="BE39" s="891" t="s">
        <v>34</v>
      </c>
      <c r="BF39" s="891" t="s">
        <v>1877</v>
      </c>
      <c r="BG39" s="891" t="s">
        <v>34</v>
      </c>
      <c r="BH39" s="891" t="s">
        <v>36</v>
      </c>
      <c r="BI39" s="891" t="s">
        <v>32</v>
      </c>
      <c r="BJ39" s="891" t="s">
        <v>35</v>
      </c>
      <c r="BK39" s="891"/>
      <c r="BL39" s="910"/>
      <c r="BM39" s="910"/>
      <c r="BN39" s="891"/>
      <c r="BO39" s="891"/>
      <c r="BP39" s="891"/>
      <c r="BQ39" s="891"/>
      <c r="BR39" s="891"/>
      <c r="BS39" s="891"/>
      <c r="BT39" s="891"/>
      <c r="BU39" s="891"/>
      <c r="BV39" s="891"/>
      <c r="BW39" s="891"/>
      <c r="BX39" s="891"/>
      <c r="BY39" s="891"/>
      <c r="BZ39" s="896"/>
      <c r="CA39" s="896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20</v>
      </c>
      <c r="G40" s="879" t="s">
        <v>882</v>
      </c>
      <c r="H40" s="879" t="s">
        <v>18</v>
      </c>
      <c r="I40" s="879" t="s">
        <v>891</v>
      </c>
      <c r="J40" s="846">
        <v>1</v>
      </c>
      <c r="K40" s="846">
        <v>0</v>
      </c>
      <c r="L40" s="816" t="str">
        <f t="shared" si="29"/>
        <v>W</v>
      </c>
      <c r="M40" s="816">
        <f t="shared" si="30"/>
        <v>1</v>
      </c>
      <c r="N40" s="816" t="str">
        <f t="shared" si="31"/>
        <v>U</v>
      </c>
      <c r="O40" s="816">
        <f t="shared" si="20"/>
        <v>0</v>
      </c>
      <c r="P40" s="829">
        <f t="shared" si="22"/>
        <v>1</v>
      </c>
      <c r="Q40" s="830">
        <v>-0.03</v>
      </c>
      <c r="R40" s="871">
        <f t="shared" si="23"/>
        <v>1.03</v>
      </c>
      <c r="S40" s="830">
        <v>2.2999999999999998</v>
      </c>
      <c r="T40" s="871">
        <f t="shared" si="24"/>
        <v>-1.2999999999999998</v>
      </c>
      <c r="U40" s="868">
        <f t="shared" si="25"/>
        <v>1.135</v>
      </c>
      <c r="V40" s="868">
        <f t="shared" si="26"/>
        <v>1.1649999999999998</v>
      </c>
      <c r="W40" s="829">
        <v>9</v>
      </c>
      <c r="X40" s="829">
        <v>10</v>
      </c>
      <c r="Y40" s="829">
        <v>2</v>
      </c>
      <c r="Z40" s="829">
        <v>1</v>
      </c>
      <c r="AA40" s="829">
        <v>39</v>
      </c>
      <c r="AB40" s="829">
        <v>61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/>
      <c r="AH40" s="891" t="s">
        <v>1877</v>
      </c>
      <c r="AI40" s="891" t="s">
        <v>34</v>
      </c>
      <c r="AJ40" s="891" t="s">
        <v>32</v>
      </c>
      <c r="AK40" s="891" t="s">
        <v>32</v>
      </c>
      <c r="AL40" s="891" t="s">
        <v>32</v>
      </c>
      <c r="AM40" s="891" t="s">
        <v>1886</v>
      </c>
      <c r="AN40" s="891" t="s">
        <v>34</v>
      </c>
      <c r="AO40" s="891" t="s">
        <v>32</v>
      </c>
      <c r="AP40" s="891" t="s">
        <v>1877</v>
      </c>
      <c r="AQ40" s="891" t="s">
        <v>1877</v>
      </c>
      <c r="AR40" s="891" t="s">
        <v>34</v>
      </c>
      <c r="AS40" s="891" t="s">
        <v>32</v>
      </c>
      <c r="AT40" s="891" t="s">
        <v>2595</v>
      </c>
      <c r="AU40" s="891" t="s">
        <v>1886</v>
      </c>
      <c r="AV40" s="891" t="s">
        <v>35</v>
      </c>
      <c r="AW40" s="891" t="s">
        <v>36</v>
      </c>
      <c r="AX40" s="891" t="s">
        <v>34</v>
      </c>
      <c r="AY40" s="891" t="s">
        <v>34</v>
      </c>
      <c r="AZ40" s="891" t="s">
        <v>35</v>
      </c>
      <c r="BA40" s="891" t="s">
        <v>32</v>
      </c>
      <c r="BB40" s="891" t="s">
        <v>32</v>
      </c>
      <c r="BC40" s="891" t="s">
        <v>32</v>
      </c>
      <c r="BD40" s="904" t="s">
        <v>34</v>
      </c>
      <c r="BE40" s="904" t="s">
        <v>34</v>
      </c>
      <c r="BF40" s="891" t="s">
        <v>36</v>
      </c>
      <c r="BG40" s="891" t="s">
        <v>2596</v>
      </c>
      <c r="BH40" s="891" t="s">
        <v>1877</v>
      </c>
      <c r="BI40" s="891" t="s">
        <v>36</v>
      </c>
      <c r="BJ40" s="904" t="s">
        <v>35</v>
      </c>
      <c r="BK40" s="891"/>
      <c r="BL40" s="910"/>
      <c r="BM40" s="910"/>
      <c r="BN40" s="891"/>
      <c r="BO40" s="891"/>
      <c r="BP40" s="891"/>
      <c r="BQ40" s="891"/>
      <c r="BR40" s="891"/>
      <c r="BS40" s="891"/>
      <c r="BT40" s="891"/>
      <c r="BU40" s="891"/>
      <c r="BV40" s="891"/>
      <c r="BW40" s="891"/>
      <c r="BX40" s="891"/>
      <c r="BY40" s="891"/>
      <c r="BZ40" s="896"/>
      <c r="CA40" s="896"/>
      <c r="CB40" s="896"/>
      <c r="CC40" s="896"/>
      <c r="CD40" s="896"/>
      <c r="CE40" s="428"/>
      <c r="CF40" s="428"/>
      <c r="CG40" s="428"/>
      <c r="CH40" s="428"/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  <c r="CN40" s="230" t="s">
        <v>32</v>
      </c>
      <c r="CO40" s="230" t="s">
        <v>32</v>
      </c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18</v>
      </c>
      <c r="G41" s="879" t="s">
        <v>887</v>
      </c>
      <c r="H41" s="879" t="s">
        <v>22</v>
      </c>
      <c r="I41" s="879" t="s">
        <v>891</v>
      </c>
      <c r="J41" s="846">
        <v>1</v>
      </c>
      <c r="K41" s="846">
        <v>1</v>
      </c>
      <c r="L41" s="816" t="str">
        <f t="shared" si="29"/>
        <v>D</v>
      </c>
      <c r="M41" s="816">
        <f t="shared" si="30"/>
        <v>2</v>
      </c>
      <c r="N41" s="816" t="str">
        <f t="shared" si="31"/>
        <v>U</v>
      </c>
      <c r="O41" s="816">
        <f t="shared" si="20"/>
        <v>0</v>
      </c>
      <c r="P41" s="829">
        <f t="shared" si="22"/>
        <v>0</v>
      </c>
      <c r="Q41" s="830">
        <v>0.02</v>
      </c>
      <c r="R41" s="871">
        <f t="shared" si="23"/>
        <v>-0.02</v>
      </c>
      <c r="S41" s="830">
        <v>2.4900000000000002</v>
      </c>
      <c r="T41" s="871">
        <f t="shared" si="24"/>
        <v>-0.49000000000000021</v>
      </c>
      <c r="U41" s="868">
        <f t="shared" si="25"/>
        <v>1.2550000000000001</v>
      </c>
      <c r="V41" s="868">
        <f t="shared" si="26"/>
        <v>1.2350000000000001</v>
      </c>
      <c r="W41" s="829">
        <v>17</v>
      </c>
      <c r="X41" s="829">
        <v>11</v>
      </c>
      <c r="Y41" s="829">
        <v>9</v>
      </c>
      <c r="Z41" s="829">
        <v>3</v>
      </c>
      <c r="AA41" s="829">
        <v>37</v>
      </c>
      <c r="AB41" s="829">
        <v>63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32</v>
      </c>
      <c r="AH41" s="891" t="s">
        <v>1877</v>
      </c>
      <c r="AI41" s="891" t="s">
        <v>34</v>
      </c>
      <c r="AJ41" s="891" t="s">
        <v>32</v>
      </c>
      <c r="AK41" s="891" t="s">
        <v>32</v>
      </c>
      <c r="AL41" s="891" t="s">
        <v>1886</v>
      </c>
      <c r="AM41" s="891" t="s">
        <v>1886</v>
      </c>
      <c r="AN41" s="891" t="s">
        <v>35</v>
      </c>
      <c r="AO41" s="891" t="s">
        <v>32</v>
      </c>
      <c r="AP41" s="891" t="s">
        <v>32</v>
      </c>
      <c r="AQ41" s="891" t="s">
        <v>1877</v>
      </c>
      <c r="AR41" s="904" t="s">
        <v>34</v>
      </c>
      <c r="AS41" s="891" t="s">
        <v>1877</v>
      </c>
      <c r="AT41" s="891" t="s">
        <v>2680</v>
      </c>
      <c r="AU41" s="891" t="s">
        <v>32</v>
      </c>
      <c r="AV41" s="891" t="s">
        <v>35</v>
      </c>
      <c r="AW41" s="891" t="s">
        <v>1877</v>
      </c>
      <c r="AX41" s="891" t="s">
        <v>34</v>
      </c>
      <c r="AY41" s="891" t="s">
        <v>34</v>
      </c>
      <c r="AZ41" s="891" t="s">
        <v>34</v>
      </c>
      <c r="BA41" s="891" t="s">
        <v>32</v>
      </c>
      <c r="BB41" s="891" t="s">
        <v>32</v>
      </c>
      <c r="BC41" s="891" t="s">
        <v>32</v>
      </c>
      <c r="BD41" s="891" t="s">
        <v>34</v>
      </c>
      <c r="BE41" s="891" t="s">
        <v>34</v>
      </c>
      <c r="BF41" s="891" t="s">
        <v>36</v>
      </c>
      <c r="BG41" s="891" t="s">
        <v>34</v>
      </c>
      <c r="BH41" s="891" t="s">
        <v>36</v>
      </c>
      <c r="BI41" s="891" t="s">
        <v>36</v>
      </c>
      <c r="BJ41" s="891" t="s">
        <v>2681</v>
      </c>
      <c r="BK41" s="891"/>
      <c r="BL41" s="910"/>
      <c r="BM41" s="910"/>
      <c r="BN41" s="891"/>
      <c r="BO41" s="891"/>
      <c r="BP41" s="891"/>
      <c r="BQ41" s="891"/>
      <c r="BR41" s="891"/>
      <c r="BS41" s="891"/>
      <c r="BT41" s="891"/>
      <c r="BU41" s="891"/>
      <c r="BV41" s="891"/>
      <c r="BW41" s="891"/>
      <c r="BX41" s="891"/>
      <c r="BY41" s="891"/>
      <c r="BZ41" s="896"/>
      <c r="CA41" s="896"/>
      <c r="CB41" s="896"/>
      <c r="CC41" s="896"/>
      <c r="CD41" s="896"/>
      <c r="CE41" s="4"/>
      <c r="CF41" s="4"/>
      <c r="CG41" s="4"/>
      <c r="CH41" s="4"/>
      <c r="CI41" s="6" t="s">
        <v>32</v>
      </c>
      <c r="CJ41" s="6" t="s">
        <v>32</v>
      </c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2652</v>
      </c>
      <c r="H42" s="828" t="s">
        <v>22</v>
      </c>
      <c r="I42" s="828" t="s">
        <v>2649</v>
      </c>
      <c r="J42" s="895">
        <v>0</v>
      </c>
      <c r="K42" s="895">
        <v>0</v>
      </c>
      <c r="L42" s="816" t="str">
        <f t="shared" ref="L42" si="32">IF(J42="","",IF(J42&gt;K42,"W",IF(J42=K42,"D",IF(J42&lt;K42,"L"))))</f>
        <v>D</v>
      </c>
      <c r="M42" s="816">
        <f t="shared" ref="M42" si="33">IF(J42="","",J42+K42)</f>
        <v>0</v>
      </c>
      <c r="N42" s="816" t="str">
        <f t="shared" si="31"/>
        <v>U</v>
      </c>
      <c r="O42" s="816" t="str">
        <f t="shared" ref="O42" si="34">IF(Q42="","",IF(SIGN(Q42)&lt;&gt;1,VLOOKUP(ABS(Q42),SUP_HDC,3,TRUE),-VLOOKUP(ABS(Q42),SUP_HDC,3,TRUE)))</f>
        <v/>
      </c>
      <c r="P42" s="829" t="str">
        <f t="shared" ref="P42" si="35">IF(O42="","",IF((J42-K42+O42)&gt;=0.5,1,IF((J42-K42+O42)=0.25,0.5,IF((J42-K42+O42)&lt;=-0.5,-1,IF((J42-K42+O42)=-0.25,-0.5,0)))))</f>
        <v/>
      </c>
      <c r="Q42" s="830"/>
      <c r="R42" s="871" t="str">
        <f t="shared" ref="R42" si="36">IF(ISBLANK(Q42),"",J42-K42-Q42)</f>
        <v/>
      </c>
      <c r="S42" s="830"/>
      <c r="T42" s="871" t="str">
        <f t="shared" ref="T42" si="37">IF(ISBLANK(S42),"",J42+K42-S42)</f>
        <v/>
      </c>
      <c r="U42" s="868" t="str">
        <f t="shared" ref="U42" si="38">IF(Q42="","",(Q42+S42)/2)</f>
        <v/>
      </c>
      <c r="V42" s="868" t="str">
        <f t="shared" ref="V42" si="39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1877</v>
      </c>
      <c r="AH42" s="891" t="s">
        <v>34</v>
      </c>
      <c r="AI42" s="891" t="s">
        <v>32</v>
      </c>
      <c r="AJ42" s="891" t="s">
        <v>32</v>
      </c>
      <c r="AK42" s="891" t="s">
        <v>32</v>
      </c>
      <c r="AL42" s="891" t="s">
        <v>1886</v>
      </c>
      <c r="AM42" s="891" t="s">
        <v>1886</v>
      </c>
      <c r="AN42" s="891" t="s">
        <v>32</v>
      </c>
      <c r="AO42" s="891" t="s">
        <v>32</v>
      </c>
      <c r="AP42" s="904" t="s">
        <v>34</v>
      </c>
      <c r="AQ42" s="891" t="s">
        <v>35</v>
      </c>
      <c r="AR42" s="891" t="s">
        <v>32</v>
      </c>
      <c r="AS42" s="891" t="s">
        <v>34</v>
      </c>
      <c r="AT42" s="891" t="s">
        <v>1886</v>
      </c>
      <c r="AU42" s="891" t="s">
        <v>32</v>
      </c>
      <c r="AV42" s="891" t="s">
        <v>1877</v>
      </c>
      <c r="AW42" s="891" t="s">
        <v>34</v>
      </c>
      <c r="AX42" s="891" t="s">
        <v>32</v>
      </c>
      <c r="AY42" s="891" t="s">
        <v>32</v>
      </c>
      <c r="AZ42" s="891" t="s">
        <v>1877</v>
      </c>
      <c r="BA42" s="904" t="s">
        <v>34</v>
      </c>
      <c r="BB42" s="891" t="s">
        <v>34</v>
      </c>
      <c r="BC42" s="891" t="s">
        <v>35</v>
      </c>
      <c r="BD42" s="891" t="s">
        <v>36</v>
      </c>
      <c r="BE42" s="891" t="s">
        <v>36</v>
      </c>
      <c r="BF42" s="891" t="s">
        <v>34</v>
      </c>
      <c r="BG42" s="891" t="s">
        <v>1877</v>
      </c>
      <c r="BH42" s="891" t="s">
        <v>35</v>
      </c>
      <c r="BI42" s="891" t="s">
        <v>32</v>
      </c>
      <c r="BJ42" s="891" t="s">
        <v>36</v>
      </c>
      <c r="BK42" s="891" t="s">
        <v>34</v>
      </c>
      <c r="BL42" s="910"/>
      <c r="BM42" s="910"/>
      <c r="BN42" s="891"/>
      <c r="BO42" s="891"/>
      <c r="BP42" s="891"/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428"/>
      <c r="CF42" s="428"/>
      <c r="CG42" s="428"/>
      <c r="CH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8</v>
      </c>
      <c r="G43" s="879" t="s">
        <v>880</v>
      </c>
      <c r="H43" s="879" t="s">
        <v>18</v>
      </c>
      <c r="I43" s="879" t="s">
        <v>891</v>
      </c>
      <c r="J43" s="846">
        <v>1</v>
      </c>
      <c r="K43" s="846">
        <v>1</v>
      </c>
      <c r="L43" s="816" t="str">
        <f t="shared" si="29"/>
        <v>D</v>
      </c>
      <c r="M43" s="816">
        <f t="shared" si="30"/>
        <v>2</v>
      </c>
      <c r="N43" s="816" t="str">
        <f t="shared" si="31"/>
        <v>U</v>
      </c>
      <c r="O43" s="816">
        <f t="shared" si="20"/>
        <v>0.5</v>
      </c>
      <c r="P43" s="829">
        <f t="shared" si="22"/>
        <v>1</v>
      </c>
      <c r="Q43" s="830">
        <v>-0.65</v>
      </c>
      <c r="R43" s="871">
        <f t="shared" si="23"/>
        <v>0.65</v>
      </c>
      <c r="S43" s="830">
        <v>2.4</v>
      </c>
      <c r="T43" s="871">
        <f t="shared" si="24"/>
        <v>-0.39999999999999991</v>
      </c>
      <c r="U43" s="868">
        <f t="shared" si="25"/>
        <v>0.875</v>
      </c>
      <c r="V43" s="868">
        <f t="shared" si="26"/>
        <v>1.5249999999999999</v>
      </c>
      <c r="W43" s="829">
        <v>15</v>
      </c>
      <c r="X43" s="829">
        <v>11</v>
      </c>
      <c r="Y43" s="829">
        <v>1</v>
      </c>
      <c r="Z43" s="829">
        <v>5</v>
      </c>
      <c r="AA43" s="829">
        <v>57</v>
      </c>
      <c r="AB43" s="829">
        <v>43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32</v>
      </c>
      <c r="AH43" s="891" t="s">
        <v>1877</v>
      </c>
      <c r="AI43" s="891" t="s">
        <v>34</v>
      </c>
      <c r="AJ43" s="891" t="s">
        <v>32</v>
      </c>
      <c r="AK43" s="891" t="s">
        <v>32</v>
      </c>
      <c r="AL43" s="891" t="s">
        <v>2741</v>
      </c>
      <c r="AM43" s="891" t="s">
        <v>1886</v>
      </c>
      <c r="AN43" s="891" t="s">
        <v>34</v>
      </c>
      <c r="AO43" s="891" t="s">
        <v>32</v>
      </c>
      <c r="AP43" s="891" t="s">
        <v>32</v>
      </c>
      <c r="AQ43" s="891" t="s">
        <v>1877</v>
      </c>
      <c r="AR43" s="891" t="s">
        <v>34</v>
      </c>
      <c r="AS43" s="891" t="s">
        <v>36</v>
      </c>
      <c r="AT43" s="891" t="s">
        <v>1886</v>
      </c>
      <c r="AU43" s="891" t="s">
        <v>32</v>
      </c>
      <c r="AV43" s="891" t="s">
        <v>35</v>
      </c>
      <c r="AW43" s="891" t="s">
        <v>36</v>
      </c>
      <c r="AX43" s="891" t="s">
        <v>34</v>
      </c>
      <c r="AY43" s="891" t="s">
        <v>34</v>
      </c>
      <c r="AZ43" s="891" t="s">
        <v>35</v>
      </c>
      <c r="BA43" s="891" t="s">
        <v>32</v>
      </c>
      <c r="BB43" s="891" t="s">
        <v>1886</v>
      </c>
      <c r="BC43" s="891" t="s">
        <v>1886</v>
      </c>
      <c r="BD43" s="891" t="s">
        <v>34</v>
      </c>
      <c r="BE43" s="891" t="s">
        <v>34</v>
      </c>
      <c r="BF43" s="891" t="s">
        <v>1877</v>
      </c>
      <c r="BG43" s="891" t="s">
        <v>1877</v>
      </c>
      <c r="BH43" s="891" t="s">
        <v>1877</v>
      </c>
      <c r="BI43" s="891" t="s">
        <v>34</v>
      </c>
      <c r="BJ43" s="891" t="s">
        <v>2742</v>
      </c>
      <c r="BK43" s="891"/>
      <c r="BL43" s="910"/>
      <c r="BM43" s="910"/>
      <c r="BN43" s="891"/>
      <c r="BO43" s="891"/>
      <c r="BP43" s="891"/>
      <c r="BQ43" s="891"/>
      <c r="BR43" s="891"/>
      <c r="BS43" s="891"/>
      <c r="BT43" s="891"/>
      <c r="BU43" s="891"/>
      <c r="BV43" s="891"/>
      <c r="BW43" s="891"/>
      <c r="BX43" s="891"/>
      <c r="BY43" s="891"/>
      <c r="BZ43" s="896"/>
      <c r="CA43" s="896"/>
      <c r="CB43" s="896"/>
      <c r="CC43" s="896"/>
      <c r="CD43" s="896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14</v>
      </c>
      <c r="G44" s="879" t="s">
        <v>873</v>
      </c>
      <c r="H44" s="879" t="s">
        <v>22</v>
      </c>
      <c r="I44" s="879" t="s">
        <v>891</v>
      </c>
      <c r="J44" s="846">
        <v>3</v>
      </c>
      <c r="K44" s="846">
        <v>0</v>
      </c>
      <c r="L44" s="816" t="str">
        <f t="shared" si="29"/>
        <v>W</v>
      </c>
      <c r="M44" s="816">
        <f t="shared" si="30"/>
        <v>3</v>
      </c>
      <c r="N44" s="816" t="str">
        <f t="shared" si="31"/>
        <v>O</v>
      </c>
      <c r="O44" s="816">
        <f t="shared" si="20"/>
        <v>-0.25</v>
      </c>
      <c r="P44" s="829">
        <f t="shared" si="22"/>
        <v>1</v>
      </c>
      <c r="Q44" s="830">
        <v>0.18</v>
      </c>
      <c r="R44" s="871">
        <f t="shared" si="23"/>
        <v>2.82</v>
      </c>
      <c r="S44" s="830">
        <v>2.2000000000000002</v>
      </c>
      <c r="T44" s="871">
        <f t="shared" si="24"/>
        <v>0.79999999999999982</v>
      </c>
      <c r="U44" s="868">
        <f t="shared" si="25"/>
        <v>1.1900000000000002</v>
      </c>
      <c r="V44" s="868">
        <f t="shared" si="26"/>
        <v>1.01</v>
      </c>
      <c r="W44" s="829">
        <v>19</v>
      </c>
      <c r="X44" s="829">
        <v>7</v>
      </c>
      <c r="Y44" s="829">
        <v>8</v>
      </c>
      <c r="Z44" s="829">
        <v>3</v>
      </c>
      <c r="AA44" s="829">
        <v>50</v>
      </c>
      <c r="AB44" s="829">
        <v>50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32</v>
      </c>
      <c r="AH44" s="891" t="s">
        <v>1877</v>
      </c>
      <c r="AI44" s="891" t="s">
        <v>34</v>
      </c>
      <c r="AJ44" s="891" t="s">
        <v>32</v>
      </c>
      <c r="AK44" s="891" t="s">
        <v>32</v>
      </c>
      <c r="AL44" s="891" t="s">
        <v>1886</v>
      </c>
      <c r="AM44" s="891" t="s">
        <v>1886</v>
      </c>
      <c r="AN44" s="891" t="s">
        <v>34</v>
      </c>
      <c r="AO44" s="891" t="s">
        <v>32</v>
      </c>
      <c r="AP44" s="891" t="s">
        <v>32</v>
      </c>
      <c r="AQ44" s="891" t="s">
        <v>1877</v>
      </c>
      <c r="AR44" s="891" t="s">
        <v>34</v>
      </c>
      <c r="AS44" s="891" t="s">
        <v>36</v>
      </c>
      <c r="AT44" s="891" t="s">
        <v>32</v>
      </c>
      <c r="AU44" s="891" t="s">
        <v>32</v>
      </c>
      <c r="AV44" s="891" t="s">
        <v>35</v>
      </c>
      <c r="AW44" s="891" t="s">
        <v>2809</v>
      </c>
      <c r="AX44" s="891" t="s">
        <v>34</v>
      </c>
      <c r="AY44" s="891" t="s">
        <v>34</v>
      </c>
      <c r="AZ44" s="891" t="s">
        <v>34</v>
      </c>
      <c r="BA44" s="891" t="s">
        <v>1877</v>
      </c>
      <c r="BB44" s="891" t="s">
        <v>1886</v>
      </c>
      <c r="BC44" s="891" t="s">
        <v>1886</v>
      </c>
      <c r="BD44" s="891" t="s">
        <v>34</v>
      </c>
      <c r="BE44" s="891" t="s">
        <v>35</v>
      </c>
      <c r="BF44" s="891" t="s">
        <v>32</v>
      </c>
      <c r="BG44" s="891" t="s">
        <v>36</v>
      </c>
      <c r="BH44" s="891" t="s">
        <v>1877</v>
      </c>
      <c r="BI44" s="891" t="s">
        <v>2808</v>
      </c>
      <c r="BJ44" s="891" t="s">
        <v>35</v>
      </c>
      <c r="BK44" s="891"/>
      <c r="BL44" s="910"/>
      <c r="BM44" s="910"/>
      <c r="BN44" s="891"/>
      <c r="BO44" s="891"/>
      <c r="BP44" s="891"/>
      <c r="BQ44" s="891"/>
      <c r="BR44" s="891"/>
      <c r="BS44" s="891"/>
      <c r="BT44" s="891"/>
      <c r="BU44" s="891"/>
      <c r="BV44" s="891"/>
      <c r="BW44" s="891"/>
      <c r="BX44" s="891"/>
      <c r="BY44" s="891"/>
      <c r="BZ44" s="896"/>
      <c r="CA44" s="896"/>
      <c r="CB44" s="896"/>
      <c r="CC44" s="896"/>
      <c r="CD44" s="896"/>
      <c r="CE44" s="428"/>
      <c r="CF44" s="428"/>
      <c r="CG44" s="428"/>
      <c r="CH44" s="428"/>
    </row>
    <row r="45" spans="1:120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5</v>
      </c>
      <c r="G45" s="879" t="s">
        <v>889</v>
      </c>
      <c r="H45" s="879" t="s">
        <v>18</v>
      </c>
      <c r="I45" s="879" t="s">
        <v>891</v>
      </c>
      <c r="J45" s="846">
        <v>1</v>
      </c>
      <c r="K45" s="846">
        <v>1</v>
      </c>
      <c r="L45" s="816" t="str">
        <f t="shared" si="29"/>
        <v>D</v>
      </c>
      <c r="M45" s="816">
        <f t="shared" si="30"/>
        <v>2</v>
      </c>
      <c r="N45" s="816" t="str">
        <f t="shared" si="31"/>
        <v>U</v>
      </c>
      <c r="O45" s="816">
        <f t="shared" si="20"/>
        <v>0.25</v>
      </c>
      <c r="P45" s="829">
        <f t="shared" si="22"/>
        <v>0.5</v>
      </c>
      <c r="Q45" s="830">
        <v>-0.21</v>
      </c>
      <c r="R45" s="871">
        <f t="shared" si="23"/>
        <v>0.21</v>
      </c>
      <c r="S45" s="830">
        <v>2.5</v>
      </c>
      <c r="T45" s="871">
        <f t="shared" si="24"/>
        <v>-0.5</v>
      </c>
      <c r="U45" s="868">
        <f t="shared" si="25"/>
        <v>1.145</v>
      </c>
      <c r="V45" s="868">
        <f t="shared" si="26"/>
        <v>1.355</v>
      </c>
      <c r="W45" s="829">
        <v>17</v>
      </c>
      <c r="X45" s="829">
        <v>28</v>
      </c>
      <c r="Y45" s="829">
        <v>3</v>
      </c>
      <c r="Z45" s="829">
        <v>3</v>
      </c>
      <c r="AA45" s="829">
        <v>44</v>
      </c>
      <c r="AB45" s="829">
        <v>56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32</v>
      </c>
      <c r="AH45" s="891" t="s">
        <v>1877</v>
      </c>
      <c r="AI45" s="891" t="s">
        <v>34</v>
      </c>
      <c r="AJ45" s="891" t="s">
        <v>32</v>
      </c>
      <c r="AK45" s="891" t="s">
        <v>32</v>
      </c>
      <c r="AL45" s="891" t="s">
        <v>1886</v>
      </c>
      <c r="AM45" s="891" t="s">
        <v>2849</v>
      </c>
      <c r="AN45" s="891" t="s">
        <v>2872</v>
      </c>
      <c r="AO45" s="891" t="s">
        <v>32</v>
      </c>
      <c r="AP45" s="891" t="s">
        <v>32</v>
      </c>
      <c r="AQ45" s="891" t="s">
        <v>1877</v>
      </c>
      <c r="AR45" s="891" t="s">
        <v>34</v>
      </c>
      <c r="AS45" s="891" t="s">
        <v>35</v>
      </c>
      <c r="AT45" s="891" t="s">
        <v>32</v>
      </c>
      <c r="AU45" s="891" t="s">
        <v>32</v>
      </c>
      <c r="AV45" s="891" t="s">
        <v>35</v>
      </c>
      <c r="AW45" s="891" t="s">
        <v>36</v>
      </c>
      <c r="AX45" s="891" t="s">
        <v>34</v>
      </c>
      <c r="AY45" s="891" t="s">
        <v>34</v>
      </c>
      <c r="AZ45" s="891" t="s">
        <v>34</v>
      </c>
      <c r="BA45" s="891" t="s">
        <v>1877</v>
      </c>
      <c r="BB45" s="891" t="s">
        <v>1886</v>
      </c>
      <c r="BC45" s="891" t="s">
        <v>1886</v>
      </c>
      <c r="BD45" s="891" t="s">
        <v>34</v>
      </c>
      <c r="BE45" s="891" t="s">
        <v>34</v>
      </c>
      <c r="BF45" s="891" t="s">
        <v>1877</v>
      </c>
      <c r="BG45" s="891" t="s">
        <v>36</v>
      </c>
      <c r="BH45" s="891" t="s">
        <v>36</v>
      </c>
      <c r="BI45" s="891" t="s">
        <v>34</v>
      </c>
      <c r="BJ45" s="891" t="s">
        <v>2850</v>
      </c>
      <c r="BK45" s="891"/>
      <c r="BL45" s="910"/>
      <c r="BM45" s="910"/>
      <c r="BN45" s="891"/>
      <c r="BO45" s="891"/>
      <c r="BP45" s="891"/>
      <c r="BQ45" s="891"/>
      <c r="BR45" s="891"/>
      <c r="BS45" s="891"/>
      <c r="BT45" s="891"/>
      <c r="BU45" s="891"/>
      <c r="BV45" s="891"/>
      <c r="BW45" s="891"/>
      <c r="BX45" s="891"/>
      <c r="BY45" s="891"/>
      <c r="BZ45" s="891"/>
      <c r="CA45" s="891"/>
      <c r="CB45" s="891"/>
      <c r="CC45" s="891"/>
      <c r="CD45" s="891"/>
      <c r="CE45" s="428"/>
      <c r="CF45" s="428"/>
      <c r="CG45" s="428"/>
      <c r="CH45" s="428"/>
    </row>
    <row r="46" spans="1:120" ht="15">
      <c r="A46" s="912">
        <v>6403</v>
      </c>
      <c r="B46" s="894"/>
      <c r="C46" s="894"/>
      <c r="D46" s="894"/>
      <c r="E46" s="894"/>
      <c r="F46" s="894"/>
      <c r="G46" s="828" t="s">
        <v>2766</v>
      </c>
      <c r="H46" s="828" t="s">
        <v>2763</v>
      </c>
      <c r="I46" s="828" t="s">
        <v>2649</v>
      </c>
      <c r="J46" s="898">
        <v>0</v>
      </c>
      <c r="K46" s="898">
        <v>1</v>
      </c>
      <c r="L46" s="816" t="str">
        <f t="shared" si="29"/>
        <v>L</v>
      </c>
      <c r="M46" s="816">
        <f t="shared" si="30"/>
        <v>1</v>
      </c>
      <c r="N46" s="816" t="str">
        <f t="shared" si="31"/>
        <v>U</v>
      </c>
      <c r="O46" s="816"/>
      <c r="P46" s="829"/>
      <c r="Q46" s="830"/>
      <c r="R46" s="871" t="str">
        <f t="shared" si="23"/>
        <v/>
      </c>
      <c r="S46" s="830"/>
      <c r="T46" s="871" t="str">
        <f t="shared" si="24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1877</v>
      </c>
      <c r="AH46" s="891" t="s">
        <v>34</v>
      </c>
      <c r="AI46" s="891" t="s">
        <v>32</v>
      </c>
      <c r="AJ46" s="891" t="s">
        <v>32</v>
      </c>
      <c r="AK46" s="891" t="s">
        <v>32</v>
      </c>
      <c r="AL46" s="891" t="s">
        <v>1886</v>
      </c>
      <c r="AM46" s="891" t="s">
        <v>34</v>
      </c>
      <c r="AN46" s="891" t="s">
        <v>2872</v>
      </c>
      <c r="AO46" s="891" t="s">
        <v>32</v>
      </c>
      <c r="AP46" s="891" t="s">
        <v>34</v>
      </c>
      <c r="AQ46" s="891" t="s">
        <v>34</v>
      </c>
      <c r="AR46" s="891" t="s">
        <v>32</v>
      </c>
      <c r="AS46" s="891" t="s">
        <v>32</v>
      </c>
      <c r="AT46" s="891" t="s">
        <v>36</v>
      </c>
      <c r="AU46" s="891" t="s">
        <v>36</v>
      </c>
      <c r="AV46" s="891" t="s">
        <v>1877</v>
      </c>
      <c r="AW46" s="891" t="s">
        <v>34</v>
      </c>
      <c r="AX46" s="891" t="s">
        <v>1877</v>
      </c>
      <c r="AY46" s="891" t="s">
        <v>32</v>
      </c>
      <c r="AZ46" s="891" t="s">
        <v>32</v>
      </c>
      <c r="BA46" s="891" t="s">
        <v>35</v>
      </c>
      <c r="BB46" s="891" t="s">
        <v>34</v>
      </c>
      <c r="BC46" s="891" t="s">
        <v>1886</v>
      </c>
      <c r="BD46" s="891" t="s">
        <v>32</v>
      </c>
      <c r="BE46" s="891" t="s">
        <v>1877</v>
      </c>
      <c r="BF46" s="891" t="s">
        <v>34</v>
      </c>
      <c r="BG46" s="891" t="s">
        <v>34</v>
      </c>
      <c r="BH46" s="891" t="s">
        <v>34</v>
      </c>
      <c r="BI46" s="891" t="s">
        <v>32</v>
      </c>
      <c r="BJ46" s="891" t="s">
        <v>1877</v>
      </c>
      <c r="BK46" s="891" t="s">
        <v>35</v>
      </c>
      <c r="BL46" s="910"/>
      <c r="BM46" s="910"/>
      <c r="BN46" s="891"/>
      <c r="BO46" s="891"/>
      <c r="BP46" s="891"/>
      <c r="BQ46" s="891"/>
      <c r="BR46" s="891"/>
      <c r="BS46" s="891"/>
      <c r="BT46" s="891"/>
      <c r="BU46" s="891"/>
      <c r="BV46" s="891"/>
      <c r="BW46" s="891"/>
      <c r="BX46" s="891"/>
      <c r="BY46" s="891"/>
      <c r="BZ46" s="891"/>
      <c r="CA46" s="891"/>
      <c r="CB46" s="891"/>
      <c r="CC46" s="891"/>
      <c r="CD46" s="891"/>
      <c r="CE46" s="428"/>
      <c r="CF46" s="428"/>
      <c r="CG46" s="428"/>
      <c r="CH46" s="428"/>
    </row>
    <row r="47" spans="1:120" ht="15">
      <c r="A47" s="882">
        <v>6406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17</v>
      </c>
      <c r="G47" s="879" t="s">
        <v>875</v>
      </c>
      <c r="H47" s="879" t="s">
        <v>18</v>
      </c>
      <c r="I47" s="879" t="s">
        <v>891</v>
      </c>
      <c r="J47" s="846">
        <v>2</v>
      </c>
      <c r="K47" s="846">
        <v>1</v>
      </c>
      <c r="L47" s="816" t="str">
        <f t="shared" si="29"/>
        <v>W</v>
      </c>
      <c r="M47" s="816">
        <f t="shared" si="30"/>
        <v>3</v>
      </c>
      <c r="N47" s="816" t="str">
        <f t="shared" si="31"/>
        <v>O</v>
      </c>
      <c r="O47" s="816">
        <f t="shared" si="20"/>
        <v>-0.25</v>
      </c>
      <c r="P47" s="829">
        <f t="shared" si="22"/>
        <v>1</v>
      </c>
      <c r="Q47" s="830">
        <v>0.26</v>
      </c>
      <c r="R47" s="871">
        <f t="shared" si="23"/>
        <v>0.74</v>
      </c>
      <c r="S47" s="830">
        <v>2.44</v>
      </c>
      <c r="T47" s="871">
        <f t="shared" si="24"/>
        <v>0.56000000000000005</v>
      </c>
      <c r="U47" s="868">
        <f t="shared" si="25"/>
        <v>1.35</v>
      </c>
      <c r="V47" s="868">
        <f t="shared" si="26"/>
        <v>1.0899999999999999</v>
      </c>
      <c r="W47" s="829">
        <v>16</v>
      </c>
      <c r="X47" s="829">
        <v>12</v>
      </c>
      <c r="Y47" s="829">
        <v>5</v>
      </c>
      <c r="Z47" s="829">
        <v>4</v>
      </c>
      <c r="AA47" s="829">
        <v>48</v>
      </c>
      <c r="AB47" s="829">
        <v>52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32</v>
      </c>
      <c r="AH47" s="891" t="s">
        <v>1877</v>
      </c>
      <c r="AI47" s="891" t="s">
        <v>34</v>
      </c>
      <c r="AJ47" s="891" t="s">
        <v>32</v>
      </c>
      <c r="AK47" s="891" t="s">
        <v>32</v>
      </c>
      <c r="AL47" s="891" t="s">
        <v>1886</v>
      </c>
      <c r="AM47" s="891" t="s">
        <v>36</v>
      </c>
      <c r="AN47" s="891" t="s">
        <v>1886</v>
      </c>
      <c r="AO47" s="891" t="s">
        <v>32</v>
      </c>
      <c r="AP47" s="891" t="s">
        <v>32</v>
      </c>
      <c r="AQ47" s="891" t="s">
        <v>32</v>
      </c>
      <c r="AR47" s="891" t="s">
        <v>34</v>
      </c>
      <c r="AS47" s="904" t="s">
        <v>35</v>
      </c>
      <c r="AT47" s="891" t="s">
        <v>36</v>
      </c>
      <c r="AU47" s="891" t="s">
        <v>36</v>
      </c>
      <c r="AV47" s="891" t="s">
        <v>35</v>
      </c>
      <c r="AW47" s="891" t="s">
        <v>1877</v>
      </c>
      <c r="AX47" s="891" t="s">
        <v>34</v>
      </c>
      <c r="AY47" s="891" t="s">
        <v>34</v>
      </c>
      <c r="AZ47" s="891" t="s">
        <v>2882</v>
      </c>
      <c r="BA47" s="891" t="s">
        <v>32</v>
      </c>
      <c r="BB47" s="891" t="s">
        <v>32</v>
      </c>
      <c r="BC47" s="891" t="s">
        <v>1886</v>
      </c>
      <c r="BD47" s="891" t="s">
        <v>34</v>
      </c>
      <c r="BE47" s="891" t="s">
        <v>2882</v>
      </c>
      <c r="BF47" s="891" t="s">
        <v>1877</v>
      </c>
      <c r="BG47" s="891" t="s">
        <v>32</v>
      </c>
      <c r="BH47" s="891" t="s">
        <v>1877</v>
      </c>
      <c r="BI47" s="891" t="s">
        <v>34</v>
      </c>
      <c r="BJ47" s="891" t="s">
        <v>35</v>
      </c>
      <c r="BK47" s="891"/>
      <c r="BL47" s="910"/>
      <c r="BM47" s="910"/>
      <c r="BN47" s="891"/>
      <c r="BO47" s="891"/>
      <c r="BP47" s="891"/>
      <c r="BQ47" s="891"/>
      <c r="BR47" s="891"/>
      <c r="BS47" s="891"/>
      <c r="BT47" s="891"/>
      <c r="BU47" s="891"/>
      <c r="BV47" s="891"/>
      <c r="BW47" s="891"/>
      <c r="BX47" s="891"/>
      <c r="BY47" s="891"/>
      <c r="BZ47" s="896"/>
      <c r="CA47" s="896"/>
      <c r="CB47" s="896"/>
      <c r="CC47" s="896"/>
      <c r="CD47" s="896"/>
      <c r="CE47" s="428"/>
      <c r="CF47" s="428"/>
      <c r="CG47" s="428"/>
      <c r="CH47" s="428"/>
    </row>
    <row r="48" spans="1:120" ht="15">
      <c r="A48" s="882">
        <v>6414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20</v>
      </c>
      <c r="G48" s="879" t="s">
        <v>882</v>
      </c>
      <c r="H48" s="879" t="s">
        <v>22</v>
      </c>
      <c r="I48" s="879" t="s">
        <v>891</v>
      </c>
      <c r="J48" s="846">
        <v>2</v>
      </c>
      <c r="K48" s="846">
        <v>1</v>
      </c>
      <c r="L48" s="816" t="str">
        <f t="shared" si="29"/>
        <v>W</v>
      </c>
      <c r="M48" s="816">
        <f t="shared" si="30"/>
        <v>3</v>
      </c>
      <c r="N48" s="816" t="str">
        <f t="shared" si="31"/>
        <v>O</v>
      </c>
      <c r="O48" s="816">
        <f t="shared" si="20"/>
        <v>-0.25</v>
      </c>
      <c r="P48" s="829">
        <f t="shared" si="22"/>
        <v>1</v>
      </c>
      <c r="Q48" s="830">
        <v>0.23</v>
      </c>
      <c r="R48" s="871">
        <f t="shared" si="23"/>
        <v>0.77</v>
      </c>
      <c r="S48" s="830">
        <v>2.5</v>
      </c>
      <c r="T48" s="871">
        <f t="shared" si="24"/>
        <v>0.5</v>
      </c>
      <c r="U48" s="868">
        <f t="shared" si="25"/>
        <v>1.365</v>
      </c>
      <c r="V48" s="868">
        <f t="shared" si="26"/>
        <v>1.135</v>
      </c>
      <c r="W48" s="829">
        <v>19</v>
      </c>
      <c r="X48" s="829">
        <v>14</v>
      </c>
      <c r="Y48" s="829">
        <v>6</v>
      </c>
      <c r="Z48" s="829">
        <v>5</v>
      </c>
      <c r="AA48" s="829">
        <v>44</v>
      </c>
      <c r="AB48" s="829">
        <v>56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32</v>
      </c>
      <c r="AH48" s="891" t="s">
        <v>1877</v>
      </c>
      <c r="AI48" s="891" t="s">
        <v>34</v>
      </c>
      <c r="AJ48" s="891" t="s">
        <v>32</v>
      </c>
      <c r="AK48" s="891" t="s">
        <v>32</v>
      </c>
      <c r="AL48" s="891" t="s">
        <v>1886</v>
      </c>
      <c r="AM48" s="891" t="s">
        <v>34</v>
      </c>
      <c r="AN48" s="891" t="s">
        <v>1886</v>
      </c>
      <c r="AO48" s="891" t="s">
        <v>32</v>
      </c>
      <c r="AP48" s="891" t="s">
        <v>32</v>
      </c>
      <c r="AQ48" s="891" t="s">
        <v>1877</v>
      </c>
      <c r="AR48" s="891" t="s">
        <v>32</v>
      </c>
      <c r="AS48" s="891" t="s">
        <v>34</v>
      </c>
      <c r="AT48" s="891" t="s">
        <v>36</v>
      </c>
      <c r="AU48" s="891" t="s">
        <v>36</v>
      </c>
      <c r="AV48" s="891" t="s">
        <v>35</v>
      </c>
      <c r="AW48" s="891" t="s">
        <v>1877</v>
      </c>
      <c r="AX48" s="891" t="s">
        <v>34</v>
      </c>
      <c r="AY48" s="891" t="s">
        <v>34</v>
      </c>
      <c r="AZ48" s="904" t="s">
        <v>34</v>
      </c>
      <c r="BA48" s="891" t="s">
        <v>32</v>
      </c>
      <c r="BB48" s="891" t="s">
        <v>32</v>
      </c>
      <c r="BC48" s="891" t="s">
        <v>1886</v>
      </c>
      <c r="BD48" s="891" t="s">
        <v>34</v>
      </c>
      <c r="BE48" s="891" t="s">
        <v>35</v>
      </c>
      <c r="BF48" s="891" t="s">
        <v>1877</v>
      </c>
      <c r="BG48" s="891" t="s">
        <v>32</v>
      </c>
      <c r="BH48" s="891" t="s">
        <v>36</v>
      </c>
      <c r="BI48" s="891" t="s">
        <v>2916</v>
      </c>
      <c r="BJ48" s="891" t="s">
        <v>34</v>
      </c>
      <c r="BK48" s="891"/>
      <c r="BL48" s="891"/>
      <c r="BM48" s="891"/>
      <c r="BN48" s="891"/>
      <c r="BO48" s="891"/>
      <c r="BP48" s="891"/>
      <c r="BQ48" s="891"/>
      <c r="BR48" s="891"/>
      <c r="BS48" s="891"/>
      <c r="BT48" s="891"/>
      <c r="BU48" s="891"/>
      <c r="BV48" s="891"/>
      <c r="BW48" s="891"/>
      <c r="BX48" s="891"/>
      <c r="BY48" s="891"/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86" ht="15">
      <c r="A49" s="882">
        <v>6421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2</v>
      </c>
      <c r="G49" s="879" t="s">
        <v>886</v>
      </c>
      <c r="H49" s="879" t="s">
        <v>22</v>
      </c>
      <c r="I49" s="879" t="s">
        <v>891</v>
      </c>
      <c r="J49" s="846">
        <v>2</v>
      </c>
      <c r="K49" s="846">
        <v>0</v>
      </c>
      <c r="L49" s="816" t="str">
        <f t="shared" si="29"/>
        <v>W</v>
      </c>
      <c r="M49" s="816">
        <f t="shared" si="30"/>
        <v>2</v>
      </c>
      <c r="N49" s="816" t="str">
        <f t="shared" si="31"/>
        <v>U</v>
      </c>
      <c r="O49" s="816">
        <f t="shared" si="20"/>
        <v>0</v>
      </c>
      <c r="P49" s="829">
        <f t="shared" si="22"/>
        <v>1</v>
      </c>
      <c r="Q49" s="830">
        <v>0.08</v>
      </c>
      <c r="R49" s="871">
        <f t="shared" si="23"/>
        <v>1.92</v>
      </c>
      <c r="S49" s="830">
        <v>2.1</v>
      </c>
      <c r="T49" s="871">
        <f t="shared" si="24"/>
        <v>-0.10000000000000009</v>
      </c>
      <c r="U49" s="868">
        <f t="shared" si="25"/>
        <v>1.0900000000000001</v>
      </c>
      <c r="V49" s="868">
        <f t="shared" si="26"/>
        <v>1.01</v>
      </c>
      <c r="W49" s="829">
        <v>18</v>
      </c>
      <c r="X49" s="829">
        <v>21</v>
      </c>
      <c r="Y49" s="829">
        <v>8</v>
      </c>
      <c r="Z49" s="829">
        <v>5</v>
      </c>
      <c r="AA49" s="829">
        <v>50</v>
      </c>
      <c r="AB49" s="829">
        <v>50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32</v>
      </c>
      <c r="AH49" s="891" t="s">
        <v>1877</v>
      </c>
      <c r="AI49" s="891" t="s">
        <v>34</v>
      </c>
      <c r="AJ49" s="891" t="s">
        <v>32</v>
      </c>
      <c r="AK49" s="891" t="s">
        <v>32</v>
      </c>
      <c r="AL49" s="891" t="s">
        <v>2946</v>
      </c>
      <c r="AM49" s="891" t="s">
        <v>2974</v>
      </c>
      <c r="AN49" s="891" t="s">
        <v>2972</v>
      </c>
      <c r="AO49" s="891" t="s">
        <v>32</v>
      </c>
      <c r="AP49" s="891" t="s">
        <v>32</v>
      </c>
      <c r="AQ49" s="891" t="s">
        <v>32</v>
      </c>
      <c r="AR49" s="891" t="s">
        <v>2980</v>
      </c>
      <c r="AS49" s="891" t="s">
        <v>35</v>
      </c>
      <c r="AT49" s="891" t="s">
        <v>36</v>
      </c>
      <c r="AU49" s="891" t="s">
        <v>35</v>
      </c>
      <c r="AV49" s="891" t="s">
        <v>36</v>
      </c>
      <c r="AW49" s="891" t="s">
        <v>1877</v>
      </c>
      <c r="AX49" s="891" t="s">
        <v>34</v>
      </c>
      <c r="AY49" s="891" t="s">
        <v>34</v>
      </c>
      <c r="AZ49" s="891" t="s">
        <v>34</v>
      </c>
      <c r="BA49" s="891" t="s">
        <v>32</v>
      </c>
      <c r="BB49" s="891" t="s">
        <v>32</v>
      </c>
      <c r="BC49" s="891" t="s">
        <v>2946</v>
      </c>
      <c r="BD49" s="891" t="s">
        <v>34</v>
      </c>
      <c r="BE49" s="891" t="s">
        <v>34</v>
      </c>
      <c r="BF49" s="891" t="s">
        <v>1877</v>
      </c>
      <c r="BG49" s="891" t="s">
        <v>36</v>
      </c>
      <c r="BH49" s="891" t="s">
        <v>1877</v>
      </c>
      <c r="BI49" s="891" t="s">
        <v>34</v>
      </c>
      <c r="BJ49" s="891" t="s">
        <v>2973</v>
      </c>
      <c r="BK49" s="891" t="s">
        <v>32</v>
      </c>
      <c r="BL49" s="891" t="s">
        <v>32</v>
      </c>
      <c r="BM49" s="891" t="s">
        <v>32</v>
      </c>
      <c r="BN49" s="891"/>
      <c r="BO49" s="891"/>
      <c r="BP49" s="891"/>
      <c r="BQ49" s="891"/>
      <c r="BR49" s="891"/>
      <c r="BS49" s="891"/>
      <c r="BT49" s="891"/>
      <c r="BU49" s="891"/>
      <c r="BV49" s="891"/>
      <c r="BW49" s="891"/>
      <c r="BX49" s="891"/>
      <c r="BY49" s="891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86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12</v>
      </c>
      <c r="G50" s="879" t="s">
        <v>879</v>
      </c>
      <c r="H50" s="879" t="s">
        <v>18</v>
      </c>
      <c r="I50" s="879" t="s">
        <v>891</v>
      </c>
      <c r="J50" s="846">
        <v>1</v>
      </c>
      <c r="K50" s="846">
        <v>1</v>
      </c>
      <c r="L50" s="816" t="str">
        <f t="shared" si="29"/>
        <v>D</v>
      </c>
      <c r="M50" s="816">
        <f t="shared" si="30"/>
        <v>2</v>
      </c>
      <c r="N50" s="816" t="str">
        <f t="shared" si="31"/>
        <v>U</v>
      </c>
      <c r="O50" s="816">
        <f t="shared" si="20"/>
        <v>0.25</v>
      </c>
      <c r="P50" s="829">
        <f t="shared" si="22"/>
        <v>0.5</v>
      </c>
      <c r="Q50" s="830">
        <v>-0.28000000000000003</v>
      </c>
      <c r="R50" s="871">
        <f t="shared" si="23"/>
        <v>0.28000000000000003</v>
      </c>
      <c r="S50" s="830">
        <v>2.4300000000000002</v>
      </c>
      <c r="T50" s="871">
        <f t="shared" si="24"/>
        <v>-0.43000000000000016</v>
      </c>
      <c r="U50" s="868">
        <f t="shared" si="25"/>
        <v>1.0750000000000002</v>
      </c>
      <c r="V50" s="868">
        <f t="shared" si="26"/>
        <v>1.355</v>
      </c>
      <c r="W50" s="829">
        <v>11</v>
      </c>
      <c r="X50" s="829">
        <v>11</v>
      </c>
      <c r="Y50" s="829">
        <v>5</v>
      </c>
      <c r="Z50" s="829">
        <v>3</v>
      </c>
      <c r="AA50" s="829">
        <v>46</v>
      </c>
      <c r="AB50" s="829">
        <v>54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32</v>
      </c>
      <c r="AH50" s="891" t="s">
        <v>1877</v>
      </c>
      <c r="AI50" s="891" t="s">
        <v>34</v>
      </c>
      <c r="AJ50" s="891" t="s">
        <v>32</v>
      </c>
      <c r="AK50" s="891" t="s">
        <v>32</v>
      </c>
      <c r="AL50" s="891" t="s">
        <v>3030</v>
      </c>
      <c r="AM50" s="891" t="s">
        <v>34</v>
      </c>
      <c r="AN50" s="891" t="s">
        <v>3031</v>
      </c>
      <c r="AO50" s="891" t="s">
        <v>32</v>
      </c>
      <c r="AP50" s="891" t="s">
        <v>32</v>
      </c>
      <c r="AQ50" s="891" t="s">
        <v>32</v>
      </c>
      <c r="AR50" s="891" t="s">
        <v>3032</v>
      </c>
      <c r="AS50" s="891" t="s">
        <v>34</v>
      </c>
      <c r="AT50" s="891" t="s">
        <v>36</v>
      </c>
      <c r="AU50" s="891" t="s">
        <v>35</v>
      </c>
      <c r="AV50" s="891" t="s">
        <v>35</v>
      </c>
      <c r="AW50" s="891" t="s">
        <v>1877</v>
      </c>
      <c r="AX50" s="891" t="s">
        <v>34</v>
      </c>
      <c r="AY50" s="891" t="s">
        <v>34</v>
      </c>
      <c r="AZ50" s="891" t="s">
        <v>3033</v>
      </c>
      <c r="BA50" s="891" t="s">
        <v>32</v>
      </c>
      <c r="BB50" s="891" t="s">
        <v>32</v>
      </c>
      <c r="BC50" s="891" t="s">
        <v>32</v>
      </c>
      <c r="BD50" s="891" t="s">
        <v>34</v>
      </c>
      <c r="BE50" s="891" t="s">
        <v>34</v>
      </c>
      <c r="BF50" s="891" t="s">
        <v>1877</v>
      </c>
      <c r="BG50" s="891" t="s">
        <v>36</v>
      </c>
      <c r="BH50" s="906" t="s">
        <v>3034</v>
      </c>
      <c r="BI50" s="891" t="s">
        <v>35</v>
      </c>
      <c r="BJ50" s="891" t="s">
        <v>32</v>
      </c>
      <c r="BK50" s="891" t="s">
        <v>32</v>
      </c>
      <c r="BL50" s="891" t="s">
        <v>32</v>
      </c>
      <c r="BM50" s="891" t="s">
        <v>32</v>
      </c>
      <c r="BN50" s="891"/>
      <c r="BO50" s="891"/>
      <c r="BP50" s="891"/>
      <c r="BQ50" s="891"/>
      <c r="BR50" s="891"/>
      <c r="BS50" s="891"/>
      <c r="BT50" s="891"/>
      <c r="BU50" s="891"/>
      <c r="BV50" s="891"/>
      <c r="BW50" s="891"/>
      <c r="BX50" s="891"/>
      <c r="BY50" s="891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86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18</v>
      </c>
      <c r="G51" s="879" t="s">
        <v>887</v>
      </c>
      <c r="H51" s="879" t="s">
        <v>18</v>
      </c>
      <c r="I51" s="879" t="s">
        <v>891</v>
      </c>
      <c r="J51" s="846">
        <v>1</v>
      </c>
      <c r="K51" s="846">
        <v>1</v>
      </c>
      <c r="L51" s="816" t="str">
        <f t="shared" si="29"/>
        <v>D</v>
      </c>
      <c r="M51" s="816">
        <f t="shared" si="30"/>
        <v>2</v>
      </c>
      <c r="N51" s="816" t="str">
        <f t="shared" si="31"/>
        <v>U</v>
      </c>
      <c r="O51" s="816">
        <f t="shared" si="20"/>
        <v>0</v>
      </c>
      <c r="P51" s="829">
        <f t="shared" si="22"/>
        <v>0</v>
      </c>
      <c r="Q51" s="830">
        <v>-0.13</v>
      </c>
      <c r="R51" s="871">
        <f t="shared" si="23"/>
        <v>0.13</v>
      </c>
      <c r="S51" s="830">
        <v>2.58</v>
      </c>
      <c r="T51" s="871">
        <f t="shared" si="24"/>
        <v>-0.58000000000000007</v>
      </c>
      <c r="U51" s="868">
        <f t="shared" si="25"/>
        <v>1.2250000000000001</v>
      </c>
      <c r="V51" s="868">
        <f t="shared" si="26"/>
        <v>1.355</v>
      </c>
      <c r="W51" s="829">
        <v>9</v>
      </c>
      <c r="X51" s="829">
        <v>19</v>
      </c>
      <c r="Y51" s="829">
        <v>5</v>
      </c>
      <c r="Z51" s="829">
        <v>4</v>
      </c>
      <c r="AA51" s="829">
        <v>35</v>
      </c>
      <c r="AB51" s="829">
        <v>65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/>
      <c r="AH51" s="891" t="s">
        <v>1877</v>
      </c>
      <c r="AI51" s="891" t="s">
        <v>34</v>
      </c>
      <c r="AJ51" s="891" t="s">
        <v>32</v>
      </c>
      <c r="AK51" s="891" t="s">
        <v>32</v>
      </c>
      <c r="AL51" s="891" t="s">
        <v>1886</v>
      </c>
      <c r="AM51" s="891" t="s">
        <v>34</v>
      </c>
      <c r="AN51" s="891" t="s">
        <v>1886</v>
      </c>
      <c r="AO51" s="891" t="s">
        <v>32</v>
      </c>
      <c r="AP51" s="891" t="s">
        <v>32</v>
      </c>
      <c r="AQ51" s="891" t="s">
        <v>32</v>
      </c>
      <c r="AR51" s="891" t="s">
        <v>1886</v>
      </c>
      <c r="AS51" s="891" t="s">
        <v>35</v>
      </c>
      <c r="AT51" s="891" t="s">
        <v>34</v>
      </c>
      <c r="AU51" s="891" t="s">
        <v>34</v>
      </c>
      <c r="AV51" s="891" t="s">
        <v>36</v>
      </c>
      <c r="AW51" s="891" t="s">
        <v>1877</v>
      </c>
      <c r="AX51" s="891" t="s">
        <v>34</v>
      </c>
      <c r="AY51" s="891" t="s">
        <v>34</v>
      </c>
      <c r="AZ51" s="891" t="s">
        <v>3069</v>
      </c>
      <c r="BA51" s="891" t="s">
        <v>32</v>
      </c>
      <c r="BB51" s="891" t="s">
        <v>32</v>
      </c>
      <c r="BC51" s="891" t="s">
        <v>32</v>
      </c>
      <c r="BD51" s="891" t="s">
        <v>34</v>
      </c>
      <c r="BE51" s="904" t="s">
        <v>35</v>
      </c>
      <c r="BF51" s="891" t="s">
        <v>1877</v>
      </c>
      <c r="BG51" s="891" t="s">
        <v>36</v>
      </c>
      <c r="BH51" s="891" t="s">
        <v>1877</v>
      </c>
      <c r="BI51" s="891" t="s">
        <v>1886</v>
      </c>
      <c r="BJ51" s="904" t="s">
        <v>35</v>
      </c>
      <c r="BK51" s="891"/>
      <c r="BL51" s="891" t="s">
        <v>1972</v>
      </c>
      <c r="BM51" s="891"/>
      <c r="BN51" s="891"/>
      <c r="BO51" s="891"/>
      <c r="BP51" s="891"/>
      <c r="BQ51" s="891"/>
      <c r="BR51" s="891"/>
      <c r="BS51" s="891"/>
      <c r="BT51" s="891"/>
      <c r="BU51" s="891"/>
      <c r="BV51" s="891"/>
      <c r="BW51" s="891"/>
      <c r="BX51" s="891"/>
      <c r="BY51" s="891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86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15</v>
      </c>
      <c r="G52" s="879" t="s">
        <v>881</v>
      </c>
      <c r="H52" s="879" t="s">
        <v>22</v>
      </c>
      <c r="I52" s="879" t="s">
        <v>891</v>
      </c>
      <c r="J52" s="846">
        <v>0</v>
      </c>
      <c r="K52" s="846">
        <v>1</v>
      </c>
      <c r="L52" s="816" t="str">
        <f t="shared" si="29"/>
        <v>L</v>
      </c>
      <c r="M52" s="816">
        <f t="shared" si="30"/>
        <v>1</v>
      </c>
      <c r="N52" s="816" t="str">
        <f t="shared" si="31"/>
        <v>U</v>
      </c>
      <c r="O52" s="816">
        <f t="shared" si="20"/>
        <v>-0.5</v>
      </c>
      <c r="P52" s="829">
        <f t="shared" si="22"/>
        <v>-1</v>
      </c>
      <c r="Q52" s="830">
        <v>0.43</v>
      </c>
      <c r="R52" s="871">
        <f t="shared" si="23"/>
        <v>-1.43</v>
      </c>
      <c r="S52" s="830">
        <v>2.58</v>
      </c>
      <c r="T52" s="871">
        <f t="shared" si="24"/>
        <v>-1.58</v>
      </c>
      <c r="U52" s="868">
        <f t="shared" si="25"/>
        <v>1.5050000000000001</v>
      </c>
      <c r="V52" s="868">
        <f t="shared" si="26"/>
        <v>1.075</v>
      </c>
      <c r="W52" s="829">
        <v>10</v>
      </c>
      <c r="X52" s="829">
        <v>4</v>
      </c>
      <c r="Y52" s="829">
        <v>1</v>
      </c>
      <c r="Z52" s="829">
        <v>2</v>
      </c>
      <c r="AA52" s="829">
        <v>54</v>
      </c>
      <c r="AB52" s="829">
        <v>46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/>
      <c r="AH52" s="891" t="s">
        <v>1877</v>
      </c>
      <c r="AI52" s="891" t="s">
        <v>34</v>
      </c>
      <c r="AJ52" s="891" t="s">
        <v>32</v>
      </c>
      <c r="AK52" s="891" t="s">
        <v>32</v>
      </c>
      <c r="AL52" s="891" t="s">
        <v>32</v>
      </c>
      <c r="AM52" s="891" t="s">
        <v>34</v>
      </c>
      <c r="AN52" s="891" t="s">
        <v>32</v>
      </c>
      <c r="AO52" s="891" t="s">
        <v>32</v>
      </c>
      <c r="AP52" s="891" t="s">
        <v>32</v>
      </c>
      <c r="AQ52" s="891" t="s">
        <v>1877</v>
      </c>
      <c r="AR52" s="891" t="s">
        <v>1886</v>
      </c>
      <c r="AS52" s="891" t="s">
        <v>1877</v>
      </c>
      <c r="AT52" s="891" t="s">
        <v>32</v>
      </c>
      <c r="AU52" s="891" t="s">
        <v>36</v>
      </c>
      <c r="AV52" s="891" t="s">
        <v>36</v>
      </c>
      <c r="AW52" s="891" t="s">
        <v>35</v>
      </c>
      <c r="AX52" s="891" t="s">
        <v>34</v>
      </c>
      <c r="AY52" s="891" t="s">
        <v>34</v>
      </c>
      <c r="AZ52" s="891" t="s">
        <v>32</v>
      </c>
      <c r="BA52" s="891" t="s">
        <v>32</v>
      </c>
      <c r="BB52" s="891" t="s">
        <v>32</v>
      </c>
      <c r="BC52" s="891" t="s">
        <v>32</v>
      </c>
      <c r="BD52" s="891" t="s">
        <v>34</v>
      </c>
      <c r="BE52" s="891" t="s">
        <v>34</v>
      </c>
      <c r="BF52" s="891" t="s">
        <v>35</v>
      </c>
      <c r="BG52" s="891" t="s">
        <v>34</v>
      </c>
      <c r="BH52" s="891" t="s">
        <v>1877</v>
      </c>
      <c r="BI52" s="891" t="s">
        <v>1886</v>
      </c>
      <c r="BJ52" s="904" t="s">
        <v>34</v>
      </c>
      <c r="BK52" s="891" t="s">
        <v>32</v>
      </c>
      <c r="BL52" s="891" t="s">
        <v>35</v>
      </c>
      <c r="BM52" s="891" t="s">
        <v>3094</v>
      </c>
      <c r="BN52" s="891"/>
      <c r="BO52" s="891"/>
      <c r="BP52" s="891"/>
      <c r="BQ52" s="891"/>
      <c r="BR52" s="891"/>
      <c r="BS52" s="891"/>
      <c r="BT52" s="891"/>
      <c r="BU52" s="891"/>
      <c r="BV52" s="891"/>
      <c r="BW52" s="891"/>
      <c r="BX52" s="891"/>
      <c r="BY52" s="891"/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86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8</v>
      </c>
      <c r="G53" s="879" t="s">
        <v>880</v>
      </c>
      <c r="H53" s="879" t="s">
        <v>22</v>
      </c>
      <c r="I53" s="879" t="s">
        <v>891</v>
      </c>
      <c r="J53" s="846">
        <v>0</v>
      </c>
      <c r="K53" s="846">
        <v>0</v>
      </c>
      <c r="L53" s="816" t="str">
        <f t="shared" si="29"/>
        <v>D</v>
      </c>
      <c r="M53" s="816">
        <f t="shared" si="30"/>
        <v>0</v>
      </c>
      <c r="N53" s="816" t="str">
        <f t="shared" si="31"/>
        <v>U</v>
      </c>
      <c r="O53" s="816">
        <f t="shared" si="20"/>
        <v>0.25</v>
      </c>
      <c r="P53" s="829">
        <f t="shared" si="22"/>
        <v>0.5</v>
      </c>
      <c r="Q53" s="830">
        <v>-0.16</v>
      </c>
      <c r="R53" s="871">
        <f t="shared" si="23"/>
        <v>0.16</v>
      </c>
      <c r="S53" s="830">
        <v>2.42</v>
      </c>
      <c r="T53" s="871">
        <f t="shared" si="24"/>
        <v>-2.42</v>
      </c>
      <c r="U53" s="868">
        <f t="shared" si="25"/>
        <v>1.1299999999999999</v>
      </c>
      <c r="V53" s="868">
        <f t="shared" si="26"/>
        <v>1.29</v>
      </c>
      <c r="W53" s="829">
        <v>13</v>
      </c>
      <c r="X53" s="829">
        <v>15</v>
      </c>
      <c r="Y53" s="829">
        <v>2</v>
      </c>
      <c r="Z53" s="829">
        <v>4</v>
      </c>
      <c r="AA53" s="829">
        <v>54</v>
      </c>
      <c r="AB53" s="829">
        <v>46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32</v>
      </c>
      <c r="AH53" s="891" t="s">
        <v>1877</v>
      </c>
      <c r="AI53" s="891" t="s">
        <v>34</v>
      </c>
      <c r="AJ53" s="891" t="s">
        <v>32</v>
      </c>
      <c r="AK53" s="891" t="s">
        <v>32</v>
      </c>
      <c r="AL53" s="891" t="s">
        <v>32</v>
      </c>
      <c r="AM53" s="891" t="s">
        <v>34</v>
      </c>
      <c r="AN53" s="891" t="s">
        <v>32</v>
      </c>
      <c r="AO53" s="891" t="s">
        <v>32</v>
      </c>
      <c r="AP53" s="891" t="s">
        <v>32</v>
      </c>
      <c r="AQ53" s="891" t="s">
        <v>1877</v>
      </c>
      <c r="AR53" s="891" t="s">
        <v>3123</v>
      </c>
      <c r="AS53" s="891" t="s">
        <v>34</v>
      </c>
      <c r="AT53" s="891" t="s">
        <v>36</v>
      </c>
      <c r="AU53" s="891" t="s">
        <v>35</v>
      </c>
      <c r="AV53" s="891" t="s">
        <v>1877</v>
      </c>
      <c r="AW53" s="891" t="s">
        <v>36</v>
      </c>
      <c r="AX53" s="891" t="s">
        <v>34</v>
      </c>
      <c r="AY53" s="891" t="s">
        <v>34</v>
      </c>
      <c r="AZ53" s="891" t="s">
        <v>32</v>
      </c>
      <c r="BA53" s="891" t="s">
        <v>32</v>
      </c>
      <c r="BB53" s="891" t="s">
        <v>1877</v>
      </c>
      <c r="BC53" s="891" t="s">
        <v>32</v>
      </c>
      <c r="BD53" s="891" t="s">
        <v>34</v>
      </c>
      <c r="BE53" s="904" t="s">
        <v>34</v>
      </c>
      <c r="BF53" s="891" t="s">
        <v>35</v>
      </c>
      <c r="BG53" s="891" t="s">
        <v>34</v>
      </c>
      <c r="BH53" s="891" t="s">
        <v>36</v>
      </c>
      <c r="BI53" s="891" t="s">
        <v>3123</v>
      </c>
      <c r="BJ53" s="891" t="s">
        <v>3117</v>
      </c>
      <c r="BK53" s="891" t="s">
        <v>32</v>
      </c>
      <c r="BL53" s="891" t="s">
        <v>32</v>
      </c>
      <c r="BM53" s="904" t="s">
        <v>35</v>
      </c>
      <c r="BN53" s="891" t="s">
        <v>32</v>
      </c>
      <c r="BO53" s="891"/>
      <c r="BP53" s="891"/>
      <c r="BQ53" s="891"/>
      <c r="BR53" s="891"/>
      <c r="BS53" s="891"/>
      <c r="BT53" s="891"/>
      <c r="BU53" s="891"/>
      <c r="BV53" s="891"/>
      <c r="BW53" s="891"/>
      <c r="BX53" s="891"/>
      <c r="BY53" s="891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86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21</v>
      </c>
      <c r="G54" s="879" t="s">
        <v>890</v>
      </c>
      <c r="H54" s="879" t="s">
        <v>18</v>
      </c>
      <c r="I54" s="879" t="s">
        <v>891</v>
      </c>
      <c r="J54" s="846">
        <v>1</v>
      </c>
      <c r="K54" s="846">
        <v>0</v>
      </c>
      <c r="L54" s="816" t="str">
        <f t="shared" si="29"/>
        <v>W</v>
      </c>
      <c r="M54" s="816">
        <f t="shared" si="30"/>
        <v>1</v>
      </c>
      <c r="N54" s="816" t="str">
        <f t="shared" si="31"/>
        <v>U</v>
      </c>
      <c r="O54" s="816">
        <f t="shared" si="20"/>
        <v>-0.25</v>
      </c>
      <c r="P54" s="829">
        <f t="shared" si="22"/>
        <v>1</v>
      </c>
      <c r="Q54" s="830">
        <v>0.26</v>
      </c>
      <c r="R54" s="871">
        <f t="shared" si="23"/>
        <v>0.74</v>
      </c>
      <c r="S54" s="830">
        <v>2.2400000000000002</v>
      </c>
      <c r="T54" s="871">
        <f t="shared" si="24"/>
        <v>-1.2400000000000002</v>
      </c>
      <c r="U54" s="868">
        <f t="shared" si="25"/>
        <v>1.25</v>
      </c>
      <c r="V54" s="868">
        <f t="shared" si="26"/>
        <v>0.99000000000000021</v>
      </c>
      <c r="W54" s="829">
        <v>19</v>
      </c>
      <c r="X54" s="829">
        <v>7</v>
      </c>
      <c r="Y54" s="829">
        <v>6</v>
      </c>
      <c r="Z54" s="829">
        <v>2</v>
      </c>
      <c r="AA54" s="829">
        <v>51</v>
      </c>
      <c r="AB54" s="829">
        <v>49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/>
      <c r="AH54" s="891" t="s">
        <v>1877</v>
      </c>
      <c r="AI54" s="891" t="s">
        <v>34</v>
      </c>
      <c r="AJ54" s="891" t="s">
        <v>32</v>
      </c>
      <c r="AK54" s="891" t="s">
        <v>32</v>
      </c>
      <c r="AL54" s="891" t="s">
        <v>32</v>
      </c>
      <c r="AM54" s="891" t="s">
        <v>2872</v>
      </c>
      <c r="AN54" s="891" t="s">
        <v>32</v>
      </c>
      <c r="AO54" s="891" t="s">
        <v>32</v>
      </c>
      <c r="AP54" s="891" t="s">
        <v>32</v>
      </c>
      <c r="AQ54" s="891" t="s">
        <v>1877</v>
      </c>
      <c r="AR54" s="891" t="s">
        <v>34</v>
      </c>
      <c r="AS54" s="891" t="s">
        <v>34</v>
      </c>
      <c r="AT54" s="891" t="s">
        <v>34</v>
      </c>
      <c r="AU54" s="891" t="s">
        <v>35</v>
      </c>
      <c r="AV54" s="891" t="s">
        <v>36</v>
      </c>
      <c r="AW54" s="891" t="s">
        <v>1877</v>
      </c>
      <c r="AX54" s="891" t="s">
        <v>34</v>
      </c>
      <c r="AY54" s="891" t="s">
        <v>34</v>
      </c>
      <c r="AZ54" s="891" t="s">
        <v>32</v>
      </c>
      <c r="BA54" s="891" t="s">
        <v>32</v>
      </c>
      <c r="BB54" s="891" t="s">
        <v>1877</v>
      </c>
      <c r="BC54" s="891" t="s">
        <v>32</v>
      </c>
      <c r="BD54" s="891" t="s">
        <v>34</v>
      </c>
      <c r="BE54" s="891" t="s">
        <v>3170</v>
      </c>
      <c r="BF54" s="891" t="s">
        <v>35</v>
      </c>
      <c r="BG54" s="891" t="s">
        <v>36</v>
      </c>
      <c r="BH54" s="891" t="s">
        <v>36</v>
      </c>
      <c r="BI54" s="891" t="s">
        <v>32</v>
      </c>
      <c r="BJ54" s="891" t="s">
        <v>35</v>
      </c>
      <c r="BK54" s="891" t="s">
        <v>32</v>
      </c>
      <c r="BL54" s="891" t="s">
        <v>32</v>
      </c>
      <c r="BM54" s="904" t="s">
        <v>3162</v>
      </c>
      <c r="BN54" s="891"/>
      <c r="BO54" s="891"/>
      <c r="BP54" s="891"/>
      <c r="BQ54" s="891"/>
      <c r="BR54" s="891"/>
      <c r="BS54" s="891"/>
      <c r="BT54" s="891"/>
      <c r="BU54" s="891"/>
      <c r="BV54" s="891"/>
      <c r="BW54" s="891"/>
      <c r="BX54" s="891"/>
      <c r="BY54" s="891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86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11</v>
      </c>
      <c r="G55" s="879" t="s">
        <v>874</v>
      </c>
      <c r="H55" s="879" t="s">
        <v>18</v>
      </c>
      <c r="I55" s="879" t="s">
        <v>891</v>
      </c>
      <c r="J55" s="846">
        <v>1</v>
      </c>
      <c r="K55" s="846">
        <v>1</v>
      </c>
      <c r="L55" s="816" t="str">
        <f t="shared" si="29"/>
        <v>D</v>
      </c>
      <c r="M55" s="816">
        <f t="shared" si="30"/>
        <v>2</v>
      </c>
      <c r="N55" s="816" t="str">
        <f t="shared" si="31"/>
        <v>U</v>
      </c>
      <c r="O55" s="816">
        <f t="shared" ref="O55" si="40">IF(Q55="","",IF(SIGN(Q55)&lt;&gt;1,VLOOKUP(ABS(Q55),SUP_HDC,3,TRUE),-VLOOKUP(ABS(Q55),SUP_HDC,3,TRUE)))</f>
        <v>0</v>
      </c>
      <c r="P55" s="829">
        <f t="shared" ref="P55" si="41">IF(O55="","",IF((J55-K55+O55)&gt;=0.5,1,IF((J55-K55+O55)=0.25,0.5,IF((J55-K55+O55)&lt;=-0.5,-1,IF((J55-K55+O55)=-0.25,-0.5,0)))))</f>
        <v>0</v>
      </c>
      <c r="Q55" s="830">
        <v>-0.03</v>
      </c>
      <c r="R55" s="871">
        <f t="shared" ref="R55" si="42">IF(ISBLANK(Q55),"",J55-K55-Q55)</f>
        <v>0.03</v>
      </c>
      <c r="S55" s="830">
        <v>2.15</v>
      </c>
      <c r="T55" s="871">
        <f t="shared" ref="T55" si="43">IF(ISBLANK(S55),"",J55+K55-S55)</f>
        <v>-0.14999999999999991</v>
      </c>
      <c r="U55" s="868">
        <f t="shared" ref="U55" si="44">IF(Q55="","",(Q55+S55)/2)</f>
        <v>1.06</v>
      </c>
      <c r="V55" s="868">
        <f t="shared" ref="V55" si="45">IF(Q55="","",S55-U55)</f>
        <v>1.0899999999999999</v>
      </c>
      <c r="W55" s="829">
        <v>3</v>
      </c>
      <c r="X55" s="829">
        <v>15</v>
      </c>
      <c r="Y55" s="829">
        <v>1</v>
      </c>
      <c r="Z55" s="829">
        <v>4</v>
      </c>
      <c r="AA55" s="829">
        <v>37</v>
      </c>
      <c r="AB55" s="829">
        <v>63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/>
      <c r="AH55" s="891" t="s">
        <v>1877</v>
      </c>
      <c r="AI55" s="891" t="s">
        <v>34</v>
      </c>
      <c r="AJ55" s="891" t="s">
        <v>32</v>
      </c>
      <c r="AK55" s="891" t="s">
        <v>32</v>
      </c>
      <c r="AL55" s="891" t="s">
        <v>32</v>
      </c>
      <c r="AM55" s="891" t="s">
        <v>1886</v>
      </c>
      <c r="AN55" s="891" t="s">
        <v>32</v>
      </c>
      <c r="AO55" s="891" t="s">
        <v>32</v>
      </c>
      <c r="AP55" s="891" t="s">
        <v>32</v>
      </c>
      <c r="AQ55" s="891" t="s">
        <v>1877</v>
      </c>
      <c r="AR55" s="904" t="s">
        <v>34</v>
      </c>
      <c r="AS55" s="891" t="s">
        <v>34</v>
      </c>
      <c r="AT55" s="891" t="s">
        <v>34</v>
      </c>
      <c r="AU55" s="891" t="s">
        <v>35</v>
      </c>
      <c r="AV55" s="891" t="s">
        <v>36</v>
      </c>
      <c r="AW55" s="891" t="s">
        <v>1877</v>
      </c>
      <c r="AX55" s="891" t="s">
        <v>34</v>
      </c>
      <c r="AY55" s="891" t="s">
        <v>34</v>
      </c>
      <c r="AZ55" s="891" t="s">
        <v>32</v>
      </c>
      <c r="BA55" s="891" t="s">
        <v>32</v>
      </c>
      <c r="BB55" s="891" t="s">
        <v>32</v>
      </c>
      <c r="BC55" s="891" t="s">
        <v>32</v>
      </c>
      <c r="BD55" s="891" t="s">
        <v>34</v>
      </c>
      <c r="BE55" s="904" t="s">
        <v>36</v>
      </c>
      <c r="BF55" s="891" t="s">
        <v>3172</v>
      </c>
      <c r="BG55" s="891" t="s">
        <v>36</v>
      </c>
      <c r="BH55" s="891" t="s">
        <v>1877</v>
      </c>
      <c r="BI55" s="891" t="s">
        <v>32</v>
      </c>
      <c r="BJ55" s="891" t="s">
        <v>35</v>
      </c>
      <c r="BK55" s="891" t="s">
        <v>32</v>
      </c>
      <c r="BL55" s="891" t="s">
        <v>32</v>
      </c>
      <c r="BM55" s="891" t="s">
        <v>34</v>
      </c>
      <c r="BN55" s="891"/>
      <c r="BO55" s="891"/>
      <c r="BP55" s="891"/>
      <c r="BQ55" s="891"/>
      <c r="BR55" s="891"/>
      <c r="BS55" s="891"/>
      <c r="BT55" s="891"/>
      <c r="BU55" s="891"/>
      <c r="BV55" s="891"/>
      <c r="BW55" s="891"/>
      <c r="BX55" s="891"/>
      <c r="BY55" s="891"/>
      <c r="BZ55" s="896"/>
      <c r="CA55" s="896"/>
      <c r="CB55" s="896"/>
      <c r="CC55" s="896"/>
      <c r="CD55" s="896"/>
      <c r="CE55" s="428"/>
      <c r="CF55" s="428"/>
      <c r="CG55" s="428"/>
      <c r="CH55" s="428"/>
    </row>
    <row r="56" spans="1:86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16</v>
      </c>
      <c r="G56" s="879" t="s">
        <v>872</v>
      </c>
      <c r="H56" s="879" t="s">
        <v>22</v>
      </c>
      <c r="I56" s="879" t="s">
        <v>891</v>
      </c>
      <c r="J56" s="846">
        <v>1</v>
      </c>
      <c r="K56" s="846">
        <v>1</v>
      </c>
      <c r="L56" s="816" t="str">
        <f t="shared" si="29"/>
        <v>D</v>
      </c>
      <c r="M56" s="816">
        <f t="shared" si="30"/>
        <v>2</v>
      </c>
      <c r="N56" s="816" t="str">
        <f t="shared" si="31"/>
        <v>U</v>
      </c>
      <c r="O56" s="816">
        <f t="shared" ref="O56" si="46">IF(Q56="","",IF(SIGN(Q56)&lt;&gt;1,VLOOKUP(ABS(Q56),SUP_HDC,3,TRUE),-VLOOKUP(ABS(Q56),SUP_HDC,3,TRUE)))</f>
        <v>-0.25</v>
      </c>
      <c r="P56" s="829">
        <f t="shared" ref="P56" si="47">IF(O56="","",IF((J56-K56+O56)&gt;=0.5,1,IF((J56-K56+O56)=0.25,0.5,IF((J56-K56+O56)&lt;=-0.5,-1,IF((J56-K56+O56)=-0.25,-0.5,0)))))</f>
        <v>-0.5</v>
      </c>
      <c r="Q56" s="830">
        <v>0.2</v>
      </c>
      <c r="R56" s="871">
        <f t="shared" ref="R56" si="48">IF(ISBLANK(Q56),"",J56-K56-Q56)</f>
        <v>-0.2</v>
      </c>
      <c r="S56" s="830">
        <v>2.4300000000000002</v>
      </c>
      <c r="T56" s="871">
        <f t="shared" ref="T56" si="49">IF(ISBLANK(S56),"",J56+K56-S56)</f>
        <v>-0.43000000000000016</v>
      </c>
      <c r="U56" s="868">
        <f t="shared" ref="U56" si="50">IF(Q56="","",(Q56+S56)/2)</f>
        <v>1.3150000000000002</v>
      </c>
      <c r="V56" s="868">
        <f t="shared" ref="V56" si="51">IF(Q56="","",S56-U56)</f>
        <v>1.115</v>
      </c>
      <c r="W56" s="829">
        <v>12</v>
      </c>
      <c r="X56" s="829">
        <v>14</v>
      </c>
      <c r="Y56" s="829">
        <v>5</v>
      </c>
      <c r="Z56" s="829">
        <v>4</v>
      </c>
      <c r="AA56" s="829">
        <v>49</v>
      </c>
      <c r="AB56" s="829">
        <v>51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32</v>
      </c>
      <c r="AH56" s="891" t="s">
        <v>1877</v>
      </c>
      <c r="AI56" s="891" t="s">
        <v>34</v>
      </c>
      <c r="AJ56" s="891" t="s">
        <v>32</v>
      </c>
      <c r="AK56" s="891" t="s">
        <v>32</v>
      </c>
      <c r="AL56" s="891" t="s">
        <v>32</v>
      </c>
      <c r="AM56" s="891" t="s">
        <v>3237</v>
      </c>
      <c r="AN56" s="891" t="s">
        <v>1877</v>
      </c>
      <c r="AO56" s="891" t="s">
        <v>32</v>
      </c>
      <c r="AP56" s="891" t="s">
        <v>32</v>
      </c>
      <c r="AQ56" s="891" t="s">
        <v>32</v>
      </c>
      <c r="AR56" s="891" t="s">
        <v>34</v>
      </c>
      <c r="AS56" s="891" t="s">
        <v>34</v>
      </c>
      <c r="AT56" s="891" t="s">
        <v>1877</v>
      </c>
      <c r="AU56" s="891" t="s">
        <v>35</v>
      </c>
      <c r="AV56" s="891" t="s">
        <v>1877</v>
      </c>
      <c r="AW56" s="891" t="s">
        <v>3238</v>
      </c>
      <c r="AX56" s="891" t="s">
        <v>34</v>
      </c>
      <c r="AY56" s="891" t="s">
        <v>34</v>
      </c>
      <c r="AZ56" s="891" t="s">
        <v>3236</v>
      </c>
      <c r="BA56" s="891" t="s">
        <v>32</v>
      </c>
      <c r="BB56" s="891" t="s">
        <v>32</v>
      </c>
      <c r="BC56" s="891" t="s">
        <v>32</v>
      </c>
      <c r="BD56" s="891" t="s">
        <v>34</v>
      </c>
      <c r="BE56" s="891" t="s">
        <v>34</v>
      </c>
      <c r="BF56" s="891" t="s">
        <v>35</v>
      </c>
      <c r="BG56" s="891" t="s">
        <v>36</v>
      </c>
      <c r="BH56" s="891" t="s">
        <v>32</v>
      </c>
      <c r="BI56" s="891" t="s">
        <v>36</v>
      </c>
      <c r="BJ56" s="891" t="s">
        <v>34</v>
      </c>
      <c r="BK56" s="891" t="s">
        <v>32</v>
      </c>
      <c r="BL56" s="891" t="s">
        <v>32</v>
      </c>
      <c r="BM56" s="904" t="s">
        <v>35</v>
      </c>
      <c r="BN56" s="891"/>
      <c r="BO56" s="891"/>
      <c r="BP56" s="891"/>
      <c r="BQ56" s="891"/>
      <c r="BR56" s="891"/>
      <c r="BS56" s="891"/>
      <c r="BT56" s="891"/>
      <c r="BU56" s="891"/>
      <c r="BV56" s="891"/>
      <c r="BW56" s="891"/>
      <c r="BX56" s="891"/>
      <c r="BY56" s="891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86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7</v>
      </c>
      <c r="G57" s="879" t="s">
        <v>888</v>
      </c>
      <c r="H57" s="879" t="s">
        <v>18</v>
      </c>
      <c r="I57" s="879" t="s">
        <v>891</v>
      </c>
      <c r="J57" s="846">
        <v>3</v>
      </c>
      <c r="K57" s="846">
        <v>3</v>
      </c>
      <c r="L57" s="816" t="str">
        <f t="shared" si="29"/>
        <v>D</v>
      </c>
      <c r="M57" s="816">
        <f t="shared" si="30"/>
        <v>6</v>
      </c>
      <c r="N57" s="816" t="str">
        <f t="shared" si="31"/>
        <v>O</v>
      </c>
      <c r="O57" s="816">
        <f t="shared" si="20"/>
        <v>0.25</v>
      </c>
      <c r="P57" s="829">
        <f t="shared" si="22"/>
        <v>0.5</v>
      </c>
      <c r="Q57" s="830">
        <v>-0.33</v>
      </c>
      <c r="R57" s="871">
        <f t="shared" si="23"/>
        <v>0.33</v>
      </c>
      <c r="S57" s="830">
        <v>2.4300000000000002</v>
      </c>
      <c r="T57" s="871">
        <f t="shared" si="24"/>
        <v>3.57</v>
      </c>
      <c r="U57" s="868">
        <f t="shared" si="25"/>
        <v>1.05</v>
      </c>
      <c r="V57" s="868">
        <f t="shared" si="26"/>
        <v>1.3800000000000001</v>
      </c>
      <c r="W57" s="829">
        <v>10</v>
      </c>
      <c r="X57" s="829">
        <v>24</v>
      </c>
      <c r="Y57" s="829">
        <v>7</v>
      </c>
      <c r="Z57" s="829">
        <v>9</v>
      </c>
      <c r="AA57" s="829">
        <v>45</v>
      </c>
      <c r="AB57" s="829">
        <v>55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32</v>
      </c>
      <c r="AH57" s="891" t="s">
        <v>1877</v>
      </c>
      <c r="AI57" s="891" t="s">
        <v>34</v>
      </c>
      <c r="AJ57" s="891" t="s">
        <v>32</v>
      </c>
      <c r="AK57" s="891" t="s">
        <v>32</v>
      </c>
      <c r="AL57" s="891" t="s">
        <v>32</v>
      </c>
      <c r="AM57" s="891" t="s">
        <v>1886</v>
      </c>
      <c r="AN57" s="904" t="s">
        <v>36</v>
      </c>
      <c r="AO57" s="891" t="s">
        <v>32</v>
      </c>
      <c r="AP57" s="891" t="s">
        <v>32</v>
      </c>
      <c r="AQ57" s="891" t="s">
        <v>1877</v>
      </c>
      <c r="AR57" s="904" t="s">
        <v>34</v>
      </c>
      <c r="AS57" s="891" t="s">
        <v>3257</v>
      </c>
      <c r="AT57" s="891" t="s">
        <v>1877</v>
      </c>
      <c r="AU57" s="891" t="s">
        <v>36</v>
      </c>
      <c r="AV57" s="891" t="s">
        <v>32</v>
      </c>
      <c r="AW57" s="891" t="s">
        <v>36</v>
      </c>
      <c r="AX57" s="891" t="s">
        <v>34</v>
      </c>
      <c r="AY57" s="891" t="s">
        <v>3259</v>
      </c>
      <c r="AZ57" s="891" t="s">
        <v>32</v>
      </c>
      <c r="BA57" s="891" t="s">
        <v>32</v>
      </c>
      <c r="BB57" s="891" t="s">
        <v>32</v>
      </c>
      <c r="BC57" s="891" t="s">
        <v>32</v>
      </c>
      <c r="BD57" s="904" t="s">
        <v>34</v>
      </c>
      <c r="BE57" s="891" t="s">
        <v>34</v>
      </c>
      <c r="BF57" s="891" t="s">
        <v>35</v>
      </c>
      <c r="BG57" s="904" t="s">
        <v>34</v>
      </c>
      <c r="BH57" s="891" t="s">
        <v>1877</v>
      </c>
      <c r="BI57" s="891" t="s">
        <v>3258</v>
      </c>
      <c r="BJ57" s="891" t="s">
        <v>35</v>
      </c>
      <c r="BK57" s="891"/>
      <c r="BL57" s="891"/>
      <c r="BM57" s="891"/>
      <c r="BN57" s="891"/>
      <c r="BO57" s="891"/>
      <c r="BP57" s="891"/>
      <c r="BQ57" s="891"/>
      <c r="BR57" s="891"/>
      <c r="BS57" s="891"/>
      <c r="BT57" s="891"/>
      <c r="BU57" s="891"/>
      <c r="BV57" s="891"/>
      <c r="BW57" s="891"/>
      <c r="BX57" s="891"/>
      <c r="BY57" s="891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86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19</v>
      </c>
      <c r="G58" s="879" t="s">
        <v>885</v>
      </c>
      <c r="H58" s="879" t="s">
        <v>22</v>
      </c>
      <c r="I58" s="879" t="s">
        <v>891</v>
      </c>
      <c r="J58" s="846">
        <v>0</v>
      </c>
      <c r="K58" s="846">
        <v>1</v>
      </c>
      <c r="L58" s="816" t="str">
        <f t="shared" si="29"/>
        <v>L</v>
      </c>
      <c r="M58" s="816">
        <f t="shared" si="30"/>
        <v>1</v>
      </c>
      <c r="N58" s="816" t="str">
        <f t="shared" si="31"/>
        <v>U</v>
      </c>
      <c r="O58" s="816">
        <f t="shared" si="20"/>
        <v>-0.25</v>
      </c>
      <c r="P58" s="829">
        <f t="shared" si="22"/>
        <v>-1</v>
      </c>
      <c r="Q58" s="830">
        <v>0.32</v>
      </c>
      <c r="R58" s="871">
        <f t="shared" si="23"/>
        <v>-1.32</v>
      </c>
      <c r="S58" s="830">
        <v>2.42</v>
      </c>
      <c r="T58" s="871">
        <f t="shared" si="24"/>
        <v>-1.42</v>
      </c>
      <c r="U58" s="868">
        <f t="shared" si="25"/>
        <v>1.3699999999999999</v>
      </c>
      <c r="V58" s="868">
        <f t="shared" si="26"/>
        <v>1.05</v>
      </c>
      <c r="W58" s="829">
        <v>14</v>
      </c>
      <c r="X58" s="829">
        <v>13</v>
      </c>
      <c r="Y58" s="829">
        <v>5</v>
      </c>
      <c r="Z58" s="829">
        <v>6</v>
      </c>
      <c r="AA58" s="829">
        <v>47</v>
      </c>
      <c r="AB58" s="829">
        <v>53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32</v>
      </c>
      <c r="AH58" s="891" t="s">
        <v>1877</v>
      </c>
      <c r="AI58" s="891" t="s">
        <v>34</v>
      </c>
      <c r="AJ58" s="891" t="s">
        <v>32</v>
      </c>
      <c r="AK58" s="891" t="s">
        <v>32</v>
      </c>
      <c r="AL58" s="891" t="s">
        <v>32</v>
      </c>
      <c r="AM58" s="891" t="s">
        <v>3308</v>
      </c>
      <c r="AN58" s="891" t="s">
        <v>34</v>
      </c>
      <c r="AO58" s="891" t="s">
        <v>32</v>
      </c>
      <c r="AP58" s="891" t="s">
        <v>32</v>
      </c>
      <c r="AQ58" s="891" t="s">
        <v>1877</v>
      </c>
      <c r="AR58" s="891" t="s">
        <v>34</v>
      </c>
      <c r="AS58" s="891" t="s">
        <v>32</v>
      </c>
      <c r="AT58" s="891" t="s">
        <v>1877</v>
      </c>
      <c r="AU58" s="891" t="s">
        <v>35</v>
      </c>
      <c r="AV58" s="891" t="s">
        <v>1877</v>
      </c>
      <c r="AW58" s="891" t="s">
        <v>36</v>
      </c>
      <c r="AX58" s="904" t="s">
        <v>34</v>
      </c>
      <c r="AY58" s="891" t="s">
        <v>34</v>
      </c>
      <c r="AZ58" s="891" t="s">
        <v>36</v>
      </c>
      <c r="BA58" s="891" t="s">
        <v>32</v>
      </c>
      <c r="BB58" s="891" t="s">
        <v>32</v>
      </c>
      <c r="BC58" s="891" t="s">
        <v>32</v>
      </c>
      <c r="BD58" s="891" t="s">
        <v>3307</v>
      </c>
      <c r="BE58" s="891" t="s">
        <v>34</v>
      </c>
      <c r="BF58" s="891" t="s">
        <v>35</v>
      </c>
      <c r="BG58" s="891" t="s">
        <v>34</v>
      </c>
      <c r="BH58" s="891" t="s">
        <v>3391</v>
      </c>
      <c r="BI58" s="891" t="s">
        <v>34</v>
      </c>
      <c r="BJ58" s="891" t="s">
        <v>35</v>
      </c>
      <c r="BK58" s="891" t="s">
        <v>32</v>
      </c>
      <c r="BL58" s="891" t="s">
        <v>32</v>
      </c>
      <c r="BM58" s="891" t="s">
        <v>36</v>
      </c>
      <c r="BN58" s="891"/>
      <c r="BO58" s="891"/>
      <c r="BP58" s="891"/>
      <c r="BQ58" s="891"/>
      <c r="BR58" s="891"/>
      <c r="BS58" s="891"/>
      <c r="BT58" s="891"/>
      <c r="BU58" s="891"/>
      <c r="BV58" s="891"/>
      <c r="BW58" s="891"/>
      <c r="BX58" s="891"/>
      <c r="BY58" s="891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86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9</v>
      </c>
      <c r="G59" s="879" t="s">
        <v>1083</v>
      </c>
      <c r="H59" s="879" t="s">
        <v>22</v>
      </c>
      <c r="I59" s="879" t="s">
        <v>891</v>
      </c>
      <c r="J59" s="846">
        <v>0</v>
      </c>
      <c r="K59" s="846">
        <v>3</v>
      </c>
      <c r="L59" s="816" t="str">
        <f t="shared" ref="L59" si="52">IF(J59="","",IF(J59&gt;K59,"W",IF(J59=K59,"D",IF(J59&lt;K59,"L"))))</f>
        <v>L</v>
      </c>
      <c r="M59" s="816">
        <f t="shared" ref="M59" si="53">IF(J59="","",J59+K59)</f>
        <v>3</v>
      </c>
      <c r="N59" s="816" t="str">
        <f t="shared" si="31"/>
        <v>O</v>
      </c>
      <c r="O59" s="816">
        <f t="shared" ref="O59:O72" si="54">IF(Q59="","",IF(SIGN(Q59)&lt;&gt;1,VLOOKUP(ABS(Q59),SUP_HDC,3,TRUE),-VLOOKUP(ABS(Q59),SUP_HDC,3,TRUE)))</f>
        <v>0</v>
      </c>
      <c r="P59" s="829">
        <f t="shared" ref="P59:P72" si="55">IF(O59="","",IF((J59-K59+O59)&gt;=0.5,1,IF((J59-K59+O59)=0.25,0.5,IF((J59-K59+O59)&lt;=-0.5,-1,IF((J59-K59+O59)=-0.25,-0.5,0)))))</f>
        <v>-1</v>
      </c>
      <c r="Q59" s="830">
        <v>0.08</v>
      </c>
      <c r="R59" s="871">
        <f t="shared" ref="R59" si="56">IF(ISBLANK(Q59),"",J59-K59-Q59)</f>
        <v>-3.08</v>
      </c>
      <c r="S59" s="830">
        <v>2.4300000000000002</v>
      </c>
      <c r="T59" s="871">
        <f t="shared" ref="T59" si="57">IF(ISBLANK(S59),"",J59+K59-S59)</f>
        <v>0.56999999999999984</v>
      </c>
      <c r="U59" s="868">
        <f t="shared" ref="U59:U69" si="58">IF(Q59="","",(Q59+S59)/2)</f>
        <v>1.2550000000000001</v>
      </c>
      <c r="V59" s="868">
        <f t="shared" ref="V59:V69" si="59">IF(Q59="","",S59-U59)</f>
        <v>1.175</v>
      </c>
      <c r="W59" s="829">
        <v>9</v>
      </c>
      <c r="X59" s="829">
        <v>13</v>
      </c>
      <c r="Y59" s="829">
        <v>3</v>
      </c>
      <c r="Z59" s="829">
        <v>7</v>
      </c>
      <c r="AA59" s="829">
        <v>52</v>
      </c>
      <c r="AB59" s="829">
        <v>48</v>
      </c>
      <c r="AC59" s="829"/>
      <c r="AD59" s="816" t="str">
        <f t="array" ref="AD59">IF($J59="","",IF(SUM(IF(ISNUMBER(VALUE(RIGHT($AG59:$CI59,1))),VALUE(RIGHT($AG59:$CI59,1)),0))=$J59,"T","F"))</f>
        <v>T</v>
      </c>
      <c r="AE59" s="831">
        <f t="array" ref="AE59">IF($J59="","",SUM(IF(LEFT($AG59:$DU59,1)="s",1,0))-SUM(IF(RIGHT(LEFT($AG59:$DU59,2))="-",1,0)))</f>
        <v>0</v>
      </c>
      <c r="AF59" s="816">
        <f t="array" ref="AF59">IF($J59="","",SUM(IF(LEFT($AG59:$DA59,1)="X",1,0)))</f>
        <v>11</v>
      </c>
      <c r="AG59" s="891"/>
      <c r="AH59" s="891" t="s">
        <v>1877</v>
      </c>
      <c r="AI59" s="891" t="s">
        <v>34</v>
      </c>
      <c r="AJ59" s="891" t="s">
        <v>32</v>
      </c>
      <c r="AK59" s="891" t="s">
        <v>32</v>
      </c>
      <c r="AL59" s="891" t="s">
        <v>32</v>
      </c>
      <c r="AM59" s="891" t="s">
        <v>3308</v>
      </c>
      <c r="AN59" s="891" t="s">
        <v>34</v>
      </c>
      <c r="AO59" s="891" t="s">
        <v>32</v>
      </c>
      <c r="AP59" s="891" t="s">
        <v>32</v>
      </c>
      <c r="AQ59" s="891" t="s">
        <v>1877</v>
      </c>
      <c r="AR59" s="891" t="s">
        <v>34</v>
      </c>
      <c r="AS59" s="891" t="s">
        <v>3376</v>
      </c>
      <c r="AT59" s="891" t="s">
        <v>35</v>
      </c>
      <c r="AU59" s="891" t="s">
        <v>1877</v>
      </c>
      <c r="AV59" s="891" t="s">
        <v>36</v>
      </c>
      <c r="AW59" s="891" t="s">
        <v>34</v>
      </c>
      <c r="AX59" s="891" t="s">
        <v>3375</v>
      </c>
      <c r="AY59" s="891" t="s">
        <v>34</v>
      </c>
      <c r="AZ59" s="891" t="s">
        <v>36</v>
      </c>
      <c r="BA59" s="891" t="s">
        <v>32</v>
      </c>
      <c r="BB59" s="891" t="s">
        <v>32</v>
      </c>
      <c r="BC59" s="891" t="s">
        <v>32</v>
      </c>
      <c r="BD59" s="891" t="s">
        <v>34</v>
      </c>
      <c r="BE59" s="891" t="s">
        <v>34</v>
      </c>
      <c r="BF59" s="891" t="s">
        <v>35</v>
      </c>
      <c r="BG59" s="891" t="s">
        <v>35</v>
      </c>
      <c r="BH59" s="891" t="s">
        <v>3391</v>
      </c>
      <c r="BI59" s="891" t="s">
        <v>34</v>
      </c>
      <c r="BJ59" s="891" t="s">
        <v>1877</v>
      </c>
      <c r="BK59" s="891" t="s">
        <v>32</v>
      </c>
      <c r="BL59" s="891" t="s">
        <v>32</v>
      </c>
      <c r="BM59" s="906" t="s">
        <v>3377</v>
      </c>
      <c r="BN59" s="891"/>
      <c r="BO59" s="891"/>
      <c r="BP59" s="891"/>
      <c r="BQ59" s="891"/>
      <c r="BR59" s="891"/>
      <c r="BS59" s="891"/>
      <c r="BT59" s="891"/>
      <c r="BU59" s="891"/>
      <c r="BV59" s="891"/>
      <c r="BW59" s="891"/>
      <c r="BX59" s="891"/>
      <c r="BY59" s="891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86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6</v>
      </c>
      <c r="G60" s="879" t="s">
        <v>876</v>
      </c>
      <c r="H60" s="879" t="s">
        <v>18</v>
      </c>
      <c r="I60" s="879" t="s">
        <v>891</v>
      </c>
      <c r="J60" s="846">
        <v>1</v>
      </c>
      <c r="K60" s="846">
        <v>3</v>
      </c>
      <c r="L60" s="816" t="str">
        <f t="shared" si="29"/>
        <v>L</v>
      </c>
      <c r="M60" s="816">
        <f t="shared" si="30"/>
        <v>4</v>
      </c>
      <c r="N60" s="816" t="str">
        <f t="shared" si="31"/>
        <v>O</v>
      </c>
      <c r="O60" s="816">
        <f t="shared" si="54"/>
        <v>0.5</v>
      </c>
      <c r="P60" s="829">
        <f t="shared" si="55"/>
        <v>-1</v>
      </c>
      <c r="Q60" s="830">
        <v>-0.51</v>
      </c>
      <c r="R60" s="871">
        <f t="shared" si="23"/>
        <v>-1.49</v>
      </c>
      <c r="S60" s="830">
        <v>2.74</v>
      </c>
      <c r="T60" s="871">
        <f t="shared" si="24"/>
        <v>1.2599999999999998</v>
      </c>
      <c r="U60" s="868">
        <f t="shared" si="58"/>
        <v>1.1150000000000002</v>
      </c>
      <c r="V60" s="868">
        <f t="shared" si="59"/>
        <v>1.625</v>
      </c>
      <c r="W60" s="829">
        <v>11</v>
      </c>
      <c r="X60" s="829">
        <v>20</v>
      </c>
      <c r="Y60" s="829">
        <v>4</v>
      </c>
      <c r="Z60" s="829">
        <v>7</v>
      </c>
      <c r="AA60" s="829">
        <v>41</v>
      </c>
      <c r="AB60" s="829">
        <v>59</v>
      </c>
      <c r="AC60" s="829"/>
      <c r="AD60" s="816" t="str">
        <f t="array" ref="AD60">IF($J60="","",IF(SUM(IF(ISNUMBER(VALUE(RIGHT($AG60:$CI60,1))),VALUE(RIGHT($AG60:$CI60,1)),0))=$J60,"T","F"))</f>
        <v>T</v>
      </c>
      <c r="AE60" s="831">
        <f t="array" ref="AE60">IF($J60="","",SUM(IF(LEFT($AG60:$DU60,1)="s",1,0))-SUM(IF(RIGHT(LEFT($AG60:$DU60,2))="-",1,0)))</f>
        <v>0</v>
      </c>
      <c r="AF60" s="816">
        <f t="array" ref="AF60">IF($J60="","",SUM(IF(LEFT($AG60:$DA60,1)="X",1,0)))</f>
        <v>11</v>
      </c>
      <c r="AG60" s="891" t="s">
        <v>32</v>
      </c>
      <c r="AH60" s="891" t="s">
        <v>1877</v>
      </c>
      <c r="AI60" s="891" t="s">
        <v>34</v>
      </c>
      <c r="AJ60" s="891" t="s">
        <v>32</v>
      </c>
      <c r="AK60" s="891" t="s">
        <v>32</v>
      </c>
      <c r="AL60" s="891" t="s">
        <v>32</v>
      </c>
      <c r="AM60" s="891" t="s">
        <v>1886</v>
      </c>
      <c r="AN60" s="891" t="s">
        <v>35</v>
      </c>
      <c r="AO60" s="891" t="s">
        <v>32</v>
      </c>
      <c r="AP60" s="891" t="s">
        <v>32</v>
      </c>
      <c r="AQ60" s="891" t="s">
        <v>1877</v>
      </c>
      <c r="AR60" s="904" t="s">
        <v>34</v>
      </c>
      <c r="AS60" s="891" t="s">
        <v>36</v>
      </c>
      <c r="AT60" s="891" t="s">
        <v>1877</v>
      </c>
      <c r="AU60" s="891" t="s">
        <v>32</v>
      </c>
      <c r="AV60" s="891" t="s">
        <v>34</v>
      </c>
      <c r="AW60" s="891" t="s">
        <v>36</v>
      </c>
      <c r="AX60" s="891" t="s">
        <v>34</v>
      </c>
      <c r="AY60" s="891" t="s">
        <v>34</v>
      </c>
      <c r="AZ60" s="891" t="s">
        <v>1877</v>
      </c>
      <c r="BA60" s="891" t="s">
        <v>32</v>
      </c>
      <c r="BB60" s="891" t="s">
        <v>32</v>
      </c>
      <c r="BC60" s="891" t="s">
        <v>32</v>
      </c>
      <c r="BD60" s="891" t="s">
        <v>34</v>
      </c>
      <c r="BE60" s="891" t="s">
        <v>34</v>
      </c>
      <c r="BF60" s="891" t="s">
        <v>35</v>
      </c>
      <c r="BG60" s="891" t="s">
        <v>3409</v>
      </c>
      <c r="BH60" s="891" t="s">
        <v>1886</v>
      </c>
      <c r="BI60" s="891" t="s">
        <v>3401</v>
      </c>
      <c r="BJ60" s="891" t="s">
        <v>35</v>
      </c>
      <c r="BK60" s="891" t="s">
        <v>32</v>
      </c>
      <c r="BL60" s="891" t="s">
        <v>32</v>
      </c>
      <c r="BM60" s="891" t="s">
        <v>36</v>
      </c>
      <c r="BN60" s="891"/>
      <c r="BO60" s="891"/>
      <c r="BP60" s="891"/>
      <c r="BQ60" s="891"/>
      <c r="BR60" s="891"/>
      <c r="BS60" s="891"/>
      <c r="BT60" s="891"/>
      <c r="BU60" s="891"/>
      <c r="BV60" s="891"/>
      <c r="BW60" s="891"/>
      <c r="BX60" s="891"/>
      <c r="BY60" s="891"/>
      <c r="BZ60" s="896"/>
      <c r="CA60" s="896"/>
      <c r="CB60" s="896"/>
      <c r="CC60" s="896"/>
      <c r="CD60" s="896"/>
      <c r="CE60" s="428"/>
      <c r="CF60" s="428"/>
      <c r="CG60" s="428"/>
      <c r="CH60" s="428"/>
    </row>
    <row r="61" spans="1:86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14</v>
      </c>
      <c r="G61" s="879" t="s">
        <v>873</v>
      </c>
      <c r="H61" s="879" t="s">
        <v>18</v>
      </c>
      <c r="I61" s="879" t="s">
        <v>891</v>
      </c>
      <c r="J61" s="846">
        <v>0</v>
      </c>
      <c r="K61" s="846">
        <v>1</v>
      </c>
      <c r="L61" s="816" t="str">
        <f t="shared" si="29"/>
        <v>L</v>
      </c>
      <c r="M61" s="816">
        <f t="shared" si="30"/>
        <v>1</v>
      </c>
      <c r="N61" s="816" t="str">
        <f t="shared" si="31"/>
        <v>U</v>
      </c>
      <c r="O61" s="816">
        <f t="shared" si="54"/>
        <v>0</v>
      </c>
      <c r="P61" s="829">
        <f t="shared" si="55"/>
        <v>-1</v>
      </c>
      <c r="Q61" s="830">
        <v>-0.02</v>
      </c>
      <c r="R61" s="871">
        <f t="shared" si="23"/>
        <v>-0.98</v>
      </c>
      <c r="S61" s="830">
        <v>2.4500000000000002</v>
      </c>
      <c r="T61" s="871">
        <f t="shared" si="24"/>
        <v>-1.4500000000000002</v>
      </c>
      <c r="U61" s="868">
        <f t="shared" si="58"/>
        <v>1.2150000000000001</v>
      </c>
      <c r="V61" s="868">
        <f t="shared" si="59"/>
        <v>1.2350000000000001</v>
      </c>
      <c r="W61" s="829">
        <v>17</v>
      </c>
      <c r="X61" s="829">
        <v>12</v>
      </c>
      <c r="Y61" s="829">
        <v>8</v>
      </c>
      <c r="Z61" s="829">
        <v>3</v>
      </c>
      <c r="AA61" s="829">
        <v>48</v>
      </c>
      <c r="AB61" s="829">
        <v>52</v>
      </c>
      <c r="AC61" s="829"/>
      <c r="AD61" s="816" t="str">
        <f t="array" ref="AD61">IF($J61="","",IF(SUM(IF(ISNUMBER(VALUE(RIGHT($AG61:$CI61,1))),VALUE(RIGHT($AG61:$CI61,1)),0))=$J61,"T","F"))</f>
        <v>T</v>
      </c>
      <c r="AE61" s="831">
        <f t="array" ref="AE61">IF($J61="","",SUM(IF(LEFT($AG61:$DU61,1)="s",1,0))-SUM(IF(RIGHT(LEFT($AG61:$DU61,2))="-",1,0)))</f>
        <v>0</v>
      </c>
      <c r="AF61" s="816">
        <f t="array" ref="AF61">IF($J61="","",SUM(IF(LEFT($AG61:$DA61,1)="X",1,0)))</f>
        <v>11</v>
      </c>
      <c r="AG61" s="891" t="s">
        <v>3430</v>
      </c>
      <c r="AH61" s="891" t="s">
        <v>32</v>
      </c>
      <c r="AI61" s="891" t="s">
        <v>34</v>
      </c>
      <c r="AJ61" s="891" t="s">
        <v>32</v>
      </c>
      <c r="AK61" s="891" t="s">
        <v>32</v>
      </c>
      <c r="AL61" s="891" t="s">
        <v>32</v>
      </c>
      <c r="AM61" s="891" t="s">
        <v>1886</v>
      </c>
      <c r="AN61" s="891" t="s">
        <v>34</v>
      </c>
      <c r="AO61" s="891" t="s">
        <v>32</v>
      </c>
      <c r="AP61" s="891" t="s">
        <v>32</v>
      </c>
      <c r="AQ61" s="891" t="s">
        <v>34</v>
      </c>
      <c r="AR61" s="891" t="s">
        <v>2096</v>
      </c>
      <c r="AS61" s="891" t="s">
        <v>1877</v>
      </c>
      <c r="AT61" s="891" t="s">
        <v>35</v>
      </c>
      <c r="AU61" s="891" t="s">
        <v>34</v>
      </c>
      <c r="AV61" s="891" t="s">
        <v>34</v>
      </c>
      <c r="AW61" s="891" t="s">
        <v>36</v>
      </c>
      <c r="AX61" s="904" t="s">
        <v>34</v>
      </c>
      <c r="AY61" s="891" t="s">
        <v>36</v>
      </c>
      <c r="AZ61" s="891" t="s">
        <v>32</v>
      </c>
      <c r="BA61" s="891" t="s">
        <v>32</v>
      </c>
      <c r="BB61" s="891" t="s">
        <v>1877</v>
      </c>
      <c r="BC61" s="891" t="s">
        <v>32</v>
      </c>
      <c r="BD61" s="904" t="s">
        <v>34</v>
      </c>
      <c r="BE61" s="891" t="s">
        <v>32</v>
      </c>
      <c r="BF61" s="891" t="s">
        <v>35</v>
      </c>
      <c r="BG61" s="891" t="s">
        <v>1877</v>
      </c>
      <c r="BH61" s="891" t="s">
        <v>1886</v>
      </c>
      <c r="BI61" s="891" t="s">
        <v>34</v>
      </c>
      <c r="BJ61" s="891" t="s">
        <v>36</v>
      </c>
      <c r="BK61" s="891" t="s">
        <v>32</v>
      </c>
      <c r="BL61" s="891" t="s">
        <v>32</v>
      </c>
      <c r="BM61" s="891" t="s">
        <v>35</v>
      </c>
      <c r="BN61" s="891"/>
      <c r="BO61" s="891"/>
      <c r="BP61" s="891"/>
      <c r="BQ61" s="891"/>
      <c r="BR61" s="891"/>
      <c r="BS61" s="891"/>
      <c r="BT61" s="891"/>
      <c r="BU61" s="891"/>
      <c r="BV61" s="891"/>
      <c r="BW61" s="891"/>
      <c r="BX61" s="891"/>
      <c r="BY61" s="891"/>
      <c r="BZ61" s="896"/>
      <c r="CA61" s="896"/>
      <c r="CB61" s="896"/>
      <c r="CC61" s="896"/>
      <c r="CD61" s="896"/>
    </row>
    <row r="62" spans="1:86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22</v>
      </c>
      <c r="G62" s="879" t="s">
        <v>1087</v>
      </c>
      <c r="H62" s="879" t="s">
        <v>22</v>
      </c>
      <c r="I62" s="879" t="s">
        <v>891</v>
      </c>
      <c r="J62" s="846">
        <v>2</v>
      </c>
      <c r="K62" s="846">
        <v>1</v>
      </c>
      <c r="L62" s="816" t="str">
        <f t="shared" si="29"/>
        <v>W</v>
      </c>
      <c r="M62" s="816">
        <f t="shared" si="30"/>
        <v>3</v>
      </c>
      <c r="N62" s="816" t="str">
        <f t="shared" si="31"/>
        <v>O</v>
      </c>
      <c r="O62" s="816">
        <f t="shared" si="54"/>
        <v>-0.75</v>
      </c>
      <c r="P62" s="829">
        <f t="shared" si="55"/>
        <v>0.5</v>
      </c>
      <c r="Q62" s="830">
        <v>0.93</v>
      </c>
      <c r="R62" s="871">
        <f t="shared" si="23"/>
        <v>6.9999999999999951E-2</v>
      </c>
      <c r="S62" s="830">
        <v>2.65</v>
      </c>
      <c r="T62" s="871">
        <f t="shared" si="24"/>
        <v>0.35000000000000009</v>
      </c>
      <c r="U62" s="868">
        <f t="shared" si="58"/>
        <v>1.79</v>
      </c>
      <c r="V62" s="868">
        <f t="shared" si="59"/>
        <v>0.85999999999999988</v>
      </c>
      <c r="W62" s="829">
        <v>13</v>
      </c>
      <c r="X62" s="829">
        <v>8</v>
      </c>
      <c r="Y62" s="829">
        <v>5</v>
      </c>
      <c r="Z62" s="829">
        <v>3</v>
      </c>
      <c r="AA62" s="829">
        <v>50</v>
      </c>
      <c r="AB62" s="829">
        <v>50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32</v>
      </c>
      <c r="AH62" s="891" t="s">
        <v>1877</v>
      </c>
      <c r="AI62" s="891" t="s">
        <v>34</v>
      </c>
      <c r="AJ62" s="891" t="s">
        <v>32</v>
      </c>
      <c r="AK62" s="891" t="s">
        <v>32</v>
      </c>
      <c r="AL62" s="891" t="s">
        <v>32</v>
      </c>
      <c r="AM62" s="891" t="s">
        <v>1877</v>
      </c>
      <c r="AN62" s="891" t="s">
        <v>1877</v>
      </c>
      <c r="AO62" s="891" t="s">
        <v>32</v>
      </c>
      <c r="AP62" s="891" t="s">
        <v>1877</v>
      </c>
      <c r="AQ62" s="891" t="s">
        <v>34</v>
      </c>
      <c r="AR62" s="891" t="s">
        <v>2096</v>
      </c>
      <c r="AS62" s="891" t="s">
        <v>34</v>
      </c>
      <c r="AT62" s="891" t="s">
        <v>34</v>
      </c>
      <c r="AU62" s="891" t="s">
        <v>1877</v>
      </c>
      <c r="AV62" s="891" t="s">
        <v>3474</v>
      </c>
      <c r="AW62" s="891" t="s">
        <v>1877</v>
      </c>
      <c r="AX62" s="891" t="s">
        <v>34</v>
      </c>
      <c r="AY62" s="891" t="s">
        <v>34</v>
      </c>
      <c r="AZ62" s="891" t="s">
        <v>32</v>
      </c>
      <c r="BA62" s="891" t="s">
        <v>32</v>
      </c>
      <c r="BB62" s="891" t="s">
        <v>32</v>
      </c>
      <c r="BC62" s="891" t="s">
        <v>32</v>
      </c>
      <c r="BD62" s="891" t="s">
        <v>34</v>
      </c>
      <c r="BE62" s="891" t="s">
        <v>32</v>
      </c>
      <c r="BF62" s="891" t="s">
        <v>34</v>
      </c>
      <c r="BG62" s="891" t="s">
        <v>32</v>
      </c>
      <c r="BH62" s="891" t="s">
        <v>36</v>
      </c>
      <c r="BI62" s="891" t="s">
        <v>3474</v>
      </c>
      <c r="BJ62" s="891" t="s">
        <v>35</v>
      </c>
      <c r="BK62" s="891"/>
      <c r="BL62" s="891"/>
      <c r="BM62" s="891" t="s">
        <v>3463</v>
      </c>
      <c r="BN62" s="891"/>
      <c r="BO62" s="891"/>
      <c r="BP62" s="891"/>
      <c r="BQ62" s="891"/>
      <c r="BR62" s="891"/>
      <c r="BS62" s="891"/>
      <c r="BT62" s="891"/>
      <c r="BU62" s="891"/>
      <c r="BV62" s="891"/>
      <c r="BW62" s="891"/>
      <c r="BX62" s="891"/>
      <c r="BY62" s="891"/>
      <c r="BZ62" s="896"/>
      <c r="CA62" s="896"/>
      <c r="CB62" s="896"/>
      <c r="CC62" s="896"/>
      <c r="CD62" s="896"/>
    </row>
    <row r="63" spans="1:86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</v>
      </c>
      <c r="G63" s="879" t="s">
        <v>1086</v>
      </c>
      <c r="H63" s="879" t="s">
        <v>18</v>
      </c>
      <c r="I63" s="879" t="s">
        <v>891</v>
      </c>
      <c r="J63" s="846">
        <v>1</v>
      </c>
      <c r="K63" s="846">
        <v>1</v>
      </c>
      <c r="L63" s="816" t="str">
        <f t="shared" si="29"/>
        <v>D</v>
      </c>
      <c r="M63" s="816">
        <f t="shared" si="30"/>
        <v>2</v>
      </c>
      <c r="N63" s="816" t="str">
        <f t="shared" si="31"/>
        <v>U</v>
      </c>
      <c r="O63" s="816">
        <f t="shared" si="54"/>
        <v>0.75</v>
      </c>
      <c r="P63" s="829">
        <f t="shared" si="55"/>
        <v>1</v>
      </c>
      <c r="Q63" s="830">
        <v>-0.8</v>
      </c>
      <c r="R63" s="871">
        <f t="shared" si="23"/>
        <v>0.8</v>
      </c>
      <c r="S63" s="830">
        <v>2.6</v>
      </c>
      <c r="T63" s="871">
        <f t="shared" si="24"/>
        <v>-0.60000000000000009</v>
      </c>
      <c r="U63" s="868">
        <f t="shared" si="58"/>
        <v>0.9</v>
      </c>
      <c r="V63" s="868">
        <f t="shared" si="59"/>
        <v>1.7000000000000002</v>
      </c>
      <c r="W63" s="829">
        <v>22</v>
      </c>
      <c r="X63" s="829">
        <v>9</v>
      </c>
      <c r="Y63" s="829">
        <v>4</v>
      </c>
      <c r="Z63" s="829">
        <v>3</v>
      </c>
      <c r="AA63" s="829">
        <v>52</v>
      </c>
      <c r="AB63" s="829">
        <v>48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1877</v>
      </c>
      <c r="AH63" s="891" t="s">
        <v>32</v>
      </c>
      <c r="AI63" s="891" t="s">
        <v>34</v>
      </c>
      <c r="AJ63" s="891" t="s">
        <v>32</v>
      </c>
      <c r="AK63" s="891" t="s">
        <v>32</v>
      </c>
      <c r="AL63" s="891" t="s">
        <v>32</v>
      </c>
      <c r="AM63" s="891" t="s">
        <v>1877</v>
      </c>
      <c r="AN63" s="891" t="s">
        <v>1877</v>
      </c>
      <c r="AO63" s="891" t="s">
        <v>32</v>
      </c>
      <c r="AP63" s="891" t="s">
        <v>32</v>
      </c>
      <c r="AQ63" s="891" t="s">
        <v>32</v>
      </c>
      <c r="AR63" s="891" t="s">
        <v>34</v>
      </c>
      <c r="AS63" s="891" t="s">
        <v>35</v>
      </c>
      <c r="AT63" s="891" t="s">
        <v>34</v>
      </c>
      <c r="AU63" s="891" t="s">
        <v>32</v>
      </c>
      <c r="AV63" s="891" t="s">
        <v>34</v>
      </c>
      <c r="AW63" s="891" t="s">
        <v>3498</v>
      </c>
      <c r="AX63" s="891" t="s">
        <v>34</v>
      </c>
      <c r="AY63" s="891" t="s">
        <v>34</v>
      </c>
      <c r="AZ63" s="891" t="s">
        <v>36</v>
      </c>
      <c r="BA63" s="891" t="s">
        <v>32</v>
      </c>
      <c r="BB63" s="891" t="s">
        <v>32</v>
      </c>
      <c r="BC63" s="891" t="s">
        <v>32</v>
      </c>
      <c r="BD63" s="891" t="s">
        <v>34</v>
      </c>
      <c r="BE63" s="891" t="s">
        <v>36</v>
      </c>
      <c r="BF63" s="891" t="s">
        <v>35</v>
      </c>
      <c r="BG63" s="891" t="s">
        <v>32</v>
      </c>
      <c r="BH63" s="891" t="s">
        <v>1877</v>
      </c>
      <c r="BI63" s="891" t="s">
        <v>34</v>
      </c>
      <c r="BJ63" s="891" t="s">
        <v>35</v>
      </c>
      <c r="BK63" s="891"/>
      <c r="BL63" s="891"/>
      <c r="BM63" s="891" t="s">
        <v>3463</v>
      </c>
      <c r="BN63" s="891"/>
      <c r="BO63" s="891"/>
      <c r="BP63" s="891"/>
      <c r="BQ63" s="891"/>
      <c r="BR63" s="891"/>
      <c r="BS63" s="891"/>
      <c r="BT63" s="891"/>
      <c r="BU63" s="891"/>
      <c r="BV63" s="891"/>
      <c r="BW63" s="891"/>
      <c r="BX63" s="891"/>
      <c r="BY63" s="891"/>
      <c r="BZ63" s="896"/>
      <c r="CA63" s="896"/>
      <c r="CB63" s="896"/>
      <c r="CC63" s="896"/>
      <c r="CD63" s="896"/>
    </row>
    <row r="64" spans="1:86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3</v>
      </c>
      <c r="G64" s="879" t="s">
        <v>1085</v>
      </c>
      <c r="H64" s="879" t="s">
        <v>22</v>
      </c>
      <c r="I64" s="879" t="s">
        <v>891</v>
      </c>
      <c r="J64" s="846">
        <v>0</v>
      </c>
      <c r="K64" s="846">
        <v>1</v>
      </c>
      <c r="L64" s="816" t="str">
        <f t="shared" si="29"/>
        <v>L</v>
      </c>
      <c r="M64" s="816">
        <f t="shared" si="30"/>
        <v>1</v>
      </c>
      <c r="N64" s="816" t="str">
        <f t="shared" si="31"/>
        <v>U</v>
      </c>
      <c r="O64" s="816">
        <f t="shared" si="54"/>
        <v>0.5</v>
      </c>
      <c r="P64" s="829">
        <f t="shared" si="55"/>
        <v>-1</v>
      </c>
      <c r="Q64" s="830">
        <v>-0.48</v>
      </c>
      <c r="R64" s="871">
        <f t="shared" si="23"/>
        <v>-0.52</v>
      </c>
      <c r="S64" s="830">
        <v>3.23</v>
      </c>
      <c r="T64" s="871">
        <f t="shared" si="24"/>
        <v>-2.23</v>
      </c>
      <c r="U64" s="868">
        <f t="shared" si="58"/>
        <v>1.375</v>
      </c>
      <c r="V64" s="868">
        <f t="shared" si="59"/>
        <v>1.855</v>
      </c>
      <c r="W64" s="829">
        <v>8</v>
      </c>
      <c r="X64" s="829">
        <v>12</v>
      </c>
      <c r="Y64" s="829">
        <v>1</v>
      </c>
      <c r="Z64" s="829">
        <v>6</v>
      </c>
      <c r="AA64" s="829">
        <v>43</v>
      </c>
      <c r="AB64" s="829">
        <v>57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1877</v>
      </c>
      <c r="AH64" s="891" t="s">
        <v>32</v>
      </c>
      <c r="AI64" s="891" t="s">
        <v>34</v>
      </c>
      <c r="AJ64" s="891" t="s">
        <v>32</v>
      </c>
      <c r="AK64" s="891" t="s">
        <v>32</v>
      </c>
      <c r="AL64" s="891" t="s">
        <v>32</v>
      </c>
      <c r="AM64" s="891" t="s">
        <v>1877</v>
      </c>
      <c r="AN64" s="891" t="s">
        <v>1877</v>
      </c>
      <c r="AO64" s="891" t="s">
        <v>32</v>
      </c>
      <c r="AP64" s="891" t="s">
        <v>32</v>
      </c>
      <c r="AQ64" s="891" t="s">
        <v>32</v>
      </c>
      <c r="AR64" s="891" t="s">
        <v>34</v>
      </c>
      <c r="AS64" s="891" t="s">
        <v>36</v>
      </c>
      <c r="AT64" s="891" t="s">
        <v>35</v>
      </c>
      <c r="AU64" s="891" t="s">
        <v>32</v>
      </c>
      <c r="AV64" s="891" t="s">
        <v>34</v>
      </c>
      <c r="AW64" s="904" t="s">
        <v>35</v>
      </c>
      <c r="AX64" s="904" t="s">
        <v>34</v>
      </c>
      <c r="AY64" s="891" t="s">
        <v>34</v>
      </c>
      <c r="AZ64" s="891" t="s">
        <v>34</v>
      </c>
      <c r="BA64" s="891" t="s">
        <v>32</v>
      </c>
      <c r="BB64" s="891" t="s">
        <v>32</v>
      </c>
      <c r="BC64" s="891" t="s">
        <v>32</v>
      </c>
      <c r="BD64" s="891" t="s">
        <v>34</v>
      </c>
      <c r="BE64" s="891" t="s">
        <v>35</v>
      </c>
      <c r="BF64" s="891" t="s">
        <v>36</v>
      </c>
      <c r="BG64" s="891" t="s">
        <v>32</v>
      </c>
      <c r="BH64" s="891" t="s">
        <v>32</v>
      </c>
      <c r="BI64" s="891" t="s">
        <v>34</v>
      </c>
      <c r="BJ64" s="891" t="s">
        <v>1877</v>
      </c>
      <c r="BK64" s="891" t="s">
        <v>32</v>
      </c>
      <c r="BL64" s="891" t="s">
        <v>32</v>
      </c>
      <c r="BM64" s="891" t="s">
        <v>36</v>
      </c>
      <c r="BN64" s="891"/>
      <c r="BO64" s="891"/>
      <c r="BP64" s="891"/>
      <c r="BQ64" s="891"/>
      <c r="BR64" s="891"/>
      <c r="BS64" s="891"/>
      <c r="BT64" s="891"/>
      <c r="BU64" s="891"/>
      <c r="BV64" s="891"/>
      <c r="BW64" s="891"/>
      <c r="BX64" s="891"/>
      <c r="BY64" s="891"/>
      <c r="BZ64" s="896"/>
      <c r="CA64" s="896"/>
      <c r="CB64" s="896"/>
      <c r="CC64" s="896"/>
      <c r="CD64" s="896"/>
    </row>
    <row r="65" spans="1:82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10</v>
      </c>
      <c r="G65" s="879" t="s">
        <v>883</v>
      </c>
      <c r="H65" s="879" t="s">
        <v>18</v>
      </c>
      <c r="I65" s="879" t="s">
        <v>891</v>
      </c>
      <c r="J65" s="846">
        <v>1</v>
      </c>
      <c r="K65" s="846">
        <v>1</v>
      </c>
      <c r="L65" s="816" t="str">
        <f t="shared" si="29"/>
        <v>D</v>
      </c>
      <c r="M65" s="816">
        <f t="shared" si="30"/>
        <v>2</v>
      </c>
      <c r="N65" s="816" t="str">
        <f t="shared" si="31"/>
        <v>U</v>
      </c>
      <c r="O65" s="816">
        <f t="shared" si="54"/>
        <v>0.5</v>
      </c>
      <c r="P65" s="829">
        <f t="shared" si="55"/>
        <v>1</v>
      </c>
      <c r="Q65" s="830">
        <v>-0.53</v>
      </c>
      <c r="R65" s="871">
        <f t="shared" si="23"/>
        <v>0.53</v>
      </c>
      <c r="S65" s="830">
        <v>2.6</v>
      </c>
      <c r="T65" s="871">
        <f t="shared" si="24"/>
        <v>-0.60000000000000009</v>
      </c>
      <c r="U65" s="868">
        <f t="shared" si="58"/>
        <v>1.0350000000000001</v>
      </c>
      <c r="V65" s="868">
        <f t="shared" si="59"/>
        <v>1.5649999999999999</v>
      </c>
      <c r="W65" s="829">
        <v>17</v>
      </c>
      <c r="X65" s="829">
        <v>18</v>
      </c>
      <c r="Y65" s="829">
        <v>4</v>
      </c>
      <c r="Z65" s="829">
        <v>7</v>
      </c>
      <c r="AA65" s="829">
        <v>49</v>
      </c>
      <c r="AB65" s="829">
        <v>51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1877</v>
      </c>
      <c r="AH65" s="891" t="s">
        <v>32</v>
      </c>
      <c r="AI65" s="891" t="s">
        <v>34</v>
      </c>
      <c r="AJ65" s="891" t="s">
        <v>32</v>
      </c>
      <c r="AK65" s="891" t="s">
        <v>32</v>
      </c>
      <c r="AL65" s="891" t="s">
        <v>32</v>
      </c>
      <c r="AM65" s="891" t="s">
        <v>32</v>
      </c>
      <c r="AN65" s="891" t="s">
        <v>1877</v>
      </c>
      <c r="AO65" s="891" t="s">
        <v>32</v>
      </c>
      <c r="AP65" s="891" t="s">
        <v>32</v>
      </c>
      <c r="AQ65" s="891" t="s">
        <v>1877</v>
      </c>
      <c r="AR65" s="891" t="s">
        <v>3561</v>
      </c>
      <c r="AS65" s="891" t="s">
        <v>35</v>
      </c>
      <c r="AT65" s="891" t="s">
        <v>35</v>
      </c>
      <c r="AU65" s="891" t="s">
        <v>34</v>
      </c>
      <c r="AV65" s="891" t="s">
        <v>36</v>
      </c>
      <c r="AW65" s="891" t="s">
        <v>36</v>
      </c>
      <c r="AX65" s="891" t="s">
        <v>34</v>
      </c>
      <c r="AY65" s="891" t="s">
        <v>32</v>
      </c>
      <c r="AZ65" s="891" t="s">
        <v>34</v>
      </c>
      <c r="BA65" s="891" t="s">
        <v>32</v>
      </c>
      <c r="BB65" s="891" t="s">
        <v>32</v>
      </c>
      <c r="BC65" s="891" t="s">
        <v>32</v>
      </c>
      <c r="BD65" s="891" t="s">
        <v>34</v>
      </c>
      <c r="BE65" s="891" t="s">
        <v>34</v>
      </c>
      <c r="BF65" s="891" t="s">
        <v>1877</v>
      </c>
      <c r="BG65" s="891" t="s">
        <v>32</v>
      </c>
      <c r="BH65" s="891" t="s">
        <v>32</v>
      </c>
      <c r="BI65" s="904" t="s">
        <v>34</v>
      </c>
      <c r="BJ65" s="891" t="s">
        <v>35</v>
      </c>
      <c r="BK65" s="891" t="s">
        <v>32</v>
      </c>
      <c r="BL65" s="891" t="s">
        <v>32</v>
      </c>
      <c r="BM65" s="891" t="s">
        <v>36</v>
      </c>
      <c r="BN65" s="891"/>
      <c r="BO65" s="891"/>
      <c r="BP65" s="891"/>
      <c r="BQ65" s="891"/>
      <c r="BR65" s="891"/>
      <c r="BS65" s="891"/>
      <c r="BT65" s="891"/>
      <c r="BU65" s="891"/>
      <c r="BV65" s="891"/>
      <c r="BW65" s="891"/>
      <c r="BX65" s="891"/>
      <c r="BY65" s="891"/>
      <c r="BZ65" s="896"/>
      <c r="CA65" s="896"/>
      <c r="CB65" s="896"/>
      <c r="CC65" s="896"/>
      <c r="CD65" s="896"/>
    </row>
    <row r="66" spans="1:82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4</v>
      </c>
      <c r="G66" s="879" t="s">
        <v>1084</v>
      </c>
      <c r="H66" s="879" t="s">
        <v>22</v>
      </c>
      <c r="I66" s="879" t="s">
        <v>891</v>
      </c>
      <c r="J66" s="846">
        <v>1</v>
      </c>
      <c r="K66" s="846">
        <v>1</v>
      </c>
      <c r="L66" s="816" t="str">
        <f t="shared" si="29"/>
        <v>D</v>
      </c>
      <c r="M66" s="816">
        <f t="shared" si="30"/>
        <v>2</v>
      </c>
      <c r="N66" s="816" t="str">
        <f t="shared" si="31"/>
        <v>U</v>
      </c>
      <c r="O66" s="816">
        <f t="shared" si="54"/>
        <v>0.5</v>
      </c>
      <c r="P66" s="829">
        <f t="shared" si="55"/>
        <v>1</v>
      </c>
      <c r="Q66" s="830">
        <v>-0.53</v>
      </c>
      <c r="R66" s="871">
        <f t="shared" si="23"/>
        <v>0.53</v>
      </c>
      <c r="S66" s="830">
        <v>2.4</v>
      </c>
      <c r="T66" s="871">
        <f t="shared" si="24"/>
        <v>-0.39999999999999991</v>
      </c>
      <c r="U66" s="868">
        <f t="shared" si="58"/>
        <v>0.93499999999999994</v>
      </c>
      <c r="V66" s="868">
        <f t="shared" si="59"/>
        <v>1.4649999999999999</v>
      </c>
      <c r="W66" s="829">
        <v>8</v>
      </c>
      <c r="X66" s="829">
        <v>18</v>
      </c>
      <c r="Y66" s="829">
        <v>1</v>
      </c>
      <c r="Z66" s="829">
        <v>4</v>
      </c>
      <c r="AA66" s="829">
        <v>42</v>
      </c>
      <c r="AB66" s="829">
        <v>58</v>
      </c>
      <c r="AC66" s="829"/>
      <c r="AD66" s="816" t="str">
        <f t="array" ref="AD66">IF($J66="","",IF(SUM(IF(ISNUMBER(VALUE(RIGHT($AG66:$CI66,1))),VALUE(RIGHT($AG66:$CI66,1)),0))=$J66,"T","F"))</f>
        <v>T</v>
      </c>
      <c r="AE66" s="831">
        <f t="array" ref="AE66">IF($J66="","",SUM(IF(LEFT($AG66:$DU66,1)="s",1,0))-SUM(IF(RIGHT(LEFT($AG66:$DU66,2))="-",1,0)))</f>
        <v>0</v>
      </c>
      <c r="AF66" s="816">
        <f t="array" ref="AF66">IF($J66="","",SUM(IF(LEFT($AG66:$DA66,1)="X",1,0)))</f>
        <v>11</v>
      </c>
      <c r="AG66" s="891" t="s">
        <v>1877</v>
      </c>
      <c r="AH66" s="891" t="s">
        <v>32</v>
      </c>
      <c r="AI66" s="891" t="s">
        <v>34</v>
      </c>
      <c r="AJ66" s="891" t="s">
        <v>32</v>
      </c>
      <c r="AK66" s="891" t="s">
        <v>32</v>
      </c>
      <c r="AL66" s="891" t="s">
        <v>32</v>
      </c>
      <c r="AM66" s="891" t="s">
        <v>32</v>
      </c>
      <c r="AN66" s="891" t="s">
        <v>1877</v>
      </c>
      <c r="AO66" s="891" t="s">
        <v>32</v>
      </c>
      <c r="AP66" s="891" t="s">
        <v>32</v>
      </c>
      <c r="AQ66" s="891" t="s">
        <v>1877</v>
      </c>
      <c r="AR66" s="891" t="s">
        <v>34</v>
      </c>
      <c r="AS66" s="891" t="s">
        <v>34</v>
      </c>
      <c r="AT66" s="904" t="s">
        <v>34</v>
      </c>
      <c r="AU66" s="891" t="s">
        <v>35</v>
      </c>
      <c r="AV66" s="891" t="s">
        <v>35</v>
      </c>
      <c r="AW66" s="891" t="s">
        <v>36</v>
      </c>
      <c r="AX66" s="891" t="s">
        <v>3572</v>
      </c>
      <c r="AY66" s="891" t="s">
        <v>32</v>
      </c>
      <c r="AZ66" s="891" t="s">
        <v>34</v>
      </c>
      <c r="BA66" s="891" t="s">
        <v>32</v>
      </c>
      <c r="BB66" s="891" t="s">
        <v>32</v>
      </c>
      <c r="BC66" s="891" t="s">
        <v>32</v>
      </c>
      <c r="BD66" s="891" t="s">
        <v>34</v>
      </c>
      <c r="BE66" s="891" t="s">
        <v>34</v>
      </c>
      <c r="BF66" s="891" t="s">
        <v>1877</v>
      </c>
      <c r="BG66" s="891" t="s">
        <v>32</v>
      </c>
      <c r="BH66" s="891" t="s">
        <v>32</v>
      </c>
      <c r="BI66" s="891" t="s">
        <v>35</v>
      </c>
      <c r="BJ66" s="891" t="s">
        <v>36</v>
      </c>
      <c r="BK66" s="891" t="s">
        <v>32</v>
      </c>
      <c r="BL66" s="891" t="s">
        <v>32</v>
      </c>
      <c r="BM66" s="891" t="s">
        <v>36</v>
      </c>
      <c r="BN66" s="891"/>
      <c r="BO66" s="891"/>
      <c r="BP66" s="891"/>
      <c r="BQ66" s="891"/>
      <c r="BR66" s="891"/>
      <c r="BS66" s="891"/>
      <c r="BT66" s="891"/>
      <c r="BU66" s="891"/>
      <c r="BV66" s="891"/>
      <c r="BW66" s="891"/>
      <c r="BX66" s="891"/>
      <c r="BY66" s="891"/>
      <c r="BZ66" s="896"/>
      <c r="CA66" s="896"/>
      <c r="CB66" s="896"/>
      <c r="CC66" s="896"/>
      <c r="CD66" s="896"/>
    </row>
    <row r="67" spans="1:82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O67" s="816" t="str">
        <f t="shared" ref="O67:O71" si="60">IF(Q67="","",IF(SIGN(Q67)&lt;&gt;1,VLOOKUP(ABS(Q67),SUP_HDC,3,TRUE),-VLOOKUP(ABS(Q67),SUP_HDC,3,TRUE)))</f>
        <v/>
      </c>
      <c r="P67" s="829" t="str">
        <f t="shared" ref="P67:P71" si="61">IF(O67="","",IF((J67-K67+O67)&gt;=0.5,1,IF((J67-K67+O67)=0.25,0.5,IF((J67-K67+O67)&lt;=-0.5,-1,IF((J67-K67+O67)=-0.25,-0.5,0)))))</f>
        <v/>
      </c>
      <c r="T67" s="829"/>
      <c r="U67" s="868" t="str">
        <f t="shared" si="58"/>
        <v/>
      </c>
      <c r="V67" s="868" t="str">
        <f t="shared" si="59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IF($J67="","",IF(SUM(IF(ISNUMBER(VALUE(RIGHT($AG67:$CI67,1))),VALUE(RIGHT($AG67:$CI67,1)),0))=$J67,"T","F"))</f>
        <v/>
      </c>
      <c r="AE67" s="831" t="str">
        <f t="array" ref="AE67">IF($J67="","",SUM(IF(LEFT($AG67:$DU67,1)="s",1,0))-SUM(IF(RIGHT(LEFT($AG67:$DU67,2))="-",1,0)))</f>
        <v/>
      </c>
      <c r="AF67" s="816" t="str">
        <f t="array" ref="AF67">IF($J67="","",SUM(IF(LEFT($AG67:$DA67,1)="X",1,0)))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1"/>
      <c r="BT67" s="891"/>
      <c r="BU67" s="891"/>
      <c r="BV67" s="891"/>
      <c r="BW67" s="891"/>
      <c r="BX67" s="891"/>
      <c r="BY67" s="891"/>
      <c r="BZ67" s="896"/>
      <c r="CA67" s="896"/>
      <c r="CB67" s="896"/>
      <c r="CC67" s="896"/>
      <c r="CD67" s="896"/>
    </row>
    <row r="68" spans="1:82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O68" s="816" t="str">
        <f t="shared" si="60"/>
        <v/>
      </c>
      <c r="P68" s="829" t="str">
        <f t="shared" si="61"/>
        <v/>
      </c>
      <c r="T68" s="829"/>
      <c r="U68" s="868" t="str">
        <f t="shared" si="58"/>
        <v/>
      </c>
      <c r="V68" s="868" t="str">
        <f t="shared" si="59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IF($J68="","",IF(SUM(IF(ISNUMBER(VALUE(RIGHT($AG68:$CI68,1))),VALUE(RIGHT($AG68:$CI68,1)),0))=$J68,"T","F"))</f>
        <v/>
      </c>
      <c r="AE68" s="831" t="str">
        <f t="array" ref="AE68">IF($J68="","",SUM(IF(LEFT($AG68:$DU68,1)="s",1,0))-SUM(IF(RIGHT(LEFT($AG68:$DU68,2))="-",1,0)))</f>
        <v/>
      </c>
      <c r="AF68" s="816" t="str">
        <f t="array" ref="AF68">IF($J68="","",SUM(IF(LEFT($AG68:$DA68,1)="X",1,0)))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1"/>
      <c r="BT68" s="891"/>
      <c r="BU68" s="891"/>
      <c r="BV68" s="891"/>
      <c r="BW68" s="891"/>
      <c r="BX68" s="891"/>
      <c r="BY68" s="891"/>
      <c r="BZ68" s="896"/>
      <c r="CA68" s="896"/>
      <c r="CB68" s="896"/>
      <c r="CC68" s="896"/>
      <c r="CD68" s="896"/>
    </row>
    <row r="69" spans="1:82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O69" s="816" t="str">
        <f t="shared" si="60"/>
        <v/>
      </c>
      <c r="P69" s="829" t="str">
        <f t="shared" si="61"/>
        <v/>
      </c>
      <c r="T69" s="829"/>
      <c r="U69" s="868" t="str">
        <f t="shared" si="58"/>
        <v/>
      </c>
      <c r="V69" s="868" t="str">
        <f t="shared" si="59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IF($J69="","",IF(SUM(IF(ISNUMBER(VALUE(RIGHT($AG69:$CI69,1))),VALUE(RIGHT($AG69:$CI69,1)),0))=$J69,"T","F"))</f>
        <v/>
      </c>
      <c r="AE69" s="831" t="str">
        <f t="array" ref="AE69">IF($J69="","",SUM(IF(LEFT($AG69:$DU69,1)="s",1,0))-SUM(IF(RIGHT(LEFT($AG69:$DU69,2))="-",1,0)))</f>
        <v/>
      </c>
      <c r="AF69" s="816" t="str">
        <f t="array" ref="AF69">IF($J69="","",SUM(IF(LEFT($AG69:$DA69,1)="X",1,0)))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1"/>
      <c r="BT69" s="891"/>
      <c r="BU69" s="891"/>
      <c r="BV69" s="891"/>
      <c r="BW69" s="891"/>
      <c r="BX69" s="891"/>
      <c r="BY69" s="891"/>
      <c r="BZ69" s="896"/>
      <c r="CA69" s="896"/>
      <c r="CB69" s="896"/>
      <c r="CC69" s="896"/>
      <c r="CD69" s="896"/>
    </row>
    <row r="70" spans="1:82" ht="15">
      <c r="A70" s="881"/>
      <c r="B70" s="884"/>
      <c r="C70" s="884"/>
      <c r="D70" s="884"/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O70" s="816" t="str">
        <f t="shared" si="60"/>
        <v/>
      </c>
      <c r="P70" s="829" t="str">
        <f t="shared" si="61"/>
        <v/>
      </c>
      <c r="T70" s="829"/>
      <c r="U70" s="868" t="str">
        <f t="shared" ref="U70" si="62">IF(Q70="","",(Q70+S70)/2)</f>
        <v/>
      </c>
      <c r="V70" s="868" t="str">
        <f t="shared" ref="V70" si="63">IF(Q70="","",S70-U70)</f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IF($J70="","",IF(SUM(IF(ISNUMBER(VALUE(RIGHT($AG70:$CI70,1))),VALUE(RIGHT($AG70:$CI70,1)),0))=$J70,"T","F"))</f>
        <v/>
      </c>
      <c r="AE70" s="831" t="str">
        <f t="array" ref="AE70">IF($J70="","",SUM(IF(LEFT($AG70:$DU70,1)="s",1,0))-SUM(IF(RIGHT(LEFT($AG70:$DU70,2))="-",1,0)))</f>
        <v/>
      </c>
      <c r="AF70" s="816" t="str">
        <f t="array" ref="AF70">IF($J70="","",SUM(IF(LEFT($AG70:$DA70,1)="X",1,0)))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1"/>
      <c r="BT70" s="891"/>
      <c r="BU70" s="891"/>
      <c r="BV70" s="891"/>
      <c r="BW70" s="891"/>
      <c r="BX70" s="891"/>
      <c r="BY70" s="891"/>
      <c r="BZ70" s="896"/>
      <c r="CA70" s="896"/>
      <c r="CB70" s="896"/>
      <c r="CC70" s="896"/>
      <c r="CD70" s="896"/>
    </row>
    <row r="71" spans="1:82" ht="15">
      <c r="A71" s="881"/>
      <c r="B71" s="884"/>
      <c r="C71" s="884"/>
      <c r="D71" s="884"/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O71" s="816" t="str">
        <f t="shared" si="60"/>
        <v/>
      </c>
      <c r="P71" s="829" t="str">
        <f t="shared" si="61"/>
        <v/>
      </c>
      <c r="T71" s="829"/>
      <c r="U71" s="868" t="str">
        <f t="shared" ref="U71" si="64">IF(Q71="","",(Q71+S71)/2)</f>
        <v/>
      </c>
      <c r="V71" s="868" t="str">
        <f t="shared" ref="V71" si="65">IF(Q71="","",S71-U71)</f>
        <v/>
      </c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IF($J71="","",IF(SUM(IF(ISNUMBER(VALUE(RIGHT($AG71:$CI71,1))),VALUE(RIGHT($AG71:$CI71,1)),0))=$J71,"T","F"))</f>
        <v/>
      </c>
      <c r="AE71" s="831" t="str">
        <f t="array" ref="AE71">IF($J71="","",SUM(IF(LEFT($AG71:$DU71,1)="s",1,0))-SUM(IF(RIGHT(LEFT($AG71:$DU71,2))="-",1,0)))</f>
        <v/>
      </c>
      <c r="AF71" s="816" t="str">
        <f t="array" ref="AF71">IF($J71="","",SUM(IF(LEFT($AG71:$DA71,1)="X",1,0)))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1"/>
      <c r="BT71" s="891"/>
      <c r="BU71" s="891"/>
      <c r="BV71" s="891"/>
      <c r="BW71" s="891"/>
      <c r="BX71" s="891"/>
      <c r="BY71" s="891"/>
      <c r="BZ71" s="896"/>
      <c r="CA71" s="896"/>
      <c r="CB71" s="896"/>
      <c r="CC71" s="896"/>
      <c r="CD71" s="896"/>
    </row>
    <row r="72" spans="1:82" ht="15">
      <c r="A72" s="843"/>
      <c r="E72" s="816"/>
      <c r="G72" s="828"/>
      <c r="H72" s="828"/>
      <c r="I72" s="828"/>
      <c r="J72" s="428"/>
      <c r="K72" s="428"/>
      <c r="O72" s="816" t="str">
        <f t="shared" si="54"/>
        <v/>
      </c>
      <c r="P72" s="829" t="str">
        <f t="shared" si="55"/>
        <v/>
      </c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1"/>
      <c r="BR72" s="891"/>
      <c r="BS72" s="891"/>
      <c r="BT72" s="891"/>
      <c r="BU72" s="891"/>
      <c r="BV72" s="891"/>
      <c r="BW72" s="891"/>
      <c r="BX72" s="891"/>
      <c r="BY72" s="891"/>
      <c r="BZ72" s="896"/>
      <c r="CA72" s="896"/>
      <c r="CB72" s="896"/>
      <c r="CC72" s="896"/>
      <c r="CD72" s="896"/>
    </row>
    <row r="73" spans="1:82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/>
      <c r="BF73" s="891"/>
      <c r="BG73" s="891"/>
      <c r="BH73" s="891"/>
      <c r="BI73" s="891"/>
      <c r="BJ73" s="891"/>
      <c r="BK73" s="891"/>
      <c r="BL73" s="891"/>
      <c r="BM73" s="891"/>
      <c r="BN73" s="891"/>
      <c r="BO73" s="891"/>
      <c r="BP73" s="891"/>
      <c r="BQ73" s="891"/>
      <c r="BR73" s="891"/>
      <c r="BS73" s="891"/>
      <c r="BT73" s="891"/>
      <c r="BU73" s="891"/>
      <c r="BV73" s="891"/>
      <c r="BW73" s="891"/>
      <c r="BX73" s="891"/>
      <c r="BY73" s="891"/>
      <c r="BZ73" s="896"/>
      <c r="CA73" s="896"/>
      <c r="CB73" s="896"/>
      <c r="CC73" s="896"/>
      <c r="CD73" s="896"/>
    </row>
    <row r="74" spans="1:82" ht="15">
      <c r="A74" s="843"/>
      <c r="E74" s="816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/>
      <c r="AG74" s="896"/>
      <c r="AH74" s="896"/>
      <c r="AI74" s="896"/>
      <c r="AJ74" s="893"/>
      <c r="AK74" s="896"/>
      <c r="AL74" s="896"/>
      <c r="AM74" s="896"/>
      <c r="AN74" s="896"/>
      <c r="AO74" s="896"/>
      <c r="AP74" s="896"/>
      <c r="AQ74" s="896"/>
      <c r="AR74" s="896"/>
      <c r="AS74" s="896"/>
      <c r="AT74" s="896"/>
      <c r="AU74" s="896"/>
      <c r="AV74" s="896"/>
      <c r="AW74" s="896"/>
      <c r="AX74" s="896"/>
      <c r="AY74" s="896"/>
      <c r="AZ74" s="896"/>
      <c r="BA74" s="896"/>
      <c r="BB74" s="893"/>
      <c r="BC74" s="893"/>
      <c r="BD74" s="893"/>
      <c r="BE74" s="893"/>
      <c r="BF74" s="893"/>
      <c r="BG74" s="896"/>
      <c r="BH74" s="896"/>
      <c r="BI74" s="896"/>
      <c r="BJ74" s="893"/>
      <c r="BK74" s="896"/>
      <c r="BL74" s="896"/>
      <c r="BM74" s="896"/>
      <c r="BN74" s="896"/>
      <c r="BO74" s="897"/>
      <c r="BP74" s="897"/>
      <c r="BQ74" s="897"/>
      <c r="BR74" s="897"/>
      <c r="BS74" s="897"/>
      <c r="BT74" s="896"/>
      <c r="BU74" s="896"/>
      <c r="BV74" s="896"/>
      <c r="BW74" s="896"/>
      <c r="BX74" s="893"/>
      <c r="BY74" s="896"/>
      <c r="BZ74" s="896"/>
      <c r="CA74" s="896"/>
      <c r="CB74" s="896"/>
      <c r="CC74" s="896"/>
      <c r="CD74" s="896"/>
    </row>
    <row r="75" spans="1:82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ref="L75:L132" si="66">IF(J75="","",IF(J75&gt;K75,"W",IF(J75=K75,"D",IF(J75&lt;K75,"L"))))</f>
        <v/>
      </c>
      <c r="M75" s="816" t="str">
        <f t="shared" ref="M75:M132" si="67">IF(J75="","",J75+K75)</f>
        <v/>
      </c>
      <c r="N75" s="816" t="str">
        <f t="shared" ref="N75:N132" si="68">IF($J75="","",IF($M75&gt;N$19,"O",IF($M75&lt;N$19,"U",IF($M75=N$19,"-"))))</f>
        <v/>
      </c>
      <c r="R75" s="816" t="str">
        <f t="shared" ref="R75:R132" si="69">IF(ISBLANK(Q75),"",J75-K75-Q75)</f>
        <v/>
      </c>
      <c r="T75" s="829" t="str">
        <f t="shared" ref="T75:T132" si="70">IF(ISBLANK(S75),"",J75+K75-S75)</f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3"/>
      <c r="BC75" s="893"/>
      <c r="BD75" s="893"/>
      <c r="BE75" s="893"/>
      <c r="BF75" s="893"/>
      <c r="BG75" s="897"/>
      <c r="BH75" s="897"/>
      <c r="BI75" s="897"/>
      <c r="BJ75" s="893"/>
      <c r="BK75" s="897"/>
      <c r="BL75" s="897"/>
      <c r="BM75" s="897"/>
      <c r="BN75" s="897"/>
      <c r="BO75" s="897"/>
      <c r="BP75" s="897"/>
      <c r="BQ75" s="897"/>
      <c r="BR75" s="897"/>
      <c r="BS75" s="897"/>
      <c r="BT75" s="897"/>
      <c r="BU75" s="897"/>
      <c r="BV75" s="897"/>
      <c r="BW75" s="897"/>
      <c r="BX75" s="893"/>
      <c r="BY75" s="897"/>
      <c r="BZ75" s="897"/>
      <c r="CA75" s="897"/>
      <c r="CB75" s="897"/>
      <c r="CC75" s="897"/>
      <c r="CD75" s="897"/>
    </row>
    <row r="76" spans="1:82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66"/>
        <v/>
      </c>
      <c r="M76" s="816" t="str">
        <f t="shared" si="67"/>
        <v/>
      </c>
      <c r="N76" s="816" t="str">
        <f t="shared" si="68"/>
        <v/>
      </c>
      <c r="R76" s="816" t="str">
        <f t="shared" si="69"/>
        <v/>
      </c>
      <c r="T76" s="829" t="str">
        <f t="shared" si="70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3"/>
      <c r="BC76" s="893"/>
      <c r="BD76" s="893"/>
      <c r="BE76" s="893"/>
      <c r="BF76" s="893"/>
      <c r="BG76" s="897"/>
      <c r="BH76" s="897"/>
      <c r="BI76" s="897"/>
      <c r="BJ76" s="893"/>
      <c r="BK76" s="897"/>
      <c r="BL76" s="897"/>
      <c r="BM76" s="897"/>
      <c r="BN76" s="897"/>
      <c r="BO76" s="897"/>
      <c r="BP76" s="897"/>
      <c r="BQ76" s="897"/>
      <c r="BR76" s="897"/>
      <c r="BS76" s="897"/>
      <c r="BT76" s="897"/>
      <c r="BU76" s="897"/>
      <c r="BV76" s="897"/>
      <c r="BW76" s="897"/>
      <c r="BX76" s="893"/>
      <c r="BY76" s="897"/>
      <c r="BZ76" s="897"/>
      <c r="CA76" s="897"/>
      <c r="CB76" s="897"/>
      <c r="CC76" s="897"/>
      <c r="CD76" s="897"/>
    </row>
    <row r="77" spans="1:82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66"/>
        <v/>
      </c>
      <c r="M77" s="816" t="str">
        <f t="shared" si="67"/>
        <v/>
      </c>
      <c r="N77" s="816" t="str">
        <f t="shared" si="68"/>
        <v/>
      </c>
      <c r="R77" s="816" t="str">
        <f t="shared" si="69"/>
        <v/>
      </c>
      <c r="T77" s="829" t="str">
        <f t="shared" si="70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3"/>
      <c r="BC77" s="893"/>
      <c r="BD77" s="893"/>
      <c r="BE77" s="893"/>
      <c r="BF77" s="893"/>
      <c r="BG77" s="897"/>
      <c r="BH77" s="897"/>
      <c r="BI77" s="897"/>
      <c r="BJ77" s="893"/>
      <c r="BK77" s="897"/>
      <c r="BL77" s="897"/>
      <c r="BM77" s="897"/>
      <c r="BN77" s="897"/>
      <c r="BO77" s="897"/>
      <c r="BP77" s="897"/>
      <c r="BQ77" s="897"/>
      <c r="BR77" s="897"/>
      <c r="BS77" s="897"/>
      <c r="BT77" s="897"/>
      <c r="BU77" s="897"/>
      <c r="BV77" s="897"/>
      <c r="BW77" s="897"/>
      <c r="BX77" s="893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66"/>
        <v/>
      </c>
      <c r="M78" s="816" t="str">
        <f t="shared" si="67"/>
        <v/>
      </c>
      <c r="N78" s="816" t="str">
        <f t="shared" si="68"/>
        <v/>
      </c>
      <c r="R78" s="816" t="str">
        <f t="shared" si="69"/>
        <v/>
      </c>
      <c r="T78" s="829" t="str">
        <f t="shared" si="70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3"/>
      <c r="BC78" s="893"/>
      <c r="BD78" s="893"/>
      <c r="BE78" s="893"/>
      <c r="BF78" s="893"/>
      <c r="BG78" s="897"/>
      <c r="BH78" s="897"/>
      <c r="BI78" s="897"/>
      <c r="BJ78" s="893"/>
      <c r="BK78" s="897"/>
      <c r="BL78" s="897"/>
      <c r="BM78" s="897"/>
      <c r="BN78" s="897"/>
      <c r="BO78" s="897"/>
      <c r="BP78" s="897"/>
      <c r="BQ78" s="897"/>
      <c r="BR78" s="897"/>
      <c r="BS78" s="897"/>
      <c r="BT78" s="897"/>
      <c r="BU78" s="897"/>
      <c r="BV78" s="897"/>
      <c r="BW78" s="897"/>
      <c r="BX78" s="893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428"/>
      <c r="K79" s="428"/>
      <c r="L79" s="816" t="str">
        <f t="shared" si="66"/>
        <v/>
      </c>
      <c r="M79" s="816" t="str">
        <f t="shared" si="67"/>
        <v/>
      </c>
      <c r="N79" s="816" t="str">
        <f t="shared" si="68"/>
        <v/>
      </c>
      <c r="R79" s="816" t="str">
        <f t="shared" si="69"/>
        <v/>
      </c>
      <c r="T79" s="829" t="str">
        <f t="shared" si="70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3"/>
      <c r="BC79" s="893"/>
      <c r="BD79" s="893"/>
      <c r="BE79" s="893"/>
      <c r="BF79" s="893"/>
      <c r="BG79" s="897"/>
      <c r="BH79" s="897"/>
      <c r="BI79" s="897"/>
      <c r="BJ79" s="893"/>
      <c r="BK79" s="897"/>
      <c r="BL79" s="897"/>
      <c r="BM79" s="897"/>
      <c r="BN79" s="897"/>
      <c r="BO79" s="897"/>
      <c r="BP79" s="897"/>
      <c r="BQ79" s="897"/>
      <c r="BR79" s="897"/>
      <c r="BS79" s="897"/>
      <c r="BT79" s="897"/>
      <c r="BU79" s="897"/>
      <c r="BV79" s="897"/>
      <c r="BW79" s="897"/>
      <c r="BX79" s="893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6"/>
        <v/>
      </c>
      <c r="M80" s="816" t="str">
        <f t="shared" si="67"/>
        <v/>
      </c>
      <c r="N80" s="816" t="str">
        <f t="shared" si="68"/>
        <v/>
      </c>
      <c r="R80" s="816" t="str">
        <f t="shared" si="69"/>
        <v/>
      </c>
      <c r="T80" s="829" t="str">
        <f t="shared" si="70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3"/>
      <c r="BC80" s="893"/>
      <c r="BD80" s="893"/>
      <c r="BE80" s="893"/>
      <c r="BF80" s="893"/>
      <c r="BG80" s="897"/>
      <c r="BH80" s="897"/>
      <c r="BI80" s="897"/>
      <c r="BJ80" s="893"/>
      <c r="BK80" s="897"/>
      <c r="BL80" s="897"/>
      <c r="BM80" s="897"/>
      <c r="BN80" s="897"/>
      <c r="BO80" s="897"/>
      <c r="BP80" s="897"/>
      <c r="BQ80" s="897"/>
      <c r="BR80" s="897"/>
      <c r="BS80" s="897"/>
      <c r="BT80" s="897"/>
      <c r="BU80" s="897"/>
      <c r="BV80" s="897"/>
      <c r="BW80" s="897"/>
      <c r="BX80" s="893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6"/>
        <v/>
      </c>
      <c r="M81" s="816" t="str">
        <f t="shared" si="67"/>
        <v/>
      </c>
      <c r="N81" s="816" t="str">
        <f t="shared" si="68"/>
        <v/>
      </c>
      <c r="R81" s="816" t="str">
        <f t="shared" si="69"/>
        <v/>
      </c>
      <c r="T81" s="829" t="str">
        <f t="shared" si="70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3"/>
      <c r="BC81" s="893"/>
      <c r="BD81" s="893"/>
      <c r="BE81" s="893"/>
      <c r="BF81" s="893"/>
      <c r="BG81" s="897"/>
      <c r="BH81" s="897"/>
      <c r="BI81" s="897"/>
      <c r="BJ81" s="893"/>
      <c r="BK81" s="897"/>
      <c r="BL81" s="897"/>
      <c r="BM81" s="897"/>
      <c r="BN81" s="897"/>
      <c r="BO81" s="897"/>
      <c r="BP81" s="897"/>
      <c r="BQ81" s="897"/>
      <c r="BR81" s="897"/>
      <c r="BS81" s="897"/>
      <c r="BT81" s="897"/>
      <c r="BU81" s="897"/>
      <c r="BV81" s="897"/>
      <c r="BW81" s="897"/>
      <c r="BX81" s="893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6"/>
        <v/>
      </c>
      <c r="M82" s="816" t="str">
        <f t="shared" si="67"/>
        <v/>
      </c>
      <c r="N82" s="816" t="str">
        <f t="shared" si="68"/>
        <v/>
      </c>
      <c r="R82" s="816" t="str">
        <f t="shared" si="69"/>
        <v/>
      </c>
      <c r="T82" s="829" t="str">
        <f t="shared" si="70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3"/>
      <c r="BC82" s="893"/>
      <c r="BD82" s="893"/>
      <c r="BE82" s="893"/>
      <c r="BF82" s="893"/>
      <c r="BG82" s="897"/>
      <c r="BH82" s="897"/>
      <c r="BI82" s="897"/>
      <c r="BJ82" s="893"/>
      <c r="BK82" s="897"/>
      <c r="BL82" s="897"/>
      <c r="BM82" s="897"/>
      <c r="BN82" s="897"/>
      <c r="BO82" s="897"/>
      <c r="BP82" s="897"/>
      <c r="BQ82" s="897"/>
      <c r="BR82" s="897"/>
      <c r="BS82" s="897"/>
      <c r="BT82" s="897"/>
      <c r="BU82" s="897"/>
      <c r="BV82" s="897"/>
      <c r="BW82" s="897"/>
      <c r="BX82" s="893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6"/>
        <v/>
      </c>
      <c r="M83" s="816" t="str">
        <f t="shared" si="67"/>
        <v/>
      </c>
      <c r="N83" s="816" t="str">
        <f t="shared" si="68"/>
        <v/>
      </c>
      <c r="R83" s="816" t="str">
        <f t="shared" si="69"/>
        <v/>
      </c>
      <c r="T83" s="829" t="str">
        <f t="shared" si="70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3"/>
      <c r="BC83" s="893"/>
      <c r="BD83" s="893"/>
      <c r="BE83" s="893"/>
      <c r="BF83" s="893"/>
      <c r="BG83" s="897"/>
      <c r="BH83" s="897"/>
      <c r="BI83" s="897"/>
      <c r="BJ83" s="893"/>
      <c r="BK83" s="897"/>
      <c r="BL83" s="897"/>
      <c r="BM83" s="897"/>
      <c r="BN83" s="897"/>
      <c r="BO83" s="897"/>
      <c r="BP83" s="897"/>
      <c r="BQ83" s="897"/>
      <c r="BR83" s="897"/>
      <c r="BS83" s="897"/>
      <c r="BT83" s="897"/>
      <c r="BU83" s="897"/>
      <c r="BV83" s="897"/>
      <c r="BW83" s="897"/>
      <c r="BX83" s="893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6"/>
        <v/>
      </c>
      <c r="M84" s="816" t="str">
        <f t="shared" si="67"/>
        <v/>
      </c>
      <c r="N84" s="816" t="str">
        <f t="shared" si="68"/>
        <v/>
      </c>
      <c r="R84" s="816" t="str">
        <f t="shared" si="69"/>
        <v/>
      </c>
      <c r="T84" s="829" t="str">
        <f t="shared" si="70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3"/>
      <c r="BC84" s="893"/>
      <c r="BD84" s="893"/>
      <c r="BE84" s="893"/>
      <c r="BF84" s="893"/>
      <c r="BG84" s="897"/>
      <c r="BH84" s="897"/>
      <c r="BI84" s="897"/>
      <c r="BJ84" s="893"/>
      <c r="BK84" s="897"/>
      <c r="BL84" s="897"/>
      <c r="BM84" s="897"/>
      <c r="BN84" s="897"/>
      <c r="BO84" s="897"/>
      <c r="BP84" s="897"/>
      <c r="BQ84" s="897"/>
      <c r="BR84" s="897"/>
      <c r="BS84" s="897"/>
      <c r="BT84" s="897"/>
      <c r="BU84" s="897"/>
      <c r="BV84" s="897"/>
      <c r="BW84" s="897"/>
      <c r="BX84" s="893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6"/>
        <v/>
      </c>
      <c r="M85" s="816" t="str">
        <f t="shared" si="67"/>
        <v/>
      </c>
      <c r="N85" s="816" t="str">
        <f t="shared" si="68"/>
        <v/>
      </c>
      <c r="R85" s="816" t="str">
        <f t="shared" si="69"/>
        <v/>
      </c>
      <c r="T85" s="829" t="str">
        <f t="shared" si="70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3"/>
      <c r="BC85" s="893"/>
      <c r="BD85" s="893"/>
      <c r="BE85" s="893"/>
      <c r="BF85" s="893"/>
      <c r="BG85" s="897"/>
      <c r="BH85" s="897"/>
      <c r="BI85" s="897"/>
      <c r="BJ85" s="893"/>
      <c r="BK85" s="897"/>
      <c r="BL85" s="897"/>
      <c r="BM85" s="897"/>
      <c r="BN85" s="897"/>
      <c r="BO85" s="897"/>
      <c r="BP85" s="897"/>
      <c r="BQ85" s="897"/>
      <c r="BR85" s="897"/>
      <c r="BS85" s="897"/>
      <c r="BT85" s="897"/>
      <c r="BU85" s="897"/>
      <c r="BV85" s="897"/>
      <c r="BW85" s="897"/>
      <c r="BX85" s="893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66"/>
        <v/>
      </c>
      <c r="M86" s="816" t="str">
        <f t="shared" si="67"/>
        <v/>
      </c>
      <c r="N86" s="816" t="str">
        <f t="shared" si="68"/>
        <v/>
      </c>
      <c r="R86" s="816" t="str">
        <f t="shared" si="69"/>
        <v/>
      </c>
      <c r="T86" s="829" t="str">
        <f t="shared" si="70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3"/>
      <c r="BC86" s="893"/>
      <c r="BD86" s="893"/>
      <c r="BE86" s="893"/>
      <c r="BF86" s="893"/>
      <c r="BG86" s="897"/>
      <c r="BH86" s="897"/>
      <c r="BI86" s="897"/>
      <c r="BJ86" s="893"/>
      <c r="BK86" s="897"/>
      <c r="BL86" s="897"/>
      <c r="BM86" s="897"/>
      <c r="BN86" s="897"/>
      <c r="BO86" s="897"/>
      <c r="BP86" s="897"/>
      <c r="BQ86" s="897"/>
      <c r="BR86" s="897"/>
      <c r="BS86" s="897"/>
      <c r="BT86" s="897"/>
      <c r="BU86" s="897"/>
      <c r="BV86" s="897"/>
      <c r="BW86" s="897"/>
      <c r="BX86" s="893"/>
      <c r="BY86" s="897"/>
      <c r="BZ86" s="897"/>
      <c r="CA86" s="897"/>
      <c r="CB86" s="897"/>
      <c r="CC86" s="897"/>
      <c r="CD86" s="897"/>
    </row>
    <row r="87" spans="1:82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66"/>
        <v/>
      </c>
      <c r="M87" s="816" t="str">
        <f t="shared" si="67"/>
        <v/>
      </c>
      <c r="N87" s="816" t="str">
        <f t="shared" si="68"/>
        <v/>
      </c>
      <c r="R87" s="816" t="str">
        <f t="shared" si="69"/>
        <v/>
      </c>
      <c r="T87" s="829" t="str">
        <f t="shared" si="70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3"/>
      <c r="BC87" s="893"/>
      <c r="BD87" s="893"/>
      <c r="BE87" s="893"/>
      <c r="BF87" s="893"/>
      <c r="BG87" s="897"/>
      <c r="BH87" s="897"/>
      <c r="BI87" s="897"/>
      <c r="BJ87" s="893"/>
      <c r="BK87" s="897"/>
      <c r="BL87" s="897"/>
      <c r="BM87" s="897"/>
      <c r="BN87" s="897"/>
      <c r="BO87" s="897"/>
      <c r="BP87" s="897"/>
      <c r="BQ87" s="897"/>
      <c r="BR87" s="897"/>
      <c r="BS87" s="897"/>
      <c r="BT87" s="897"/>
      <c r="BU87" s="897"/>
      <c r="BV87" s="897"/>
      <c r="BW87" s="897"/>
      <c r="BX87" s="893"/>
      <c r="BY87" s="897"/>
      <c r="BZ87" s="897"/>
      <c r="CA87" s="897"/>
      <c r="CB87" s="897"/>
      <c r="CC87" s="897"/>
      <c r="CD87" s="897"/>
    </row>
    <row r="88" spans="1:82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787"/>
      <c r="H88" s="833"/>
      <c r="I88" s="833"/>
      <c r="J88" s="833"/>
      <c r="K88" s="833"/>
      <c r="L88" s="816" t="str">
        <f t="shared" si="66"/>
        <v/>
      </c>
      <c r="M88" s="816" t="str">
        <f t="shared" si="67"/>
        <v/>
      </c>
      <c r="N88" s="816" t="str">
        <f t="shared" si="68"/>
        <v/>
      </c>
      <c r="R88" s="816" t="str">
        <f t="shared" si="69"/>
        <v/>
      </c>
      <c r="T88" s="829" t="str">
        <f t="shared" si="70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3"/>
      <c r="BC88" s="893"/>
      <c r="BD88" s="893"/>
      <c r="BE88" s="893"/>
      <c r="BF88" s="893"/>
      <c r="BG88" s="897"/>
      <c r="BH88" s="897"/>
      <c r="BI88" s="897"/>
      <c r="BJ88" s="893"/>
      <c r="BK88" s="897"/>
      <c r="BL88" s="897"/>
      <c r="BM88" s="897"/>
      <c r="BN88" s="897"/>
      <c r="BO88" s="897"/>
      <c r="BP88" s="897"/>
      <c r="BQ88" s="897"/>
      <c r="BR88" s="897"/>
      <c r="BS88" s="897"/>
      <c r="BT88" s="897"/>
      <c r="BU88" s="897"/>
      <c r="BV88" s="897"/>
      <c r="BW88" s="897"/>
      <c r="BX88" s="893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6"/>
        <v/>
      </c>
      <c r="M89" s="816" t="str">
        <f t="shared" si="67"/>
        <v/>
      </c>
      <c r="N89" s="816" t="str">
        <f t="shared" si="68"/>
        <v/>
      </c>
      <c r="R89" s="816" t="str">
        <f t="shared" si="69"/>
        <v/>
      </c>
      <c r="T89" s="829" t="str">
        <f t="shared" si="70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3"/>
      <c r="BC89" s="893"/>
      <c r="BD89" s="893"/>
      <c r="BE89" s="893"/>
      <c r="BF89" s="893"/>
      <c r="BG89" s="897"/>
      <c r="BH89" s="897"/>
      <c r="BI89" s="897"/>
      <c r="BJ89" s="893"/>
      <c r="BK89" s="897"/>
      <c r="BL89" s="897"/>
      <c r="BM89" s="897"/>
      <c r="BN89" s="897"/>
      <c r="BO89" s="897"/>
      <c r="BP89" s="897"/>
      <c r="BQ89" s="897"/>
      <c r="BR89" s="897"/>
      <c r="BS89" s="897"/>
      <c r="BT89" s="897"/>
      <c r="BU89" s="897"/>
      <c r="BV89" s="897"/>
      <c r="BW89" s="897"/>
      <c r="BX89" s="893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6"/>
        <v/>
      </c>
      <c r="M90" s="816" t="str">
        <f t="shared" si="67"/>
        <v/>
      </c>
      <c r="N90" s="816" t="str">
        <f t="shared" si="68"/>
        <v/>
      </c>
      <c r="R90" s="816" t="str">
        <f t="shared" si="69"/>
        <v/>
      </c>
      <c r="T90" s="829" t="str">
        <f t="shared" si="70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3"/>
      <c r="BC90" s="893"/>
      <c r="BD90" s="893"/>
      <c r="BE90" s="893"/>
      <c r="BF90" s="893"/>
      <c r="BG90" s="897"/>
      <c r="BH90" s="897"/>
      <c r="BI90" s="897"/>
      <c r="BJ90" s="893"/>
      <c r="BK90" s="897"/>
      <c r="BL90" s="897"/>
      <c r="BM90" s="897"/>
      <c r="BN90" s="897"/>
      <c r="BO90" s="897"/>
      <c r="BP90" s="897"/>
      <c r="BQ90" s="897"/>
      <c r="BR90" s="897"/>
      <c r="BS90" s="897"/>
      <c r="BT90" s="897"/>
      <c r="BU90" s="897"/>
      <c r="BV90" s="897"/>
      <c r="BW90" s="897"/>
      <c r="BX90" s="893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6"/>
        <v/>
      </c>
      <c r="M91" s="816" t="str">
        <f t="shared" si="67"/>
        <v/>
      </c>
      <c r="N91" s="816" t="str">
        <f t="shared" si="68"/>
        <v/>
      </c>
      <c r="R91" s="816" t="str">
        <f t="shared" si="69"/>
        <v/>
      </c>
      <c r="T91" s="829" t="str">
        <f t="shared" si="70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3"/>
      <c r="BC91" s="893"/>
      <c r="BD91" s="893"/>
      <c r="BE91" s="893"/>
      <c r="BF91" s="893"/>
      <c r="BG91" s="897"/>
      <c r="BH91" s="897"/>
      <c r="BI91" s="897"/>
      <c r="BJ91" s="893"/>
      <c r="BK91" s="897"/>
      <c r="BL91" s="897"/>
      <c r="BM91" s="897"/>
      <c r="BN91" s="897"/>
      <c r="BO91" s="897"/>
      <c r="BP91" s="897"/>
      <c r="BQ91" s="897"/>
      <c r="BR91" s="897"/>
      <c r="BS91" s="897"/>
      <c r="BT91" s="897"/>
      <c r="BU91" s="897"/>
      <c r="BV91" s="897"/>
      <c r="BW91" s="897"/>
      <c r="BX91" s="893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6"/>
        <v/>
      </c>
      <c r="M92" s="816" t="str">
        <f t="shared" si="67"/>
        <v/>
      </c>
      <c r="N92" s="816" t="str">
        <f t="shared" si="68"/>
        <v/>
      </c>
      <c r="R92" s="816" t="str">
        <f t="shared" si="69"/>
        <v/>
      </c>
      <c r="T92" s="829" t="str">
        <f t="shared" si="70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3"/>
      <c r="BC92" s="893"/>
      <c r="BD92" s="893"/>
      <c r="BE92" s="893"/>
      <c r="BF92" s="893"/>
      <c r="BG92" s="897"/>
      <c r="BH92" s="897"/>
      <c r="BI92" s="897"/>
      <c r="BJ92" s="893"/>
      <c r="BK92" s="897"/>
      <c r="BL92" s="897"/>
      <c r="BM92" s="897"/>
      <c r="BN92" s="897"/>
      <c r="BO92" s="897"/>
      <c r="BP92" s="897"/>
      <c r="BQ92" s="897"/>
      <c r="BR92" s="897"/>
      <c r="BS92" s="897"/>
      <c r="BT92" s="897"/>
      <c r="BU92" s="897"/>
      <c r="BV92" s="897"/>
      <c r="BW92" s="897"/>
      <c r="BX92" s="893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6"/>
        <v/>
      </c>
      <c r="M93" s="816" t="str">
        <f t="shared" si="67"/>
        <v/>
      </c>
      <c r="N93" s="816" t="str">
        <f t="shared" si="68"/>
        <v/>
      </c>
      <c r="R93" s="816" t="str">
        <f t="shared" si="69"/>
        <v/>
      </c>
      <c r="T93" s="829" t="str">
        <f t="shared" si="70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3"/>
      <c r="BC93" s="893"/>
      <c r="BD93" s="893"/>
      <c r="BE93" s="893"/>
      <c r="BF93" s="893"/>
      <c r="BG93" s="897"/>
      <c r="BH93" s="897"/>
      <c r="BI93" s="897"/>
      <c r="BJ93" s="893"/>
      <c r="BK93" s="897"/>
      <c r="BL93" s="897"/>
      <c r="BM93" s="897"/>
      <c r="BN93" s="897"/>
      <c r="BO93" s="897"/>
      <c r="BP93" s="897"/>
      <c r="BQ93" s="897"/>
      <c r="BR93" s="897"/>
      <c r="BS93" s="897"/>
      <c r="BT93" s="897"/>
      <c r="BU93" s="897"/>
      <c r="BV93" s="897"/>
      <c r="BW93" s="897"/>
      <c r="BX93" s="893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6"/>
        <v/>
      </c>
      <c r="M94" s="816" t="str">
        <f t="shared" si="67"/>
        <v/>
      </c>
      <c r="N94" s="816" t="str">
        <f t="shared" si="68"/>
        <v/>
      </c>
      <c r="R94" s="816" t="str">
        <f t="shared" si="69"/>
        <v/>
      </c>
      <c r="T94" s="829" t="str">
        <f t="shared" si="70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3"/>
      <c r="BC94" s="893"/>
      <c r="BD94" s="893"/>
      <c r="BE94" s="893"/>
      <c r="BF94" s="893"/>
      <c r="BG94" s="897"/>
      <c r="BH94" s="897"/>
      <c r="BI94" s="897"/>
      <c r="BJ94" s="893"/>
      <c r="BK94" s="897"/>
      <c r="BL94" s="897"/>
      <c r="BM94" s="897"/>
      <c r="BN94" s="897"/>
      <c r="BO94" s="897"/>
      <c r="BP94" s="897"/>
      <c r="BQ94" s="897"/>
      <c r="BR94" s="897"/>
      <c r="BS94" s="897"/>
      <c r="BT94" s="897"/>
      <c r="BU94" s="897"/>
      <c r="BV94" s="897"/>
      <c r="BW94" s="897"/>
      <c r="BX94" s="893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6"/>
        <v/>
      </c>
      <c r="M95" s="816" t="str">
        <f t="shared" si="67"/>
        <v/>
      </c>
      <c r="N95" s="816" t="str">
        <f t="shared" si="68"/>
        <v/>
      </c>
      <c r="R95" s="816" t="str">
        <f t="shared" si="69"/>
        <v/>
      </c>
      <c r="T95" s="829" t="str">
        <f t="shared" si="70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3"/>
      <c r="BC95" s="893"/>
      <c r="BD95" s="893"/>
      <c r="BE95" s="893"/>
      <c r="BF95" s="893"/>
      <c r="BG95" s="897"/>
      <c r="BH95" s="897"/>
      <c r="BI95" s="897"/>
      <c r="BJ95" s="893"/>
      <c r="BK95" s="897"/>
      <c r="BL95" s="897"/>
      <c r="BM95" s="897"/>
      <c r="BN95" s="897"/>
      <c r="BO95" s="897"/>
      <c r="BP95" s="897"/>
      <c r="BQ95" s="897"/>
      <c r="BR95" s="897"/>
      <c r="BS95" s="897"/>
      <c r="BT95" s="897"/>
      <c r="BU95" s="897"/>
      <c r="BV95" s="897"/>
      <c r="BW95" s="897"/>
      <c r="BX95" s="893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6"/>
        <v/>
      </c>
      <c r="M96" s="816" t="str">
        <f t="shared" si="67"/>
        <v/>
      </c>
      <c r="N96" s="816" t="str">
        <f t="shared" si="68"/>
        <v/>
      </c>
      <c r="R96" s="816" t="str">
        <f t="shared" si="69"/>
        <v/>
      </c>
      <c r="T96" s="829" t="str">
        <f t="shared" si="70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3"/>
      <c r="BC96" s="893"/>
      <c r="BD96" s="893"/>
      <c r="BE96" s="893"/>
      <c r="BF96" s="893"/>
      <c r="BG96" s="897"/>
      <c r="BH96" s="897"/>
      <c r="BI96" s="897"/>
      <c r="BJ96" s="893"/>
      <c r="BK96" s="897"/>
      <c r="BL96" s="897"/>
      <c r="BM96" s="897"/>
      <c r="BN96" s="897"/>
      <c r="BO96" s="897"/>
      <c r="BP96" s="897"/>
      <c r="BQ96" s="897"/>
      <c r="BR96" s="897"/>
      <c r="BS96" s="897"/>
      <c r="BT96" s="897"/>
      <c r="BU96" s="897"/>
      <c r="BV96" s="897"/>
      <c r="BW96" s="897"/>
      <c r="BX96" s="893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6"/>
        <v/>
      </c>
      <c r="M97" s="816" t="str">
        <f t="shared" si="67"/>
        <v/>
      </c>
      <c r="N97" s="816" t="str">
        <f t="shared" si="68"/>
        <v/>
      </c>
      <c r="R97" s="816" t="str">
        <f t="shared" si="69"/>
        <v/>
      </c>
      <c r="T97" s="829" t="str">
        <f t="shared" si="70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3"/>
      <c r="BC97" s="893"/>
      <c r="BD97" s="893"/>
      <c r="BE97" s="893"/>
      <c r="BF97" s="893"/>
      <c r="BG97" s="897"/>
      <c r="BH97" s="897"/>
      <c r="BI97" s="897"/>
      <c r="BJ97" s="893"/>
      <c r="BK97" s="897"/>
      <c r="BL97" s="897"/>
      <c r="BM97" s="897"/>
      <c r="BN97" s="897"/>
      <c r="BO97" s="897"/>
      <c r="BP97" s="897"/>
      <c r="BQ97" s="897"/>
      <c r="BR97" s="897"/>
      <c r="BS97" s="897"/>
      <c r="BT97" s="897"/>
      <c r="BU97" s="897"/>
      <c r="BV97" s="897"/>
      <c r="BW97" s="897"/>
      <c r="BX97" s="893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6"/>
        <v/>
      </c>
      <c r="M98" s="816" t="str">
        <f t="shared" si="67"/>
        <v/>
      </c>
      <c r="N98" s="816" t="str">
        <f t="shared" si="68"/>
        <v/>
      </c>
      <c r="R98" s="816" t="str">
        <f t="shared" si="69"/>
        <v/>
      </c>
      <c r="T98" s="829" t="str">
        <f t="shared" si="70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3"/>
      <c r="BC98" s="893"/>
      <c r="BD98" s="893"/>
      <c r="BE98" s="893"/>
      <c r="BF98" s="893"/>
      <c r="BG98" s="897"/>
      <c r="BH98" s="897"/>
      <c r="BI98" s="897"/>
      <c r="BJ98" s="893"/>
      <c r="BK98" s="897"/>
      <c r="BL98" s="897"/>
      <c r="BM98" s="897"/>
      <c r="BN98" s="897"/>
      <c r="BO98" s="897"/>
      <c r="BP98" s="897"/>
      <c r="BQ98" s="897"/>
      <c r="BR98" s="897"/>
      <c r="BS98" s="897"/>
      <c r="BT98" s="897"/>
      <c r="BU98" s="897"/>
      <c r="BV98" s="897"/>
      <c r="BW98" s="897"/>
      <c r="BX98" s="893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6"/>
        <v/>
      </c>
      <c r="M99" s="816" t="str">
        <f t="shared" si="67"/>
        <v/>
      </c>
      <c r="N99" s="816" t="str">
        <f t="shared" si="68"/>
        <v/>
      </c>
      <c r="R99" s="816" t="str">
        <f t="shared" si="69"/>
        <v/>
      </c>
      <c r="T99" s="829" t="str">
        <f t="shared" si="70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3"/>
      <c r="BC99" s="893"/>
      <c r="BD99" s="893"/>
      <c r="BE99" s="893"/>
      <c r="BF99" s="893"/>
      <c r="BG99" s="897"/>
      <c r="BH99" s="897"/>
      <c r="BI99" s="897"/>
      <c r="BJ99" s="893"/>
      <c r="BK99" s="897"/>
      <c r="BL99" s="897"/>
      <c r="BM99" s="897"/>
      <c r="BN99" s="897"/>
      <c r="BO99" s="897"/>
      <c r="BP99" s="897"/>
      <c r="BQ99" s="897"/>
      <c r="BR99" s="897"/>
      <c r="BS99" s="897"/>
      <c r="BT99" s="897"/>
      <c r="BU99" s="897"/>
      <c r="BV99" s="897"/>
      <c r="BW99" s="897"/>
      <c r="BX99" s="893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6"/>
        <v/>
      </c>
      <c r="M100" s="816" t="str">
        <f t="shared" si="67"/>
        <v/>
      </c>
      <c r="N100" s="816" t="str">
        <f t="shared" si="68"/>
        <v/>
      </c>
      <c r="R100" s="816" t="str">
        <f t="shared" si="69"/>
        <v/>
      </c>
      <c r="T100" s="829" t="str">
        <f t="shared" si="70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3"/>
      <c r="BC100" s="893"/>
      <c r="BD100" s="893"/>
      <c r="BE100" s="893"/>
      <c r="BF100" s="893"/>
      <c r="BG100" s="897"/>
      <c r="BH100" s="897"/>
      <c r="BI100" s="897"/>
      <c r="BJ100" s="893"/>
      <c r="BK100" s="897"/>
      <c r="BL100" s="897"/>
      <c r="BM100" s="897"/>
      <c r="BN100" s="897"/>
      <c r="BO100" s="897"/>
      <c r="BP100" s="897"/>
      <c r="BQ100" s="897"/>
      <c r="BR100" s="897"/>
      <c r="BS100" s="897"/>
      <c r="BT100" s="897"/>
      <c r="BU100" s="897"/>
      <c r="BV100" s="897"/>
      <c r="BW100" s="897"/>
      <c r="BX100" s="893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6"/>
        <v/>
      </c>
      <c r="M101" s="816" t="str">
        <f t="shared" si="67"/>
        <v/>
      </c>
      <c r="N101" s="816" t="str">
        <f t="shared" si="68"/>
        <v/>
      </c>
      <c r="R101" s="816" t="str">
        <f t="shared" si="69"/>
        <v/>
      </c>
      <c r="T101" s="829" t="str">
        <f t="shared" si="70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3"/>
      <c r="BC101" s="893"/>
      <c r="BD101" s="893"/>
      <c r="BE101" s="893"/>
      <c r="BF101" s="893"/>
      <c r="BG101" s="897"/>
      <c r="BH101" s="897"/>
      <c r="BI101" s="897"/>
      <c r="BJ101" s="893"/>
      <c r="BK101" s="897"/>
      <c r="BL101" s="897"/>
      <c r="BM101" s="897"/>
      <c r="BN101" s="897"/>
      <c r="BO101" s="897"/>
      <c r="BP101" s="897"/>
      <c r="BQ101" s="897"/>
      <c r="BR101" s="897"/>
      <c r="BS101" s="897"/>
      <c r="BT101" s="897"/>
      <c r="BU101" s="897"/>
      <c r="BV101" s="897"/>
      <c r="BW101" s="897"/>
      <c r="BX101" s="893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6"/>
        <v/>
      </c>
      <c r="M102" s="816" t="str">
        <f t="shared" si="67"/>
        <v/>
      </c>
      <c r="N102" s="816" t="str">
        <f t="shared" si="68"/>
        <v/>
      </c>
      <c r="R102" s="816" t="str">
        <f t="shared" si="69"/>
        <v/>
      </c>
      <c r="T102" s="829" t="str">
        <f t="shared" si="70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3"/>
      <c r="BC102" s="893"/>
      <c r="BD102" s="893"/>
      <c r="BE102" s="893"/>
      <c r="BF102" s="893"/>
      <c r="BG102" s="897"/>
      <c r="BH102" s="897"/>
      <c r="BI102" s="897"/>
      <c r="BJ102" s="893"/>
      <c r="BK102" s="897"/>
      <c r="BL102" s="897"/>
      <c r="BM102" s="897"/>
      <c r="BN102" s="897"/>
      <c r="BO102" s="897"/>
      <c r="BP102" s="897"/>
      <c r="BQ102" s="897"/>
      <c r="BR102" s="897"/>
      <c r="BS102" s="897"/>
      <c r="BT102" s="897"/>
      <c r="BU102" s="897"/>
      <c r="BV102" s="897"/>
      <c r="BW102" s="897"/>
      <c r="BX102" s="893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6"/>
        <v/>
      </c>
      <c r="M103" s="816" t="str">
        <f t="shared" si="67"/>
        <v/>
      </c>
      <c r="N103" s="816" t="str">
        <f t="shared" si="68"/>
        <v/>
      </c>
      <c r="R103" s="816" t="str">
        <f t="shared" si="69"/>
        <v/>
      </c>
      <c r="T103" s="829" t="str">
        <f t="shared" si="70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3"/>
      <c r="BC103" s="893"/>
      <c r="BD103" s="893"/>
      <c r="BE103" s="893"/>
      <c r="BF103" s="893"/>
      <c r="BG103" s="897"/>
      <c r="BH103" s="897"/>
      <c r="BI103" s="897"/>
      <c r="BJ103" s="893"/>
      <c r="BK103" s="897"/>
      <c r="BL103" s="897"/>
      <c r="BM103" s="897"/>
      <c r="BN103" s="897"/>
      <c r="BO103" s="897"/>
      <c r="BP103" s="897"/>
      <c r="BQ103" s="897"/>
      <c r="BR103" s="897"/>
      <c r="BS103" s="897"/>
      <c r="BT103" s="897"/>
      <c r="BU103" s="897"/>
      <c r="BV103" s="897"/>
      <c r="BW103" s="897"/>
      <c r="BX103" s="893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6"/>
        <v/>
      </c>
      <c r="M104" s="816" t="str">
        <f t="shared" si="67"/>
        <v/>
      </c>
      <c r="N104" s="816" t="str">
        <f t="shared" si="68"/>
        <v/>
      </c>
      <c r="R104" s="816" t="str">
        <f t="shared" si="69"/>
        <v/>
      </c>
      <c r="T104" s="829" t="str">
        <f t="shared" si="70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3"/>
      <c r="BC104" s="893"/>
      <c r="BD104" s="893"/>
      <c r="BE104" s="893"/>
      <c r="BF104" s="893"/>
      <c r="BG104" s="897"/>
      <c r="BH104" s="897"/>
      <c r="BI104" s="897"/>
      <c r="BJ104" s="893"/>
      <c r="BK104" s="897"/>
      <c r="BL104" s="897"/>
      <c r="BM104" s="897"/>
      <c r="BN104" s="897"/>
      <c r="BO104" s="897"/>
      <c r="BP104" s="897"/>
      <c r="BQ104" s="897"/>
      <c r="BR104" s="897"/>
      <c r="BS104" s="897"/>
      <c r="BT104" s="897"/>
      <c r="BU104" s="897"/>
      <c r="BV104" s="897"/>
      <c r="BW104" s="897"/>
      <c r="BX104" s="893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6"/>
        <v/>
      </c>
      <c r="M105" s="816" t="str">
        <f t="shared" si="67"/>
        <v/>
      </c>
      <c r="N105" s="816" t="str">
        <f t="shared" si="68"/>
        <v/>
      </c>
      <c r="R105" s="816" t="str">
        <f t="shared" si="69"/>
        <v/>
      </c>
      <c r="T105" s="829" t="str">
        <f t="shared" si="70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31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3"/>
      <c r="BC105" s="893"/>
      <c r="BD105" s="893"/>
      <c r="BE105" s="893"/>
      <c r="BF105" s="893"/>
      <c r="BG105" s="897"/>
      <c r="BH105" s="897"/>
      <c r="BI105" s="897"/>
      <c r="BJ105" s="893"/>
      <c r="BK105" s="897"/>
      <c r="BL105" s="897"/>
      <c r="BM105" s="897"/>
      <c r="BN105" s="897"/>
      <c r="BO105" s="897"/>
      <c r="BP105" s="897"/>
      <c r="BQ105" s="897"/>
      <c r="BR105" s="897"/>
      <c r="BS105" s="897"/>
      <c r="BT105" s="897"/>
      <c r="BU105" s="897"/>
      <c r="BV105" s="897"/>
      <c r="BW105" s="897"/>
      <c r="BX105" s="893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6"/>
        <v/>
      </c>
      <c r="M106" s="816" t="str">
        <f t="shared" si="67"/>
        <v/>
      </c>
      <c r="N106" s="816" t="str">
        <f t="shared" si="68"/>
        <v/>
      </c>
      <c r="R106" s="816" t="str">
        <f t="shared" si="69"/>
        <v/>
      </c>
      <c r="T106" s="829" t="str">
        <f t="shared" si="70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31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3"/>
      <c r="BC106" s="893"/>
      <c r="BD106" s="893"/>
      <c r="BE106" s="893"/>
      <c r="BF106" s="893"/>
      <c r="BG106" s="897"/>
      <c r="BH106" s="897"/>
      <c r="BI106" s="897"/>
      <c r="BJ106" s="893"/>
      <c r="BK106" s="897"/>
      <c r="BL106" s="897"/>
      <c r="BM106" s="897"/>
      <c r="BN106" s="897"/>
      <c r="BO106" s="897"/>
      <c r="BP106" s="897"/>
      <c r="BQ106" s="897"/>
      <c r="BR106" s="897"/>
      <c r="BS106" s="897"/>
      <c r="BT106" s="897"/>
      <c r="BU106" s="897"/>
      <c r="BV106" s="897"/>
      <c r="BW106" s="897"/>
      <c r="BX106" s="893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6"/>
        <v/>
      </c>
      <c r="M107" s="816" t="str">
        <f t="shared" si="67"/>
        <v/>
      </c>
      <c r="N107" s="816" t="str">
        <f t="shared" si="68"/>
        <v/>
      </c>
      <c r="R107" s="816" t="str">
        <f t="shared" si="69"/>
        <v/>
      </c>
      <c r="T107" s="829" t="str">
        <f t="shared" si="70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3"/>
      <c r="BC107" s="893"/>
      <c r="BD107" s="893"/>
      <c r="BE107" s="893"/>
      <c r="BF107" s="893"/>
      <c r="BG107" s="897"/>
      <c r="BH107" s="897"/>
      <c r="BI107" s="897"/>
      <c r="BJ107" s="893"/>
      <c r="BK107" s="897"/>
      <c r="BL107" s="897"/>
      <c r="BM107" s="897"/>
      <c r="BN107" s="897"/>
      <c r="BO107" s="897"/>
      <c r="BP107" s="897"/>
      <c r="BQ107" s="897"/>
      <c r="BR107" s="897"/>
      <c r="BS107" s="897"/>
      <c r="BT107" s="897"/>
      <c r="BU107" s="897"/>
      <c r="BV107" s="897"/>
      <c r="BW107" s="897"/>
      <c r="BX107" s="893"/>
      <c r="BY107" s="897"/>
      <c r="BZ107" s="897"/>
      <c r="CA107" s="897"/>
      <c r="CB107" s="897"/>
      <c r="CC107" s="897"/>
      <c r="CD107" s="897"/>
    </row>
    <row r="108" spans="1:82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6"/>
        <v/>
      </c>
      <c r="M108" s="816" t="str">
        <f t="shared" si="67"/>
        <v/>
      </c>
      <c r="N108" s="816" t="str">
        <f t="shared" si="68"/>
        <v/>
      </c>
      <c r="R108" s="816" t="str">
        <f t="shared" si="69"/>
        <v/>
      </c>
      <c r="T108" s="829" t="str">
        <f t="shared" si="70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3"/>
      <c r="BC108" s="893"/>
      <c r="BD108" s="893"/>
      <c r="BE108" s="893"/>
      <c r="BF108" s="893"/>
      <c r="BG108" s="897"/>
      <c r="BH108" s="897"/>
      <c r="BI108" s="897"/>
      <c r="BJ108" s="893"/>
      <c r="BK108" s="897"/>
      <c r="BL108" s="897"/>
      <c r="BM108" s="897"/>
      <c r="BN108" s="897"/>
      <c r="BO108" s="897"/>
      <c r="BP108" s="897"/>
      <c r="BQ108" s="897"/>
      <c r="BR108" s="897"/>
      <c r="BS108" s="897"/>
      <c r="BT108" s="897"/>
      <c r="BU108" s="897"/>
      <c r="BV108" s="897"/>
      <c r="BW108" s="897"/>
      <c r="BX108" s="893"/>
      <c r="BY108" s="897"/>
      <c r="BZ108" s="897"/>
      <c r="CA108" s="897"/>
      <c r="CB108" s="897"/>
      <c r="CC108" s="897"/>
      <c r="CD108" s="897"/>
    </row>
    <row r="109" spans="1:82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6"/>
        <v/>
      </c>
      <c r="M109" s="816" t="str">
        <f t="shared" si="67"/>
        <v/>
      </c>
      <c r="N109" s="816" t="str">
        <f t="shared" si="68"/>
        <v/>
      </c>
      <c r="R109" s="816" t="str">
        <f t="shared" si="69"/>
        <v/>
      </c>
      <c r="T109" s="829" t="str">
        <f t="shared" si="70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3"/>
      <c r="BC109" s="893"/>
      <c r="BD109" s="893"/>
      <c r="BE109" s="893"/>
      <c r="BF109" s="893"/>
      <c r="BG109" s="897"/>
      <c r="BH109" s="897"/>
      <c r="BI109" s="897"/>
      <c r="BJ109" s="893"/>
      <c r="BK109" s="897"/>
      <c r="BL109" s="897"/>
      <c r="BM109" s="897"/>
      <c r="BN109" s="897"/>
      <c r="BO109" s="897"/>
      <c r="BP109" s="897"/>
      <c r="BQ109" s="897"/>
      <c r="BR109" s="897"/>
      <c r="BS109" s="897"/>
      <c r="BT109" s="897"/>
      <c r="BU109" s="897"/>
      <c r="BV109" s="897"/>
      <c r="BW109" s="897"/>
      <c r="BX109" s="893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6"/>
        <v/>
      </c>
      <c r="M110" s="816" t="str">
        <f t="shared" si="67"/>
        <v/>
      </c>
      <c r="N110" s="816" t="str">
        <f t="shared" si="68"/>
        <v/>
      </c>
      <c r="R110" s="816" t="str">
        <f t="shared" si="69"/>
        <v/>
      </c>
      <c r="T110" s="829" t="str">
        <f t="shared" si="70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3"/>
      <c r="BC110" s="893"/>
      <c r="BD110" s="893"/>
      <c r="BE110" s="893"/>
      <c r="BF110" s="893"/>
      <c r="BG110" s="897"/>
      <c r="BH110" s="897"/>
      <c r="BI110" s="897"/>
      <c r="BJ110" s="893"/>
      <c r="BK110" s="897"/>
      <c r="BL110" s="897"/>
      <c r="BM110" s="897"/>
      <c r="BN110" s="897"/>
      <c r="BO110" s="897"/>
      <c r="BP110" s="897"/>
      <c r="BQ110" s="897"/>
      <c r="BR110" s="897"/>
      <c r="BS110" s="897"/>
      <c r="BT110" s="897"/>
      <c r="BU110" s="897"/>
      <c r="BV110" s="897"/>
      <c r="BW110" s="897"/>
      <c r="BX110" s="893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6"/>
        <v/>
      </c>
      <c r="M111" s="816" t="str">
        <f t="shared" si="67"/>
        <v/>
      </c>
      <c r="N111" s="816" t="str">
        <f t="shared" si="68"/>
        <v/>
      </c>
      <c r="R111" s="816" t="str">
        <f t="shared" si="69"/>
        <v/>
      </c>
      <c r="T111" s="829" t="str">
        <f t="shared" si="70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3"/>
      <c r="BC111" s="893"/>
      <c r="BD111" s="893"/>
      <c r="BE111" s="893"/>
      <c r="BF111" s="893"/>
      <c r="BG111" s="897"/>
      <c r="BH111" s="897"/>
      <c r="BI111" s="897"/>
      <c r="BJ111" s="893"/>
      <c r="BK111" s="897"/>
      <c r="BL111" s="897"/>
      <c r="BM111" s="897"/>
      <c r="BN111" s="897"/>
      <c r="BO111" s="897"/>
      <c r="BP111" s="897"/>
      <c r="BQ111" s="897"/>
      <c r="BR111" s="897"/>
      <c r="BS111" s="897"/>
      <c r="BT111" s="897"/>
      <c r="BU111" s="897"/>
      <c r="BV111" s="897"/>
      <c r="BW111" s="897"/>
      <c r="BX111" s="893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6"/>
        <v/>
      </c>
      <c r="M112" s="816" t="str">
        <f t="shared" si="67"/>
        <v/>
      </c>
      <c r="N112" s="816" t="str">
        <f t="shared" si="68"/>
        <v/>
      </c>
      <c r="R112" s="816" t="str">
        <f t="shared" si="69"/>
        <v/>
      </c>
      <c r="T112" s="829" t="str">
        <f t="shared" si="70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3"/>
      <c r="BC112" s="893"/>
      <c r="BD112" s="893"/>
      <c r="BE112" s="893"/>
      <c r="BF112" s="893"/>
      <c r="BG112" s="897"/>
      <c r="BH112" s="897"/>
      <c r="BI112" s="897"/>
      <c r="BJ112" s="893"/>
      <c r="BK112" s="897"/>
      <c r="BL112" s="897"/>
      <c r="BM112" s="897"/>
      <c r="BN112" s="897"/>
      <c r="BO112" s="897"/>
      <c r="BP112" s="897"/>
      <c r="BQ112" s="897"/>
      <c r="BR112" s="897"/>
      <c r="BS112" s="897"/>
      <c r="BT112" s="897"/>
      <c r="BU112" s="897"/>
      <c r="BV112" s="897"/>
      <c r="BW112" s="897"/>
      <c r="BX112" s="893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6"/>
        <v/>
      </c>
      <c r="M113" s="816" t="str">
        <f t="shared" si="67"/>
        <v/>
      </c>
      <c r="N113" s="816" t="str">
        <f t="shared" si="68"/>
        <v/>
      </c>
      <c r="R113" s="816" t="str">
        <f t="shared" si="69"/>
        <v/>
      </c>
      <c r="T113" s="829" t="str">
        <f t="shared" si="70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3"/>
      <c r="BC113" s="893"/>
      <c r="BD113" s="893"/>
      <c r="BE113" s="893"/>
      <c r="BF113" s="893"/>
      <c r="BG113" s="897"/>
      <c r="BH113" s="897"/>
      <c r="BI113" s="897"/>
      <c r="BJ113" s="893"/>
      <c r="BK113" s="897"/>
      <c r="BL113" s="897"/>
      <c r="BM113" s="897"/>
      <c r="BN113" s="897"/>
      <c r="BO113" s="897"/>
      <c r="BP113" s="897"/>
      <c r="BQ113" s="897"/>
      <c r="BR113" s="897"/>
      <c r="BS113" s="897"/>
      <c r="BT113" s="897"/>
      <c r="BU113" s="897"/>
      <c r="BV113" s="897"/>
      <c r="BW113" s="897"/>
      <c r="BX113" s="893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6"/>
        <v/>
      </c>
      <c r="M114" s="816" t="str">
        <f t="shared" si="67"/>
        <v/>
      </c>
      <c r="N114" s="816" t="str">
        <f t="shared" si="68"/>
        <v/>
      </c>
      <c r="R114" s="816" t="str">
        <f t="shared" si="69"/>
        <v/>
      </c>
      <c r="T114" s="829" t="str">
        <f t="shared" si="70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3"/>
      <c r="BC114" s="893"/>
      <c r="BD114" s="893"/>
      <c r="BE114" s="893"/>
      <c r="BF114" s="893"/>
      <c r="BG114" s="897"/>
      <c r="BH114" s="897"/>
      <c r="BI114" s="897"/>
      <c r="BJ114" s="893"/>
      <c r="BK114" s="897"/>
      <c r="BL114" s="897"/>
      <c r="BM114" s="897"/>
      <c r="BN114" s="897"/>
      <c r="BO114" s="897"/>
      <c r="BP114" s="897"/>
      <c r="BQ114" s="897"/>
      <c r="BR114" s="897"/>
      <c r="BS114" s="897"/>
      <c r="BT114" s="897"/>
      <c r="BU114" s="897"/>
      <c r="BV114" s="897"/>
      <c r="BW114" s="897"/>
      <c r="BX114" s="893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6"/>
        <v/>
      </c>
      <c r="M115" s="816" t="str">
        <f t="shared" si="67"/>
        <v/>
      </c>
      <c r="N115" s="816" t="str">
        <f t="shared" si="68"/>
        <v/>
      </c>
      <c r="R115" s="816" t="str">
        <f t="shared" si="69"/>
        <v/>
      </c>
      <c r="T115" s="829" t="str">
        <f t="shared" si="70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3"/>
      <c r="BC115" s="893"/>
      <c r="BD115" s="893"/>
      <c r="BE115" s="893"/>
      <c r="BF115" s="893"/>
      <c r="BG115" s="897"/>
      <c r="BH115" s="897"/>
      <c r="BI115" s="897"/>
      <c r="BJ115" s="893"/>
      <c r="BK115" s="897"/>
      <c r="BL115" s="897"/>
      <c r="BM115" s="897"/>
      <c r="BN115" s="897"/>
      <c r="BO115" s="897"/>
      <c r="BP115" s="897"/>
      <c r="BQ115" s="897"/>
      <c r="BR115" s="897"/>
      <c r="BS115" s="897"/>
      <c r="BT115" s="897"/>
      <c r="BU115" s="897"/>
      <c r="BV115" s="897"/>
      <c r="BW115" s="897"/>
      <c r="BX115" s="893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6"/>
        <v/>
      </c>
      <c r="M116" s="816" t="str">
        <f t="shared" si="67"/>
        <v/>
      </c>
      <c r="N116" s="816" t="str">
        <f t="shared" si="68"/>
        <v/>
      </c>
      <c r="R116" s="816" t="str">
        <f t="shared" si="69"/>
        <v/>
      </c>
      <c r="T116" s="829" t="str">
        <f t="shared" si="70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3"/>
      <c r="BC116" s="893"/>
      <c r="BD116" s="893"/>
      <c r="BE116" s="893"/>
      <c r="BF116" s="893"/>
      <c r="BG116" s="897"/>
      <c r="BH116" s="897"/>
      <c r="BI116" s="897"/>
      <c r="BJ116" s="893"/>
      <c r="BK116" s="897"/>
      <c r="BL116" s="897"/>
      <c r="BM116" s="897"/>
      <c r="BN116" s="897"/>
      <c r="BO116" s="897"/>
      <c r="BP116" s="897"/>
      <c r="BQ116" s="897"/>
      <c r="BR116" s="897"/>
      <c r="BS116" s="897"/>
      <c r="BT116" s="897"/>
      <c r="BU116" s="897"/>
      <c r="BV116" s="897"/>
      <c r="BW116" s="897"/>
      <c r="BX116" s="893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6"/>
        <v/>
      </c>
      <c r="M117" s="816" t="str">
        <f t="shared" si="67"/>
        <v/>
      </c>
      <c r="N117" s="816" t="str">
        <f t="shared" si="68"/>
        <v/>
      </c>
      <c r="R117" s="816" t="str">
        <f t="shared" si="69"/>
        <v/>
      </c>
      <c r="T117" s="829" t="str">
        <f t="shared" si="70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3"/>
      <c r="BC117" s="893"/>
      <c r="BD117" s="893"/>
      <c r="BE117" s="893"/>
      <c r="BF117" s="893"/>
      <c r="BG117" s="897"/>
      <c r="BH117" s="897"/>
      <c r="BI117" s="897"/>
      <c r="BJ117" s="893"/>
      <c r="BK117" s="897"/>
      <c r="BL117" s="897"/>
      <c r="BM117" s="897"/>
      <c r="BN117" s="897"/>
      <c r="BO117" s="897"/>
      <c r="BP117" s="897"/>
      <c r="BQ117" s="897"/>
      <c r="BR117" s="897"/>
      <c r="BS117" s="897"/>
      <c r="BT117" s="897"/>
      <c r="BU117" s="897"/>
      <c r="BV117" s="897"/>
      <c r="BW117" s="897"/>
      <c r="BX117" s="893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6"/>
        <v/>
      </c>
      <c r="M118" s="816" t="str">
        <f t="shared" si="67"/>
        <v/>
      </c>
      <c r="N118" s="816" t="str">
        <f t="shared" si="68"/>
        <v/>
      </c>
      <c r="R118" s="816" t="str">
        <f t="shared" si="69"/>
        <v/>
      </c>
      <c r="T118" s="829" t="str">
        <f t="shared" si="70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3"/>
      <c r="BC118" s="893"/>
      <c r="BD118" s="893"/>
      <c r="BE118" s="893"/>
      <c r="BF118" s="893"/>
      <c r="BG118" s="897"/>
      <c r="BH118" s="897"/>
      <c r="BI118" s="897"/>
      <c r="BJ118" s="893"/>
      <c r="BK118" s="897"/>
      <c r="BL118" s="897"/>
      <c r="BM118" s="897"/>
      <c r="BN118" s="897"/>
      <c r="BO118" s="897"/>
      <c r="BP118" s="897"/>
      <c r="BQ118" s="897"/>
      <c r="BR118" s="897"/>
      <c r="BS118" s="897"/>
      <c r="BT118" s="897"/>
      <c r="BU118" s="897"/>
      <c r="BV118" s="897"/>
      <c r="BW118" s="897"/>
      <c r="BX118" s="893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6"/>
        <v/>
      </c>
      <c r="M119" s="816" t="str">
        <f t="shared" si="67"/>
        <v/>
      </c>
      <c r="N119" s="816" t="str">
        <f t="shared" si="68"/>
        <v/>
      </c>
      <c r="R119" s="816" t="str">
        <f t="shared" si="69"/>
        <v/>
      </c>
      <c r="T119" s="829" t="str">
        <f t="shared" si="70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3"/>
      <c r="BC119" s="893"/>
      <c r="BD119" s="893"/>
      <c r="BE119" s="893"/>
      <c r="BF119" s="893"/>
      <c r="BG119" s="897"/>
      <c r="BH119" s="897"/>
      <c r="BI119" s="897"/>
      <c r="BJ119" s="893"/>
      <c r="BK119" s="897"/>
      <c r="BL119" s="897"/>
      <c r="BM119" s="897"/>
      <c r="BN119" s="897"/>
      <c r="BO119" s="897"/>
      <c r="BP119" s="897"/>
      <c r="BQ119" s="897"/>
      <c r="BR119" s="897"/>
      <c r="BS119" s="897"/>
      <c r="BT119" s="897"/>
      <c r="BU119" s="897"/>
      <c r="BV119" s="897"/>
      <c r="BW119" s="897"/>
      <c r="BX119" s="893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6"/>
        <v/>
      </c>
      <c r="M120" s="816" t="str">
        <f t="shared" si="67"/>
        <v/>
      </c>
      <c r="N120" s="816" t="str">
        <f t="shared" si="68"/>
        <v/>
      </c>
      <c r="R120" s="816" t="str">
        <f t="shared" si="69"/>
        <v/>
      </c>
      <c r="T120" s="829" t="str">
        <f t="shared" si="70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3"/>
      <c r="BC120" s="893"/>
      <c r="BD120" s="893"/>
      <c r="BE120" s="893"/>
      <c r="BF120" s="893"/>
      <c r="BG120" s="897"/>
      <c r="BH120" s="897"/>
      <c r="BI120" s="897"/>
      <c r="BJ120" s="893"/>
      <c r="BK120" s="897"/>
      <c r="BL120" s="897"/>
      <c r="BM120" s="897"/>
      <c r="BN120" s="897"/>
      <c r="BO120" s="897"/>
      <c r="BP120" s="897"/>
      <c r="BQ120" s="897"/>
      <c r="BR120" s="897"/>
      <c r="BS120" s="897"/>
      <c r="BT120" s="897"/>
      <c r="BU120" s="897"/>
      <c r="BV120" s="897"/>
      <c r="BW120" s="897"/>
      <c r="BX120" s="893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6"/>
        <v/>
      </c>
      <c r="M121" s="816" t="str">
        <f t="shared" si="67"/>
        <v/>
      </c>
      <c r="N121" s="816" t="str">
        <f t="shared" si="68"/>
        <v/>
      </c>
      <c r="R121" s="816" t="str">
        <f t="shared" si="69"/>
        <v/>
      </c>
      <c r="T121" s="829" t="str">
        <f t="shared" si="70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3"/>
      <c r="BC121" s="893"/>
      <c r="BD121" s="893"/>
      <c r="BE121" s="893"/>
      <c r="BF121" s="893"/>
      <c r="BG121" s="897"/>
      <c r="BH121" s="897"/>
      <c r="BI121" s="897"/>
      <c r="BJ121" s="893"/>
      <c r="BK121" s="897"/>
      <c r="BL121" s="897"/>
      <c r="BM121" s="897"/>
      <c r="BN121" s="897"/>
      <c r="BO121" s="897"/>
      <c r="BP121" s="897"/>
      <c r="BQ121" s="897"/>
      <c r="BR121" s="897"/>
      <c r="BS121" s="897"/>
      <c r="BT121" s="897"/>
      <c r="BU121" s="897"/>
      <c r="BV121" s="897"/>
      <c r="BW121" s="897"/>
      <c r="BX121" s="893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6"/>
        <v/>
      </c>
      <c r="M122" s="816" t="str">
        <f t="shared" si="67"/>
        <v/>
      </c>
      <c r="N122" s="816" t="str">
        <f t="shared" si="68"/>
        <v/>
      </c>
      <c r="R122" s="816" t="str">
        <f t="shared" si="69"/>
        <v/>
      </c>
      <c r="T122" s="829" t="str">
        <f t="shared" si="70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3"/>
      <c r="BC122" s="893"/>
      <c r="BD122" s="893"/>
      <c r="BE122" s="893"/>
      <c r="BF122" s="893"/>
      <c r="BG122" s="897"/>
      <c r="BH122" s="897"/>
      <c r="BI122" s="897"/>
      <c r="BJ122" s="893"/>
      <c r="BK122" s="897"/>
      <c r="BL122" s="897"/>
      <c r="BM122" s="897"/>
      <c r="BN122" s="897"/>
      <c r="BO122" s="897"/>
      <c r="BP122" s="897"/>
      <c r="BQ122" s="897"/>
      <c r="BR122" s="897"/>
      <c r="BS122" s="897"/>
      <c r="BT122" s="897"/>
      <c r="BU122" s="897"/>
      <c r="BV122" s="897"/>
      <c r="BW122" s="897"/>
      <c r="BX122" s="893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6"/>
        <v/>
      </c>
      <c r="M123" s="816" t="str">
        <f t="shared" si="67"/>
        <v/>
      </c>
      <c r="N123" s="816" t="str">
        <f t="shared" si="68"/>
        <v/>
      </c>
      <c r="R123" s="816" t="str">
        <f t="shared" si="69"/>
        <v/>
      </c>
      <c r="T123" s="829" t="str">
        <f t="shared" si="70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3"/>
      <c r="BC123" s="893"/>
      <c r="BD123" s="893"/>
      <c r="BE123" s="893"/>
      <c r="BF123" s="893"/>
      <c r="BG123" s="897"/>
      <c r="BH123" s="897"/>
      <c r="BI123" s="897"/>
      <c r="BJ123" s="893"/>
      <c r="BK123" s="897"/>
      <c r="BL123" s="897"/>
      <c r="BM123" s="897"/>
      <c r="BN123" s="897"/>
      <c r="BO123" s="897"/>
      <c r="BP123" s="897"/>
      <c r="BQ123" s="897"/>
      <c r="BR123" s="897"/>
      <c r="BS123" s="897"/>
      <c r="BT123" s="897"/>
      <c r="BU123" s="897"/>
      <c r="BV123" s="897"/>
      <c r="BW123" s="897"/>
      <c r="BX123" s="893"/>
      <c r="BY123" s="897"/>
      <c r="BZ123" s="897"/>
      <c r="CA123" s="897"/>
      <c r="CB123" s="897"/>
      <c r="CC123" s="897"/>
      <c r="CD123" s="897"/>
    </row>
    <row r="124" spans="4:82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6"/>
        <v/>
      </c>
      <c r="M124" s="816" t="str">
        <f t="shared" si="67"/>
        <v/>
      </c>
      <c r="N124" s="816" t="str">
        <f t="shared" si="68"/>
        <v/>
      </c>
      <c r="R124" s="816" t="str">
        <f t="shared" si="69"/>
        <v/>
      </c>
      <c r="T124" s="829" t="str">
        <f t="shared" si="70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G124" s="897"/>
      <c r="AH124" s="897"/>
      <c r="AI124" s="897"/>
      <c r="AJ124" s="893"/>
      <c r="AK124" s="897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3"/>
      <c r="BC124" s="893"/>
      <c r="BD124" s="893"/>
      <c r="BE124" s="893"/>
      <c r="BF124" s="893"/>
      <c r="BG124" s="897"/>
      <c r="BH124" s="897"/>
      <c r="BI124" s="897"/>
      <c r="BJ124" s="893"/>
      <c r="BK124" s="897"/>
      <c r="BL124" s="897"/>
      <c r="BM124" s="897"/>
      <c r="BN124" s="897"/>
      <c r="BO124" s="897"/>
      <c r="BP124" s="897"/>
      <c r="BQ124" s="897"/>
      <c r="BR124" s="897"/>
      <c r="BS124" s="897"/>
      <c r="BT124" s="897"/>
      <c r="BU124" s="897"/>
      <c r="BV124" s="897"/>
      <c r="BW124" s="897"/>
      <c r="BX124" s="893"/>
      <c r="BY124" s="897"/>
      <c r="BZ124" s="897"/>
      <c r="CA124" s="897"/>
      <c r="CB124" s="897"/>
      <c r="CC124" s="897"/>
      <c r="CD124" s="897"/>
    </row>
    <row r="125" spans="4:82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6"/>
        <v/>
      </c>
      <c r="M125" s="816" t="str">
        <f t="shared" si="67"/>
        <v/>
      </c>
      <c r="N125" s="816" t="str">
        <f t="shared" si="68"/>
        <v/>
      </c>
      <c r="R125" s="816" t="str">
        <f t="shared" si="69"/>
        <v/>
      </c>
      <c r="T125" s="829" t="str">
        <f t="shared" si="70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  <c r="AG125" s="897"/>
      <c r="AH125" s="897"/>
      <c r="AI125" s="897"/>
      <c r="AJ125" s="893"/>
      <c r="AK125" s="897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3"/>
      <c r="BC125" s="893"/>
      <c r="BD125" s="893"/>
      <c r="BE125" s="893"/>
      <c r="BF125" s="893"/>
      <c r="BG125" s="897"/>
      <c r="BH125" s="897"/>
      <c r="BI125" s="897"/>
      <c r="BJ125" s="893"/>
      <c r="BK125" s="897"/>
      <c r="BL125" s="897"/>
      <c r="BM125" s="897"/>
      <c r="BN125" s="897"/>
      <c r="BO125" s="897"/>
      <c r="BP125" s="897"/>
      <c r="BQ125" s="897"/>
      <c r="BR125" s="897"/>
      <c r="BS125" s="897"/>
      <c r="BT125" s="897"/>
      <c r="BU125" s="897"/>
      <c r="BV125" s="897"/>
      <c r="BW125" s="897"/>
      <c r="BX125" s="893"/>
      <c r="BY125" s="897"/>
      <c r="BZ125" s="897"/>
      <c r="CA125" s="897"/>
      <c r="CB125" s="897"/>
      <c r="CC125" s="897"/>
      <c r="CD125" s="897"/>
    </row>
    <row r="126" spans="4:82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6"/>
        <v/>
      </c>
      <c r="M126" s="816" t="str">
        <f t="shared" si="67"/>
        <v/>
      </c>
      <c r="N126" s="816" t="str">
        <f t="shared" si="68"/>
        <v/>
      </c>
      <c r="R126" s="816" t="str">
        <f t="shared" si="69"/>
        <v/>
      </c>
      <c r="T126" s="829" t="str">
        <f t="shared" si="70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  <c r="AG126" s="897"/>
      <c r="AH126" s="897"/>
      <c r="AI126" s="897"/>
      <c r="AJ126" s="893"/>
      <c r="AK126" s="897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3"/>
      <c r="BC126" s="893"/>
      <c r="BD126" s="893"/>
      <c r="BE126" s="893"/>
      <c r="BF126" s="893"/>
      <c r="BG126" s="897"/>
      <c r="BH126" s="897"/>
      <c r="BI126" s="897"/>
      <c r="BJ126" s="893"/>
      <c r="BK126" s="897"/>
      <c r="BL126" s="897"/>
      <c r="BM126" s="897"/>
      <c r="BN126" s="897"/>
      <c r="BO126" s="897"/>
      <c r="BP126" s="897"/>
      <c r="BQ126" s="897"/>
      <c r="BR126" s="897"/>
      <c r="BS126" s="897"/>
      <c r="BT126" s="897"/>
      <c r="BU126" s="897"/>
      <c r="BV126" s="897"/>
      <c r="BW126" s="897"/>
      <c r="BX126" s="893"/>
      <c r="BY126" s="897"/>
      <c r="BZ126" s="897"/>
      <c r="CA126" s="897"/>
      <c r="CB126" s="897"/>
      <c r="CC126" s="897"/>
      <c r="CD126" s="897"/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6"/>
        <v/>
      </c>
      <c r="M127" s="816" t="str">
        <f t="shared" si="67"/>
        <v/>
      </c>
      <c r="N127" s="816" t="str">
        <f t="shared" si="68"/>
        <v/>
      </c>
      <c r="R127" s="816" t="str">
        <f t="shared" si="69"/>
        <v/>
      </c>
      <c r="T127" s="829" t="str">
        <f t="shared" si="70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6"/>
        <v/>
      </c>
      <c r="M128" s="816" t="str">
        <f t="shared" si="67"/>
        <v/>
      </c>
      <c r="N128" s="816" t="str">
        <f t="shared" si="68"/>
        <v/>
      </c>
      <c r="R128" s="816" t="str">
        <f t="shared" si="69"/>
        <v/>
      </c>
      <c r="T128" s="829" t="str">
        <f t="shared" si="70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6"/>
        <v/>
      </c>
      <c r="M129" s="816" t="str">
        <f t="shared" si="67"/>
        <v/>
      </c>
      <c r="N129" s="816" t="str">
        <f t="shared" si="68"/>
        <v/>
      </c>
      <c r="R129" s="816" t="str">
        <f t="shared" si="69"/>
        <v/>
      </c>
      <c r="T129" s="829" t="str">
        <f t="shared" si="70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6"/>
        <v/>
      </c>
      <c r="M130" s="816" t="str">
        <f t="shared" si="67"/>
        <v/>
      </c>
      <c r="N130" s="816" t="str">
        <f t="shared" si="68"/>
        <v/>
      </c>
      <c r="R130" s="816" t="str">
        <f t="shared" si="69"/>
        <v/>
      </c>
      <c r="T130" s="829" t="str">
        <f t="shared" si="70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66"/>
        <v/>
      </c>
      <c r="M131" s="816" t="str">
        <f t="shared" si="67"/>
        <v/>
      </c>
      <c r="N131" s="816" t="str">
        <f t="shared" si="68"/>
        <v/>
      </c>
      <c r="R131" s="816" t="str">
        <f t="shared" si="69"/>
        <v/>
      </c>
      <c r="T131" s="829" t="str">
        <f t="shared" si="70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IF($J131="","",IF(SUM(IF(ISNUMBER(VALUE(RIGHT($AG131:$CI131,1))),VALUE(RIGHT($AG131:$CI131,1)),0))=$J131,"T","F"))</f>
        <v/>
      </c>
      <c r="AE131" s="816" t="str">
        <f t="array" ref="AE131">IF($J131="","",SUM(IF(LEFT($AG131:$DU131,1)="s",1,0))-SUM(IF(RIGHT(LEFT($AG131:$DU131,2))="-",1,0)))</f>
        <v/>
      </c>
      <c r="AF131" s="816" t="str">
        <f t="array" ref="AF131">IF($J131="","",SUM(IF(LEFT($AG131:$DA131,1)="X",1,0)))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66"/>
        <v/>
      </c>
      <c r="M132" s="816" t="str">
        <f t="shared" si="67"/>
        <v/>
      </c>
      <c r="N132" s="816" t="str">
        <f t="shared" si="68"/>
        <v/>
      </c>
      <c r="R132" s="816" t="str">
        <f t="shared" si="69"/>
        <v/>
      </c>
      <c r="T132" s="829" t="str">
        <f t="shared" si="70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IF($J132="","",IF(SUM(IF(ISNUMBER(VALUE(RIGHT($AG132:$CI132,1))),VALUE(RIGHT($AG132:$CI132,1)),0))=$J132,"T","F"))</f>
        <v/>
      </c>
      <c r="AE132" s="816" t="str">
        <f t="array" ref="AE132">IF($J132="","",SUM(IF(LEFT($AG132:$DU132,1)="s",1,0))-SUM(IF(RIGHT(LEFT($AG132:$DU132,2))="-",1,0)))</f>
        <v/>
      </c>
      <c r="AF132" s="816" t="str">
        <f t="array" ref="AF132">IF($J132="","",SUM(IF(LEFT($AG132:$DA132,1)="X",1,0)))</f>
        <v/>
      </c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</sheetData>
  <autoFilter ref="A22:DG79"/>
  <mergeCells count="3">
    <mergeCell ref="W19:X19"/>
    <mergeCell ref="Y19:Z19"/>
    <mergeCell ref="AA19:AB19"/>
  </mergeCells>
  <phoneticPr fontId="21" type="noConversion"/>
  <conditionalFormatting sqref="AD23:AD309">
    <cfRule type="cellIs" dxfId="1471" priority="78" operator="equal">
      <formula>"T"</formula>
    </cfRule>
  </conditionalFormatting>
  <conditionalFormatting sqref="N23:N309">
    <cfRule type="cellIs" dxfId="1470" priority="85" stopIfTrue="1" operator="equal">
      <formula>"U"</formula>
    </cfRule>
    <cfRule type="cellIs" dxfId="1469" priority="86" stopIfTrue="1" operator="equal">
      <formula>"O"</formula>
    </cfRule>
  </conditionalFormatting>
  <conditionalFormatting sqref="L23:L309">
    <cfRule type="cellIs" dxfId="1468" priority="83" stopIfTrue="1" operator="equal">
      <formula>"W"</formula>
    </cfRule>
    <cfRule type="cellIs" dxfId="1467" priority="84" stopIfTrue="1" operator="equal">
      <formula>"D"</formula>
    </cfRule>
  </conditionalFormatting>
  <conditionalFormatting sqref="AF23:AF309">
    <cfRule type="cellIs" dxfId="1466" priority="81" stopIfTrue="1" operator="notEqual">
      <formula>11</formula>
    </cfRule>
    <cfRule type="cellIs" dxfId="1465" priority="82" stopIfTrue="1" operator="between">
      <formula>0</formula>
      <formula>20</formula>
    </cfRule>
  </conditionalFormatting>
  <conditionalFormatting sqref="AE23:AE309">
    <cfRule type="cellIs" dxfId="1464" priority="79" stopIfTrue="1" operator="notEqual">
      <formula>0</formula>
    </cfRule>
    <cfRule type="cellIs" dxfId="1463" priority="80" stopIfTrue="1" operator="between">
      <formula>0</formula>
      <formula>20</formula>
    </cfRule>
  </conditionalFormatting>
  <conditionalFormatting sqref="CF19:CW19">
    <cfRule type="expression" dxfId="1462" priority="74">
      <formula>CF19="G"</formula>
    </cfRule>
    <cfRule type="expression" dxfId="1461" priority="75">
      <formula>CF19="M"</formula>
    </cfRule>
    <cfRule type="expression" dxfId="1460" priority="76">
      <formula>CF19="D"</formula>
    </cfRule>
    <cfRule type="expression" dxfId="1459" priority="77">
      <formula>CF19="A"</formula>
    </cfRule>
  </conditionalFormatting>
  <conditionalFormatting sqref="CC19:CE19 AL19:BM19">
    <cfRule type="expression" dxfId="1458" priority="70">
      <formula>AL19="G"</formula>
    </cfRule>
    <cfRule type="expression" dxfId="1457" priority="71">
      <formula>OR(AL19="M",AL19="CM",AL19="LM",AL19="RM",AL19="DM",AL19="AM")</formula>
    </cfRule>
    <cfRule type="expression" dxfId="1456" priority="72">
      <formula>OR(AL19="D",AL19="CB",AL19="LB",AL19="RB")</formula>
    </cfRule>
    <cfRule type="expression" dxfId="1455" priority="73">
      <formula>OR(AL19="A",AL19="CF",AL19="SS",AL19="ST",AL19="RW",AL19="LW")</formula>
    </cfRule>
  </conditionalFormatting>
  <conditionalFormatting sqref="AG16:CD16">
    <cfRule type="top10" dxfId="1454" priority="87" stopIfTrue="1" rank="5"/>
  </conditionalFormatting>
  <conditionalFormatting sqref="AG15:CD15">
    <cfRule type="top10" dxfId="1453" priority="88" rank="11"/>
  </conditionalFormatting>
  <conditionalFormatting sqref="AG17:CD17">
    <cfRule type="top10" dxfId="1452" priority="89" stopIfTrue="1" rank="5"/>
  </conditionalFormatting>
  <conditionalFormatting sqref="AG14:CD14">
    <cfRule type="top10" dxfId="1451" priority="90" rank="11"/>
  </conditionalFormatting>
  <conditionalFormatting sqref="CB19">
    <cfRule type="expression" dxfId="1450" priority="65">
      <formula>CB19="G"</formula>
    </cfRule>
    <cfRule type="expression" dxfId="1449" priority="66">
      <formula>OR(CB19="M",CB19="CM",CB19="LM",CB19="RM",CB19="DM",CB19="AM")</formula>
    </cfRule>
    <cfRule type="expression" dxfId="1448" priority="67">
      <formula>OR(CB19="D",CB19="CB",CB19="LB",CB19="RB")</formula>
    </cfRule>
    <cfRule type="expression" dxfId="1447" priority="68">
      <formula>OR(CB19="A",CB19="CF",CB19="SS",CB19="ST",CB19="RW",CB19="LW")</formula>
    </cfRule>
  </conditionalFormatting>
  <conditionalFormatting sqref="BQ23:BY25 AG23:BB23 AR24:BB25 BD25:BD26 BB26 BB28:BB31 AG24:AQ29 AR26:BA29 AT30:BA30 AT31:BB31 AG30:AS31 BD30:BH36 AG32:BB36 AG41:AK41 AM42:AT42 AM43:BA43 AM45:BA45 AN44:BA44 AO50:AQ50 AG43:AK50 AM46:AN50 AO46:BB49 BN26:BY41 BN23:BO25 BD23:BK24 BL23:BM41 BE25:BK27 BD28:BK29 BJ30:BK36 AG37:BK40 AM41:BK41 BD43:BK49 AR50:BK54 AG51:AQ54 BL43:BY73 AG55:BK73">
    <cfRule type="expression" dxfId="1446" priority="44">
      <formula>IF(ISNUMBER(VALUE(RIGHT(AG23,1))),1,0)</formula>
    </cfRule>
  </conditionalFormatting>
  <conditionalFormatting sqref="BV41 BV43:BV67">
    <cfRule type="expression" dxfId="1445" priority="43">
      <formula>IF(ISNUMBER(VALUE(RIGHT(BV41,1))),1,0)</formula>
    </cfRule>
  </conditionalFormatting>
  <conditionalFormatting sqref="BO68:BS68">
    <cfRule type="expression" dxfId="1444" priority="42">
      <formula>IF(ISNUMBER(VALUE(RIGHT(BO68,1))),1,0)</formula>
    </cfRule>
  </conditionalFormatting>
  <conditionalFormatting sqref="BS52">
    <cfRule type="expression" dxfId="1443" priority="41">
      <formula>IF(ISNUMBER(VALUE(RIGHT(BS52,1))),1,0)</formula>
    </cfRule>
  </conditionalFormatting>
  <conditionalFormatting sqref="BN69:BS71">
    <cfRule type="expression" dxfId="1442" priority="40">
      <formula>IF(ISNUMBER(VALUE(RIGHT(BN69,1))),1,0)</formula>
    </cfRule>
  </conditionalFormatting>
  <conditionalFormatting sqref="AG19:BM19">
    <cfRule type="cellIs" dxfId="1441" priority="39" operator="equal">
      <formula>"M"</formula>
    </cfRule>
  </conditionalFormatting>
  <conditionalFormatting sqref="AG19:BM19">
    <cfRule type="cellIs" dxfId="1440" priority="38" operator="equal">
      <formula>"D"</formula>
    </cfRule>
  </conditionalFormatting>
  <conditionalFormatting sqref="AG19:BM19">
    <cfRule type="cellIs" dxfId="1439" priority="36" operator="equal">
      <formula>"G"</formula>
    </cfRule>
    <cfRule type="cellIs" dxfId="1438" priority="37" operator="equal">
      <formula>"A"</formula>
    </cfRule>
  </conditionalFormatting>
  <conditionalFormatting sqref="AG19:BM19">
    <cfRule type="containsText" dxfId="1437" priority="33" operator="containsText" text="FW">
      <formula>NOT(ISERROR(SEARCH("FW",AG19)))</formula>
    </cfRule>
    <cfRule type="containsText" dxfId="1436" priority="34" operator="containsText" text="MF">
      <formula>NOT(ISERROR(SEARCH("MF",AG19)))</formula>
    </cfRule>
    <cfRule type="containsText" dxfId="1435" priority="35" operator="containsText" text="DF">
      <formula>NOT(ISERROR(SEARCH("DF",AG19)))</formula>
    </cfRule>
  </conditionalFormatting>
  <conditionalFormatting sqref="BC26 BC28:BC36">
    <cfRule type="expression" dxfId="1434" priority="21">
      <formula>IF(ISNUMBER(VALUE(RIGHT(BC26,1))),1,0)</formula>
    </cfRule>
  </conditionalFormatting>
  <conditionalFormatting sqref="BB27 BD27">
    <cfRule type="expression" dxfId="1433" priority="20">
      <formula>IF(ISNUMBER(VALUE(RIGHT(BB27,1))),1,0)</formula>
    </cfRule>
  </conditionalFormatting>
  <conditionalFormatting sqref="BC27">
    <cfRule type="expression" dxfId="1432" priority="19">
      <formula>IF(ISNUMBER(VALUE(RIGHT(BC27,1))),1,0)</formula>
    </cfRule>
  </conditionalFormatting>
  <conditionalFormatting sqref="BI32:BI36">
    <cfRule type="expression" dxfId="1431" priority="18">
      <formula>IF(ISNUMBER(VALUE(RIGHT(BI32,1))),1,0)</formula>
    </cfRule>
  </conditionalFormatting>
  <conditionalFormatting sqref="BI30:BI31">
    <cfRule type="expression" dxfId="1430" priority="17">
      <formula>IF(ISNUMBER(VALUE(RIGHT(BI30,1))),1,0)</formula>
    </cfRule>
  </conditionalFormatting>
  <conditionalFormatting sqref="AL41:AL43 AL45:AL50">
    <cfRule type="expression" dxfId="1429" priority="6">
      <formula>IF(ISNUMBER(VALUE(RIGHT(AL41,1))),1,0)</formula>
    </cfRule>
  </conditionalFormatting>
  <conditionalFormatting sqref="BB43:BC43 BB45 BC45:BC49">
    <cfRule type="expression" dxfId="1428" priority="3">
      <formula>IF(ISNUMBER(VALUE(RIGHT(BB43,1))),1,0)</formula>
    </cfRule>
  </conditionalFormatting>
  <conditionalFormatting sqref="BB44:BC44">
    <cfRule type="expression" dxfId="1427" priority="2">
      <formula>IF(ISNUMBER(VALUE(RIGHT(BB44,1))),1,0)</formula>
    </cfRule>
  </conditionalFormatting>
  <conditionalFormatting sqref="AL44:AM44">
    <cfRule type="expression" dxfId="1426" priority="1">
      <formula>IF(ISNUMBER(VALUE(RIGHT(AL44,1))),1,0)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$I23:$I241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140A4803-6870-424C-975E-9E8DACC02DA8}">
            <xm:f>IF(ISNUMBER(VALUE(RIGHT('V-Varen Nagasaki'!BI42,1))),1,0)</xm:f>
            <x14:dxf>
              <font>
                <b/>
                <i val="0"/>
                <color rgb="FF00B0F0"/>
              </font>
            </x14:dxf>
          </x14:cfRule>
          <xm:sqref>BM42 BG42:BH42</xm:sqref>
        </x14:conditionalFormatting>
        <x14:conditionalFormatting xmlns:xm="http://schemas.microsoft.com/office/excel/2006/main">
          <x14:cfRule type="expression" priority="610" id="{140A4803-6870-424C-975E-9E8DACC02DA8}">
            <xm:f>IF(ISNUMBER(VALUE(RIGHT('V-Varen Nagasaki'!BA42,1))),1,0)</xm:f>
            <x14:dxf>
              <font>
                <b/>
                <i val="0"/>
                <color rgb="FF00B0F0"/>
              </font>
            </x14:dxf>
          </x14:cfRule>
          <xm:sqref>BN42:BV42 AZ42:BF42</xm:sqref>
        </x14:conditionalFormatting>
        <x14:conditionalFormatting xmlns:xm="http://schemas.microsoft.com/office/excel/2006/main">
          <x14:cfRule type="expression" priority="747" id="{140A4803-6870-424C-975E-9E8DACC02DA8}">
            <xm:f>IF(ISNUMBER(VALUE(RIGHT('V-Varen Nagasaki'!BP42,1))),1,0)</xm:f>
            <x14:dxf>
              <font>
                <b/>
                <i val="0"/>
                <color rgb="FF00B0F0"/>
              </font>
            </x14:dxf>
          </x14:cfRule>
          <xm:sqref>BL42</xm:sqref>
        </x14:conditionalFormatting>
        <x14:conditionalFormatting xmlns:xm="http://schemas.microsoft.com/office/excel/2006/main">
          <x14:cfRule type="expression" priority="997" id="{140A4803-6870-424C-975E-9E8DACC02DA8}">
            <xm:f>IF(ISNUMBER(VALUE(RIGHT('V-Varen Nagasaki'!BL42,1))),1,0)</xm:f>
            <x14:dxf>
              <font>
                <b/>
                <i val="0"/>
                <color rgb="FF00B0F0"/>
              </font>
            </x14:dxf>
          </x14:cfRule>
          <xm:sqref>BI42:BK42</xm:sqref>
        </x14:conditionalFormatting>
        <x14:conditionalFormatting xmlns:xm="http://schemas.microsoft.com/office/excel/2006/main">
          <x14:cfRule type="expression" priority="1120" id="{140A4803-6870-424C-975E-9E8DACC02DA8}">
            <xm:f>IF(ISNUMBER(VALUE(RIGHT('V-Varen Nagasaki'!AG42,1))),1,0)</xm:f>
            <x14:dxf>
              <font>
                <b/>
                <i val="0"/>
                <color rgb="FF00B0F0"/>
              </font>
            </x14:dxf>
          </x14:cfRule>
          <xm:sqref>AG42:AK42 AU42:AY42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O235"/>
  <sheetViews>
    <sheetView zoomScale="85" zoomScaleNormal="85" workbookViewId="0">
      <pane xSplit="32" ySplit="22" topLeftCell="AG56" activePane="bottomRight" state="frozen"/>
      <selection activeCell="AB20" sqref="AB20"/>
      <selection pane="topRight" activeCell="AB20" sqref="AB20"/>
      <selection pane="bottomLeft" activeCell="AB20" sqref="AB20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6" width="3.75" style="230" customWidth="1"/>
    <col min="47" max="48" width="3.75" bestFit="1" customWidth="1"/>
    <col min="49" max="56" width="3.75" style="230" customWidth="1"/>
    <col min="57" max="57" width="3.75" bestFit="1" customWidth="1"/>
    <col min="58" max="58" width="3.75" customWidth="1"/>
    <col min="59" max="62" width="3.75" style="230" customWidth="1"/>
    <col min="63" max="63" width="3.75" bestFit="1" customWidth="1"/>
    <col min="64" max="66" width="3.75" style="230" customWidth="1"/>
    <col min="67" max="67" width="3.75" bestFit="1" customWidth="1"/>
    <col min="68" max="100" width="3.75" style="230" customWidth="1"/>
    <col min="101" max="16384" width="5.75" style="230"/>
  </cols>
  <sheetData>
    <row r="1" spans="1:88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K1" s="814" t="str">
        <f>AH20</f>
        <v>Yoshinari Takagi</v>
      </c>
      <c r="AL1" s="814"/>
      <c r="AM1" s="814" t="str">
        <f>AJ20</f>
        <v>Masanori Abe</v>
      </c>
      <c r="AN1" s="814" t="str">
        <f>AK20</f>
        <v>Masaya Tashiro</v>
      </c>
      <c r="AO1" s="814"/>
      <c r="AP1" s="814" t="str">
        <f>AN20</f>
        <v>Yuki OMOTO</v>
      </c>
      <c r="AQ1" s="814" t="str">
        <f>AO20</f>
        <v>Jun Suzuki</v>
      </c>
      <c r="AR1" s="814" t="str">
        <f>AP20</f>
        <v>Go Iwase</v>
      </c>
      <c r="AS1" s="814"/>
      <c r="AT1" s="814" t="str">
        <f>AR20</f>
        <v>Tsubasa Aoki</v>
      </c>
      <c r="AW1" s="814" t="str">
        <f>AU20</f>
        <v>Hideyuki Nozawa</v>
      </c>
      <c r="AX1" s="814" t="str">
        <f>AV20</f>
        <v>Yoshihiro Shoji</v>
      </c>
      <c r="AY1" s="814"/>
      <c r="AZ1" s="814">
        <f>BR20</f>
        <v>0</v>
      </c>
      <c r="BA1" s="814" t="str">
        <f>AY20</f>
        <v>Yuto Ono</v>
      </c>
      <c r="BB1" s="814"/>
      <c r="BC1" s="814">
        <f>BO20</f>
        <v>0</v>
      </c>
      <c r="BD1" s="814" t="str">
        <f>BC20</f>
        <v>Kyogo FURUHASHI</v>
      </c>
      <c r="BG1" s="814"/>
      <c r="BH1" s="814"/>
      <c r="BI1" s="814"/>
      <c r="BJ1" s="814"/>
      <c r="BL1" s="814">
        <f>BM20</f>
        <v>0</v>
      </c>
      <c r="BM1" s="814">
        <f>BN20</f>
        <v>0</v>
      </c>
      <c r="BN1" s="814" t="e">
        <f>#REF!</f>
        <v>#REF!</v>
      </c>
      <c r="BP1" s="814">
        <f>BP20</f>
        <v>0</v>
      </c>
      <c r="BQ1" s="814">
        <f>BQ20</f>
        <v>0</v>
      </c>
      <c r="BR1" s="814" t="e">
        <f>#REF!</f>
        <v>#REF!</v>
      </c>
      <c r="BS1" s="814"/>
      <c r="BT1" s="814"/>
      <c r="BU1" s="814"/>
      <c r="BV1" s="814"/>
      <c r="BW1" s="814">
        <f t="shared" ref="BW1:CC1" si="0">BW20</f>
        <v>0</v>
      </c>
      <c r="BX1" s="814">
        <f t="shared" si="0"/>
        <v>0</v>
      </c>
      <c r="BY1" s="814">
        <f t="shared" si="0"/>
        <v>0</v>
      </c>
      <c r="BZ1" s="814">
        <f t="shared" si="0"/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ref="CD1:CJ1" si="1">CD20</f>
        <v>0</v>
      </c>
      <c r="CE1" s="814">
        <f t="shared" si="1"/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</row>
    <row r="2" spans="1:88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SUM(IF(L$23:L$237="",0,1)*IF(ISBLANK($T$1),1,IF($I$23:$I$237=$T$1,1,0)))</f>
        <v>44</v>
      </c>
      <c r="AG2" s="874">
        <f t="array" ref="AG2">SUM(IF(ISBLANK(AG$23:AG$237),0,IF(AG$23:AG$237="susp",0,1))*IF(ISBLANK($T$1),1,IF($I$23:$I$237=$T$1,1,0)))</f>
        <v>34</v>
      </c>
      <c r="AH2" s="874">
        <f t="array" ref="AH2">SUM(IF(ISBLANK(AH$23:AH$237),0,IF(AH$23:AH$237="susp",0,1))*IF(ISBLANK($T$1),1,IF($I$23:$I$237=$T$1,1,0)))</f>
        <v>44</v>
      </c>
      <c r="AI2" s="874">
        <f t="array" ref="AI2">SUM(IF(ISBLANK(AI$23:AI$237),0,IF(AI$23:AI$237="susp",0,1))*IF(ISBLANK($T$1),1,IF($I$23:$I$237=$T$1,1,0)))</f>
        <v>44</v>
      </c>
      <c r="AK2" s="874">
        <f t="array" ref="AK2">SUM(IF(ISBLANK(AK$23:AK$237),0,IF(AK$23:AK$237="susp",0,1))*IF(ISBLANK($T$1),1,IF($I$23:$I$237=$T$1,1,0)))</f>
        <v>43</v>
      </c>
      <c r="AM2" s="874">
        <f t="array" ref="AM2">SUM(IF(ISBLANK(AM$23:AM$237),0,IF(AM$23:AM$237="susp",0,1))*IF(ISBLANK($T$1),1,IF($I$23:$I$237=$T$1,1,0)))</f>
        <v>44</v>
      </c>
      <c r="AN2" s="874">
        <f t="array" ref="AN2">SUM(IF(ISBLANK(AN$23:AN$237),0,IF(AN$23:AN$237="susp",0,1))*IF(ISBLANK($T$1),1,IF($I$23:$I$237=$T$1,1,0)))</f>
        <v>44</v>
      </c>
      <c r="AP2" s="874">
        <f t="array" ref="AP2">SUM(IF(ISBLANK(AP$23:AP$237),0,IF(AP$23:AP$237="susp",0,1))*IF(ISBLANK($T$1),1,IF($I$23:$I$237=$T$1,1,0)))</f>
        <v>43</v>
      </c>
      <c r="AQ2" s="874">
        <f t="array" ref="AQ2">SUM(IF(ISBLANK(AQ$23:AQ$237),0,IF(AQ$23:AQ$237="susp",0,1))*IF(ISBLANK($T$1),1,IF($I$23:$I$237=$T$1,1,0)))</f>
        <v>44</v>
      </c>
      <c r="AR2" s="874">
        <f t="array" ref="AR2">SUM(IF(ISBLANK(AR$23:AR$237),0,IF(AR$23:AR$237="susp",0,1))*IF(ISBLANK($T$1),1,IF($I$23:$I$237=$T$1,1,0)))</f>
        <v>44</v>
      </c>
      <c r="AT2" s="874">
        <f t="array" ref="AT2">SUM(IF(ISBLANK(AT$23:AT$237),0,IF(AT$23:AT$237="susp",0,1))*IF(ISBLANK($T$1),1,IF($I$23:$I$237=$T$1,1,0)))</f>
        <v>44</v>
      </c>
      <c r="AW2" s="874">
        <f t="array" ref="AW2">SUM(IF(ISBLANK(AW$27:AW$237),0,IF(AW$27:AW$237="susp",0,1))*IF(ISBLANK($T$1),1,IF($I$23:$I$237=$T$1,1,0)))</f>
        <v>40</v>
      </c>
      <c r="AX2" s="874">
        <f t="array" ref="AX2">SUM(IF(ISBLANK(AX$23:AX$237),0,IF(AX$23:AX$237="susp",0,1))*IF(ISBLANK($T$1),1,IF($I$23:$I$237=$T$1,1,0)))</f>
        <v>44</v>
      </c>
      <c r="AZ2" s="874">
        <f t="array" ref="AZ2">SUM(IF(ISBLANK(AZ$23:AZ$237),0,IF(AZ$23:AZ$237="susp",0,1))*IF(ISBLANK($T$1),1,IF($I$23:$I$237=$T$1,1,0)))</f>
        <v>44</v>
      </c>
      <c r="BA2" s="874">
        <f t="array" ref="BA2">SUM(IF(ISBLANK(BA$23:BA$237),0,IF(BA$23:BA$237="susp",0,1))*IF(ISBLANK($T$1),1,IF($I$23:$I$237=$T$1,1,0)))</f>
        <v>43</v>
      </c>
      <c r="BC2" s="874">
        <f t="array" ref="BC2">SUM(IF(ISBLANK(BC$23:BC$237),0,IF(BC$23:BC$237="susp",0,1))*IF(ISBLANK($T$1),1,IF($I$23:$I$237=$T$1,1,0)))</f>
        <v>44</v>
      </c>
      <c r="BD2" s="874">
        <f t="array" ref="BD2">SUM(IF(ISBLANK(BD$23:BD$237),0,IF(BD$23:BD$237="susp",0,1))*IF(ISBLANK($T$1),1,IF($I$23:$I$237=$T$1,1,0)))</f>
        <v>43</v>
      </c>
      <c r="BL2" s="874">
        <f t="array" ref="BL2">SUM(IF(ISBLANK(BL$23:BL$237),0,IF(BL$23:BL$237="susp",0,1))*IF(ISBLANK($T$1),1,IF($I$23:$I$237=$T$1,1,0)))</f>
        <v>1</v>
      </c>
      <c r="BM2" s="874">
        <f t="array" ref="BM2">SUM(IF(ISBLANK(BM$23:BM$237),0,IF(BM$23:BM$237="susp",0,1))*IF(ISBLANK($T$1),1,IF($I$23:$I$237=$T$1,1,0)))</f>
        <v>1</v>
      </c>
      <c r="BN2" s="874">
        <f t="array" ref="BN2">SUM(IF(ISBLANK(BN$23:BN$237),0,IF(BN$23:BN$237="susp",0,1))*IF(ISBLANK($T$1),1,IF($I$23:$I$237=$T$1,1,0)))</f>
        <v>1</v>
      </c>
      <c r="BP2" s="874">
        <f t="array" ref="BP2">SUM(IF(ISBLANK(BP$23:BP$237),0,IF(BP$23:BP$237="susp",0,1))*IF(ISBLANK($T$1),1,IF($I$23:$I$237=$T$1,1,0)))</f>
        <v>0</v>
      </c>
      <c r="BQ2" s="874">
        <f t="array" ref="BQ2">SUM(IF(ISBLANK(BQ$23:BQ$237),0,IF(BQ$23:BQ$237="susp",0,1))*IF(ISBLANK($T$1),1,IF($I$23:$I$237=$T$1,1,0)))</f>
        <v>0</v>
      </c>
      <c r="BR2" s="874">
        <f t="array" ref="BR2">SUM(IF(ISBLANK(BR$41:BR$237),0,IF(BR$41:BR$237="susp",0,1))*IF(ISBLANK($T$1),1,IF($I$23:$I$237=$T$1,1,0)))</f>
        <v>0</v>
      </c>
      <c r="BW2" s="874">
        <f t="array" ref="BW2">SUM(IF(ISBLANK(BW$23:BW$237),0,IF(BW$23:BW$237="susp",0,1))*IF(ISBLANK($T$1),1,IF($I$23:$I$237=$T$1,1,0)))</f>
        <v>0</v>
      </c>
      <c r="BX2" s="874">
        <f t="array" ref="BX2">SUM(IF(ISBLANK(BX$23:BX$237),0,IF(BX$23:BX$237="susp",0,1))*IF(ISBLANK($T$1),1,IF($I$23:$I$237=$T$1,1,0)))</f>
        <v>0</v>
      </c>
      <c r="BY2" s="874">
        <f t="array" ref="BY2">SUM(IF(ISBLANK(BY$23:BY$237),0,IF(BY$23:BY$237="susp",0,1))*IF(ISBLANK($T$1),1,IF($I$23:$I$237=$T$1,1,0)))</f>
        <v>0</v>
      </c>
      <c r="BZ2" s="874">
        <f t="array" ref="BZ2">SUM(IF(ISBLANK(BZ$23:BZ$237),0,IF(BZ$23:BZ$237="susp",0,1))*IF(ISBLANK($T$1),1,IF($I$23:$I$237=$T$1,1,0)))</f>
        <v>0</v>
      </c>
      <c r="CA2" s="874">
        <f t="array" ref="CA2">SUM(IF(ISBLANK(CA$23:CA$237),0,IF(CA$23:CA$237="susp",0,1))*IF(ISBLANK($T$1),1,IF($I$23:$I$237=$T$1,1,0)))</f>
        <v>0</v>
      </c>
      <c r="CB2" s="874">
        <f t="array" ref="CB2">SUM(IF(ISBLANK(CB$23:CB$237),0,IF(CB$23:CB$237="susp",0,1))*IF(ISBLANK($T$1),1,IF($I$23:$I$237=$T$1,1,0)))</f>
        <v>0</v>
      </c>
      <c r="CC2" s="874">
        <f t="array" ref="CC2">SUM(IF(ISBLANK(CC$23:CC$237),0,IF(CC$23:CC$237="susp",0,1))*IF(ISBLANK($T$1),1,IF($I$23:$I$237=$T$1,1,0)))</f>
        <v>0</v>
      </c>
      <c r="CD2" s="874">
        <f t="array" ref="CD2">SUM(IF(ISBLANK(CD$23:CD$237),0,IF(CD$23:CD$237="susp",0,1))*IF(ISBLANK($T$1),1,IF($I$23:$I$237=$T$1,1,0)))</f>
        <v>0</v>
      </c>
      <c r="CE2" s="874">
        <f t="array" ref="CE2">SUM(IF(ISBLANK(CE$23:CE$237),0,IF(CE$23:CE$237="susp",0,1))*IF(ISBLANK($T$1),1,IF($I$23:$I$237=$T$1,1,0)))</f>
        <v>0</v>
      </c>
      <c r="CF2" s="874">
        <f t="array" ref="CF2">SUM(IF(ISBLANK(CF$23:CF$237),0,IF(CF$23:CF$237="susp",0,1))*IF(ISBLANK($T$1),1,IF($I$23:$I$237=$T$1,1,0)))</f>
        <v>0</v>
      </c>
      <c r="CG2" s="874">
        <f t="array" ref="CG2">SUM(IF(ISBLANK(CG$23:CG$237),0,IF(CG$23:CG$237="susp",0,1))*IF(ISBLANK($T$1),1,IF($I$23:$I$237=$T$1,1,0)))</f>
        <v>0</v>
      </c>
      <c r="CH2" s="874">
        <f t="array" ref="CH2">SUM(IF(ISBLANK(CH$23:CH$237),0,IF(CH$23:CH$237="susp",0,1))*IF(ISBLANK($T$1),1,IF($I$23:$I$237=$T$1,1,0)))</f>
        <v>16</v>
      </c>
      <c r="CI2" s="874">
        <f t="array" ref="CI2">SUM(IF(ISBLANK(CI$23:CI$237),0,IF(CI$23:CI$237="susp",0,1))*IF(ISBLANK($T$1),1,IF($I$23:$I$237=$T$1,1,0)))</f>
        <v>16</v>
      </c>
      <c r="CJ2" s="874">
        <f t="array" ref="CJ2">SUM(IF(ISBLANK(CJ$23:CJ$237),0,IF(CJ$23:CJ$237="susp",0,1))*IF(ISBLANK($T$1),1,IF($I$23:$I$237=$T$1,1,0)))</f>
        <v>15</v>
      </c>
    </row>
    <row r="3" spans="1:88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SUM(IF(L$23:L$237="W",1,0)*IF(ISBLANK($T$1),1,IF($I$23:$I$237=$T$1,1,0)))</f>
        <v>12</v>
      </c>
      <c r="AG3" s="874">
        <f t="array" ref="AG3">SUM(IF(ISTEXT(AG$23:AG$237),1,0)*IF(($L$23:$L$237)="W",1,0)*IF(ISBLANK($T$1),1,IF($I$23:$I$237=$T$1,1,0)))</f>
        <v>8</v>
      </c>
      <c r="AH3" s="874">
        <f t="array" ref="AH3">SUM(IF(ISTEXT(AH$23:AH$237),1,0)*IF(($L$23:$L$237)="W",1,0)*IF(ISBLANK($T$1),1,IF($I$23:$I$237=$T$1,1,0)))</f>
        <v>12</v>
      </c>
      <c r="AI3" s="874">
        <f t="array" ref="AI3">SUM(IF(ISTEXT(AI$23:AI$237),1,0)*IF(($L$23:$L$237)="W",1,0)*IF(ISBLANK($T$1),1,IF($I$23:$I$237=$T$1,1,0)))</f>
        <v>12</v>
      </c>
      <c r="AK3" s="874">
        <f t="array" ref="AK3">SUM(IF(ISTEXT(AK$23:AK$237),1,0)*IF(($L$23:$L$237)="W",1,0)*IF(ISBLANK($T$1),1,IF($I$23:$I$237=$T$1,1,0)))</f>
        <v>11</v>
      </c>
      <c r="AM3" s="874">
        <f t="array" ref="AM3">SUM(IF(ISTEXT(AM$23:AM$237),1,0)*IF(($L$23:$L$237)="W",1,0)*IF(ISBLANK($T$1),1,IF($I$23:$I$237=$T$1,1,0)))</f>
        <v>12</v>
      </c>
      <c r="AN3" s="874">
        <f t="array" ref="AN3">SUM(IF(ISTEXT(AN$23:AN$237),1,0)*IF(($L$23:$L$237)="W",1,0)*IF(ISBLANK($T$1),1,IF($I$23:$I$237=$T$1,1,0)))</f>
        <v>12</v>
      </c>
      <c r="AP3" s="874">
        <f t="array" ref="AP3">SUM(IF(ISTEXT(AP$23:AP$237),1,0)*IF(($L$23:$L$237)="W",1,0)*IF(ISBLANK($T$1),1,IF($I$23:$I$237=$T$1,1,0)))</f>
        <v>11</v>
      </c>
      <c r="AQ3" s="874">
        <f t="array" ref="AQ3">SUM(IF(ISTEXT(AQ$23:AQ$237),1,0)*IF(($L$23:$L$237)="W",1,0)*IF(ISBLANK($T$1),1,IF($I$23:$I$237=$T$1,1,0)))</f>
        <v>12</v>
      </c>
      <c r="AR3" s="874">
        <f t="array" ref="AR3">SUM(IF(ISTEXT(AR$23:AR$237),1,0)*IF(($L$23:$L$237)="W",1,0)*IF(ISBLANK($T$1),1,IF($I$23:$I$237=$T$1,1,0)))</f>
        <v>12</v>
      </c>
      <c r="AT3" s="874">
        <f t="array" ref="AT3">SUM(IF(ISTEXT(AT$23:AT$237),1,0)*IF(($L$23:$L$237)="W",1,0)*IF(ISBLANK($T$1),1,IF($I$23:$I$237=$T$1,1,0)))</f>
        <v>12</v>
      </c>
      <c r="AW3" s="874" t="e">
        <f t="array" ref="AW3">SUM(IF(ISTEXT(AW$27:AW$237),1,0)*IF(($L$23:$L$237)="W",1,0)*IF(ISBLANK($T$1),1,IF($I$23:$I$237=$T$1,1,0)))</f>
        <v>#N/A</v>
      </c>
      <c r="AX3" s="874">
        <f t="array" ref="AX3">SUM(IF(ISTEXT(AX$23:AX$237),1,0)*IF(($L$23:$L$237)="W",1,0)*IF(ISBLANK($T$1),1,IF($I$23:$I$237=$T$1,1,0)))</f>
        <v>12</v>
      </c>
      <c r="AZ3" s="874">
        <f t="array" ref="AZ3">SUM(IF(ISTEXT(AZ$23:AZ$237),1,0)*IF(($L$23:$L$237)="W",1,0)*IF(ISBLANK($T$1),1,IF($I$23:$I$237=$T$1,1,0)))</f>
        <v>12</v>
      </c>
      <c r="BA3" s="874">
        <f t="array" ref="BA3">SUM(IF(ISTEXT(BA$23:BA$237),1,0)*IF(($L$23:$L$237)="W",1,0)*IF(ISBLANK($T$1),1,IF($I$23:$I$237=$T$1,1,0)))</f>
        <v>11</v>
      </c>
      <c r="BC3" s="874">
        <f t="array" ref="BC3">SUM(IF(ISTEXT(BC$23:BC$237),1,0)*IF(($L$23:$L$237)="W",1,0)*IF(ISBLANK($T$1),1,IF($I$23:$I$237=$T$1,1,0)))</f>
        <v>12</v>
      </c>
      <c r="BD3" s="874">
        <f t="array" ref="BD3">SUM(IF(ISTEXT(BD$23:BD$237),1,0)*IF(($L$23:$L$237)="W",1,0)*IF(ISBLANK($T$1),1,IF($I$23:$I$237=$T$1,1,0)))</f>
        <v>11</v>
      </c>
      <c r="BL3" s="874">
        <f t="array" ref="BL3">SUM(IF(ISTEXT(BL$23:BL$237),1,0)*IF(($L$23:$L$237)="W",1,0)*IF(ISBLANK($T$1),1,IF($I$23:$I$237=$T$1,1,0)))</f>
        <v>0</v>
      </c>
      <c r="BM3" s="874">
        <f t="array" ref="BM3">SUM(IF(ISTEXT(BM$23:BM$237),1,0)*IF(($L$23:$L$237)="W",1,0)*IF(ISBLANK($T$1),1,IF($I$23:$I$237=$T$1,1,0)))</f>
        <v>0</v>
      </c>
      <c r="BN3" s="874">
        <f t="array" ref="BN3">SUM(IF(ISTEXT(BN$23:BN$237),1,0)*IF(($L$23:$L$237)="W",1,0)*IF(ISBLANK($T$1),1,IF($I$23:$I$237=$T$1,1,0)))</f>
        <v>0</v>
      </c>
      <c r="BP3" s="874">
        <f t="array" ref="BP3">SUM(IF(ISTEXT(BP$23:BP$237),1,0)*IF(($L$23:$L$237)="W",1,0)*IF(ISBLANK($T$1),1,IF($I$23:$I$237=$T$1,1,0)))</f>
        <v>0</v>
      </c>
      <c r="BQ3" s="874">
        <f t="array" ref="BQ3">SUM(IF(ISTEXT(BQ$23:BQ$237),1,0)*IF(($L$23:$L$237)="W",1,0)*IF(ISBLANK($T$1),1,IF($I$23:$I$237=$T$1,1,0)))</f>
        <v>0</v>
      </c>
      <c r="BR3" s="874" t="e">
        <f t="array" ref="BR3">SUM(IF(ISTEXT(BR$41:BR$237),1,0)*IF(($L$23:$L$237)="W",1,0)*IF(ISBLANK($T$1),1,IF($I$23:$I$237=$T$1,1,0)))</f>
        <v>#N/A</v>
      </c>
      <c r="BW3" s="874">
        <f t="array" ref="BW3">SUM(IF(ISTEXT(BW$23:BW$237),1,0)*IF(($L$23:$L$237)="W",1,0)*IF(ISBLANK($T$1),1,IF($I$23:$I$237=$T$1,1,0)))</f>
        <v>0</v>
      </c>
      <c r="BX3" s="874">
        <f t="array" ref="BX3">SUM(IF(ISTEXT(BX$23:BX$237),1,0)*IF(($L$23:$L$237)="W",1,0)*IF(ISBLANK($T$1),1,IF($I$23:$I$237=$T$1,1,0)))</f>
        <v>0</v>
      </c>
      <c r="BY3" s="874">
        <f t="array" ref="BY3">SUM(IF(ISTEXT(BY$23:BY$237),1,0)*IF(($L$23:$L$237)="W",1,0)*IF(ISBLANK($T$1),1,IF($I$23:$I$237=$T$1,1,0)))</f>
        <v>0</v>
      </c>
      <c r="BZ3" s="874">
        <f t="array" ref="BZ3">SUM(IF(ISTEXT(BZ$23:BZ$237),1,0)*IF(($L$23:$L$237)="W",1,0)*IF(ISBLANK($T$1),1,IF($I$23:$I$237=$T$1,1,0)))</f>
        <v>0</v>
      </c>
      <c r="CA3" s="874">
        <f t="array" ref="CA3">SUM(IF(ISTEXT(CA$23:CA$237),1,0)*IF(($L$23:$L$237)="W",1,0)*IF(ISBLANK($T$1),1,IF($I$23:$I$237=$T$1,1,0)))</f>
        <v>0</v>
      </c>
      <c r="CB3" s="874">
        <f t="array" ref="CB3">SUM(IF(ISTEXT(CB$23:CB$237),1,0)*IF(($L$23:$L$237)="W",1,0)*IF(ISBLANK($T$1),1,IF($I$23:$I$237=$T$1,1,0)))</f>
        <v>0</v>
      </c>
      <c r="CC3" s="874">
        <f t="array" ref="CC3">SUM(IF(ISTEXT(CC$23:CC$237),1,0)*IF(($L$23:$L$237)="W",1,0)*IF(ISBLANK($T$1),1,IF($I$23:$I$237=$T$1,1,0)))</f>
        <v>0</v>
      </c>
      <c r="CD3" s="874">
        <f t="array" ref="CD3">SUM(IF(ISTEXT(CD$23:CD$237),1,0)*IF(($L$23:$L$237)="W",1,0)*IF(ISBLANK($T$1),1,IF($I$23:$I$237=$T$1,1,0)))</f>
        <v>0</v>
      </c>
      <c r="CE3" s="874">
        <f t="array" ref="CE3">SUM(IF(ISTEXT(CE$23:CE$237),1,0)*IF(($L$23:$L$237)="W",1,0)*IF(ISBLANK($T$1),1,IF($I$23:$I$237=$T$1,1,0)))</f>
        <v>0</v>
      </c>
      <c r="CF3" s="874">
        <f t="array" ref="CF3">SUM(IF(ISTEXT(CF$23:CF$237),1,0)*IF(($L$23:$L$237)="W",1,0)*IF(ISBLANK($T$1),1,IF($I$23:$I$237=$T$1,1,0)))</f>
        <v>0</v>
      </c>
      <c r="CG3" s="874">
        <f t="array" ref="CG3">SUM(IF(ISTEXT(CG$23:CG$237),1,0)*IF(($L$23:$L$237)="W",1,0)*IF(ISBLANK($T$1),1,IF($I$23:$I$237=$T$1,1,0)))</f>
        <v>0</v>
      </c>
      <c r="CH3" s="874">
        <f t="array" ref="CH3">SUM(IF(ISTEXT(CH$23:CH$237),1,0)*IF(($L$23:$L$237)="W",1,0)*IF(ISBLANK($T$1),1,IF($I$23:$I$237=$T$1,1,0)))</f>
        <v>4</v>
      </c>
      <c r="CI3" s="874">
        <f t="array" ref="CI3">SUM(IF(ISTEXT(CI$23:CI$237),1,0)*IF(($L$23:$L$237)="W",1,0)*IF(ISBLANK($T$1),1,IF($I$23:$I$237=$T$1,1,0)))</f>
        <v>4</v>
      </c>
      <c r="CJ3" s="874">
        <f t="array" ref="CJ3">SUM(IF(ISTEXT(CJ$23:CJ$237),1,0)*IF(($L$23:$L$237)="W",1,0)*IF(ISBLANK($T$1),1,IF($I$23:$I$237=$T$1,1,0)))</f>
        <v>4</v>
      </c>
    </row>
    <row r="4" spans="1:88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SUM(IF(L$23:L$237="D",1,0)*IF(ISBLANK($T$1),1,IF($I$23:$I$237=$T$1,1,0)))</f>
        <v>13</v>
      </c>
      <c r="AG4" s="874">
        <f t="array" ref="AG4">SUM(IF(ISTEXT(AG$23:AG$237),1,0)*IF(($L$23:$L$237)="D",1,0)*IF(ISBLANK($T$1),1,IF($I$23:$I$237=$T$1,1,0)))</f>
        <v>11</v>
      </c>
      <c r="AH4" s="874">
        <f t="array" ref="AH4">SUM(IF(ISTEXT(AH$23:AH$237),1,0)*IF(($L$23:$L$237)="D",1,0)*IF(ISBLANK($T$1),1,IF($I$23:$I$237=$T$1,1,0)))</f>
        <v>13</v>
      </c>
      <c r="AI4" s="874">
        <f t="array" ref="AI4">SUM(IF(ISTEXT(AI$23:AI$237),1,0)*IF(($L$23:$L$237)="D",1,0)*IF(ISBLANK($T$1),1,IF($I$23:$I$237=$T$1,1,0)))</f>
        <v>13</v>
      </c>
      <c r="AK4" s="874">
        <f t="array" ref="AK4">SUM(IF(ISTEXT(AK$23:AK$237),1,0)*IF(($L$23:$L$237)="D",1,0)*IF(ISBLANK($T$1),1,IF($I$23:$I$237=$T$1,1,0)))</f>
        <v>13</v>
      </c>
      <c r="AM4" s="874">
        <f t="array" ref="AM4">SUM(IF(ISTEXT(AM$23:AM$237),1,0)*IF(($L$23:$L$237)="D",1,0)*IF(ISBLANK($T$1),1,IF($I$23:$I$237=$T$1,1,0)))</f>
        <v>13</v>
      </c>
      <c r="AN4" s="874">
        <f t="array" ref="AN4">SUM(IF(ISTEXT(AN$23:AN$237),1,0)*IF(($L$23:$L$237)="D",1,0)*IF(ISBLANK($T$1),1,IF($I$23:$I$237=$T$1,1,0)))</f>
        <v>13</v>
      </c>
      <c r="AP4" s="874">
        <f t="array" ref="AP4">SUM(IF(ISTEXT(AP$23:AP$237),1,0)*IF(($L$23:$L$237)="D",1,0)*IF(ISBLANK($T$1),1,IF($I$23:$I$237=$T$1,1,0)))</f>
        <v>13</v>
      </c>
      <c r="AQ4" s="874">
        <f t="array" ref="AQ4">SUM(IF(ISTEXT(AQ$23:AQ$237),1,0)*IF(($L$23:$L$237)="D",1,0)*IF(ISBLANK($T$1),1,IF($I$23:$I$237=$T$1,1,0)))</f>
        <v>13</v>
      </c>
      <c r="AR4" s="874">
        <f t="array" ref="AR4">SUM(IF(ISTEXT(AR$23:AR$237),1,0)*IF(($L$23:$L$237)="D",1,0)*IF(ISBLANK($T$1),1,IF($I$23:$I$237=$T$1,1,0)))</f>
        <v>13</v>
      </c>
      <c r="AT4" s="874">
        <f t="array" ref="AT4">SUM(IF(ISTEXT(AT$23:AT$237),1,0)*IF(($L$23:$L$237)="D",1,0)*IF(ISBLANK($T$1),1,IF($I$23:$I$237=$T$1,1,0)))</f>
        <v>13</v>
      </c>
      <c r="AW4" s="874" t="e">
        <f t="array" ref="AW4">SUM(IF(ISTEXT(AW$27:AW$237),1,0)*IF(($L$23:$L$237)="D",1,0)*IF(ISBLANK($T$1),1,IF($I$23:$I$237=$T$1,1,0)))</f>
        <v>#N/A</v>
      </c>
      <c r="AX4" s="874">
        <f t="array" ref="AX4">SUM(IF(ISTEXT(AX$23:AX$237),1,0)*IF(($L$23:$L$237)="D",1,0)*IF(ISBLANK($T$1),1,IF($I$23:$I$237=$T$1,1,0)))</f>
        <v>13</v>
      </c>
      <c r="AZ4" s="874">
        <f t="array" ref="AZ4">SUM(IF(ISTEXT(AZ$23:AZ$237),1,0)*IF(($L$23:$L$237)="D",1,0)*IF(ISBLANK($T$1),1,IF($I$23:$I$237=$T$1,1,0)))</f>
        <v>13</v>
      </c>
      <c r="BA4" s="874">
        <f t="array" ref="BA4">SUM(IF(ISTEXT(BA$23:BA$237),1,0)*IF(($L$23:$L$237)="D",1,0)*IF(ISBLANK($T$1),1,IF($I$23:$I$237=$T$1,1,0)))</f>
        <v>13</v>
      </c>
      <c r="BC4" s="874">
        <f t="array" ref="BC4">SUM(IF(ISTEXT(BC$23:BC$237),1,0)*IF(($L$23:$L$237)="D",1,0)*IF(ISBLANK($T$1),1,IF($I$23:$I$237=$T$1,1,0)))</f>
        <v>13</v>
      </c>
      <c r="BD4" s="874">
        <f t="array" ref="BD4">SUM(IF(ISTEXT(BD$23:BD$237),1,0)*IF(($L$23:$L$237)="D",1,0)*IF(ISBLANK($T$1),1,IF($I$23:$I$237=$T$1,1,0)))</f>
        <v>13</v>
      </c>
      <c r="BL4" s="874">
        <f t="array" ref="BL4">SUM(IF(ISTEXT(BL$23:BL$237),1,0)*IF(($L$23:$L$237)="D",1,0)*IF(ISBLANK($T$1),1,IF($I$23:$I$237=$T$1,1,0)))</f>
        <v>0</v>
      </c>
      <c r="BM4" s="874">
        <f t="array" ref="BM4">SUM(IF(ISTEXT(BM$23:BM$237),1,0)*IF(($L$23:$L$237)="D",1,0)*IF(ISBLANK($T$1),1,IF($I$23:$I$237=$T$1,1,0)))</f>
        <v>0</v>
      </c>
      <c r="BN4" s="874">
        <f t="array" ref="BN4">SUM(IF(ISTEXT(BN$23:BN$237),1,0)*IF(($L$23:$L$237)="D",1,0)*IF(ISBLANK($T$1),1,IF($I$23:$I$237=$T$1,1,0)))</f>
        <v>0</v>
      </c>
      <c r="BP4" s="874">
        <f t="array" ref="BP4">SUM(IF(ISTEXT(BP$23:BP$237),1,0)*IF(($L$23:$L$237)="D",1,0)*IF(ISBLANK($T$1),1,IF($I$23:$I$237=$T$1,1,0)))</f>
        <v>0</v>
      </c>
      <c r="BQ4" s="874">
        <f t="array" ref="BQ4">SUM(IF(ISTEXT(BQ$23:BQ$237),1,0)*IF(($L$23:$L$237)="D",1,0)*IF(ISBLANK($T$1),1,IF($I$23:$I$237=$T$1,1,0)))</f>
        <v>0</v>
      </c>
      <c r="BR4" s="874" t="e">
        <f t="array" ref="BR4">SUM(IF(ISTEXT(BR$41:BR$237),1,0)*IF(($L$23:$L$237)="D",1,0)*IF(ISBLANK($T$1),1,IF($I$23:$I$237=$T$1,1,0)))</f>
        <v>#N/A</v>
      </c>
      <c r="BW4" s="874">
        <f t="array" ref="BW4">SUM(IF(ISTEXT(BW$23:BW$237),1,0)*IF(($L$23:$L$237)="D",1,0)*IF(ISBLANK($T$1),1,IF($I$23:$I$237=$T$1,1,0)))</f>
        <v>0</v>
      </c>
      <c r="BX4" s="874">
        <f t="array" ref="BX4">SUM(IF(ISTEXT(BX$23:BX$237),1,0)*IF(($L$23:$L$237)="D",1,0)*IF(ISBLANK($T$1),1,IF($I$23:$I$237=$T$1,1,0)))</f>
        <v>0</v>
      </c>
      <c r="BY4" s="874">
        <f t="array" ref="BY4">SUM(IF(ISTEXT(BY$23:BY$237),1,0)*IF(($L$23:$L$237)="D",1,0)*IF(ISBLANK($T$1),1,IF($I$23:$I$237=$T$1,1,0)))</f>
        <v>0</v>
      </c>
      <c r="BZ4" s="874">
        <f t="array" ref="BZ4">SUM(IF(ISTEXT(BZ$23:BZ$237),1,0)*IF(($L$23:$L$237)="D",1,0)*IF(ISBLANK($T$1),1,IF($I$23:$I$237=$T$1,1,0)))</f>
        <v>0</v>
      </c>
      <c r="CA4" s="874">
        <f t="array" ref="CA4">SUM(IF(ISTEXT(CA$23:CA$237),1,0)*IF(($L$23:$L$237)="D",1,0)*IF(ISBLANK($T$1),1,IF($I$23:$I$237=$T$1,1,0)))</f>
        <v>0</v>
      </c>
      <c r="CB4" s="874">
        <f t="array" ref="CB4">SUM(IF(ISTEXT(CB$23:CB$237),1,0)*IF(($L$23:$L$237)="D",1,0)*IF(ISBLANK($T$1),1,IF($I$23:$I$237=$T$1,1,0)))</f>
        <v>0</v>
      </c>
      <c r="CC4" s="874">
        <f t="array" ref="CC4">SUM(IF(ISTEXT(CC$23:CC$237),1,0)*IF(($L$23:$L$237)="D",1,0)*IF(ISBLANK($T$1),1,IF($I$23:$I$237=$T$1,1,0)))</f>
        <v>0</v>
      </c>
      <c r="CD4" s="874">
        <f t="array" ref="CD4">SUM(IF(ISTEXT(CD$23:CD$237),1,0)*IF(($L$23:$L$237)="D",1,0)*IF(ISBLANK($T$1),1,IF($I$23:$I$237=$T$1,1,0)))</f>
        <v>0</v>
      </c>
      <c r="CE4" s="874">
        <f t="array" ref="CE4">SUM(IF(ISTEXT(CE$23:CE$237),1,0)*IF(($L$23:$L$237)="D",1,0)*IF(ISBLANK($T$1),1,IF($I$23:$I$237=$T$1,1,0)))</f>
        <v>0</v>
      </c>
      <c r="CF4" s="874">
        <f t="array" ref="CF4">SUM(IF(ISTEXT(CF$23:CF$237),1,0)*IF(($L$23:$L$237)="D",1,0)*IF(ISBLANK($T$1),1,IF($I$23:$I$237=$T$1,1,0)))</f>
        <v>0</v>
      </c>
      <c r="CG4" s="874">
        <f t="array" ref="CG4">SUM(IF(ISTEXT(CG$23:CG$237),1,0)*IF(($L$23:$L$237)="D",1,0)*IF(ISBLANK($T$1),1,IF($I$23:$I$237=$T$1,1,0)))</f>
        <v>0</v>
      </c>
      <c r="CH4" s="874">
        <f t="array" ref="CH4">SUM(IF(ISTEXT(CH$23:CH$237),1,0)*IF(($L$23:$L$237)="D",1,0)*IF(ISBLANK($T$1),1,IF($I$23:$I$237=$T$1,1,0)))</f>
        <v>6</v>
      </c>
      <c r="CI4" s="874">
        <f t="array" ref="CI4">SUM(IF(ISTEXT(CI$23:CI$237),1,0)*IF(($L$23:$L$237)="D",1,0)*IF(ISBLANK($T$1),1,IF($I$23:$I$237=$T$1,1,0)))</f>
        <v>6</v>
      </c>
      <c r="CJ4" s="874">
        <f t="array" ref="CJ4">SUM(IF(ISTEXT(CJ$23:CJ$237),1,0)*IF(($L$23:$L$237)="D",1,0)*IF(ISBLANK($T$1),1,IF($I$23:$I$237=$T$1,1,0)))</f>
        <v>5</v>
      </c>
    </row>
    <row r="5" spans="1:88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SUM(IF(L$23:L$237="L",1,0)*IF(ISBLANK($T$1),1,IF($I$23:$I$237=$T$1,1,0)))</f>
        <v>19</v>
      </c>
      <c r="AG5" s="874">
        <f t="array" ref="AG5">SUM(IF(ISTEXT(AG$23:AG$237),1,0)*IF(($L$23:$L$237)="L",1,0)*IF(ISBLANK($T$1),1,IF($I$23:$I$237=$T$1,1,0)))</f>
        <v>15</v>
      </c>
      <c r="AH5" s="874">
        <f t="array" ref="AH5">SUM(IF(ISTEXT(AH$23:AH$237),1,0)*IF(($L$23:$L$237)="L",1,0)*IF(ISBLANK($T$1),1,IF($I$23:$I$237=$T$1,1,0)))</f>
        <v>19</v>
      </c>
      <c r="AI5" s="874">
        <f t="array" ref="AI5">SUM(IF(ISTEXT(AI$23:AI$237),1,0)*IF(($L$23:$L$237)="L",1,0)*IF(ISBLANK($T$1),1,IF($I$23:$I$237=$T$1,1,0)))</f>
        <v>19</v>
      </c>
      <c r="AK5" s="874">
        <f t="array" ref="AK5">SUM(IF(ISTEXT(AK$23:AK$237),1,0)*IF(($L$23:$L$237)="L",1,0)*IF(ISBLANK($T$1),1,IF($I$23:$I$237=$T$1,1,0)))</f>
        <v>19</v>
      </c>
      <c r="AM5" s="874">
        <f t="array" ref="AM5">SUM(IF(ISTEXT(AM$23:AM$237),1,0)*IF(($L$23:$L$237)="L",1,0)*IF(ISBLANK($T$1),1,IF($I$23:$I$237=$T$1,1,0)))</f>
        <v>19</v>
      </c>
      <c r="AN5" s="874">
        <f t="array" ref="AN5">SUM(IF(ISTEXT(AN$23:AN$237),1,0)*IF(($L$23:$L$237)="L",1,0)*IF(ISBLANK($T$1),1,IF($I$23:$I$237=$T$1,1,0)))</f>
        <v>19</v>
      </c>
      <c r="AP5" s="874">
        <f t="array" ref="AP5">SUM(IF(ISTEXT(AP$23:AP$237),1,0)*IF(($L$23:$L$237)="L",1,0)*IF(ISBLANK($T$1),1,IF($I$23:$I$237=$T$1,1,0)))</f>
        <v>19</v>
      </c>
      <c r="AQ5" s="874">
        <f t="array" ref="AQ5">SUM(IF(ISTEXT(AQ$23:AQ$237),1,0)*IF(($L$23:$L$237)="L",1,0)*IF(ISBLANK($T$1),1,IF($I$23:$I$237=$T$1,1,0)))</f>
        <v>19</v>
      </c>
      <c r="AR5" s="874">
        <f t="array" ref="AR5">SUM(IF(ISTEXT(AR$23:AR$237),1,0)*IF(($L$23:$L$237)="L",1,0)*IF(ISBLANK($T$1),1,IF($I$23:$I$237=$T$1,1,0)))</f>
        <v>19</v>
      </c>
      <c r="AT5" s="874">
        <f t="array" ref="AT5">SUM(IF(ISTEXT(AT$23:AT$237),1,0)*IF(($L$23:$L$237)="L",1,0)*IF(ISBLANK($T$1),1,IF($I$23:$I$237=$T$1,1,0)))</f>
        <v>19</v>
      </c>
      <c r="AW5" s="874" t="e">
        <f t="array" ref="AW5">SUM(IF(ISTEXT(AW$27:AW$237),1,0)*IF(($L$23:$L$237)="L",1,0)*IF(ISBLANK($T$1),1,IF($I$23:$I$237=$T$1,1,0)))</f>
        <v>#N/A</v>
      </c>
      <c r="AX5" s="874">
        <f t="array" ref="AX5">SUM(IF(ISTEXT(AX$23:AX$237),1,0)*IF(($L$23:$L$237)="L",1,0)*IF(ISBLANK($T$1),1,IF($I$23:$I$237=$T$1,1,0)))</f>
        <v>19</v>
      </c>
      <c r="AZ5" s="874">
        <f t="array" ref="AZ5">SUM(IF(ISTEXT(AZ$23:AZ$237),1,0)*IF(($L$23:$L$237)="L",1,0)*IF(ISBLANK($T$1),1,IF($I$23:$I$237=$T$1,1,0)))</f>
        <v>19</v>
      </c>
      <c r="BA5" s="874">
        <f t="array" ref="BA5">SUM(IF(ISTEXT(BA$23:BA$237),1,0)*IF(($L$23:$L$237)="L",1,0)*IF(ISBLANK($T$1),1,IF($I$23:$I$237=$T$1,1,0)))</f>
        <v>19</v>
      </c>
      <c r="BC5" s="874">
        <f t="array" ref="BC5">SUM(IF(ISTEXT(BC$23:BC$237),1,0)*IF(($L$23:$L$237)="L",1,0)*IF(ISBLANK($T$1),1,IF($I$23:$I$237=$T$1,1,0)))</f>
        <v>19</v>
      </c>
      <c r="BD5" s="874">
        <f t="array" ref="BD5">SUM(IF(ISTEXT(BD$23:BD$237),1,0)*IF(($L$23:$L$237)="L",1,0)*IF(ISBLANK($T$1),1,IF($I$23:$I$237=$T$1,1,0)))</f>
        <v>19</v>
      </c>
      <c r="BL5" s="874">
        <f t="array" ref="BL5">SUM(IF(ISTEXT(BL$23:BL$237),1,0)*IF(($L$23:$L$237)="L",1,0)*IF(ISBLANK($T$1),1,IF($I$23:$I$237=$T$1,1,0)))</f>
        <v>1</v>
      </c>
      <c r="BM5" s="874">
        <f t="array" ref="BM5">SUM(IF(ISTEXT(BM$23:BM$237),1,0)*IF(($L$23:$L$237)="L",1,0)*IF(ISBLANK($T$1),1,IF($I$23:$I$237=$T$1,1,0)))</f>
        <v>1</v>
      </c>
      <c r="BN5" s="874">
        <f t="array" ref="BN5">SUM(IF(ISTEXT(BN$23:BN$237),1,0)*IF(($L$23:$L$237)="L",1,0)*IF(ISBLANK($T$1),1,IF($I$23:$I$237=$T$1,1,0)))</f>
        <v>1</v>
      </c>
      <c r="BP5" s="874">
        <f t="array" ref="BP5">SUM(IF(ISTEXT(BP$23:BP$237),1,0)*IF(($L$23:$L$237)="L",1,0)*IF(ISBLANK($T$1),1,IF($I$23:$I$237=$T$1,1,0)))</f>
        <v>0</v>
      </c>
      <c r="BQ5" s="874">
        <f t="array" ref="BQ5">SUM(IF(ISTEXT(BQ$23:BQ$237),1,0)*IF(($L$23:$L$237)="L",1,0)*IF(ISBLANK($T$1),1,IF($I$23:$I$237=$T$1,1,0)))</f>
        <v>0</v>
      </c>
      <c r="BR5" s="874" t="e">
        <f t="array" ref="BR5">SUM(IF(ISTEXT(BR$41:BR$237),1,0)*IF(($L$23:$L$237)="L",1,0)*IF(ISBLANK($T$1),1,IF($I$23:$I$237=$T$1,1,0)))</f>
        <v>#N/A</v>
      </c>
      <c r="BW5" s="874">
        <f t="array" ref="BW5">SUM(IF(ISTEXT(BW$23:BW$237),1,0)*IF(($L$23:$L$237)="L",1,0)*IF(ISBLANK($T$1),1,IF($I$23:$I$237=$T$1,1,0)))</f>
        <v>0</v>
      </c>
      <c r="BX5" s="874">
        <f t="array" ref="BX5">SUM(IF(ISTEXT(BX$23:BX$237),1,0)*IF(($L$23:$L$237)="L",1,0)*IF(ISBLANK($T$1),1,IF($I$23:$I$237=$T$1,1,0)))</f>
        <v>0</v>
      </c>
      <c r="BY5" s="874">
        <f t="array" ref="BY5">SUM(IF(ISTEXT(BY$23:BY$237),1,0)*IF(($L$23:$L$237)="L",1,0)*IF(ISBLANK($T$1),1,IF($I$23:$I$237=$T$1,1,0)))</f>
        <v>0</v>
      </c>
      <c r="BZ5" s="874">
        <f t="array" ref="BZ5">SUM(IF(ISTEXT(BZ$23:BZ$237),1,0)*IF(($L$23:$L$237)="L",1,0)*IF(ISBLANK($T$1),1,IF($I$23:$I$237=$T$1,1,0)))</f>
        <v>0</v>
      </c>
      <c r="CA5" s="874">
        <f t="array" ref="CA5">SUM(IF(ISTEXT(CA$23:CA$237),1,0)*IF(($L$23:$L$237)="L",1,0)*IF(ISBLANK($T$1),1,IF($I$23:$I$237=$T$1,1,0)))</f>
        <v>0</v>
      </c>
      <c r="CB5" s="874">
        <f t="array" ref="CB5">SUM(IF(ISTEXT(CB$23:CB$237),1,0)*IF(($L$23:$L$237)="L",1,0)*IF(ISBLANK($T$1),1,IF($I$23:$I$237=$T$1,1,0)))</f>
        <v>0</v>
      </c>
      <c r="CC5" s="874">
        <f t="array" ref="CC5">SUM(IF(ISTEXT(CC$23:CC$237),1,0)*IF(($L$23:$L$237)="L",1,0)*IF(ISBLANK($T$1),1,IF($I$23:$I$237=$T$1,1,0)))</f>
        <v>0</v>
      </c>
      <c r="CD5" s="874">
        <f t="array" ref="CD5">SUM(IF(ISTEXT(CD$23:CD$237),1,0)*IF(($L$23:$L$237)="L",1,0)*IF(ISBLANK($T$1),1,IF($I$23:$I$237=$T$1,1,0)))</f>
        <v>0</v>
      </c>
      <c r="CE5" s="874">
        <f t="array" ref="CE5">SUM(IF(ISTEXT(CE$23:CE$237),1,0)*IF(($L$23:$L$237)="L",1,0)*IF(ISBLANK($T$1),1,IF($I$23:$I$237=$T$1,1,0)))</f>
        <v>0</v>
      </c>
      <c r="CF5" s="874">
        <f t="array" ref="CF5">SUM(IF(ISTEXT(CF$23:CF$237),1,0)*IF(($L$23:$L$237)="L",1,0)*IF(ISBLANK($T$1),1,IF($I$23:$I$237=$T$1,1,0)))</f>
        <v>0</v>
      </c>
      <c r="CG5" s="874">
        <f t="array" ref="CG5">SUM(IF(ISTEXT(CG$23:CG$237),1,0)*IF(($L$23:$L$237)="L",1,0)*IF(ISBLANK($T$1),1,IF($I$23:$I$237=$T$1,1,0)))</f>
        <v>0</v>
      </c>
      <c r="CH5" s="874">
        <f t="array" ref="CH5">SUM(IF(ISTEXT(CH$23:CH$237),1,0)*IF(($L$23:$L$237)="L",1,0)*IF(ISBLANK($T$1),1,IF($I$23:$I$237=$T$1,1,0)))</f>
        <v>6</v>
      </c>
      <c r="CI5" s="874">
        <f t="array" ref="CI5">SUM(IF(ISTEXT(CI$23:CI$237),1,0)*IF(($L$23:$L$237)="L",1,0)*IF(ISBLANK($T$1),1,IF($I$23:$I$237=$T$1,1,0)))</f>
        <v>6</v>
      </c>
      <c r="CJ5" s="874">
        <f t="array" ref="CJ5">SUM(IF(ISTEXT(CJ$23:CJ$237),1,0)*IF(($L$23:$L$237)="L",1,0)*IF(ISBLANK($T$1),1,IF($I$23:$I$237=$T$1,1,0)))</f>
        <v>6</v>
      </c>
    </row>
    <row r="6" spans="1:88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49</v>
      </c>
      <c r="AG6" s="874">
        <f t="shared" ref="AG6:CJ6" si="2">AG$3*3+AG$4</f>
        <v>35</v>
      </c>
      <c r="AH6" s="874">
        <f t="shared" si="2"/>
        <v>49</v>
      </c>
      <c r="AI6" s="874">
        <f t="shared" si="2"/>
        <v>49</v>
      </c>
      <c r="AK6" s="874">
        <f t="shared" si="2"/>
        <v>46</v>
      </c>
      <c r="AM6" s="874">
        <f>AM$3*3+AM$4</f>
        <v>49</v>
      </c>
      <c r="AN6" s="874">
        <f t="shared" si="2"/>
        <v>49</v>
      </c>
      <c r="AP6" s="874">
        <f>AP$3*3+AP$4</f>
        <v>46</v>
      </c>
      <c r="AQ6" s="874">
        <f>AQ$3*3+AQ$4</f>
        <v>49</v>
      </c>
      <c r="AR6" s="874">
        <f t="shared" si="2"/>
        <v>49</v>
      </c>
      <c r="AT6" s="874">
        <f>AT$3*3+AT$4</f>
        <v>49</v>
      </c>
      <c r="AW6" s="874" t="e">
        <f t="shared" ref="AW6:BD6" si="3">AW$3*3+AW$4</f>
        <v>#N/A</v>
      </c>
      <c r="AX6" s="874">
        <f t="shared" si="3"/>
        <v>49</v>
      </c>
      <c r="AZ6" s="874">
        <f t="shared" si="3"/>
        <v>49</v>
      </c>
      <c r="BA6" s="874">
        <f t="shared" si="3"/>
        <v>46</v>
      </c>
      <c r="BC6" s="874">
        <f t="shared" si="3"/>
        <v>49</v>
      </c>
      <c r="BD6" s="874">
        <f t="shared" si="3"/>
        <v>46</v>
      </c>
      <c r="BL6" s="874">
        <f>BL$3*3+BL$4</f>
        <v>0</v>
      </c>
      <c r="BM6" s="874">
        <f>BM$3*3+BM$4</f>
        <v>0</v>
      </c>
      <c r="BN6" s="874">
        <f>BN$3*3+BN$4</f>
        <v>0</v>
      </c>
      <c r="BP6" s="874">
        <f>BP$3*3+BP$4</f>
        <v>0</v>
      </c>
      <c r="BQ6" s="874">
        <f>BQ$3*3+BQ$4</f>
        <v>0</v>
      </c>
      <c r="BR6" s="874" t="e">
        <f t="shared" si="2"/>
        <v>#N/A</v>
      </c>
      <c r="BW6" s="874">
        <f t="shared" ref="BW6:CC6" si="4">BW$3*3+BW$4</f>
        <v>0</v>
      </c>
      <c r="BX6" s="874">
        <f t="shared" si="4"/>
        <v>0</v>
      </c>
      <c r="BY6" s="874">
        <f t="shared" si="4"/>
        <v>0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2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18</v>
      </c>
      <c r="CI6" s="874">
        <f t="shared" si="2"/>
        <v>18</v>
      </c>
      <c r="CJ6" s="874">
        <f t="shared" si="2"/>
        <v>17</v>
      </c>
    </row>
    <row r="7" spans="1:88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J7" si="5">AF6/AF2</f>
        <v>1.1136363636363635</v>
      </c>
      <c r="AG7" s="874">
        <f t="shared" si="5"/>
        <v>1.0294117647058822</v>
      </c>
      <c r="AH7" s="874">
        <f t="shared" si="5"/>
        <v>1.1136363636363635</v>
      </c>
      <c r="AI7" s="874">
        <f t="shared" si="5"/>
        <v>1.1136363636363635</v>
      </c>
      <c r="AK7" s="874">
        <f t="shared" si="5"/>
        <v>1.069767441860465</v>
      </c>
      <c r="AM7" s="874">
        <f>AM6/AM2</f>
        <v>1.1136363636363635</v>
      </c>
      <c r="AN7" s="874">
        <f t="shared" si="5"/>
        <v>1.1136363636363635</v>
      </c>
      <c r="AP7" s="874">
        <f>AP6/AP2</f>
        <v>1.069767441860465</v>
      </c>
      <c r="AQ7" s="874">
        <f>AQ6/AQ2</f>
        <v>1.1136363636363635</v>
      </c>
      <c r="AR7" s="874">
        <f t="shared" ref="AR7" si="6">AR6/AR2</f>
        <v>1.1136363636363635</v>
      </c>
      <c r="AT7" s="874">
        <f>AT6/AT2</f>
        <v>1.1136363636363635</v>
      </c>
      <c r="AW7" s="874" t="e">
        <f t="shared" ref="AW7:BD7" si="7">AW6/AW2</f>
        <v>#N/A</v>
      </c>
      <c r="AX7" s="874">
        <f t="shared" si="7"/>
        <v>1.1136363636363635</v>
      </c>
      <c r="AZ7" s="874">
        <f t="shared" si="7"/>
        <v>1.1136363636363635</v>
      </c>
      <c r="BA7" s="874">
        <f t="shared" si="7"/>
        <v>1.069767441860465</v>
      </c>
      <c r="BC7" s="874">
        <f t="shared" si="7"/>
        <v>1.1136363636363635</v>
      </c>
      <c r="BD7" s="874">
        <f t="shared" si="7"/>
        <v>1.069767441860465</v>
      </c>
      <c r="BL7" s="874">
        <f>BL6/BL2</f>
        <v>0</v>
      </c>
      <c r="BM7" s="874">
        <f>BM6/BM2</f>
        <v>0</v>
      </c>
      <c r="BN7" s="874">
        <f>BN6/BN2</f>
        <v>0</v>
      </c>
      <c r="BP7" s="874" t="e">
        <f>BP6/BP2</f>
        <v>#DIV/0!</v>
      </c>
      <c r="BQ7" s="874" t="e">
        <f>BQ6/BQ2</f>
        <v>#DIV/0!</v>
      </c>
      <c r="BR7" s="874" t="e">
        <f t="shared" si="5"/>
        <v>#N/A</v>
      </c>
      <c r="BW7" s="874" t="e">
        <f t="shared" ref="BW7:CC7" si="8">BW6/BW2</f>
        <v>#DIV/0!</v>
      </c>
      <c r="BX7" s="874" t="e">
        <f t="shared" si="8"/>
        <v>#DIV/0!</v>
      </c>
      <c r="BY7" s="874" t="e">
        <f t="shared" si="8"/>
        <v>#DIV/0!</v>
      </c>
      <c r="BZ7" s="874" t="e">
        <f t="shared" si="8"/>
        <v>#DIV/0!</v>
      </c>
      <c r="CA7" s="874" t="e">
        <f t="shared" si="8"/>
        <v>#DIV/0!</v>
      </c>
      <c r="CB7" s="874" t="e">
        <f t="shared" si="8"/>
        <v>#DIV/0!</v>
      </c>
      <c r="CC7" s="874" t="e">
        <f t="shared" si="8"/>
        <v>#DIV/0!</v>
      </c>
      <c r="CD7" s="874" t="e">
        <f t="shared" si="5"/>
        <v>#DIV/0!</v>
      </c>
      <c r="CE7" s="874" t="e">
        <f t="shared" si="5"/>
        <v>#DIV/0!</v>
      </c>
      <c r="CF7" s="874" t="e">
        <f t="shared" si="5"/>
        <v>#DIV/0!</v>
      </c>
      <c r="CG7" s="874" t="e">
        <f t="shared" si="5"/>
        <v>#DIV/0!</v>
      </c>
      <c r="CH7" s="874">
        <f t="shared" si="5"/>
        <v>1.125</v>
      </c>
      <c r="CI7" s="874">
        <f t="shared" si="5"/>
        <v>1.125</v>
      </c>
      <c r="CJ7" s="874">
        <f t="shared" si="5"/>
        <v>1.1333333333333333</v>
      </c>
    </row>
    <row r="8" spans="1:88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SUM(IF(($T$23:$T$237)="",0,$T$23:$T$237)*IF(ISBLANK($T$1),1,IF($I$23:$I$237=$T$1,1,0)))</f>
        <v>15.200000000000003</v>
      </c>
      <c r="AG8" s="874">
        <f t="array" ref="AG8">SUM(IF(ISTEXT(AG$23:AG$237),1,0)*IF(($T$23:$T$237)="",0,$T$23:$T$237)*IF(ISBLANK($T$1),1,IF($I$23:$I$237=$T$1,1,0)))</f>
        <v>17.09</v>
      </c>
      <c r="AH8" s="874">
        <f t="array" ref="AH8">SUM(IF(ISTEXT(AH$23:AH$237),1,0)*IF(($T$23:$T$237)="",0,$T$23:$T$237)*IF(ISBLANK($T$1),1,IF($I$23:$I$237=$T$1,1,0)))</f>
        <v>15.200000000000003</v>
      </c>
      <c r="AI8" s="874">
        <f t="array" ref="AI8">SUM(IF(ISTEXT(AI$23:AI$237),1,0)*IF(($T$23:$T$237)="",0,$T$23:$T$237)*IF(ISBLANK($T$1),1,IF($I$23:$I$237=$T$1,1,0)))</f>
        <v>15.200000000000003</v>
      </c>
      <c r="AK8" s="874">
        <f t="array" ref="AK8">SUM(IF(ISTEXT(AK$23:AK$237),1,0)*IF(($T$23:$T$237)="",0,$T$23:$T$237)*IF(ISBLANK($T$1),1,IF($I$23:$I$237=$T$1,1,0)))</f>
        <v>16.43</v>
      </c>
      <c r="AM8" s="874">
        <f t="array" ref="AM8">SUM(IF(ISTEXT(AM$23:AM$237),1,0)*IF(($T$23:$T$237)="",0,$T$23:$T$237)*IF(ISBLANK($T$1),1,IF($I$23:$I$237=$T$1,1,0)))</f>
        <v>15.200000000000003</v>
      </c>
      <c r="AN8" s="874">
        <f t="array" ref="AN8">SUM(IF(ISTEXT(AN$23:AN$237),1,0)*IF(($T$23:$T$237)="",0,$T$23:$T$237)*IF(ISBLANK($T$1),1,IF($I$23:$I$237=$T$1,1,0)))</f>
        <v>15.200000000000003</v>
      </c>
      <c r="AP8" s="874">
        <f t="array" ref="AP8">SUM(IF(ISTEXT(AP$23:AP$237),1,0)*IF(($T$23:$T$237)="",0,$T$23:$T$237)*IF(ISBLANK($T$1),1,IF($I$23:$I$237=$T$1,1,0)))</f>
        <v>16.43</v>
      </c>
      <c r="AQ8" s="874">
        <f t="array" ref="AQ8">SUM(IF(ISTEXT(AQ$23:AQ$237),1,0)*IF(($T$23:$T$237)="",0,$T$23:$T$237)*IF(ISBLANK($T$1),1,IF($I$23:$I$237=$T$1,1,0)))</f>
        <v>15.200000000000003</v>
      </c>
      <c r="AR8" s="874">
        <f t="array" ref="AR8">SUM(IF(ISTEXT(AR$23:AR$237),1,0)*IF(($T$23:$T$237)="",0,$T$23:$T$237)*IF(ISBLANK($T$1),1,IF($I$23:$I$237=$T$1,1,0)))</f>
        <v>15.200000000000003</v>
      </c>
      <c r="AT8" s="874">
        <f t="array" ref="AT8">SUM(IF(ISTEXT(AT$23:AT$237),1,0)*IF(($T$23:$T$237)="",0,$T$23:$T$237)*IF(ISBLANK($T$1),1,IF($I$23:$I$237=$T$1,1,0)))</f>
        <v>15.200000000000003</v>
      </c>
      <c r="AW8" s="874" t="e">
        <f t="array" ref="AW8">SUM(IF(ISTEXT(AW$27:AW$237),1,0)*IF(($T$23:$T$237)="",0,$T$23:$T$237)*IF(ISBLANK($T$1),1,IF($I$23:$I$237=$T$1,1,0)))</f>
        <v>#N/A</v>
      </c>
      <c r="AX8" s="874">
        <f t="array" ref="AX8">SUM(IF(ISTEXT(AX$23:AX$237),1,0)*IF(($T$23:$T$237)="",0,$T$23:$T$237)*IF(ISBLANK($T$1),1,IF($I$23:$I$237=$T$1,1,0)))</f>
        <v>15.200000000000003</v>
      </c>
      <c r="AZ8" s="874">
        <f t="array" ref="AZ8">SUM(IF(ISTEXT(AZ$23:AZ$237),1,0)*IF(($T$23:$T$237)="",0,$T$23:$T$237)*IF(ISBLANK($T$1),1,IF($I$23:$I$237=$T$1,1,0)))</f>
        <v>15.200000000000003</v>
      </c>
      <c r="BA8" s="874">
        <f t="array" ref="BA8">SUM(IF(ISTEXT(BA$23:BA$237),1,0)*IF(($T$23:$T$237)="",0,$T$23:$T$237)*IF(ISBLANK($T$1),1,IF($I$23:$I$237=$T$1,1,0)))</f>
        <v>16.43</v>
      </c>
      <c r="BC8" s="874">
        <f t="array" ref="BC8">SUM(IF(ISTEXT(BC$23:BC$237),1,0)*IF(($T$23:$T$237)="",0,$T$23:$T$237)*IF(ISBLANK($T$1),1,IF($I$23:$I$237=$T$1,1,0)))</f>
        <v>15.200000000000003</v>
      </c>
      <c r="BD8" s="874">
        <f t="array" ref="BD8">SUM(IF(ISTEXT(BD$23:BD$237),1,0)*IF(($T$23:$T$237)="",0,$T$23:$T$237)*IF(ISBLANK($T$1),1,IF($I$23:$I$237=$T$1,1,0)))</f>
        <v>16.43</v>
      </c>
      <c r="BL8" s="874">
        <f t="array" ref="BL8">SUM(IF(ISTEXT(BL$23:BL$237),1,0)*IF(($T$23:$T$237)="",0,$T$23:$T$237)*IF(ISBLANK($T$1),1,IF($I$23:$I$237=$T$1,1,0)))</f>
        <v>-1.6400000000000001</v>
      </c>
      <c r="BM8" s="874">
        <f t="array" ref="BM8">SUM(IF(ISTEXT(BM$23:BM$237),1,0)*IF(($T$23:$T$237)="",0,$T$23:$T$237)*IF(ISBLANK($T$1),1,IF($I$23:$I$237=$T$1,1,0)))</f>
        <v>-1.6400000000000001</v>
      </c>
      <c r="BN8" s="874">
        <f t="array" ref="BN8">SUM(IF(ISTEXT(BN$23:BN$237),1,0)*IF(($T$23:$T$237)="",0,$T$23:$T$237)*IF(ISBLANK($T$1),1,IF($I$23:$I$237=$T$1,1,0)))</f>
        <v>-1.6400000000000001</v>
      </c>
      <c r="BP8" s="874">
        <f t="array" ref="BP8">SUM(IF(ISTEXT(BP$23:BP$237),1,0)*IF(($T$23:$T$237)="",0,$T$23:$T$237)*IF(ISBLANK($T$1),1,IF($I$23:$I$237=$T$1,1,0)))</f>
        <v>0</v>
      </c>
      <c r="BQ8" s="874">
        <f t="array" ref="BQ8">SUM(IF(ISTEXT(BQ$23:BQ$237),1,0)*IF(($T$23:$T$237)="",0,$T$23:$T$237)*IF(ISBLANK($T$1),1,IF($I$23:$I$237=$T$1,1,0)))</f>
        <v>0</v>
      </c>
      <c r="BR8" s="874" t="e">
        <f t="array" ref="BR8">SUM(IF(ISTEXT(BR$41:BR$237),1,0)*IF(($T$23:$T$237)="",0,$T$23:$T$237)*IF(ISBLANK($T$1),1,IF($I$23:$I$237=$T$1,1,0)))</f>
        <v>#N/A</v>
      </c>
      <c r="BW8" s="874">
        <f t="array" ref="BW8">SUM(IF(ISTEXT(BW$23:BW$237),1,0)*IF(($T$23:$T$237)="",0,$T$23:$T$237)*IF(ISBLANK($T$1),1,IF($I$23:$I$237=$T$1,1,0)))</f>
        <v>0</v>
      </c>
      <c r="BX8" s="874">
        <f t="array" ref="BX8">SUM(IF(ISTEXT(BX$23:BX$237),1,0)*IF(($T$23:$T$237)="",0,$T$23:$T$237)*IF(ISBLANK($T$1),1,IF($I$23:$I$237=$T$1,1,0)))</f>
        <v>0</v>
      </c>
      <c r="BY8" s="874">
        <f t="array" ref="BY8">SUM(IF(ISTEXT(BY$23:BY$237),1,0)*IF(($T$23:$T$237)="",0,$T$23:$T$237)*IF(ISBLANK($T$1),1,IF($I$23:$I$237=$T$1,1,0)))</f>
        <v>0</v>
      </c>
      <c r="BZ8" s="874">
        <f t="array" ref="BZ8">SUM(IF(ISTEXT(BZ$23:BZ$237),1,0)*IF(($T$23:$T$237)="",0,$T$23:$T$237)*IF(ISBLANK($T$1),1,IF($I$23:$I$237=$T$1,1,0)))</f>
        <v>0</v>
      </c>
      <c r="CA8" s="874">
        <f t="array" ref="CA8">SUM(IF(ISTEXT(CA$23:CA$237),1,0)*IF(($T$23:$T$237)="",0,$T$23:$T$237)*IF(ISBLANK($T$1),1,IF($I$23:$I$237=$T$1,1,0)))</f>
        <v>0</v>
      </c>
      <c r="CB8" s="874">
        <f t="array" ref="CB8">SUM(IF(ISTEXT(CB$23:CB$237),1,0)*IF(($T$23:$T$237)="",0,$T$23:$T$237)*IF(ISBLANK($T$1),1,IF($I$23:$I$237=$T$1,1,0)))</f>
        <v>0</v>
      </c>
      <c r="CC8" s="874">
        <f t="array" ref="CC8">SUM(IF(ISTEXT(CC$23:CC$237),1,0)*IF(($T$23:$T$237)="",0,$T$23:$T$237)*IF(ISBLANK($T$1),1,IF($I$23:$I$237=$T$1,1,0)))</f>
        <v>0</v>
      </c>
      <c r="CD8" s="874">
        <f t="array" ref="CD8">SUM(IF(ISTEXT(CD$23:CD$237),1,0)*IF(($T$23:$T$237)="",0,$T$23:$T$237)*IF(ISBLANK($T$1),1,IF($I$23:$I$237=$T$1,1,0)))</f>
        <v>0</v>
      </c>
      <c r="CE8" s="874">
        <f t="array" ref="CE8">SUM(IF(ISTEXT(CE$23:CE$237),1,0)*IF(($T$23:$T$237)="",0,$T$23:$T$237)*IF(ISBLANK($T$1),1,IF($I$23:$I$237=$T$1,1,0)))</f>
        <v>0</v>
      </c>
      <c r="CF8" s="874">
        <f t="array" ref="CF8">SUM(IF(ISTEXT(CF$23:CF$237),1,0)*IF(($T$23:$T$237)="",0,$T$23:$T$237)*IF(ISBLANK($T$1),1,IF($I$23:$I$237=$T$1,1,0)))</f>
        <v>0</v>
      </c>
      <c r="CG8" s="874">
        <f t="array" ref="CG8">SUM(IF(ISTEXT(CG$23:CG$237),1,0)*IF(($T$23:$T$237)="",0,$T$23:$T$237)*IF(ISBLANK($T$1),1,IF($I$23:$I$237=$T$1,1,0)))</f>
        <v>0</v>
      </c>
      <c r="CH8" s="874">
        <f t="array" ref="CH8">SUM(IF(ISTEXT(CH$23:CH$237),1,0)*IF(($T$23:$T$237)="",0,$T$23:$T$237)*IF(ISBLANK($T$1),1,IF($I$23:$I$237=$T$1,1,0)))</f>
        <v>8.6999999999999993</v>
      </c>
      <c r="CI8" s="874">
        <f t="array" ref="CI8">SUM(IF(ISTEXT(CI$23:CI$237),1,0)*IF(($T$23:$T$237)="",0,$T$23:$T$237)*IF(ISBLANK($T$1),1,IF($I$23:$I$237=$T$1,1,0)))</f>
        <v>8.6999999999999993</v>
      </c>
      <c r="CJ8" s="874">
        <f t="array" ref="CJ8">SUM(IF(ISTEXT(CJ$23:CJ$237),1,0)*IF(($T$23:$T$237)="",0,$T$23:$T$237)*IF(ISBLANK($T$1),1,IF($I$23:$I$237=$T$1,1,0)))</f>
        <v>9.1900000000000013</v>
      </c>
    </row>
    <row r="9" spans="1:88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J9" si="9">AF8/AF2</f>
        <v>0.34545454545454551</v>
      </c>
      <c r="AG9" s="874">
        <f t="shared" si="9"/>
        <v>0.50264705882352945</v>
      </c>
      <c r="AH9" s="874">
        <f t="shared" si="9"/>
        <v>0.34545454545454551</v>
      </c>
      <c r="AI9" s="874">
        <f t="shared" si="9"/>
        <v>0.34545454545454551</v>
      </c>
      <c r="AK9" s="874">
        <f t="shared" si="9"/>
        <v>0.38209302325581396</v>
      </c>
      <c r="AM9" s="874">
        <f>AM8/AM2</f>
        <v>0.34545454545454551</v>
      </c>
      <c r="AN9" s="874">
        <f t="shared" si="9"/>
        <v>0.34545454545454551</v>
      </c>
      <c r="AP9" s="874">
        <f>AP8/AP2</f>
        <v>0.38209302325581396</v>
      </c>
      <c r="AQ9" s="874">
        <f>AQ8/AQ2</f>
        <v>0.34545454545454551</v>
      </c>
      <c r="AR9" s="874">
        <f t="shared" ref="AR9" si="10">AR8/AR2</f>
        <v>0.34545454545454551</v>
      </c>
      <c r="AT9" s="874">
        <f>AT8/AT2</f>
        <v>0.34545454545454551</v>
      </c>
      <c r="AW9" s="874" t="e">
        <f t="shared" ref="AW9:BD9" si="11">AW8/AW2</f>
        <v>#N/A</v>
      </c>
      <c r="AX9" s="874">
        <f t="shared" si="11"/>
        <v>0.34545454545454551</v>
      </c>
      <c r="AZ9" s="874">
        <f t="shared" si="11"/>
        <v>0.34545454545454551</v>
      </c>
      <c r="BA9" s="874">
        <f t="shared" si="11"/>
        <v>0.38209302325581396</v>
      </c>
      <c r="BC9" s="874">
        <f t="shared" si="11"/>
        <v>0.34545454545454551</v>
      </c>
      <c r="BD9" s="874">
        <f t="shared" si="11"/>
        <v>0.38209302325581396</v>
      </c>
      <c r="BL9" s="874">
        <f>BL8/BL2</f>
        <v>-1.6400000000000001</v>
      </c>
      <c r="BM9" s="874">
        <f>BM8/BM2</f>
        <v>-1.6400000000000001</v>
      </c>
      <c r="BN9" s="874">
        <f>BN8/BN2</f>
        <v>-1.6400000000000001</v>
      </c>
      <c r="BP9" s="874" t="e">
        <f>BP8/BP2</f>
        <v>#DIV/0!</v>
      </c>
      <c r="BQ9" s="874" t="e">
        <f>BQ8/BQ2</f>
        <v>#DIV/0!</v>
      </c>
      <c r="BR9" s="874" t="e">
        <f t="shared" si="9"/>
        <v>#N/A</v>
      </c>
      <c r="BW9" s="874" t="e">
        <f t="shared" ref="BW9:CC9" si="12">BW8/BW2</f>
        <v>#DIV/0!</v>
      </c>
      <c r="BX9" s="874" t="e">
        <f t="shared" si="12"/>
        <v>#DIV/0!</v>
      </c>
      <c r="BY9" s="874" t="e">
        <f t="shared" si="12"/>
        <v>#DIV/0!</v>
      </c>
      <c r="BZ9" s="874" t="e">
        <f t="shared" si="12"/>
        <v>#DIV/0!</v>
      </c>
      <c r="CA9" s="874" t="e">
        <f t="shared" si="12"/>
        <v>#DIV/0!</v>
      </c>
      <c r="CB9" s="874" t="e">
        <f t="shared" si="12"/>
        <v>#DIV/0!</v>
      </c>
      <c r="CC9" s="874" t="e">
        <f t="shared" si="12"/>
        <v>#DIV/0!</v>
      </c>
      <c r="CD9" s="874" t="e">
        <f t="shared" si="9"/>
        <v>#DIV/0!</v>
      </c>
      <c r="CE9" s="874" t="e">
        <f t="shared" si="9"/>
        <v>#DIV/0!</v>
      </c>
      <c r="CF9" s="874" t="e">
        <f t="shared" si="9"/>
        <v>#DIV/0!</v>
      </c>
      <c r="CG9" s="874" t="e">
        <f t="shared" si="9"/>
        <v>#DIV/0!</v>
      </c>
      <c r="CH9" s="874">
        <f t="shared" si="9"/>
        <v>0.54374999999999996</v>
      </c>
      <c r="CI9" s="874">
        <f t="shared" si="9"/>
        <v>0.54374999999999996</v>
      </c>
      <c r="CJ9" s="874">
        <f t="shared" si="9"/>
        <v>0.6126666666666668</v>
      </c>
    </row>
    <row r="10" spans="1:88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SUM(IF(ISBLANK($T$1),$J$23:$J$237,IF($I$23:$I$237=$T$1,$J$23:$J$237,0)))</f>
        <v>60</v>
      </c>
      <c r="AG10" s="874">
        <f t="array" ref="AG10">SUM(IF(ISBLANK(AG$23:AG$237),0,IF(ISNUMBER(VALUE(RIGHT(AG$23:AG$237,1))),RIGHT(AG$23:AG$237,1),0)*IF(ISBLANK($T$1),1,IF($I$23:$I$237=$T$1,1,0))))</f>
        <v>0</v>
      </c>
      <c r="AH10" s="874">
        <f t="array" ref="AH10">SUM(IF(ISBLANK(AH$23:AH$237),0,IF(ISNUMBER(VALUE(RIGHT(AH$23:AH$237,1))),RIGHT(AH$23:AH$237,1),0)*IF(ISBLANK($T$1),1,IF($I$23:$I$237=$T$1,1,0))))</f>
        <v>0</v>
      </c>
      <c r="AI10" s="874">
        <f t="array" ref="AI10">SUM(IF(ISBLANK(AI$23:AI$237),0,IF(ISNUMBER(VALUE(RIGHT(AI$23:AI$237,1))),RIGHT(AI$23:AI$237,1),0)*IF(ISBLANK($T$1),1,IF($I$23:$I$237=$T$1,1,0))))</f>
        <v>0</v>
      </c>
      <c r="AK10" s="874">
        <f t="array" ref="AK10">SUM(IF(ISBLANK(AK$23:AK$237),0,IF(ISNUMBER(VALUE(RIGHT(AK$23:AK$237,1))),RIGHT(AK$23:AK$237,1),0)*IF(ISBLANK($T$1),1,IF($I$23:$I$237=$T$1,1,0))))</f>
        <v>0</v>
      </c>
      <c r="AM10" s="874">
        <f t="array" ref="AM10">SUM(IF(ISBLANK(AM$23:AM$237),0,IF(ISNUMBER(VALUE(RIGHT(AM$23:AM$237,1))),RIGHT(AM$23:AM$237,1),0)*IF(ISBLANK($T$1),1,IF($I$23:$I$237=$T$1,1,0))))</f>
        <v>2</v>
      </c>
      <c r="AN10" s="874">
        <f t="array" ref="AN10">SUM(IF(ISBLANK(AN$23:AN$237),0,IF(ISNUMBER(VALUE(RIGHT(AN$23:AN$237,1))),RIGHT(AN$23:AN$237,1),0)*IF(ISBLANK($T$1),1,IF($I$23:$I$237=$T$1,1,0))))</f>
        <v>5</v>
      </c>
      <c r="AP10" s="874">
        <f t="array" ref="AP10">SUM(IF(ISBLANK(AP$23:AP$237),0,IF(ISNUMBER(VALUE(RIGHT(AP$23:AP$237,1))),RIGHT(AP$23:AP$237,1),0)*IF(ISBLANK($T$1),1,IF($I$23:$I$237=$T$1,1,0))))</f>
        <v>0</v>
      </c>
      <c r="AQ10" s="874">
        <f t="array" ref="AQ10">SUM(IF(ISBLANK(AQ$23:AQ$237),0,IF(ISNUMBER(VALUE(RIGHT(AQ$23:AQ$237,1))),RIGHT(AQ$23:AQ$237,1),0)*IF(ISBLANK($T$1),1,IF($I$23:$I$237=$T$1,1,0))))</f>
        <v>2</v>
      </c>
      <c r="AR10" s="874">
        <f t="array" ref="AR10">SUM(IF(ISBLANK(AR$23:AR$237),0,IF(ISNUMBER(VALUE(RIGHT(AR$23:AR$237,1))),RIGHT(AR$23:AR$237,1),0)*IF(ISBLANK($T$1),1,IF($I$23:$I$237=$T$1,1,0))))</f>
        <v>2</v>
      </c>
      <c r="AT10" s="874">
        <f t="array" ref="AT10">SUM(IF(ISBLANK(AT$23:AT$237),0,IF(ISNUMBER(VALUE(RIGHT(AT$23:AT$237,1))),RIGHT(AT$23:AT$237,1),0)*IF(ISBLANK($T$1),1,IF($I$23:$I$237=$T$1,1,0))))</f>
        <v>5</v>
      </c>
      <c r="AW10" s="874">
        <f t="array" ref="AW10">SUM(IF(ISBLANK(AW$27:AW$237),0,IF(ISNUMBER(VALUE(RIGHT(AW$27:AW$237,1))),RIGHT(AW$27:AW$237,1),0)*IF(ISBLANK($T$1),1,IF($I$23:$I$237=$T$1,1,0))))</f>
        <v>1</v>
      </c>
      <c r="AX10" s="874">
        <f t="array" ref="AX10">SUM(IF(ISBLANK(AX$23:AX$237),0,IF(ISNUMBER(VALUE(RIGHT(AX$23:AX$237,1))),RIGHT(AX$23:AX$237,1),0)*IF(ISBLANK($T$1),1,IF($I$23:$I$237=$T$1,1,0))))</f>
        <v>1</v>
      </c>
      <c r="AZ10" s="874">
        <f t="array" ref="AZ10">SUM(IF(ISBLANK(AZ$23:AZ$237),0,IF(ISNUMBER(VALUE(RIGHT(AZ$23:AZ$237,1))),RIGHT(AZ$23:AZ$237,1),0)*IF(ISBLANK($T$1),1,IF($I$23:$I$237=$T$1,1,0))))</f>
        <v>5</v>
      </c>
      <c r="BA10" s="874">
        <f t="array" ref="BA10">SUM(IF(ISBLANK(BA$23:BA$237),0,IF(ISNUMBER(VALUE(RIGHT(BA$23:BA$237,1))),RIGHT(BA$23:BA$237,1),0)*IF(ISBLANK($T$1),1,IF($I$23:$I$237=$T$1,1,0))))</f>
        <v>3</v>
      </c>
      <c r="BC10" s="874">
        <f t="array" ref="BC10">SUM(IF(ISBLANK(BC$23:BC$237),0,IF(ISNUMBER(VALUE(RIGHT(BC$23:BC$237,1))),RIGHT(BC$23:BC$237,1),0)*IF(ISBLANK($T$1),1,IF($I$23:$I$237=$T$1,1,0))))</f>
        <v>6</v>
      </c>
      <c r="BD10" s="874">
        <f t="array" ref="BD10">SUM(IF(ISBLANK(BD$23:BD$237),0,IF(ISNUMBER(VALUE(RIGHT(BD$23:BD$237,1))),RIGHT(BD$23:BD$237,1),0)*IF(ISBLANK($T$1),1,IF($I$23:$I$237=$T$1,1,0))))</f>
        <v>0</v>
      </c>
      <c r="BL10" s="874">
        <f t="array" ref="BL10">SUM(IF(ISBLANK(BL$23:BL$237),0,IF(ISNUMBER(VALUE(RIGHT(BL$23:BL$237,1))),RIGHT(BL$23:BL$237,1),0)*IF(ISBLANK($T$1),1,IF($I$23:$I$237=$T$1,1,0))))</f>
        <v>0</v>
      </c>
      <c r="BM10" s="874">
        <f t="array" ref="BM10">SUM(IF(ISBLANK(BM$23:BM$237),0,IF(ISNUMBER(VALUE(RIGHT(BM$23:BM$237,1))),RIGHT(BM$23:BM$237,1),0)*IF(ISBLANK($T$1),1,IF($I$23:$I$237=$T$1,1,0))))</f>
        <v>0</v>
      </c>
      <c r="BN10" s="874">
        <f t="array" ref="BN10">SUM(IF(ISBLANK(BN$23:BN$237),0,IF(ISNUMBER(VALUE(RIGHT(BN$23:BN$237,1))),RIGHT(BN$23:BN$237,1),0)*IF(ISBLANK($T$1),1,IF($I$23:$I$237=$T$1,1,0))))</f>
        <v>0</v>
      </c>
      <c r="BP10" s="874">
        <f t="array" ref="BP10">SUM(IF(ISBLANK(BP$23:BP$237),0,IF(ISNUMBER(VALUE(RIGHT(BP$23:BP$237,1))),RIGHT(BP$23:BP$237,1),0)*IF(ISBLANK($T$1),1,IF($I$23:$I$237=$T$1,1,0))))</f>
        <v>0</v>
      </c>
      <c r="BQ10" s="874">
        <f t="array" ref="BQ10">SUM(IF(ISBLANK(BQ$23:BQ$237),0,IF(ISNUMBER(VALUE(RIGHT(BQ$23:BQ$237,1))),RIGHT(BQ$23:BQ$237,1),0)*IF(ISBLANK($T$1),1,IF($I$23:$I$237=$T$1,1,0))))</f>
        <v>0</v>
      </c>
      <c r="BR10" s="874">
        <f t="array" ref="BR10">SUM(IF(ISBLANK(BR$41:BR$237),0,IF(ISNUMBER(VALUE(RIGHT(BR$41:BR$237,1))),RIGHT(BR$41:BR$237,1),0)*IF(ISBLANK($T$1),1,IF($I$23:$I$237=$T$1,1,0))))</f>
        <v>0</v>
      </c>
      <c r="BW10" s="874">
        <f t="array" ref="BW10">SUM(IF(ISBLANK(BW$23:BW$237),0,IF(ISNUMBER(VALUE(RIGHT(BW$23:BW$237,1))),RIGHT(BW$23:BW$237,1),0)*IF(ISBLANK($T$1),1,IF($I$23:$I$237=$T$1,1,0))))</f>
        <v>0</v>
      </c>
      <c r="BX10" s="874">
        <f t="array" ref="BX10">SUM(IF(ISBLANK(BX$23:BX$237),0,IF(ISNUMBER(VALUE(RIGHT(BX$23:BX$237,1))),RIGHT(BX$23:BX$237,1),0)*IF(ISBLANK($T$1),1,IF($I$23:$I$237=$T$1,1,0))))</f>
        <v>0</v>
      </c>
      <c r="BY10" s="874">
        <f t="array" ref="BY10">SUM(IF(ISBLANK(BY$23:BY$237),0,IF(ISNUMBER(VALUE(RIGHT(BY$23:BY$237,1))),RIGHT(BY$23:BY$237,1),0)*IF(ISBLANK($T$1),1,IF($I$23:$I$237=$T$1,1,0))))</f>
        <v>0</v>
      </c>
      <c r="BZ10" s="874">
        <f t="array" ref="BZ10">SUM(IF(ISBLANK(BZ$23:BZ$237),0,IF(ISNUMBER(VALUE(RIGHT(BZ$23:BZ$237,1))),RIGHT(BZ$23:BZ$237,1),0)*IF(ISBLANK($T$1),1,IF($I$23:$I$237=$T$1,1,0))))</f>
        <v>0</v>
      </c>
      <c r="CA10" s="874">
        <f t="array" ref="CA10">SUM(IF(ISBLANK(CA$23:CA$237),0,IF(ISNUMBER(VALUE(RIGHT(CA$23:CA$237,1))),RIGHT(CA$23:CA$237,1),0)*IF(ISBLANK($T$1),1,IF($I$23:$I$237=$T$1,1,0))))</f>
        <v>0</v>
      </c>
      <c r="CB10" s="874">
        <f t="array" ref="CB10">SUM(IF(ISBLANK(CB$23:CB$237),0,IF(ISNUMBER(VALUE(RIGHT(CB$23:CB$237,1))),RIGHT(CB$23:CB$237,1),0)*IF(ISBLANK($T$1),1,IF($I$23:$I$237=$T$1,1,0))))</f>
        <v>0</v>
      </c>
      <c r="CC10" s="874">
        <f t="array" ref="CC10">SUM(IF(ISBLANK(CC$23:CC$237),0,IF(ISNUMBER(VALUE(RIGHT(CC$23:CC$237,1))),RIGHT(CC$23:CC$237,1),0)*IF(ISBLANK($T$1),1,IF($I$23:$I$237=$T$1,1,0))))</f>
        <v>0</v>
      </c>
      <c r="CD10" s="874">
        <f t="array" ref="CD10">SUM(IF(ISBLANK(CD$23:CD$237),0,IF(ISNUMBER(VALUE(RIGHT(CD$23:CD$237,1))),RIGHT(CD$23:CD$237,1),0)*IF(ISBLANK($T$1),1,IF($I$23:$I$237=$T$1,1,0))))</f>
        <v>0</v>
      </c>
      <c r="CE10" s="874">
        <f t="array" ref="CE10">SUM(IF(ISBLANK(CE$23:CE$237),0,IF(ISNUMBER(VALUE(RIGHT(CE$23:CE$237,1))),RIGHT(CE$23:CE$237,1),0)*IF(ISBLANK($T$1),1,IF($I$23:$I$237=$T$1,1,0))))</f>
        <v>0</v>
      </c>
      <c r="CF10" s="874">
        <f t="array" ref="CF10">SUM(IF(ISBLANK(CF$23:CF$237),0,IF(ISNUMBER(VALUE(RIGHT(CF$23:CF$237,1))),RIGHT(CF$23:CF$237,1),0)*IF(ISBLANK($T$1),1,IF($I$23:$I$237=$T$1,1,0))))</f>
        <v>0</v>
      </c>
      <c r="CG10" s="874">
        <f t="array" ref="CG10">SUM(IF(ISBLANK(CG$23:CG$237),0,IF(ISNUMBER(VALUE(RIGHT(CG$23:CG$237,1))),RIGHT(CG$23:CG$237,1),0)*IF(ISBLANK($T$1),1,IF($I$23:$I$237=$T$1,1,0))))</f>
        <v>0</v>
      </c>
      <c r="CH10" s="874">
        <f t="array" ref="CH10">SUM(IF(ISBLANK(CH$23:CH$237),0,IF(ISNUMBER(VALUE(RIGHT(CH$23:CH$237,1))),RIGHT(CH$23:CH$237,1),0)*IF(ISBLANK($T$1),1,IF($I$23:$I$237=$T$1,1,0))))</f>
        <v>0</v>
      </c>
      <c r="CI10" s="874">
        <f t="array" ref="CI10">SUM(IF(ISBLANK(CI$23:CI$237),0,IF(ISNUMBER(VALUE(RIGHT(CI$23:CI$237,1))),RIGHT(CI$23:CI$237,1),0)*IF(ISBLANK($T$1),1,IF($I$23:$I$237=$T$1,1,0))))</f>
        <v>0</v>
      </c>
      <c r="CJ10" s="874">
        <f t="array" ref="CJ10">SUM(IF(ISBLANK(CJ$23:CJ$237),0,IF(ISNUMBER(VALUE(RIGHT(CJ$23:CJ$237,1))),RIGHT(CJ$23:CJ$237,1),0)*IF(ISBLANK($T$1),1,IF($I$23:$I$237=$T$1,1,0))))</f>
        <v>0</v>
      </c>
    </row>
    <row r="11" spans="1:88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J11" si="13">AF10/AF2</f>
        <v>1.3636363636363635</v>
      </c>
      <c r="AG11" s="874">
        <f t="shared" si="13"/>
        <v>0</v>
      </c>
      <c r="AH11" s="874">
        <f t="shared" si="13"/>
        <v>0</v>
      </c>
      <c r="AI11" s="874">
        <f t="shared" si="13"/>
        <v>0</v>
      </c>
      <c r="AK11" s="874">
        <f t="shared" si="13"/>
        <v>0</v>
      </c>
      <c r="AM11" s="874">
        <f>AM10/AM2</f>
        <v>4.5454545454545456E-2</v>
      </c>
      <c r="AN11" s="874">
        <f t="shared" si="13"/>
        <v>0.11363636363636363</v>
      </c>
      <c r="AP11" s="874">
        <f>AP10/AP2</f>
        <v>0</v>
      </c>
      <c r="AQ11" s="874">
        <f>AQ10/AQ2</f>
        <v>4.5454545454545456E-2</v>
      </c>
      <c r="AR11" s="874">
        <f t="shared" ref="AR11" si="14">AR10/AR2</f>
        <v>4.5454545454545456E-2</v>
      </c>
      <c r="AT11" s="874">
        <f>AT10/AT2</f>
        <v>0.11363636363636363</v>
      </c>
      <c r="AW11" s="874">
        <f t="shared" ref="AW11:BD11" si="15">AW10/AW2</f>
        <v>2.5000000000000001E-2</v>
      </c>
      <c r="AX11" s="874">
        <f t="shared" si="15"/>
        <v>2.2727272727272728E-2</v>
      </c>
      <c r="AZ11" s="874">
        <f t="shared" si="15"/>
        <v>0.11363636363636363</v>
      </c>
      <c r="BA11" s="874">
        <f t="shared" si="15"/>
        <v>6.9767441860465115E-2</v>
      </c>
      <c r="BC11" s="874">
        <f t="shared" si="15"/>
        <v>0.13636363636363635</v>
      </c>
      <c r="BD11" s="874">
        <f t="shared" si="15"/>
        <v>0</v>
      </c>
      <c r="BL11" s="874">
        <f>BL10/BL2</f>
        <v>0</v>
      </c>
      <c r="BM11" s="874">
        <f>BM10/BM2</f>
        <v>0</v>
      </c>
      <c r="BN11" s="874">
        <f>BN10/BN2</f>
        <v>0</v>
      </c>
      <c r="BP11" s="874" t="e">
        <f>BP10/BP2</f>
        <v>#DIV/0!</v>
      </c>
      <c r="BQ11" s="874" t="e">
        <f>BQ10/BQ2</f>
        <v>#DIV/0!</v>
      </c>
      <c r="BR11" s="874" t="e">
        <f t="shared" si="13"/>
        <v>#DIV/0!</v>
      </c>
      <c r="BW11" s="874" t="e">
        <f t="shared" ref="BW11:CC11" si="16">BW10/BW2</f>
        <v>#DIV/0!</v>
      </c>
      <c r="BX11" s="874" t="e">
        <f t="shared" si="16"/>
        <v>#DIV/0!</v>
      </c>
      <c r="BY11" s="874" t="e">
        <f t="shared" si="16"/>
        <v>#DIV/0!</v>
      </c>
      <c r="BZ11" s="874" t="e">
        <f t="shared" si="16"/>
        <v>#DIV/0!</v>
      </c>
      <c r="CA11" s="874" t="e">
        <f t="shared" si="16"/>
        <v>#DIV/0!</v>
      </c>
      <c r="CB11" s="874" t="e">
        <f t="shared" si="16"/>
        <v>#DIV/0!</v>
      </c>
      <c r="CC11" s="874" t="e">
        <f t="shared" si="16"/>
        <v>#DIV/0!</v>
      </c>
      <c r="CD11" s="874" t="e">
        <f t="shared" si="13"/>
        <v>#DIV/0!</v>
      </c>
      <c r="CE11" s="874" t="e">
        <f t="shared" si="13"/>
        <v>#DIV/0!</v>
      </c>
      <c r="CF11" s="874" t="e">
        <f t="shared" si="13"/>
        <v>#DIV/0!</v>
      </c>
      <c r="CG11" s="874" t="e">
        <f t="shared" si="13"/>
        <v>#DIV/0!</v>
      </c>
      <c r="CH11" s="874">
        <f t="shared" si="13"/>
        <v>0</v>
      </c>
      <c r="CI11" s="874">
        <f t="shared" si="13"/>
        <v>0</v>
      </c>
      <c r="CJ11" s="874">
        <f t="shared" si="13"/>
        <v>0</v>
      </c>
    </row>
    <row r="12" spans="1:88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SUM(IF(ISBLANK($T$1),$K$23:$K$237,IF($I$23:$I$237=$T$1,$K$23:$K$237,0)))</f>
        <v>70</v>
      </c>
      <c r="AG12" s="874">
        <f t="array" ref="AG12">SUM(IF(ISBLANK(AG$23:AG$237),0,$K23:$K237)*IF(ISBLANK($T$1),1,IF($I$23:$I$237=$T$1,1,0)))</f>
        <v>57</v>
      </c>
      <c r="AH12" s="874">
        <f t="array" ref="AH12">SUM(IF(ISBLANK(AH$23:AH$237),0,$K23:$K237)*IF(ISBLANK($T$1),1,IF($I$23:$I$237=$T$1,1,0)))</f>
        <v>70</v>
      </c>
      <c r="AI12" s="874">
        <f t="array" ref="AI12">SUM(IF(ISBLANK(AI$23:AI$237),0,$K23:$K237)*IF(ISBLANK($T$1),1,IF($I$23:$I$237=$T$1,1,0)))</f>
        <v>70</v>
      </c>
      <c r="AK12" s="874">
        <f t="array" ref="AK12">SUM(IF(ISBLANK(AK$23:AK$237),0,$K23:$K237)*IF(ISBLANK($T$1),1,IF($I$23:$I$237=$T$1,1,0)))</f>
        <v>70</v>
      </c>
      <c r="AM12" s="874">
        <f t="array" ref="AM12">SUM(IF(ISBLANK(AM$23:AM$237),0,$K23:$K237)*IF(ISBLANK($T$1),1,IF($I$23:$I$237=$T$1,1,0)))</f>
        <v>70</v>
      </c>
      <c r="AN12" s="874">
        <f t="array" ref="AN12">SUM(IF(ISBLANK(AN$23:AN$237),0,$K23:$K237)*IF(ISBLANK($T$1),1,IF($I$23:$I$237=$T$1,1,0)))</f>
        <v>70</v>
      </c>
      <c r="AP12" s="874">
        <f t="array" ref="AP12">SUM(IF(ISBLANK(AP$23:AP$237),0,$K23:$K237)*IF(ISBLANK($T$1),1,IF($I$23:$I$237=$T$1,1,0)))</f>
        <v>70</v>
      </c>
      <c r="AQ12" s="874">
        <f t="array" ref="AQ12">SUM(IF(ISBLANK(AQ$23:AQ$237),0,$K23:$K237)*IF(ISBLANK($T$1),1,IF($I$23:$I$237=$T$1,1,0)))</f>
        <v>70</v>
      </c>
      <c r="AR12" s="874">
        <f t="array" ref="AR12">SUM(IF(ISBLANK(AR$23:AR$237),0,$K23:$K237)*IF(ISBLANK($T$1),1,IF($I$23:$I$237=$T$1,1,0)))</f>
        <v>70</v>
      </c>
      <c r="AT12" s="874">
        <f t="array" ref="AT12">SUM(IF(ISBLANK(AT$23:AT$237),0,$K23:$K237)*IF(ISBLANK($T$1),1,IF($I$23:$I$237=$T$1,1,0)))</f>
        <v>70</v>
      </c>
      <c r="AW12" s="874" t="e">
        <f t="array" ref="AW12">SUM(IF(ISBLANK(AW$27:AW$237),0,$K23:$K237)*IF(ISBLANK($T$1),1,IF($I$23:$I$237=$T$1,1,0)))</f>
        <v>#N/A</v>
      </c>
      <c r="AX12" s="874">
        <f t="array" ref="AX12">SUM(IF(ISBLANK(AX$23:AX$237),0,$K23:$K237)*IF(ISBLANK($T$1),1,IF($I$23:$I$237=$T$1,1,0)))</f>
        <v>70</v>
      </c>
      <c r="AZ12" s="874">
        <f t="array" ref="AZ12">SUM(IF(ISBLANK(AZ$23:AZ$237),0,$K23:$K237)*IF(ISBLANK($T$1),1,IF($I$23:$I$237=$T$1,1,0)))</f>
        <v>70</v>
      </c>
      <c r="BA12" s="874">
        <f t="array" ref="BA12">SUM(IF(ISBLANK(BA$23:BA$237),0,$K23:$K237)*IF(ISBLANK($T$1),1,IF($I$23:$I$237=$T$1,1,0)))</f>
        <v>70</v>
      </c>
      <c r="BC12" s="874">
        <f t="array" ref="BC12">SUM(IF(ISBLANK(BC$23:BC$237),0,$K23:$K237)*IF(ISBLANK($T$1),1,IF($I$23:$I$237=$T$1,1,0)))</f>
        <v>70</v>
      </c>
      <c r="BD12" s="874">
        <f t="array" ref="BD12">SUM(IF(ISBLANK(BD$23:BD$237),0,$K23:$K237)*IF(ISBLANK($T$1),1,IF($I$23:$I$237=$T$1,1,0)))</f>
        <v>70</v>
      </c>
      <c r="BL12" s="874">
        <f t="array" ref="BL12">SUM(IF(ISBLANK(BL$23:BL$237),0,$K23:$K237)*IF(ISBLANK($T$1),1,IF($I$23:$I$237=$T$1,1,0)))</f>
        <v>1</v>
      </c>
      <c r="BM12" s="874">
        <f t="array" ref="BM12">SUM(IF(ISBLANK(BM$23:BM$237),0,$K23:$K237)*IF(ISBLANK($T$1),1,IF($I$23:$I$237=$T$1,1,0)))</f>
        <v>1</v>
      </c>
      <c r="BN12" s="874">
        <f t="array" ref="BN12">SUM(IF(ISBLANK(BN$23:BN$237),0,$K23:$K237)*IF(ISBLANK($T$1),1,IF($I$23:$I$237=$T$1,1,0)))</f>
        <v>1</v>
      </c>
      <c r="BP12" s="874">
        <f t="array" ref="BP12">SUM(IF(ISBLANK(BP$23:BP$237),0,$K23:$K237)*IF(ISBLANK($T$1),1,IF($I$23:$I$237=$T$1,1,0)))</f>
        <v>0</v>
      </c>
      <c r="BQ12" s="874">
        <f t="array" ref="BQ12">SUM(IF(ISBLANK(BQ$23:BQ$237),0,$K23:$K237)*IF(ISBLANK($T$1),1,IF($I$23:$I$237=$T$1,1,0)))</f>
        <v>0</v>
      </c>
      <c r="BR12" s="874" t="e">
        <f t="array" ref="BR12">SUM(IF(ISBLANK(BR$41:BR$237),0,$K23:$K237)*IF(ISBLANK($T$1),1,IF($I$23:$I$237=$T$1,1,0)))</f>
        <v>#N/A</v>
      </c>
      <c r="BW12" s="874">
        <f t="array" ref="BW12">SUM(IF(ISBLANK(BW$23:BW$237),0,$K23:$K237)*IF(ISBLANK($T$1),1,IF($I$23:$I$237=$T$1,1,0)))</f>
        <v>0</v>
      </c>
      <c r="BX12" s="874">
        <f t="array" ref="BX12">SUM(IF(ISBLANK(BX$23:BX$237),0,$K23:$K237)*IF(ISBLANK($T$1),1,IF($I$23:$I$237=$T$1,1,0)))</f>
        <v>0</v>
      </c>
      <c r="BY12" s="874">
        <f t="array" ref="BY12">SUM(IF(ISBLANK(BY$23:BY$237),0,$K23:$K237)*IF(ISBLANK($T$1),1,IF($I$23:$I$237=$T$1,1,0)))</f>
        <v>0</v>
      </c>
      <c r="BZ12" s="874">
        <f t="array" ref="BZ12">SUM(IF(ISBLANK(BZ$23:BZ$237),0,$K23:$K237)*IF(ISBLANK($T$1),1,IF($I$23:$I$237=$T$1,1,0)))</f>
        <v>0</v>
      </c>
      <c r="CA12" s="874">
        <f t="array" ref="CA12">SUM(IF(ISBLANK(CA$23:CA$237),0,$K23:$K237)*IF(ISBLANK($T$1),1,IF($I$23:$I$237=$T$1,1,0)))</f>
        <v>0</v>
      </c>
      <c r="CB12" s="874">
        <f t="array" ref="CB12">SUM(IF(ISBLANK(CB$23:CB$237),0,$K23:$K237)*IF(ISBLANK($T$1),1,IF($I$23:$I$237=$T$1,1,0)))</f>
        <v>0</v>
      </c>
      <c r="CC12" s="874">
        <f t="array" ref="CC12">SUM(IF(ISBLANK(CC$23:CC$237),0,$K23:$K237)*IF(ISBLANK($T$1),1,IF($I$23:$I$237=$T$1,1,0)))</f>
        <v>0</v>
      </c>
      <c r="CD12" s="874">
        <f t="array" ref="CD12">SUM(IF(ISBLANK(CD$23:CD$237),0,$K23:$K237)*IF(ISBLANK($T$1),1,IF($I$23:$I$237=$T$1,1,0)))</f>
        <v>0</v>
      </c>
      <c r="CE12" s="874">
        <f t="array" ref="CE12">SUM(IF(ISBLANK(CE$23:CE$237),0,$K23:$K237)*IF(ISBLANK($T$1),1,IF($I$23:$I$237=$T$1,1,0)))</f>
        <v>0</v>
      </c>
      <c r="CF12" s="874">
        <f t="array" ref="CF12">SUM(IF(ISBLANK(CF$23:CF$237),0,$K23:$K237)*IF(ISBLANK($T$1),1,IF($I$23:$I$237=$T$1,1,0)))</f>
        <v>0</v>
      </c>
      <c r="CG12" s="874">
        <f t="array" ref="CG12">SUM(IF(ISBLANK(CG$23:CG$237),0,$K23:$K237)*IF(ISBLANK($T$1),1,IF($I$23:$I$237=$T$1,1,0)))</f>
        <v>0</v>
      </c>
      <c r="CH12" s="874">
        <f t="array" ref="CH12">SUM(IF(ISBLANK(CH$23:CH$237),0,$K23:$K237)*IF(ISBLANK($T$1),1,IF($I$23:$I$237=$T$1,1,0)))</f>
        <v>25</v>
      </c>
      <c r="CI12" s="874">
        <f t="array" ref="CI12">SUM(IF(ISBLANK(CI$23:CI$237),0,$K23:$K237)*IF(ISBLANK($T$1),1,IF($I$23:$I$237=$T$1,1,0)))</f>
        <v>25</v>
      </c>
      <c r="CJ12" s="874">
        <f t="array" ref="CJ12">SUM(IF(ISBLANK(CJ$23:CJ$237),0,$K23:$K237)*IF(ISBLANK($T$1),1,IF($I$23:$I$237=$T$1,1,0)))</f>
        <v>24</v>
      </c>
    </row>
    <row r="13" spans="1:88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J13" si="17">AF12/AF2</f>
        <v>1.5909090909090908</v>
      </c>
      <c r="AG13" s="874">
        <f t="shared" si="17"/>
        <v>1.6764705882352942</v>
      </c>
      <c r="AH13" s="874">
        <f t="shared" si="17"/>
        <v>1.5909090909090908</v>
      </c>
      <c r="AI13" s="874">
        <f t="shared" si="17"/>
        <v>1.5909090909090908</v>
      </c>
      <c r="AK13" s="874">
        <f t="shared" si="17"/>
        <v>1.6279069767441861</v>
      </c>
      <c r="AM13" s="874">
        <f>AM12/AM2</f>
        <v>1.5909090909090908</v>
      </c>
      <c r="AN13" s="874">
        <f t="shared" si="17"/>
        <v>1.5909090909090908</v>
      </c>
      <c r="AP13" s="874">
        <f>AP12/AP2</f>
        <v>1.6279069767441861</v>
      </c>
      <c r="AQ13" s="874">
        <f>AQ12/AQ2</f>
        <v>1.5909090909090908</v>
      </c>
      <c r="AR13" s="874">
        <f t="shared" ref="AR13" si="18">AR12/AR2</f>
        <v>1.5909090909090908</v>
      </c>
      <c r="AT13" s="874">
        <f>AT12/AT2</f>
        <v>1.5909090909090908</v>
      </c>
      <c r="AW13" s="874" t="e">
        <f t="shared" ref="AW13:BD13" si="19">AW12/AW2</f>
        <v>#N/A</v>
      </c>
      <c r="AX13" s="874">
        <f t="shared" si="19"/>
        <v>1.5909090909090908</v>
      </c>
      <c r="AZ13" s="874">
        <f t="shared" si="19"/>
        <v>1.5909090909090908</v>
      </c>
      <c r="BA13" s="874">
        <f t="shared" si="19"/>
        <v>1.6279069767441861</v>
      </c>
      <c r="BC13" s="874">
        <f t="shared" si="19"/>
        <v>1.5909090909090908</v>
      </c>
      <c r="BD13" s="874">
        <f t="shared" si="19"/>
        <v>1.6279069767441861</v>
      </c>
      <c r="BL13" s="874">
        <f>BL12/BL2</f>
        <v>1</v>
      </c>
      <c r="BM13" s="874">
        <f>BM12/BM2</f>
        <v>1</v>
      </c>
      <c r="BN13" s="874">
        <f>BN12/BN2</f>
        <v>1</v>
      </c>
      <c r="BP13" s="874" t="e">
        <f>BP12/BP2</f>
        <v>#DIV/0!</v>
      </c>
      <c r="BQ13" s="874" t="e">
        <f>BQ12/BQ2</f>
        <v>#DIV/0!</v>
      </c>
      <c r="BR13" s="874" t="e">
        <f t="shared" si="17"/>
        <v>#N/A</v>
      </c>
      <c r="BW13" s="874" t="e">
        <f t="shared" ref="BW13:CC13" si="20">BW12/BW2</f>
        <v>#DIV/0!</v>
      </c>
      <c r="BX13" s="874" t="e">
        <f t="shared" si="20"/>
        <v>#DIV/0!</v>
      </c>
      <c r="BY13" s="874" t="e">
        <f t="shared" si="20"/>
        <v>#DIV/0!</v>
      </c>
      <c r="BZ13" s="874" t="e">
        <f t="shared" si="20"/>
        <v>#DIV/0!</v>
      </c>
      <c r="CA13" s="874" t="e">
        <f t="shared" si="20"/>
        <v>#DIV/0!</v>
      </c>
      <c r="CB13" s="874" t="e">
        <f t="shared" si="20"/>
        <v>#DIV/0!</v>
      </c>
      <c r="CC13" s="874" t="e">
        <f t="shared" si="20"/>
        <v>#DIV/0!</v>
      </c>
      <c r="CD13" s="874" t="e">
        <f t="shared" si="17"/>
        <v>#DIV/0!</v>
      </c>
      <c r="CE13" s="874" t="e">
        <f t="shared" si="17"/>
        <v>#DIV/0!</v>
      </c>
      <c r="CF13" s="874" t="e">
        <f t="shared" si="17"/>
        <v>#DIV/0!</v>
      </c>
      <c r="CG13" s="874" t="e">
        <f t="shared" si="17"/>
        <v>#DIV/0!</v>
      </c>
      <c r="CH13" s="874">
        <f t="shared" si="17"/>
        <v>1.5625</v>
      </c>
      <c r="CI13" s="874">
        <f t="shared" si="17"/>
        <v>1.5625</v>
      </c>
      <c r="CJ13" s="874">
        <f t="shared" si="17"/>
        <v>1.6</v>
      </c>
    </row>
    <row r="14" spans="1:88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21">AG15+AG16</f>
        <v>0</v>
      </c>
      <c r="AH14" s="902">
        <f t="shared" ref="AH14:AS14" si="22">AH15+AH16</f>
        <v>0</v>
      </c>
      <c r="AI14" s="902">
        <f t="shared" si="22"/>
        <v>44</v>
      </c>
      <c r="AJ14" s="902">
        <f t="shared" si="22"/>
        <v>31</v>
      </c>
      <c r="AK14" s="902">
        <f t="shared" si="22"/>
        <v>0</v>
      </c>
      <c r="AL14" s="902">
        <f t="shared" si="22"/>
        <v>0</v>
      </c>
      <c r="AM14" s="902">
        <f t="shared" si="22"/>
        <v>40</v>
      </c>
      <c r="AN14" s="902">
        <f t="shared" si="22"/>
        <v>44</v>
      </c>
      <c r="AO14" s="902">
        <f t="shared" si="22"/>
        <v>1</v>
      </c>
      <c r="AP14" s="902">
        <f t="shared" si="22"/>
        <v>6</v>
      </c>
      <c r="AQ14" s="902">
        <f t="shared" si="22"/>
        <v>19</v>
      </c>
      <c r="AR14" s="902">
        <f t="shared" si="22"/>
        <v>16</v>
      </c>
      <c r="AS14" s="902">
        <f t="shared" si="22"/>
        <v>41</v>
      </c>
      <c r="AT14" s="902">
        <f t="shared" ref="AT14:BG14" si="23">AT15+AT16</f>
        <v>36</v>
      </c>
      <c r="AU14" s="902">
        <f t="shared" si="23"/>
        <v>16</v>
      </c>
      <c r="AV14" s="902">
        <f t="shared" si="23"/>
        <v>43</v>
      </c>
      <c r="AW14" s="902">
        <f t="shared" si="23"/>
        <v>34</v>
      </c>
      <c r="AX14" s="902">
        <f t="shared" si="23"/>
        <v>23</v>
      </c>
      <c r="AY14" s="902">
        <f t="shared" si="23"/>
        <v>32</v>
      </c>
      <c r="AZ14" s="902">
        <f t="shared" si="23"/>
        <v>41</v>
      </c>
      <c r="BA14" s="902">
        <f t="shared" si="23"/>
        <v>9</v>
      </c>
      <c r="BB14" s="902">
        <f t="shared" ref="BB14" si="24">BB15+BB16</f>
        <v>6</v>
      </c>
      <c r="BC14" s="902">
        <f t="shared" si="23"/>
        <v>44</v>
      </c>
      <c r="BD14" s="902">
        <f t="shared" si="23"/>
        <v>4</v>
      </c>
      <c r="BE14" s="902">
        <f t="shared" si="23"/>
        <v>5</v>
      </c>
      <c r="BF14" s="902">
        <f t="shared" si="23"/>
        <v>38</v>
      </c>
      <c r="BG14" s="902">
        <f t="shared" si="23"/>
        <v>29</v>
      </c>
      <c r="BH14" s="902">
        <f t="shared" ref="BH14" si="25">BH15+BH16</f>
        <v>0</v>
      </c>
      <c r="BI14" s="889"/>
      <c r="BJ14" s="889"/>
      <c r="BK14" s="889"/>
      <c r="BL14" s="889"/>
      <c r="BM14" s="889"/>
      <c r="BN14" s="889"/>
      <c r="BO14" s="889"/>
      <c r="BP14" s="889"/>
      <c r="BQ14" s="889"/>
      <c r="BR14" s="889"/>
      <c r="BS14" s="889"/>
      <c r="BT14" s="889"/>
      <c r="BU14" s="889"/>
      <c r="BV14" s="889"/>
      <c r="BW14" s="889"/>
      <c r="BX14" s="889"/>
      <c r="BY14" s="889"/>
      <c r="BZ14" s="889"/>
      <c r="CA14" s="889"/>
      <c r="CB14" s="889"/>
      <c r="CC14" s="889"/>
      <c r="CD14" s="890"/>
      <c r="CE14" s="890"/>
    </row>
    <row r="15" spans="1:88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AVERAGEIFS($Q$23:$Q$204,$H$23:$H$204,"H",$I$23:$I$204,Table!$C$1)</f>
        <v>5.9047619047619057E-2</v>
      </c>
      <c r="S15" s="858">
        <f>AVERAGEIFS($Q$23:$Q$204,$H$23:$H$204,"A",$I$23:$I$204,Table!$C$1)</f>
        <v>-0.26095238095238094</v>
      </c>
      <c r="AF15" s="848" t="s">
        <v>821</v>
      </c>
      <c r="AG15" s="850">
        <f t="array" ref="AG15">SUM(IF(LEFT(AG23:AG158,1)="X",1,0))</f>
        <v>0</v>
      </c>
      <c r="AH15" s="903">
        <f t="array" ref="AH15">SUM(IF(LEFT(AH23:AH158,1)="X",1,0))</f>
        <v>0</v>
      </c>
      <c r="AI15" s="903">
        <f t="array" ref="AI15">SUM(IF(LEFT(AI23:AI158,1)="X",1,0))</f>
        <v>44</v>
      </c>
      <c r="AJ15" s="903">
        <f t="array" ref="AJ15">SUM(IF(LEFT(AJ23:AJ158,1)="X",1,0))</f>
        <v>25</v>
      </c>
      <c r="AK15" s="903">
        <f t="array" ref="AK15">SUM(IF(LEFT(AK23:AK158,1)="X",1,0))</f>
        <v>0</v>
      </c>
      <c r="AL15" s="903">
        <f t="array" ref="AL15">SUM(IF(LEFT(AL23:AL158,1)="X",1,0))</f>
        <v>0</v>
      </c>
      <c r="AM15" s="903">
        <f t="array" ref="AM15">SUM(IF(LEFT(AM23:AM158,1)="X",1,0))</f>
        <v>40</v>
      </c>
      <c r="AN15" s="903">
        <f t="array" ref="AN15">SUM(IF(LEFT(AN23:AN158,1)="X",1,0))</f>
        <v>44</v>
      </c>
      <c r="AO15" s="903">
        <f t="array" ref="AO15">SUM(IF(LEFT(AO23:AO158,1)="X",1,0))</f>
        <v>0</v>
      </c>
      <c r="AP15" s="903">
        <f t="array" ref="AP15">SUM(IF(LEFT(AP23:AP158,1)="X",1,0))</f>
        <v>3</v>
      </c>
      <c r="AQ15" s="903">
        <f t="array" ref="AQ15">SUM(IF(LEFT(AQ23:AQ158,1)="X",1,0))</f>
        <v>16</v>
      </c>
      <c r="AR15" s="903">
        <f t="array" ref="AR15">SUM(IF(LEFT(AR23:AR158,1)="X",1,0))</f>
        <v>15</v>
      </c>
      <c r="AS15" s="903">
        <f t="array" ref="AS15">SUM(IF(LEFT(AS23:AS158,1)="X",1,0))</f>
        <v>39</v>
      </c>
      <c r="AT15" s="903">
        <f t="array" ref="AT15">SUM(IF(LEFT(AT23:AT158,1)="X",1,0))</f>
        <v>23</v>
      </c>
      <c r="AU15" s="903">
        <f t="array" ref="AU15">SUM(IF(LEFT(AU23:AU158,1)="X",1,0))</f>
        <v>11</v>
      </c>
      <c r="AV15" s="903">
        <f t="array" ref="AV15">SUM(IF(LEFT(AV23:AV158,1)="X",1,0))</f>
        <v>43</v>
      </c>
      <c r="AW15" s="903">
        <f t="array" ref="AW15">SUM(IF(LEFT(AW23:AW158,1)="X",1,0))</f>
        <v>33</v>
      </c>
      <c r="AX15" s="903">
        <f t="array" ref="AX15">SUM(IF(LEFT(AX23:AX158,1)="X",1,0))</f>
        <v>5</v>
      </c>
      <c r="AY15" s="903">
        <f t="array" ref="AY15">SUM(IF(LEFT(AY23:AY158,1)="X",1,0))</f>
        <v>23</v>
      </c>
      <c r="AZ15" s="903">
        <f t="array" ref="AZ15">SUM(IF(LEFT(AZ23:AZ158,1)="X",1,0))</f>
        <v>31</v>
      </c>
      <c r="BA15" s="903">
        <f t="array" ref="BA15">SUM(IF(LEFT(BA23:BA158,1)="X",1,0))</f>
        <v>3</v>
      </c>
      <c r="BB15" s="903">
        <f t="array" ref="BB15">SUM(IF(LEFT(BB23:BB158,1)="X",1,0))</f>
        <v>1</v>
      </c>
      <c r="BC15" s="903">
        <f t="array" ref="BC15">SUM(IF(LEFT(BC23:BC158,1)="X",1,0))</f>
        <v>44</v>
      </c>
      <c r="BD15" s="903">
        <f t="array" ref="BD15">SUM(IF(LEFT(BD23:BD158,1)="X",1,0))</f>
        <v>0</v>
      </c>
      <c r="BE15" s="903">
        <f t="array" ref="BE15">SUM(IF(LEFT(BE23:BE158,1)="X",1,0))</f>
        <v>0</v>
      </c>
      <c r="BF15" s="903">
        <f t="array" ref="BF15">SUM(IF(LEFT(BF23:BF158,1)="X",1,0))</f>
        <v>17</v>
      </c>
      <c r="BG15" s="903">
        <f t="array" ref="BG15">SUM(IF(LEFT(BG23:BG158,1)="X",1,0))</f>
        <v>24</v>
      </c>
      <c r="BH15" s="903">
        <f t="array" ref="BH15">SUM(IF(LEFT(BH23:BH158,1)="X",1,0))</f>
        <v>0</v>
      </c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89"/>
      <c r="BY15" s="889"/>
      <c r="BZ15" s="889"/>
      <c r="CA15" s="889"/>
      <c r="CB15" s="889"/>
      <c r="CC15" s="889"/>
      <c r="CD15" s="890"/>
      <c r="CE15" s="890"/>
    </row>
    <row r="16" spans="1:88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AVERAGEIF($H$23:$H$201,"=H",$J$23:$J$201)</f>
        <v>1.4090909090909092</v>
      </c>
      <c r="J16" s="858">
        <f>AVERAGEIF($H$23:$H$205,"=H",$K$23:$K$205)</f>
        <v>1.9545454545454546</v>
      </c>
      <c r="K16" s="858">
        <f>I16-J16</f>
        <v>-0.54545454545454541</v>
      </c>
      <c r="L16" s="857">
        <f>COUNTIFS($L$23:$L$201,"=W",$H$23:$H$201,"=H")</f>
        <v>5</v>
      </c>
      <c r="M16" s="857">
        <f>COUNTIFS($L$23:$L$201,"=D",$H$23:$H$201,"=H")</f>
        <v>5</v>
      </c>
      <c r="N16" s="863">
        <f>COUNTIFS($L$23:$L$201,"=L",$H$23:$H$201,"=H")</f>
        <v>12</v>
      </c>
      <c r="O16" s="858">
        <f>SUM(I16:J16)</f>
        <v>3.3636363636363638</v>
      </c>
      <c r="Q16" s="861" t="s">
        <v>212</v>
      </c>
      <c r="R16" s="858">
        <f>AVERAGEIFS($S$23:$S$202,$H$23:$H$202,"H",$I$23:$I$202,Table!$C$1)</f>
        <v>2.5852380952380947</v>
      </c>
      <c r="S16" s="858">
        <f>AVERAGEIFS($S$23:$S$202,$H$23:$H$202,"A",$I$23:$I$202,Table!$C$1)</f>
        <v>2.5957142857142852</v>
      </c>
      <c r="AF16" s="848" t="s">
        <v>724</v>
      </c>
      <c r="AG16" s="850">
        <f t="array" ref="AG16">SUM(IF(LEFT(AG23:AG159,1)="s",1,0))</f>
        <v>0</v>
      </c>
      <c r="AH16" s="903">
        <f t="array" ref="AH16">SUM(IF(LEFT(AH23:AH159,1)="s",1,0))</f>
        <v>0</v>
      </c>
      <c r="AI16" s="903">
        <f t="array" ref="AI16">SUM(IF(LEFT(AI23:AI159,1)="s",1,0))</f>
        <v>0</v>
      </c>
      <c r="AJ16" s="903">
        <f t="array" ref="AJ16">SUM(IF(LEFT(AJ23:AJ159,1)="s",1,0))</f>
        <v>6</v>
      </c>
      <c r="AK16" s="903">
        <f t="array" ref="AK16">SUM(IF(LEFT(AK23:AK159,1)="s",1,0))</f>
        <v>0</v>
      </c>
      <c r="AL16" s="903">
        <f t="array" ref="AL16">SUM(IF(LEFT(AL23:AL159,1)="s",1,0))</f>
        <v>0</v>
      </c>
      <c r="AM16" s="903">
        <f t="array" ref="AM16">SUM(IF(LEFT(AM23:AM159,1)="s",1,0))</f>
        <v>0</v>
      </c>
      <c r="AN16" s="903">
        <f t="array" ref="AN16">SUM(IF(LEFT(AN23:AN159,1)="s",1,0))</f>
        <v>0</v>
      </c>
      <c r="AO16" s="903">
        <f t="array" ref="AO16">SUM(IF(LEFT(AO23:AO159,1)="s",1,0))</f>
        <v>1</v>
      </c>
      <c r="AP16" s="903">
        <f t="array" ref="AP16">SUM(IF(LEFT(AP23:AP159,1)="s",1,0))</f>
        <v>3</v>
      </c>
      <c r="AQ16" s="903">
        <f t="array" ref="AQ16">SUM(IF(LEFT(AQ23:AQ159,1)="s",1,0))</f>
        <v>3</v>
      </c>
      <c r="AR16" s="903">
        <f t="array" ref="AR16">SUM(IF(LEFT(AR23:AR159,1)="s",1,0))</f>
        <v>1</v>
      </c>
      <c r="AS16" s="903">
        <f t="array" ref="AS16">SUM(IF(LEFT(AS23:AS159,1)="s",1,0))</f>
        <v>2</v>
      </c>
      <c r="AT16" s="903">
        <f t="array" ref="AT16">SUM(IF(LEFT(AT23:AT159,1)="s",1,0))</f>
        <v>13</v>
      </c>
      <c r="AU16" s="903">
        <f t="array" ref="AU16">SUM(IF(LEFT(AU23:AU159,1)="s",1,0))</f>
        <v>5</v>
      </c>
      <c r="AV16" s="903">
        <f t="array" ref="AV16">SUM(IF(LEFT(AV23:AV159,1)="s",1,0))</f>
        <v>0</v>
      </c>
      <c r="AW16" s="903">
        <f t="array" ref="AW16">SUM(IF(LEFT(AW23:AW159,1)="s",1,0))</f>
        <v>1</v>
      </c>
      <c r="AX16" s="903">
        <f t="array" ref="AX16">SUM(IF(LEFT(AX23:AX159,1)="s",1,0))</f>
        <v>18</v>
      </c>
      <c r="AY16" s="903">
        <f t="array" ref="AY16">SUM(IF(LEFT(AY23:AY159,1)="s",1,0))</f>
        <v>9</v>
      </c>
      <c r="AZ16" s="903">
        <f t="array" ref="AZ16">SUM(IF(LEFT(AZ23:AZ159,1)="s",1,0))</f>
        <v>10</v>
      </c>
      <c r="BA16" s="903">
        <f t="array" ref="BA16">SUM(IF(LEFT(BA23:BA159,1)="s",1,0))</f>
        <v>6</v>
      </c>
      <c r="BB16" s="903">
        <f t="array" ref="BB16">SUM(IF(LEFT(BB23:BB159,1)="s",1,0))</f>
        <v>5</v>
      </c>
      <c r="BC16" s="903">
        <f t="array" ref="BC16">SUM(IF(LEFT(BC23:BC159,1)="s",1,0))</f>
        <v>0</v>
      </c>
      <c r="BD16" s="903">
        <f t="array" ref="BD16">SUM(IF(LEFT(BD23:BD159,1)="s",1,0))</f>
        <v>4</v>
      </c>
      <c r="BE16" s="903">
        <f t="array" ref="BE16">SUM(IF(LEFT(BE23:BE159,1)="s",1,0))</f>
        <v>5</v>
      </c>
      <c r="BF16" s="903">
        <f t="array" ref="BF16">SUM(IF(LEFT(BF23:BF159,1)="s",1,0))</f>
        <v>21</v>
      </c>
      <c r="BG16" s="903">
        <f t="array" ref="BG16">SUM(IF(LEFT(BG23:BG159,1)="s",1,0))</f>
        <v>5</v>
      </c>
      <c r="BH16" s="903">
        <f t="array" ref="BH16">SUM(IF(LEFT(BH23:BH159,1)="s",1,0))</f>
        <v>0</v>
      </c>
      <c r="BI16" s="889"/>
      <c r="BJ16" s="889"/>
      <c r="BK16" s="889"/>
      <c r="BL16" s="889"/>
      <c r="BM16" s="889"/>
      <c r="BN16" s="889"/>
      <c r="BO16" s="889"/>
      <c r="BP16" s="889"/>
      <c r="BQ16" s="889"/>
      <c r="BR16" s="889"/>
      <c r="BS16" s="889"/>
      <c r="BT16" s="889"/>
      <c r="BU16" s="889"/>
      <c r="BV16" s="889"/>
      <c r="BW16" s="889"/>
      <c r="BX16" s="889"/>
      <c r="BY16" s="889"/>
      <c r="BZ16" s="889"/>
      <c r="CA16" s="889"/>
      <c r="CB16" s="889"/>
      <c r="CC16" s="889"/>
      <c r="CD16" s="890"/>
      <c r="CE16" s="890"/>
    </row>
    <row r="17" spans="1:114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AVERAGEIF($H$23:$H$201,"=A",$J$23:$J$201)</f>
        <v>1.3181818181818181</v>
      </c>
      <c r="J17" s="860">
        <f>AVERAGEIF($H$23:$H$205,"=A",$K$23:$K$205)</f>
        <v>1.2272727272727273</v>
      </c>
      <c r="K17" s="858">
        <f>I17-J17</f>
        <v>9.0909090909090828E-2</v>
      </c>
      <c r="L17" s="857">
        <f>COUNTIFS($L$23:$L$201,"=W",$H$23:$H$201,"=A")</f>
        <v>7</v>
      </c>
      <c r="M17" s="857">
        <f>COUNTIFS($L$23:$L$201,"=D",$H$23:$H$201,"=A")</f>
        <v>8</v>
      </c>
      <c r="N17" s="863">
        <f>COUNTIFS($L$23:$L$201,"=L",$H$23:$H$201,"=A")</f>
        <v>7</v>
      </c>
      <c r="O17" s="858">
        <f>SUM(I17:J17)</f>
        <v>2.5454545454545454</v>
      </c>
      <c r="Q17" s="848"/>
      <c r="R17" s="859"/>
      <c r="S17" s="855"/>
      <c r="AF17" s="848" t="s">
        <v>718</v>
      </c>
      <c r="AG17" s="850">
        <f t="array" ref="AG17">SUM(IF(ISNUMBER(VALUE(RIGHT(AG23:AG167,1))),VALUE(RIGHT(AG23:AG167,1)),0))</f>
        <v>0</v>
      </c>
      <c r="AH17" s="903">
        <f t="array" ref="AH17">SUM(IF(ISNUMBER(VALUE(RIGHT(AH23:AH167,1))),VALUE(RIGHT(AH23:AH167,1)),0))</f>
        <v>0</v>
      </c>
      <c r="AI17" s="903">
        <f t="array" ref="AI17">SUM(IF(ISNUMBER(VALUE(RIGHT(AI23:AI167,1))),VALUE(RIGHT(AI23:AI167,1)),0))</f>
        <v>0</v>
      </c>
      <c r="AJ17" s="903">
        <f t="array" ref="AJ17">SUM(IF(ISNUMBER(VALUE(RIGHT(AJ23:AJ167,1))),VALUE(RIGHT(AJ23:AJ167,1)),0))</f>
        <v>1</v>
      </c>
      <c r="AK17" s="903">
        <f t="array" ref="AK17">SUM(IF(ISNUMBER(VALUE(RIGHT(AK23:AK167,1))),VALUE(RIGHT(AK23:AK167,1)),0))</f>
        <v>0</v>
      </c>
      <c r="AL17" s="903">
        <f t="array" ref="AL17">SUM(IF(ISNUMBER(VALUE(RIGHT(AL23:AL167,1))),VALUE(RIGHT(AL23:AL167,1)),0))</f>
        <v>0</v>
      </c>
      <c r="AM17" s="903">
        <f t="array" ref="AM17">SUM(IF(ISNUMBER(VALUE(RIGHT(AM23:AM167,1))),VALUE(RIGHT(AM23:AM167,1)),0))</f>
        <v>2</v>
      </c>
      <c r="AN17" s="903">
        <f t="array" ref="AN17">SUM(IF(ISNUMBER(VALUE(RIGHT(AN23:AN167,1))),VALUE(RIGHT(AN23:AN167,1)),0))</f>
        <v>5</v>
      </c>
      <c r="AO17" s="903">
        <f t="array" ref="AO17">SUM(IF(ISNUMBER(VALUE(RIGHT(AO23:AO167,1))),VALUE(RIGHT(AO23:AO167,1)),0))</f>
        <v>0</v>
      </c>
      <c r="AP17" s="903">
        <f t="array" ref="AP17">SUM(IF(ISNUMBER(VALUE(RIGHT(AP23:AP167,1))),VALUE(RIGHT(AP23:AP167,1)),0))</f>
        <v>0</v>
      </c>
      <c r="AQ17" s="903">
        <f t="array" ref="AQ17">SUM(IF(ISNUMBER(VALUE(RIGHT(AQ23:AQ167,1))),VALUE(RIGHT(AQ23:AQ167,1)),0))</f>
        <v>2</v>
      </c>
      <c r="AR17" s="903">
        <f t="array" ref="AR17">SUM(IF(ISNUMBER(VALUE(RIGHT(AR23:AR167,1))),VALUE(RIGHT(AR23:AR167,1)),0))</f>
        <v>2</v>
      </c>
      <c r="AS17" s="903">
        <f t="array" ref="AS17">SUM(IF(ISNUMBER(VALUE(RIGHT(AS23:AS167,1))),VALUE(RIGHT(AS23:AS167,1)),0))</f>
        <v>1</v>
      </c>
      <c r="AT17" s="903">
        <f t="array" ref="AT17">SUM(IF(ISNUMBER(VALUE(RIGHT(AT23:AT167,1))),VALUE(RIGHT(AT23:AT167,1)),0))</f>
        <v>5</v>
      </c>
      <c r="AU17" s="903">
        <f t="array" ref="AU17">SUM(IF(ISNUMBER(VALUE(RIGHT(AU23:AU167,1))),VALUE(RIGHT(AU23:AU167,1)),0))</f>
        <v>0</v>
      </c>
      <c r="AV17" s="903">
        <f t="array" ref="AV17">SUM(IF(ISNUMBER(VALUE(RIGHT(AV23:AV167,1))),VALUE(RIGHT(AV23:AV167,1)),0))</f>
        <v>5</v>
      </c>
      <c r="AW17" s="903">
        <f t="array" ref="AW17">SUM(IF(ISNUMBER(VALUE(RIGHT(AW23:AW167,1))),VALUE(RIGHT(AW23:AW167,1)),0))</f>
        <v>1</v>
      </c>
      <c r="AX17" s="903">
        <f t="array" ref="AX17">SUM(IF(ISNUMBER(VALUE(RIGHT(AX23:AX167,1))),VALUE(RIGHT(AX23:AX167,1)),0))</f>
        <v>1</v>
      </c>
      <c r="AY17" s="903">
        <f t="array" ref="AY17">SUM(IF(ISNUMBER(VALUE(RIGHT(AY23:AY167,1))),VALUE(RIGHT(AY23:AY167,1)),0))</f>
        <v>3</v>
      </c>
      <c r="AZ17" s="903">
        <f t="array" ref="AZ17">SUM(IF(ISNUMBER(VALUE(RIGHT(AZ23:AZ167,1))),VALUE(RIGHT(AZ23:AZ167,1)),0))</f>
        <v>5</v>
      </c>
      <c r="BA17" s="903">
        <f t="array" ref="BA17">SUM(IF(ISNUMBER(VALUE(RIGHT(BA23:BA167,1))),VALUE(RIGHT(BA23:BA167,1)),0))</f>
        <v>3</v>
      </c>
      <c r="BB17" s="903">
        <f t="array" ref="BB17">SUM(IF(ISNUMBER(VALUE(RIGHT(BB23:BB167,1))),VALUE(RIGHT(BB23:BB167,1)),0))</f>
        <v>0</v>
      </c>
      <c r="BC17" s="903">
        <f t="array" ref="BC17">SUM(IF(ISNUMBER(VALUE(RIGHT(BC23:BC167,1))),VALUE(RIGHT(BC23:BC167,1)),0))</f>
        <v>6</v>
      </c>
      <c r="BD17" s="903">
        <f t="array" ref="BD17">SUM(IF(ISNUMBER(VALUE(RIGHT(BD23:BD167,1))),VALUE(RIGHT(BD23:BD167,1)),0))</f>
        <v>0</v>
      </c>
      <c r="BE17" s="903">
        <f t="array" ref="BE17">SUM(IF(ISNUMBER(VALUE(RIGHT(BE23:BE167,1))),VALUE(RIGHT(BE23:BE167,1)),0))</f>
        <v>0</v>
      </c>
      <c r="BF17" s="903">
        <f t="array" ref="BF17">SUM(IF(ISNUMBER(VALUE(RIGHT(BF23:BF167,1))),VALUE(RIGHT(BF23:BF167,1)),0))</f>
        <v>9</v>
      </c>
      <c r="BG17" s="903">
        <f t="array" ref="BG17">SUM(IF(ISNUMBER(VALUE(RIGHT(BG23:BG167,1))),VALUE(RIGHT(BG23:BG167,1)),0))</f>
        <v>6</v>
      </c>
      <c r="BH17" s="903">
        <f t="array" ref="BH17">SUM(IF(ISNUMBER(VALUE(RIGHT(BH23:BH167,1))),VALUE(RIGHT(BH23:BH167,1)),0))</f>
        <v>3</v>
      </c>
      <c r="BI17" s="889"/>
      <c r="BJ17" s="889"/>
      <c r="BK17" s="889"/>
      <c r="BL17" s="889"/>
      <c r="BM17" s="889"/>
      <c r="BN17" s="889"/>
      <c r="BO17" s="889"/>
      <c r="BP17" s="889"/>
      <c r="BQ17" s="889"/>
      <c r="BR17" s="889"/>
      <c r="BS17" s="889"/>
      <c r="BT17" s="889"/>
      <c r="BU17" s="889"/>
      <c r="BV17" s="889"/>
      <c r="BW17" s="889"/>
      <c r="BX17" s="889"/>
      <c r="BY17" s="889"/>
      <c r="BZ17" s="889"/>
      <c r="CA17" s="889"/>
      <c r="CB17" s="889"/>
      <c r="CC17" s="889"/>
      <c r="CD17" s="890"/>
      <c r="CE17" s="890"/>
    </row>
    <row r="18" spans="1:114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AVERAGEIFS($Y$23:$Y$204,$H$23:$H$204,"H",$I$23:$I$204,Table!$C$1)</f>
        <v>4.1428571428571432</v>
      </c>
      <c r="S18" s="858">
        <f>AVERAGEIFS($Y$23:$Y$204,$H$23:$H$204,"A",$I$23:$I$204,Table!$C$1)</f>
        <v>4</v>
      </c>
      <c r="AG18" s="876">
        <v>1</v>
      </c>
      <c r="AH18" s="876">
        <v>21</v>
      </c>
      <c r="AI18" s="876">
        <v>25</v>
      </c>
      <c r="AJ18" s="876">
        <v>2</v>
      </c>
      <c r="AK18" s="876">
        <v>3</v>
      </c>
      <c r="AL18" s="876">
        <v>4</v>
      </c>
      <c r="AM18" s="876">
        <v>16</v>
      </c>
      <c r="AN18" s="876">
        <v>17</v>
      </c>
      <c r="AO18" s="876">
        <v>20</v>
      </c>
      <c r="AP18" s="876">
        <v>26</v>
      </c>
      <c r="AQ18" s="876">
        <v>27</v>
      </c>
      <c r="AR18" s="876">
        <v>5</v>
      </c>
      <c r="AS18" s="876">
        <v>6</v>
      </c>
      <c r="AT18" s="876">
        <v>7</v>
      </c>
      <c r="AU18" s="876">
        <v>8</v>
      </c>
      <c r="AV18" s="876">
        <v>10</v>
      </c>
      <c r="AW18" s="876">
        <v>15</v>
      </c>
      <c r="AX18" s="876">
        <v>22</v>
      </c>
      <c r="AY18" s="876">
        <v>23</v>
      </c>
      <c r="AZ18" s="876">
        <v>28</v>
      </c>
      <c r="BA18" s="876">
        <v>9</v>
      </c>
      <c r="BB18" s="876">
        <v>30</v>
      </c>
      <c r="BC18" s="876">
        <v>11</v>
      </c>
      <c r="BD18" s="876">
        <v>18</v>
      </c>
      <c r="BE18" s="876">
        <v>19</v>
      </c>
      <c r="BF18" s="876">
        <v>24</v>
      </c>
      <c r="BG18" s="876">
        <v>14</v>
      </c>
      <c r="BI18" s="876"/>
      <c r="BJ18" s="876"/>
      <c r="BK18" s="876"/>
      <c r="BL18" s="451"/>
      <c r="BM18" s="451"/>
      <c r="BN18" s="876"/>
      <c r="BO18" s="876"/>
      <c r="BP18" s="451"/>
      <c r="BQ18" s="451"/>
      <c r="BR18" s="451"/>
      <c r="BS18" s="451"/>
      <c r="BT18" s="451"/>
      <c r="BU18" s="451"/>
      <c r="BV18" s="451"/>
      <c r="BW18" s="451"/>
      <c r="BX18" s="451"/>
      <c r="BY18" s="451"/>
      <c r="BZ18" s="451"/>
      <c r="CA18" s="451"/>
      <c r="CB18" s="451"/>
      <c r="CC18" s="451"/>
      <c r="CD18" s="451"/>
      <c r="CE18" s="451"/>
      <c r="CF18" s="876"/>
      <c r="CG18" s="876"/>
    </row>
    <row r="19" spans="1:114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AVERAGEIFS($Z$23:$Z$202,$H$23:$H$202,"H",$I$23:$I$202,Table!$C$1)</f>
        <v>4.4761904761904763</v>
      </c>
      <c r="S19" s="858">
        <f>AVERAGEIFS($Z$23:$Z$202,$H$23:$H$202,"A",$I$23:$I$202,Table!$C$1)</f>
        <v>5.1428571428571432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1986</v>
      </c>
      <c r="AK19" s="901" t="s">
        <v>2014</v>
      </c>
      <c r="AL19" s="901" t="s">
        <v>2017</v>
      </c>
      <c r="AM19" s="901" t="s">
        <v>2018</v>
      </c>
      <c r="AN19" s="901" t="s">
        <v>2014</v>
      </c>
      <c r="AO19" s="901" t="s">
        <v>2014</v>
      </c>
      <c r="AP19" s="901" t="s">
        <v>1989</v>
      </c>
      <c r="AQ19" s="901" t="s">
        <v>1989</v>
      </c>
      <c r="AR19" s="901" t="s">
        <v>2015</v>
      </c>
      <c r="AS19" s="901" t="s">
        <v>2020</v>
      </c>
      <c r="AT19" s="901" t="s">
        <v>2020</v>
      </c>
      <c r="AU19" s="901" t="s">
        <v>2021</v>
      </c>
      <c r="AV19" s="901" t="s">
        <v>2021</v>
      </c>
      <c r="AW19" s="901" t="s">
        <v>2019</v>
      </c>
      <c r="AX19" s="901" t="s">
        <v>2023</v>
      </c>
      <c r="AY19" s="901" t="s">
        <v>2015</v>
      </c>
      <c r="AZ19" s="901" t="s">
        <v>2024</v>
      </c>
      <c r="BA19" s="901" t="s">
        <v>2020</v>
      </c>
      <c r="BB19" s="901" t="s">
        <v>2867</v>
      </c>
      <c r="BC19" s="901" t="s">
        <v>2016</v>
      </c>
      <c r="BD19" s="901" t="s">
        <v>2016</v>
      </c>
      <c r="BE19" s="901" t="s">
        <v>2016</v>
      </c>
      <c r="BF19" s="901" t="s">
        <v>2025</v>
      </c>
      <c r="BG19" s="901" t="s">
        <v>2022</v>
      </c>
      <c r="BI19" s="877"/>
      <c r="BJ19" s="877"/>
      <c r="BK19" s="877"/>
      <c r="BL19" s="877"/>
      <c r="BM19" s="877"/>
      <c r="BN19" s="877"/>
      <c r="BO19" s="877"/>
      <c r="BP19" s="877"/>
      <c r="BQ19" s="877"/>
      <c r="BR19" s="877"/>
      <c r="BS19" s="428"/>
      <c r="BT19" s="428"/>
      <c r="BU19" s="428"/>
      <c r="BV19" s="428"/>
      <c r="BW19" s="877"/>
      <c r="BX19" s="877"/>
      <c r="BY19" s="877"/>
      <c r="BZ19" s="877"/>
      <c r="CA19" s="877"/>
      <c r="CB19" s="877"/>
      <c r="CC19" s="877"/>
      <c r="CD19" s="428"/>
      <c r="CE19" s="876"/>
      <c r="CF19" s="876"/>
      <c r="CG19" s="876"/>
    </row>
    <row r="20" spans="1:114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18</v>
      </c>
      <c r="G20" s="822" t="str">
        <f ca="1">MID(CELL("filename",A1),FIND("]",CELL("filename",A1))+1,LEN(CELL("filename",A1))-FIND("]",CELL("filename",A1)))</f>
        <v>Gifu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1409</v>
      </c>
      <c r="AH20" s="887" t="s">
        <v>1410</v>
      </c>
      <c r="AI20" s="887" t="s">
        <v>1411</v>
      </c>
      <c r="AJ20" s="887" t="s">
        <v>3534</v>
      </c>
      <c r="AK20" s="887" t="s">
        <v>1412</v>
      </c>
      <c r="AL20" s="887" t="s">
        <v>1413</v>
      </c>
      <c r="AM20" s="887" t="s">
        <v>3107</v>
      </c>
      <c r="AN20" s="887" t="s">
        <v>1893</v>
      </c>
      <c r="AO20" s="887" t="s">
        <v>1414</v>
      </c>
      <c r="AP20" s="887" t="s">
        <v>1415</v>
      </c>
      <c r="AQ20" s="887" t="s">
        <v>2576</v>
      </c>
      <c r="AR20" s="887" t="s">
        <v>1416</v>
      </c>
      <c r="AS20" s="887" t="s">
        <v>3535</v>
      </c>
      <c r="AT20" s="887" t="s">
        <v>1417</v>
      </c>
      <c r="AU20" s="887" t="s">
        <v>1418</v>
      </c>
      <c r="AV20" s="887" t="s">
        <v>2922</v>
      </c>
      <c r="AW20" s="887" t="s">
        <v>3457</v>
      </c>
      <c r="AX20" s="887" t="s">
        <v>1894</v>
      </c>
      <c r="AY20" s="887" t="s">
        <v>1420</v>
      </c>
      <c r="AZ20" s="887" t="s">
        <v>1421</v>
      </c>
      <c r="BA20" s="887" t="s">
        <v>1895</v>
      </c>
      <c r="BB20" s="887" t="s">
        <v>2868</v>
      </c>
      <c r="BC20" s="887" t="s">
        <v>1896</v>
      </c>
      <c r="BD20" s="887" t="s">
        <v>1422</v>
      </c>
      <c r="BE20" s="887" t="s">
        <v>1897</v>
      </c>
      <c r="BF20" s="887" t="s">
        <v>1423</v>
      </c>
      <c r="BG20" s="887" t="s">
        <v>1419</v>
      </c>
      <c r="BI20" s="887"/>
      <c r="BJ20" s="887"/>
      <c r="BK20" s="887"/>
      <c r="BL20" s="864"/>
      <c r="BM20" s="864"/>
      <c r="BN20" s="887"/>
      <c r="BO20" s="887"/>
      <c r="BP20" s="864"/>
      <c r="BQ20" s="864"/>
      <c r="BR20" s="864"/>
      <c r="BS20" s="847"/>
      <c r="BT20" s="847"/>
      <c r="BU20" s="847"/>
      <c r="BV20" s="847"/>
      <c r="BW20" s="864"/>
      <c r="BX20" s="864"/>
      <c r="BY20" s="864"/>
      <c r="BZ20" s="864"/>
      <c r="CA20" s="864"/>
      <c r="CB20" s="864"/>
      <c r="CC20" s="864"/>
      <c r="CD20" s="82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</row>
    <row r="21" spans="1:114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1699</v>
      </c>
      <c r="AH21" s="886" t="s">
        <v>910</v>
      </c>
      <c r="AI21" s="886" t="s">
        <v>1222</v>
      </c>
      <c r="AJ21" s="886" t="s">
        <v>911</v>
      </c>
      <c r="AK21" s="886" t="s">
        <v>1223</v>
      </c>
      <c r="AL21" s="886" t="s">
        <v>1700</v>
      </c>
      <c r="AM21" s="886" t="s">
        <v>1224</v>
      </c>
      <c r="AN21" s="886" t="s">
        <v>1225</v>
      </c>
      <c r="AO21" s="886" t="s">
        <v>1701</v>
      </c>
      <c r="AP21" s="886" t="s">
        <v>1702</v>
      </c>
      <c r="AQ21" s="886" t="s">
        <v>1703</v>
      </c>
      <c r="AR21" s="886" t="s">
        <v>1704</v>
      </c>
      <c r="AS21" s="886" t="s">
        <v>1705</v>
      </c>
      <c r="AT21" s="886" t="s">
        <v>912</v>
      </c>
      <c r="AU21" s="886" t="s">
        <v>1226</v>
      </c>
      <c r="AV21" s="886" t="s">
        <v>1001</v>
      </c>
      <c r="AW21" s="886" t="s">
        <v>1228</v>
      </c>
      <c r="AX21" s="886" t="s">
        <v>1706</v>
      </c>
      <c r="AY21" s="886" t="s">
        <v>913</v>
      </c>
      <c r="AZ21" s="886" t="s">
        <v>1229</v>
      </c>
      <c r="BA21" s="886" t="s">
        <v>1707</v>
      </c>
      <c r="BB21" s="886" t="s">
        <v>2869</v>
      </c>
      <c r="BC21" s="886" t="s">
        <v>1230</v>
      </c>
      <c r="BD21" s="886" t="s">
        <v>1708</v>
      </c>
      <c r="BE21" s="886" t="s">
        <v>1231</v>
      </c>
      <c r="BF21" s="886" t="s">
        <v>915</v>
      </c>
      <c r="BG21" s="886" t="s">
        <v>1227</v>
      </c>
      <c r="BH21" s="886" t="s">
        <v>2447</v>
      </c>
      <c r="BI21" s="886"/>
      <c r="BJ21" s="886"/>
      <c r="BK21" s="886"/>
      <c r="BL21" s="864"/>
      <c r="BM21" s="864"/>
      <c r="BN21" s="886"/>
      <c r="BO21" s="886"/>
      <c r="BP21" s="864"/>
      <c r="BQ21" s="864"/>
      <c r="BR21" s="864"/>
      <c r="BS21" s="847"/>
      <c r="BT21" s="847"/>
      <c r="BU21" s="847"/>
      <c r="BV21" s="847"/>
      <c r="BW21" s="864"/>
      <c r="BX21" s="864"/>
      <c r="BY21" s="864"/>
      <c r="BZ21" s="864"/>
      <c r="CA21" s="864"/>
      <c r="CB21" s="864"/>
      <c r="CC21" s="864"/>
      <c r="CD21" s="82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</row>
    <row r="22" spans="1:114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</row>
    <row r="23" spans="1:114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20</v>
      </c>
      <c r="G23" s="879" t="s">
        <v>882</v>
      </c>
      <c r="H23" s="879" t="s">
        <v>22</v>
      </c>
      <c r="I23" s="879" t="s">
        <v>891</v>
      </c>
      <c r="J23" s="846">
        <v>2</v>
      </c>
      <c r="K23" s="846">
        <v>2</v>
      </c>
      <c r="L23" s="816" t="str">
        <f>IF(J23="","",IF(J23&gt;K23,"W",IF(J23=K23,"D",IF(J23&lt;K23,"L"))))</f>
        <v>D</v>
      </c>
      <c r="M23" s="816">
        <f>IF(J23="","",J23+K23)</f>
        <v>4</v>
      </c>
      <c r="N23" s="816" t="str">
        <f>IF($J23="","",IF($M23&gt;N$19,"O",IF($M23&lt;N$19,"U",IF($M23=N$19,"-"))))</f>
        <v>O</v>
      </c>
      <c r="O23" s="816">
        <f t="shared" ref="O23:O57" si="26">IF(Q23="","",IF(SIGN(Q23)&lt;&gt;1,VLOOKUP(ABS(Q23),SUP_HDC,3,TRUE),-VLOOKUP(ABS(Q23),SUP_HDC,3,TRUE)))</f>
        <v>0.25</v>
      </c>
      <c r="P23" s="829">
        <f>IF(O23="","",IF((J23-K23+O23)&gt;=0.5,1,IF((J23-K23+O23)=0.25,0.5,IF((J23-K23+O23)&lt;=-0.5,-1,IF((J23-K23+O23)=-0.25,-0.5,0)))))</f>
        <v>0.5</v>
      </c>
      <c r="Q23" s="830">
        <v>-0.32</v>
      </c>
      <c r="R23" s="871">
        <f>IF(ISBLANK(Q23),"",J23-K23-Q23)</f>
        <v>0.32</v>
      </c>
      <c r="S23" s="830">
        <v>2.5099999999999998</v>
      </c>
      <c r="T23" s="871">
        <f>IF(ISBLANK(S23),"",J23+K23-S23)</f>
        <v>1.4900000000000002</v>
      </c>
      <c r="U23" s="868">
        <f>IF(Q23="","",(Q23+S23)/2)</f>
        <v>1.095</v>
      </c>
      <c r="V23" s="868">
        <f>IF(Q23="","",S23-U23)</f>
        <v>1.4149999999999998</v>
      </c>
      <c r="W23" s="816">
        <v>12</v>
      </c>
      <c r="X23" s="816">
        <v>6</v>
      </c>
      <c r="Y23" s="829">
        <v>5</v>
      </c>
      <c r="Z23" s="829">
        <v>4</v>
      </c>
      <c r="AA23" s="829">
        <v>70</v>
      </c>
      <c r="AB23" s="829">
        <v>30</v>
      </c>
      <c r="AC23" s="829"/>
      <c r="AD23" s="816" t="str">
        <f t="array" ref="AD23">IF($J23="","",IF(SUM(IF(ISNUMBER(VALUE(RIGHT($AG23:$DV23,1))),VALUE(RIGHT($AG23:$DV23,1)),0))=$J23,"T","F"))</f>
        <v>T</v>
      </c>
      <c r="AE23" s="831">
        <f t="array" ref="AE23">IF($J23="","",SUM(IF(LEFT($AG23:$DV23,1)="s",1,0))-SUM(IF(RIGHT(LEFT($AG23:$DV23,2))="-",1,0)))</f>
        <v>0</v>
      </c>
      <c r="AF23" s="816">
        <f t="array" ref="AF23">IF($J23="","",SUM(IF(LEFT($AG23:$DV23,1)="X",1,0)))</f>
        <v>11</v>
      </c>
      <c r="AG23" s="891" t="s">
        <v>32</v>
      </c>
      <c r="AH23" s="891" t="s">
        <v>1877</v>
      </c>
      <c r="AI23" s="891" t="s">
        <v>34</v>
      </c>
      <c r="AJ23" s="891" t="s">
        <v>1877</v>
      </c>
      <c r="AK23" s="891" t="s">
        <v>1877</v>
      </c>
      <c r="AL23" s="891" t="s">
        <v>32</v>
      </c>
      <c r="AM23" s="891" t="s">
        <v>34</v>
      </c>
      <c r="AN23" s="904" t="s">
        <v>34</v>
      </c>
      <c r="AO23" s="891" t="s">
        <v>32</v>
      </c>
      <c r="AP23" s="891" t="s">
        <v>32</v>
      </c>
      <c r="AQ23" s="891" t="s">
        <v>34</v>
      </c>
      <c r="AR23" s="904" t="s">
        <v>1879</v>
      </c>
      <c r="AS23" s="891" t="s">
        <v>34</v>
      </c>
      <c r="AT23" s="906" t="s">
        <v>1881</v>
      </c>
      <c r="AU23" s="891" t="s">
        <v>32</v>
      </c>
      <c r="AV23" s="891" t="s">
        <v>34</v>
      </c>
      <c r="AW23" s="891" t="s">
        <v>35</v>
      </c>
      <c r="AX23" s="891" t="s">
        <v>36</v>
      </c>
      <c r="AY23" s="891" t="s">
        <v>1877</v>
      </c>
      <c r="AZ23" s="891" t="s">
        <v>1879</v>
      </c>
      <c r="BA23" s="891" t="s">
        <v>32</v>
      </c>
      <c r="BB23" s="910"/>
      <c r="BC23" s="891" t="s">
        <v>35</v>
      </c>
      <c r="BD23" s="891" t="s">
        <v>32</v>
      </c>
      <c r="BE23" s="891" t="s">
        <v>32</v>
      </c>
      <c r="BF23" s="891" t="s">
        <v>1877</v>
      </c>
      <c r="BG23" s="891" t="s">
        <v>34</v>
      </c>
      <c r="BI23" s="891"/>
      <c r="BJ23" s="891"/>
      <c r="BK23" s="891"/>
      <c r="BL23" s="891"/>
      <c r="BM23" s="891"/>
      <c r="BN23" s="891"/>
      <c r="BO23" s="891"/>
      <c r="BP23" s="891"/>
      <c r="BQ23" s="891"/>
      <c r="BR23" s="891"/>
      <c r="BS23" s="896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428"/>
      <c r="CE23" s="428"/>
      <c r="CF23" s="428"/>
      <c r="CG23" s="428"/>
      <c r="CH23" s="230" t="s">
        <v>32</v>
      </c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</row>
    <row r="24" spans="1:114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3</v>
      </c>
      <c r="G24" s="879" t="s">
        <v>1085</v>
      </c>
      <c r="H24" s="879" t="s">
        <v>18</v>
      </c>
      <c r="I24" s="879" t="s">
        <v>891</v>
      </c>
      <c r="J24" s="846">
        <v>1</v>
      </c>
      <c r="K24" s="846">
        <v>1</v>
      </c>
      <c r="L24" s="816" t="str">
        <f>IF(J24="","",IF(J24&gt;K24,"W",IF(J24=K24,"D",IF(J24&lt;K24,"L"))))</f>
        <v>D</v>
      </c>
      <c r="M24" s="816">
        <f>IF(J24="","",J24+K24)</f>
        <v>2</v>
      </c>
      <c r="N24" s="816" t="str">
        <f t="shared" ref="N24:N30" si="27">IF($J24="","",IF($M24&gt;N$19,"O",IF($M24&lt;N$19,"U",IF($M24=N$19,"-"))))</f>
        <v>U</v>
      </c>
      <c r="O24" s="816">
        <f t="shared" si="26"/>
        <v>0.75</v>
      </c>
      <c r="P24" s="829">
        <f t="shared" ref="P24:P57" si="28">IF(O24="","",IF((J24-K24+O24)&gt;=0.5,1,IF((J24-K24+O24)=0.25,0.5,IF((J24-K24+O24)&lt;=-0.5,-1,IF((J24-K24+O24)=-0.25,-0.5,0)))))</f>
        <v>1</v>
      </c>
      <c r="Q24" s="830">
        <v>-0.88</v>
      </c>
      <c r="R24" s="871">
        <f t="shared" ref="R24:R66" si="29">IF(ISBLANK(Q24),"",J24-K24-Q24)</f>
        <v>0.88</v>
      </c>
      <c r="S24" s="830">
        <v>2.63</v>
      </c>
      <c r="T24" s="871">
        <f t="shared" ref="T24:T48" si="30">IF(ISBLANK(S24),"",J24+K24-S24)</f>
        <v>-0.62999999999999989</v>
      </c>
      <c r="U24" s="868">
        <f t="shared" ref="U24:U67" si="31">IF(Q24="","",(Q24+S24)/2)</f>
        <v>0.875</v>
      </c>
      <c r="V24" s="868">
        <f t="shared" ref="V24:V67" si="32">IF(Q24="","",S24-U24)</f>
        <v>1.7549999999999999</v>
      </c>
      <c r="W24" s="829">
        <v>12</v>
      </c>
      <c r="X24" s="829">
        <v>10</v>
      </c>
      <c r="Y24" s="829">
        <v>4</v>
      </c>
      <c r="Z24" s="829">
        <v>1</v>
      </c>
      <c r="AA24" s="829">
        <v>57</v>
      </c>
      <c r="AB24" s="829">
        <v>43</v>
      </c>
      <c r="AD24" s="816" t="str">
        <f t="array" ref="AD24">IF($J24="","",IF(SUM(IF(ISNUMBER(VALUE(RIGHT($AG24:$DV24,1))),VALUE(RIGHT($AG24:$DV24,1)),0))=$J24,"T","F"))</f>
        <v>T</v>
      </c>
      <c r="AE24" s="831">
        <f t="array" ref="AE24">IF($J24="","",SUM(IF(LEFT($AG24:$DV24,1)="s",1,0))-SUM(IF(RIGHT(LEFT($AG24:$DV24,2))="-",1,0)))</f>
        <v>0</v>
      </c>
      <c r="AF24" s="816">
        <f t="array" ref="AF24">IF($J24="","",SUM(IF(LEFT($AG24:$DV24,1)="X",1,0)))</f>
        <v>11</v>
      </c>
      <c r="AG24" s="891" t="s">
        <v>32</v>
      </c>
      <c r="AH24" s="891" t="s">
        <v>1877</v>
      </c>
      <c r="AI24" s="891" t="s">
        <v>34</v>
      </c>
      <c r="AJ24" s="891" t="s">
        <v>1877</v>
      </c>
      <c r="AK24" s="891" t="s">
        <v>1877</v>
      </c>
      <c r="AL24" s="891" t="s">
        <v>32</v>
      </c>
      <c r="AM24" s="891" t="s">
        <v>34</v>
      </c>
      <c r="AN24" s="891" t="s">
        <v>34</v>
      </c>
      <c r="AO24" s="891" t="s">
        <v>32</v>
      </c>
      <c r="AP24" s="891" t="s">
        <v>32</v>
      </c>
      <c r="AQ24" s="891" t="s">
        <v>34</v>
      </c>
      <c r="AR24" s="891" t="s">
        <v>34</v>
      </c>
      <c r="AS24" s="891" t="s">
        <v>34</v>
      </c>
      <c r="AT24" s="891" t="s">
        <v>1950</v>
      </c>
      <c r="AU24" s="891" t="s">
        <v>1877</v>
      </c>
      <c r="AV24" s="891" t="s">
        <v>34</v>
      </c>
      <c r="AW24" s="891" t="s">
        <v>1886</v>
      </c>
      <c r="AX24" s="891" t="s">
        <v>36</v>
      </c>
      <c r="AY24" s="891" t="s">
        <v>36</v>
      </c>
      <c r="AZ24" s="891" t="s">
        <v>35</v>
      </c>
      <c r="BA24" s="891" t="s">
        <v>32</v>
      </c>
      <c r="BB24" s="910"/>
      <c r="BC24" s="891" t="s">
        <v>35</v>
      </c>
      <c r="BD24" s="891" t="s">
        <v>32</v>
      </c>
      <c r="BE24" s="891" t="s">
        <v>32</v>
      </c>
      <c r="BF24" s="891" t="s">
        <v>36</v>
      </c>
      <c r="BG24" s="891" t="s">
        <v>35</v>
      </c>
      <c r="BI24" s="891"/>
      <c r="BJ24" s="891"/>
      <c r="BK24" s="891"/>
      <c r="BL24" s="891"/>
      <c r="BM24" s="891"/>
      <c r="BN24" s="891"/>
      <c r="BO24" s="891"/>
      <c r="BP24" s="891"/>
      <c r="BQ24" s="891"/>
      <c r="BR24" s="891"/>
      <c r="BS24" s="896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428"/>
      <c r="CE24" s="428"/>
      <c r="CF24" s="428"/>
      <c r="CG24" s="428"/>
      <c r="CH24" s="230" t="s">
        <v>32</v>
      </c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</row>
    <row r="25" spans="1:114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8</v>
      </c>
      <c r="G25" s="879" t="s">
        <v>880</v>
      </c>
      <c r="H25" s="879" t="s">
        <v>22</v>
      </c>
      <c r="I25" s="879" t="s">
        <v>891</v>
      </c>
      <c r="J25" s="846">
        <v>0</v>
      </c>
      <c r="K25" s="846">
        <v>1</v>
      </c>
      <c r="L25" s="816" t="str">
        <f>IF(J25="","",IF(J25&gt;K25,"W",IF(J25=K25,"D",IF(J25&lt;K25,"L"))))</f>
        <v>L</v>
      </c>
      <c r="M25" s="816">
        <f>IF(J25="","",J25+K25)</f>
        <v>1</v>
      </c>
      <c r="N25" s="816" t="str">
        <f t="shared" si="27"/>
        <v>U</v>
      </c>
      <c r="O25" s="816">
        <f t="shared" si="26"/>
        <v>0.5</v>
      </c>
      <c r="P25" s="829">
        <f t="shared" si="28"/>
        <v>-1</v>
      </c>
      <c r="Q25" s="830">
        <v>-0.53</v>
      </c>
      <c r="R25" s="871">
        <f t="shared" si="29"/>
        <v>-0.47</v>
      </c>
      <c r="S25" s="830">
        <v>2.41</v>
      </c>
      <c r="T25" s="871">
        <f t="shared" si="30"/>
        <v>-1.4100000000000001</v>
      </c>
      <c r="U25" s="868">
        <f t="shared" si="31"/>
        <v>0.94000000000000006</v>
      </c>
      <c r="V25" s="868">
        <f t="shared" si="32"/>
        <v>1.4700000000000002</v>
      </c>
      <c r="W25" s="829">
        <v>10</v>
      </c>
      <c r="X25" s="829">
        <v>15</v>
      </c>
      <c r="Y25" s="829">
        <v>1</v>
      </c>
      <c r="Z25" s="829">
        <v>5</v>
      </c>
      <c r="AA25" s="829">
        <v>72</v>
      </c>
      <c r="AB25" s="829">
        <v>28</v>
      </c>
      <c r="AC25" s="829"/>
      <c r="AD25" s="816" t="str">
        <f t="array" ref="AD25">IF($J25="","",IF(SUM(IF(ISNUMBER(VALUE(RIGHT($AG25:$DV25,1))),VALUE(RIGHT($AG25:$DV25,1)),0))=$J25,"T","F"))</f>
        <v>T</v>
      </c>
      <c r="AE25" s="831">
        <f t="array" ref="AE25">IF($J25="","",SUM(IF(LEFT($AG25:$DV25,1)="s",1,0))-SUM(IF(RIGHT(LEFT($AG25:$DV25,2))="-",1,0)))</f>
        <v>0</v>
      </c>
      <c r="AF25" s="816">
        <f t="array" ref="AF25">IF($J25="","",SUM(IF(LEFT($AG25:$DV25,1)="X",1,0)))</f>
        <v>11</v>
      </c>
      <c r="AG25" s="891" t="s">
        <v>32</v>
      </c>
      <c r="AH25" s="891" t="s">
        <v>1877</v>
      </c>
      <c r="AI25" s="891" t="s">
        <v>34</v>
      </c>
      <c r="AJ25" s="891" t="s">
        <v>36</v>
      </c>
      <c r="AK25" s="891" t="s">
        <v>1877</v>
      </c>
      <c r="AL25" s="891" t="s">
        <v>32</v>
      </c>
      <c r="AM25" s="904" t="s">
        <v>34</v>
      </c>
      <c r="AN25" s="891" t="s">
        <v>34</v>
      </c>
      <c r="AO25" s="891" t="s">
        <v>32</v>
      </c>
      <c r="AP25" s="891" t="s">
        <v>32</v>
      </c>
      <c r="AQ25" s="891" t="s">
        <v>34</v>
      </c>
      <c r="AR25" s="891" t="s">
        <v>34</v>
      </c>
      <c r="AS25" s="891" t="s">
        <v>34</v>
      </c>
      <c r="AT25" s="891" t="s">
        <v>34</v>
      </c>
      <c r="AU25" s="891" t="s">
        <v>1877</v>
      </c>
      <c r="AV25" s="891" t="s">
        <v>34</v>
      </c>
      <c r="AW25" s="891" t="s">
        <v>1886</v>
      </c>
      <c r="AX25" s="891" t="s">
        <v>36</v>
      </c>
      <c r="AY25" s="891" t="s">
        <v>32</v>
      </c>
      <c r="AZ25" s="891" t="s">
        <v>35</v>
      </c>
      <c r="BA25" s="891" t="s">
        <v>32</v>
      </c>
      <c r="BB25" s="910"/>
      <c r="BC25" s="891" t="s">
        <v>35</v>
      </c>
      <c r="BD25" s="891" t="s">
        <v>1877</v>
      </c>
      <c r="BE25" s="891" t="s">
        <v>32</v>
      </c>
      <c r="BF25" s="891" t="s">
        <v>36</v>
      </c>
      <c r="BG25" s="891" t="s">
        <v>35</v>
      </c>
      <c r="BI25" s="891"/>
      <c r="BJ25" s="891"/>
      <c r="BK25" s="891"/>
      <c r="BL25" s="891"/>
      <c r="BM25" s="891"/>
      <c r="BN25" s="891"/>
      <c r="BO25" s="891"/>
      <c r="BP25" s="891"/>
      <c r="BQ25" s="891"/>
      <c r="BR25" s="891"/>
      <c r="BS25" s="896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428"/>
      <c r="CE25" s="428"/>
      <c r="CF25" s="428"/>
      <c r="CG25" s="428"/>
      <c r="CH25" s="230" t="s">
        <v>32</v>
      </c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</row>
    <row r="26" spans="1:114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10</v>
      </c>
      <c r="G26" s="879" t="s">
        <v>883</v>
      </c>
      <c r="H26" s="879" t="s">
        <v>22</v>
      </c>
      <c r="I26" s="879" t="s">
        <v>891</v>
      </c>
      <c r="J26" s="846">
        <v>1</v>
      </c>
      <c r="K26" s="846">
        <v>2</v>
      </c>
      <c r="L26" s="816" t="str">
        <f t="shared" ref="L26:L30" si="33">IF(J26="","",IF(J26&gt;K26,"W",IF(J26=K26,"D",IF(J26&lt;K26,"L"))))</f>
        <v>L</v>
      </c>
      <c r="M26" s="816">
        <f t="shared" ref="M26:M30" si="34">IF(J26="","",J26+K26)</f>
        <v>3</v>
      </c>
      <c r="N26" s="816" t="str">
        <f t="shared" si="27"/>
        <v>O</v>
      </c>
      <c r="O26" s="816">
        <f t="shared" si="26"/>
        <v>0</v>
      </c>
      <c r="P26" s="829">
        <f t="shared" si="28"/>
        <v>-1</v>
      </c>
      <c r="Q26" s="830">
        <v>0.12</v>
      </c>
      <c r="R26" s="871">
        <f t="shared" si="29"/>
        <v>-1.1200000000000001</v>
      </c>
      <c r="S26" s="830">
        <v>2.17</v>
      </c>
      <c r="T26" s="871">
        <f t="shared" si="30"/>
        <v>0.83000000000000007</v>
      </c>
      <c r="U26" s="868">
        <f t="shared" si="31"/>
        <v>1.145</v>
      </c>
      <c r="V26" s="868">
        <f t="shared" si="32"/>
        <v>1.0249999999999999</v>
      </c>
      <c r="W26" s="829">
        <v>12</v>
      </c>
      <c r="X26" s="829">
        <v>9</v>
      </c>
      <c r="Y26" s="829">
        <v>2</v>
      </c>
      <c r="Z26" s="829">
        <v>4</v>
      </c>
      <c r="AA26" s="829">
        <v>70</v>
      </c>
      <c r="AB26" s="829">
        <v>30</v>
      </c>
      <c r="AC26" s="829"/>
      <c r="AD26" s="816" t="str">
        <f t="array" ref="AD26">IF($J26="","",IF(SUM(IF(ISNUMBER(VALUE(RIGHT($AG26:$DV26,1))),VALUE(RIGHT($AG26:$DV26,1)),0))=$J26,"T","F"))</f>
        <v>T</v>
      </c>
      <c r="AE26" s="831">
        <f t="array" ref="AE26">IF($J26="","",SUM(IF(LEFT($AG26:$DV26,1)="s",1,0))-SUM(IF(RIGHT(LEFT($AG26:$DV26,2))="-",1,0)))</f>
        <v>0</v>
      </c>
      <c r="AF26" s="816">
        <f t="array" ref="AF26">IF($J26="","",SUM(IF(LEFT($AG26:$DV26,1)="X",1,0)))</f>
        <v>11</v>
      </c>
      <c r="AG26" s="891" t="s">
        <v>32</v>
      </c>
      <c r="AH26" s="891" t="s">
        <v>1877</v>
      </c>
      <c r="AI26" s="891" t="s">
        <v>34</v>
      </c>
      <c r="AJ26" s="891" t="s">
        <v>1877</v>
      </c>
      <c r="AK26" s="891" t="s">
        <v>1877</v>
      </c>
      <c r="AL26" s="891" t="s">
        <v>32</v>
      </c>
      <c r="AM26" s="891" t="s">
        <v>34</v>
      </c>
      <c r="AN26" s="891" t="s">
        <v>34</v>
      </c>
      <c r="AO26" s="891" t="s">
        <v>32</v>
      </c>
      <c r="AP26" s="891" t="s">
        <v>32</v>
      </c>
      <c r="AQ26" s="891" t="s">
        <v>34</v>
      </c>
      <c r="AR26" s="891" t="s">
        <v>35</v>
      </c>
      <c r="AS26" s="891" t="s">
        <v>34</v>
      </c>
      <c r="AT26" s="891" t="s">
        <v>35</v>
      </c>
      <c r="AU26" s="891" t="s">
        <v>32</v>
      </c>
      <c r="AV26" s="891" t="s">
        <v>2115</v>
      </c>
      <c r="AW26" s="904" t="s">
        <v>36</v>
      </c>
      <c r="AX26" s="891" t="s">
        <v>36</v>
      </c>
      <c r="AY26" s="891" t="s">
        <v>1877</v>
      </c>
      <c r="AZ26" s="891" t="s">
        <v>34</v>
      </c>
      <c r="BA26" s="891" t="s">
        <v>32</v>
      </c>
      <c r="BB26" s="910"/>
      <c r="BC26" s="891" t="s">
        <v>34</v>
      </c>
      <c r="BD26" s="891" t="s">
        <v>32</v>
      </c>
      <c r="BE26" s="891" t="s">
        <v>32</v>
      </c>
      <c r="BF26" s="891" t="s">
        <v>36</v>
      </c>
      <c r="BG26" s="891" t="s">
        <v>35</v>
      </c>
      <c r="BI26" s="891"/>
      <c r="BJ26" s="891"/>
      <c r="BK26" s="891"/>
      <c r="BL26" s="891"/>
      <c r="BM26" s="891"/>
      <c r="BN26" s="891"/>
      <c r="BO26" s="891"/>
      <c r="BP26" s="891"/>
      <c r="BQ26" s="891"/>
      <c r="BR26" s="891"/>
      <c r="BS26" s="896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4"/>
      <c r="CE26" s="4"/>
      <c r="CF26" s="4"/>
      <c r="CG26" s="4"/>
      <c r="CH26" s="4" t="s">
        <v>32</v>
      </c>
      <c r="CI26" s="4" t="s">
        <v>32</v>
      </c>
      <c r="CJ26" s="4" t="s">
        <v>32</v>
      </c>
      <c r="CK26" s="6" t="s">
        <v>32</v>
      </c>
      <c r="CL26" s="6" t="s">
        <v>32</v>
      </c>
      <c r="CM26" s="6" t="s">
        <v>32</v>
      </c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20"/>
    </row>
    <row r="27" spans="1:114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5</v>
      </c>
      <c r="G27" s="879" t="s">
        <v>889</v>
      </c>
      <c r="H27" s="879" t="s">
        <v>18</v>
      </c>
      <c r="I27" s="879" t="s">
        <v>891</v>
      </c>
      <c r="J27" s="846">
        <v>0</v>
      </c>
      <c r="K27" s="846">
        <v>1</v>
      </c>
      <c r="L27" s="816" t="str">
        <f t="shared" si="33"/>
        <v>L</v>
      </c>
      <c r="M27" s="816">
        <f t="shared" si="34"/>
        <v>1</v>
      </c>
      <c r="N27" s="816" t="str">
        <f t="shared" si="27"/>
        <v>U</v>
      </c>
      <c r="O27" s="816">
        <f t="shared" si="26"/>
        <v>0.25</v>
      </c>
      <c r="P27" s="829">
        <f t="shared" si="28"/>
        <v>-1</v>
      </c>
      <c r="Q27" s="830">
        <v>-0.33</v>
      </c>
      <c r="R27" s="871">
        <f t="shared" si="29"/>
        <v>-0.66999999999999993</v>
      </c>
      <c r="S27" s="830">
        <v>2.4300000000000002</v>
      </c>
      <c r="T27" s="871">
        <f t="shared" si="30"/>
        <v>-1.4300000000000002</v>
      </c>
      <c r="U27" s="868">
        <f t="shared" si="31"/>
        <v>1.05</v>
      </c>
      <c r="V27" s="868">
        <f t="shared" si="32"/>
        <v>1.3800000000000001</v>
      </c>
      <c r="W27" s="829">
        <v>15</v>
      </c>
      <c r="X27" s="829">
        <v>12</v>
      </c>
      <c r="Y27" s="829">
        <v>3</v>
      </c>
      <c r="Z27" s="829">
        <v>7</v>
      </c>
      <c r="AA27" s="829">
        <v>61</v>
      </c>
      <c r="AB27" s="829">
        <v>39</v>
      </c>
      <c r="AC27" s="829"/>
      <c r="AD27" s="816" t="str">
        <f t="array" ref="AD27">IF($J27="","",IF(SUM(IF(ISNUMBER(VALUE(RIGHT($AG27:$DV27,1))),VALUE(RIGHT($AG27:$DV27,1)),0))=$J27,"T","F"))</f>
        <v>T</v>
      </c>
      <c r="AE27" s="831">
        <f t="array" ref="AE27">IF($J27="","",SUM(IF(LEFT($AG27:$DV27,1)="s",1,0))-SUM(IF(RIGHT(LEFT($AG27:$DV27,2))="-",1,0)))</f>
        <v>0</v>
      </c>
      <c r="AF27" s="816">
        <f t="array" ref="AF27">IF($J27="","",SUM(IF(LEFT($AG27:$DV27,1)="X",1,0)))</f>
        <v>11</v>
      </c>
      <c r="AG27" s="891"/>
      <c r="AH27" s="891" t="s">
        <v>1877</v>
      </c>
      <c r="AI27" s="891" t="s">
        <v>34</v>
      </c>
      <c r="AJ27" s="891" t="s">
        <v>1877</v>
      </c>
      <c r="AK27" s="891" t="s">
        <v>1877</v>
      </c>
      <c r="AL27" s="891" t="s">
        <v>32</v>
      </c>
      <c r="AM27" s="891" t="s">
        <v>34</v>
      </c>
      <c r="AN27" s="891" t="s">
        <v>34</v>
      </c>
      <c r="AO27" s="891" t="s">
        <v>32</v>
      </c>
      <c r="AP27" s="891" t="s">
        <v>32</v>
      </c>
      <c r="AQ27" s="904" t="s">
        <v>34</v>
      </c>
      <c r="AR27" s="891" t="s">
        <v>34</v>
      </c>
      <c r="AS27" s="891" t="s">
        <v>34</v>
      </c>
      <c r="AT27" s="891" t="s">
        <v>36</v>
      </c>
      <c r="AU27" s="891" t="s">
        <v>36</v>
      </c>
      <c r="AV27" s="891" t="s">
        <v>34</v>
      </c>
      <c r="AW27" s="891" t="s">
        <v>32</v>
      </c>
      <c r="AX27" s="891" t="s">
        <v>35</v>
      </c>
      <c r="AY27" s="891" t="s">
        <v>1877</v>
      </c>
      <c r="AZ27" s="891" t="s">
        <v>35</v>
      </c>
      <c r="BA27" s="891" t="s">
        <v>32</v>
      </c>
      <c r="BB27" s="910"/>
      <c r="BC27" s="891" t="s">
        <v>34</v>
      </c>
      <c r="BD27" s="904" t="s">
        <v>36</v>
      </c>
      <c r="BE27" s="891" t="s">
        <v>32</v>
      </c>
      <c r="BF27" s="891" t="s">
        <v>35</v>
      </c>
      <c r="BG27" s="891"/>
      <c r="BH27" s="891"/>
      <c r="BI27" s="891"/>
      <c r="BJ27" s="891"/>
      <c r="BK27" s="891"/>
      <c r="BL27" s="891"/>
      <c r="BM27" s="891"/>
      <c r="BN27" s="891"/>
      <c r="BO27" s="891"/>
      <c r="BP27" s="891"/>
      <c r="BQ27" s="891"/>
      <c r="BR27" s="891"/>
      <c r="BS27" s="896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65"/>
      <c r="CE27" s="865"/>
      <c r="CF27" s="865"/>
      <c r="CG27" s="865"/>
      <c r="CH27" s="865" t="s">
        <v>32</v>
      </c>
      <c r="CI27" s="865" t="s">
        <v>32</v>
      </c>
      <c r="CJ27" s="865" t="s">
        <v>32</v>
      </c>
      <c r="CK27" s="4" t="s">
        <v>32</v>
      </c>
      <c r="CL27" s="6" t="s">
        <v>32</v>
      </c>
      <c r="CM27" s="6" t="s">
        <v>32</v>
      </c>
      <c r="CN27" s="6" t="s">
        <v>32</v>
      </c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</row>
    <row r="28" spans="1:114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16</v>
      </c>
      <c r="G28" s="879" t="s">
        <v>872</v>
      </c>
      <c r="H28" s="879" t="s">
        <v>18</v>
      </c>
      <c r="I28" s="879" t="s">
        <v>891</v>
      </c>
      <c r="J28" s="846">
        <v>1</v>
      </c>
      <c r="K28" s="846">
        <v>0</v>
      </c>
      <c r="L28" s="816" t="str">
        <f t="shared" si="33"/>
        <v>W</v>
      </c>
      <c r="M28" s="816">
        <f t="shared" si="34"/>
        <v>1</v>
      </c>
      <c r="N28" s="816" t="str">
        <f t="shared" si="27"/>
        <v>U</v>
      </c>
      <c r="O28" s="816">
        <f t="shared" si="26"/>
        <v>0.25</v>
      </c>
      <c r="P28" s="829">
        <f t="shared" si="28"/>
        <v>1</v>
      </c>
      <c r="Q28" s="830">
        <v>-0.24</v>
      </c>
      <c r="R28" s="871">
        <f t="shared" si="29"/>
        <v>1.24</v>
      </c>
      <c r="S28" s="830">
        <v>2.36</v>
      </c>
      <c r="T28" s="871">
        <f t="shared" si="30"/>
        <v>-1.3599999999999999</v>
      </c>
      <c r="U28" s="868">
        <f t="shared" si="31"/>
        <v>1.06</v>
      </c>
      <c r="V28" s="868">
        <f t="shared" si="32"/>
        <v>1.2999999999999998</v>
      </c>
      <c r="W28" s="829">
        <v>13</v>
      </c>
      <c r="X28" s="829">
        <v>17</v>
      </c>
      <c r="Y28" s="829">
        <v>3</v>
      </c>
      <c r="Z28" s="829">
        <v>8</v>
      </c>
      <c r="AA28" s="829">
        <v>63</v>
      </c>
      <c r="AB28" s="829">
        <v>37</v>
      </c>
      <c r="AC28" s="829"/>
      <c r="AD28" s="816" t="str">
        <f t="array" ref="AD28">IF($J28="","",IF(SUM(IF(ISNUMBER(VALUE(RIGHT($AG28:$DV28,1))),VALUE(RIGHT($AG28:$DV28,1)),0))=$J28,"T","F"))</f>
        <v>T</v>
      </c>
      <c r="AE28" s="831">
        <f t="array" ref="AE28">IF($J28="","",SUM(IF(LEFT($AG28:$DV28,1)="s",1,0))-SUM(IF(RIGHT(LEFT($AG28:$DV28,2))="-",1,0)))</f>
        <v>0</v>
      </c>
      <c r="AF28" s="816">
        <f t="array" ref="AF28">IF($J28="","",SUM(IF(LEFT($AG28:$DV28,1)="X",1,0)))</f>
        <v>11</v>
      </c>
      <c r="AG28" s="891" t="s">
        <v>32</v>
      </c>
      <c r="AH28" s="891" t="s">
        <v>1877</v>
      </c>
      <c r="AI28" s="891" t="s">
        <v>34</v>
      </c>
      <c r="AJ28" s="891" t="s">
        <v>1877</v>
      </c>
      <c r="AK28" s="891" t="s">
        <v>32</v>
      </c>
      <c r="AL28" s="891" t="s">
        <v>32</v>
      </c>
      <c r="AM28" s="891" t="s">
        <v>34</v>
      </c>
      <c r="AN28" s="891" t="s">
        <v>34</v>
      </c>
      <c r="AO28" s="891" t="s">
        <v>32</v>
      </c>
      <c r="AP28" s="891" t="s">
        <v>32</v>
      </c>
      <c r="AQ28" s="891" t="s">
        <v>1877</v>
      </c>
      <c r="AR28" s="891" t="s">
        <v>34</v>
      </c>
      <c r="AS28" s="904" t="s">
        <v>34</v>
      </c>
      <c r="AT28" s="891" t="s">
        <v>36</v>
      </c>
      <c r="AU28" s="891" t="s">
        <v>36</v>
      </c>
      <c r="AV28" s="891" t="s">
        <v>34</v>
      </c>
      <c r="AW28" s="891" t="s">
        <v>34</v>
      </c>
      <c r="AX28" s="891" t="s">
        <v>35</v>
      </c>
      <c r="AY28" s="891" t="s">
        <v>1877</v>
      </c>
      <c r="AZ28" s="891" t="s">
        <v>35</v>
      </c>
      <c r="BA28" s="891" t="s">
        <v>32</v>
      </c>
      <c r="BB28" s="910"/>
      <c r="BC28" s="891" t="s">
        <v>34</v>
      </c>
      <c r="BD28" s="891" t="s">
        <v>32</v>
      </c>
      <c r="BE28" s="891" t="s">
        <v>32</v>
      </c>
      <c r="BF28" s="891" t="s">
        <v>2160</v>
      </c>
      <c r="BG28" s="891" t="s">
        <v>1877</v>
      </c>
      <c r="BH28" s="891"/>
      <c r="BI28" s="891"/>
      <c r="BJ28" s="891"/>
      <c r="BK28" s="891"/>
      <c r="BL28" s="891"/>
      <c r="BM28" s="891"/>
      <c r="BN28" s="891"/>
      <c r="BO28" s="891"/>
      <c r="BP28" s="891"/>
      <c r="BQ28" s="891"/>
      <c r="BR28" s="891"/>
      <c r="BS28" s="896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4"/>
      <c r="CE28" s="4"/>
      <c r="CF28" s="4"/>
      <c r="CG28" s="4"/>
      <c r="CH28" s="4" t="s">
        <v>32</v>
      </c>
      <c r="CI28" s="4" t="s">
        <v>32</v>
      </c>
      <c r="CJ28" s="4" t="s">
        <v>32</v>
      </c>
      <c r="CK28" s="4" t="s">
        <v>32</v>
      </c>
      <c r="CL28" s="6" t="s">
        <v>32</v>
      </c>
      <c r="CM28" s="6" t="s">
        <v>32</v>
      </c>
      <c r="CN28" s="6" t="s">
        <v>32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</row>
    <row r="29" spans="1:114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14</v>
      </c>
      <c r="G29" s="879" t="s">
        <v>873</v>
      </c>
      <c r="H29" s="879" t="s">
        <v>22</v>
      </c>
      <c r="I29" s="879" t="s">
        <v>891</v>
      </c>
      <c r="J29" s="846">
        <v>2</v>
      </c>
      <c r="K29" s="846">
        <v>1</v>
      </c>
      <c r="L29" s="816" t="str">
        <f t="shared" si="33"/>
        <v>W</v>
      </c>
      <c r="M29" s="816">
        <f t="shared" si="34"/>
        <v>3</v>
      </c>
      <c r="N29" s="816" t="str">
        <f t="shared" si="27"/>
        <v>O</v>
      </c>
      <c r="O29" s="816">
        <f t="shared" si="26"/>
        <v>0</v>
      </c>
      <c r="P29" s="829">
        <f t="shared" si="28"/>
        <v>1</v>
      </c>
      <c r="Q29" s="830">
        <v>0.02</v>
      </c>
      <c r="R29" s="871">
        <f t="shared" si="29"/>
        <v>0.98</v>
      </c>
      <c r="S29" s="830">
        <v>2.25</v>
      </c>
      <c r="T29" s="871">
        <f t="shared" si="30"/>
        <v>0.75</v>
      </c>
      <c r="U29" s="868">
        <f t="shared" si="31"/>
        <v>1.135</v>
      </c>
      <c r="V29" s="868">
        <f t="shared" si="32"/>
        <v>1.115</v>
      </c>
      <c r="W29" s="829">
        <v>12</v>
      </c>
      <c r="X29" s="829">
        <v>12</v>
      </c>
      <c r="Y29" s="829">
        <v>5</v>
      </c>
      <c r="Z29" s="829">
        <v>3</v>
      </c>
      <c r="AA29" s="829">
        <v>57</v>
      </c>
      <c r="AB29" s="829">
        <v>43</v>
      </c>
      <c r="AC29" s="829"/>
      <c r="AD29" s="816" t="str">
        <f t="array" ref="AD29">IF($J29="","",IF(SUM(IF(ISNUMBER(VALUE(RIGHT($AG29:$DV29,1))),VALUE(RIGHT($AG29:$DV29,1)),0))=$J29,"T","F"))</f>
        <v>T</v>
      </c>
      <c r="AE29" s="831">
        <f t="array" ref="AE29">IF($J29="","",SUM(IF(LEFT($AG29:$DV29,1)="s",1,0))-SUM(IF(RIGHT(LEFT($AG29:$DV29,2))="-",1,0)))</f>
        <v>0</v>
      </c>
      <c r="AF29" s="816">
        <f t="array" ref="AF29">IF($J29="","",SUM(IF(LEFT($AG29:$DV29,1)="X",1,0)))</f>
        <v>11</v>
      </c>
      <c r="AG29" s="891" t="s">
        <v>32</v>
      </c>
      <c r="AH29" s="891" t="s">
        <v>1877</v>
      </c>
      <c r="AI29" s="891" t="s">
        <v>34</v>
      </c>
      <c r="AJ29" s="891" t="s">
        <v>36</v>
      </c>
      <c r="AK29" s="891" t="s">
        <v>32</v>
      </c>
      <c r="AL29" s="891" t="s">
        <v>32</v>
      </c>
      <c r="AM29" s="891" t="s">
        <v>34</v>
      </c>
      <c r="AN29" s="891" t="s">
        <v>34</v>
      </c>
      <c r="AO29" s="891" t="s">
        <v>32</v>
      </c>
      <c r="AP29" s="891" t="s">
        <v>32</v>
      </c>
      <c r="AQ29" s="904" t="s">
        <v>34</v>
      </c>
      <c r="AR29" s="891" t="s">
        <v>1877</v>
      </c>
      <c r="AS29" s="891" t="s">
        <v>34</v>
      </c>
      <c r="AT29" s="891" t="s">
        <v>35</v>
      </c>
      <c r="AU29" s="891" t="s">
        <v>1877</v>
      </c>
      <c r="AV29" s="891" t="s">
        <v>34</v>
      </c>
      <c r="AW29" s="891" t="s">
        <v>34</v>
      </c>
      <c r="AX29" s="891" t="s">
        <v>36</v>
      </c>
      <c r="AY29" s="891" t="s">
        <v>1877</v>
      </c>
      <c r="AZ29" s="891" t="s">
        <v>2195</v>
      </c>
      <c r="BA29" s="891" t="s">
        <v>32</v>
      </c>
      <c r="BB29" s="910"/>
      <c r="BC29" s="891" t="s">
        <v>2194</v>
      </c>
      <c r="BD29" s="891" t="s">
        <v>32</v>
      </c>
      <c r="BE29" s="891" t="s">
        <v>32</v>
      </c>
      <c r="BF29" s="891" t="s">
        <v>34</v>
      </c>
      <c r="BG29" s="891" t="s">
        <v>1877</v>
      </c>
      <c r="BH29" s="891"/>
      <c r="BI29" s="891"/>
      <c r="BJ29" s="891"/>
      <c r="BK29" s="891"/>
      <c r="BL29" s="891"/>
      <c r="BM29" s="891"/>
      <c r="BN29" s="891"/>
      <c r="BO29" s="891"/>
      <c r="BP29" s="891"/>
      <c r="BQ29" s="891"/>
      <c r="BR29" s="891"/>
      <c r="BS29" s="896"/>
      <c r="BT29" s="896"/>
      <c r="BU29" s="896"/>
      <c r="BV29" s="896"/>
      <c r="BW29" s="896"/>
      <c r="BX29" s="896"/>
      <c r="BY29" s="896"/>
      <c r="BZ29" s="896"/>
      <c r="CA29" s="896"/>
      <c r="CB29" s="896"/>
      <c r="CC29" s="891"/>
      <c r="CD29" s="4"/>
      <c r="CE29" s="4"/>
      <c r="CF29" s="4"/>
      <c r="CG29" s="4"/>
      <c r="CH29" s="4" t="s">
        <v>32</v>
      </c>
      <c r="CI29" s="4" t="s">
        <v>32</v>
      </c>
      <c r="CJ29" s="4" t="s">
        <v>32</v>
      </c>
      <c r="CK29" s="4" t="s">
        <v>32</v>
      </c>
      <c r="CL29" s="6" t="s">
        <v>32</v>
      </c>
      <c r="CM29" s="6" t="s">
        <v>32</v>
      </c>
      <c r="CN29" s="6" t="s">
        <v>32</v>
      </c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</row>
    <row r="30" spans="1:114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</v>
      </c>
      <c r="G30" s="879" t="s">
        <v>1086</v>
      </c>
      <c r="H30" s="879" t="s">
        <v>18</v>
      </c>
      <c r="I30" s="879" t="s">
        <v>891</v>
      </c>
      <c r="J30" s="846">
        <v>3</v>
      </c>
      <c r="K30" s="846">
        <v>3</v>
      </c>
      <c r="L30" s="816" t="str">
        <f t="shared" si="33"/>
        <v>D</v>
      </c>
      <c r="M30" s="816">
        <f t="shared" si="34"/>
        <v>6</v>
      </c>
      <c r="N30" s="816" t="str">
        <f t="shared" si="27"/>
        <v>O</v>
      </c>
      <c r="O30" s="816">
        <f t="shared" si="26"/>
        <v>0.5</v>
      </c>
      <c r="P30" s="829">
        <f t="shared" si="28"/>
        <v>1</v>
      </c>
      <c r="Q30" s="830">
        <v>-0.6</v>
      </c>
      <c r="R30" s="871">
        <f t="shared" si="29"/>
        <v>0.6</v>
      </c>
      <c r="S30" s="830">
        <v>2.44</v>
      </c>
      <c r="T30" s="871">
        <f t="shared" si="30"/>
        <v>3.56</v>
      </c>
      <c r="U30" s="868">
        <f t="shared" si="31"/>
        <v>0.91999999999999993</v>
      </c>
      <c r="V30" s="868">
        <f t="shared" si="32"/>
        <v>1.52</v>
      </c>
      <c r="W30" s="829">
        <v>10</v>
      </c>
      <c r="X30" s="829">
        <v>17</v>
      </c>
      <c r="Y30" s="829">
        <v>3</v>
      </c>
      <c r="Z30" s="829">
        <v>6</v>
      </c>
      <c r="AA30" s="829">
        <v>64</v>
      </c>
      <c r="AB30" s="829">
        <v>36</v>
      </c>
      <c r="AC30" s="829"/>
      <c r="AD30" s="816" t="str">
        <f t="array" ref="AD30">IF($J30="","",IF(SUM(IF(ISNUMBER(VALUE(RIGHT($AG30:$DV30,1))),VALUE(RIGHT($AG30:$DV30,1)),0))=$J30,"T","F"))</f>
        <v>T</v>
      </c>
      <c r="AE30" s="831">
        <f t="array" ref="AE30">IF($J30="","",SUM(IF(LEFT($AG30:$DV30,1)="s",1,0))-SUM(IF(RIGHT(LEFT($AG30:$DV30,2))="-",1,0)))</f>
        <v>0</v>
      </c>
      <c r="AF30" s="816">
        <f t="array" ref="AF30">IF($J30="","",SUM(IF(LEFT($AG30:$DV30,1)="X",1,0)))</f>
        <v>11</v>
      </c>
      <c r="AG30" s="891" t="s">
        <v>32</v>
      </c>
      <c r="AH30" s="891" t="s">
        <v>1877</v>
      </c>
      <c r="AI30" s="891" t="s">
        <v>34</v>
      </c>
      <c r="AJ30" s="891" t="s">
        <v>36</v>
      </c>
      <c r="AK30" s="891" t="s">
        <v>32</v>
      </c>
      <c r="AL30" s="891" t="s">
        <v>32</v>
      </c>
      <c r="AM30" s="891" t="s">
        <v>2244</v>
      </c>
      <c r="AN30" s="891" t="s">
        <v>35</v>
      </c>
      <c r="AO30" s="891" t="s">
        <v>32</v>
      </c>
      <c r="AP30" s="891" t="s">
        <v>32</v>
      </c>
      <c r="AQ30" s="904" t="s">
        <v>2244</v>
      </c>
      <c r="AR30" s="891" t="s">
        <v>1877</v>
      </c>
      <c r="AS30" s="891" t="s">
        <v>34</v>
      </c>
      <c r="AT30" s="891" t="s">
        <v>34</v>
      </c>
      <c r="AU30" s="891" t="s">
        <v>1877</v>
      </c>
      <c r="AV30" s="891" t="s">
        <v>2244</v>
      </c>
      <c r="AW30" s="891" t="s">
        <v>34</v>
      </c>
      <c r="AX30" s="891" t="s">
        <v>36</v>
      </c>
      <c r="AY30" s="891" t="s">
        <v>1877</v>
      </c>
      <c r="AZ30" s="891" t="s">
        <v>34</v>
      </c>
      <c r="BA30" s="891" t="s">
        <v>32</v>
      </c>
      <c r="BB30" s="910"/>
      <c r="BC30" s="891" t="s">
        <v>35</v>
      </c>
      <c r="BD30" s="891" t="s">
        <v>32</v>
      </c>
      <c r="BE30" s="891" t="s">
        <v>32</v>
      </c>
      <c r="BF30" s="891" t="s">
        <v>35</v>
      </c>
      <c r="BG30" s="891" t="s">
        <v>36</v>
      </c>
      <c r="BH30" s="891"/>
      <c r="BI30" s="891"/>
      <c r="BJ30" s="891"/>
      <c r="BK30" s="891"/>
      <c r="BL30" s="891"/>
      <c r="BM30" s="891"/>
      <c r="BN30" s="891"/>
      <c r="BO30" s="891"/>
      <c r="BP30" s="891"/>
      <c r="BQ30" s="891"/>
      <c r="BR30" s="891"/>
      <c r="BS30" s="896"/>
      <c r="BT30" s="896"/>
      <c r="BU30" s="896"/>
      <c r="BV30" s="896"/>
      <c r="BW30" s="891"/>
      <c r="BX30" s="891"/>
      <c r="BY30" s="891"/>
      <c r="BZ30" s="891"/>
      <c r="CA30" s="891"/>
      <c r="CB30" s="891"/>
      <c r="CC30" s="891"/>
      <c r="CD30" s="428"/>
      <c r="CE30" s="428"/>
      <c r="CF30" s="428"/>
      <c r="CG30" s="428"/>
      <c r="CH30" s="230" t="s">
        <v>32</v>
      </c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</row>
    <row r="31" spans="1:114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19</v>
      </c>
      <c r="G31" s="879" t="s">
        <v>885</v>
      </c>
      <c r="H31" s="879" t="s">
        <v>18</v>
      </c>
      <c r="I31" s="879" t="s">
        <v>891</v>
      </c>
      <c r="J31" s="846">
        <v>3</v>
      </c>
      <c r="K31" s="846">
        <v>1</v>
      </c>
      <c r="L31" s="816" t="str">
        <f>IF(J31="","",IF(J31&gt;K31,"W",IF(J31=K31,"D",IF(J31&lt;K31,"L"))))</f>
        <v>W</v>
      </c>
      <c r="M31" s="816">
        <f>IF(J31="","",J31+K31)</f>
        <v>4</v>
      </c>
      <c r="N31" s="816" t="str">
        <f>IF($J31="","",IF($M31&gt;N$19,"O",IF($M31&lt;N$19,"U",IF($M31=N$19,"-"))))</f>
        <v>O</v>
      </c>
      <c r="O31" s="816">
        <f t="shared" si="26"/>
        <v>0</v>
      </c>
      <c r="P31" s="829">
        <f t="shared" si="28"/>
        <v>1</v>
      </c>
      <c r="Q31" s="830">
        <v>0.12</v>
      </c>
      <c r="R31" s="871">
        <f t="shared" si="29"/>
        <v>1.88</v>
      </c>
      <c r="S31" s="830">
        <v>2.36</v>
      </c>
      <c r="T31" s="871">
        <f t="shared" si="30"/>
        <v>1.6400000000000001</v>
      </c>
      <c r="U31" s="868">
        <f t="shared" si="31"/>
        <v>1.24</v>
      </c>
      <c r="V31" s="868">
        <f t="shared" si="32"/>
        <v>1.1199999999999999</v>
      </c>
      <c r="W31" s="829">
        <v>18</v>
      </c>
      <c r="X31" s="829">
        <v>9</v>
      </c>
      <c r="Y31" s="829">
        <v>8</v>
      </c>
      <c r="Z31" s="829">
        <v>3</v>
      </c>
      <c r="AA31" s="829">
        <v>56</v>
      </c>
      <c r="AB31" s="829">
        <v>44</v>
      </c>
      <c r="AC31" s="829"/>
      <c r="AD31" s="816" t="str">
        <f t="array" ref="AD31">IF($J31="","",IF(SUM(IF(ISNUMBER(VALUE(RIGHT($AG31:$DV31,1))),VALUE(RIGHT($AG31:$DV31,1)),0))=$J31,"T","F"))</f>
        <v>T</v>
      </c>
      <c r="AE31" s="831">
        <f t="array" ref="AE31">IF($J31="","",SUM(IF(LEFT($AG31:$DV31,1)="s",1,0))-SUM(IF(RIGHT(LEFT($AG31:$DV31,2))="-",1,0)))</f>
        <v>0</v>
      </c>
      <c r="AF31" s="816">
        <f t="array" ref="AF31">IF($J31="","",SUM(IF(LEFT($AG31:$DV31,1)="X",1,0)))</f>
        <v>11</v>
      </c>
      <c r="AG31" s="891" t="s">
        <v>32</v>
      </c>
      <c r="AH31" s="891" t="s">
        <v>1877</v>
      </c>
      <c r="AI31" s="891" t="s">
        <v>34</v>
      </c>
      <c r="AJ31" s="891" t="s">
        <v>36</v>
      </c>
      <c r="AK31" s="891" t="s">
        <v>32</v>
      </c>
      <c r="AL31" s="891" t="s">
        <v>32</v>
      </c>
      <c r="AM31" s="891" t="s">
        <v>34</v>
      </c>
      <c r="AN31" s="891" t="s">
        <v>35</v>
      </c>
      <c r="AO31" s="891" t="s">
        <v>32</v>
      </c>
      <c r="AP31" s="891" t="s">
        <v>32</v>
      </c>
      <c r="AQ31" s="891" t="s">
        <v>34</v>
      </c>
      <c r="AR31" s="891" t="s">
        <v>1877</v>
      </c>
      <c r="AS31" s="891" t="s">
        <v>34</v>
      </c>
      <c r="AT31" s="891" t="s">
        <v>2322</v>
      </c>
      <c r="AU31" s="891" t="s">
        <v>1877</v>
      </c>
      <c r="AV31" s="891" t="s">
        <v>34</v>
      </c>
      <c r="AW31" s="891" t="s">
        <v>34</v>
      </c>
      <c r="AX31" s="891" t="s">
        <v>2321</v>
      </c>
      <c r="AY31" s="891" t="s">
        <v>36</v>
      </c>
      <c r="AZ31" s="891" t="s">
        <v>35</v>
      </c>
      <c r="BA31" s="891" t="s">
        <v>32</v>
      </c>
      <c r="BB31" s="910"/>
      <c r="BC31" s="891" t="s">
        <v>2302</v>
      </c>
      <c r="BD31" s="891" t="s">
        <v>32</v>
      </c>
      <c r="BE31" s="891" t="s">
        <v>32</v>
      </c>
      <c r="BF31" s="891" t="s">
        <v>34</v>
      </c>
      <c r="BG31" s="891" t="s">
        <v>1877</v>
      </c>
      <c r="BH31" s="891"/>
      <c r="BI31" s="891"/>
      <c r="BJ31" s="891"/>
      <c r="BK31" s="891"/>
      <c r="BL31" s="891"/>
      <c r="BM31" s="891"/>
      <c r="BN31" s="891"/>
      <c r="BO31" s="891"/>
      <c r="BP31" s="891"/>
      <c r="BQ31" s="891"/>
      <c r="BR31" s="891"/>
      <c r="BS31" s="896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428"/>
      <c r="CE31" s="428"/>
      <c r="CF31" s="428"/>
      <c r="CG31" s="428"/>
      <c r="CH31" s="230" t="s">
        <v>32</v>
      </c>
      <c r="CI31" s="230" t="s">
        <v>32</v>
      </c>
      <c r="CJ31" s="230" t="s">
        <v>32</v>
      </c>
      <c r="CK31" s="230" t="s">
        <v>32</v>
      </c>
      <c r="CL31" s="230" t="s">
        <v>32</v>
      </c>
      <c r="CM31" s="230" t="s">
        <v>32</v>
      </c>
      <c r="CN31" s="230" t="s">
        <v>32</v>
      </c>
    </row>
    <row r="32" spans="1:114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17</v>
      </c>
      <c r="G32" s="879" t="s">
        <v>875</v>
      </c>
      <c r="H32" s="879" t="s">
        <v>22</v>
      </c>
      <c r="I32" s="879" t="s">
        <v>891</v>
      </c>
      <c r="J32" s="846">
        <v>1</v>
      </c>
      <c r="K32" s="846">
        <v>0</v>
      </c>
      <c r="L32" s="816" t="str">
        <f>IF(J32="","",IF(J32&gt;K32,"W",IF(J32=K32,"D",IF(J32&lt;K32,"L"))))</f>
        <v>W</v>
      </c>
      <c r="M32" s="816">
        <f>IF(J32="","",J32+K32)</f>
        <v>1</v>
      </c>
      <c r="N32" s="816" t="str">
        <f>IF($J32="","",IF($M32&gt;N$19,"O",IF($M32&lt;N$19,"U",IF($M32=N$19,"-"))))</f>
        <v>U</v>
      </c>
      <c r="O32" s="816">
        <f t="shared" si="26"/>
        <v>-0.25</v>
      </c>
      <c r="P32" s="829">
        <f t="shared" si="28"/>
        <v>1</v>
      </c>
      <c r="Q32" s="830">
        <v>0.35</v>
      </c>
      <c r="R32" s="871">
        <f t="shared" si="29"/>
        <v>0.65</v>
      </c>
      <c r="S32" s="830">
        <v>2.23</v>
      </c>
      <c r="T32" s="871">
        <f t="shared" si="30"/>
        <v>-1.23</v>
      </c>
      <c r="U32" s="868">
        <f t="shared" si="31"/>
        <v>1.29</v>
      </c>
      <c r="V32" s="868">
        <f t="shared" si="32"/>
        <v>0.94</v>
      </c>
      <c r="W32" s="829">
        <v>11</v>
      </c>
      <c r="X32" s="829">
        <v>13</v>
      </c>
      <c r="Y32" s="829">
        <v>3</v>
      </c>
      <c r="Z32" s="829">
        <v>4</v>
      </c>
      <c r="AA32" s="829">
        <v>62</v>
      </c>
      <c r="AB32" s="829">
        <v>38</v>
      </c>
      <c r="AC32" s="829"/>
      <c r="AD32" s="816" t="str">
        <f t="array" ref="AD32">IF($J32="","",IF(SUM(IF(ISNUMBER(VALUE(RIGHT($AG32:$DV32,1))),VALUE(RIGHT($AG32:$DV32,1)),0))=$J32,"T","F"))</f>
        <v>T</v>
      </c>
      <c r="AE32" s="831">
        <f t="array" ref="AE32">IF($J32="","",SUM(IF(LEFT($AG32:$DV32,1)="s",1,0))-SUM(IF(RIGHT(LEFT($AG32:$DV32,2))="-",1,0)))</f>
        <v>0</v>
      </c>
      <c r="AF32" s="816">
        <f t="array" ref="AF32">IF($J32="","",SUM(IF(LEFT($AG32:$DV32,1)="X",1,0)))</f>
        <v>11</v>
      </c>
      <c r="AG32" s="891"/>
      <c r="AH32" s="891" t="s">
        <v>2349</v>
      </c>
      <c r="AI32" s="891" t="s">
        <v>2342</v>
      </c>
      <c r="AJ32" s="891" t="s">
        <v>2348</v>
      </c>
      <c r="AK32" s="891"/>
      <c r="AL32" s="891"/>
      <c r="AM32" s="891" t="s">
        <v>2343</v>
      </c>
      <c r="AN32" s="891" t="s">
        <v>871</v>
      </c>
      <c r="AO32" s="891"/>
      <c r="AP32" s="891"/>
      <c r="AQ32" s="891" t="s">
        <v>2395</v>
      </c>
      <c r="AR32" s="891" t="s">
        <v>2349</v>
      </c>
      <c r="AS32" s="891" t="s">
        <v>2379</v>
      </c>
      <c r="AT32" s="891" t="s">
        <v>2394</v>
      </c>
      <c r="AU32" s="891" t="s">
        <v>2349</v>
      </c>
      <c r="AV32" s="891" t="s">
        <v>2343</v>
      </c>
      <c r="AW32" s="891" t="s">
        <v>2343</v>
      </c>
      <c r="AX32" s="891" t="s">
        <v>2348</v>
      </c>
      <c r="AY32" s="891" t="s">
        <v>2348</v>
      </c>
      <c r="AZ32" s="891" t="s">
        <v>2343</v>
      </c>
      <c r="BA32" s="891"/>
      <c r="BB32" s="910"/>
      <c r="BC32" s="891" t="s">
        <v>2343</v>
      </c>
      <c r="BD32" s="891"/>
      <c r="BE32" s="891"/>
      <c r="BF32" s="891" t="s">
        <v>2343</v>
      </c>
      <c r="BG32" s="891" t="s">
        <v>2349</v>
      </c>
      <c r="BH32" s="891"/>
      <c r="BI32" s="891"/>
      <c r="BJ32" s="891"/>
      <c r="BK32" s="891"/>
      <c r="BL32" s="891"/>
      <c r="BM32" s="891"/>
      <c r="BN32" s="891"/>
      <c r="BO32" s="891"/>
      <c r="BP32" s="891"/>
      <c r="BQ32" s="896"/>
      <c r="BR32" s="891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428"/>
      <c r="CE32" s="428"/>
      <c r="CF32" s="428"/>
      <c r="CG32" s="428"/>
    </row>
    <row r="33" spans="1:119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22</v>
      </c>
      <c r="G33" s="879" t="s">
        <v>1087</v>
      </c>
      <c r="H33" s="879" t="s">
        <v>18</v>
      </c>
      <c r="I33" s="879" t="s">
        <v>891</v>
      </c>
      <c r="J33" s="846">
        <v>2</v>
      </c>
      <c r="K33" s="846">
        <v>0</v>
      </c>
      <c r="L33" s="816" t="str">
        <f>IF(J33="","",IF(J33&gt;K33,"W",IF(J33=K33,"D",IF(J33&lt;K33,"L"))))</f>
        <v>W</v>
      </c>
      <c r="M33" s="816">
        <f>IF(J33="","",J33+K33)</f>
        <v>2</v>
      </c>
      <c r="N33" s="816" t="str">
        <f t="shared" ref="N33:N66" si="35">IF($J33="","",IF($M33&gt;N$19,"O",IF($M33&lt;N$19,"U",IF($M33=N$19,"-"))))</f>
        <v>U</v>
      </c>
      <c r="O33" s="816">
        <f t="shared" si="26"/>
        <v>-0.25</v>
      </c>
      <c r="P33" s="829">
        <f>IF(O33="","",IF((J33-K33+O33)&gt;=0.5,1,IF((J33-K33+O33)=0.25,0.5,IF((J33-K33+O33)&lt;=-0.5,-1,IF((J33-K33+O33)=-0.25,-0.5,0)))))</f>
        <v>1</v>
      </c>
      <c r="Q33" s="830">
        <v>0.3</v>
      </c>
      <c r="R33" s="871">
        <f t="shared" si="29"/>
        <v>1.7</v>
      </c>
      <c r="S33" s="830">
        <v>2.4500000000000002</v>
      </c>
      <c r="T33" s="871">
        <f t="shared" si="30"/>
        <v>-0.45000000000000018</v>
      </c>
      <c r="U33" s="868">
        <f t="shared" si="31"/>
        <v>1.375</v>
      </c>
      <c r="V33" s="868">
        <f t="shared" si="32"/>
        <v>1.0750000000000002</v>
      </c>
      <c r="W33" s="829">
        <v>11</v>
      </c>
      <c r="X33" s="829">
        <v>7</v>
      </c>
      <c r="Y33" s="829">
        <v>3</v>
      </c>
      <c r="Z33" s="829">
        <v>1</v>
      </c>
      <c r="AA33" s="829">
        <v>55</v>
      </c>
      <c r="AB33" s="829">
        <v>45</v>
      </c>
      <c r="AC33" s="829"/>
      <c r="AD33" s="816" t="str">
        <f t="array" ref="AD33">IF($J33="","",IF(SUM(IF(ISNUMBER(VALUE(RIGHT($AG33:$DV33,1))),VALUE(RIGHT($AG33:$DV33,1)),0))=$J33,"T","F"))</f>
        <v>T</v>
      </c>
      <c r="AE33" s="831">
        <f t="array" ref="AE33">IF($J33="","",SUM(IF(LEFT($AG33:$DV33,1)="s",1,0))-SUM(IF(RIGHT(LEFT($AG33:$DV33,2))="-",1,0)))</f>
        <v>0</v>
      </c>
      <c r="AF33" s="816">
        <f t="array" ref="AF33">IF($J33="","",SUM(IF(LEFT($AG33:$DV33,1)="X",1,0)))</f>
        <v>11</v>
      </c>
      <c r="AG33" s="891"/>
      <c r="AH33" s="891" t="s">
        <v>1877</v>
      </c>
      <c r="AI33" s="891" t="s">
        <v>34</v>
      </c>
      <c r="AJ33" s="891" t="s">
        <v>1877</v>
      </c>
      <c r="AK33" s="891" t="s">
        <v>32</v>
      </c>
      <c r="AL33" s="891" t="s">
        <v>32</v>
      </c>
      <c r="AM33" s="891" t="s">
        <v>34</v>
      </c>
      <c r="AN33" s="891" t="s">
        <v>34</v>
      </c>
      <c r="AO33" s="891" t="s">
        <v>32</v>
      </c>
      <c r="AP33" s="891" t="s">
        <v>32</v>
      </c>
      <c r="AQ33" s="891" t="s">
        <v>34</v>
      </c>
      <c r="AR33" s="891" t="s">
        <v>1877</v>
      </c>
      <c r="AS33" s="904" t="s">
        <v>35</v>
      </c>
      <c r="AT33" s="891" t="s">
        <v>2415</v>
      </c>
      <c r="AU33" s="891" t="s">
        <v>36</v>
      </c>
      <c r="AV33" s="891" t="s">
        <v>34</v>
      </c>
      <c r="AW33" s="891" t="s">
        <v>34</v>
      </c>
      <c r="AX33" s="891" t="s">
        <v>36</v>
      </c>
      <c r="AY33" s="904" t="s">
        <v>36</v>
      </c>
      <c r="AZ33" s="891" t="s">
        <v>35</v>
      </c>
      <c r="BA33" s="891" t="s">
        <v>32</v>
      </c>
      <c r="BB33" s="910"/>
      <c r="BC33" s="891" t="s">
        <v>34</v>
      </c>
      <c r="BD33" s="891" t="s">
        <v>32</v>
      </c>
      <c r="BE33" s="891" t="s">
        <v>32</v>
      </c>
      <c r="BF33" s="891" t="s">
        <v>2416</v>
      </c>
      <c r="BG33" s="891" t="s">
        <v>1877</v>
      </c>
      <c r="BH33" s="891"/>
      <c r="BI33" s="891"/>
      <c r="BJ33" s="891"/>
      <c r="BK33" s="891"/>
      <c r="BL33" s="891"/>
      <c r="BM33" s="891"/>
      <c r="BN33" s="891"/>
      <c r="BO33" s="891"/>
      <c r="BP33" s="891"/>
      <c r="BQ33" s="896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428"/>
      <c r="CE33" s="428"/>
      <c r="CF33" s="428"/>
      <c r="CG33" s="428"/>
      <c r="CH33" s="230" t="s">
        <v>32</v>
      </c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</row>
    <row r="34" spans="1:119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9</v>
      </c>
      <c r="G34" s="879" t="s">
        <v>1083</v>
      </c>
      <c r="H34" s="879" t="s">
        <v>22</v>
      </c>
      <c r="I34" s="879" t="s">
        <v>891</v>
      </c>
      <c r="J34" s="846">
        <v>1</v>
      </c>
      <c r="K34" s="846">
        <v>2</v>
      </c>
      <c r="L34" s="816" t="str">
        <f t="shared" ref="L34:L66" si="36">IF(J34="","",IF(J34&gt;K34,"W",IF(J34=K34,"D",IF(J34&lt;K34,"L"))))</f>
        <v>L</v>
      </c>
      <c r="M34" s="816">
        <f t="shared" ref="M34:M66" si="37">IF(J34="","",J34+K34)</f>
        <v>3</v>
      </c>
      <c r="N34" s="816" t="str">
        <f t="shared" si="35"/>
        <v>O</v>
      </c>
      <c r="O34" s="816">
        <f t="shared" si="26"/>
        <v>-0.25</v>
      </c>
      <c r="P34" s="829">
        <f t="shared" si="28"/>
        <v>-1</v>
      </c>
      <c r="Q34" s="830">
        <v>0.17</v>
      </c>
      <c r="R34" s="871">
        <f t="shared" si="29"/>
        <v>-1.17</v>
      </c>
      <c r="S34" s="830">
        <v>2.33</v>
      </c>
      <c r="T34" s="871">
        <f t="shared" si="30"/>
        <v>0.66999999999999993</v>
      </c>
      <c r="U34" s="868">
        <f t="shared" si="31"/>
        <v>1.25</v>
      </c>
      <c r="V34" s="868">
        <f t="shared" si="32"/>
        <v>1.08</v>
      </c>
      <c r="W34" s="829">
        <v>10</v>
      </c>
      <c r="X34" s="829">
        <v>8</v>
      </c>
      <c r="Y34" s="829">
        <v>4</v>
      </c>
      <c r="Z34" s="829">
        <v>3</v>
      </c>
      <c r="AA34" s="829">
        <v>68</v>
      </c>
      <c r="AB34" s="829">
        <v>32</v>
      </c>
      <c r="AC34" s="829"/>
      <c r="AD34" s="816" t="str">
        <f t="array" ref="AD34">IF($J34="","",IF(SUM(IF(ISNUMBER(VALUE(RIGHT($AG34:$DV34,1))),VALUE(RIGHT($AG34:$DV34,1)),0))=$J34,"T","F"))</f>
        <v>T</v>
      </c>
      <c r="AE34" s="831">
        <f t="array" ref="AE34">IF($J34="","",SUM(IF(LEFT($AG34:$DV34,1)="s",1,0))-SUM(IF(RIGHT(LEFT($AG34:$DV34,2))="-",1,0)))</f>
        <v>0</v>
      </c>
      <c r="AF34" s="816">
        <f t="array" ref="AF34">IF($J34="","",SUM(IF(LEFT($AG34:$DV34,1)="X",1,0)))</f>
        <v>11</v>
      </c>
      <c r="AG34" s="891" t="s">
        <v>32</v>
      </c>
      <c r="AH34" s="891" t="s">
        <v>1877</v>
      </c>
      <c r="AI34" s="891" t="s">
        <v>34</v>
      </c>
      <c r="AJ34" s="891" t="s">
        <v>36</v>
      </c>
      <c r="AK34" s="891" t="s">
        <v>32</v>
      </c>
      <c r="AL34" s="891" t="s">
        <v>32</v>
      </c>
      <c r="AM34" s="891" t="s">
        <v>34</v>
      </c>
      <c r="AN34" s="891" t="s">
        <v>35</v>
      </c>
      <c r="AO34" s="891" t="s">
        <v>32</v>
      </c>
      <c r="AP34" s="891" t="s">
        <v>32</v>
      </c>
      <c r="AQ34" s="891" t="s">
        <v>34</v>
      </c>
      <c r="AR34" s="891" t="s">
        <v>1877</v>
      </c>
      <c r="AS34" s="891" t="s">
        <v>34</v>
      </c>
      <c r="AT34" s="891" t="s">
        <v>35</v>
      </c>
      <c r="AU34" s="891" t="s">
        <v>1877</v>
      </c>
      <c r="AV34" s="891" t="s">
        <v>34</v>
      </c>
      <c r="AW34" s="904" t="s">
        <v>34</v>
      </c>
      <c r="AX34" s="891" t="s">
        <v>36</v>
      </c>
      <c r="AY34" s="891" t="s">
        <v>1877</v>
      </c>
      <c r="AZ34" s="904" t="s">
        <v>35</v>
      </c>
      <c r="BA34" s="891" t="s">
        <v>32</v>
      </c>
      <c r="BB34" s="910"/>
      <c r="BC34" s="891" t="s">
        <v>34</v>
      </c>
      <c r="BD34" s="891" t="s">
        <v>32</v>
      </c>
      <c r="BE34" s="891" t="s">
        <v>32</v>
      </c>
      <c r="BF34" s="904" t="s">
        <v>34</v>
      </c>
      <c r="BG34" s="891" t="s">
        <v>36</v>
      </c>
      <c r="BH34" s="891">
        <v>1</v>
      </c>
      <c r="BI34" s="891"/>
      <c r="BJ34" s="891"/>
      <c r="BK34" s="891"/>
      <c r="BL34" s="891"/>
      <c r="BM34" s="891"/>
      <c r="BN34" s="891"/>
      <c r="BO34" s="891"/>
      <c r="BP34" s="891"/>
      <c r="BQ34" s="896"/>
      <c r="BR34" s="896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428"/>
      <c r="CE34" s="428"/>
      <c r="CF34" s="428"/>
      <c r="CG34" s="428"/>
    </row>
    <row r="35" spans="1:119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7</v>
      </c>
      <c r="G35" s="879" t="s">
        <v>888</v>
      </c>
      <c r="H35" s="879" t="s">
        <v>18</v>
      </c>
      <c r="I35" s="879" t="s">
        <v>891</v>
      </c>
      <c r="J35" s="846">
        <v>1</v>
      </c>
      <c r="K35" s="846">
        <v>1</v>
      </c>
      <c r="L35" s="816" t="str">
        <f>IF(J35="","",IF(J35&gt;K35,"W",IF(J35=K35,"D",IF(J35&lt;K35,"L"))))</f>
        <v>D</v>
      </c>
      <c r="M35" s="816">
        <f>IF(J35="","",J35+K35)</f>
        <v>2</v>
      </c>
      <c r="N35" s="816" t="str">
        <f t="shared" si="35"/>
        <v>U</v>
      </c>
      <c r="O35" s="816">
        <f t="shared" si="26"/>
        <v>0.25</v>
      </c>
      <c r="P35" s="829">
        <f>IF(O35="","",IF((J35-K35+O35)&gt;=0.5,1,IF((J35-K35+O35)=0.25,0.5,IF((J35-K35+O35)&lt;=-0.5,-1,IF((J35-K35+O35)=-0.25,-0.5,0)))))</f>
        <v>0.5</v>
      </c>
      <c r="Q35" s="830">
        <v>-0.31</v>
      </c>
      <c r="R35" s="871">
        <f t="shared" si="29"/>
        <v>0.31</v>
      </c>
      <c r="S35" s="830">
        <v>2.46</v>
      </c>
      <c r="T35" s="871">
        <f t="shared" si="30"/>
        <v>-0.45999999999999996</v>
      </c>
      <c r="U35" s="868">
        <f t="shared" si="31"/>
        <v>1.075</v>
      </c>
      <c r="V35" s="868">
        <f t="shared" si="32"/>
        <v>1.385</v>
      </c>
      <c r="W35" s="829">
        <v>14</v>
      </c>
      <c r="X35" s="829">
        <v>22</v>
      </c>
      <c r="Y35" s="829">
        <v>2</v>
      </c>
      <c r="Z35" s="829">
        <v>9</v>
      </c>
      <c r="AA35" s="829">
        <v>56</v>
      </c>
      <c r="AB35" s="829">
        <v>44</v>
      </c>
      <c r="AC35" s="829"/>
      <c r="AD35" s="816" t="str">
        <f t="array" ref="AD35">IF($J35="","",IF(SUM(IF(ISNUMBER(VALUE(RIGHT($AG35:$DV35,1))),VALUE(RIGHT($AG35:$DV35,1)),0))=$J35,"T","F"))</f>
        <v>T</v>
      </c>
      <c r="AE35" s="831">
        <f t="array" ref="AE35">IF($J35="","",SUM(IF(LEFT($AG35:$DV35,1)="s",1,0))-SUM(IF(RIGHT(LEFT($AG35:$DV35,2))="-",1,0)))</f>
        <v>0</v>
      </c>
      <c r="AF35" s="816">
        <f t="array" ref="AF35">IF($J35="","",SUM(IF(LEFT($AG35:$DV35,1)="X",1,0)))</f>
        <v>11</v>
      </c>
      <c r="AG35" s="891" t="s">
        <v>32</v>
      </c>
      <c r="AH35" s="891" t="s">
        <v>1877</v>
      </c>
      <c r="AI35" s="891" t="s">
        <v>34</v>
      </c>
      <c r="AJ35" s="891" t="s">
        <v>1877</v>
      </c>
      <c r="AK35" s="891" t="s">
        <v>32</v>
      </c>
      <c r="AL35" s="891" t="s">
        <v>32</v>
      </c>
      <c r="AM35" s="891" t="s">
        <v>34</v>
      </c>
      <c r="AN35" s="891" t="s">
        <v>34</v>
      </c>
      <c r="AO35" s="891" t="s">
        <v>32</v>
      </c>
      <c r="AP35" s="891" t="s">
        <v>32</v>
      </c>
      <c r="AQ35" s="891" t="s">
        <v>34</v>
      </c>
      <c r="AR35" s="891" t="s">
        <v>1877</v>
      </c>
      <c r="AS35" s="891" t="s">
        <v>34</v>
      </c>
      <c r="AT35" s="891" t="s">
        <v>34</v>
      </c>
      <c r="AU35" s="891" t="s">
        <v>1877</v>
      </c>
      <c r="AV35" s="891" t="s">
        <v>34</v>
      </c>
      <c r="AW35" s="891" t="s">
        <v>34</v>
      </c>
      <c r="AX35" s="891" t="s">
        <v>1877</v>
      </c>
      <c r="AY35" s="891" t="s">
        <v>1877</v>
      </c>
      <c r="AZ35" s="891" t="s">
        <v>2480</v>
      </c>
      <c r="BA35" s="891" t="s">
        <v>32</v>
      </c>
      <c r="BB35" s="910"/>
      <c r="BC35" s="891" t="s">
        <v>34</v>
      </c>
      <c r="BD35" s="891" t="s">
        <v>32</v>
      </c>
      <c r="BE35" s="891" t="s">
        <v>32</v>
      </c>
      <c r="BF35" s="891" t="s">
        <v>1877</v>
      </c>
      <c r="BG35" s="891" t="s">
        <v>34</v>
      </c>
      <c r="BH35" s="891"/>
      <c r="BI35" s="891"/>
      <c r="BJ35" s="891"/>
      <c r="BK35" s="891"/>
      <c r="BL35" s="891"/>
      <c r="BM35" s="891"/>
      <c r="BN35" s="891"/>
      <c r="BO35" s="891"/>
      <c r="BP35" s="891"/>
      <c r="BQ35" s="891"/>
      <c r="BR35" s="891"/>
      <c r="BS35" s="896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428"/>
      <c r="CE35" s="428"/>
      <c r="CF35" s="428"/>
      <c r="CG35" s="428"/>
      <c r="CK35" s="4" t="s">
        <v>32</v>
      </c>
      <c r="CL35" s="6" t="s">
        <v>32</v>
      </c>
      <c r="CM35" s="6" t="s">
        <v>32</v>
      </c>
      <c r="CN35" s="6" t="s">
        <v>32</v>
      </c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</row>
    <row r="36" spans="1:119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21</v>
      </c>
      <c r="G36" s="879" t="s">
        <v>890</v>
      </c>
      <c r="H36" s="879" t="s">
        <v>22</v>
      </c>
      <c r="I36" s="879" t="s">
        <v>891</v>
      </c>
      <c r="J36" s="846">
        <v>1</v>
      </c>
      <c r="K36" s="846">
        <v>2</v>
      </c>
      <c r="L36" s="816" t="str">
        <f t="shared" si="36"/>
        <v>L</v>
      </c>
      <c r="M36" s="816">
        <f t="shared" si="37"/>
        <v>3</v>
      </c>
      <c r="N36" s="816" t="str">
        <f t="shared" si="35"/>
        <v>O</v>
      </c>
      <c r="O36" s="816">
        <f t="shared" si="26"/>
        <v>-0.75</v>
      </c>
      <c r="P36" s="829">
        <f t="shared" si="28"/>
        <v>-1</v>
      </c>
      <c r="Q36" s="830">
        <v>0.78</v>
      </c>
      <c r="R36" s="871">
        <f t="shared" si="29"/>
        <v>-1.78</v>
      </c>
      <c r="S36" s="830">
        <v>2.4900000000000002</v>
      </c>
      <c r="T36" s="871">
        <f t="shared" si="30"/>
        <v>0.50999999999999979</v>
      </c>
      <c r="U36" s="868">
        <f t="shared" si="31"/>
        <v>1.6350000000000002</v>
      </c>
      <c r="V36" s="868">
        <f t="shared" si="32"/>
        <v>0.85499999999999998</v>
      </c>
      <c r="W36" s="829">
        <v>21</v>
      </c>
      <c r="X36" s="829">
        <v>10</v>
      </c>
      <c r="Y36" s="829">
        <v>8</v>
      </c>
      <c r="Z36" s="829">
        <v>5</v>
      </c>
      <c r="AA36" s="829">
        <v>68</v>
      </c>
      <c r="AB36" s="829">
        <v>32</v>
      </c>
      <c r="AC36" s="829"/>
      <c r="AD36" s="816" t="str">
        <f t="array" ref="AD36">IF($J36="","",IF(SUM(IF(ISNUMBER(VALUE(RIGHT($AG36:$DV36,1))),VALUE(RIGHT($AG36:$DV36,1)),0))=$J36,"T","F"))</f>
        <v>T</v>
      </c>
      <c r="AE36" s="831">
        <f t="array" ref="AE36">IF($J36="","",SUM(IF(LEFT($AG36:$DV36,1)="s",1,0))-SUM(IF(RIGHT(LEFT($AG36:$DV36,2))="-",1,0)))</f>
        <v>0</v>
      </c>
      <c r="AF36" s="816">
        <f t="array" ref="AF36">IF($J36="","",SUM(IF(LEFT($AG36:$DV36,1)="X",1,0)))</f>
        <v>11</v>
      </c>
      <c r="AG36" s="891"/>
      <c r="AH36" s="891" t="s">
        <v>1877</v>
      </c>
      <c r="AI36" s="891" t="s">
        <v>34</v>
      </c>
      <c r="AJ36" s="891" t="s">
        <v>1877</v>
      </c>
      <c r="AK36" s="891" t="s">
        <v>32</v>
      </c>
      <c r="AL36" s="891" t="s">
        <v>32</v>
      </c>
      <c r="AM36" s="891" t="s">
        <v>34</v>
      </c>
      <c r="AN36" s="891" t="s">
        <v>34</v>
      </c>
      <c r="AO36" s="891" t="s">
        <v>32</v>
      </c>
      <c r="AP36" s="891" t="s">
        <v>32</v>
      </c>
      <c r="AQ36" s="904" t="s">
        <v>34</v>
      </c>
      <c r="AR36" s="891" t="s">
        <v>1877</v>
      </c>
      <c r="AS36" s="891" t="s">
        <v>34</v>
      </c>
      <c r="AT36" s="891" t="s">
        <v>36</v>
      </c>
      <c r="AU36" s="891" t="s">
        <v>1877</v>
      </c>
      <c r="AV36" s="891" t="s">
        <v>34</v>
      </c>
      <c r="AW36" s="891" t="s">
        <v>34</v>
      </c>
      <c r="AX36" s="891" t="s">
        <v>35</v>
      </c>
      <c r="AY36" s="891" t="s">
        <v>1877</v>
      </c>
      <c r="AZ36" s="891" t="s">
        <v>2491</v>
      </c>
      <c r="BA36" s="891" t="s">
        <v>32</v>
      </c>
      <c r="BB36" s="910"/>
      <c r="BC36" s="891" t="s">
        <v>34</v>
      </c>
      <c r="BD36" s="891" t="s">
        <v>32</v>
      </c>
      <c r="BE36" s="891" t="s">
        <v>32</v>
      </c>
      <c r="BF36" s="891" t="s">
        <v>36</v>
      </c>
      <c r="BG36" s="891" t="s">
        <v>35</v>
      </c>
      <c r="BH36" s="891"/>
      <c r="BI36" s="891"/>
      <c r="BJ36" s="891"/>
      <c r="BK36" s="891"/>
      <c r="BL36" s="891"/>
      <c r="BM36" s="891"/>
      <c r="BN36" s="891"/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6"/>
      <c r="CB36" s="896"/>
      <c r="CC36" s="896"/>
      <c r="CD36" s="428"/>
      <c r="CE36" s="428"/>
      <c r="CF36" s="428"/>
      <c r="CG36" s="428"/>
      <c r="CH36" s="230" t="s">
        <v>32</v>
      </c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</row>
    <row r="37" spans="1:119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2</v>
      </c>
      <c r="G37" s="879" t="s">
        <v>886</v>
      </c>
      <c r="H37" s="879" t="s">
        <v>22</v>
      </c>
      <c r="I37" s="879" t="s">
        <v>891</v>
      </c>
      <c r="J37" s="846">
        <v>4</v>
      </c>
      <c r="K37" s="846">
        <v>4</v>
      </c>
      <c r="L37" s="816" t="str">
        <f t="shared" si="36"/>
        <v>D</v>
      </c>
      <c r="M37" s="816">
        <f t="shared" si="37"/>
        <v>8</v>
      </c>
      <c r="N37" s="816" t="str">
        <f t="shared" si="35"/>
        <v>O</v>
      </c>
      <c r="O37" s="816">
        <f t="shared" si="26"/>
        <v>-0.25</v>
      </c>
      <c r="P37" s="829">
        <f t="shared" si="28"/>
        <v>-0.5</v>
      </c>
      <c r="Q37" s="830">
        <v>0.17</v>
      </c>
      <c r="R37" s="871">
        <f t="shared" si="29"/>
        <v>-0.17</v>
      </c>
      <c r="S37" s="830">
        <v>2.39</v>
      </c>
      <c r="T37" s="871">
        <f t="shared" si="30"/>
        <v>5.6099999999999994</v>
      </c>
      <c r="U37" s="868">
        <f t="shared" si="31"/>
        <v>1.28</v>
      </c>
      <c r="V37" s="868">
        <f t="shared" si="32"/>
        <v>1.1100000000000001</v>
      </c>
      <c r="W37" s="829">
        <v>21</v>
      </c>
      <c r="X37" s="829">
        <v>8</v>
      </c>
      <c r="Y37" s="829">
        <v>9</v>
      </c>
      <c r="Z37" s="829">
        <v>6</v>
      </c>
      <c r="AA37" s="829">
        <v>75</v>
      </c>
      <c r="AB37" s="829">
        <v>25</v>
      </c>
      <c r="AC37" s="829"/>
      <c r="AD37" s="816" t="str">
        <f t="array" ref="AD37">IF($J37="","",IF(SUM(IF(ISNUMBER(VALUE(RIGHT($AG37:$DV37,1))),VALUE(RIGHT($AG37:$DV37,1)),0))=$J37,"T","F"))</f>
        <v>T</v>
      </c>
      <c r="AE37" s="831">
        <f t="array" ref="AE37">IF($J37="","",SUM(IF(LEFT($AG37:$DV37,1)="s",1,0))-SUM(IF(RIGHT(LEFT($AG37:$DV37,2))="-",1,0)))</f>
        <v>0</v>
      </c>
      <c r="AF37" s="816">
        <f t="array" ref="AF37">IF($J37="","",SUM(IF(LEFT($AG37:$DV37,1)="X",1,0)))</f>
        <v>11</v>
      </c>
      <c r="AG37" s="891" t="s">
        <v>32</v>
      </c>
      <c r="AH37" s="891" t="s">
        <v>1877</v>
      </c>
      <c r="AI37" s="891" t="s">
        <v>34</v>
      </c>
      <c r="AJ37" s="891" t="s">
        <v>34</v>
      </c>
      <c r="AK37" s="891" t="s">
        <v>32</v>
      </c>
      <c r="AL37" s="891" t="s">
        <v>32</v>
      </c>
      <c r="AM37" s="891" t="s">
        <v>34</v>
      </c>
      <c r="AN37" s="891" t="s">
        <v>35</v>
      </c>
      <c r="AO37" s="891" t="s">
        <v>32</v>
      </c>
      <c r="AP37" s="891" t="s">
        <v>32</v>
      </c>
      <c r="AQ37" s="891" t="s">
        <v>2516</v>
      </c>
      <c r="AR37" s="891" t="s">
        <v>1877</v>
      </c>
      <c r="AS37" s="891" t="s">
        <v>34</v>
      </c>
      <c r="AT37" s="891" t="s">
        <v>36</v>
      </c>
      <c r="AU37" s="891" t="s">
        <v>1877</v>
      </c>
      <c r="AV37" s="904" t="s">
        <v>34</v>
      </c>
      <c r="AW37" s="891" t="s">
        <v>2505</v>
      </c>
      <c r="AX37" s="891" t="s">
        <v>35</v>
      </c>
      <c r="AY37" s="891" t="s">
        <v>36</v>
      </c>
      <c r="AZ37" s="891" t="s">
        <v>35</v>
      </c>
      <c r="BA37" s="891" t="s">
        <v>2520</v>
      </c>
      <c r="BB37" s="910"/>
      <c r="BC37" s="891" t="s">
        <v>2505</v>
      </c>
      <c r="BD37" s="891" t="s">
        <v>32</v>
      </c>
      <c r="BE37" s="891" t="s">
        <v>32</v>
      </c>
      <c r="BF37" s="891" t="s">
        <v>2505</v>
      </c>
      <c r="BG37" s="891" t="s">
        <v>1877</v>
      </c>
      <c r="BH37" s="891"/>
      <c r="BI37" s="891"/>
      <c r="BJ37" s="891"/>
      <c r="BK37" s="891"/>
      <c r="BL37" s="891"/>
      <c r="BM37" s="891"/>
      <c r="BN37" s="891"/>
      <c r="BO37" s="891"/>
      <c r="BP37" s="891"/>
      <c r="BQ37" s="891"/>
      <c r="BR37" s="896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428"/>
      <c r="CE37" s="428"/>
      <c r="CF37" s="428"/>
      <c r="CG37" s="428"/>
      <c r="CL37" s="4" t="s">
        <v>32</v>
      </c>
      <c r="CM37" s="4" t="s">
        <v>32</v>
      </c>
      <c r="CN37" s="4" t="s">
        <v>32</v>
      </c>
      <c r="CO37" s="4" t="s">
        <v>32</v>
      </c>
      <c r="CP37" s="4" t="s">
        <v>32</v>
      </c>
      <c r="CQ37" s="4" t="s">
        <v>32</v>
      </c>
      <c r="CR37" s="6" t="s">
        <v>32</v>
      </c>
      <c r="CS37" s="6" t="s">
        <v>32</v>
      </c>
      <c r="CT37" s="6" t="s">
        <v>32</v>
      </c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</row>
    <row r="38" spans="1:119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12</v>
      </c>
      <c r="G38" s="879" t="s">
        <v>879</v>
      </c>
      <c r="H38" s="879" t="s">
        <v>18</v>
      </c>
      <c r="I38" s="879" t="s">
        <v>891</v>
      </c>
      <c r="J38" s="846">
        <v>1</v>
      </c>
      <c r="K38" s="846">
        <v>1</v>
      </c>
      <c r="L38" s="816" t="str">
        <f t="shared" si="36"/>
        <v>D</v>
      </c>
      <c r="M38" s="816">
        <f t="shared" si="37"/>
        <v>2</v>
      </c>
      <c r="N38" s="816" t="str">
        <f t="shared" si="35"/>
        <v>U</v>
      </c>
      <c r="O38" s="816">
        <f t="shared" si="26"/>
        <v>0.25</v>
      </c>
      <c r="P38" s="829">
        <f t="shared" si="28"/>
        <v>0.5</v>
      </c>
      <c r="Q38" s="830">
        <v>-0.25</v>
      </c>
      <c r="R38" s="871">
        <f t="shared" si="29"/>
        <v>0.25</v>
      </c>
      <c r="S38" s="830">
        <v>2.48</v>
      </c>
      <c r="T38" s="871">
        <f t="shared" si="30"/>
        <v>-0.48</v>
      </c>
      <c r="U38" s="868">
        <f t="shared" si="31"/>
        <v>1.115</v>
      </c>
      <c r="V38" s="868">
        <f t="shared" si="32"/>
        <v>1.365</v>
      </c>
      <c r="W38" s="829">
        <v>6</v>
      </c>
      <c r="X38" s="829">
        <v>13</v>
      </c>
      <c r="Y38" s="829">
        <v>1</v>
      </c>
      <c r="Z38" s="829">
        <v>3</v>
      </c>
      <c r="AA38" s="829">
        <v>65</v>
      </c>
      <c r="AB38" s="829">
        <v>35</v>
      </c>
      <c r="AC38" s="829"/>
      <c r="AD38" s="816" t="str">
        <f t="array" ref="AD38">IF($J38="","",IF(SUM(IF(ISNUMBER(VALUE(RIGHT($AG38:$DV38,1))),VALUE(RIGHT($AG38:$DV38,1)),0))=$J38,"T","F"))</f>
        <v>T</v>
      </c>
      <c r="AE38" s="831">
        <f t="array" ref="AE38">IF($J38="","",SUM(IF(LEFT($AG38:$DV38,1)="s",1,0))-SUM(IF(RIGHT(LEFT($AG38:$DV38,2))="-",1,0)))</f>
        <v>0</v>
      </c>
      <c r="AF38" s="816">
        <f t="array" ref="AF38">IF($J38="","",SUM(IF(LEFT($AG38:$DV38,1)="X",1,0)))</f>
        <v>11</v>
      </c>
      <c r="AG38" s="891" t="s">
        <v>32</v>
      </c>
      <c r="AH38" s="891" t="s">
        <v>1877</v>
      </c>
      <c r="AI38" s="891" t="s">
        <v>34</v>
      </c>
      <c r="AJ38" s="891" t="s">
        <v>1877</v>
      </c>
      <c r="AK38" s="891" t="s">
        <v>32</v>
      </c>
      <c r="AL38" s="891" t="s">
        <v>32</v>
      </c>
      <c r="AM38" s="891" t="s">
        <v>34</v>
      </c>
      <c r="AN38" s="891" t="s">
        <v>35</v>
      </c>
      <c r="AO38" s="891" t="s">
        <v>32</v>
      </c>
      <c r="AP38" s="891" t="s">
        <v>32</v>
      </c>
      <c r="AQ38" s="891" t="s">
        <v>34</v>
      </c>
      <c r="AR38" s="891" t="s">
        <v>1877</v>
      </c>
      <c r="AS38" s="891" t="s">
        <v>34</v>
      </c>
      <c r="AT38" s="891" t="s">
        <v>36</v>
      </c>
      <c r="AU38" s="891" t="s">
        <v>34</v>
      </c>
      <c r="AV38" s="891" t="s">
        <v>34</v>
      </c>
      <c r="AW38" s="891" t="s">
        <v>34</v>
      </c>
      <c r="AX38" s="891" t="s">
        <v>1877</v>
      </c>
      <c r="AY38" s="891" t="s">
        <v>2533</v>
      </c>
      <c r="AZ38" s="891" t="s">
        <v>32</v>
      </c>
      <c r="BA38" s="891" t="s">
        <v>32</v>
      </c>
      <c r="BB38" s="910"/>
      <c r="BC38" s="891" t="s">
        <v>34</v>
      </c>
      <c r="BD38" s="891" t="s">
        <v>36</v>
      </c>
      <c r="BE38" s="891" t="s">
        <v>32</v>
      </c>
      <c r="BF38" s="891" t="s">
        <v>35</v>
      </c>
      <c r="BG38" s="891" t="s">
        <v>1877</v>
      </c>
      <c r="BH38" s="891"/>
      <c r="BI38" s="891"/>
      <c r="BJ38" s="891"/>
      <c r="BK38" s="891"/>
      <c r="BL38" s="891"/>
      <c r="BM38" s="891"/>
      <c r="BN38" s="891"/>
      <c r="BO38" s="891"/>
      <c r="BP38" s="891"/>
      <c r="BQ38" s="891"/>
      <c r="BR38" s="891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428"/>
      <c r="CE38" s="428"/>
      <c r="CF38" s="428"/>
      <c r="CG38" s="428"/>
      <c r="CH38" s="230" t="s">
        <v>32</v>
      </c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</row>
    <row r="39" spans="1:119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11</v>
      </c>
      <c r="G39" s="879" t="s">
        <v>874</v>
      </c>
      <c r="H39" s="879" t="s">
        <v>22</v>
      </c>
      <c r="I39" s="879" t="s">
        <v>891</v>
      </c>
      <c r="J39" s="908">
        <v>1</v>
      </c>
      <c r="K39" s="846">
        <v>1</v>
      </c>
      <c r="L39" s="816" t="str">
        <f t="shared" si="36"/>
        <v>D</v>
      </c>
      <c r="M39" s="816">
        <f t="shared" si="37"/>
        <v>2</v>
      </c>
      <c r="N39" s="816" t="str">
        <f t="shared" si="35"/>
        <v>U</v>
      </c>
      <c r="O39" s="816">
        <f t="shared" si="26"/>
        <v>0</v>
      </c>
      <c r="P39" s="829">
        <f t="shared" si="28"/>
        <v>0</v>
      </c>
      <c r="Q39" s="830">
        <v>0.02</v>
      </c>
      <c r="R39" s="871">
        <f t="shared" si="29"/>
        <v>-0.02</v>
      </c>
      <c r="S39" s="830">
        <v>2.4500000000000002</v>
      </c>
      <c r="T39" s="871">
        <f t="shared" si="30"/>
        <v>-0.45000000000000018</v>
      </c>
      <c r="U39" s="868">
        <f t="shared" si="31"/>
        <v>1.2350000000000001</v>
      </c>
      <c r="V39" s="868">
        <f t="shared" si="32"/>
        <v>1.2150000000000001</v>
      </c>
      <c r="W39" s="829">
        <v>10</v>
      </c>
      <c r="X39" s="829">
        <v>11</v>
      </c>
      <c r="Y39" s="829">
        <v>2</v>
      </c>
      <c r="Z39" s="829">
        <v>2</v>
      </c>
      <c r="AA39" s="829">
        <v>57</v>
      </c>
      <c r="AB39" s="829">
        <v>43</v>
      </c>
      <c r="AC39" s="829"/>
      <c r="AD39" s="816" t="str">
        <f t="array" ref="AD39">IF($J39="","",IF(SUM(IF(ISNUMBER(VALUE(RIGHT($AG39:$DV39,1))),VALUE(RIGHT($AG39:$DV39,1)),0))=$J39,"T","F"))</f>
        <v>T</v>
      </c>
      <c r="AE39" s="831">
        <f t="array" ref="AE39">IF($J39="","",SUM(IF(LEFT($AG39:$DV39,1)="s",1,0))-SUM(IF(RIGHT(LEFT($AG39:$DV39,2))="-",1,0)))</f>
        <v>0</v>
      </c>
      <c r="AF39" s="816">
        <f t="array" ref="AF39">IF($J39="","",SUM(IF(LEFT($AG39:$DV39,1)="X",1,0)))</f>
        <v>11</v>
      </c>
      <c r="AG39" s="891" t="s">
        <v>32</v>
      </c>
      <c r="AH39" s="891" t="s">
        <v>1877</v>
      </c>
      <c r="AI39" s="891" t="s">
        <v>34</v>
      </c>
      <c r="AJ39" s="909" t="s">
        <v>34</v>
      </c>
      <c r="AK39" s="891" t="s">
        <v>32</v>
      </c>
      <c r="AL39" s="891" t="s">
        <v>32</v>
      </c>
      <c r="AM39" s="891" t="s">
        <v>34</v>
      </c>
      <c r="AN39" s="891" t="s">
        <v>2567</v>
      </c>
      <c r="AO39" s="891" t="s">
        <v>32</v>
      </c>
      <c r="AP39" s="891" t="s">
        <v>32</v>
      </c>
      <c r="AQ39" s="891" t="s">
        <v>32</v>
      </c>
      <c r="AR39" s="891" t="s">
        <v>1877</v>
      </c>
      <c r="AS39" s="904" t="s">
        <v>34</v>
      </c>
      <c r="AT39" s="891" t="s">
        <v>36</v>
      </c>
      <c r="AU39" s="891" t="s">
        <v>35</v>
      </c>
      <c r="AV39" s="891" t="s">
        <v>34</v>
      </c>
      <c r="AW39" s="891" t="s">
        <v>34</v>
      </c>
      <c r="AX39" s="891" t="s">
        <v>36</v>
      </c>
      <c r="AY39" s="891" t="s">
        <v>1877</v>
      </c>
      <c r="AZ39" s="891" t="s">
        <v>34</v>
      </c>
      <c r="BA39" s="891" t="s">
        <v>36</v>
      </c>
      <c r="BB39" s="910"/>
      <c r="BC39" s="891" t="s">
        <v>34</v>
      </c>
      <c r="BD39" s="891" t="s">
        <v>32</v>
      </c>
      <c r="BE39" s="891" t="s">
        <v>32</v>
      </c>
      <c r="BF39" s="891" t="s">
        <v>35</v>
      </c>
      <c r="BG39" s="891" t="s">
        <v>1877</v>
      </c>
      <c r="BH39" s="891"/>
      <c r="BI39" s="891"/>
      <c r="BJ39" s="891"/>
      <c r="BK39" s="891"/>
      <c r="BL39" s="891"/>
      <c r="BM39" s="891"/>
      <c r="BN39" s="891"/>
      <c r="BO39" s="891"/>
      <c r="BP39" s="891"/>
      <c r="BQ39" s="896"/>
      <c r="BR39" s="896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428"/>
      <c r="CE39" s="428"/>
      <c r="CF39" s="428"/>
      <c r="CG39" s="428"/>
      <c r="CH39" s="230" t="s">
        <v>32</v>
      </c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</row>
    <row r="40" spans="1:119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15</v>
      </c>
      <c r="G40" s="879" t="s">
        <v>881</v>
      </c>
      <c r="H40" s="879" t="s">
        <v>18</v>
      </c>
      <c r="I40" s="879" t="s">
        <v>891</v>
      </c>
      <c r="J40" s="846">
        <v>0</v>
      </c>
      <c r="K40" s="846">
        <v>2</v>
      </c>
      <c r="L40" s="816" t="str">
        <f t="shared" si="36"/>
        <v>L</v>
      </c>
      <c r="M40" s="816">
        <f t="shared" si="37"/>
        <v>2</v>
      </c>
      <c r="N40" s="816" t="str">
        <f t="shared" si="35"/>
        <v>U</v>
      </c>
      <c r="O40" s="816">
        <f t="shared" si="26"/>
        <v>0.25</v>
      </c>
      <c r="P40" s="829">
        <f t="shared" si="28"/>
        <v>-1</v>
      </c>
      <c r="Q40" s="830">
        <v>-0.28000000000000003</v>
      </c>
      <c r="R40" s="871">
        <f t="shared" si="29"/>
        <v>-1.72</v>
      </c>
      <c r="S40" s="830">
        <v>2.5299999999999998</v>
      </c>
      <c r="T40" s="871">
        <f t="shared" si="30"/>
        <v>-0.5299999999999998</v>
      </c>
      <c r="U40" s="868">
        <f t="shared" si="31"/>
        <v>1.125</v>
      </c>
      <c r="V40" s="868">
        <f t="shared" si="32"/>
        <v>1.4049999999999998</v>
      </c>
      <c r="W40" s="829">
        <v>12</v>
      </c>
      <c r="X40" s="829">
        <v>15</v>
      </c>
      <c r="Y40" s="829">
        <v>3</v>
      </c>
      <c r="Z40" s="829">
        <v>5</v>
      </c>
      <c r="AA40" s="829">
        <v>66</v>
      </c>
      <c r="AB40" s="829">
        <v>34</v>
      </c>
      <c r="AC40" s="829"/>
      <c r="AD40" s="816" t="str">
        <f t="array" ref="AD40">IF($J40="","",IF(SUM(IF(ISNUMBER(VALUE(RIGHT($AG40:$DV40,1))),VALUE(RIGHT($AG40:$DV40,1)),0))=$J40,"T","F"))</f>
        <v>T</v>
      </c>
      <c r="AE40" s="831">
        <f t="array" ref="AE40">IF($J40="","",SUM(IF(LEFT($AG40:$DV40,1)="s",1,0))-SUM(IF(RIGHT(LEFT($AG40:$DV40,2))="-",1,0)))</f>
        <v>0</v>
      </c>
      <c r="AF40" s="816">
        <f t="array" ref="AF40">IF($J40="","",SUM(IF(LEFT($AG40:$DV40,1)="X",1,0)))</f>
        <v>11</v>
      </c>
      <c r="AG40" s="891"/>
      <c r="AH40" s="891" t="s">
        <v>1877</v>
      </c>
      <c r="AI40" s="891" t="s">
        <v>34</v>
      </c>
      <c r="AJ40" s="891" t="s">
        <v>2599</v>
      </c>
      <c r="AK40" s="891" t="s">
        <v>32</v>
      </c>
      <c r="AL40" s="891" t="s">
        <v>32</v>
      </c>
      <c r="AM40" s="891" t="s">
        <v>34</v>
      </c>
      <c r="AN40" s="891" t="s">
        <v>35</v>
      </c>
      <c r="AO40" s="891" t="s">
        <v>1877</v>
      </c>
      <c r="AP40" s="891" t="s">
        <v>32</v>
      </c>
      <c r="AQ40" s="891" t="s">
        <v>34</v>
      </c>
      <c r="AR40" s="891" t="s">
        <v>1877</v>
      </c>
      <c r="AS40" s="891" t="s">
        <v>2599</v>
      </c>
      <c r="AT40" s="891" t="s">
        <v>36</v>
      </c>
      <c r="AU40" s="891" t="s">
        <v>32</v>
      </c>
      <c r="AV40" s="891" t="s">
        <v>34</v>
      </c>
      <c r="AW40" s="891" t="s">
        <v>34</v>
      </c>
      <c r="AX40" s="891" t="s">
        <v>34</v>
      </c>
      <c r="AY40" s="891" t="s">
        <v>34</v>
      </c>
      <c r="AZ40" s="891" t="s">
        <v>35</v>
      </c>
      <c r="BA40" s="891" t="s">
        <v>36</v>
      </c>
      <c r="BB40" s="910"/>
      <c r="BC40" s="904" t="s">
        <v>34</v>
      </c>
      <c r="BD40" s="891" t="s">
        <v>36</v>
      </c>
      <c r="BE40" s="891" t="s">
        <v>32</v>
      </c>
      <c r="BF40" s="891" t="s">
        <v>35</v>
      </c>
      <c r="BG40" s="891" t="s">
        <v>1877</v>
      </c>
      <c r="BH40" s="891"/>
      <c r="BI40" s="891"/>
      <c r="BJ40" s="891"/>
      <c r="BK40" s="891"/>
      <c r="BL40" s="891"/>
      <c r="BM40" s="891"/>
      <c r="BN40" s="891"/>
      <c r="BO40" s="891"/>
      <c r="BP40" s="891"/>
      <c r="BQ40" s="891"/>
      <c r="BR40" s="891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428"/>
      <c r="CE40" s="428"/>
      <c r="CF40" s="428"/>
      <c r="CG40" s="428"/>
      <c r="CH40" s="230" t="s">
        <v>32</v>
      </c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  <c r="CN40" s="230" t="s">
        <v>32</v>
      </c>
    </row>
    <row r="41" spans="1:119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13</v>
      </c>
      <c r="G41" s="879" t="s">
        <v>884</v>
      </c>
      <c r="H41" s="879" t="s">
        <v>18</v>
      </c>
      <c r="I41" s="879" t="s">
        <v>891</v>
      </c>
      <c r="J41" s="846">
        <v>1</v>
      </c>
      <c r="K41" s="846">
        <v>1</v>
      </c>
      <c r="L41" s="816" t="str">
        <f t="shared" si="36"/>
        <v>D</v>
      </c>
      <c r="M41" s="816">
        <f>IF(J41="","",J41+K41)</f>
        <v>2</v>
      </c>
      <c r="N41" s="816" t="str">
        <f t="shared" si="35"/>
        <v>U</v>
      </c>
      <c r="O41" s="816">
        <f t="shared" si="26"/>
        <v>0</v>
      </c>
      <c r="P41" s="829">
        <f>IF(O41="","",IF((J41-K41+O41)&gt;=0.5,1,IF((J41-K41+O41)=0.25,0.5,IF((J41-K41+O41)&lt;=-0.5,-1,IF((J41-K41+O41)=-0.25,-0.5,0)))))</f>
        <v>0</v>
      </c>
      <c r="Q41" s="830">
        <v>-0.02</v>
      </c>
      <c r="R41" s="871">
        <f t="shared" si="29"/>
        <v>0.02</v>
      </c>
      <c r="S41" s="830">
        <v>2.4900000000000002</v>
      </c>
      <c r="T41" s="871">
        <f>IF(ISBLANK(S41),"",J41+K41-S41)</f>
        <v>-0.49000000000000021</v>
      </c>
      <c r="U41" s="868">
        <f t="shared" si="31"/>
        <v>1.2350000000000001</v>
      </c>
      <c r="V41" s="868">
        <f t="shared" si="32"/>
        <v>1.2550000000000001</v>
      </c>
      <c r="W41" s="829">
        <v>11</v>
      </c>
      <c r="X41" s="829">
        <v>17</v>
      </c>
      <c r="Y41" s="829">
        <v>3</v>
      </c>
      <c r="Z41" s="829">
        <v>9</v>
      </c>
      <c r="AA41" s="829">
        <v>63</v>
      </c>
      <c r="AB41" s="829">
        <v>37</v>
      </c>
      <c r="AC41" s="829"/>
      <c r="AD41" s="816" t="str">
        <f t="array" ref="AD41">IF($J41="","",IF(SUM(IF(ISNUMBER(VALUE(RIGHT($AG41:$DV41,1))),VALUE(RIGHT($AG41:$DV41,1)),0))=$J41,"T","F"))</f>
        <v>T</v>
      </c>
      <c r="AE41" s="831">
        <f t="array" ref="AE41">IF($J41="","",SUM(IF(LEFT($AG41:$DV41,1)="s",1,0))-SUM(IF(RIGHT(LEFT($AG41:$DV41,2))="-",1,0)))</f>
        <v>0</v>
      </c>
      <c r="AF41" s="816">
        <f t="array" ref="AF41">IF($J41="","",SUM(IF(LEFT($AG41:$DV41,1)="X",1,0)))</f>
        <v>11</v>
      </c>
      <c r="AG41" s="891" t="s">
        <v>32</v>
      </c>
      <c r="AH41" s="891" t="s">
        <v>1877</v>
      </c>
      <c r="AI41" s="891" t="s">
        <v>34</v>
      </c>
      <c r="AJ41" s="891" t="s">
        <v>34</v>
      </c>
      <c r="AK41" s="891" t="s">
        <v>32</v>
      </c>
      <c r="AL41" s="891" t="s">
        <v>32</v>
      </c>
      <c r="AM41" s="891" t="s">
        <v>34</v>
      </c>
      <c r="AN41" s="891" t="s">
        <v>35</v>
      </c>
      <c r="AO41" s="891" t="s">
        <v>32</v>
      </c>
      <c r="AP41" s="891" t="s">
        <v>32</v>
      </c>
      <c r="AQ41" s="891" t="s">
        <v>36</v>
      </c>
      <c r="AR41" s="891" t="s">
        <v>32</v>
      </c>
      <c r="AS41" s="891" t="s">
        <v>34</v>
      </c>
      <c r="AT41" s="891" t="s">
        <v>36</v>
      </c>
      <c r="AU41" s="904" t="s">
        <v>34</v>
      </c>
      <c r="AV41" s="891" t="s">
        <v>34</v>
      </c>
      <c r="AW41" s="891" t="s">
        <v>35</v>
      </c>
      <c r="AX41" s="891" t="s">
        <v>1877</v>
      </c>
      <c r="AY41" s="891" t="s">
        <v>35</v>
      </c>
      <c r="AZ41" s="891" t="s">
        <v>34</v>
      </c>
      <c r="BA41" s="891" t="s">
        <v>32</v>
      </c>
      <c r="BB41" s="910"/>
      <c r="BC41" s="891" t="s">
        <v>34</v>
      </c>
      <c r="BD41" s="891" t="s">
        <v>1877</v>
      </c>
      <c r="BE41" s="891" t="s">
        <v>32</v>
      </c>
      <c r="BF41" s="891" t="s">
        <v>2682</v>
      </c>
      <c r="BG41" s="891" t="s">
        <v>1877</v>
      </c>
      <c r="BH41" s="891"/>
      <c r="BI41" s="891"/>
      <c r="BJ41" s="891"/>
      <c r="BK41" s="891"/>
      <c r="BL41" s="891"/>
      <c r="BM41" s="891"/>
      <c r="BN41" s="891"/>
      <c r="BO41" s="891"/>
      <c r="BP41" s="891"/>
      <c r="BQ41" s="891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4"/>
      <c r="CE41" s="4"/>
      <c r="CF41" s="4"/>
      <c r="CG41" s="4"/>
      <c r="CH41" s="6" t="s">
        <v>32</v>
      </c>
      <c r="CI41" s="6" t="s">
        <v>32</v>
      </c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</row>
    <row r="42" spans="1:119" ht="15">
      <c r="A42" s="912">
        <v>6382</v>
      </c>
      <c r="B42" s="894"/>
      <c r="C42" s="894"/>
      <c r="D42" s="894"/>
      <c r="E42" s="894"/>
      <c r="F42" s="894"/>
      <c r="G42" s="828" t="s">
        <v>888</v>
      </c>
      <c r="H42" s="828" t="s">
        <v>18</v>
      </c>
      <c r="I42" s="828" t="s">
        <v>2654</v>
      </c>
      <c r="J42" s="895">
        <v>3</v>
      </c>
      <c r="K42" s="895">
        <v>0</v>
      </c>
      <c r="L42" s="816" t="str">
        <f t="shared" ref="L42" si="38">IF(J42="","",IF(J42&gt;K42,"W",IF(J42=K42,"D",IF(J42&lt;K42,"L"))))</f>
        <v>W</v>
      </c>
      <c r="M42" s="816">
        <f t="shared" ref="M42" si="39">IF(J42="","",J42+K42)</f>
        <v>3</v>
      </c>
      <c r="N42" s="816" t="str">
        <f t="shared" si="35"/>
        <v>O</v>
      </c>
      <c r="O42" s="816" t="str">
        <f t="shared" ref="O42" si="40">IF(Q42="","",IF(SIGN(Q42)&lt;&gt;1,VLOOKUP(ABS(Q42),SUP_HDC,3,TRUE),-VLOOKUP(ABS(Q42),SUP_HDC,3,TRUE)))</f>
        <v/>
      </c>
      <c r="P42" s="829" t="str">
        <f t="shared" ref="P42" si="41">IF(O42="","",IF((J42-K42+O42)&gt;=0.5,1,IF((J42-K42+O42)=0.25,0.5,IF((J42-K42+O42)&lt;=-0.5,-1,IF((J42-K42+O42)=-0.25,-0.5,0)))))</f>
        <v/>
      </c>
      <c r="Q42" s="830"/>
      <c r="R42" s="871" t="str">
        <f t="shared" ref="R42" si="42">IF(ISBLANK(Q42),"",J42-K42-Q42)</f>
        <v/>
      </c>
      <c r="S42" s="830"/>
      <c r="T42" s="871" t="str">
        <f t="shared" ref="T42" si="43">IF(ISBLANK(S42),"",J42+K42-S42)</f>
        <v/>
      </c>
      <c r="U42" s="868" t="str">
        <f t="shared" ref="U42" si="44">IF(Q42="","",(Q42+S42)/2)</f>
        <v/>
      </c>
      <c r="V42" s="868" t="str">
        <f t="shared" ref="V42" si="45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IF($J42="","",IF(SUM(IF(ISNUMBER(VALUE(RIGHT($AG42:$DV42,1))),VALUE(RIGHT($AG42:$DV42,1)),0))=$J42,"T","F"))</f>
        <v>T</v>
      </c>
      <c r="AE42" s="831">
        <f t="array" ref="AE42">IF($J42="","",SUM(IF(LEFT($AG42:$DV42,1)="s",1,0))-SUM(IF(RIGHT(LEFT($AG42:$DV42,2))="-",1,0)))</f>
        <v>0</v>
      </c>
      <c r="AF42" s="816">
        <f t="array" ref="AF42">IF($J42="","",SUM(IF(LEFT($AG42:$DV42,1)="X",1,0)))</f>
        <v>11</v>
      </c>
      <c r="AG42" s="891" t="s">
        <v>32</v>
      </c>
      <c r="AH42" s="891" t="s">
        <v>1877</v>
      </c>
      <c r="AI42" s="891" t="s">
        <v>34</v>
      </c>
      <c r="AJ42" s="891" t="s">
        <v>34</v>
      </c>
      <c r="AK42" s="891" t="s">
        <v>32</v>
      </c>
      <c r="AL42" s="891" t="s">
        <v>32</v>
      </c>
      <c r="AM42" s="891" t="s">
        <v>34</v>
      </c>
      <c r="AN42" s="891" t="s">
        <v>2703</v>
      </c>
      <c r="AO42" s="891" t="s">
        <v>36</v>
      </c>
      <c r="AP42" s="891" t="s">
        <v>32</v>
      </c>
      <c r="AQ42" s="906" t="s">
        <v>2706</v>
      </c>
      <c r="AR42" s="891" t="s">
        <v>32</v>
      </c>
      <c r="AS42" s="891" t="s">
        <v>2704</v>
      </c>
      <c r="AT42" s="891" t="s">
        <v>32</v>
      </c>
      <c r="AU42" s="891" t="s">
        <v>35</v>
      </c>
      <c r="AV42" s="891" t="s">
        <v>34</v>
      </c>
      <c r="AW42" s="904" t="s">
        <v>35</v>
      </c>
      <c r="AX42" s="891" t="s">
        <v>1877</v>
      </c>
      <c r="AY42" s="891" t="s">
        <v>2703</v>
      </c>
      <c r="AZ42" s="904" t="s">
        <v>34</v>
      </c>
      <c r="BA42" s="891" t="s">
        <v>32</v>
      </c>
      <c r="BB42" s="910"/>
      <c r="BC42" s="891" t="s">
        <v>34</v>
      </c>
      <c r="BD42" s="891" t="s">
        <v>1877</v>
      </c>
      <c r="BE42" s="891" t="s">
        <v>32</v>
      </c>
      <c r="BF42" s="906" t="s">
        <v>2706</v>
      </c>
      <c r="BG42" s="891" t="s">
        <v>1877</v>
      </c>
      <c r="BH42" s="891"/>
      <c r="BI42" s="891"/>
      <c r="BJ42" s="891"/>
      <c r="BK42" s="891"/>
      <c r="BL42" s="891"/>
      <c r="BM42" s="891"/>
      <c r="BN42" s="891"/>
      <c r="BO42" s="891"/>
      <c r="BP42" s="891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4"/>
      <c r="CE42" s="4"/>
      <c r="CF42" s="4"/>
      <c r="CG42" s="4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</row>
    <row r="43" spans="1:119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6</v>
      </c>
      <c r="G43" s="879" t="s">
        <v>876</v>
      </c>
      <c r="H43" s="879" t="s">
        <v>22</v>
      </c>
      <c r="I43" s="879" t="s">
        <v>891</v>
      </c>
      <c r="J43" s="846">
        <v>4</v>
      </c>
      <c r="K43" s="846">
        <v>6</v>
      </c>
      <c r="L43" s="816" t="str">
        <f t="shared" si="36"/>
        <v>L</v>
      </c>
      <c r="M43" s="816">
        <f t="shared" si="37"/>
        <v>10</v>
      </c>
      <c r="N43" s="816" t="str">
        <f t="shared" si="35"/>
        <v>O</v>
      </c>
      <c r="O43" s="816">
        <f t="shared" si="26"/>
        <v>0</v>
      </c>
      <c r="P43" s="829">
        <f t="shared" si="28"/>
        <v>-1</v>
      </c>
      <c r="Q43" s="830">
        <v>-0.13</v>
      </c>
      <c r="R43" s="871">
        <f t="shared" si="29"/>
        <v>-1.87</v>
      </c>
      <c r="S43" s="830">
        <v>2.85</v>
      </c>
      <c r="T43" s="871">
        <f t="shared" si="30"/>
        <v>7.15</v>
      </c>
      <c r="U43" s="868">
        <f t="shared" si="31"/>
        <v>1.36</v>
      </c>
      <c r="V43" s="868">
        <f t="shared" si="32"/>
        <v>1.49</v>
      </c>
      <c r="W43" s="829">
        <v>16</v>
      </c>
      <c r="X43" s="829">
        <v>20</v>
      </c>
      <c r="Y43" s="829">
        <v>8</v>
      </c>
      <c r="Z43" s="829">
        <v>8</v>
      </c>
      <c r="AA43" s="829">
        <v>53</v>
      </c>
      <c r="AB43" s="829">
        <v>47</v>
      </c>
      <c r="AC43" s="829"/>
      <c r="AD43" s="816" t="str">
        <f t="array" ref="AD43">IF($J43="","",IF(SUM(IF(ISNUMBER(VALUE(RIGHT($AG43:$DV43,1))),VALUE(RIGHT($AG43:$DV43,1)),0))=$J43,"T","F"))</f>
        <v>T</v>
      </c>
      <c r="AE43" s="831">
        <f t="array" ref="AE43">IF($J43="","",SUM(IF(LEFT($AG43:$DV43,1)="s",1,0))-SUM(IF(RIGHT(LEFT($AG43:$DV43,2))="-",1,0)))</f>
        <v>0</v>
      </c>
      <c r="AF43" s="816">
        <f t="array" ref="AF43">IF($J43="","",SUM(IF(LEFT($AG43:$DV43,1)="X",1,0)))</f>
        <v>11</v>
      </c>
      <c r="AG43" s="891" t="s">
        <v>32</v>
      </c>
      <c r="AH43" s="891" t="s">
        <v>1877</v>
      </c>
      <c r="AI43" s="891" t="s">
        <v>34</v>
      </c>
      <c r="AJ43" s="891" t="s">
        <v>34</v>
      </c>
      <c r="AK43" s="891" t="s">
        <v>32</v>
      </c>
      <c r="AL43" s="891" t="s">
        <v>32</v>
      </c>
      <c r="AM43" s="904" t="s">
        <v>34</v>
      </c>
      <c r="AN43" s="891" t="s">
        <v>2744</v>
      </c>
      <c r="AO43" s="891" t="s">
        <v>1877</v>
      </c>
      <c r="AP43" s="891" t="s">
        <v>32</v>
      </c>
      <c r="AQ43" s="891" t="s">
        <v>34</v>
      </c>
      <c r="AR43" s="891" t="s">
        <v>1877</v>
      </c>
      <c r="AS43" s="891" t="s">
        <v>34</v>
      </c>
      <c r="AT43" s="891" t="s">
        <v>36</v>
      </c>
      <c r="AU43" s="891" t="s">
        <v>34</v>
      </c>
      <c r="AV43" s="891" t="s">
        <v>34</v>
      </c>
      <c r="AW43" s="891" t="s">
        <v>32</v>
      </c>
      <c r="AX43" s="891" t="s">
        <v>36</v>
      </c>
      <c r="AY43" s="891" t="s">
        <v>35</v>
      </c>
      <c r="AZ43" s="891" t="s">
        <v>2742</v>
      </c>
      <c r="BA43" s="891" t="s">
        <v>32</v>
      </c>
      <c r="BB43" s="910"/>
      <c r="BC43" s="891" t="s">
        <v>2743</v>
      </c>
      <c r="BD43" s="891" t="s">
        <v>32</v>
      </c>
      <c r="BE43" s="891" t="s">
        <v>32</v>
      </c>
      <c r="BF43" s="891" t="s">
        <v>36</v>
      </c>
      <c r="BG43" s="891" t="s">
        <v>1877</v>
      </c>
      <c r="BH43" s="891"/>
      <c r="BI43" s="891"/>
      <c r="BJ43" s="891"/>
      <c r="BK43" s="891"/>
      <c r="BL43" s="891"/>
      <c r="BM43" s="891"/>
      <c r="BN43" s="891"/>
      <c r="BO43" s="891"/>
      <c r="BP43" s="891"/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428"/>
      <c r="CE43" s="428"/>
      <c r="CF43" s="428"/>
      <c r="CG43" s="428"/>
      <c r="CH43" s="230" t="s">
        <v>32</v>
      </c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</row>
    <row r="44" spans="1:119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4</v>
      </c>
      <c r="G44" s="879" t="s">
        <v>1084</v>
      </c>
      <c r="H44" s="879" t="s">
        <v>18</v>
      </c>
      <c r="I44" s="879" t="s">
        <v>891</v>
      </c>
      <c r="J44" s="846">
        <v>0</v>
      </c>
      <c r="K44" s="846">
        <v>1</v>
      </c>
      <c r="L44" s="816" t="str">
        <f t="shared" si="36"/>
        <v>L</v>
      </c>
      <c r="M44" s="816">
        <f t="shared" si="37"/>
        <v>1</v>
      </c>
      <c r="N44" s="816" t="str">
        <f t="shared" si="35"/>
        <v>U</v>
      </c>
      <c r="O44" s="816">
        <f t="shared" si="26"/>
        <v>0.75</v>
      </c>
      <c r="P44" s="829">
        <f t="shared" si="28"/>
        <v>-0.5</v>
      </c>
      <c r="Q44" s="830">
        <v>-0.73</v>
      </c>
      <c r="R44" s="871">
        <f t="shared" si="29"/>
        <v>-0.27</v>
      </c>
      <c r="S44" s="830">
        <v>2.85</v>
      </c>
      <c r="T44" s="871">
        <f t="shared" si="30"/>
        <v>-1.85</v>
      </c>
      <c r="U44" s="868">
        <f t="shared" si="31"/>
        <v>1.06</v>
      </c>
      <c r="V44" s="868">
        <f t="shared" si="32"/>
        <v>1.79</v>
      </c>
      <c r="W44" s="829">
        <v>8</v>
      </c>
      <c r="X44" s="829">
        <v>14</v>
      </c>
      <c r="Y44" s="829">
        <v>0</v>
      </c>
      <c r="Z44" s="829">
        <v>4</v>
      </c>
      <c r="AA44" s="829">
        <v>60</v>
      </c>
      <c r="AB44" s="829">
        <v>40</v>
      </c>
      <c r="AC44" s="829"/>
      <c r="AD44" s="816" t="str">
        <f t="array" ref="AD44">IF($J44="","",IF(SUM(IF(ISNUMBER(VALUE(RIGHT($AG44:$DV44,1))),VALUE(RIGHT($AG44:$DV44,1)),0))=$J44,"T","F"))</f>
        <v>T</v>
      </c>
      <c r="AE44" s="831">
        <f t="array" ref="AE44">IF($J44="","",SUM(IF(LEFT($AG44:$DV44,1)="s",1,0))-SUM(IF(RIGHT(LEFT($AG44:$DV44,2))="-",1,0)))</f>
        <v>0</v>
      </c>
      <c r="AF44" s="816">
        <f t="array" ref="AF44">IF($J44="","",SUM(IF(LEFT($AG44:$DV44,1)="X",1,0)))</f>
        <v>11</v>
      </c>
      <c r="AG44" s="891" t="s">
        <v>32</v>
      </c>
      <c r="AH44" s="891" t="s">
        <v>1877</v>
      </c>
      <c r="AI44" s="891" t="s">
        <v>34</v>
      </c>
      <c r="AJ44" s="904" t="s">
        <v>34</v>
      </c>
      <c r="AK44" s="891" t="s">
        <v>32</v>
      </c>
      <c r="AL44" s="891" t="s">
        <v>32</v>
      </c>
      <c r="AM44" s="891" t="s">
        <v>34</v>
      </c>
      <c r="AN44" s="891" t="s">
        <v>34</v>
      </c>
      <c r="AO44" s="891" t="s">
        <v>1877</v>
      </c>
      <c r="AP44" s="891" t="s">
        <v>32</v>
      </c>
      <c r="AQ44" s="891" t="s">
        <v>1877</v>
      </c>
      <c r="AR44" s="891" t="s">
        <v>34</v>
      </c>
      <c r="AS44" s="891" t="s">
        <v>35</v>
      </c>
      <c r="AT44" s="891" t="s">
        <v>32</v>
      </c>
      <c r="AU44" s="891" t="s">
        <v>35</v>
      </c>
      <c r="AV44" s="891" t="s">
        <v>34</v>
      </c>
      <c r="AW44" s="891" t="s">
        <v>32</v>
      </c>
      <c r="AX44" s="891" t="s">
        <v>36</v>
      </c>
      <c r="AY44" s="891" t="s">
        <v>35</v>
      </c>
      <c r="AZ44" s="891" t="s">
        <v>34</v>
      </c>
      <c r="BA44" s="891" t="s">
        <v>32</v>
      </c>
      <c r="BB44" s="910"/>
      <c r="BC44" s="891" t="s">
        <v>34</v>
      </c>
      <c r="BD44" s="891" t="s">
        <v>36</v>
      </c>
      <c r="BE44" s="891" t="s">
        <v>32</v>
      </c>
      <c r="BF44" s="891" t="s">
        <v>36</v>
      </c>
      <c r="BG44" s="891" t="s">
        <v>1877</v>
      </c>
      <c r="BH44" s="891"/>
      <c r="BI44" s="891"/>
      <c r="BJ44" s="891"/>
      <c r="BK44" s="891"/>
      <c r="BL44" s="891"/>
      <c r="BM44" s="891"/>
      <c r="BN44" s="891"/>
      <c r="BO44" s="891"/>
      <c r="BP44" s="891"/>
      <c r="BQ44" s="896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428"/>
      <c r="CE44" s="428"/>
      <c r="CF44" s="428"/>
      <c r="CG44" s="428"/>
    </row>
    <row r="45" spans="1:119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12</v>
      </c>
      <c r="G45" s="879" t="s">
        <v>879</v>
      </c>
      <c r="H45" s="879" t="s">
        <v>22</v>
      </c>
      <c r="I45" s="879" t="s">
        <v>891</v>
      </c>
      <c r="J45" s="846">
        <v>3</v>
      </c>
      <c r="K45" s="846">
        <v>2</v>
      </c>
      <c r="L45" s="816" t="str">
        <f t="shared" si="36"/>
        <v>W</v>
      </c>
      <c r="M45" s="816">
        <f t="shared" si="37"/>
        <v>5</v>
      </c>
      <c r="N45" s="816" t="str">
        <f t="shared" si="35"/>
        <v>O</v>
      </c>
      <c r="O45" s="816">
        <f t="shared" si="26"/>
        <v>0</v>
      </c>
      <c r="P45" s="829">
        <f t="shared" si="28"/>
        <v>1</v>
      </c>
      <c r="Q45" s="830">
        <v>-7.0000000000000007E-2</v>
      </c>
      <c r="R45" s="871">
        <f t="shared" si="29"/>
        <v>1.07</v>
      </c>
      <c r="S45" s="830">
        <v>2.62</v>
      </c>
      <c r="T45" s="871">
        <f t="shared" si="30"/>
        <v>2.38</v>
      </c>
      <c r="U45" s="868">
        <f t="shared" si="31"/>
        <v>1.2750000000000001</v>
      </c>
      <c r="V45" s="868">
        <f t="shared" si="32"/>
        <v>1.345</v>
      </c>
      <c r="W45" s="829">
        <v>9</v>
      </c>
      <c r="X45" s="829">
        <v>6</v>
      </c>
      <c r="Y45" s="829">
        <v>3</v>
      </c>
      <c r="Z45" s="829">
        <v>3</v>
      </c>
      <c r="AA45" s="829">
        <v>64</v>
      </c>
      <c r="AB45" s="829">
        <v>36</v>
      </c>
      <c r="AC45" s="829"/>
      <c r="AD45" s="816" t="str">
        <f t="array" ref="AD45">IF($J45="","",IF(SUM(IF(ISNUMBER(VALUE(RIGHT($AG45:$DV45,1))),VALUE(RIGHT($AG45:$DV45,1)),0))=$J45,"T","F"))</f>
        <v>T</v>
      </c>
      <c r="AE45" s="831">
        <f t="array" ref="AE45">IF($J45="","",SUM(IF(LEFT($AG45:$DV45,1)="s",1,0))-SUM(IF(RIGHT(LEFT($AG45:$DV45,2))="-",1,0)))</f>
        <v>0</v>
      </c>
      <c r="AF45" s="816">
        <f t="array" ref="AF45">IF($J45="","",SUM(IF(LEFT($AG45:$DV45,1)="X",1,0)))</f>
        <v>11</v>
      </c>
      <c r="AG45" s="891" t="s">
        <v>32</v>
      </c>
      <c r="AH45" s="891" t="s">
        <v>1877</v>
      </c>
      <c r="AI45" s="891" t="s">
        <v>34</v>
      </c>
      <c r="AJ45" s="891" t="s">
        <v>34</v>
      </c>
      <c r="AK45" s="891" t="s">
        <v>32</v>
      </c>
      <c r="AL45" s="891" t="s">
        <v>32</v>
      </c>
      <c r="AM45" s="891" t="s">
        <v>34</v>
      </c>
      <c r="AN45" s="891" t="s">
        <v>2832</v>
      </c>
      <c r="AO45" s="891" t="s">
        <v>1877</v>
      </c>
      <c r="AP45" s="891" t="s">
        <v>32</v>
      </c>
      <c r="AQ45" s="891" t="s">
        <v>32</v>
      </c>
      <c r="AR45" s="891" t="s">
        <v>1877</v>
      </c>
      <c r="AS45" s="891" t="s">
        <v>34</v>
      </c>
      <c r="AT45" s="891" t="s">
        <v>1877</v>
      </c>
      <c r="AU45" s="891" t="s">
        <v>34</v>
      </c>
      <c r="AV45" s="891" t="s">
        <v>34</v>
      </c>
      <c r="AW45" s="891" t="s">
        <v>34</v>
      </c>
      <c r="AX45" s="891" t="s">
        <v>36</v>
      </c>
      <c r="AY45" s="891" t="s">
        <v>35</v>
      </c>
      <c r="AZ45" s="891" t="s">
        <v>32</v>
      </c>
      <c r="BA45" s="891" t="s">
        <v>1877</v>
      </c>
      <c r="BB45" s="910"/>
      <c r="BC45" s="891" t="s">
        <v>34</v>
      </c>
      <c r="BD45" s="891" t="s">
        <v>32</v>
      </c>
      <c r="BE45" s="891" t="s">
        <v>32</v>
      </c>
      <c r="BF45" s="891" t="s">
        <v>2832</v>
      </c>
      <c r="BG45" s="891" t="s">
        <v>1877</v>
      </c>
      <c r="BH45" s="891">
        <v>1</v>
      </c>
      <c r="BI45" s="891"/>
      <c r="BJ45" s="891"/>
      <c r="BK45" s="891"/>
      <c r="BL45" s="891"/>
      <c r="BM45" s="891"/>
      <c r="BN45" s="891"/>
      <c r="BO45" s="891"/>
      <c r="BP45" s="891"/>
      <c r="BQ45" s="891"/>
      <c r="BR45" s="896"/>
      <c r="BS45" s="896"/>
      <c r="BT45" s="896"/>
      <c r="BU45" s="896"/>
      <c r="BV45" s="896"/>
      <c r="BW45" s="891"/>
      <c r="BX45" s="891"/>
      <c r="BY45" s="891"/>
      <c r="BZ45" s="891"/>
      <c r="CA45" s="891"/>
      <c r="CB45" s="891"/>
      <c r="CC45" s="891"/>
      <c r="CD45" s="428"/>
      <c r="CE45" s="428"/>
      <c r="CF45" s="428"/>
      <c r="CG45" s="428"/>
    </row>
    <row r="46" spans="1:119" ht="15">
      <c r="A46" s="912">
        <v>6403</v>
      </c>
      <c r="B46" s="894"/>
      <c r="C46" s="894"/>
      <c r="D46" s="894"/>
      <c r="E46" s="894"/>
      <c r="F46" s="894"/>
      <c r="G46" s="828" t="s">
        <v>2770</v>
      </c>
      <c r="H46" s="828" t="s">
        <v>2854</v>
      </c>
      <c r="I46" s="828" t="s">
        <v>2649</v>
      </c>
      <c r="J46" s="898">
        <v>1</v>
      </c>
      <c r="K46" s="898">
        <v>2</v>
      </c>
      <c r="L46" s="816" t="str">
        <f t="shared" si="36"/>
        <v>L</v>
      </c>
      <c r="M46" s="816">
        <f t="shared" si="37"/>
        <v>3</v>
      </c>
      <c r="N46" s="816" t="str">
        <f t="shared" si="35"/>
        <v>O</v>
      </c>
      <c r="O46" s="816"/>
      <c r="P46" s="829"/>
      <c r="Q46" s="830"/>
      <c r="R46" s="871" t="str">
        <f t="shared" si="29"/>
        <v/>
      </c>
      <c r="S46" s="830"/>
      <c r="T46" s="871" t="str">
        <f t="shared" si="30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IF($J46="","",IF(SUM(IF(ISNUMBER(VALUE(RIGHT($AG46:$DV46,1))),VALUE(RIGHT($AG46:$DV46,1)),0))=$J46,"T","F"))</f>
        <v>T</v>
      </c>
      <c r="AE46" s="831">
        <f t="array" ref="AE46">IF($J46="","",SUM(IF(LEFT($AG46:$DV46,1)="s",1,0))-SUM(IF(RIGHT(LEFT($AG46:$DV46,2))="-",1,0)))</f>
        <v>0</v>
      </c>
      <c r="AF46" s="816">
        <f t="array" ref="AF46">IF($J46="","",SUM(IF(LEFT($AG46:$DV46,1)="X",1,0)))</f>
        <v>11</v>
      </c>
      <c r="AG46" s="891" t="s">
        <v>1877</v>
      </c>
      <c r="AH46" s="891" t="s">
        <v>32</v>
      </c>
      <c r="AI46" s="891" t="s">
        <v>34</v>
      </c>
      <c r="AJ46" s="891" t="s">
        <v>34</v>
      </c>
      <c r="AK46" s="891" t="s">
        <v>32</v>
      </c>
      <c r="AL46" s="891" t="s">
        <v>32</v>
      </c>
      <c r="AM46" s="891" t="s">
        <v>2853</v>
      </c>
      <c r="AN46" s="891" t="s">
        <v>34</v>
      </c>
      <c r="AO46" s="891" t="s">
        <v>1877</v>
      </c>
      <c r="AP46" s="891" t="s">
        <v>32</v>
      </c>
      <c r="AQ46" s="891" t="s">
        <v>32</v>
      </c>
      <c r="AR46" s="891" t="s">
        <v>1877</v>
      </c>
      <c r="AS46" s="891" t="s">
        <v>35</v>
      </c>
      <c r="AT46" s="891" t="s">
        <v>32</v>
      </c>
      <c r="AU46" s="891" t="s">
        <v>35</v>
      </c>
      <c r="AV46" s="891" t="s">
        <v>34</v>
      </c>
      <c r="AW46" s="891" t="s">
        <v>34</v>
      </c>
      <c r="AX46" s="891" t="s">
        <v>1877</v>
      </c>
      <c r="AY46" s="891" t="s">
        <v>36</v>
      </c>
      <c r="AZ46" s="891" t="s">
        <v>34</v>
      </c>
      <c r="BA46" s="891" t="s">
        <v>36</v>
      </c>
      <c r="BB46" s="910"/>
      <c r="BC46" s="891" t="s">
        <v>34</v>
      </c>
      <c r="BD46" s="891" t="s">
        <v>32</v>
      </c>
      <c r="BE46" s="891" t="s">
        <v>32</v>
      </c>
      <c r="BF46" s="891" t="s">
        <v>35</v>
      </c>
      <c r="BG46" s="891" t="s">
        <v>36</v>
      </c>
      <c r="BH46" s="891"/>
      <c r="BI46" s="891"/>
      <c r="BJ46" s="891"/>
      <c r="BK46" s="891"/>
      <c r="BL46" s="891"/>
      <c r="BM46" s="891"/>
      <c r="BN46" s="891"/>
      <c r="BO46" s="891"/>
      <c r="BP46" s="891"/>
      <c r="BQ46" s="891"/>
      <c r="BR46" s="896"/>
      <c r="BS46" s="896"/>
      <c r="BT46" s="896"/>
      <c r="BU46" s="896"/>
      <c r="BV46" s="896"/>
      <c r="BW46" s="891"/>
      <c r="BX46" s="891"/>
      <c r="BY46" s="891"/>
      <c r="BZ46" s="891"/>
      <c r="CA46" s="891"/>
      <c r="CB46" s="891"/>
      <c r="CC46" s="891"/>
      <c r="CD46" s="428"/>
      <c r="CE46" s="428"/>
      <c r="CF46" s="428"/>
      <c r="CG46" s="428"/>
    </row>
    <row r="47" spans="1:119" ht="15">
      <c r="A47" s="882">
        <v>6406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10</v>
      </c>
      <c r="G47" s="879" t="s">
        <v>883</v>
      </c>
      <c r="H47" s="879" t="s">
        <v>18</v>
      </c>
      <c r="I47" s="879" t="s">
        <v>891</v>
      </c>
      <c r="J47" s="846">
        <v>0</v>
      </c>
      <c r="K47" s="846">
        <v>1</v>
      </c>
      <c r="L47" s="816" t="str">
        <f t="shared" si="36"/>
        <v>L</v>
      </c>
      <c r="M47" s="816">
        <f t="shared" si="37"/>
        <v>1</v>
      </c>
      <c r="N47" s="816" t="str">
        <f t="shared" si="35"/>
        <v>U</v>
      </c>
      <c r="O47" s="816">
        <f t="shared" si="26"/>
        <v>0.5</v>
      </c>
      <c r="P47" s="829">
        <f t="shared" si="28"/>
        <v>-1</v>
      </c>
      <c r="Q47" s="830">
        <v>-0.52</v>
      </c>
      <c r="R47" s="871">
        <f t="shared" si="29"/>
        <v>-0.48</v>
      </c>
      <c r="S47" s="830">
        <v>2.64</v>
      </c>
      <c r="T47" s="871">
        <f t="shared" si="30"/>
        <v>-1.6400000000000001</v>
      </c>
      <c r="U47" s="868">
        <f t="shared" si="31"/>
        <v>1.06</v>
      </c>
      <c r="V47" s="868">
        <f t="shared" si="32"/>
        <v>1.58</v>
      </c>
      <c r="W47" s="829">
        <v>10</v>
      </c>
      <c r="X47" s="829">
        <v>8</v>
      </c>
      <c r="Y47" s="829">
        <v>4</v>
      </c>
      <c r="Z47" s="829">
        <v>2</v>
      </c>
      <c r="AA47" s="829">
        <v>65</v>
      </c>
      <c r="AB47" s="829">
        <v>35</v>
      </c>
      <c r="AC47" s="829"/>
      <c r="AD47" s="816" t="str">
        <f t="array" ref="AD47">IF($J47="","",IF(SUM(IF(ISNUMBER(VALUE(RIGHT($AG47:$DV47,1))),VALUE(RIGHT($AG47:$DV47,1)),0))=$J47,"T","F"))</f>
        <v>T</v>
      </c>
      <c r="AE47" s="831">
        <f t="array" ref="AE47">IF($J47="","",SUM(IF(LEFT($AG47:$DV47,1)="s",1,0))-SUM(IF(RIGHT(LEFT($AG47:$DV47,2))="-",1,0)))</f>
        <v>0</v>
      </c>
      <c r="AF47" s="816">
        <f t="array" ref="AF47">IF($J47="","",SUM(IF(LEFT($AG47:$DV47,1)="X",1,0)))</f>
        <v>11</v>
      </c>
      <c r="AG47" s="891" t="s">
        <v>32</v>
      </c>
      <c r="AH47" s="891" t="s">
        <v>1877</v>
      </c>
      <c r="AI47" s="891" t="s">
        <v>34</v>
      </c>
      <c r="AJ47" s="904" t="s">
        <v>34</v>
      </c>
      <c r="AK47" s="891" t="s">
        <v>32</v>
      </c>
      <c r="AL47" s="891" t="s">
        <v>32</v>
      </c>
      <c r="AM47" s="891" t="s">
        <v>34</v>
      </c>
      <c r="AN47" s="891" t="s">
        <v>34</v>
      </c>
      <c r="AO47" s="891" t="s">
        <v>1877</v>
      </c>
      <c r="AP47" s="891" t="s">
        <v>32</v>
      </c>
      <c r="AQ47" s="891" t="s">
        <v>32</v>
      </c>
      <c r="AR47" s="891" t="s">
        <v>34</v>
      </c>
      <c r="AS47" s="891" t="s">
        <v>36</v>
      </c>
      <c r="AT47" s="891" t="s">
        <v>32</v>
      </c>
      <c r="AU47" s="891" t="s">
        <v>35</v>
      </c>
      <c r="AV47" s="891" t="s">
        <v>34</v>
      </c>
      <c r="AW47" s="891" t="s">
        <v>1877</v>
      </c>
      <c r="AX47" s="891" t="s">
        <v>1877</v>
      </c>
      <c r="AY47" s="891" t="s">
        <v>34</v>
      </c>
      <c r="AZ47" s="891" t="s">
        <v>35</v>
      </c>
      <c r="BA47" s="891" t="s">
        <v>36</v>
      </c>
      <c r="BB47" s="891" t="s">
        <v>32</v>
      </c>
      <c r="BC47" s="891" t="s">
        <v>34</v>
      </c>
      <c r="BD47" s="891" t="s">
        <v>32</v>
      </c>
      <c r="BE47" s="891" t="s">
        <v>32</v>
      </c>
      <c r="BF47" s="891" t="s">
        <v>35</v>
      </c>
      <c r="BG47" s="891" t="s">
        <v>36</v>
      </c>
      <c r="BH47" s="891"/>
      <c r="BI47" s="891"/>
      <c r="BJ47" s="891"/>
      <c r="BK47" s="891"/>
      <c r="BL47" s="891"/>
      <c r="BM47" s="891"/>
      <c r="BN47" s="891"/>
      <c r="BO47" s="891"/>
      <c r="BP47" s="891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428"/>
      <c r="CE47" s="428"/>
      <c r="CF47" s="428"/>
      <c r="CG47" s="428"/>
    </row>
    <row r="48" spans="1:119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16</v>
      </c>
      <c r="G48" s="879" t="s">
        <v>872</v>
      </c>
      <c r="H48" s="879" t="s">
        <v>22</v>
      </c>
      <c r="I48" s="879" t="s">
        <v>891</v>
      </c>
      <c r="J48" s="908">
        <v>0</v>
      </c>
      <c r="K48" s="846">
        <v>2</v>
      </c>
      <c r="L48" s="816" t="str">
        <f t="shared" si="36"/>
        <v>L</v>
      </c>
      <c r="M48" s="816">
        <f t="shared" si="37"/>
        <v>2</v>
      </c>
      <c r="N48" s="816" t="str">
        <f t="shared" si="35"/>
        <v>U</v>
      </c>
      <c r="O48" s="816">
        <f t="shared" si="26"/>
        <v>-0.25</v>
      </c>
      <c r="P48" s="829">
        <f t="shared" si="28"/>
        <v>-1</v>
      </c>
      <c r="Q48" s="830">
        <v>0.25</v>
      </c>
      <c r="R48" s="871">
        <f t="shared" si="29"/>
        <v>-2.25</v>
      </c>
      <c r="S48" s="830">
        <v>2.7</v>
      </c>
      <c r="T48" s="871">
        <f t="shared" si="30"/>
        <v>-0.70000000000000018</v>
      </c>
      <c r="U48" s="868">
        <f t="shared" si="31"/>
        <v>1.4750000000000001</v>
      </c>
      <c r="V48" s="868">
        <f t="shared" si="32"/>
        <v>1.2250000000000001</v>
      </c>
      <c r="W48" s="829">
        <v>14</v>
      </c>
      <c r="X48" s="829">
        <v>8</v>
      </c>
      <c r="Y48" s="829">
        <v>3</v>
      </c>
      <c r="Z48" s="829">
        <v>4</v>
      </c>
      <c r="AA48" s="829">
        <v>69</v>
      </c>
      <c r="AB48" s="829">
        <v>31</v>
      </c>
      <c r="AC48" s="829"/>
      <c r="AD48" s="816" t="str">
        <f t="array" ref="AD48">IF($J48="","",IF(SUM(IF(ISNUMBER(VALUE(RIGHT($AG48:$DV48,1))),VALUE(RIGHT($AG48:$DV48,1)),0))=$J48,"T","F"))</f>
        <v>T</v>
      </c>
      <c r="AE48" s="831">
        <f t="array" ref="AE48">IF($J48="","",SUM(IF(LEFT($AG48:$DV48,1)="s",1,0))-SUM(IF(RIGHT(LEFT($AG48:$DV48,2))="-",1,0)))</f>
        <v>0</v>
      </c>
      <c r="AF48" s="816">
        <f t="array" ref="AF48">IF($J48="","",SUM(IF(LEFT($AG48:$DV48,1)="X",1,0)))</f>
        <v>11</v>
      </c>
      <c r="AG48" s="891" t="s">
        <v>32</v>
      </c>
      <c r="AH48" s="891" t="s">
        <v>1877</v>
      </c>
      <c r="AI48" s="891" t="s">
        <v>34</v>
      </c>
      <c r="AJ48" s="891" t="s">
        <v>34</v>
      </c>
      <c r="AK48" s="891" t="s">
        <v>32</v>
      </c>
      <c r="AL48" s="891" t="s">
        <v>32</v>
      </c>
      <c r="AM48" s="891" t="s">
        <v>34</v>
      </c>
      <c r="AN48" s="891" t="s">
        <v>34</v>
      </c>
      <c r="AO48" s="891" t="s">
        <v>1877</v>
      </c>
      <c r="AP48" s="891" t="s">
        <v>32</v>
      </c>
      <c r="AQ48" s="891" t="s">
        <v>32</v>
      </c>
      <c r="AR48" s="891" t="s">
        <v>1877</v>
      </c>
      <c r="AS48" s="891" t="s">
        <v>35</v>
      </c>
      <c r="AT48" s="891" t="s">
        <v>32</v>
      </c>
      <c r="AU48" s="891" t="s">
        <v>35</v>
      </c>
      <c r="AV48" s="909" t="s">
        <v>34</v>
      </c>
      <c r="AW48" s="891" t="s">
        <v>34</v>
      </c>
      <c r="AX48" s="891" t="s">
        <v>1877</v>
      </c>
      <c r="AY48" s="891" t="s">
        <v>36</v>
      </c>
      <c r="AZ48" s="891" t="s">
        <v>34</v>
      </c>
      <c r="BA48" s="891" t="s">
        <v>1877</v>
      </c>
      <c r="BB48" s="891" t="s">
        <v>32</v>
      </c>
      <c r="BC48" s="891" t="s">
        <v>34</v>
      </c>
      <c r="BD48" s="891" t="s">
        <v>32</v>
      </c>
      <c r="BE48" s="891" t="s">
        <v>32</v>
      </c>
      <c r="BF48" s="891" t="s">
        <v>34</v>
      </c>
      <c r="BG48" s="891" t="s">
        <v>36</v>
      </c>
      <c r="BH48" s="891"/>
      <c r="BI48" s="891"/>
      <c r="BJ48" s="891"/>
      <c r="BK48" s="891"/>
      <c r="BL48" s="891"/>
      <c r="BM48" s="891"/>
      <c r="BN48" s="891"/>
      <c r="BO48" s="891"/>
      <c r="BP48" s="891"/>
      <c r="BQ48" s="896"/>
      <c r="BR48" s="896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428"/>
      <c r="CE48" s="428"/>
      <c r="CF48" s="428"/>
      <c r="CG48" s="428"/>
    </row>
    <row r="49" spans="1:85" ht="15">
      <c r="A49" s="882">
        <v>6421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22</v>
      </c>
      <c r="G49" s="879" t="s">
        <v>1087</v>
      </c>
      <c r="H49" s="879" t="s">
        <v>22</v>
      </c>
      <c r="I49" s="879" t="s">
        <v>891</v>
      </c>
      <c r="J49" s="846">
        <v>2</v>
      </c>
      <c r="K49" s="846">
        <v>0</v>
      </c>
      <c r="L49" s="816" t="str">
        <f t="shared" si="36"/>
        <v>W</v>
      </c>
      <c r="M49" s="816">
        <f t="shared" si="37"/>
        <v>2</v>
      </c>
      <c r="N49" s="816" t="str">
        <f t="shared" si="35"/>
        <v>U</v>
      </c>
      <c r="O49" s="816">
        <f t="shared" si="26"/>
        <v>-0.75</v>
      </c>
      <c r="P49" s="829">
        <f t="shared" si="28"/>
        <v>1</v>
      </c>
      <c r="Q49" s="830">
        <v>0.75</v>
      </c>
      <c r="R49" s="871">
        <f t="shared" si="29"/>
        <v>1.25</v>
      </c>
      <c r="S49" s="830">
        <v>2.74</v>
      </c>
      <c r="T49" s="871">
        <f t="shared" ref="T49:T67" si="46">IF(ISBLANK(S49),"",J49+K49-S49)</f>
        <v>-0.74000000000000021</v>
      </c>
      <c r="U49" s="868">
        <f t="shared" si="31"/>
        <v>1.7450000000000001</v>
      </c>
      <c r="V49" s="868">
        <f t="shared" si="32"/>
        <v>0.99500000000000011</v>
      </c>
      <c r="W49" s="829">
        <v>11</v>
      </c>
      <c r="X49" s="829">
        <v>7</v>
      </c>
      <c r="Y49" s="829">
        <v>4</v>
      </c>
      <c r="Z49" s="829">
        <v>1</v>
      </c>
      <c r="AA49" s="829">
        <v>64</v>
      </c>
      <c r="AB49" s="829">
        <v>36</v>
      </c>
      <c r="AC49" s="829"/>
      <c r="AD49" s="816" t="str">
        <f t="array" ref="AD49">IF($J49="","",IF(SUM(IF(ISNUMBER(VALUE(RIGHT($AG49:$DV49,1))),VALUE(RIGHT($AG49:$DV49,1)),0))=$J49,"T","F"))</f>
        <v>T</v>
      </c>
      <c r="AE49" s="831">
        <f t="array" ref="AE49">IF($J49="","",SUM(IF(LEFT($AG49:$DV49,1)="s",1,0))-SUM(IF(RIGHT(LEFT($AG49:$DV49,2))="-",1,0)))</f>
        <v>0</v>
      </c>
      <c r="AF49" s="816">
        <f t="array" ref="AF49">IF($J49="","",SUM(IF(LEFT($AG49:$DV49,1)="X",1,0)))</f>
        <v>11</v>
      </c>
      <c r="AG49" s="891" t="s">
        <v>32</v>
      </c>
      <c r="AH49" s="891" t="s">
        <v>1877</v>
      </c>
      <c r="AI49" s="904" t="s">
        <v>34</v>
      </c>
      <c r="AJ49" s="891" t="s">
        <v>34</v>
      </c>
      <c r="AK49" s="891" t="s">
        <v>32</v>
      </c>
      <c r="AL49" s="891" t="s">
        <v>32</v>
      </c>
      <c r="AM49" s="891" t="s">
        <v>34</v>
      </c>
      <c r="AN49" s="891" t="s">
        <v>34</v>
      </c>
      <c r="AO49" s="891" t="s">
        <v>1877</v>
      </c>
      <c r="AP49" s="891" t="s">
        <v>32</v>
      </c>
      <c r="AQ49" s="891" t="s">
        <v>32</v>
      </c>
      <c r="AR49" s="891" t="s">
        <v>1877</v>
      </c>
      <c r="AS49" s="891" t="s">
        <v>35</v>
      </c>
      <c r="AT49" s="891" t="s">
        <v>1877</v>
      </c>
      <c r="AU49" s="891" t="s">
        <v>36</v>
      </c>
      <c r="AV49" s="891" t="s">
        <v>2955</v>
      </c>
      <c r="AW49" s="891" t="s">
        <v>34</v>
      </c>
      <c r="AX49" s="891" t="s">
        <v>36</v>
      </c>
      <c r="AY49" s="891" t="s">
        <v>2970</v>
      </c>
      <c r="AZ49" s="891" t="s">
        <v>34</v>
      </c>
      <c r="BA49" s="891" t="s">
        <v>2969</v>
      </c>
      <c r="BB49" s="891" t="s">
        <v>36</v>
      </c>
      <c r="BC49" s="891" t="s">
        <v>35</v>
      </c>
      <c r="BD49" s="891" t="s">
        <v>32</v>
      </c>
      <c r="BE49" s="891" t="s">
        <v>32</v>
      </c>
      <c r="BF49" s="891" t="s">
        <v>32</v>
      </c>
      <c r="BG49" s="891" t="s">
        <v>34</v>
      </c>
      <c r="BH49" s="891" t="s">
        <v>32</v>
      </c>
      <c r="BI49" s="891"/>
      <c r="BJ49" s="891"/>
      <c r="BK49" s="891"/>
      <c r="BL49" s="891"/>
      <c r="BM49" s="891"/>
      <c r="BN49" s="891"/>
      <c r="BO49" s="891"/>
      <c r="BP49" s="891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428"/>
      <c r="CE49" s="428"/>
      <c r="CF49" s="428"/>
      <c r="CG49" s="428"/>
    </row>
    <row r="50" spans="1:85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2</v>
      </c>
      <c r="G50" s="879" t="s">
        <v>886</v>
      </c>
      <c r="H50" s="879" t="s">
        <v>18</v>
      </c>
      <c r="I50" s="879" t="s">
        <v>891</v>
      </c>
      <c r="J50" s="846">
        <v>1</v>
      </c>
      <c r="K50" s="846">
        <v>2</v>
      </c>
      <c r="L50" s="816" t="str">
        <f t="shared" si="36"/>
        <v>L</v>
      </c>
      <c r="M50" s="816">
        <f t="shared" si="37"/>
        <v>3</v>
      </c>
      <c r="N50" s="816" t="str">
        <f t="shared" si="35"/>
        <v>O</v>
      </c>
      <c r="O50" s="816">
        <f t="shared" si="26"/>
        <v>0</v>
      </c>
      <c r="P50" s="829">
        <f t="shared" si="28"/>
        <v>-1</v>
      </c>
      <c r="Q50" s="830">
        <v>-0.1</v>
      </c>
      <c r="R50" s="871">
        <f t="shared" si="29"/>
        <v>-0.9</v>
      </c>
      <c r="S50" s="830">
        <v>2.48</v>
      </c>
      <c r="T50" s="871">
        <f t="shared" si="46"/>
        <v>0.52</v>
      </c>
      <c r="U50" s="868">
        <f t="shared" si="31"/>
        <v>1.19</v>
      </c>
      <c r="V50" s="868">
        <f t="shared" si="32"/>
        <v>1.29</v>
      </c>
      <c r="W50" s="829">
        <v>13</v>
      </c>
      <c r="X50" s="829">
        <v>15</v>
      </c>
      <c r="Y50" s="829">
        <v>3</v>
      </c>
      <c r="Z50" s="829">
        <v>6</v>
      </c>
      <c r="AA50" s="829">
        <v>68</v>
      </c>
      <c r="AB50" s="829">
        <v>32</v>
      </c>
      <c r="AC50" s="829"/>
      <c r="AD50" s="816" t="str">
        <f t="array" ref="AD50">IF($J50="","",IF(SUM(IF(ISNUMBER(VALUE(RIGHT($AG50:$DV50,1))),VALUE(RIGHT($AG50:$DV50,1)),0))=$J50,"T","F"))</f>
        <v>T</v>
      </c>
      <c r="AE50" s="831">
        <f t="array" ref="AE50">IF($J50="","",SUM(IF(LEFT($AG50:$DV50,1)="s",1,0))-SUM(IF(RIGHT(LEFT($AG50:$DV50,2))="-",1,0)))</f>
        <v>0</v>
      </c>
      <c r="AF50" s="816">
        <f t="array" ref="AF50">IF($J50="","",SUM(IF(LEFT($AG50:$DV50,1)="X",1,0)))</f>
        <v>11</v>
      </c>
      <c r="AG50" s="891" t="s">
        <v>32</v>
      </c>
      <c r="AH50" s="891" t="s">
        <v>1877</v>
      </c>
      <c r="AI50" s="891" t="s">
        <v>34</v>
      </c>
      <c r="AJ50" s="891" t="s">
        <v>34</v>
      </c>
      <c r="AK50" s="891" t="s">
        <v>32</v>
      </c>
      <c r="AL50" s="891" t="s">
        <v>32</v>
      </c>
      <c r="AM50" s="904" t="s">
        <v>34</v>
      </c>
      <c r="AN50" s="891" t="s">
        <v>34</v>
      </c>
      <c r="AO50" s="891" t="s">
        <v>32</v>
      </c>
      <c r="AP50" s="891" t="s">
        <v>1877</v>
      </c>
      <c r="AQ50" s="891" t="s">
        <v>32</v>
      </c>
      <c r="AR50" s="891" t="s">
        <v>1877</v>
      </c>
      <c r="AS50" s="891" t="s">
        <v>34</v>
      </c>
      <c r="AT50" s="891" t="s">
        <v>32</v>
      </c>
      <c r="AU50" s="891" t="s">
        <v>1877</v>
      </c>
      <c r="AV50" s="891" t="s">
        <v>34</v>
      </c>
      <c r="AW50" s="904" t="s">
        <v>34</v>
      </c>
      <c r="AX50" s="891" t="s">
        <v>36</v>
      </c>
      <c r="AY50" s="904" t="s">
        <v>36</v>
      </c>
      <c r="AZ50" s="891" t="s">
        <v>35</v>
      </c>
      <c r="BA50" s="891" t="s">
        <v>3016</v>
      </c>
      <c r="BB50" s="904" t="s">
        <v>36</v>
      </c>
      <c r="BC50" s="891" t="s">
        <v>35</v>
      </c>
      <c r="BD50" s="891" t="s">
        <v>32</v>
      </c>
      <c r="BE50" s="891" t="s">
        <v>32</v>
      </c>
      <c r="BF50" s="891" t="s">
        <v>32</v>
      </c>
      <c r="BG50" s="891" t="s">
        <v>34</v>
      </c>
      <c r="BH50" s="891"/>
      <c r="BI50" s="891"/>
      <c r="BJ50" s="891"/>
      <c r="BK50" s="891"/>
      <c r="BL50" s="891"/>
      <c r="BM50" s="891"/>
      <c r="BN50" s="891"/>
      <c r="BO50" s="891"/>
      <c r="BP50" s="891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428"/>
      <c r="CE50" s="428"/>
      <c r="CF50" s="428"/>
      <c r="CG50" s="428"/>
    </row>
    <row r="51" spans="1:85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13</v>
      </c>
      <c r="G51" s="879" t="s">
        <v>884</v>
      </c>
      <c r="H51" s="879" t="s">
        <v>22</v>
      </c>
      <c r="I51" s="879" t="s">
        <v>891</v>
      </c>
      <c r="J51" s="846">
        <v>1</v>
      </c>
      <c r="K51" s="846">
        <v>1</v>
      </c>
      <c r="L51" s="816" t="str">
        <f t="shared" si="36"/>
        <v>D</v>
      </c>
      <c r="M51" s="816">
        <f t="shared" si="37"/>
        <v>2</v>
      </c>
      <c r="N51" s="816" t="str">
        <f t="shared" si="35"/>
        <v>U</v>
      </c>
      <c r="O51" s="816">
        <f t="shared" si="26"/>
        <v>0</v>
      </c>
      <c r="P51" s="829">
        <f t="shared" si="28"/>
        <v>0</v>
      </c>
      <c r="Q51" s="830">
        <v>0.13</v>
      </c>
      <c r="R51" s="871">
        <f t="shared" si="29"/>
        <v>-0.13</v>
      </c>
      <c r="S51" s="830">
        <v>2.58</v>
      </c>
      <c r="T51" s="871">
        <f t="shared" si="46"/>
        <v>-0.58000000000000007</v>
      </c>
      <c r="U51" s="868">
        <f t="shared" si="31"/>
        <v>1.355</v>
      </c>
      <c r="V51" s="868">
        <f t="shared" si="32"/>
        <v>1.2250000000000001</v>
      </c>
      <c r="W51" s="829">
        <v>19</v>
      </c>
      <c r="X51" s="829">
        <v>9</v>
      </c>
      <c r="Y51" s="829">
        <v>4</v>
      </c>
      <c r="Z51" s="829">
        <v>5</v>
      </c>
      <c r="AA51" s="829">
        <v>65</v>
      </c>
      <c r="AB51" s="829">
        <v>35</v>
      </c>
      <c r="AC51" s="829"/>
      <c r="AD51" s="816" t="str">
        <f t="array" ref="AD51">IF($J51="","",IF(SUM(IF(ISNUMBER(VALUE(RIGHT($AG51:$DV51,1))),VALUE(RIGHT($AG51:$DV51,1)),0))=$J51,"T","F"))</f>
        <v>T</v>
      </c>
      <c r="AE51" s="831">
        <f t="array" ref="AE51">IF($J51="","",SUM(IF(LEFT($AG51:$DV51,1)="s",1,0))-SUM(IF(RIGHT(LEFT($AG51:$DV51,2))="-",1,0)))</f>
        <v>0</v>
      </c>
      <c r="AF51" s="816">
        <f t="array" ref="AF51">IF($J51="","",SUM(IF(LEFT($AG51:$DV51,1)="X",1,0)))</f>
        <v>11</v>
      </c>
      <c r="AG51" s="891"/>
      <c r="AH51" s="891" t="s">
        <v>1877</v>
      </c>
      <c r="AI51" s="891" t="s">
        <v>34</v>
      </c>
      <c r="AJ51" s="891" t="s">
        <v>34</v>
      </c>
      <c r="AK51" s="891" t="s">
        <v>32</v>
      </c>
      <c r="AL51" s="891" t="s">
        <v>32</v>
      </c>
      <c r="AM51" s="891" t="s">
        <v>34</v>
      </c>
      <c r="AN51" s="891" t="s">
        <v>34</v>
      </c>
      <c r="AO51" s="891" t="s">
        <v>32</v>
      </c>
      <c r="AP51" s="891" t="s">
        <v>32</v>
      </c>
      <c r="AQ51" s="891" t="s">
        <v>32</v>
      </c>
      <c r="AR51" s="891" t="s">
        <v>1877</v>
      </c>
      <c r="AS51" s="891" t="s">
        <v>35</v>
      </c>
      <c r="AT51" s="891" t="s">
        <v>36</v>
      </c>
      <c r="AU51" s="891" t="s">
        <v>1877</v>
      </c>
      <c r="AV51" s="891" t="s">
        <v>3065</v>
      </c>
      <c r="AW51" s="891" t="s">
        <v>34</v>
      </c>
      <c r="AX51" s="891" t="s">
        <v>1877</v>
      </c>
      <c r="AY51" s="891" t="s">
        <v>34</v>
      </c>
      <c r="AZ51" s="891" t="s">
        <v>36</v>
      </c>
      <c r="BA51" s="891" t="s">
        <v>35</v>
      </c>
      <c r="BB51" s="906" t="s">
        <v>3068</v>
      </c>
      <c r="BC51" s="891" t="s">
        <v>35</v>
      </c>
      <c r="BD51" s="891" t="s">
        <v>32</v>
      </c>
      <c r="BE51" s="891" t="s">
        <v>32</v>
      </c>
      <c r="BF51" s="891" t="s">
        <v>32</v>
      </c>
      <c r="BG51" s="891" t="s">
        <v>34</v>
      </c>
      <c r="BH51" s="891"/>
      <c r="BI51" s="891"/>
      <c r="BJ51" s="891"/>
      <c r="BK51" s="891"/>
      <c r="BL51" s="891"/>
      <c r="BM51" s="891"/>
      <c r="BN51" s="891"/>
      <c r="BO51" s="891"/>
      <c r="BP51" s="891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428"/>
      <c r="CE51" s="428"/>
      <c r="CF51" s="428"/>
      <c r="CG51" s="428"/>
    </row>
    <row r="52" spans="1:85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21</v>
      </c>
      <c r="G52" s="879" t="s">
        <v>890</v>
      </c>
      <c r="H52" s="879" t="s">
        <v>18</v>
      </c>
      <c r="I52" s="879" t="s">
        <v>891</v>
      </c>
      <c r="J52" s="846">
        <v>0</v>
      </c>
      <c r="K52" s="846">
        <v>0</v>
      </c>
      <c r="L52" s="816" t="str">
        <f t="shared" si="36"/>
        <v>D</v>
      </c>
      <c r="M52" s="816">
        <f t="shared" si="37"/>
        <v>0</v>
      </c>
      <c r="N52" s="816" t="str">
        <f t="shared" si="35"/>
        <v>U</v>
      </c>
      <c r="O52" s="816">
        <f t="shared" si="26"/>
        <v>-0.5</v>
      </c>
      <c r="P52" s="829">
        <f t="shared" si="28"/>
        <v>-1</v>
      </c>
      <c r="Q52" s="830">
        <v>0.45</v>
      </c>
      <c r="R52" s="871">
        <f t="shared" si="29"/>
        <v>-0.45</v>
      </c>
      <c r="S52" s="830">
        <v>2.5299999999999998</v>
      </c>
      <c r="T52" s="871">
        <f t="shared" si="46"/>
        <v>-2.5299999999999998</v>
      </c>
      <c r="U52" s="868">
        <f t="shared" si="31"/>
        <v>1.49</v>
      </c>
      <c r="V52" s="868">
        <f t="shared" si="32"/>
        <v>1.0399999999999998</v>
      </c>
      <c r="W52" s="829">
        <v>8</v>
      </c>
      <c r="X52" s="829">
        <v>10</v>
      </c>
      <c r="Y52" s="829">
        <v>1</v>
      </c>
      <c r="Z52" s="829">
        <v>4</v>
      </c>
      <c r="AA52" s="829">
        <v>62</v>
      </c>
      <c r="AB52" s="829">
        <v>38</v>
      </c>
      <c r="AC52" s="829"/>
      <c r="AD52" s="816" t="str">
        <f t="array" ref="AD52">IF($J52="","",IF(SUM(IF(ISNUMBER(VALUE(RIGHT($AG52:$DV52,1))),VALUE(RIGHT($AG52:$DV52,1)),0))=$J52,"T","F"))</f>
        <v>T</v>
      </c>
      <c r="AE52" s="831">
        <f t="array" ref="AE52">IF($J52="","",SUM(IF(LEFT($AG52:$DV52,1)="s",1,0))-SUM(IF(RIGHT(LEFT($AG52:$DV52,2))="-",1,0)))</f>
        <v>0</v>
      </c>
      <c r="AF52" s="816">
        <f t="array" ref="AF52">IF($J52="","",SUM(IF(LEFT($AG52:$DV52,1)="X",1,0)))</f>
        <v>11</v>
      </c>
      <c r="AG52" s="891"/>
      <c r="AH52" s="891" t="s">
        <v>1877</v>
      </c>
      <c r="AI52" s="891" t="s">
        <v>34</v>
      </c>
      <c r="AJ52" s="891" t="s">
        <v>34</v>
      </c>
      <c r="AK52" s="891" t="s">
        <v>32</v>
      </c>
      <c r="AL52" s="891" t="s">
        <v>32</v>
      </c>
      <c r="AM52" s="904" t="s">
        <v>34</v>
      </c>
      <c r="AN52" s="891" t="s">
        <v>34</v>
      </c>
      <c r="AO52" s="891" t="s">
        <v>32</v>
      </c>
      <c r="AP52" s="891" t="s">
        <v>32</v>
      </c>
      <c r="AQ52" s="891" t="s">
        <v>32</v>
      </c>
      <c r="AR52" s="891" t="s">
        <v>1877</v>
      </c>
      <c r="AS52" s="891" t="s">
        <v>35</v>
      </c>
      <c r="AT52" s="891" t="s">
        <v>36</v>
      </c>
      <c r="AU52" s="891" t="s">
        <v>1877</v>
      </c>
      <c r="AV52" s="891" t="s">
        <v>34</v>
      </c>
      <c r="AW52" s="891" t="s">
        <v>34</v>
      </c>
      <c r="AX52" s="891" t="s">
        <v>1877</v>
      </c>
      <c r="AY52" s="891" t="s">
        <v>36</v>
      </c>
      <c r="AZ52" s="891" t="s">
        <v>34</v>
      </c>
      <c r="BA52" s="891" t="s">
        <v>3085</v>
      </c>
      <c r="BB52" s="891" t="s">
        <v>35</v>
      </c>
      <c r="BC52" s="891" t="s">
        <v>35</v>
      </c>
      <c r="BD52" s="891" t="s">
        <v>32</v>
      </c>
      <c r="BE52" s="891" t="s">
        <v>32</v>
      </c>
      <c r="BF52" s="891" t="s">
        <v>36</v>
      </c>
      <c r="BG52" s="891" t="s">
        <v>34</v>
      </c>
      <c r="BH52" s="891"/>
      <c r="BI52" s="891"/>
      <c r="BJ52" s="891"/>
      <c r="BK52" s="891"/>
      <c r="BL52" s="891"/>
      <c r="BM52" s="891"/>
      <c r="BN52" s="891"/>
      <c r="BO52" s="891"/>
      <c r="BP52" s="891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428"/>
      <c r="CE52" s="428"/>
      <c r="CF52" s="428"/>
      <c r="CG52" s="428"/>
    </row>
    <row r="53" spans="1:85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19</v>
      </c>
      <c r="G53" s="879" t="s">
        <v>885</v>
      </c>
      <c r="H53" s="879" t="s">
        <v>22</v>
      </c>
      <c r="I53" s="879" t="s">
        <v>891</v>
      </c>
      <c r="J53" s="846">
        <v>0</v>
      </c>
      <c r="K53" s="846">
        <v>1</v>
      </c>
      <c r="L53" s="816" t="str">
        <f t="shared" si="36"/>
        <v>L</v>
      </c>
      <c r="M53" s="816">
        <f t="shared" si="37"/>
        <v>1</v>
      </c>
      <c r="N53" s="816" t="str">
        <f t="shared" si="35"/>
        <v>U</v>
      </c>
      <c r="O53" s="816">
        <f t="shared" si="26"/>
        <v>-0.25</v>
      </c>
      <c r="P53" s="829">
        <f t="shared" si="28"/>
        <v>-1</v>
      </c>
      <c r="Q53" s="830">
        <v>0.42</v>
      </c>
      <c r="R53" s="871">
        <f t="shared" si="29"/>
        <v>-1.42</v>
      </c>
      <c r="S53" s="830">
        <v>2.64</v>
      </c>
      <c r="T53" s="871">
        <f t="shared" si="46"/>
        <v>-1.6400000000000001</v>
      </c>
      <c r="U53" s="868">
        <f t="shared" si="31"/>
        <v>1.53</v>
      </c>
      <c r="V53" s="868">
        <f t="shared" si="32"/>
        <v>1.1100000000000001</v>
      </c>
      <c r="W53" s="829">
        <v>8</v>
      </c>
      <c r="X53" s="829">
        <v>9</v>
      </c>
      <c r="Y53" s="829">
        <v>0</v>
      </c>
      <c r="Z53" s="829">
        <v>4</v>
      </c>
      <c r="AA53" s="829">
        <v>65</v>
      </c>
      <c r="AB53" s="829">
        <v>35</v>
      </c>
      <c r="AC53" s="829"/>
      <c r="AD53" s="816" t="str">
        <f t="array" ref="AD53">IF($J53="","",IF(SUM(IF(ISNUMBER(VALUE(RIGHT($AG53:$DV53,1))),VALUE(RIGHT($AG53:$DV53,1)),0))=$J53,"T","F"))</f>
        <v>T</v>
      </c>
      <c r="AE53" s="831">
        <f t="array" ref="AE53">IF($J53="","",SUM(IF(LEFT($AG53:$DV53,1)="s",1,0))-SUM(IF(RIGHT(LEFT($AG53:$DV53,2))="-",1,0)))</f>
        <v>0</v>
      </c>
      <c r="AF53" s="816">
        <f t="array" ref="AF53">IF($J53="","",SUM(IF(LEFT($AG53:$DV53,1)="X",1,0)))</f>
        <v>11</v>
      </c>
      <c r="AG53" s="891" t="s">
        <v>32</v>
      </c>
      <c r="AH53" s="891" t="s">
        <v>1877</v>
      </c>
      <c r="AI53" s="891" t="s">
        <v>34</v>
      </c>
      <c r="AJ53" s="904" t="s">
        <v>34</v>
      </c>
      <c r="AK53" s="891" t="s">
        <v>32</v>
      </c>
      <c r="AL53" s="891" t="s">
        <v>32</v>
      </c>
      <c r="AM53" s="891" t="s">
        <v>3117</v>
      </c>
      <c r="AN53" s="891" t="s">
        <v>34</v>
      </c>
      <c r="AO53" s="891" t="s">
        <v>32</v>
      </c>
      <c r="AP53" s="891" t="s">
        <v>1877</v>
      </c>
      <c r="AQ53" s="891" t="s">
        <v>32</v>
      </c>
      <c r="AR53" s="891" t="s">
        <v>35</v>
      </c>
      <c r="AS53" s="891" t="s">
        <v>34</v>
      </c>
      <c r="AT53" s="891" t="s">
        <v>36</v>
      </c>
      <c r="AU53" s="891" t="s">
        <v>1877</v>
      </c>
      <c r="AV53" s="891" t="s">
        <v>34</v>
      </c>
      <c r="AW53" s="891" t="s">
        <v>34</v>
      </c>
      <c r="AX53" s="891" t="s">
        <v>36</v>
      </c>
      <c r="AY53" s="891" t="s">
        <v>1877</v>
      </c>
      <c r="AZ53" s="891" t="s">
        <v>35</v>
      </c>
      <c r="BA53" s="891" t="s">
        <v>3085</v>
      </c>
      <c r="BB53" s="891" t="s">
        <v>36</v>
      </c>
      <c r="BC53" s="891" t="s">
        <v>34</v>
      </c>
      <c r="BD53" s="891" t="s">
        <v>32</v>
      </c>
      <c r="BE53" s="891" t="s">
        <v>32</v>
      </c>
      <c r="BF53" s="891" t="s">
        <v>34</v>
      </c>
      <c r="BG53" s="891" t="s">
        <v>35</v>
      </c>
      <c r="BH53" s="891" t="s">
        <v>32</v>
      </c>
      <c r="BI53" s="891" t="s">
        <v>32</v>
      </c>
      <c r="BJ53" s="891" t="s">
        <v>32</v>
      </c>
      <c r="BK53" s="891" t="s">
        <v>32</v>
      </c>
      <c r="BL53" s="891" t="s">
        <v>32</v>
      </c>
      <c r="BM53" s="891" t="s">
        <v>32</v>
      </c>
      <c r="BN53" s="891" t="s">
        <v>32</v>
      </c>
      <c r="BO53" s="891" t="s">
        <v>32</v>
      </c>
      <c r="BP53" s="891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428"/>
      <c r="CE53" s="428"/>
      <c r="CF53" s="428"/>
      <c r="CG53" s="428"/>
    </row>
    <row r="54" spans="1:85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6</v>
      </c>
      <c r="G54" s="879" t="s">
        <v>876</v>
      </c>
      <c r="H54" s="879" t="s">
        <v>18</v>
      </c>
      <c r="I54" s="879" t="s">
        <v>891</v>
      </c>
      <c r="J54" s="846">
        <v>3</v>
      </c>
      <c r="K54" s="846">
        <v>1</v>
      </c>
      <c r="L54" s="816" t="str">
        <f t="shared" si="36"/>
        <v>W</v>
      </c>
      <c r="M54" s="816">
        <f t="shared" si="37"/>
        <v>4</v>
      </c>
      <c r="N54" s="816" t="str">
        <f t="shared" si="35"/>
        <v>O</v>
      </c>
      <c r="O54" s="816">
        <f t="shared" si="26"/>
        <v>0.5</v>
      </c>
      <c r="P54" s="829">
        <f t="shared" si="28"/>
        <v>1</v>
      </c>
      <c r="Q54" s="830">
        <v>-0.49</v>
      </c>
      <c r="R54" s="871">
        <f t="shared" si="29"/>
        <v>2.4900000000000002</v>
      </c>
      <c r="S54" s="830">
        <v>2.79</v>
      </c>
      <c r="T54" s="871">
        <f t="shared" si="46"/>
        <v>1.21</v>
      </c>
      <c r="U54" s="868">
        <f t="shared" si="31"/>
        <v>1.1499999999999999</v>
      </c>
      <c r="V54" s="868">
        <f t="shared" si="32"/>
        <v>1.6400000000000001</v>
      </c>
      <c r="W54" s="829">
        <v>6</v>
      </c>
      <c r="X54" s="829">
        <v>13</v>
      </c>
      <c r="Y54" s="829">
        <v>3</v>
      </c>
      <c r="Z54" s="829">
        <v>5</v>
      </c>
      <c r="AA54" s="829">
        <v>46</v>
      </c>
      <c r="AB54" s="829">
        <v>54</v>
      </c>
      <c r="AC54" s="829"/>
      <c r="AD54" s="816" t="str">
        <f t="array" ref="AD54">IF($J54="","",IF(SUM(IF(ISNUMBER(VALUE(RIGHT($AG54:$DV54,1))),VALUE(RIGHT($AG54:$DV54,1)),0))=$J54,"T","F"))</f>
        <v>T</v>
      </c>
      <c r="AE54" s="831">
        <f t="array" ref="AE54">IF($J54="","",SUM(IF(LEFT($AG54:$DV54,1)="s",1,0))-SUM(IF(RIGHT(LEFT($AG54:$DV54,2))="-",1,0)))</f>
        <v>0</v>
      </c>
      <c r="AF54" s="816">
        <f t="array" ref="AF54">IF($J54="","",SUM(IF(LEFT($AG54:$DV54,1)="X",1,0)))</f>
        <v>11</v>
      </c>
      <c r="AG54" s="891"/>
      <c r="AH54" s="891" t="s">
        <v>1877</v>
      </c>
      <c r="AI54" s="891" t="s">
        <v>34</v>
      </c>
      <c r="AJ54" s="891" t="s">
        <v>34</v>
      </c>
      <c r="AK54" s="891" t="s">
        <v>32</v>
      </c>
      <c r="AL54" s="891" t="s">
        <v>32</v>
      </c>
      <c r="AM54" s="891" t="s">
        <v>34</v>
      </c>
      <c r="AN54" s="904" t="s">
        <v>34</v>
      </c>
      <c r="AO54" s="891" t="s">
        <v>32</v>
      </c>
      <c r="AP54" s="891" t="s">
        <v>1877</v>
      </c>
      <c r="AQ54" s="891" t="s">
        <v>32</v>
      </c>
      <c r="AR54" s="891" t="s">
        <v>1877</v>
      </c>
      <c r="AS54" s="904" t="s">
        <v>34</v>
      </c>
      <c r="AT54" s="891" t="s">
        <v>35</v>
      </c>
      <c r="AU54" s="891" t="s">
        <v>1877</v>
      </c>
      <c r="AV54" s="904" t="s">
        <v>34</v>
      </c>
      <c r="AW54" s="891" t="s">
        <v>34</v>
      </c>
      <c r="AX54" s="891" t="s">
        <v>36</v>
      </c>
      <c r="AY54" s="891" t="s">
        <v>35</v>
      </c>
      <c r="AZ54" s="891" t="s">
        <v>36</v>
      </c>
      <c r="BA54" s="891" t="s">
        <v>3085</v>
      </c>
      <c r="BB54" s="891" t="s">
        <v>32</v>
      </c>
      <c r="BC54" s="891" t="s">
        <v>34</v>
      </c>
      <c r="BD54" s="891" t="s">
        <v>32</v>
      </c>
      <c r="BE54" s="891" t="s">
        <v>32</v>
      </c>
      <c r="BF54" s="891" t="s">
        <v>36</v>
      </c>
      <c r="BG54" s="891" t="s">
        <v>3156</v>
      </c>
      <c r="BH54" s="891"/>
      <c r="BI54" s="891"/>
      <c r="BJ54" s="891"/>
      <c r="BK54" s="891"/>
      <c r="BL54" s="891"/>
      <c r="BM54" s="891"/>
      <c r="BN54" s="891"/>
      <c r="BO54" s="891"/>
      <c r="BP54" s="891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428"/>
      <c r="CE54" s="428"/>
      <c r="CF54" s="428"/>
      <c r="CG54" s="428"/>
    </row>
    <row r="55" spans="1:85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15</v>
      </c>
      <c r="G55" s="879" t="s">
        <v>881</v>
      </c>
      <c r="H55" s="879" t="s">
        <v>22</v>
      </c>
      <c r="I55" s="879" t="s">
        <v>891</v>
      </c>
      <c r="J55" s="846">
        <v>2</v>
      </c>
      <c r="K55" s="846">
        <v>1</v>
      </c>
      <c r="L55" s="816" t="str">
        <f t="shared" si="36"/>
        <v>W</v>
      </c>
      <c r="M55" s="816">
        <f t="shared" si="37"/>
        <v>3</v>
      </c>
      <c r="N55" s="816" t="str">
        <f t="shared" si="35"/>
        <v>O</v>
      </c>
      <c r="O55" s="816">
        <f t="shared" ref="O55" si="47">IF(Q55="","",IF(SIGN(Q55)&lt;&gt;1,VLOOKUP(ABS(Q55),SUP_HDC,3,TRUE),-VLOOKUP(ABS(Q55),SUP_HDC,3,TRUE)))</f>
        <v>-0.25</v>
      </c>
      <c r="P55" s="829">
        <f t="shared" ref="P55" si="48">IF(O55="","",IF((J55-K55+O55)&gt;=0.5,1,IF((J55-K55+O55)=0.25,0.5,IF((J55-K55+O55)&lt;=-0.5,-1,IF((J55-K55+O55)=-0.25,-0.5,0)))))</f>
        <v>1</v>
      </c>
      <c r="Q55" s="830">
        <v>0.35</v>
      </c>
      <c r="R55" s="871">
        <f t="shared" ref="R55" si="49">IF(ISBLANK(Q55),"",J55-K55-Q55)</f>
        <v>0.65</v>
      </c>
      <c r="S55" s="830">
        <v>2.65</v>
      </c>
      <c r="T55" s="871">
        <f t="shared" ref="T55" si="50">IF(ISBLANK(S55),"",J55+K55-S55)</f>
        <v>0.35000000000000009</v>
      </c>
      <c r="U55" s="868">
        <f t="shared" ref="U55" si="51">IF(Q55="","",(Q55+S55)/2)</f>
        <v>1.5</v>
      </c>
      <c r="V55" s="868">
        <f t="shared" ref="V55" si="52">IF(Q55="","",S55-U55)</f>
        <v>1.1499999999999999</v>
      </c>
      <c r="W55" s="829">
        <v>18</v>
      </c>
      <c r="X55" s="829">
        <v>5</v>
      </c>
      <c r="Y55" s="829">
        <v>6</v>
      </c>
      <c r="Z55" s="829">
        <v>1</v>
      </c>
      <c r="AA55" s="829">
        <v>64</v>
      </c>
      <c r="AB55" s="829">
        <v>36</v>
      </c>
      <c r="AC55" s="829"/>
      <c r="AD55" s="816" t="str">
        <f t="array" ref="AD55">IF($J55="","",IF(SUM(IF(ISNUMBER(VALUE(RIGHT($AG55:$DV55,1))),VALUE(RIGHT($AG55:$DV55,1)),0))=$J55,"T","F"))</f>
        <v>T</v>
      </c>
      <c r="AE55" s="831">
        <f t="array" ref="AE55">IF($J55="","",SUM(IF(LEFT($AG55:$DV55,1)="s",1,0))-SUM(IF(RIGHT(LEFT($AG55:$DV55,2))="-",1,0)))</f>
        <v>0</v>
      </c>
      <c r="AF55" s="816">
        <f t="array" ref="AF55">IF($J55="","",SUM(IF(LEFT($AG55:$DV55,1)="X",1,0)))</f>
        <v>11</v>
      </c>
      <c r="AG55" s="891" t="s">
        <v>32</v>
      </c>
      <c r="AH55" s="891" t="s">
        <v>1877</v>
      </c>
      <c r="AI55" s="891" t="s">
        <v>34</v>
      </c>
      <c r="AJ55" s="904" t="s">
        <v>34</v>
      </c>
      <c r="AK55" s="891" t="s">
        <v>32</v>
      </c>
      <c r="AL55" s="891" t="s">
        <v>32</v>
      </c>
      <c r="AM55" s="891" t="s">
        <v>34</v>
      </c>
      <c r="AN55" s="891" t="s">
        <v>34</v>
      </c>
      <c r="AO55" s="891" t="s">
        <v>32</v>
      </c>
      <c r="AP55" s="891" t="s">
        <v>36</v>
      </c>
      <c r="AQ55" s="891" t="s">
        <v>32</v>
      </c>
      <c r="AR55" s="891" t="s">
        <v>1877</v>
      </c>
      <c r="AS55" s="891" t="s">
        <v>35</v>
      </c>
      <c r="AT55" s="891" t="s">
        <v>35</v>
      </c>
      <c r="AU55" s="891" t="s">
        <v>1877</v>
      </c>
      <c r="AV55" s="891" t="s">
        <v>34</v>
      </c>
      <c r="AW55" s="891" t="s">
        <v>34</v>
      </c>
      <c r="AX55" s="891" t="s">
        <v>1877</v>
      </c>
      <c r="AY55" s="891" t="s">
        <v>35</v>
      </c>
      <c r="AZ55" s="891" t="s">
        <v>36</v>
      </c>
      <c r="BA55" s="891" t="s">
        <v>3085</v>
      </c>
      <c r="BB55" s="891" t="s">
        <v>32</v>
      </c>
      <c r="BC55" s="891" t="s">
        <v>34</v>
      </c>
      <c r="BD55" s="891" t="s">
        <v>32</v>
      </c>
      <c r="BE55" s="891" t="s">
        <v>32</v>
      </c>
      <c r="BF55" s="904" t="s">
        <v>3204</v>
      </c>
      <c r="BG55" s="891" t="s">
        <v>3203</v>
      </c>
      <c r="BH55" s="891"/>
      <c r="BI55" s="891"/>
      <c r="BJ55" s="891"/>
      <c r="BK55" s="891"/>
      <c r="BL55" s="891"/>
      <c r="BM55" s="891"/>
      <c r="BN55" s="891"/>
      <c r="BO55" s="891"/>
      <c r="BP55" s="891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428"/>
      <c r="CE55" s="428"/>
      <c r="CF55" s="428"/>
      <c r="CG55" s="428"/>
    </row>
    <row r="56" spans="1:85" ht="15">
      <c r="A56" s="882">
        <v>6462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14</v>
      </c>
      <c r="G56" s="879" t="s">
        <v>873</v>
      </c>
      <c r="H56" s="879" t="s">
        <v>18</v>
      </c>
      <c r="I56" s="879" t="s">
        <v>891</v>
      </c>
      <c r="J56" s="846">
        <v>2</v>
      </c>
      <c r="K56" s="846">
        <v>1</v>
      </c>
      <c r="L56" s="816" t="str">
        <f t="shared" si="36"/>
        <v>W</v>
      </c>
      <c r="M56" s="816">
        <f t="shared" si="37"/>
        <v>3</v>
      </c>
      <c r="N56" s="816" t="str">
        <f t="shared" si="35"/>
        <v>O</v>
      </c>
      <c r="O56" s="816">
        <f t="shared" si="26"/>
        <v>0</v>
      </c>
      <c r="P56" s="829">
        <f t="shared" si="28"/>
        <v>1</v>
      </c>
      <c r="Q56" s="830">
        <v>-0.13</v>
      </c>
      <c r="R56" s="871">
        <f t="shared" si="29"/>
        <v>1.1299999999999999</v>
      </c>
      <c r="S56" s="830">
        <v>2.4300000000000002</v>
      </c>
      <c r="T56" s="871">
        <f t="shared" si="46"/>
        <v>0.56999999999999984</v>
      </c>
      <c r="U56" s="868">
        <f t="shared" si="31"/>
        <v>1.1500000000000001</v>
      </c>
      <c r="V56" s="868">
        <f t="shared" si="32"/>
        <v>1.28</v>
      </c>
      <c r="W56" s="829">
        <v>20</v>
      </c>
      <c r="X56" s="829">
        <v>11</v>
      </c>
      <c r="Y56" s="829">
        <v>5</v>
      </c>
      <c r="Z56" s="829">
        <v>3</v>
      </c>
      <c r="AA56" s="829">
        <v>69</v>
      </c>
      <c r="AB56" s="829">
        <v>31</v>
      </c>
      <c r="AC56" s="829"/>
      <c r="AD56" s="816" t="str">
        <f t="array" ref="AD56">IF($J56="","",IF(SUM(IF(ISNUMBER(VALUE(RIGHT($AG56:$DV56,1))),VALUE(RIGHT($AG56:$DV56,1)),0))=$J56,"T","F"))</f>
        <v>T</v>
      </c>
      <c r="AE56" s="831">
        <f t="array" ref="AE56">IF($J56="","",SUM(IF(LEFT($AG56:$DV56,1)="s",1,0))-SUM(IF(RIGHT(LEFT($AG56:$DV56,2))="-",1,0)))</f>
        <v>0</v>
      </c>
      <c r="AF56" s="816">
        <f t="array" ref="AF56">IF($J56="","",SUM(IF(LEFT($AG56:$DV56,1)="X",1,0)))</f>
        <v>11</v>
      </c>
      <c r="AG56" s="891" t="s">
        <v>32</v>
      </c>
      <c r="AH56" s="891" t="s">
        <v>1877</v>
      </c>
      <c r="AI56" s="891" t="s">
        <v>34</v>
      </c>
      <c r="AJ56" s="891" t="s">
        <v>3230</v>
      </c>
      <c r="AK56" s="891" t="s">
        <v>32</v>
      </c>
      <c r="AL56" s="891" t="s">
        <v>32</v>
      </c>
      <c r="AM56" s="891" t="s">
        <v>34</v>
      </c>
      <c r="AN56" s="891" t="s">
        <v>34</v>
      </c>
      <c r="AO56" s="891" t="s">
        <v>32</v>
      </c>
      <c r="AP56" s="891" t="s">
        <v>36</v>
      </c>
      <c r="AQ56" s="891" t="s">
        <v>1877</v>
      </c>
      <c r="AR56" s="891" t="s">
        <v>3231</v>
      </c>
      <c r="AS56" s="891" t="s">
        <v>34</v>
      </c>
      <c r="AT56" s="891" t="s">
        <v>35</v>
      </c>
      <c r="AU56" s="891" t="s">
        <v>1877</v>
      </c>
      <c r="AV56" s="891" t="s">
        <v>34</v>
      </c>
      <c r="AW56" s="891" t="s">
        <v>35</v>
      </c>
      <c r="AX56" s="891" t="s">
        <v>1877</v>
      </c>
      <c r="AY56" s="891" t="s">
        <v>35</v>
      </c>
      <c r="AZ56" s="891" t="s">
        <v>36</v>
      </c>
      <c r="BA56" s="891" t="s">
        <v>3085</v>
      </c>
      <c r="BB56" s="891" t="s">
        <v>32</v>
      </c>
      <c r="BC56" s="891" t="s">
        <v>34</v>
      </c>
      <c r="BD56" s="891" t="s">
        <v>32</v>
      </c>
      <c r="BE56" s="891" t="s">
        <v>32</v>
      </c>
      <c r="BF56" s="891" t="s">
        <v>36</v>
      </c>
      <c r="BG56" s="891" t="s">
        <v>34</v>
      </c>
      <c r="BH56" s="891">
        <v>1</v>
      </c>
      <c r="BI56" s="891"/>
      <c r="BJ56" s="891"/>
      <c r="BK56" s="891"/>
      <c r="BL56" s="891"/>
      <c r="BM56" s="891"/>
      <c r="BN56" s="891"/>
      <c r="BO56" s="891"/>
      <c r="BP56" s="891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428"/>
      <c r="CE56" s="428"/>
      <c r="CF56" s="428"/>
      <c r="CG56" s="428"/>
    </row>
    <row r="57" spans="1:85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20</v>
      </c>
      <c r="G57" s="879" t="s">
        <v>882</v>
      </c>
      <c r="H57" s="879" t="s">
        <v>18</v>
      </c>
      <c r="I57" s="879" t="s">
        <v>891</v>
      </c>
      <c r="J57" s="846">
        <v>1</v>
      </c>
      <c r="K57" s="908">
        <v>0</v>
      </c>
      <c r="L57" s="816" t="str">
        <f t="shared" si="36"/>
        <v>W</v>
      </c>
      <c r="M57" s="816">
        <f t="shared" si="37"/>
        <v>1</v>
      </c>
      <c r="N57" s="816" t="str">
        <f t="shared" si="35"/>
        <v>U</v>
      </c>
      <c r="O57" s="816">
        <f t="shared" si="26"/>
        <v>0</v>
      </c>
      <c r="P57" s="829">
        <f t="shared" si="28"/>
        <v>1</v>
      </c>
      <c r="Q57" s="830">
        <v>0.08</v>
      </c>
      <c r="R57" s="871">
        <f t="shared" si="29"/>
        <v>0.92</v>
      </c>
      <c r="S57" s="830">
        <v>2.83</v>
      </c>
      <c r="T57" s="871">
        <f t="shared" si="46"/>
        <v>-1.83</v>
      </c>
      <c r="U57" s="868">
        <f t="shared" si="31"/>
        <v>1.4550000000000001</v>
      </c>
      <c r="V57" s="868">
        <f t="shared" si="32"/>
        <v>1.375</v>
      </c>
      <c r="W57" s="829">
        <v>25</v>
      </c>
      <c r="X57" s="829">
        <v>6</v>
      </c>
      <c r="Y57" s="829">
        <v>15</v>
      </c>
      <c r="Z57" s="829">
        <v>1</v>
      </c>
      <c r="AA57" s="829">
        <v>72</v>
      </c>
      <c r="AB57" s="829">
        <v>28</v>
      </c>
      <c r="AC57" s="829"/>
      <c r="AD57" s="816" t="str">
        <f t="array" ref="AD57">IF($J57="","",IF(SUM(IF(ISNUMBER(VALUE(RIGHT($AG57:$DV57,1))),VALUE(RIGHT($AG57:$DV57,1)),0))=$J57,"T","F"))</f>
        <v>T</v>
      </c>
      <c r="AE57" s="831">
        <f t="array" ref="AE57">IF($J57="","",SUM(IF(LEFT($AG57:$DV57,1)="s",1,0))-SUM(IF(RIGHT(LEFT($AG57:$DV57,2))="-",1,0)))</f>
        <v>0</v>
      </c>
      <c r="AF57" s="816">
        <f t="array" ref="AF57">IF($J57="","",SUM(IF(LEFT($AG57:$DV57,1)="X",1,0)))</f>
        <v>11</v>
      </c>
      <c r="AG57" s="891"/>
      <c r="AH57" s="891" t="s">
        <v>1877</v>
      </c>
      <c r="AI57" s="891" t="s">
        <v>34</v>
      </c>
      <c r="AJ57" s="904" t="s">
        <v>34</v>
      </c>
      <c r="AK57" s="891" t="s">
        <v>32</v>
      </c>
      <c r="AL57" s="891" t="s">
        <v>32</v>
      </c>
      <c r="AM57" s="891" t="s">
        <v>34</v>
      </c>
      <c r="AN57" s="891" t="s">
        <v>34</v>
      </c>
      <c r="AO57" s="891" t="s">
        <v>32</v>
      </c>
      <c r="AP57" s="891" t="s">
        <v>1877</v>
      </c>
      <c r="AQ57" s="891" t="s">
        <v>32</v>
      </c>
      <c r="AR57" s="891" t="s">
        <v>1877</v>
      </c>
      <c r="AS57" s="891" t="s">
        <v>34</v>
      </c>
      <c r="AT57" s="891" t="s">
        <v>35</v>
      </c>
      <c r="AU57" s="891" t="s">
        <v>1877</v>
      </c>
      <c r="AV57" s="904" t="s">
        <v>34</v>
      </c>
      <c r="AW57" s="891" t="s">
        <v>34</v>
      </c>
      <c r="AX57" s="891" t="s">
        <v>1877</v>
      </c>
      <c r="AY57" s="891" t="s">
        <v>34</v>
      </c>
      <c r="AZ57" s="891" t="s">
        <v>36</v>
      </c>
      <c r="BA57" s="891" t="s">
        <v>3085</v>
      </c>
      <c r="BB57" s="891" t="s">
        <v>32</v>
      </c>
      <c r="BC57" s="891" t="s">
        <v>34</v>
      </c>
      <c r="BD57" s="891" t="s">
        <v>32</v>
      </c>
      <c r="BE57" s="891" t="s">
        <v>32</v>
      </c>
      <c r="BF57" s="891" t="s">
        <v>3267</v>
      </c>
      <c r="BG57" s="891" t="s">
        <v>35</v>
      </c>
      <c r="BH57" s="891"/>
      <c r="BI57" s="891"/>
      <c r="BJ57" s="891"/>
      <c r="BK57" s="891"/>
      <c r="BL57" s="891"/>
      <c r="BM57" s="891"/>
      <c r="BN57" s="891"/>
      <c r="BO57" s="891"/>
      <c r="BP57" s="891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428"/>
      <c r="CE57" s="428"/>
      <c r="CF57" s="428"/>
      <c r="CG57" s="428"/>
    </row>
    <row r="58" spans="1:85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4</v>
      </c>
      <c r="G58" s="879" t="s">
        <v>1084</v>
      </c>
      <c r="H58" s="879" t="s">
        <v>22</v>
      </c>
      <c r="I58" s="879" t="s">
        <v>891</v>
      </c>
      <c r="J58" s="846">
        <v>1</v>
      </c>
      <c r="K58" s="846">
        <v>2</v>
      </c>
      <c r="L58" s="816" t="str">
        <f t="shared" si="36"/>
        <v>L</v>
      </c>
      <c r="M58" s="816">
        <f t="shared" si="37"/>
        <v>3</v>
      </c>
      <c r="N58" s="816" t="str">
        <f t="shared" si="35"/>
        <v>O</v>
      </c>
      <c r="O58" s="816">
        <f t="shared" ref="O58:O66" si="53">IF(Q58="","",IF(SIGN(Q58)&lt;&gt;1,VLOOKUP(ABS(Q58),SUP_HDC,3,TRUE),-VLOOKUP(ABS(Q58),SUP_HDC,3,TRUE)))</f>
        <v>0</v>
      </c>
      <c r="P58" s="829">
        <f t="shared" ref="P58:P66" si="54">IF(O58="","",IF((J58-K58+O58)&gt;=0.5,1,IF((J58-K58+O58)=0.25,0.5,IF((J58-K58+O58)&lt;=-0.5,-1,IF((J58-K58+O58)=-0.25,-0.5,0)))))</f>
        <v>-1</v>
      </c>
      <c r="Q58" s="830">
        <v>-7.0000000000000007E-2</v>
      </c>
      <c r="R58" s="871">
        <f t="shared" si="29"/>
        <v>-0.92999999999999994</v>
      </c>
      <c r="S58" s="830">
        <v>2.5299999999999998</v>
      </c>
      <c r="T58" s="871">
        <f t="shared" si="46"/>
        <v>0.4700000000000002</v>
      </c>
      <c r="U58" s="829">
        <f t="shared" si="31"/>
        <v>1.23</v>
      </c>
      <c r="V58" s="829">
        <f t="shared" si="32"/>
        <v>1.2999999999999998</v>
      </c>
      <c r="W58" s="829">
        <v>17</v>
      </c>
      <c r="X58" s="829">
        <v>9</v>
      </c>
      <c r="Y58" s="829">
        <v>5</v>
      </c>
      <c r="Z58" s="829">
        <v>5</v>
      </c>
      <c r="AA58" s="829">
        <v>66</v>
      </c>
      <c r="AB58" s="829">
        <v>34</v>
      </c>
      <c r="AC58" s="829"/>
      <c r="AD58" s="816" t="str">
        <f t="array" ref="AD58">IF($J58="","",IF(SUM(IF(ISNUMBER(VALUE(RIGHT($AG58:$CH58,1))),VALUE(RIGHT($AG58:$CH58,1)),0))=$J58,"T","F"))</f>
        <v>T</v>
      </c>
      <c r="AE58" s="831">
        <f t="array" ref="AE58">IF($J58="","",SUM(IF(LEFT($AG58:$DT58,1)="s",1,0))-SUM(IF(RIGHT(LEFT($AG58:$DT58,2))="-",1,0)))</f>
        <v>0</v>
      </c>
      <c r="AF58" s="816">
        <f t="array" ref="AF58">IF($J58="","",SUM(IF(LEFT($AG58:$CZ58,1)="X",1,0)))</f>
        <v>11</v>
      </c>
      <c r="AG58" s="891" t="s">
        <v>32</v>
      </c>
      <c r="AH58" s="891" t="s">
        <v>1877</v>
      </c>
      <c r="AI58" s="891" t="s">
        <v>34</v>
      </c>
      <c r="AJ58" s="891" t="s">
        <v>34</v>
      </c>
      <c r="AK58" s="891" t="s">
        <v>32</v>
      </c>
      <c r="AL58" s="891" t="s">
        <v>32</v>
      </c>
      <c r="AM58" s="904" t="s">
        <v>34</v>
      </c>
      <c r="AN58" s="891" t="s">
        <v>34</v>
      </c>
      <c r="AO58" s="891" t="s">
        <v>32</v>
      </c>
      <c r="AP58" s="891" t="s">
        <v>1877</v>
      </c>
      <c r="AQ58" s="891" t="s">
        <v>32</v>
      </c>
      <c r="AR58" s="891" t="s">
        <v>1877</v>
      </c>
      <c r="AS58" s="891" t="s">
        <v>34</v>
      </c>
      <c r="AT58" s="891" t="s">
        <v>35</v>
      </c>
      <c r="AU58" s="891" t="s">
        <v>1877</v>
      </c>
      <c r="AV58" s="891" t="s">
        <v>3330</v>
      </c>
      <c r="AW58" s="891" t="s">
        <v>34</v>
      </c>
      <c r="AX58" s="891" t="s">
        <v>1877</v>
      </c>
      <c r="AY58" s="891" t="s">
        <v>34</v>
      </c>
      <c r="AZ58" s="891" t="s">
        <v>36</v>
      </c>
      <c r="BA58" s="891" t="s">
        <v>3085</v>
      </c>
      <c r="BB58" s="891" t="s">
        <v>32</v>
      </c>
      <c r="BC58" s="891" t="s">
        <v>34</v>
      </c>
      <c r="BD58" s="891" t="s">
        <v>32</v>
      </c>
      <c r="BE58" s="891" t="s">
        <v>32</v>
      </c>
      <c r="BF58" s="891" t="s">
        <v>36</v>
      </c>
      <c r="BG58" s="891" t="s">
        <v>35</v>
      </c>
      <c r="BH58" s="891"/>
      <c r="BI58" s="891"/>
      <c r="BJ58" s="891"/>
      <c r="BK58" s="891"/>
      <c r="BL58" s="891"/>
      <c r="BM58" s="891"/>
      <c r="BN58" s="891"/>
      <c r="BO58" s="891"/>
      <c r="BP58" s="891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428"/>
      <c r="CE58" s="428"/>
      <c r="CF58" s="428"/>
      <c r="CG58" s="428"/>
    </row>
    <row r="59" spans="1:85" ht="15">
      <c r="A59" s="882">
        <v>6483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3</v>
      </c>
      <c r="G59" s="879" t="s">
        <v>1085</v>
      </c>
      <c r="H59" s="879" t="s">
        <v>22</v>
      </c>
      <c r="I59" s="879" t="s">
        <v>891</v>
      </c>
      <c r="J59" s="846">
        <v>2</v>
      </c>
      <c r="K59" s="846">
        <v>6</v>
      </c>
      <c r="L59" s="816" t="str">
        <f t="shared" si="36"/>
        <v>L</v>
      </c>
      <c r="M59" s="816">
        <f t="shared" si="37"/>
        <v>8</v>
      </c>
      <c r="N59" s="816" t="str">
        <f t="shared" si="35"/>
        <v>O</v>
      </c>
      <c r="O59" s="816">
        <f t="shared" si="53"/>
        <v>0.25</v>
      </c>
      <c r="P59" s="829">
        <f t="shared" si="54"/>
        <v>-1</v>
      </c>
      <c r="Q59" s="830">
        <v>-0.23</v>
      </c>
      <c r="R59" s="871">
        <f t="shared" si="29"/>
        <v>-3.77</v>
      </c>
      <c r="S59" s="830">
        <v>3.03</v>
      </c>
      <c r="T59" s="871">
        <f t="shared" si="46"/>
        <v>4.9700000000000006</v>
      </c>
      <c r="U59" s="829">
        <f t="shared" si="31"/>
        <v>1.4</v>
      </c>
      <c r="V59" s="829">
        <f t="shared" si="32"/>
        <v>1.63</v>
      </c>
      <c r="W59" s="829">
        <v>13</v>
      </c>
      <c r="X59" s="829">
        <v>17</v>
      </c>
      <c r="Y59" s="829">
        <v>6</v>
      </c>
      <c r="Z59" s="829">
        <v>10</v>
      </c>
      <c r="AA59" s="829">
        <v>57</v>
      </c>
      <c r="AB59" s="829">
        <v>43</v>
      </c>
      <c r="AC59" s="829"/>
      <c r="AD59" s="816" t="str">
        <f t="array" ref="AD59">IF($J59="","",IF(SUM(IF(ISNUMBER(VALUE(RIGHT($AG59:$CH59,1))),VALUE(RIGHT($AG59:$CH59,1)),0))=$J59,"T","F"))</f>
        <v>T</v>
      </c>
      <c r="AE59" s="831">
        <f t="array" ref="AE59">IF($J59="","",SUM(IF(LEFT($AG59:$DT59,1)="s",1,0))-SUM(IF(RIGHT(LEFT($AG59:$DT59,2))="-",1,0)))</f>
        <v>0</v>
      </c>
      <c r="AF59" s="816">
        <f t="array" ref="AF59">IF($J59="","",SUM(IF(LEFT($AG59:$CZ59,1)="X",1,0)))</f>
        <v>11</v>
      </c>
      <c r="AG59" s="891"/>
      <c r="AH59" s="891" t="s">
        <v>1877</v>
      </c>
      <c r="AI59" s="891" t="s">
        <v>34</v>
      </c>
      <c r="AJ59" s="904" t="s">
        <v>34</v>
      </c>
      <c r="AK59" s="891" t="s">
        <v>32</v>
      </c>
      <c r="AL59" s="891" t="s">
        <v>32</v>
      </c>
      <c r="AM59" s="891" t="s">
        <v>34</v>
      </c>
      <c r="AN59" s="891" t="s">
        <v>3356</v>
      </c>
      <c r="AO59" s="891" t="s">
        <v>32</v>
      </c>
      <c r="AP59" s="891" t="s">
        <v>1877</v>
      </c>
      <c r="AQ59" s="891" t="s">
        <v>32</v>
      </c>
      <c r="AR59" s="891" t="s">
        <v>1877</v>
      </c>
      <c r="AS59" s="904" t="s">
        <v>34</v>
      </c>
      <c r="AT59" s="891" t="s">
        <v>35</v>
      </c>
      <c r="AU59" s="891" t="s">
        <v>32</v>
      </c>
      <c r="AV59" s="891" t="s">
        <v>34</v>
      </c>
      <c r="AW59" s="891" t="s">
        <v>34</v>
      </c>
      <c r="AX59" s="891" t="s">
        <v>1877</v>
      </c>
      <c r="AY59" s="891" t="s">
        <v>34</v>
      </c>
      <c r="AZ59" s="891" t="s">
        <v>36</v>
      </c>
      <c r="BA59" s="891" t="s">
        <v>2331</v>
      </c>
      <c r="BB59" s="891" t="s">
        <v>32</v>
      </c>
      <c r="BC59" s="891" t="s">
        <v>35</v>
      </c>
      <c r="BD59" s="891" t="s">
        <v>32</v>
      </c>
      <c r="BE59" s="891" t="s">
        <v>36</v>
      </c>
      <c r="BF59" s="891" t="s">
        <v>3357</v>
      </c>
      <c r="BG59" s="891" t="s">
        <v>35</v>
      </c>
      <c r="BH59" s="891"/>
      <c r="BI59" s="891"/>
      <c r="BJ59" s="891"/>
      <c r="BK59" s="891"/>
      <c r="BL59" s="891"/>
      <c r="BM59" s="891"/>
      <c r="BN59" s="891"/>
      <c r="BO59" s="891"/>
      <c r="BP59" s="891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</row>
    <row r="60" spans="1:85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9</v>
      </c>
      <c r="G60" s="879" t="s">
        <v>1083</v>
      </c>
      <c r="H60" s="879" t="s">
        <v>18</v>
      </c>
      <c r="I60" s="879" t="s">
        <v>891</v>
      </c>
      <c r="J60" s="846">
        <v>3</v>
      </c>
      <c r="K60" s="846">
        <v>3</v>
      </c>
      <c r="L60" s="816" t="str">
        <f t="shared" si="36"/>
        <v>D</v>
      </c>
      <c r="M60" s="816">
        <f t="shared" si="37"/>
        <v>6</v>
      </c>
      <c r="N60" s="816" t="str">
        <f t="shared" si="35"/>
        <v>O</v>
      </c>
      <c r="O60" s="816">
        <f t="shared" si="53"/>
        <v>0.25</v>
      </c>
      <c r="P60" s="829">
        <f t="shared" si="54"/>
        <v>0.5</v>
      </c>
      <c r="Q60" s="830">
        <v>-0.35</v>
      </c>
      <c r="R60" s="871">
        <f t="shared" si="29"/>
        <v>0.35</v>
      </c>
      <c r="S60" s="830">
        <v>2.8</v>
      </c>
      <c r="T60" s="871">
        <f t="shared" si="46"/>
        <v>3.2</v>
      </c>
      <c r="U60" s="829">
        <f t="shared" si="31"/>
        <v>1.2249999999999999</v>
      </c>
      <c r="V60" s="829">
        <f t="shared" si="32"/>
        <v>1.575</v>
      </c>
      <c r="W60" s="829">
        <v>18</v>
      </c>
      <c r="X60" s="829">
        <v>15</v>
      </c>
      <c r="Y60" s="829">
        <v>5</v>
      </c>
      <c r="Z60" s="829">
        <v>10</v>
      </c>
      <c r="AA60" s="829">
        <v>65</v>
      </c>
      <c r="AB60" s="829">
        <v>35</v>
      </c>
      <c r="AC60" s="829"/>
      <c r="AD60" s="816" t="str">
        <f t="array" ref="AD60">IF($J60="","",IF(SUM(IF(ISNUMBER(VALUE(RIGHT($AG60:$CH60,1))),VALUE(RIGHT($AG60:$CH60,1)),0))=$J60,"T","F"))</f>
        <v>T</v>
      </c>
      <c r="AE60" s="831">
        <f t="array" ref="AE60">IF($J60="","",SUM(IF(LEFT($AG60:$DT60,1)="s",1,0))-SUM(IF(RIGHT(LEFT($AG60:$DT60,2))="-",1,0)))</f>
        <v>0</v>
      </c>
      <c r="AF60" s="816">
        <f t="array" ref="AF60">IF($J60="","",SUM(IF(LEFT($AG60:$CZ60,1)="X",1,0)))</f>
        <v>11</v>
      </c>
      <c r="AG60" s="891" t="s">
        <v>32</v>
      </c>
      <c r="AH60" s="891" t="s">
        <v>1877</v>
      </c>
      <c r="AI60" s="891" t="s">
        <v>34</v>
      </c>
      <c r="AJ60" s="904" t="s">
        <v>3401</v>
      </c>
      <c r="AK60" s="891" t="s">
        <v>32</v>
      </c>
      <c r="AL60" s="891" t="s">
        <v>32</v>
      </c>
      <c r="AM60" s="891" t="s">
        <v>34</v>
      </c>
      <c r="AN60" s="891" t="s">
        <v>34</v>
      </c>
      <c r="AO60" s="891" t="s">
        <v>32</v>
      </c>
      <c r="AP60" s="891" t="s">
        <v>1877</v>
      </c>
      <c r="AQ60" s="891" t="s">
        <v>32</v>
      </c>
      <c r="AR60" s="891" t="s">
        <v>36</v>
      </c>
      <c r="AS60" s="891" t="s">
        <v>34</v>
      </c>
      <c r="AT60" s="891" t="s">
        <v>35</v>
      </c>
      <c r="AU60" s="891" t="s">
        <v>32</v>
      </c>
      <c r="AV60" s="891" t="s">
        <v>34</v>
      </c>
      <c r="AW60" s="891" t="s">
        <v>35</v>
      </c>
      <c r="AX60" s="891" t="s">
        <v>1877</v>
      </c>
      <c r="AY60" s="891" t="s">
        <v>35</v>
      </c>
      <c r="AZ60" s="891" t="s">
        <v>36</v>
      </c>
      <c r="BA60" s="891" t="s">
        <v>2331</v>
      </c>
      <c r="BB60" s="891" t="s">
        <v>32</v>
      </c>
      <c r="BC60" s="891" t="s">
        <v>34</v>
      </c>
      <c r="BD60" s="891" t="s">
        <v>32</v>
      </c>
      <c r="BE60" s="891" t="s">
        <v>1877</v>
      </c>
      <c r="BF60" s="891" t="s">
        <v>3402</v>
      </c>
      <c r="BG60" s="891" t="s">
        <v>3401</v>
      </c>
      <c r="BH60" s="891"/>
      <c r="BI60" s="891"/>
      <c r="BJ60" s="891"/>
      <c r="BK60" s="891"/>
      <c r="BL60" s="891"/>
      <c r="BM60" s="891"/>
      <c r="BN60" s="891"/>
      <c r="BO60" s="891"/>
      <c r="BP60" s="891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</row>
    <row r="61" spans="1:85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7</v>
      </c>
      <c r="G61" s="879" t="s">
        <v>888</v>
      </c>
      <c r="H61" s="879" t="s">
        <v>22</v>
      </c>
      <c r="I61" s="879" t="s">
        <v>891</v>
      </c>
      <c r="J61" s="846">
        <v>0</v>
      </c>
      <c r="K61" s="846">
        <v>2</v>
      </c>
      <c r="L61" s="816" t="str">
        <f t="shared" si="36"/>
        <v>L</v>
      </c>
      <c r="M61" s="816">
        <f t="shared" si="37"/>
        <v>2</v>
      </c>
      <c r="N61" s="816" t="str">
        <f t="shared" si="35"/>
        <v>U</v>
      </c>
      <c r="O61" s="816">
        <f t="shared" si="53"/>
        <v>0.25</v>
      </c>
      <c r="P61" s="829">
        <f t="shared" si="54"/>
        <v>-1</v>
      </c>
      <c r="Q61" s="830">
        <v>-0.31</v>
      </c>
      <c r="R61" s="871">
        <f t="shared" si="29"/>
        <v>-1.69</v>
      </c>
      <c r="S61" s="830">
        <v>2.94</v>
      </c>
      <c r="T61" s="871">
        <f t="shared" si="46"/>
        <v>-0.94</v>
      </c>
      <c r="U61" s="829">
        <f t="shared" si="31"/>
        <v>1.3149999999999999</v>
      </c>
      <c r="V61" s="829">
        <f t="shared" si="32"/>
        <v>1.625</v>
      </c>
      <c r="W61" s="829">
        <v>5</v>
      </c>
      <c r="X61" s="829">
        <v>25</v>
      </c>
      <c r="Y61" s="829">
        <v>2</v>
      </c>
      <c r="Z61" s="829">
        <v>8</v>
      </c>
      <c r="AA61" s="829">
        <v>51</v>
      </c>
      <c r="AB61" s="829">
        <v>49</v>
      </c>
      <c r="AC61" s="829"/>
      <c r="AD61" s="816" t="str">
        <f t="array" ref="AD61">IF($J61="","",IF(SUM(IF(ISNUMBER(VALUE(RIGHT($AG61:$CH61,1))),VALUE(RIGHT($AG61:$CH61,1)),0))=$J61,"T","F"))</f>
        <v>T</v>
      </c>
      <c r="AE61" s="831">
        <f t="array" ref="AE61">IF($J61="","",SUM(IF(LEFT($AG61:$DT61,1)="s",1,0))-SUM(IF(RIGHT(LEFT($AG61:$DT61,2))="-",1,0)))</f>
        <v>0</v>
      </c>
      <c r="AF61" s="816">
        <f t="array" ref="AF61">IF($J61="","",SUM(IF(LEFT($AG61:$CZ61,1)="X",1,0)))</f>
        <v>11</v>
      </c>
      <c r="AG61" s="891" t="s">
        <v>32</v>
      </c>
      <c r="AH61" s="891" t="s">
        <v>1877</v>
      </c>
      <c r="AI61" s="891" t="s">
        <v>34</v>
      </c>
      <c r="AJ61" s="891" t="s">
        <v>34</v>
      </c>
      <c r="AK61" s="891" t="s">
        <v>32</v>
      </c>
      <c r="AL61" s="891" t="s">
        <v>32</v>
      </c>
      <c r="AM61" s="891" t="s">
        <v>34</v>
      </c>
      <c r="AN61" s="891" t="s">
        <v>34</v>
      </c>
      <c r="AO61" s="891" t="s">
        <v>32</v>
      </c>
      <c r="AP61" s="891" t="s">
        <v>1877</v>
      </c>
      <c r="AQ61" s="891" t="s">
        <v>32</v>
      </c>
      <c r="AR61" s="891" t="s">
        <v>1877</v>
      </c>
      <c r="AS61" s="891" t="s">
        <v>35</v>
      </c>
      <c r="AT61" s="891" t="s">
        <v>35</v>
      </c>
      <c r="AU61" s="891" t="s">
        <v>32</v>
      </c>
      <c r="AV61" s="891" t="s">
        <v>34</v>
      </c>
      <c r="AW61" s="904" t="s">
        <v>34</v>
      </c>
      <c r="AX61" s="891" t="s">
        <v>32</v>
      </c>
      <c r="AY61" s="891" t="s">
        <v>34</v>
      </c>
      <c r="AZ61" s="891" t="s">
        <v>36</v>
      </c>
      <c r="BA61" s="891" t="s">
        <v>3431</v>
      </c>
      <c r="BB61" s="891" t="s">
        <v>36</v>
      </c>
      <c r="BC61" s="891" t="s">
        <v>34</v>
      </c>
      <c r="BD61" s="891" t="s">
        <v>32</v>
      </c>
      <c r="BE61" s="891" t="s">
        <v>1877</v>
      </c>
      <c r="BF61" s="891" t="s">
        <v>36</v>
      </c>
      <c r="BG61" s="891" t="s">
        <v>35</v>
      </c>
      <c r="BH61" s="891"/>
      <c r="BI61" s="891"/>
      <c r="BJ61" s="891"/>
      <c r="BK61" s="891"/>
      <c r="BL61" s="891"/>
      <c r="BM61" s="891"/>
      <c r="BN61" s="891"/>
      <c r="BO61" s="891"/>
      <c r="BP61" s="891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</row>
    <row r="62" spans="1:85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5</v>
      </c>
      <c r="G62" s="879" t="s">
        <v>889</v>
      </c>
      <c r="H62" s="879" t="s">
        <v>22</v>
      </c>
      <c r="I62" s="879" t="s">
        <v>891</v>
      </c>
      <c r="J62" s="846">
        <v>1</v>
      </c>
      <c r="K62" s="846">
        <v>2</v>
      </c>
      <c r="L62" s="816" t="str">
        <f t="shared" si="36"/>
        <v>L</v>
      </c>
      <c r="M62" s="816">
        <f t="shared" si="37"/>
        <v>3</v>
      </c>
      <c r="N62" s="816" t="str">
        <f t="shared" si="35"/>
        <v>O</v>
      </c>
      <c r="O62" s="816">
        <f t="shared" si="53"/>
        <v>0.25</v>
      </c>
      <c r="P62" s="829">
        <f t="shared" si="54"/>
        <v>-1</v>
      </c>
      <c r="Q62" s="830">
        <v>-0.2</v>
      </c>
      <c r="R62" s="871">
        <f t="shared" si="29"/>
        <v>-0.8</v>
      </c>
      <c r="S62" s="830">
        <v>2.98</v>
      </c>
      <c r="T62" s="871">
        <f t="shared" si="46"/>
        <v>2.0000000000000018E-2</v>
      </c>
      <c r="U62" s="829">
        <f t="shared" si="31"/>
        <v>1.39</v>
      </c>
      <c r="V62" s="829">
        <f t="shared" si="32"/>
        <v>1.59</v>
      </c>
      <c r="W62" s="829">
        <v>12</v>
      </c>
      <c r="X62" s="829">
        <v>16</v>
      </c>
      <c r="Y62" s="829">
        <v>3</v>
      </c>
      <c r="Z62" s="829">
        <v>4</v>
      </c>
      <c r="AA62" s="829">
        <v>55</v>
      </c>
      <c r="AB62" s="829">
        <v>45</v>
      </c>
      <c r="AC62" s="829"/>
      <c r="AD62" s="816" t="str">
        <f t="array" ref="AD62">IF($J62="","",IF(SUM(IF(ISNUMBER(VALUE(RIGHT($AG62:$CH62,1))),VALUE(RIGHT($AG62:$CH62,1)),0))=$J62,"T","F"))</f>
        <v>T</v>
      </c>
      <c r="AE62" s="831">
        <f t="array" ref="AE62">IF($J62="","",SUM(IF(LEFT($AG62:$DT62,1)="s",1,0))-SUM(IF(RIGHT(LEFT($AG62:$DT62,2))="-",1,0)))</f>
        <v>0</v>
      </c>
      <c r="AF62" s="816">
        <f t="array" ref="AF62">IF($J62="","",SUM(IF(LEFT($AG62:$CZ62,1)="X",1,0)))</f>
        <v>11</v>
      </c>
      <c r="AG62" s="891" t="s">
        <v>32</v>
      </c>
      <c r="AH62" s="891" t="s">
        <v>1877</v>
      </c>
      <c r="AI62" s="891" t="s">
        <v>34</v>
      </c>
      <c r="AJ62" s="891" t="s">
        <v>34</v>
      </c>
      <c r="AK62" s="891" t="s">
        <v>32</v>
      </c>
      <c r="AL62" s="891" t="s">
        <v>32</v>
      </c>
      <c r="AM62" s="891" t="s">
        <v>34</v>
      </c>
      <c r="AN62" s="891" t="s">
        <v>34</v>
      </c>
      <c r="AO62" s="891" t="s">
        <v>32</v>
      </c>
      <c r="AP62" s="891" t="s">
        <v>36</v>
      </c>
      <c r="AQ62" s="891" t="s">
        <v>32</v>
      </c>
      <c r="AR62" s="891" t="s">
        <v>35</v>
      </c>
      <c r="AS62" s="904" t="s">
        <v>34</v>
      </c>
      <c r="AT62" s="904" t="s">
        <v>35</v>
      </c>
      <c r="AU62" s="891" t="s">
        <v>1877</v>
      </c>
      <c r="AV62" s="891" t="s">
        <v>34</v>
      </c>
      <c r="AW62" s="891" t="s">
        <v>3473</v>
      </c>
      <c r="AX62" s="891" t="s">
        <v>32</v>
      </c>
      <c r="AY62" s="904" t="s">
        <v>35</v>
      </c>
      <c r="AZ62" s="891" t="s">
        <v>1877</v>
      </c>
      <c r="BA62" s="891" t="s">
        <v>36</v>
      </c>
      <c r="BB62" s="891" t="s">
        <v>32</v>
      </c>
      <c r="BC62" s="904" t="s">
        <v>3474</v>
      </c>
      <c r="BD62" s="891" t="s">
        <v>32</v>
      </c>
      <c r="BE62" s="891" t="s">
        <v>1877</v>
      </c>
      <c r="BF62" s="891" t="s">
        <v>36</v>
      </c>
      <c r="BG62" s="891" t="s">
        <v>34</v>
      </c>
      <c r="BH62" s="891"/>
      <c r="BI62" s="891"/>
      <c r="BJ62" s="891"/>
      <c r="BK62" s="891"/>
      <c r="BL62" s="891"/>
      <c r="BM62" s="891"/>
      <c r="BN62" s="891"/>
      <c r="BO62" s="891"/>
      <c r="BP62" s="891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</row>
    <row r="63" spans="1:85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8</v>
      </c>
      <c r="G63" s="879" t="s">
        <v>880</v>
      </c>
      <c r="H63" s="879" t="s">
        <v>18</v>
      </c>
      <c r="I63" s="879" t="s">
        <v>891</v>
      </c>
      <c r="J63" s="846">
        <v>1</v>
      </c>
      <c r="K63" s="846">
        <v>2</v>
      </c>
      <c r="L63" s="816" t="str">
        <f t="shared" si="36"/>
        <v>L</v>
      </c>
      <c r="M63" s="816">
        <f t="shared" si="37"/>
        <v>3</v>
      </c>
      <c r="N63" s="816" t="str">
        <f t="shared" si="35"/>
        <v>O</v>
      </c>
      <c r="O63" s="816">
        <f t="shared" si="53"/>
        <v>1</v>
      </c>
      <c r="P63" s="829">
        <f t="shared" si="54"/>
        <v>0</v>
      </c>
      <c r="Q63" s="830">
        <v>-0.98</v>
      </c>
      <c r="R63" s="871">
        <f t="shared" si="29"/>
        <v>-2.0000000000000018E-2</v>
      </c>
      <c r="S63" s="830">
        <v>3.05</v>
      </c>
      <c r="T63" s="871">
        <f t="shared" si="46"/>
        <v>-4.9999999999999822E-2</v>
      </c>
      <c r="U63" s="829">
        <f t="shared" si="31"/>
        <v>1.0349999999999999</v>
      </c>
      <c r="V63" s="829">
        <f t="shared" si="32"/>
        <v>2.0149999999999997</v>
      </c>
      <c r="W63" s="829">
        <v>16</v>
      </c>
      <c r="X63" s="829">
        <v>12</v>
      </c>
      <c r="Y63" s="829">
        <v>5</v>
      </c>
      <c r="Z63" s="829">
        <v>8</v>
      </c>
      <c r="AA63" s="829">
        <v>67</v>
      </c>
      <c r="AB63" s="829">
        <v>33</v>
      </c>
      <c r="AC63" s="829"/>
      <c r="AD63" s="816" t="str">
        <f t="array" ref="AD63">IF($J63="","",IF(SUM(IF(ISNUMBER(VALUE(RIGHT($AG63:$CH63,1))),VALUE(RIGHT($AG63:$CH63,1)),0))=$J63,"T","F"))</f>
        <v>T</v>
      </c>
      <c r="AE63" s="831">
        <f t="array" ref="AE63">IF($J63="","",SUM(IF(LEFT($AG63:$DT63,1)="s",1,0))-SUM(IF(RIGHT(LEFT($AG63:$DT63,2))="-",1,0)))</f>
        <v>0</v>
      </c>
      <c r="AF63" s="816">
        <f t="array" ref="AF63">IF($J63="","",SUM(IF(LEFT($AG63:$CZ63,1)="X",1,0)))</f>
        <v>11</v>
      </c>
      <c r="AG63" s="891" t="s">
        <v>32</v>
      </c>
      <c r="AH63" s="891" t="s">
        <v>1877</v>
      </c>
      <c r="AI63" s="891" t="s">
        <v>34</v>
      </c>
      <c r="AJ63" s="891" t="s">
        <v>34</v>
      </c>
      <c r="AK63" s="891" t="s">
        <v>32</v>
      </c>
      <c r="AL63" s="891" t="s">
        <v>32</v>
      </c>
      <c r="AM63" s="891" t="s">
        <v>32</v>
      </c>
      <c r="AN63" s="891" t="s">
        <v>34</v>
      </c>
      <c r="AO63" s="891" t="s">
        <v>32</v>
      </c>
      <c r="AP63" s="891" t="s">
        <v>34</v>
      </c>
      <c r="AQ63" s="891" t="s">
        <v>1877</v>
      </c>
      <c r="AR63" s="891" t="s">
        <v>34</v>
      </c>
      <c r="AS63" s="904" t="s">
        <v>34</v>
      </c>
      <c r="AT63" s="891" t="s">
        <v>3500</v>
      </c>
      <c r="AU63" s="891" t="s">
        <v>1877</v>
      </c>
      <c r="AV63" s="891" t="s">
        <v>34</v>
      </c>
      <c r="AW63" s="891" t="s">
        <v>32</v>
      </c>
      <c r="AX63" s="891" t="s">
        <v>32</v>
      </c>
      <c r="AY63" s="891" t="s">
        <v>35</v>
      </c>
      <c r="AZ63" s="891" t="s">
        <v>36</v>
      </c>
      <c r="BA63" s="891" t="s">
        <v>32</v>
      </c>
      <c r="BB63" s="891" t="s">
        <v>1877</v>
      </c>
      <c r="BC63" s="891" t="s">
        <v>34</v>
      </c>
      <c r="BD63" s="891" t="s">
        <v>32</v>
      </c>
      <c r="BE63" s="891" t="s">
        <v>36</v>
      </c>
      <c r="BF63" s="891" t="s">
        <v>36</v>
      </c>
      <c r="BG63" s="891" t="s">
        <v>35</v>
      </c>
      <c r="BH63" s="891"/>
      <c r="BI63" s="891"/>
      <c r="BJ63" s="891"/>
      <c r="BK63" s="891"/>
      <c r="BL63" s="891"/>
      <c r="BM63" s="891"/>
      <c r="BN63" s="891"/>
      <c r="BO63" s="891"/>
      <c r="BP63" s="891"/>
      <c r="BQ63" s="896"/>
      <c r="BR63" s="897"/>
      <c r="BS63" s="897"/>
      <c r="BT63" s="897"/>
      <c r="BU63" s="897"/>
      <c r="BV63" s="897"/>
      <c r="BW63" s="896"/>
      <c r="BX63" s="896"/>
      <c r="BY63" s="896"/>
      <c r="BZ63" s="896"/>
      <c r="CA63" s="896"/>
      <c r="CB63" s="896"/>
      <c r="CC63" s="896"/>
    </row>
    <row r="64" spans="1:85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17</v>
      </c>
      <c r="G64" s="879" t="s">
        <v>875</v>
      </c>
      <c r="H64" s="879" t="s">
        <v>18</v>
      </c>
      <c r="I64" s="879" t="s">
        <v>891</v>
      </c>
      <c r="J64" s="846">
        <v>1</v>
      </c>
      <c r="K64" s="846">
        <v>1</v>
      </c>
      <c r="L64" s="816" t="str">
        <f t="shared" si="36"/>
        <v>D</v>
      </c>
      <c r="M64" s="816">
        <f t="shared" si="37"/>
        <v>2</v>
      </c>
      <c r="N64" s="816" t="str">
        <f t="shared" si="35"/>
        <v>U</v>
      </c>
      <c r="O64" s="816">
        <f t="shared" si="53"/>
        <v>0</v>
      </c>
      <c r="P64" s="829">
        <f t="shared" si="54"/>
        <v>0</v>
      </c>
      <c r="Q64" s="830">
        <v>0.08</v>
      </c>
      <c r="R64" s="871">
        <f t="shared" si="29"/>
        <v>-0.08</v>
      </c>
      <c r="S64" s="830">
        <v>2.8</v>
      </c>
      <c r="T64" s="871">
        <f t="shared" si="46"/>
        <v>-0.79999999999999982</v>
      </c>
      <c r="U64" s="829">
        <f t="shared" si="31"/>
        <v>1.44</v>
      </c>
      <c r="V64" s="829">
        <f t="shared" si="32"/>
        <v>1.3599999999999999</v>
      </c>
      <c r="W64" s="829">
        <v>13</v>
      </c>
      <c r="X64" s="829">
        <v>15</v>
      </c>
      <c r="Y64" s="829">
        <v>5</v>
      </c>
      <c r="Z64" s="829">
        <v>4</v>
      </c>
      <c r="AA64" s="829">
        <v>63</v>
      </c>
      <c r="AB64" s="829">
        <v>37</v>
      </c>
      <c r="AC64" s="829"/>
      <c r="AD64" s="816" t="str">
        <f t="array" ref="AD64">IF($J64="","",IF(SUM(IF(ISNUMBER(VALUE(RIGHT($AG64:$CH64,1))),VALUE(RIGHT($AG64:$CH64,1)),0))=$J64,"T","F"))</f>
        <v>T</v>
      </c>
      <c r="AE64" s="831">
        <f t="array" ref="AE64">IF($J64="","",SUM(IF(LEFT($AG64:$DT64,1)="s",1,0))-SUM(IF(RIGHT(LEFT($AG64:$DT64,2))="-",1,0)))</f>
        <v>0</v>
      </c>
      <c r="AF64" s="816">
        <f t="array" ref="AF64">IF($J64="","",SUM(IF(LEFT($AG64:$CZ64,1)="X",1,0)))</f>
        <v>11</v>
      </c>
      <c r="AG64" s="891" t="s">
        <v>1877</v>
      </c>
      <c r="AH64" s="891" t="s">
        <v>32</v>
      </c>
      <c r="AI64" s="891" t="s">
        <v>34</v>
      </c>
      <c r="AJ64" s="904" t="s">
        <v>34</v>
      </c>
      <c r="AK64" s="891" t="s">
        <v>32</v>
      </c>
      <c r="AL64" s="891" t="s">
        <v>32</v>
      </c>
      <c r="AM64" s="891" t="s">
        <v>34</v>
      </c>
      <c r="AN64" s="891" t="s">
        <v>34</v>
      </c>
      <c r="AO64" s="891" t="s">
        <v>32</v>
      </c>
      <c r="AP64" s="891" t="s">
        <v>1877</v>
      </c>
      <c r="AQ64" s="891" t="s">
        <v>1877</v>
      </c>
      <c r="AR64" s="904" t="s">
        <v>34</v>
      </c>
      <c r="AS64" s="891" t="s">
        <v>3521</v>
      </c>
      <c r="AT64" s="891" t="s">
        <v>35</v>
      </c>
      <c r="AU64" s="891" t="s">
        <v>1877</v>
      </c>
      <c r="AV64" s="891" t="s">
        <v>34</v>
      </c>
      <c r="AW64" s="891" t="s">
        <v>32</v>
      </c>
      <c r="AX64" s="891" t="s">
        <v>1877</v>
      </c>
      <c r="AY64" s="891" t="s">
        <v>34</v>
      </c>
      <c r="AZ64" s="891" t="s">
        <v>34</v>
      </c>
      <c r="BA64" s="891" t="s">
        <v>32</v>
      </c>
      <c r="BB64" s="891" t="s">
        <v>32</v>
      </c>
      <c r="BC64" s="891" t="s">
        <v>34</v>
      </c>
      <c r="BD64" s="891" t="s">
        <v>32</v>
      </c>
      <c r="BE64" s="891" t="s">
        <v>36</v>
      </c>
      <c r="BF64" s="891" t="s">
        <v>36</v>
      </c>
      <c r="BG64" s="891" t="s">
        <v>3522</v>
      </c>
      <c r="BH64" s="891"/>
      <c r="BI64" s="891"/>
      <c r="BJ64" s="891"/>
      <c r="BK64" s="891"/>
      <c r="BL64" s="891"/>
      <c r="BM64" s="891"/>
      <c r="BN64" s="891"/>
      <c r="BO64" s="891"/>
      <c r="BP64" s="891"/>
      <c r="BQ64" s="896"/>
      <c r="BR64" s="897"/>
      <c r="BS64" s="897"/>
      <c r="BT64" s="897"/>
      <c r="BU64" s="897"/>
      <c r="BV64" s="897"/>
      <c r="BW64" s="896"/>
      <c r="BX64" s="896"/>
      <c r="BY64" s="896"/>
      <c r="BZ64" s="896"/>
      <c r="CA64" s="896"/>
      <c r="CB64" s="896"/>
      <c r="CC64" s="896"/>
    </row>
    <row r="65" spans="1:81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</v>
      </c>
      <c r="G65" s="879" t="s">
        <v>1086</v>
      </c>
      <c r="H65" s="879" t="s">
        <v>22</v>
      </c>
      <c r="I65" s="879" t="s">
        <v>891</v>
      </c>
      <c r="J65" s="846">
        <v>1</v>
      </c>
      <c r="K65" s="846">
        <v>1</v>
      </c>
      <c r="L65" s="816" t="str">
        <f t="shared" si="36"/>
        <v>D</v>
      </c>
      <c r="M65" s="816">
        <f t="shared" si="37"/>
        <v>2</v>
      </c>
      <c r="N65" s="816" t="str">
        <f t="shared" si="35"/>
        <v>U</v>
      </c>
      <c r="O65" s="816">
        <f t="shared" si="53"/>
        <v>0.5</v>
      </c>
      <c r="P65" s="829">
        <f t="shared" si="54"/>
        <v>1</v>
      </c>
      <c r="Q65" s="830">
        <v>-0.43</v>
      </c>
      <c r="R65" s="871">
        <f t="shared" si="29"/>
        <v>0.43</v>
      </c>
      <c r="S65" s="830">
        <v>2.8</v>
      </c>
      <c r="T65" s="871">
        <f t="shared" si="46"/>
        <v>-0.79999999999999982</v>
      </c>
      <c r="U65" s="829">
        <f t="shared" si="31"/>
        <v>1.1849999999999998</v>
      </c>
      <c r="V65" s="829">
        <f t="shared" si="32"/>
        <v>1.615</v>
      </c>
      <c r="W65" s="829">
        <v>11</v>
      </c>
      <c r="X65" s="829">
        <v>20</v>
      </c>
      <c r="Y65" s="829">
        <v>4</v>
      </c>
      <c r="Z65" s="829">
        <v>5</v>
      </c>
      <c r="AA65" s="829">
        <v>49</v>
      </c>
      <c r="AB65" s="829">
        <v>51</v>
      </c>
      <c r="AC65" s="829"/>
      <c r="AD65" s="816" t="str">
        <f t="array" ref="AD65">IF($J65="","",IF(SUM(IF(ISNUMBER(VALUE(RIGHT($AG65:$CH65,1))),VALUE(RIGHT($AG65:$CH65,1)),0))=$J65,"T","F"))</f>
        <v>T</v>
      </c>
      <c r="AE65" s="831">
        <f t="array" ref="AE65">IF($J65="","",SUM(IF(LEFT($AG65:$DT65,1)="s",1,0))-SUM(IF(RIGHT(LEFT($AG65:$DT65,2))="-",1,0)))</f>
        <v>0</v>
      </c>
      <c r="AF65" s="816">
        <f t="array" ref="AF65">IF($J65="","",SUM(IF(LEFT($AG65:$CZ65,1)="X",1,0)))</f>
        <v>11</v>
      </c>
      <c r="AG65" s="891" t="s">
        <v>32</v>
      </c>
      <c r="AH65" s="891" t="s">
        <v>1877</v>
      </c>
      <c r="AI65" s="891" t="s">
        <v>34</v>
      </c>
      <c r="AJ65" s="891" t="s">
        <v>3551</v>
      </c>
      <c r="AK65" s="891" t="s">
        <v>32</v>
      </c>
      <c r="AL65" s="891" t="s">
        <v>32</v>
      </c>
      <c r="AM65" s="891" t="s">
        <v>32</v>
      </c>
      <c r="AN65" s="891" t="s">
        <v>34</v>
      </c>
      <c r="AO65" s="891" t="s">
        <v>1877</v>
      </c>
      <c r="AP65" s="904" t="s">
        <v>34</v>
      </c>
      <c r="AQ65" s="891" t="s">
        <v>36</v>
      </c>
      <c r="AR65" s="904" t="s">
        <v>34</v>
      </c>
      <c r="AS65" s="891" t="s">
        <v>2096</v>
      </c>
      <c r="AT65" s="891" t="s">
        <v>34</v>
      </c>
      <c r="AU65" s="891" t="s">
        <v>36</v>
      </c>
      <c r="AV65" s="891" t="s">
        <v>3543</v>
      </c>
      <c r="AW65" s="891" t="s">
        <v>35</v>
      </c>
      <c r="AX65" s="891" t="s">
        <v>32</v>
      </c>
      <c r="AY65" s="891" t="s">
        <v>35</v>
      </c>
      <c r="AZ65" s="891" t="s">
        <v>34</v>
      </c>
      <c r="BA65" s="891" t="s">
        <v>3550</v>
      </c>
      <c r="BB65" s="891" t="s">
        <v>1877</v>
      </c>
      <c r="BC65" s="891" t="s">
        <v>35</v>
      </c>
      <c r="BD65" s="891" t="s">
        <v>32</v>
      </c>
      <c r="BE65" s="891" t="s">
        <v>36</v>
      </c>
      <c r="BF65" s="891" t="s">
        <v>1877</v>
      </c>
      <c r="BG65" s="891" t="s">
        <v>34</v>
      </c>
      <c r="BH65" s="891"/>
      <c r="BI65" s="891"/>
      <c r="BJ65" s="891"/>
      <c r="BK65" s="891"/>
      <c r="BL65" s="891"/>
      <c r="BM65" s="891"/>
      <c r="BN65" s="891"/>
      <c r="BO65" s="891"/>
      <c r="BP65" s="891"/>
      <c r="BQ65" s="896"/>
      <c r="BR65" s="897"/>
      <c r="BS65" s="897"/>
      <c r="BT65" s="897"/>
      <c r="BU65" s="897"/>
      <c r="BV65" s="897"/>
      <c r="BW65" s="896"/>
      <c r="BX65" s="896"/>
      <c r="BY65" s="896"/>
      <c r="BZ65" s="896"/>
      <c r="CA65" s="896"/>
      <c r="CB65" s="896"/>
      <c r="CC65" s="896"/>
    </row>
    <row r="66" spans="1:81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11</v>
      </c>
      <c r="G66" s="879" t="s">
        <v>874</v>
      </c>
      <c r="H66" s="879" t="s">
        <v>18</v>
      </c>
      <c r="I66" s="879" t="s">
        <v>891</v>
      </c>
      <c r="J66" s="846">
        <v>1</v>
      </c>
      <c r="K66" s="846">
        <v>4</v>
      </c>
      <c r="L66" s="816" t="str">
        <f t="shared" si="36"/>
        <v>L</v>
      </c>
      <c r="M66" s="816">
        <f t="shared" si="37"/>
        <v>5</v>
      </c>
      <c r="N66" s="816" t="str">
        <f t="shared" si="35"/>
        <v>O</v>
      </c>
      <c r="O66" s="816">
        <f t="shared" si="53"/>
        <v>0.25</v>
      </c>
      <c r="P66" s="829">
        <f t="shared" si="54"/>
        <v>-1</v>
      </c>
      <c r="Q66" s="830">
        <v>-0.3</v>
      </c>
      <c r="R66" s="871">
        <f t="shared" si="29"/>
        <v>-2.7</v>
      </c>
      <c r="S66" s="830">
        <v>2.68</v>
      </c>
      <c r="T66" s="871">
        <f t="shared" si="46"/>
        <v>2.3199999999999998</v>
      </c>
      <c r="U66" s="829">
        <f t="shared" si="31"/>
        <v>1.1900000000000002</v>
      </c>
      <c r="V66" s="829">
        <f t="shared" si="32"/>
        <v>1.49</v>
      </c>
      <c r="W66" s="829">
        <v>11</v>
      </c>
      <c r="X66" s="829">
        <v>21</v>
      </c>
      <c r="Y66" s="829">
        <v>5</v>
      </c>
      <c r="Z66" s="829">
        <v>9</v>
      </c>
      <c r="AA66" s="829">
        <v>54</v>
      </c>
      <c r="AB66" s="829">
        <v>46</v>
      </c>
      <c r="AC66" s="829"/>
      <c r="AD66" s="816" t="str">
        <f t="array" ref="AD66">IF($J66="","",IF(SUM(IF(ISNUMBER(VALUE(RIGHT($AG66:$CH66,1))),VALUE(RIGHT($AG66:$CH66,1)),0))=$J66,"T","F"))</f>
        <v>T</v>
      </c>
      <c r="AE66" s="831">
        <f t="array" ref="AE66">IF($J66="","",SUM(IF(LEFT($AG66:$DT66,1)="s",1,0))-SUM(IF(RIGHT(LEFT($AG66:$DT66,2))="-",1,0)))</f>
        <v>0</v>
      </c>
      <c r="AF66" s="816">
        <f t="array" ref="AF66">IF($J66="","",SUM(IF(LEFT($AG66:$CZ66,1)="X",1,0)))</f>
        <v>11</v>
      </c>
      <c r="AG66" s="891" t="s">
        <v>32</v>
      </c>
      <c r="AH66" s="891" t="s">
        <v>1877</v>
      </c>
      <c r="AI66" s="891" t="s">
        <v>34</v>
      </c>
      <c r="AJ66" s="891" t="s">
        <v>3570</v>
      </c>
      <c r="AK66" s="891" t="s">
        <v>32</v>
      </c>
      <c r="AL66" s="891" t="s">
        <v>32</v>
      </c>
      <c r="AM66" s="891" t="s">
        <v>32</v>
      </c>
      <c r="AN66" s="891" t="s">
        <v>34</v>
      </c>
      <c r="AO66" s="891" t="s">
        <v>1877</v>
      </c>
      <c r="AP66" s="891" t="s">
        <v>34</v>
      </c>
      <c r="AQ66" s="891" t="s">
        <v>1877</v>
      </c>
      <c r="AR66" s="891" t="s">
        <v>34</v>
      </c>
      <c r="AS66" s="891" t="s">
        <v>36</v>
      </c>
      <c r="AT66" s="891" t="s">
        <v>3584</v>
      </c>
      <c r="AU66" s="891" t="s">
        <v>34</v>
      </c>
      <c r="AV66" s="891" t="s">
        <v>34</v>
      </c>
      <c r="AW66" s="891" t="s">
        <v>32</v>
      </c>
      <c r="AX66" s="891" t="s">
        <v>1877</v>
      </c>
      <c r="AY66" s="891" t="s">
        <v>35</v>
      </c>
      <c r="AZ66" s="891" t="s">
        <v>35</v>
      </c>
      <c r="BA66" s="891" t="s">
        <v>32</v>
      </c>
      <c r="BB66" s="891" t="s">
        <v>32</v>
      </c>
      <c r="BC66" s="891" t="s">
        <v>34</v>
      </c>
      <c r="BD66" s="891" t="s">
        <v>32</v>
      </c>
      <c r="BE66" s="891" t="s">
        <v>36</v>
      </c>
      <c r="BF66" s="891" t="s">
        <v>36</v>
      </c>
      <c r="BG66" s="891" t="s">
        <v>34</v>
      </c>
      <c r="BH66" s="891"/>
      <c r="BI66" s="891"/>
      <c r="BJ66" s="891"/>
      <c r="BK66" s="891"/>
      <c r="BL66" s="891"/>
      <c r="BM66" s="891"/>
      <c r="BN66" s="891"/>
      <c r="BO66" s="891"/>
      <c r="BP66" s="891"/>
      <c r="BQ66" s="896"/>
      <c r="BR66" s="897"/>
      <c r="BS66" s="897"/>
      <c r="BT66" s="897"/>
      <c r="BU66" s="897"/>
      <c r="BV66" s="897"/>
      <c r="BW66" s="896"/>
      <c r="BX66" s="896"/>
      <c r="BY66" s="896"/>
      <c r="BZ66" s="896"/>
      <c r="CA66" s="896"/>
      <c r="CB66" s="896"/>
      <c r="CC66" s="896"/>
    </row>
    <row r="67" spans="1:81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46"/>
        <v/>
      </c>
      <c r="U67" s="829" t="str">
        <f t="shared" si="31"/>
        <v/>
      </c>
      <c r="V67" s="829" t="str">
        <f t="shared" si="32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IF($J67="","",IF(SUM(IF(ISNUMBER(VALUE(RIGHT($AG67:$CH67,1))),VALUE(RIGHT($AG67:$CH67,1)),0))=$J67,"T","F"))</f>
        <v/>
      </c>
      <c r="AE67" s="831" t="str">
        <f t="array" ref="AE67">IF($J67="","",SUM(IF(LEFT($AG67:$DT67,1)="s",1,0))-SUM(IF(RIGHT(LEFT($AG67:$DT67,2))="-",1,0)))</f>
        <v/>
      </c>
      <c r="AF67" s="816" t="str">
        <f t="array" ref="AF67">IF($J67="","",SUM(IF(LEFT($AG67:$CZ67,1)="X",1,0)))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6"/>
      <c r="BR67" s="897"/>
      <c r="BS67" s="897"/>
      <c r="BT67" s="897"/>
      <c r="BU67" s="897"/>
      <c r="BV67" s="897"/>
      <c r="BW67" s="896"/>
      <c r="BX67" s="896"/>
      <c r="BY67" s="896"/>
      <c r="BZ67" s="896"/>
      <c r="CA67" s="896"/>
      <c r="CB67" s="896"/>
      <c r="CC67" s="896"/>
    </row>
    <row r="68" spans="1:81" ht="15">
      <c r="A68" s="843"/>
      <c r="E68" s="816"/>
      <c r="G68" s="828"/>
      <c r="H68" s="828"/>
      <c r="I68" s="828"/>
      <c r="J68" s="428"/>
      <c r="K68" s="428"/>
      <c r="T68" s="871"/>
      <c r="U68" s="829"/>
      <c r="V68" s="829"/>
      <c r="W68" s="829"/>
      <c r="X68" s="829"/>
      <c r="Y68" s="829"/>
      <c r="Z68" s="829"/>
      <c r="AA68" s="829"/>
      <c r="AB68" s="829"/>
      <c r="AC68" s="829"/>
      <c r="AE68" s="831"/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6"/>
      <c r="BR68" s="897"/>
      <c r="BS68" s="897"/>
      <c r="BT68" s="897"/>
      <c r="BU68" s="897"/>
      <c r="BV68" s="897"/>
      <c r="BW68" s="896"/>
      <c r="BX68" s="896"/>
      <c r="BY68" s="896"/>
      <c r="BZ68" s="896"/>
      <c r="CA68" s="896"/>
      <c r="CB68" s="896"/>
      <c r="CC68" s="896"/>
    </row>
    <row r="69" spans="1:81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6"/>
      <c r="BR69" s="897"/>
      <c r="BS69" s="897"/>
      <c r="BT69" s="897"/>
      <c r="BU69" s="897"/>
      <c r="BV69" s="897"/>
      <c r="BW69" s="896"/>
      <c r="BX69" s="896"/>
      <c r="BY69" s="896"/>
      <c r="BZ69" s="896"/>
      <c r="CA69" s="896"/>
      <c r="CB69" s="896"/>
      <c r="CC69" s="896"/>
    </row>
    <row r="70" spans="1:81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6"/>
      <c r="BR70" s="897"/>
      <c r="BS70" s="897"/>
      <c r="BT70" s="897"/>
      <c r="BU70" s="897"/>
      <c r="BV70" s="897"/>
      <c r="BW70" s="896"/>
      <c r="BX70" s="896"/>
      <c r="BY70" s="896"/>
      <c r="BZ70" s="896"/>
      <c r="CA70" s="896"/>
      <c r="CB70" s="896"/>
      <c r="CC70" s="896"/>
    </row>
    <row r="71" spans="1:81" ht="15">
      <c r="A71" s="843"/>
      <c r="D71" s="816" t="str">
        <f>IF(I71=Table!$C$1,VLOOKUP(G71,Table!$B$38:$AO$61,Table!$AO$35-1,FALSE),"")</f>
        <v/>
      </c>
      <c r="E71" s="816"/>
      <c r="F71" s="816" t="str">
        <f>IF(I71="","",IF(I71=Table!$C$1,VLOOKUP(G71,Table!$B$9:$AE$32,Table!$AE$6-1,FALSE),""))</f>
        <v/>
      </c>
      <c r="G71" s="828"/>
      <c r="H71" s="828"/>
      <c r="I71" s="828"/>
      <c r="J71" s="428"/>
      <c r="K71" s="428"/>
      <c r="L71" s="816" t="str">
        <f t="shared" ref="L71:L128" si="55">IF(J71="","",IF(J71&gt;K71,"W",IF(J71=K71,"D",IF(J71&lt;K71,"L"))))</f>
        <v/>
      </c>
      <c r="M71" s="816" t="str">
        <f t="shared" ref="M71:M128" si="56">IF(J71="","",J71+K71)</f>
        <v/>
      </c>
      <c r="N71" s="816" t="str">
        <f t="shared" ref="N71:N128" si="57">IF($J71="","",IF($M71&gt;N$19,"O",IF($M71&lt;N$19,"U",IF($M71=N$19,"-"))))</f>
        <v/>
      </c>
      <c r="R71" s="816" t="str">
        <f t="shared" ref="R71:R128" si="58">IF(ISBLANK(Q71),"",J71-K71-Q71)</f>
        <v/>
      </c>
      <c r="T71" s="829" t="str">
        <f t="shared" ref="T71:T128" si="59">IF(ISBLANK(S71),"",J71+K71-S71)</f>
        <v/>
      </c>
      <c r="U71" s="829"/>
      <c r="V71" s="829"/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IF($J71="","",IF(SUM(IF(ISNUMBER(VALUE(RIGHT($AG71:$CH71,1))),VALUE(RIGHT($AG71:$CH71,1)),0))=$J71,"T","F"))</f>
        <v/>
      </c>
      <c r="AE71" s="831" t="str">
        <f t="array" ref="AE71">IF($J71="","",SUM(IF(LEFT($AG71:$DT71,1)="s",1,0))-SUM(IF(RIGHT(LEFT($AG71:$DT71,2))="-",1,0)))</f>
        <v/>
      </c>
      <c r="AF71" s="816" t="str">
        <f t="array" ref="AF71">IF($J71="","",SUM(IF(LEFT($AG71:$CZ71,1)="X",1,0)))</f>
        <v/>
      </c>
      <c r="AG71" s="897"/>
      <c r="AH71" s="897"/>
      <c r="AI71" s="897"/>
      <c r="AJ71" s="893"/>
      <c r="AK71" s="897"/>
      <c r="AL71" s="897"/>
      <c r="AM71" s="897"/>
      <c r="AN71" s="897"/>
      <c r="AO71" s="897"/>
      <c r="AP71" s="897"/>
      <c r="AQ71" s="897"/>
      <c r="AR71" s="897"/>
      <c r="AS71" s="897"/>
      <c r="AT71" s="897"/>
      <c r="AU71" s="897"/>
      <c r="AV71" s="897"/>
      <c r="AW71" s="897"/>
      <c r="AX71" s="897"/>
      <c r="AY71" s="897"/>
      <c r="AZ71" s="897"/>
      <c r="BA71" s="897"/>
      <c r="BB71" s="897"/>
      <c r="BC71" s="893"/>
      <c r="BD71" s="893"/>
      <c r="BE71" s="893"/>
      <c r="BF71" s="893"/>
      <c r="BG71" s="897"/>
      <c r="BH71" s="897"/>
      <c r="BI71" s="897"/>
      <c r="BJ71" s="897"/>
      <c r="BL71" s="893"/>
      <c r="BM71" s="897"/>
      <c r="BN71" s="897"/>
      <c r="BO71" s="897"/>
      <c r="BP71" s="897"/>
      <c r="BQ71" s="897"/>
      <c r="BR71" s="897"/>
      <c r="BS71" s="897"/>
      <c r="BT71" s="897"/>
      <c r="BU71" s="897"/>
      <c r="BV71" s="897"/>
      <c r="BW71" s="897"/>
      <c r="BX71" s="897"/>
      <c r="BY71" s="897"/>
      <c r="BZ71" s="897"/>
      <c r="CA71" s="897"/>
      <c r="CB71" s="897"/>
      <c r="CC71" s="897"/>
    </row>
    <row r="72" spans="1:81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si="55"/>
        <v/>
      </c>
      <c r="M72" s="816" t="str">
        <f t="shared" si="56"/>
        <v/>
      </c>
      <c r="N72" s="816" t="str">
        <f t="shared" si="57"/>
        <v/>
      </c>
      <c r="R72" s="816" t="str">
        <f t="shared" si="58"/>
        <v/>
      </c>
      <c r="T72" s="829" t="str">
        <f t="shared" si="59"/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IF($J72="","",IF(SUM(IF(ISNUMBER(VALUE(RIGHT($AG72:$CH72,1))),VALUE(RIGHT($AG72:$CH72,1)),0))=$J72,"T","F"))</f>
        <v/>
      </c>
      <c r="AE72" s="831" t="str">
        <f t="array" ref="AE72">IF($J72="","",SUM(IF(LEFT($AG72:$DT72,1)="s",1,0))-SUM(IF(RIGHT(LEFT($AG72:$DT72,2))="-",1,0)))</f>
        <v/>
      </c>
      <c r="AF72" s="816" t="str">
        <f t="array" ref="AF72">IF($J72="","",SUM(IF(LEFT($AG72:$CZ72,1)="X",1,0)))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3"/>
      <c r="BD72" s="893"/>
      <c r="BE72" s="893"/>
      <c r="BF72" s="893"/>
      <c r="BG72" s="897"/>
      <c r="BH72" s="897"/>
      <c r="BI72" s="897"/>
      <c r="BJ72" s="897"/>
      <c r="BL72" s="893"/>
      <c r="BM72" s="897"/>
      <c r="BN72" s="897"/>
      <c r="BO72" s="897"/>
      <c r="BP72" s="897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</row>
    <row r="73" spans="1:81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55"/>
        <v/>
      </c>
      <c r="M73" s="816" t="str">
        <f t="shared" si="56"/>
        <v/>
      </c>
      <c r="N73" s="816" t="str">
        <f t="shared" si="57"/>
        <v/>
      </c>
      <c r="R73" s="816" t="str">
        <f t="shared" si="58"/>
        <v/>
      </c>
      <c r="T73" s="829" t="str">
        <f t="shared" si="59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IF($J73="","",IF(SUM(IF(ISNUMBER(VALUE(RIGHT($AG73:$CH73,1))),VALUE(RIGHT($AG73:$CH73,1)),0))=$J73,"T","F"))</f>
        <v/>
      </c>
      <c r="AE73" s="831" t="str">
        <f t="array" ref="AE73">IF($J73="","",SUM(IF(LEFT($AG73:$DT73,1)="s",1,0))-SUM(IF(RIGHT(LEFT($AG73:$DT73,2))="-",1,0)))</f>
        <v/>
      </c>
      <c r="AF73" s="816" t="str">
        <f t="array" ref="AF73">IF($J73="","",SUM(IF(LEFT($AG73:$CZ73,1)="X",1,0)))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3"/>
      <c r="BD73" s="893"/>
      <c r="BE73" s="893"/>
      <c r="BF73" s="893"/>
      <c r="BG73" s="897"/>
      <c r="BH73" s="897"/>
      <c r="BI73" s="897"/>
      <c r="BJ73" s="897"/>
      <c r="BK73" s="893"/>
      <c r="BL73" s="897"/>
      <c r="BM73" s="897"/>
      <c r="BN73" s="897"/>
      <c r="BO73" s="893"/>
      <c r="BP73" s="897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</row>
    <row r="74" spans="1:81" ht="15">
      <c r="A74" s="844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230"/>
      <c r="H74" s="230"/>
      <c r="I74" s="230"/>
      <c r="J74" s="428"/>
      <c r="K74" s="428"/>
      <c r="L74" s="816" t="str">
        <f t="shared" si="55"/>
        <v/>
      </c>
      <c r="M74" s="816" t="str">
        <f t="shared" si="56"/>
        <v/>
      </c>
      <c r="N74" s="816" t="str">
        <f t="shared" si="57"/>
        <v/>
      </c>
      <c r="R74" s="816" t="str">
        <f t="shared" si="58"/>
        <v/>
      </c>
      <c r="T74" s="829" t="str">
        <f t="shared" si="59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IF($J74="","",IF(SUM(IF(ISNUMBER(VALUE(RIGHT($AG74:$CH74,1))),VALUE(RIGHT($AG74:$CH74,1)),0))=$J74,"T","F"))</f>
        <v/>
      </c>
      <c r="AE74" s="831" t="str">
        <f t="array" ref="AE74">IF($J74="","",SUM(IF(LEFT($AG74:$DT74,1)="s",1,0))-SUM(IF(RIGHT(LEFT($AG74:$DT74,2))="-",1,0)))</f>
        <v/>
      </c>
      <c r="AF74" s="816" t="str">
        <f t="array" ref="AF74">IF($J74="","",SUM(IF(LEFT($AG74:$CZ74,1)="X",1,0)))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3"/>
      <c r="BD74" s="893"/>
      <c r="BE74" s="893"/>
      <c r="BF74" s="893"/>
      <c r="BG74" s="897"/>
      <c r="BH74" s="897"/>
      <c r="BI74" s="897"/>
      <c r="BJ74" s="897"/>
      <c r="BK74" s="893"/>
      <c r="BL74" s="897"/>
      <c r="BM74" s="897"/>
      <c r="BN74" s="897"/>
      <c r="BO74" s="893"/>
      <c r="BP74" s="897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</row>
    <row r="75" spans="1:81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55"/>
        <v/>
      </c>
      <c r="M75" s="816" t="str">
        <f t="shared" si="56"/>
        <v/>
      </c>
      <c r="N75" s="816" t="str">
        <f t="shared" si="57"/>
        <v/>
      </c>
      <c r="R75" s="816" t="str">
        <f t="shared" si="58"/>
        <v/>
      </c>
      <c r="T75" s="829" t="str">
        <f t="shared" si="59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IF($J75="","",IF(SUM(IF(ISNUMBER(VALUE(RIGHT($AG75:$CH75,1))),VALUE(RIGHT($AG75:$CH75,1)),0))=$J75,"T","F"))</f>
        <v/>
      </c>
      <c r="AE75" s="831" t="str">
        <f t="array" ref="AE75">IF($J75="","",SUM(IF(LEFT($AG75:$DT75,1)="s",1,0))-SUM(IF(RIGHT(LEFT($AG75:$DT75,2))="-",1,0)))</f>
        <v/>
      </c>
      <c r="AF75" s="816" t="str">
        <f t="array" ref="AF75">IF($J75="","",SUM(IF(LEFT($AG75:$CZ75,1)="X",1,0)))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3"/>
      <c r="BD75" s="893"/>
      <c r="BE75" s="893"/>
      <c r="BF75" s="893"/>
      <c r="BG75" s="897"/>
      <c r="BH75" s="897"/>
      <c r="BI75" s="897"/>
      <c r="BJ75" s="897"/>
      <c r="BK75" s="893"/>
      <c r="BL75" s="897"/>
      <c r="BM75" s="897"/>
      <c r="BN75" s="897"/>
      <c r="BO75" s="893"/>
      <c r="BP75" s="897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</row>
    <row r="76" spans="1:81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230"/>
      <c r="K76" s="230"/>
      <c r="L76" s="816" t="str">
        <f t="shared" si="55"/>
        <v/>
      </c>
      <c r="M76" s="816" t="str">
        <f t="shared" si="56"/>
        <v/>
      </c>
      <c r="N76" s="816" t="str">
        <f t="shared" si="57"/>
        <v/>
      </c>
      <c r="R76" s="816" t="str">
        <f t="shared" si="58"/>
        <v/>
      </c>
      <c r="T76" s="829" t="str">
        <f t="shared" si="59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IF($J76="","",IF(SUM(IF(ISNUMBER(VALUE(RIGHT($AG76:$CH76,1))),VALUE(RIGHT($AG76:$CH76,1)),0))=$J76,"T","F"))</f>
        <v/>
      </c>
      <c r="AE76" s="831" t="str">
        <f t="array" ref="AE76">IF($J76="","",SUM(IF(LEFT($AG76:$DT76,1)="s",1,0))-SUM(IF(RIGHT(LEFT($AG76:$DT76,2))="-",1,0)))</f>
        <v/>
      </c>
      <c r="AF76" s="816" t="str">
        <f t="array" ref="AF76">IF($J76="","",SUM(IF(LEFT($AG76:$CZ76,1)="X",1,0)))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3"/>
      <c r="BD76" s="893"/>
      <c r="BE76" s="893"/>
      <c r="BF76" s="893"/>
      <c r="BG76" s="897"/>
      <c r="BH76" s="897"/>
      <c r="BI76" s="897"/>
      <c r="BJ76" s="897"/>
      <c r="BK76" s="893"/>
      <c r="BL76" s="897"/>
      <c r="BM76" s="897"/>
      <c r="BN76" s="897"/>
      <c r="BO76" s="893"/>
      <c r="BP76" s="897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</row>
    <row r="77" spans="1:81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5"/>
        <v/>
      </c>
      <c r="M77" s="816" t="str">
        <f t="shared" si="56"/>
        <v/>
      </c>
      <c r="N77" s="816" t="str">
        <f t="shared" si="57"/>
        <v/>
      </c>
      <c r="R77" s="816" t="str">
        <f t="shared" si="58"/>
        <v/>
      </c>
      <c r="T77" s="829" t="str">
        <f t="shared" si="59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IF($J77="","",IF(SUM(IF(ISNUMBER(VALUE(RIGHT($AG77:$CH77,1))),VALUE(RIGHT($AG77:$CH77,1)),0))=$J77,"T","F"))</f>
        <v/>
      </c>
      <c r="AE77" s="831" t="str">
        <f t="array" ref="AE77">IF($J77="","",SUM(IF(LEFT($AG77:$DT77,1)="s",1,0))-SUM(IF(RIGHT(LEFT($AG77:$DT77,2))="-",1,0)))</f>
        <v/>
      </c>
      <c r="AF77" s="816" t="str">
        <f t="array" ref="AF77">IF($J77="","",SUM(IF(LEFT($AG77:$CZ77,1)="X",1,0)))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3"/>
      <c r="BD77" s="893"/>
      <c r="BE77" s="893"/>
      <c r="BF77" s="893"/>
      <c r="BG77" s="897"/>
      <c r="BH77" s="897"/>
      <c r="BI77" s="897"/>
      <c r="BJ77" s="897"/>
      <c r="BK77" s="893"/>
      <c r="BL77" s="897"/>
      <c r="BM77" s="897"/>
      <c r="BN77" s="897"/>
      <c r="BO77" s="893"/>
      <c r="BP77" s="897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</row>
    <row r="78" spans="1:81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5"/>
        <v/>
      </c>
      <c r="M78" s="816" t="str">
        <f t="shared" si="56"/>
        <v/>
      </c>
      <c r="N78" s="816" t="str">
        <f t="shared" si="57"/>
        <v/>
      </c>
      <c r="R78" s="816" t="str">
        <f t="shared" si="58"/>
        <v/>
      </c>
      <c r="T78" s="829" t="str">
        <f t="shared" si="59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IF($J78="","",IF(SUM(IF(ISNUMBER(VALUE(RIGHT($AG78:$CH78,1))),VALUE(RIGHT($AG78:$CH78,1)),0))=$J78,"T","F"))</f>
        <v/>
      </c>
      <c r="AE78" s="831" t="str">
        <f t="array" ref="AE78">IF($J78="","",SUM(IF(LEFT($AG78:$DT78,1)="s",1,0))-SUM(IF(RIGHT(LEFT($AG78:$DT78,2))="-",1,0)))</f>
        <v/>
      </c>
      <c r="AF78" s="816" t="str">
        <f t="array" ref="AF78">IF($J78="","",SUM(IF(LEFT($AG78:$CZ78,1)="X",1,0)))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3"/>
      <c r="BD78" s="893"/>
      <c r="BE78" s="893"/>
      <c r="BF78" s="893"/>
      <c r="BG78" s="897"/>
      <c r="BH78" s="897"/>
      <c r="BI78" s="897"/>
      <c r="BJ78" s="897"/>
      <c r="BK78" s="893"/>
      <c r="BL78" s="897"/>
      <c r="BM78" s="897"/>
      <c r="BN78" s="897"/>
      <c r="BO78" s="893"/>
      <c r="BP78" s="897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</row>
    <row r="79" spans="1:81" ht="15">
      <c r="A79" s="844"/>
      <c r="D79" s="816" t="str">
        <f>IF(I79=Table!$C$1,VLOOKUP(G79,Table!$B$38:$AO$61,Table!$AO$35-1,FALSE),"")</f>
        <v/>
      </c>
      <c r="E79" s="816" t="s">
        <v>32</v>
      </c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5"/>
        <v/>
      </c>
      <c r="M79" s="816" t="str">
        <f t="shared" si="56"/>
        <v/>
      </c>
      <c r="N79" s="816" t="str">
        <f t="shared" si="57"/>
        <v/>
      </c>
      <c r="R79" s="816" t="str">
        <f t="shared" si="58"/>
        <v/>
      </c>
      <c r="T79" s="829" t="str">
        <f t="shared" si="59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IF($J79="","",IF(SUM(IF(ISNUMBER(VALUE(RIGHT($AG79:$CH79,1))),VALUE(RIGHT($AG79:$CH79,1)),0))=$J79,"T","F"))</f>
        <v/>
      </c>
      <c r="AE79" s="831" t="str">
        <f t="array" ref="AE79">IF($J79="","",SUM(IF(LEFT($AG79:$DT79,1)="s",1,0))-SUM(IF(RIGHT(LEFT($AG79:$DT79,2))="-",1,0)))</f>
        <v/>
      </c>
      <c r="AF79" s="816" t="str">
        <f t="array" ref="AF79">IF($J79="","",SUM(IF(LEFT($AG79:$CZ79,1)="X",1,0)))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3"/>
      <c r="BD79" s="893"/>
      <c r="BE79" s="893"/>
      <c r="BF79" s="893"/>
      <c r="BG79" s="897"/>
      <c r="BH79" s="897"/>
      <c r="BI79" s="897"/>
      <c r="BJ79" s="897"/>
      <c r="BK79" s="893"/>
      <c r="BL79" s="897"/>
      <c r="BM79" s="897"/>
      <c r="BN79" s="897"/>
      <c r="BO79" s="893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</row>
    <row r="80" spans="1:81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5"/>
        <v/>
      </c>
      <c r="M80" s="816" t="str">
        <f t="shared" si="56"/>
        <v/>
      </c>
      <c r="N80" s="816" t="str">
        <f t="shared" si="57"/>
        <v/>
      </c>
      <c r="R80" s="816" t="str">
        <f t="shared" si="58"/>
        <v/>
      </c>
      <c r="T80" s="829" t="str">
        <f t="shared" si="59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IF($J80="","",IF(SUM(IF(ISNUMBER(VALUE(RIGHT($AG80:$CH80,1))),VALUE(RIGHT($AG80:$CH80,1)),0))=$J80,"T","F"))</f>
        <v/>
      </c>
      <c r="AE80" s="831" t="str">
        <f t="array" ref="AE80">IF($J80="","",SUM(IF(LEFT($AG80:$DT80,1)="s",1,0))-SUM(IF(RIGHT(LEFT($AG80:$DT80,2))="-",1,0)))</f>
        <v/>
      </c>
      <c r="AF80" s="816" t="str">
        <f t="array" ref="AF80">IF($J80="","",SUM(IF(LEFT($AG80:$CZ80,1)="X",1,0)))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3"/>
      <c r="BD80" s="893"/>
      <c r="BE80" s="893"/>
      <c r="BF80" s="893"/>
      <c r="BG80" s="897"/>
      <c r="BH80" s="897"/>
      <c r="BI80" s="897"/>
      <c r="BJ80" s="897"/>
      <c r="BK80" s="893"/>
      <c r="BL80" s="897"/>
      <c r="BM80" s="897"/>
      <c r="BN80" s="897"/>
      <c r="BO80" s="893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</row>
    <row r="81" spans="1:81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5"/>
        <v/>
      </c>
      <c r="M81" s="816" t="str">
        <f t="shared" si="56"/>
        <v/>
      </c>
      <c r="N81" s="816" t="str">
        <f t="shared" si="57"/>
        <v/>
      </c>
      <c r="R81" s="816" t="str">
        <f t="shared" si="58"/>
        <v/>
      </c>
      <c r="T81" s="829" t="str">
        <f t="shared" si="59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IF($J81="","",IF(SUM(IF(ISNUMBER(VALUE(RIGHT($AG81:$CH81,1))),VALUE(RIGHT($AG81:$CH81,1)),0))=$J81,"T","F"))</f>
        <v/>
      </c>
      <c r="AE81" s="831" t="str">
        <f t="array" ref="AE81">IF($J81="","",SUM(IF(LEFT($AG81:$DT81,1)="s",1,0))-SUM(IF(RIGHT(LEFT($AG81:$DT81,2))="-",1,0)))</f>
        <v/>
      </c>
      <c r="AF81" s="816" t="str">
        <f t="array" ref="AF81">IF($J81="","",SUM(IF(LEFT($AG81:$CZ81,1)="X",1,0)))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3"/>
      <c r="BD81" s="893"/>
      <c r="BE81" s="893"/>
      <c r="BF81" s="893"/>
      <c r="BG81" s="897"/>
      <c r="BH81" s="897"/>
      <c r="BI81" s="897"/>
      <c r="BJ81" s="897"/>
      <c r="BK81" s="893"/>
      <c r="BL81" s="897"/>
      <c r="BM81" s="897"/>
      <c r="BN81" s="897"/>
      <c r="BO81" s="893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</row>
    <row r="82" spans="1:81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5"/>
        <v/>
      </c>
      <c r="M82" s="816" t="str">
        <f t="shared" si="56"/>
        <v/>
      </c>
      <c r="N82" s="816" t="str">
        <f t="shared" si="57"/>
        <v/>
      </c>
      <c r="R82" s="816" t="str">
        <f t="shared" si="58"/>
        <v/>
      </c>
      <c r="T82" s="829" t="str">
        <f t="shared" si="59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IF($J82="","",IF(SUM(IF(ISNUMBER(VALUE(RIGHT($AG82:$CH82,1))),VALUE(RIGHT($AG82:$CH82,1)),0))=$J82,"T","F"))</f>
        <v/>
      </c>
      <c r="AE82" s="831" t="str">
        <f t="array" ref="AE82">IF($J82="","",SUM(IF(LEFT($AG82:$DT82,1)="s",1,0))-SUM(IF(RIGHT(LEFT($AG82:$DT82,2))="-",1,0)))</f>
        <v/>
      </c>
      <c r="AF82" s="816" t="str">
        <f t="array" ref="AF82">IF($J82="","",SUM(IF(LEFT($AG82:$CZ82,1)="X",1,0)))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3"/>
      <c r="BD82" s="893"/>
      <c r="BE82" s="893"/>
      <c r="BF82" s="893"/>
      <c r="BG82" s="897"/>
      <c r="BH82" s="897"/>
      <c r="BI82" s="897"/>
      <c r="BJ82" s="897"/>
      <c r="BK82" s="893"/>
      <c r="BL82" s="897"/>
      <c r="BM82" s="897"/>
      <c r="BN82" s="897"/>
      <c r="BO82" s="893"/>
      <c r="BP82" s="897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</row>
    <row r="83" spans="1:81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5"/>
        <v/>
      </c>
      <c r="M83" s="816" t="str">
        <f t="shared" si="56"/>
        <v/>
      </c>
      <c r="N83" s="816" t="str">
        <f t="shared" si="57"/>
        <v/>
      </c>
      <c r="R83" s="816" t="str">
        <f t="shared" si="58"/>
        <v/>
      </c>
      <c r="T83" s="829" t="str">
        <f t="shared" si="59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IF($J83="","",IF(SUM(IF(ISNUMBER(VALUE(RIGHT($AG83:$CH83,1))),VALUE(RIGHT($AG83:$CH83,1)),0))=$J83,"T","F"))</f>
        <v/>
      </c>
      <c r="AE83" s="831" t="str">
        <f t="array" ref="AE83">IF($J83="","",SUM(IF(LEFT($AG83:$DT83,1)="s",1,0))-SUM(IF(RIGHT(LEFT($AG83:$DT83,2))="-",1,0)))</f>
        <v/>
      </c>
      <c r="AF83" s="816" t="str">
        <f t="array" ref="AF83">IF($J83="","",SUM(IF(LEFT($AG83:$CZ83,1)="X",1,0)))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3"/>
      <c r="BD83" s="893"/>
      <c r="BE83" s="893"/>
      <c r="BF83" s="893"/>
      <c r="BG83" s="897"/>
      <c r="BH83" s="897"/>
      <c r="BI83" s="897"/>
      <c r="BJ83" s="897"/>
      <c r="BK83" s="893"/>
      <c r="BL83" s="897"/>
      <c r="BM83" s="897"/>
      <c r="BN83" s="897"/>
      <c r="BO83" s="893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</row>
    <row r="84" spans="1:81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787"/>
      <c r="H84" s="833"/>
      <c r="I84" s="833"/>
      <c r="J84" s="833"/>
      <c r="K84" s="833"/>
      <c r="L84" s="816" t="str">
        <f t="shared" si="55"/>
        <v/>
      </c>
      <c r="M84" s="816" t="str">
        <f t="shared" si="56"/>
        <v/>
      </c>
      <c r="N84" s="816" t="str">
        <f t="shared" si="57"/>
        <v/>
      </c>
      <c r="R84" s="816" t="str">
        <f t="shared" si="58"/>
        <v/>
      </c>
      <c r="T84" s="829" t="str">
        <f t="shared" si="59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IF($J84="","",IF(SUM(IF(ISNUMBER(VALUE(RIGHT($AG84:$CH84,1))),VALUE(RIGHT($AG84:$CH84,1)),0))=$J84,"T","F"))</f>
        <v/>
      </c>
      <c r="AE84" s="831" t="str">
        <f t="array" ref="AE84">IF($J84="","",SUM(IF(LEFT($AG84:$DT84,1)="s",1,0))-SUM(IF(RIGHT(LEFT($AG84:$DT84,2))="-",1,0)))</f>
        <v/>
      </c>
      <c r="AF84" s="816" t="str">
        <f t="array" ref="AF84">IF($J84="","",SUM(IF(LEFT($AG84:$CZ84,1)="X",1,0)))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3"/>
      <c r="BD84" s="893"/>
      <c r="BE84" s="893"/>
      <c r="BF84" s="893"/>
      <c r="BG84" s="897"/>
      <c r="BH84" s="897"/>
      <c r="BI84" s="897"/>
      <c r="BJ84" s="897"/>
      <c r="BK84" s="893"/>
      <c r="BL84" s="897"/>
      <c r="BM84" s="897"/>
      <c r="BN84" s="897"/>
      <c r="BO84" s="893"/>
      <c r="BP84" s="897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</row>
    <row r="85" spans="1:81" ht="15">
      <c r="A85" s="845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833"/>
      <c r="H85" s="833"/>
      <c r="I85" s="833"/>
      <c r="J85" s="833"/>
      <c r="K85" s="833"/>
      <c r="L85" s="816" t="str">
        <f t="shared" si="55"/>
        <v/>
      </c>
      <c r="M85" s="816" t="str">
        <f t="shared" si="56"/>
        <v/>
      </c>
      <c r="N85" s="816" t="str">
        <f t="shared" si="57"/>
        <v/>
      </c>
      <c r="R85" s="816" t="str">
        <f t="shared" si="58"/>
        <v/>
      </c>
      <c r="T85" s="829" t="str">
        <f t="shared" si="59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IF($J85="","",IF(SUM(IF(ISNUMBER(VALUE(RIGHT($AG85:$CH85,1))),VALUE(RIGHT($AG85:$CH85,1)),0))=$J85,"T","F"))</f>
        <v/>
      </c>
      <c r="AE85" s="831" t="str">
        <f t="array" ref="AE85">IF($J85="","",SUM(IF(LEFT($AG85:$DT85,1)="s",1,0))-SUM(IF(RIGHT(LEFT($AG85:$DT85,2))="-",1,0)))</f>
        <v/>
      </c>
      <c r="AF85" s="816" t="str">
        <f t="array" ref="AF85">IF($J85="","",SUM(IF(LEFT($AG85:$CZ85,1)="X",1,0)))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3"/>
      <c r="BD85" s="893"/>
      <c r="BE85" s="893"/>
      <c r="BF85" s="893"/>
      <c r="BG85" s="897"/>
      <c r="BH85" s="897"/>
      <c r="BI85" s="897"/>
      <c r="BJ85" s="897"/>
      <c r="BK85" s="893"/>
      <c r="BL85" s="897"/>
      <c r="BM85" s="897"/>
      <c r="BN85" s="897"/>
      <c r="BO85" s="893"/>
      <c r="BP85" s="897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</row>
    <row r="86" spans="1:81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5"/>
        <v/>
      </c>
      <c r="M86" s="816" t="str">
        <f t="shared" si="56"/>
        <v/>
      </c>
      <c r="N86" s="816" t="str">
        <f t="shared" si="57"/>
        <v/>
      </c>
      <c r="R86" s="816" t="str">
        <f t="shared" si="58"/>
        <v/>
      </c>
      <c r="T86" s="829" t="str">
        <f t="shared" si="59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IF($J86="","",IF(SUM(IF(ISNUMBER(VALUE(RIGHT($AG86:$CH86,1))),VALUE(RIGHT($AG86:$CH86,1)),0))=$J86,"T","F"))</f>
        <v/>
      </c>
      <c r="AE86" s="831" t="str">
        <f t="array" ref="AE86">IF($J86="","",SUM(IF(LEFT($AG86:$DT86,1)="s",1,0))-SUM(IF(RIGHT(LEFT($AG86:$DT86,2))="-",1,0)))</f>
        <v/>
      </c>
      <c r="AF86" s="816" t="str">
        <f t="array" ref="AF86">IF($J86="","",SUM(IF(LEFT($AG86:$CZ86,1)="X",1,0)))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3"/>
      <c r="BD86" s="893"/>
      <c r="BE86" s="893"/>
      <c r="BF86" s="893"/>
      <c r="BG86" s="897"/>
      <c r="BH86" s="897"/>
      <c r="BI86" s="897"/>
      <c r="BJ86" s="897"/>
      <c r="BK86" s="893"/>
      <c r="BL86" s="897"/>
      <c r="BM86" s="897"/>
      <c r="BN86" s="897"/>
      <c r="BO86" s="893"/>
      <c r="BP86" s="897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</row>
    <row r="87" spans="1:81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5"/>
        <v/>
      </c>
      <c r="M87" s="816" t="str">
        <f t="shared" si="56"/>
        <v/>
      </c>
      <c r="N87" s="816" t="str">
        <f t="shared" si="57"/>
        <v/>
      </c>
      <c r="R87" s="816" t="str">
        <f t="shared" si="58"/>
        <v/>
      </c>
      <c r="T87" s="829" t="str">
        <f t="shared" si="59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IF($J87="","",IF(SUM(IF(ISNUMBER(VALUE(RIGHT($AG87:$CH87,1))),VALUE(RIGHT($AG87:$CH87,1)),0))=$J87,"T","F"))</f>
        <v/>
      </c>
      <c r="AE87" s="831" t="str">
        <f t="array" ref="AE87">IF($J87="","",SUM(IF(LEFT($AG87:$DT87,1)="s",1,0))-SUM(IF(RIGHT(LEFT($AG87:$DT87,2))="-",1,0)))</f>
        <v/>
      </c>
      <c r="AF87" s="816" t="str">
        <f t="array" ref="AF87">IF($J87="","",SUM(IF(LEFT($AG87:$CZ87,1)="X",1,0)))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3"/>
      <c r="BD87" s="893"/>
      <c r="BE87" s="893"/>
      <c r="BF87" s="893"/>
      <c r="BG87" s="897"/>
      <c r="BH87" s="897"/>
      <c r="BI87" s="897"/>
      <c r="BJ87" s="897"/>
      <c r="BK87" s="893"/>
      <c r="BL87" s="897"/>
      <c r="BM87" s="897"/>
      <c r="BN87" s="897"/>
      <c r="BO87" s="893"/>
      <c r="BP87" s="897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</row>
    <row r="88" spans="1:81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5"/>
        <v/>
      </c>
      <c r="M88" s="816" t="str">
        <f t="shared" si="56"/>
        <v/>
      </c>
      <c r="N88" s="816" t="str">
        <f t="shared" si="57"/>
        <v/>
      </c>
      <c r="R88" s="816" t="str">
        <f t="shared" si="58"/>
        <v/>
      </c>
      <c r="T88" s="829" t="str">
        <f t="shared" si="59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IF($J88="","",IF(SUM(IF(ISNUMBER(VALUE(RIGHT($AG88:$CH88,1))),VALUE(RIGHT($AG88:$CH88,1)),0))=$J88,"T","F"))</f>
        <v/>
      </c>
      <c r="AE88" s="831" t="str">
        <f t="array" ref="AE88">IF($J88="","",SUM(IF(LEFT($AG88:$DT88,1)="s",1,0))-SUM(IF(RIGHT(LEFT($AG88:$DT88,2))="-",1,0)))</f>
        <v/>
      </c>
      <c r="AF88" s="816" t="str">
        <f t="array" ref="AF88">IF($J88="","",SUM(IF(LEFT($AG88:$CZ88,1)="X",1,0)))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3"/>
      <c r="BD88" s="893"/>
      <c r="BE88" s="893"/>
      <c r="BF88" s="893"/>
      <c r="BG88" s="897"/>
      <c r="BH88" s="897"/>
      <c r="BI88" s="897"/>
      <c r="BJ88" s="897"/>
      <c r="BK88" s="893"/>
      <c r="BL88" s="897"/>
      <c r="BM88" s="897"/>
      <c r="BN88" s="897"/>
      <c r="BO88" s="893"/>
      <c r="BP88" s="897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</row>
    <row r="89" spans="1:81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5"/>
        <v/>
      </c>
      <c r="M89" s="816" t="str">
        <f t="shared" si="56"/>
        <v/>
      </c>
      <c r="N89" s="816" t="str">
        <f t="shared" si="57"/>
        <v/>
      </c>
      <c r="R89" s="816" t="str">
        <f t="shared" si="58"/>
        <v/>
      </c>
      <c r="T89" s="829" t="str">
        <f t="shared" si="59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IF($J89="","",IF(SUM(IF(ISNUMBER(VALUE(RIGHT($AG89:$CH89,1))),VALUE(RIGHT($AG89:$CH89,1)),0))=$J89,"T","F"))</f>
        <v/>
      </c>
      <c r="AE89" s="831" t="str">
        <f t="array" ref="AE89">IF($J89="","",SUM(IF(LEFT($AG89:$DT89,1)="s",1,0))-SUM(IF(RIGHT(LEFT($AG89:$DT89,2))="-",1,0)))</f>
        <v/>
      </c>
      <c r="AF89" s="816" t="str">
        <f t="array" ref="AF89">IF($J89="","",SUM(IF(LEFT($AG89:$CZ89,1)="X",1,0)))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3"/>
      <c r="BD89" s="893"/>
      <c r="BE89" s="893"/>
      <c r="BF89" s="893"/>
      <c r="BG89" s="897"/>
      <c r="BH89" s="897"/>
      <c r="BI89" s="897"/>
      <c r="BJ89" s="897"/>
      <c r="BK89" s="893"/>
      <c r="BL89" s="897"/>
      <c r="BM89" s="897"/>
      <c r="BN89" s="897"/>
      <c r="BO89" s="893"/>
      <c r="BP89" s="897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</row>
    <row r="90" spans="1:81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5"/>
        <v/>
      </c>
      <c r="M90" s="816" t="str">
        <f t="shared" si="56"/>
        <v/>
      </c>
      <c r="N90" s="816" t="str">
        <f t="shared" si="57"/>
        <v/>
      </c>
      <c r="R90" s="816" t="str">
        <f t="shared" si="58"/>
        <v/>
      </c>
      <c r="T90" s="829" t="str">
        <f t="shared" si="59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IF($J90="","",IF(SUM(IF(ISNUMBER(VALUE(RIGHT($AG90:$CH90,1))),VALUE(RIGHT($AG90:$CH90,1)),0))=$J90,"T","F"))</f>
        <v/>
      </c>
      <c r="AE90" s="831" t="str">
        <f t="array" ref="AE90">IF($J90="","",SUM(IF(LEFT($AG90:$DT90,1)="s",1,0))-SUM(IF(RIGHT(LEFT($AG90:$DT90,2))="-",1,0)))</f>
        <v/>
      </c>
      <c r="AF90" s="816" t="str">
        <f t="array" ref="AF90">IF($J90="","",SUM(IF(LEFT($AG90:$CZ90,1)="X",1,0)))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3"/>
      <c r="BD90" s="893"/>
      <c r="BE90" s="893"/>
      <c r="BF90" s="893"/>
      <c r="BG90" s="897"/>
      <c r="BH90" s="897"/>
      <c r="BI90" s="897"/>
      <c r="BJ90" s="897"/>
      <c r="BK90" s="893"/>
      <c r="BL90" s="897"/>
      <c r="BM90" s="897"/>
      <c r="BN90" s="897"/>
      <c r="BO90" s="893"/>
      <c r="BP90" s="897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</row>
    <row r="91" spans="1:81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5"/>
        <v/>
      </c>
      <c r="M91" s="816" t="str">
        <f t="shared" si="56"/>
        <v/>
      </c>
      <c r="N91" s="816" t="str">
        <f t="shared" si="57"/>
        <v/>
      </c>
      <c r="R91" s="816" t="str">
        <f t="shared" si="58"/>
        <v/>
      </c>
      <c r="T91" s="829" t="str">
        <f t="shared" si="59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IF($J91="","",IF(SUM(IF(ISNUMBER(VALUE(RIGHT($AG91:$CH91,1))),VALUE(RIGHT($AG91:$CH91,1)),0))=$J91,"T","F"))</f>
        <v/>
      </c>
      <c r="AE91" s="831" t="str">
        <f t="array" ref="AE91">IF($J91="","",SUM(IF(LEFT($AG91:$DT91,1)="s",1,0))-SUM(IF(RIGHT(LEFT($AG91:$DT91,2))="-",1,0)))</f>
        <v/>
      </c>
      <c r="AF91" s="816" t="str">
        <f t="array" ref="AF91">IF($J91="","",SUM(IF(LEFT($AG91:$CZ91,1)="X",1,0)))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3"/>
      <c r="BD91" s="893"/>
      <c r="BE91" s="893"/>
      <c r="BF91" s="893"/>
      <c r="BG91" s="897"/>
      <c r="BH91" s="897"/>
      <c r="BI91" s="897"/>
      <c r="BJ91" s="897"/>
      <c r="BK91" s="893"/>
      <c r="BL91" s="897"/>
      <c r="BM91" s="897"/>
      <c r="BN91" s="897"/>
      <c r="BO91" s="893"/>
      <c r="BP91" s="897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</row>
    <row r="92" spans="1:81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5"/>
        <v/>
      </c>
      <c r="M92" s="816" t="str">
        <f t="shared" si="56"/>
        <v/>
      </c>
      <c r="N92" s="816" t="str">
        <f t="shared" si="57"/>
        <v/>
      </c>
      <c r="R92" s="816" t="str">
        <f t="shared" si="58"/>
        <v/>
      </c>
      <c r="T92" s="829" t="str">
        <f t="shared" si="59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IF($J92="","",IF(SUM(IF(ISNUMBER(VALUE(RIGHT($AG92:$CH92,1))),VALUE(RIGHT($AG92:$CH92,1)),0))=$J92,"T","F"))</f>
        <v/>
      </c>
      <c r="AE92" s="831" t="str">
        <f t="array" ref="AE92">IF($J92="","",SUM(IF(LEFT($AG92:$DT92,1)="s",1,0))-SUM(IF(RIGHT(LEFT($AG92:$DT92,2))="-",1,0)))</f>
        <v/>
      </c>
      <c r="AF92" s="816" t="str">
        <f t="array" ref="AF92">IF($J92="","",SUM(IF(LEFT($AG92:$CZ92,1)="X",1,0)))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3"/>
      <c r="BD92" s="893"/>
      <c r="BE92" s="893"/>
      <c r="BF92" s="893"/>
      <c r="BG92" s="897"/>
      <c r="BH92" s="897"/>
      <c r="BI92" s="897"/>
      <c r="BJ92" s="897"/>
      <c r="BK92" s="893"/>
      <c r="BL92" s="897"/>
      <c r="BM92" s="897"/>
      <c r="BN92" s="897"/>
      <c r="BO92" s="893"/>
      <c r="BP92" s="897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</row>
    <row r="93" spans="1:81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5"/>
        <v/>
      </c>
      <c r="M93" s="816" t="str">
        <f t="shared" si="56"/>
        <v/>
      </c>
      <c r="N93" s="816" t="str">
        <f t="shared" si="57"/>
        <v/>
      </c>
      <c r="R93" s="816" t="str">
        <f t="shared" si="58"/>
        <v/>
      </c>
      <c r="T93" s="829" t="str">
        <f t="shared" si="59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IF($J93="","",IF(SUM(IF(ISNUMBER(VALUE(RIGHT($AG93:$CH93,1))),VALUE(RIGHT($AG93:$CH93,1)),0))=$J93,"T","F"))</f>
        <v/>
      </c>
      <c r="AE93" s="831" t="str">
        <f t="array" ref="AE93">IF($J93="","",SUM(IF(LEFT($AG93:$DT93,1)="s",1,0))-SUM(IF(RIGHT(LEFT($AG93:$DT93,2))="-",1,0)))</f>
        <v/>
      </c>
      <c r="AF93" s="816" t="str">
        <f t="array" ref="AF93">IF($J93="","",SUM(IF(LEFT($AG93:$CZ93,1)="X",1,0)))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3"/>
      <c r="BD93" s="893"/>
      <c r="BE93" s="893"/>
      <c r="BF93" s="893"/>
      <c r="BG93" s="897"/>
      <c r="BH93" s="897"/>
      <c r="BI93" s="897"/>
      <c r="BJ93" s="897"/>
      <c r="BK93" s="893"/>
      <c r="BL93" s="897"/>
      <c r="BM93" s="897"/>
      <c r="BN93" s="897"/>
      <c r="BO93" s="893"/>
      <c r="BP93" s="897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</row>
    <row r="94" spans="1:81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5"/>
        <v/>
      </c>
      <c r="M94" s="816" t="str">
        <f t="shared" si="56"/>
        <v/>
      </c>
      <c r="N94" s="816" t="str">
        <f t="shared" si="57"/>
        <v/>
      </c>
      <c r="R94" s="816" t="str">
        <f t="shared" si="58"/>
        <v/>
      </c>
      <c r="T94" s="829" t="str">
        <f t="shared" si="59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IF($J94="","",IF(SUM(IF(ISNUMBER(VALUE(RIGHT($AG94:$CH94,1))),VALUE(RIGHT($AG94:$CH94,1)),0))=$J94,"T","F"))</f>
        <v/>
      </c>
      <c r="AE94" s="831" t="str">
        <f t="array" ref="AE94">IF($J94="","",SUM(IF(LEFT($AG94:$DT94,1)="s",1,0))-SUM(IF(RIGHT(LEFT($AG94:$DT94,2))="-",1,0)))</f>
        <v/>
      </c>
      <c r="AF94" s="816" t="str">
        <f t="array" ref="AF94">IF($J94="","",SUM(IF(LEFT($AG94:$CZ94,1)="X",1,0)))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3"/>
      <c r="BD94" s="893"/>
      <c r="BE94" s="893"/>
      <c r="BF94" s="893"/>
      <c r="BG94" s="897"/>
      <c r="BH94" s="897"/>
      <c r="BI94" s="897"/>
      <c r="BJ94" s="897"/>
      <c r="BK94" s="893"/>
      <c r="BL94" s="897"/>
      <c r="BM94" s="897"/>
      <c r="BN94" s="897"/>
      <c r="BO94" s="893"/>
      <c r="BP94" s="897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</row>
    <row r="95" spans="1:81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5"/>
        <v/>
      </c>
      <c r="M95" s="816" t="str">
        <f t="shared" si="56"/>
        <v/>
      </c>
      <c r="N95" s="816" t="str">
        <f t="shared" si="57"/>
        <v/>
      </c>
      <c r="R95" s="816" t="str">
        <f t="shared" si="58"/>
        <v/>
      </c>
      <c r="T95" s="829" t="str">
        <f t="shared" si="59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IF($J95="","",IF(SUM(IF(ISNUMBER(VALUE(RIGHT($AG95:$CH95,1))),VALUE(RIGHT($AG95:$CH95,1)),0))=$J95,"T","F"))</f>
        <v/>
      </c>
      <c r="AE95" s="831" t="str">
        <f t="array" ref="AE95">IF($J95="","",SUM(IF(LEFT($AG95:$DT95,1)="s",1,0))-SUM(IF(RIGHT(LEFT($AG95:$DT95,2))="-",1,0)))</f>
        <v/>
      </c>
      <c r="AF95" s="816" t="str">
        <f t="array" ref="AF95">IF($J95="","",SUM(IF(LEFT($AG95:$CZ95,1)="X",1,0)))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3"/>
      <c r="BD95" s="893"/>
      <c r="BE95" s="893"/>
      <c r="BF95" s="893"/>
      <c r="BG95" s="897"/>
      <c r="BH95" s="897"/>
      <c r="BI95" s="897"/>
      <c r="BJ95" s="897"/>
      <c r="BK95" s="893"/>
      <c r="BL95" s="897"/>
      <c r="BM95" s="897"/>
      <c r="BN95" s="897"/>
      <c r="BO95" s="893"/>
      <c r="BP95" s="897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</row>
    <row r="96" spans="1:81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5"/>
        <v/>
      </c>
      <c r="M96" s="816" t="str">
        <f t="shared" si="56"/>
        <v/>
      </c>
      <c r="N96" s="816" t="str">
        <f t="shared" si="57"/>
        <v/>
      </c>
      <c r="R96" s="816" t="str">
        <f t="shared" si="58"/>
        <v/>
      </c>
      <c r="T96" s="829" t="str">
        <f t="shared" si="59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IF($J96="","",IF(SUM(IF(ISNUMBER(VALUE(RIGHT($AG96:$CH96,1))),VALUE(RIGHT($AG96:$CH96,1)),0))=$J96,"T","F"))</f>
        <v/>
      </c>
      <c r="AE96" s="831" t="str">
        <f t="array" ref="AE96">IF($J96="","",SUM(IF(LEFT($AG96:$DT96,1)="s",1,0))-SUM(IF(RIGHT(LEFT($AG96:$DT96,2))="-",1,0)))</f>
        <v/>
      </c>
      <c r="AF96" s="816" t="str">
        <f t="array" ref="AF96">IF($J96="","",SUM(IF(LEFT($AG96:$CZ96,1)="X",1,0)))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3"/>
      <c r="BD96" s="893"/>
      <c r="BE96" s="893"/>
      <c r="BF96" s="893"/>
      <c r="BG96" s="897"/>
      <c r="BH96" s="897"/>
      <c r="BI96" s="897"/>
      <c r="BJ96" s="897"/>
      <c r="BK96" s="893"/>
      <c r="BL96" s="897"/>
      <c r="BM96" s="897"/>
      <c r="BN96" s="897"/>
      <c r="BO96" s="893"/>
      <c r="BP96" s="897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</row>
    <row r="97" spans="1:81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5"/>
        <v/>
      </c>
      <c r="M97" s="816" t="str">
        <f t="shared" si="56"/>
        <v/>
      </c>
      <c r="N97" s="816" t="str">
        <f t="shared" si="57"/>
        <v/>
      </c>
      <c r="R97" s="816" t="str">
        <f t="shared" si="58"/>
        <v/>
      </c>
      <c r="T97" s="829" t="str">
        <f t="shared" si="59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IF($J97="","",IF(SUM(IF(ISNUMBER(VALUE(RIGHT($AG97:$CH97,1))),VALUE(RIGHT($AG97:$CH97,1)),0))=$J97,"T","F"))</f>
        <v/>
      </c>
      <c r="AE97" s="831" t="str">
        <f t="array" ref="AE97">IF($J97="","",SUM(IF(LEFT($AG97:$DT97,1)="s",1,0))-SUM(IF(RIGHT(LEFT($AG97:$DT97,2))="-",1,0)))</f>
        <v/>
      </c>
      <c r="AF97" s="816" t="str">
        <f t="array" ref="AF97">IF($J97="","",SUM(IF(LEFT($AG97:$CZ97,1)="X",1,0)))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3"/>
      <c r="BD97" s="893"/>
      <c r="BE97" s="893"/>
      <c r="BF97" s="893"/>
      <c r="BG97" s="897"/>
      <c r="BH97" s="897"/>
      <c r="BI97" s="897"/>
      <c r="BJ97" s="897"/>
      <c r="BK97" s="893"/>
      <c r="BL97" s="897"/>
      <c r="BM97" s="897"/>
      <c r="BN97" s="897"/>
      <c r="BO97" s="893"/>
      <c r="BP97" s="897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</row>
    <row r="98" spans="1:81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5"/>
        <v/>
      </c>
      <c r="M98" s="816" t="str">
        <f t="shared" si="56"/>
        <v/>
      </c>
      <c r="N98" s="816" t="str">
        <f t="shared" si="57"/>
        <v/>
      </c>
      <c r="R98" s="816" t="str">
        <f t="shared" si="58"/>
        <v/>
      </c>
      <c r="T98" s="829" t="str">
        <f t="shared" si="59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IF($J98="","",IF(SUM(IF(ISNUMBER(VALUE(RIGHT($AG98:$CH98,1))),VALUE(RIGHT($AG98:$CH98,1)),0))=$J98,"T","F"))</f>
        <v/>
      </c>
      <c r="AE98" s="831" t="str">
        <f t="array" ref="AE98">IF($J98="","",SUM(IF(LEFT($AG98:$DT98,1)="s",1,0))-SUM(IF(RIGHT(LEFT($AG98:$DT98,2))="-",1,0)))</f>
        <v/>
      </c>
      <c r="AF98" s="816" t="str">
        <f t="array" ref="AF98">IF($J98="","",SUM(IF(LEFT($AG98:$CZ98,1)="X",1,0)))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3"/>
      <c r="BD98" s="893"/>
      <c r="BE98" s="893"/>
      <c r="BF98" s="893"/>
      <c r="BG98" s="897"/>
      <c r="BH98" s="897"/>
      <c r="BI98" s="897"/>
      <c r="BJ98" s="897"/>
      <c r="BK98" s="893"/>
      <c r="BL98" s="897"/>
      <c r="BM98" s="897"/>
      <c r="BN98" s="897"/>
      <c r="BO98" s="893"/>
      <c r="BP98" s="897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</row>
    <row r="99" spans="1:81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5"/>
        <v/>
      </c>
      <c r="M99" s="816" t="str">
        <f t="shared" si="56"/>
        <v/>
      </c>
      <c r="N99" s="816" t="str">
        <f t="shared" si="57"/>
        <v/>
      </c>
      <c r="R99" s="816" t="str">
        <f t="shared" si="58"/>
        <v/>
      </c>
      <c r="T99" s="829" t="str">
        <f t="shared" si="59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IF($J99="","",IF(SUM(IF(ISNUMBER(VALUE(RIGHT($AG99:$CH99,1))),VALUE(RIGHT($AG99:$CH99,1)),0))=$J99,"T","F"))</f>
        <v/>
      </c>
      <c r="AE99" s="831" t="str">
        <f t="array" ref="AE99">IF($J99="","",SUM(IF(LEFT($AG99:$DT99,1)="s",1,0))-SUM(IF(RIGHT(LEFT($AG99:$DT99,2))="-",1,0)))</f>
        <v/>
      </c>
      <c r="AF99" s="816" t="str">
        <f t="array" ref="AF99">IF($J99="","",SUM(IF(LEFT($AG99:$CZ99,1)="X",1,0)))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3"/>
      <c r="BD99" s="893"/>
      <c r="BE99" s="893"/>
      <c r="BF99" s="893"/>
      <c r="BG99" s="897"/>
      <c r="BH99" s="897"/>
      <c r="BI99" s="897"/>
      <c r="BJ99" s="897"/>
      <c r="BK99" s="893"/>
      <c r="BL99" s="897"/>
      <c r="BM99" s="897"/>
      <c r="BN99" s="897"/>
      <c r="BO99" s="893"/>
      <c r="BP99" s="897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</row>
    <row r="100" spans="1:81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5"/>
        <v/>
      </c>
      <c r="M100" s="816" t="str">
        <f t="shared" si="56"/>
        <v/>
      </c>
      <c r="N100" s="816" t="str">
        <f t="shared" si="57"/>
        <v/>
      </c>
      <c r="R100" s="816" t="str">
        <f t="shared" si="58"/>
        <v/>
      </c>
      <c r="T100" s="829" t="str">
        <f t="shared" si="59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IF($J100="","",IF(SUM(IF(ISNUMBER(VALUE(RIGHT($AG100:$CH100,1))),VALUE(RIGHT($AG100:$CH100,1)),0))=$J100,"T","F"))</f>
        <v/>
      </c>
      <c r="AE100" s="831" t="str">
        <f t="array" ref="AE100">IF($J100="","",SUM(IF(LEFT($AG100:$DT100,1)="s",1,0))-SUM(IF(RIGHT(LEFT($AG100:$DT100,2))="-",1,0)))</f>
        <v/>
      </c>
      <c r="AF100" s="816" t="str">
        <f t="array" ref="AF100">IF($J100="","",SUM(IF(LEFT($AG100:$CZ100,1)="X",1,0)))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3"/>
      <c r="BD100" s="893"/>
      <c r="BE100" s="893"/>
      <c r="BF100" s="893"/>
      <c r="BG100" s="897"/>
      <c r="BH100" s="897"/>
      <c r="BI100" s="897"/>
      <c r="BJ100" s="897"/>
      <c r="BK100" s="893"/>
      <c r="BL100" s="897"/>
      <c r="BM100" s="897"/>
      <c r="BN100" s="897"/>
      <c r="BO100" s="893"/>
      <c r="BP100" s="897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</row>
    <row r="101" spans="1:81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5"/>
        <v/>
      </c>
      <c r="M101" s="816" t="str">
        <f t="shared" si="56"/>
        <v/>
      </c>
      <c r="N101" s="816" t="str">
        <f t="shared" si="57"/>
        <v/>
      </c>
      <c r="R101" s="816" t="str">
        <f t="shared" si="58"/>
        <v/>
      </c>
      <c r="T101" s="829" t="str">
        <f t="shared" si="59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IF($J101="","",IF(SUM(IF(ISNUMBER(VALUE(RIGHT($AG101:$CH101,1))),VALUE(RIGHT($AG101:$CH101,1)),0))=$J101,"T","F"))</f>
        <v/>
      </c>
      <c r="AE101" s="831" t="str">
        <f t="array" ref="AE101">IF($J101="","",SUM(IF(LEFT($AG101:$DT101,1)="s",1,0))-SUM(IF(RIGHT(LEFT($AG101:$DT101,2))="-",1,0)))</f>
        <v/>
      </c>
      <c r="AF101" s="816" t="str">
        <f t="array" ref="AF101">IF($J101="","",SUM(IF(LEFT($AG101:$CZ101,1)="X",1,0)))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3"/>
      <c r="BD101" s="893"/>
      <c r="BE101" s="893"/>
      <c r="BF101" s="893"/>
      <c r="BG101" s="897"/>
      <c r="BH101" s="897"/>
      <c r="BI101" s="897"/>
      <c r="BJ101" s="897"/>
      <c r="BK101" s="893"/>
      <c r="BL101" s="897"/>
      <c r="BM101" s="897"/>
      <c r="BN101" s="897"/>
      <c r="BO101" s="893"/>
      <c r="BP101" s="897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</row>
    <row r="102" spans="1:81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5"/>
        <v/>
      </c>
      <c r="M102" s="816" t="str">
        <f t="shared" si="56"/>
        <v/>
      </c>
      <c r="N102" s="816" t="str">
        <f t="shared" si="57"/>
        <v/>
      </c>
      <c r="R102" s="816" t="str">
        <f t="shared" si="58"/>
        <v/>
      </c>
      <c r="T102" s="829" t="str">
        <f t="shared" si="59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IF($J102="","",IF(SUM(IF(ISNUMBER(VALUE(RIGHT($AG102:$CH102,1))),VALUE(RIGHT($AG102:$CH102,1)),0))=$J102,"T","F"))</f>
        <v/>
      </c>
      <c r="AE102" s="831" t="str">
        <f t="array" ref="AE102">IF($J102="","",SUM(IF(LEFT($AG102:$DT102,1)="s",1,0))-SUM(IF(RIGHT(LEFT($AG102:$DT102,2))="-",1,0)))</f>
        <v/>
      </c>
      <c r="AF102" s="816" t="str">
        <f t="array" ref="AF102">IF($J102="","",SUM(IF(LEFT($AG102:$CZ102,1)="X",1,0)))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3"/>
      <c r="BD102" s="893"/>
      <c r="BE102" s="893"/>
      <c r="BF102" s="893"/>
      <c r="BG102" s="897"/>
      <c r="BH102" s="897"/>
      <c r="BI102" s="897"/>
      <c r="BJ102" s="897"/>
      <c r="BK102" s="893"/>
      <c r="BL102" s="897"/>
      <c r="BM102" s="897"/>
      <c r="BN102" s="897"/>
      <c r="BO102" s="893"/>
      <c r="BP102" s="897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</row>
    <row r="103" spans="1:81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5"/>
        <v/>
      </c>
      <c r="M103" s="816" t="str">
        <f t="shared" si="56"/>
        <v/>
      </c>
      <c r="N103" s="816" t="str">
        <f t="shared" si="57"/>
        <v/>
      </c>
      <c r="R103" s="816" t="str">
        <f t="shared" si="58"/>
        <v/>
      </c>
      <c r="T103" s="829" t="str">
        <f t="shared" si="59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IF($J103="","",IF(SUM(IF(ISNUMBER(VALUE(RIGHT($AG103:$CH103,1))),VALUE(RIGHT($AG103:$CH103,1)),0))=$J103,"T","F"))</f>
        <v/>
      </c>
      <c r="AE103" s="816" t="str">
        <f t="array" ref="AE103">IF($J103="","",SUM(IF(LEFT($AG103:$DT103,1)="s",1,0))-SUM(IF(RIGHT(LEFT($AG103:$DT103,2))="-",1,0)))</f>
        <v/>
      </c>
      <c r="AF103" s="816" t="str">
        <f t="array" ref="AF103">IF($J103="","",SUM(IF(LEFT($AG103:$CZ103,1)="X",1,0)))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3"/>
      <c r="BD103" s="893"/>
      <c r="BE103" s="893"/>
      <c r="BF103" s="893"/>
      <c r="BG103" s="897"/>
      <c r="BH103" s="897"/>
      <c r="BI103" s="897"/>
      <c r="BJ103" s="897"/>
      <c r="BK103" s="893"/>
      <c r="BL103" s="897"/>
      <c r="BM103" s="897"/>
      <c r="BN103" s="897"/>
      <c r="BO103" s="893"/>
      <c r="BP103" s="897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</row>
    <row r="104" spans="1:81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5"/>
        <v/>
      </c>
      <c r="M104" s="816" t="str">
        <f t="shared" si="56"/>
        <v/>
      </c>
      <c r="N104" s="816" t="str">
        <f t="shared" si="57"/>
        <v/>
      </c>
      <c r="R104" s="816" t="str">
        <f t="shared" si="58"/>
        <v/>
      </c>
      <c r="T104" s="829" t="str">
        <f t="shared" si="59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IF($J104="","",IF(SUM(IF(ISNUMBER(VALUE(RIGHT($AG104:$CH104,1))),VALUE(RIGHT($AG104:$CH104,1)),0))=$J104,"T","F"))</f>
        <v/>
      </c>
      <c r="AE104" s="816" t="str">
        <f t="array" ref="AE104">IF($J104="","",SUM(IF(LEFT($AG104:$DT104,1)="s",1,0))-SUM(IF(RIGHT(LEFT($AG104:$DT104,2))="-",1,0)))</f>
        <v/>
      </c>
      <c r="AF104" s="816" t="str">
        <f t="array" ref="AF104">IF($J104="","",SUM(IF(LEFT($AG104:$CZ104,1)="X",1,0)))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3"/>
      <c r="BD104" s="893"/>
      <c r="BE104" s="893"/>
      <c r="BF104" s="893"/>
      <c r="BG104" s="897"/>
      <c r="BH104" s="897"/>
      <c r="BI104" s="897"/>
      <c r="BJ104" s="897"/>
      <c r="BK104" s="893"/>
      <c r="BL104" s="897"/>
      <c r="BM104" s="897"/>
      <c r="BN104" s="897"/>
      <c r="BO104" s="893"/>
      <c r="BP104" s="897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</row>
    <row r="105" spans="1:81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5"/>
        <v/>
      </c>
      <c r="M105" s="816" t="str">
        <f t="shared" si="56"/>
        <v/>
      </c>
      <c r="N105" s="816" t="str">
        <f t="shared" si="57"/>
        <v/>
      </c>
      <c r="R105" s="816" t="str">
        <f t="shared" si="58"/>
        <v/>
      </c>
      <c r="T105" s="829" t="str">
        <f t="shared" si="59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IF($J105="","",IF(SUM(IF(ISNUMBER(VALUE(RIGHT($AG105:$CH105,1))),VALUE(RIGHT($AG105:$CH105,1)),0))=$J105,"T","F"))</f>
        <v/>
      </c>
      <c r="AE105" s="816" t="str">
        <f t="array" ref="AE105">IF($J105="","",SUM(IF(LEFT($AG105:$DT105,1)="s",1,0))-SUM(IF(RIGHT(LEFT($AG105:$DT105,2))="-",1,0)))</f>
        <v/>
      </c>
      <c r="AF105" s="816" t="str">
        <f t="array" ref="AF105">IF($J105="","",SUM(IF(LEFT($AG105:$CZ105,1)="X",1,0)))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3"/>
      <c r="BD105" s="893"/>
      <c r="BE105" s="893"/>
      <c r="BF105" s="893"/>
      <c r="BG105" s="897"/>
      <c r="BH105" s="897"/>
      <c r="BI105" s="897"/>
      <c r="BJ105" s="897"/>
      <c r="BK105" s="893"/>
      <c r="BL105" s="897"/>
      <c r="BM105" s="897"/>
      <c r="BN105" s="897"/>
      <c r="BO105" s="893"/>
      <c r="BP105" s="897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</row>
    <row r="106" spans="1:81" ht="15"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5"/>
        <v/>
      </c>
      <c r="M106" s="816" t="str">
        <f t="shared" si="56"/>
        <v/>
      </c>
      <c r="N106" s="816" t="str">
        <f t="shared" si="57"/>
        <v/>
      </c>
      <c r="R106" s="816" t="str">
        <f t="shared" si="58"/>
        <v/>
      </c>
      <c r="T106" s="829" t="str">
        <f t="shared" si="59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IF($J106="","",IF(SUM(IF(ISNUMBER(VALUE(RIGHT($AG106:$CH106,1))),VALUE(RIGHT($AG106:$CH106,1)),0))=$J106,"T","F"))</f>
        <v/>
      </c>
      <c r="AE106" s="816" t="str">
        <f t="array" ref="AE106">IF($J106="","",SUM(IF(LEFT($AG106:$DT106,1)="s",1,0))-SUM(IF(RIGHT(LEFT($AG106:$DT106,2))="-",1,0)))</f>
        <v/>
      </c>
      <c r="AF106" s="816" t="str">
        <f t="array" ref="AF106">IF($J106="","",SUM(IF(LEFT($AG106:$CZ106,1)="X",1,0)))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3"/>
      <c r="BD106" s="893"/>
      <c r="BE106" s="893"/>
      <c r="BF106" s="893"/>
      <c r="BG106" s="897"/>
      <c r="BH106" s="897"/>
      <c r="BI106" s="897"/>
      <c r="BJ106" s="897"/>
      <c r="BK106" s="893"/>
      <c r="BL106" s="897"/>
      <c r="BM106" s="897"/>
      <c r="BN106" s="897"/>
      <c r="BO106" s="893"/>
      <c r="BP106" s="897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</row>
    <row r="107" spans="1:81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5"/>
        <v/>
      </c>
      <c r="M107" s="816" t="str">
        <f t="shared" si="56"/>
        <v/>
      </c>
      <c r="N107" s="816" t="str">
        <f t="shared" si="57"/>
        <v/>
      </c>
      <c r="R107" s="816" t="str">
        <f t="shared" si="58"/>
        <v/>
      </c>
      <c r="T107" s="829" t="str">
        <f t="shared" si="59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IF($J107="","",IF(SUM(IF(ISNUMBER(VALUE(RIGHT($AG107:$CH107,1))),VALUE(RIGHT($AG107:$CH107,1)),0))=$J107,"T","F"))</f>
        <v/>
      </c>
      <c r="AE107" s="816" t="str">
        <f t="array" ref="AE107">IF($J107="","",SUM(IF(LEFT($AG107:$DT107,1)="s",1,0))-SUM(IF(RIGHT(LEFT($AG107:$DT107,2))="-",1,0)))</f>
        <v/>
      </c>
      <c r="AF107" s="816" t="str">
        <f t="array" ref="AF107">IF($J107="","",SUM(IF(LEFT($AG107:$CZ107,1)="X",1,0)))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3"/>
      <c r="BD107" s="893"/>
      <c r="BE107" s="893"/>
      <c r="BF107" s="893"/>
      <c r="BG107" s="897"/>
      <c r="BH107" s="897"/>
      <c r="BI107" s="897"/>
      <c r="BJ107" s="897"/>
      <c r="BK107" s="893"/>
      <c r="BL107" s="897"/>
      <c r="BM107" s="897"/>
      <c r="BN107" s="897"/>
      <c r="BO107" s="893"/>
      <c r="BP107" s="897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</row>
    <row r="108" spans="1:81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5"/>
        <v/>
      </c>
      <c r="M108" s="816" t="str">
        <f t="shared" si="56"/>
        <v/>
      </c>
      <c r="N108" s="816" t="str">
        <f t="shared" si="57"/>
        <v/>
      </c>
      <c r="R108" s="816" t="str">
        <f t="shared" si="58"/>
        <v/>
      </c>
      <c r="T108" s="829" t="str">
        <f t="shared" si="59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IF($J108="","",IF(SUM(IF(ISNUMBER(VALUE(RIGHT($AG108:$CH108,1))),VALUE(RIGHT($AG108:$CH108,1)),0))=$J108,"T","F"))</f>
        <v/>
      </c>
      <c r="AE108" s="816" t="str">
        <f t="array" ref="AE108">IF($J108="","",SUM(IF(LEFT($AG108:$DT108,1)="s",1,0))-SUM(IF(RIGHT(LEFT($AG108:$DT108,2))="-",1,0)))</f>
        <v/>
      </c>
      <c r="AF108" s="816" t="str">
        <f t="array" ref="AF108">IF($J108="","",SUM(IF(LEFT($AG108:$CZ108,1)="X",1,0)))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3"/>
      <c r="BD108" s="893"/>
      <c r="BE108" s="893"/>
      <c r="BF108" s="893"/>
      <c r="BG108" s="897"/>
      <c r="BH108" s="897"/>
      <c r="BI108" s="897"/>
      <c r="BJ108" s="897"/>
      <c r="BK108" s="893"/>
      <c r="BL108" s="897"/>
      <c r="BM108" s="897"/>
      <c r="BN108" s="897"/>
      <c r="BO108" s="893"/>
      <c r="BP108" s="897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</row>
    <row r="109" spans="1:81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5"/>
        <v/>
      </c>
      <c r="M109" s="816" t="str">
        <f t="shared" si="56"/>
        <v/>
      </c>
      <c r="N109" s="816" t="str">
        <f t="shared" si="57"/>
        <v/>
      </c>
      <c r="R109" s="816" t="str">
        <f t="shared" si="58"/>
        <v/>
      </c>
      <c r="T109" s="829" t="str">
        <f t="shared" si="59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IF($J109="","",IF(SUM(IF(ISNUMBER(VALUE(RIGHT($AG109:$CH109,1))),VALUE(RIGHT($AG109:$CH109,1)),0))=$J109,"T","F"))</f>
        <v/>
      </c>
      <c r="AE109" s="816" t="str">
        <f t="array" ref="AE109">IF($J109="","",SUM(IF(LEFT($AG109:$DT109,1)="s",1,0))-SUM(IF(RIGHT(LEFT($AG109:$DT109,2))="-",1,0)))</f>
        <v/>
      </c>
      <c r="AF109" s="816" t="str">
        <f t="array" ref="AF109">IF($J109="","",SUM(IF(LEFT($AG109:$CZ109,1)="X",1,0)))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3"/>
      <c r="BD109" s="893"/>
      <c r="BE109" s="893"/>
      <c r="BF109" s="893"/>
      <c r="BG109" s="897"/>
      <c r="BH109" s="897"/>
      <c r="BI109" s="897"/>
      <c r="BJ109" s="897"/>
      <c r="BK109" s="893"/>
      <c r="BL109" s="897"/>
      <c r="BM109" s="897"/>
      <c r="BN109" s="897"/>
      <c r="BO109" s="893"/>
      <c r="BP109" s="897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</row>
    <row r="110" spans="1:81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5"/>
        <v/>
      </c>
      <c r="M110" s="816" t="str">
        <f t="shared" si="56"/>
        <v/>
      </c>
      <c r="N110" s="816" t="str">
        <f t="shared" si="57"/>
        <v/>
      </c>
      <c r="R110" s="816" t="str">
        <f t="shared" si="58"/>
        <v/>
      </c>
      <c r="T110" s="829" t="str">
        <f t="shared" si="59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IF($J110="","",IF(SUM(IF(ISNUMBER(VALUE(RIGHT($AG110:$CH110,1))),VALUE(RIGHT($AG110:$CH110,1)),0))=$J110,"T","F"))</f>
        <v/>
      </c>
      <c r="AE110" s="816" t="str">
        <f t="array" ref="AE110">IF($J110="","",SUM(IF(LEFT($AG110:$DT110,1)="s",1,0))-SUM(IF(RIGHT(LEFT($AG110:$DT110,2))="-",1,0)))</f>
        <v/>
      </c>
      <c r="AF110" s="816" t="str">
        <f t="array" ref="AF110">IF($J110="","",SUM(IF(LEFT($AG110:$CZ110,1)="X",1,0)))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3"/>
      <c r="BD110" s="893"/>
      <c r="BE110" s="893"/>
      <c r="BF110" s="893"/>
      <c r="BG110" s="897"/>
      <c r="BH110" s="897"/>
      <c r="BI110" s="897"/>
      <c r="BJ110" s="897"/>
      <c r="BK110" s="893"/>
      <c r="BL110" s="897"/>
      <c r="BM110" s="897"/>
      <c r="BN110" s="897"/>
      <c r="BO110" s="893"/>
      <c r="BP110" s="897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</row>
    <row r="111" spans="1:81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5"/>
        <v/>
      </c>
      <c r="M111" s="816" t="str">
        <f t="shared" si="56"/>
        <v/>
      </c>
      <c r="N111" s="816" t="str">
        <f t="shared" si="57"/>
        <v/>
      </c>
      <c r="R111" s="816" t="str">
        <f t="shared" si="58"/>
        <v/>
      </c>
      <c r="T111" s="829" t="str">
        <f t="shared" si="59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IF($J111="","",IF(SUM(IF(ISNUMBER(VALUE(RIGHT($AG111:$CH111,1))),VALUE(RIGHT($AG111:$CH111,1)),0))=$J111,"T","F"))</f>
        <v/>
      </c>
      <c r="AE111" s="816" t="str">
        <f t="array" ref="AE111">IF($J111="","",SUM(IF(LEFT($AG111:$DT111,1)="s",1,0))-SUM(IF(RIGHT(LEFT($AG111:$DT111,2))="-",1,0)))</f>
        <v/>
      </c>
      <c r="AF111" s="816" t="str">
        <f t="array" ref="AF111">IF($J111="","",SUM(IF(LEFT($AG111:$CZ111,1)="X",1,0)))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3"/>
      <c r="BD111" s="893"/>
      <c r="BE111" s="893"/>
      <c r="BF111" s="893"/>
      <c r="BG111" s="897"/>
      <c r="BH111" s="897"/>
      <c r="BI111" s="897"/>
      <c r="BJ111" s="897"/>
      <c r="BK111" s="893"/>
      <c r="BL111" s="897"/>
      <c r="BM111" s="897"/>
      <c r="BN111" s="897"/>
      <c r="BO111" s="893"/>
      <c r="BP111" s="897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</row>
    <row r="112" spans="1:81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5"/>
        <v/>
      </c>
      <c r="M112" s="816" t="str">
        <f t="shared" si="56"/>
        <v/>
      </c>
      <c r="N112" s="816" t="str">
        <f t="shared" si="57"/>
        <v/>
      </c>
      <c r="R112" s="816" t="str">
        <f t="shared" si="58"/>
        <v/>
      </c>
      <c r="T112" s="829" t="str">
        <f t="shared" si="59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IF($J112="","",IF(SUM(IF(ISNUMBER(VALUE(RIGHT($AG112:$CH112,1))),VALUE(RIGHT($AG112:$CH112,1)),0))=$J112,"T","F"))</f>
        <v/>
      </c>
      <c r="AE112" s="816" t="str">
        <f t="array" ref="AE112">IF($J112="","",SUM(IF(LEFT($AG112:$DT112,1)="s",1,0))-SUM(IF(RIGHT(LEFT($AG112:$DT112,2))="-",1,0)))</f>
        <v/>
      </c>
      <c r="AF112" s="816" t="str">
        <f t="array" ref="AF112">IF($J112="","",SUM(IF(LEFT($AG112:$CZ112,1)="X",1,0)))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3"/>
      <c r="BD112" s="893"/>
      <c r="BE112" s="893"/>
      <c r="BF112" s="893"/>
      <c r="BG112" s="897"/>
      <c r="BH112" s="897"/>
      <c r="BI112" s="897"/>
      <c r="BJ112" s="897"/>
      <c r="BK112" s="893"/>
      <c r="BL112" s="897"/>
      <c r="BM112" s="897"/>
      <c r="BN112" s="897"/>
      <c r="BO112" s="893"/>
      <c r="BP112" s="897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</row>
    <row r="113" spans="4:81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5"/>
        <v/>
      </c>
      <c r="M113" s="816" t="str">
        <f t="shared" si="56"/>
        <v/>
      </c>
      <c r="N113" s="816" t="str">
        <f t="shared" si="57"/>
        <v/>
      </c>
      <c r="R113" s="816" t="str">
        <f t="shared" si="58"/>
        <v/>
      </c>
      <c r="T113" s="829" t="str">
        <f t="shared" si="59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IF($J113="","",IF(SUM(IF(ISNUMBER(VALUE(RIGHT($AG113:$CH113,1))),VALUE(RIGHT($AG113:$CH113,1)),0))=$J113,"T","F"))</f>
        <v/>
      </c>
      <c r="AE113" s="816" t="str">
        <f t="array" ref="AE113">IF($J113="","",SUM(IF(LEFT($AG113:$DT113,1)="s",1,0))-SUM(IF(RIGHT(LEFT($AG113:$DT113,2))="-",1,0)))</f>
        <v/>
      </c>
      <c r="AF113" s="816" t="str">
        <f t="array" ref="AF113">IF($J113="","",SUM(IF(LEFT($AG113:$CZ113,1)="X",1,0)))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3"/>
      <c r="BD113" s="893"/>
      <c r="BE113" s="893"/>
      <c r="BF113" s="893"/>
      <c r="BG113" s="897"/>
      <c r="BH113" s="897"/>
      <c r="BI113" s="897"/>
      <c r="BJ113" s="897"/>
      <c r="BK113" s="893"/>
      <c r="BL113" s="897"/>
      <c r="BM113" s="897"/>
      <c r="BN113" s="897"/>
      <c r="BO113" s="893"/>
      <c r="BP113" s="897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</row>
    <row r="114" spans="4:81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5"/>
        <v/>
      </c>
      <c r="M114" s="816" t="str">
        <f t="shared" si="56"/>
        <v/>
      </c>
      <c r="N114" s="816" t="str">
        <f t="shared" si="57"/>
        <v/>
      </c>
      <c r="R114" s="816" t="str">
        <f t="shared" si="58"/>
        <v/>
      </c>
      <c r="T114" s="829" t="str">
        <f t="shared" si="59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IF($J114="","",IF(SUM(IF(ISNUMBER(VALUE(RIGHT($AG114:$CH114,1))),VALUE(RIGHT($AG114:$CH114,1)),0))=$J114,"T","F"))</f>
        <v/>
      </c>
      <c r="AE114" s="816" t="str">
        <f t="array" ref="AE114">IF($J114="","",SUM(IF(LEFT($AG114:$DT114,1)="s",1,0))-SUM(IF(RIGHT(LEFT($AG114:$DT114,2))="-",1,0)))</f>
        <v/>
      </c>
      <c r="AF114" s="816" t="str">
        <f t="array" ref="AF114">IF($J114="","",SUM(IF(LEFT($AG114:$CZ114,1)="X",1,0)))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3"/>
      <c r="BD114" s="893"/>
      <c r="BE114" s="893"/>
      <c r="BF114" s="893"/>
      <c r="BG114" s="897"/>
      <c r="BH114" s="897"/>
      <c r="BI114" s="897"/>
      <c r="BJ114" s="897"/>
      <c r="BK114" s="893"/>
      <c r="BL114" s="897"/>
      <c r="BM114" s="897"/>
      <c r="BN114" s="897"/>
      <c r="BO114" s="893"/>
      <c r="BP114" s="897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</row>
    <row r="115" spans="4:81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5"/>
        <v/>
      </c>
      <c r="M115" s="816" t="str">
        <f t="shared" si="56"/>
        <v/>
      </c>
      <c r="N115" s="816" t="str">
        <f t="shared" si="57"/>
        <v/>
      </c>
      <c r="R115" s="816" t="str">
        <f t="shared" si="58"/>
        <v/>
      </c>
      <c r="T115" s="829" t="str">
        <f t="shared" si="59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IF($J115="","",IF(SUM(IF(ISNUMBER(VALUE(RIGHT($AG115:$CH115,1))),VALUE(RIGHT($AG115:$CH115,1)),0))=$J115,"T","F"))</f>
        <v/>
      </c>
      <c r="AE115" s="816" t="str">
        <f t="array" ref="AE115">IF($J115="","",SUM(IF(LEFT($AG115:$DT115,1)="s",1,0))-SUM(IF(RIGHT(LEFT($AG115:$DT115,2))="-",1,0)))</f>
        <v/>
      </c>
      <c r="AF115" s="816" t="str">
        <f t="array" ref="AF115">IF($J115="","",SUM(IF(LEFT($AG115:$CZ115,1)="X",1,0)))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3"/>
      <c r="BD115" s="893"/>
      <c r="BE115" s="893"/>
      <c r="BF115" s="893"/>
      <c r="BG115" s="897"/>
      <c r="BH115" s="897"/>
      <c r="BI115" s="897"/>
      <c r="BJ115" s="897"/>
      <c r="BK115" s="893"/>
      <c r="BL115" s="897"/>
      <c r="BM115" s="897"/>
      <c r="BN115" s="897"/>
      <c r="BO115" s="893"/>
      <c r="BP115" s="897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</row>
    <row r="116" spans="4:81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5"/>
        <v/>
      </c>
      <c r="M116" s="816" t="str">
        <f t="shared" si="56"/>
        <v/>
      </c>
      <c r="N116" s="816" t="str">
        <f t="shared" si="57"/>
        <v/>
      </c>
      <c r="R116" s="816" t="str">
        <f t="shared" si="58"/>
        <v/>
      </c>
      <c r="T116" s="829" t="str">
        <f t="shared" si="59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IF($J116="","",IF(SUM(IF(ISNUMBER(VALUE(RIGHT($AG116:$CH116,1))),VALUE(RIGHT($AG116:$CH116,1)),0))=$J116,"T","F"))</f>
        <v/>
      </c>
      <c r="AE116" s="816" t="str">
        <f t="array" ref="AE116">IF($J116="","",SUM(IF(LEFT($AG116:$DT116,1)="s",1,0))-SUM(IF(RIGHT(LEFT($AG116:$DT116,2))="-",1,0)))</f>
        <v/>
      </c>
      <c r="AF116" s="816" t="str">
        <f t="array" ref="AF116">IF($J116="","",SUM(IF(LEFT($AG116:$CZ116,1)="X",1,0)))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3"/>
      <c r="BD116" s="893"/>
      <c r="BE116" s="893"/>
      <c r="BF116" s="893"/>
      <c r="BG116" s="897"/>
      <c r="BH116" s="897"/>
      <c r="BI116" s="897"/>
      <c r="BJ116" s="897"/>
      <c r="BK116" s="893"/>
      <c r="BL116" s="897"/>
      <c r="BM116" s="897"/>
      <c r="BN116" s="897"/>
      <c r="BO116" s="893"/>
      <c r="BP116" s="897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</row>
    <row r="117" spans="4:81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5"/>
        <v/>
      </c>
      <c r="M117" s="816" t="str">
        <f t="shared" si="56"/>
        <v/>
      </c>
      <c r="N117" s="816" t="str">
        <f t="shared" si="57"/>
        <v/>
      </c>
      <c r="R117" s="816" t="str">
        <f t="shared" si="58"/>
        <v/>
      </c>
      <c r="T117" s="829" t="str">
        <f t="shared" si="59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IF($J117="","",IF(SUM(IF(ISNUMBER(VALUE(RIGHT($AG117:$CH117,1))),VALUE(RIGHT($AG117:$CH117,1)),0))=$J117,"T","F"))</f>
        <v/>
      </c>
      <c r="AE117" s="816" t="str">
        <f t="array" ref="AE117">IF($J117="","",SUM(IF(LEFT($AG117:$DT117,1)="s",1,0))-SUM(IF(RIGHT(LEFT($AG117:$DT117,2))="-",1,0)))</f>
        <v/>
      </c>
      <c r="AF117" s="816" t="str">
        <f t="array" ref="AF117">IF($J117="","",SUM(IF(LEFT($AG117:$CZ117,1)="X",1,0)))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3"/>
      <c r="BD117" s="893"/>
      <c r="BE117" s="893"/>
      <c r="BF117" s="893"/>
      <c r="BG117" s="897"/>
      <c r="BH117" s="897"/>
      <c r="BI117" s="897"/>
      <c r="BJ117" s="897"/>
      <c r="BK117" s="893"/>
      <c r="BL117" s="897"/>
      <c r="BM117" s="897"/>
      <c r="BN117" s="897"/>
      <c r="BO117" s="893"/>
      <c r="BP117" s="897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</row>
    <row r="118" spans="4:81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5"/>
        <v/>
      </c>
      <c r="M118" s="816" t="str">
        <f t="shared" si="56"/>
        <v/>
      </c>
      <c r="N118" s="816" t="str">
        <f t="shared" si="57"/>
        <v/>
      </c>
      <c r="R118" s="816" t="str">
        <f t="shared" si="58"/>
        <v/>
      </c>
      <c r="T118" s="829" t="str">
        <f t="shared" si="59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IF($J118="","",IF(SUM(IF(ISNUMBER(VALUE(RIGHT($AG118:$CH118,1))),VALUE(RIGHT($AG118:$CH118,1)),0))=$J118,"T","F"))</f>
        <v/>
      </c>
      <c r="AE118" s="816" t="str">
        <f t="array" ref="AE118">IF($J118="","",SUM(IF(LEFT($AG118:$DT118,1)="s",1,0))-SUM(IF(RIGHT(LEFT($AG118:$DT118,2))="-",1,0)))</f>
        <v/>
      </c>
      <c r="AF118" s="816" t="str">
        <f t="array" ref="AF118">IF($J118="","",SUM(IF(LEFT($AG118:$CZ118,1)="X",1,0)))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3"/>
      <c r="BD118" s="893"/>
      <c r="BE118" s="893"/>
      <c r="BF118" s="893"/>
      <c r="BG118" s="897"/>
      <c r="BH118" s="897"/>
      <c r="BI118" s="897"/>
      <c r="BJ118" s="897"/>
      <c r="BK118" s="893"/>
      <c r="BL118" s="897"/>
      <c r="BM118" s="897"/>
      <c r="BN118" s="897"/>
      <c r="BO118" s="893"/>
      <c r="BP118" s="897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</row>
    <row r="119" spans="4:81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5"/>
        <v/>
      </c>
      <c r="M119" s="816" t="str">
        <f t="shared" si="56"/>
        <v/>
      </c>
      <c r="N119" s="816" t="str">
        <f t="shared" si="57"/>
        <v/>
      </c>
      <c r="R119" s="816" t="str">
        <f t="shared" si="58"/>
        <v/>
      </c>
      <c r="T119" s="829" t="str">
        <f t="shared" si="59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IF($J119="","",IF(SUM(IF(ISNUMBER(VALUE(RIGHT($AG119:$CH119,1))),VALUE(RIGHT($AG119:$CH119,1)),0))=$J119,"T","F"))</f>
        <v/>
      </c>
      <c r="AE119" s="816" t="str">
        <f t="array" ref="AE119">IF($J119="","",SUM(IF(LEFT($AG119:$DT119,1)="s",1,0))-SUM(IF(RIGHT(LEFT($AG119:$DT119,2))="-",1,0)))</f>
        <v/>
      </c>
      <c r="AF119" s="816" t="str">
        <f t="array" ref="AF119">IF($J119="","",SUM(IF(LEFT($AG119:$CZ119,1)="X",1,0)))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3"/>
      <c r="BD119" s="893"/>
      <c r="BE119" s="893"/>
      <c r="BF119" s="893"/>
      <c r="BG119" s="897"/>
      <c r="BH119" s="897"/>
      <c r="BI119" s="897"/>
      <c r="BJ119" s="897"/>
      <c r="BK119" s="893"/>
      <c r="BL119" s="897"/>
      <c r="BM119" s="897"/>
      <c r="BN119" s="897"/>
      <c r="BO119" s="893"/>
      <c r="BP119" s="897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</row>
    <row r="120" spans="4:81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5"/>
        <v/>
      </c>
      <c r="M120" s="816" t="str">
        <f t="shared" si="56"/>
        <v/>
      </c>
      <c r="N120" s="816" t="str">
        <f t="shared" si="57"/>
        <v/>
      </c>
      <c r="R120" s="816" t="str">
        <f t="shared" si="58"/>
        <v/>
      </c>
      <c r="T120" s="829" t="str">
        <f t="shared" si="59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IF($J120="","",IF(SUM(IF(ISNUMBER(VALUE(RIGHT($AG120:$CH120,1))),VALUE(RIGHT($AG120:$CH120,1)),0))=$J120,"T","F"))</f>
        <v/>
      </c>
      <c r="AE120" s="816" t="str">
        <f t="array" ref="AE120">IF($J120="","",SUM(IF(LEFT($AG120:$DT120,1)="s",1,0))-SUM(IF(RIGHT(LEFT($AG120:$DT120,2))="-",1,0)))</f>
        <v/>
      </c>
      <c r="AF120" s="816" t="str">
        <f t="array" ref="AF120">IF($J120="","",SUM(IF(LEFT($AG120:$CZ120,1)="X",1,0)))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3"/>
      <c r="BD120" s="893"/>
      <c r="BE120" s="893"/>
      <c r="BF120" s="893"/>
      <c r="BG120" s="897"/>
      <c r="BH120" s="897"/>
      <c r="BI120" s="897"/>
      <c r="BJ120" s="897"/>
      <c r="BK120" s="893"/>
      <c r="BL120" s="897"/>
      <c r="BM120" s="897"/>
      <c r="BN120" s="897"/>
      <c r="BO120" s="893"/>
      <c r="BP120" s="897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</row>
    <row r="121" spans="4:81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5"/>
        <v/>
      </c>
      <c r="M121" s="816" t="str">
        <f t="shared" si="56"/>
        <v/>
      </c>
      <c r="N121" s="816" t="str">
        <f t="shared" si="57"/>
        <v/>
      </c>
      <c r="R121" s="816" t="str">
        <f t="shared" si="58"/>
        <v/>
      </c>
      <c r="T121" s="829" t="str">
        <f t="shared" si="59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IF($J121="","",IF(SUM(IF(ISNUMBER(VALUE(RIGHT($AG121:$CH121,1))),VALUE(RIGHT($AG121:$CH121,1)),0))=$J121,"T","F"))</f>
        <v/>
      </c>
      <c r="AE121" s="816" t="str">
        <f t="array" ref="AE121">IF($J121="","",SUM(IF(LEFT($AG121:$DT121,1)="s",1,0))-SUM(IF(RIGHT(LEFT($AG121:$DT121,2))="-",1,0)))</f>
        <v/>
      </c>
      <c r="AF121" s="816" t="str">
        <f t="array" ref="AF121">IF($J121="","",SUM(IF(LEFT($AG121:$CZ121,1)="X",1,0)))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3"/>
      <c r="BD121" s="893"/>
      <c r="BE121" s="893"/>
      <c r="BF121" s="893"/>
      <c r="BG121" s="897"/>
      <c r="BH121" s="897"/>
      <c r="BI121" s="897"/>
      <c r="BJ121" s="897"/>
      <c r="BK121" s="893"/>
      <c r="BL121" s="897"/>
      <c r="BM121" s="897"/>
      <c r="BN121" s="897"/>
      <c r="BO121" s="893"/>
      <c r="BP121" s="897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</row>
    <row r="122" spans="4:81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5"/>
        <v/>
      </c>
      <c r="M122" s="816" t="str">
        <f t="shared" si="56"/>
        <v/>
      </c>
      <c r="N122" s="816" t="str">
        <f t="shared" si="57"/>
        <v/>
      </c>
      <c r="R122" s="816" t="str">
        <f t="shared" si="58"/>
        <v/>
      </c>
      <c r="T122" s="829" t="str">
        <f t="shared" si="59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IF($J122="","",IF(SUM(IF(ISNUMBER(VALUE(RIGHT($AG122:$CH122,1))),VALUE(RIGHT($AG122:$CH122,1)),0))=$J122,"T","F"))</f>
        <v/>
      </c>
      <c r="AE122" s="816" t="str">
        <f t="array" ref="AE122">IF($J122="","",SUM(IF(LEFT($AG122:$DT122,1)="s",1,0))-SUM(IF(RIGHT(LEFT($AG122:$DT122,2))="-",1,0)))</f>
        <v/>
      </c>
      <c r="AF122" s="816" t="str">
        <f t="array" ref="AF122">IF($J122="","",SUM(IF(LEFT($AG122:$CZ122,1)="X",1,0)))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3"/>
      <c r="BD122" s="893"/>
      <c r="BE122" s="893"/>
      <c r="BF122" s="893"/>
      <c r="BG122" s="897"/>
      <c r="BH122" s="897"/>
      <c r="BI122" s="897"/>
      <c r="BJ122" s="897"/>
      <c r="BK122" s="893"/>
      <c r="BL122" s="897"/>
      <c r="BM122" s="897"/>
      <c r="BN122" s="897"/>
      <c r="BO122" s="893"/>
      <c r="BP122" s="897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</row>
    <row r="123" spans="4:81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5"/>
        <v/>
      </c>
      <c r="M123" s="816" t="str">
        <f t="shared" si="56"/>
        <v/>
      </c>
      <c r="N123" s="816" t="str">
        <f t="shared" si="57"/>
        <v/>
      </c>
      <c r="R123" s="816" t="str">
        <f t="shared" si="58"/>
        <v/>
      </c>
      <c r="T123" s="829" t="str">
        <f t="shared" si="59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IF($J123="","",IF(SUM(IF(ISNUMBER(VALUE(RIGHT($AG123:$CH123,1))),VALUE(RIGHT($AG123:$CH123,1)),0))=$J123,"T","F"))</f>
        <v/>
      </c>
      <c r="AE123" s="816" t="str">
        <f t="array" ref="AE123">IF($J123="","",SUM(IF(LEFT($AG123:$DT123,1)="s",1,0))-SUM(IF(RIGHT(LEFT($AG123:$DT123,2))="-",1,0)))</f>
        <v/>
      </c>
      <c r="AF123" s="816" t="str">
        <f t="array" ref="AF123">IF($J123="","",SUM(IF(LEFT($AG123:$CZ123,1)="X",1,0)))</f>
        <v/>
      </c>
    </row>
    <row r="124" spans="4:81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5"/>
        <v/>
      </c>
      <c r="M124" s="816" t="str">
        <f t="shared" si="56"/>
        <v/>
      </c>
      <c r="N124" s="816" t="str">
        <f t="shared" si="57"/>
        <v/>
      </c>
      <c r="R124" s="816" t="str">
        <f t="shared" si="58"/>
        <v/>
      </c>
      <c r="T124" s="829" t="str">
        <f t="shared" si="59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IF($J124="","",IF(SUM(IF(ISNUMBER(VALUE(RIGHT($AG124:$CH124,1))),VALUE(RIGHT($AG124:$CH124,1)),0))=$J124,"T","F"))</f>
        <v/>
      </c>
      <c r="AE124" s="816" t="str">
        <f t="array" ref="AE124">IF($J124="","",SUM(IF(LEFT($AG124:$DT124,1)="s",1,0))-SUM(IF(RIGHT(LEFT($AG124:$DT124,2))="-",1,0)))</f>
        <v/>
      </c>
      <c r="AF124" s="816" t="str">
        <f t="array" ref="AF124">IF($J124="","",SUM(IF(LEFT($AG124:$CZ124,1)="X",1,0)))</f>
        <v/>
      </c>
    </row>
    <row r="125" spans="4:81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5"/>
        <v/>
      </c>
      <c r="M125" s="816" t="str">
        <f t="shared" si="56"/>
        <v/>
      </c>
      <c r="N125" s="816" t="str">
        <f t="shared" si="57"/>
        <v/>
      </c>
      <c r="R125" s="816" t="str">
        <f t="shared" si="58"/>
        <v/>
      </c>
      <c r="T125" s="829" t="str">
        <f t="shared" si="59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IF($J125="","",IF(SUM(IF(ISNUMBER(VALUE(RIGHT($AG125:$CH125,1))),VALUE(RIGHT($AG125:$CH125,1)),0))=$J125,"T","F"))</f>
        <v/>
      </c>
      <c r="AE125" s="816" t="str">
        <f t="array" ref="AE125">IF($J125="","",SUM(IF(LEFT($AG125:$DT125,1)="s",1,0))-SUM(IF(RIGHT(LEFT($AG125:$DT125,2))="-",1,0)))</f>
        <v/>
      </c>
      <c r="AF125" s="816" t="str">
        <f t="array" ref="AF125">IF($J125="","",SUM(IF(LEFT($AG125:$CZ125,1)="X",1,0)))</f>
        <v/>
      </c>
    </row>
    <row r="126" spans="4:81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5"/>
        <v/>
      </c>
      <c r="M126" s="816" t="str">
        <f t="shared" si="56"/>
        <v/>
      </c>
      <c r="N126" s="816" t="str">
        <f t="shared" si="57"/>
        <v/>
      </c>
      <c r="R126" s="816" t="str">
        <f t="shared" si="58"/>
        <v/>
      </c>
      <c r="T126" s="829" t="str">
        <f t="shared" si="59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IF($J126="","",IF(SUM(IF(ISNUMBER(VALUE(RIGHT($AG126:$CH126,1))),VALUE(RIGHT($AG126:$CH126,1)),0))=$J126,"T","F"))</f>
        <v/>
      </c>
      <c r="AE126" s="816" t="str">
        <f t="array" ref="AE126">IF($J126="","",SUM(IF(LEFT($AG126:$DT126,1)="s",1,0))-SUM(IF(RIGHT(LEFT($AG126:$DT126,2))="-",1,0)))</f>
        <v/>
      </c>
      <c r="AF126" s="816" t="str">
        <f t="array" ref="AF126">IF($J126="","",SUM(IF(LEFT($AG126:$CZ126,1)="X",1,0)))</f>
        <v/>
      </c>
    </row>
    <row r="127" spans="4:81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5"/>
        <v/>
      </c>
      <c r="M127" s="816" t="str">
        <f t="shared" si="56"/>
        <v/>
      </c>
      <c r="N127" s="816" t="str">
        <f t="shared" si="57"/>
        <v/>
      </c>
      <c r="R127" s="816" t="str">
        <f t="shared" si="58"/>
        <v/>
      </c>
      <c r="T127" s="829" t="str">
        <f t="shared" si="59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IF($J127="","",IF(SUM(IF(ISNUMBER(VALUE(RIGHT($AG127:$CH127,1))),VALUE(RIGHT($AG127:$CH127,1)),0))=$J127,"T","F"))</f>
        <v/>
      </c>
      <c r="AE127" s="816" t="str">
        <f t="array" ref="AE127">IF($J127="","",SUM(IF(LEFT($AG127:$DT127,1)="s",1,0))-SUM(IF(RIGHT(LEFT($AG127:$DT127,2))="-",1,0)))</f>
        <v/>
      </c>
      <c r="AF127" s="816" t="str">
        <f t="array" ref="AF127">IF($J127="","",SUM(IF(LEFT($AG127:$CZ127,1)="X",1,0)))</f>
        <v/>
      </c>
    </row>
    <row r="128" spans="4:81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5"/>
        <v/>
      </c>
      <c r="M128" s="816" t="str">
        <f t="shared" si="56"/>
        <v/>
      </c>
      <c r="N128" s="816" t="str">
        <f t="shared" si="57"/>
        <v/>
      </c>
      <c r="R128" s="816" t="str">
        <f t="shared" si="58"/>
        <v/>
      </c>
      <c r="T128" s="829" t="str">
        <f t="shared" si="59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IF($J128="","",IF(SUM(IF(ISNUMBER(VALUE(RIGHT($AG128:$CH128,1))),VALUE(RIGHT($AG128:$CH128,1)),0))=$J128,"T","F"))</f>
        <v/>
      </c>
      <c r="AE128" s="816" t="str">
        <f t="array" ref="AE128">IF($J128="","",SUM(IF(LEFT($AG128:$DT128,1)="s",1,0))-SUM(IF(RIGHT(LEFT($AG128:$DT128,2))="-",1,0)))</f>
        <v/>
      </c>
      <c r="AF128" s="816" t="str">
        <f t="array" ref="AF128">IF($J128="","",SUM(IF(LEFT($AG128:$CZ128,1)="X",1,0)))</f>
        <v/>
      </c>
    </row>
    <row r="129" spans="7:29">
      <c r="G129" s="833"/>
      <c r="H129" s="833"/>
      <c r="I129" s="833"/>
      <c r="J129" s="833"/>
      <c r="K129" s="833"/>
      <c r="T129" s="829"/>
      <c r="U129" s="829"/>
      <c r="V129" s="829"/>
      <c r="W129" s="829"/>
      <c r="X129" s="829"/>
      <c r="Y129" s="829"/>
      <c r="Z129" s="829"/>
      <c r="AA129" s="829"/>
      <c r="AB129" s="829"/>
      <c r="AC129" s="829"/>
    </row>
    <row r="130" spans="7:29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7:29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7:29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7:29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7:29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7:29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7:29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7:29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7:29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7:29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7:29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7:29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7:29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7:29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7:29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</sheetData>
  <autoFilter ref="A22:DF75"/>
  <mergeCells count="3">
    <mergeCell ref="W19:X19"/>
    <mergeCell ref="Y19:Z19"/>
    <mergeCell ref="AA19:AB19"/>
  </mergeCells>
  <phoneticPr fontId="21" type="noConversion"/>
  <conditionalFormatting sqref="AD23:AD305">
    <cfRule type="cellIs" dxfId="1420" priority="59" operator="equal">
      <formula>"T"</formula>
    </cfRule>
  </conditionalFormatting>
  <conditionalFormatting sqref="N23:N305">
    <cfRule type="cellIs" dxfId="1419" priority="66" stopIfTrue="1" operator="equal">
      <formula>"U"</formula>
    </cfRule>
    <cfRule type="cellIs" dxfId="1418" priority="67" stopIfTrue="1" operator="equal">
      <formula>"O"</formula>
    </cfRule>
  </conditionalFormatting>
  <conditionalFormatting sqref="L23:L305">
    <cfRule type="cellIs" dxfId="1417" priority="64" stopIfTrue="1" operator="equal">
      <formula>"W"</formula>
    </cfRule>
    <cfRule type="cellIs" dxfId="1416" priority="65" stopIfTrue="1" operator="equal">
      <formula>"D"</formula>
    </cfRule>
  </conditionalFormatting>
  <conditionalFormatting sqref="AF23:AF305">
    <cfRule type="cellIs" dxfId="1415" priority="62" stopIfTrue="1" operator="notEqual">
      <formula>11</formula>
    </cfRule>
    <cfRule type="cellIs" dxfId="1414" priority="63" stopIfTrue="1" operator="between">
      <formula>0</formula>
      <formula>20</formula>
    </cfRule>
  </conditionalFormatting>
  <conditionalFormatting sqref="AE23:AE305">
    <cfRule type="cellIs" dxfId="1413" priority="60" stopIfTrue="1" operator="notEqual">
      <formula>0</formula>
    </cfRule>
    <cfRule type="cellIs" dxfId="1412" priority="61" stopIfTrue="1" operator="between">
      <formula>0</formula>
      <formula>20</formula>
    </cfRule>
  </conditionalFormatting>
  <conditionalFormatting sqref="CE19:CV19">
    <cfRule type="expression" dxfId="1411" priority="55">
      <formula>CE19="G"</formula>
    </cfRule>
    <cfRule type="expression" dxfId="1410" priority="56">
      <formula>CE19="M"</formula>
    </cfRule>
    <cfRule type="expression" dxfId="1409" priority="57">
      <formula>CE19="D"</formula>
    </cfRule>
    <cfRule type="expression" dxfId="1408" priority="58">
      <formula>CE19="A"</formula>
    </cfRule>
  </conditionalFormatting>
  <conditionalFormatting sqref="BI19:CD19 AK19:BG19">
    <cfRule type="expression" dxfId="1407" priority="51">
      <formula>AK19="G"</formula>
    </cfRule>
    <cfRule type="expression" dxfId="1406" priority="52">
      <formula>OR(AK19="M",AK19="CM",AK19="LM",AK19="RM",AK19="DM",AK19="AM")</formula>
    </cfRule>
    <cfRule type="expression" dxfId="1405" priority="53">
      <formula>OR(AK19="D",AK19="CB",AK19="LB",AK19="RB")</formula>
    </cfRule>
    <cfRule type="expression" dxfId="1404" priority="54">
      <formula>OR(AK19="A",AK19="CF",AK19="SS",AK19="ST",AK19="RW",AK19="LW")</formula>
    </cfRule>
  </conditionalFormatting>
  <conditionalFormatting sqref="BL23:BU65 BI23:BP26 BH27:BP70 AG23:BG70">
    <cfRule type="expression" dxfId="1403" priority="49">
      <formula>IF(ISNUMBER(VALUE(RIGHT(AG23,1))),1,0)</formula>
    </cfRule>
  </conditionalFormatting>
  <conditionalFormatting sqref="AG16:CC16">
    <cfRule type="top10" dxfId="1402" priority="463" stopIfTrue="1" rank="5"/>
  </conditionalFormatting>
  <conditionalFormatting sqref="AG15:CC15">
    <cfRule type="top10" dxfId="1401" priority="467" rank="11"/>
  </conditionalFormatting>
  <conditionalFormatting sqref="AG17:CC17">
    <cfRule type="top10" dxfId="1400" priority="471" stopIfTrue="1" rank="5"/>
  </conditionalFormatting>
  <conditionalFormatting sqref="BI14:BO17 AG14:CC14">
    <cfRule type="top10" dxfId="1399" priority="475" rank="11"/>
  </conditionalFormatting>
  <conditionalFormatting sqref="AP54:AP57">
    <cfRule type="expression" dxfId="1398" priority="43">
      <formula>IF(ISNUMBER(VALUE(RIGHT(AP54,1))),1,0)</formula>
    </cfRule>
  </conditionalFormatting>
  <conditionalFormatting sqref="AP23:AP53">
    <cfRule type="expression" dxfId="1397" priority="42">
      <formula>IF(ISNUMBER(VALUE(RIGHT(AP23,1))),1,0)</formula>
    </cfRule>
  </conditionalFormatting>
  <conditionalFormatting sqref="AG67:BA69">
    <cfRule type="expression" dxfId="1396" priority="41">
      <formula>IF(ISNUMBER(VALUE(RIGHT(AG67,1))),1,0)</formula>
    </cfRule>
  </conditionalFormatting>
  <conditionalFormatting sqref="AG19:AI19 AK19:BG19">
    <cfRule type="cellIs" dxfId="1395" priority="40" operator="equal">
      <formula>"M"</formula>
    </cfRule>
  </conditionalFormatting>
  <conditionalFormatting sqref="AG19:AI19 AK19:BG19">
    <cfRule type="cellIs" dxfId="1394" priority="39" operator="equal">
      <formula>"D"</formula>
    </cfRule>
  </conditionalFormatting>
  <conditionalFormatting sqref="AG19:AI19 AK19:BG19">
    <cfRule type="cellIs" dxfId="1393" priority="37" operator="equal">
      <formula>"G"</formula>
    </cfRule>
    <cfRule type="cellIs" dxfId="1392" priority="38" operator="equal">
      <formula>"A"</formula>
    </cfRule>
  </conditionalFormatting>
  <conditionalFormatting sqref="AG19:AI19 AK19:BG19">
    <cfRule type="containsText" dxfId="1391" priority="34" operator="containsText" text="FW">
      <formula>NOT(ISERROR(SEARCH("FW",AG19)))</formula>
    </cfRule>
    <cfRule type="containsText" dxfId="1390" priority="35" operator="containsText" text="MF">
      <formula>NOT(ISERROR(SEARCH("MF",AG19)))</formula>
    </cfRule>
    <cfRule type="containsText" dxfId="1389" priority="36" operator="containsText" text="DF">
      <formula>NOT(ISERROR(SEARCH("DF",AG19)))</formula>
    </cfRule>
  </conditionalFormatting>
  <conditionalFormatting sqref="AJ19">
    <cfRule type="expression" dxfId="1388" priority="8">
      <formula>AJ19="G"</formula>
    </cfRule>
    <cfRule type="expression" dxfId="1387" priority="9">
      <formula>OR(AJ19="M",AJ19="CM",AJ19="LM",AJ19="RM",AJ19="DM",AJ19="AM")</formula>
    </cfRule>
    <cfRule type="expression" dxfId="1386" priority="10">
      <formula>OR(AJ19="D",AJ19="CB",AJ19="LB",AJ19="RB")</formula>
    </cfRule>
    <cfRule type="expression" dxfId="1385" priority="11">
      <formula>OR(AJ19="A",AJ19="CF",AJ19="SS",AJ19="ST",AJ19="RW",AJ19="LW")</formula>
    </cfRule>
  </conditionalFormatting>
  <conditionalFormatting sqref="AJ19">
    <cfRule type="cellIs" dxfId="1384" priority="7" operator="equal">
      <formula>"M"</formula>
    </cfRule>
  </conditionalFormatting>
  <conditionalFormatting sqref="AJ19">
    <cfRule type="cellIs" dxfId="1383" priority="6" operator="equal">
      <formula>"D"</formula>
    </cfRule>
  </conditionalFormatting>
  <conditionalFormatting sqref="AJ19">
    <cfRule type="cellIs" dxfId="1382" priority="4" operator="equal">
      <formula>"G"</formula>
    </cfRule>
    <cfRule type="cellIs" dxfId="1381" priority="5" operator="equal">
      <formula>"A"</formula>
    </cfRule>
  </conditionalFormatting>
  <conditionalFormatting sqref="AJ19">
    <cfRule type="containsText" dxfId="1380" priority="1" operator="containsText" text="FW">
      <formula>NOT(ISERROR(SEARCH("FW",AJ19)))</formula>
    </cfRule>
    <cfRule type="containsText" dxfId="1379" priority="2" operator="containsText" text="MF">
      <formula>NOT(ISERROR(SEARCH("MF",AJ19)))</formula>
    </cfRule>
    <cfRule type="containsText" dxfId="1378" priority="3" operator="containsText" text="DF">
      <formula>NOT(ISERROR(SEARCH("DF",AJ19)))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DP241"/>
  <sheetViews>
    <sheetView zoomScale="90" zoomScaleNormal="90" workbookViewId="0">
      <pane xSplit="32" ySplit="22" topLeftCell="AJ56" activePane="bottomRight" state="frozen"/>
      <selection activeCell="AB20" sqref="AB20"/>
      <selection pane="topRight" activeCell="AB20" sqref="AB20"/>
      <selection pane="bottomLeft" activeCell="AB20" sqref="AB20"/>
      <selection pane="bottomRight" activeCell="U71" sqref="U71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6" width="3.75" style="230" customWidth="1"/>
    <col min="37" max="37" width="3.75" bestFit="1" customWidth="1"/>
    <col min="38" max="49" width="3.75" style="230" customWidth="1"/>
    <col min="50" max="50" width="3.75" customWidth="1"/>
    <col min="51" max="51" width="3.75" bestFit="1" customWidth="1"/>
    <col min="52" max="56" width="3.75" style="230" customWidth="1"/>
    <col min="57" max="57" width="3.75" bestFit="1" customWidth="1"/>
    <col min="58" max="59" width="3.75" customWidth="1"/>
    <col min="60" max="60" width="3.75" bestFit="1" customWidth="1"/>
    <col min="61" max="64" width="3.75" style="230" customWidth="1"/>
    <col min="65" max="65" width="3.75" bestFit="1" customWidth="1"/>
    <col min="66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K1" si="0">AG20</f>
        <v>Masahiro Okamoto</v>
      </c>
      <c r="AH1" s="814" t="str">
        <f t="shared" si="0"/>
        <v>Yuya Sato</v>
      </c>
      <c r="AI1" s="814" t="str">
        <f t="shared" si="0"/>
        <v>Kaito Yamamoto</v>
      </c>
      <c r="AJ1" s="814"/>
      <c r="AL1" s="814" t="str">
        <f t="shared" si="0"/>
        <v>Naoya Kondo</v>
      </c>
      <c r="AM1" s="814" t="str">
        <f t="shared" si="0"/>
        <v>Kengo Kitazume</v>
      </c>
      <c r="AN1" s="814"/>
      <c r="AO1" s="814" t="str">
        <f>AO20</f>
        <v>Yuki Okubo</v>
      </c>
      <c r="AP1" s="814" t="str">
        <f t="shared" si="0"/>
        <v>Masashi Wakasa</v>
      </c>
      <c r="AQ1" s="814" t="str">
        <f>AQ20</f>
        <v>Yusuke Higa</v>
      </c>
      <c r="AR1" s="814" t="str">
        <f>AR20</f>
        <v>Jun Okano</v>
      </c>
      <c r="AS1" s="814" t="str">
        <f t="shared" ref="AS1" si="1">AS20</f>
        <v>Shohei Abe</v>
      </c>
      <c r="AT1" s="814" t="str">
        <f>BO20</f>
        <v>Takaharu Nishino</v>
      </c>
      <c r="AU1" s="814"/>
      <c r="AV1" s="814"/>
      <c r="AW1" s="814" t="str">
        <f>AX20</f>
        <v>Yuto Sato</v>
      </c>
      <c r="AZ1" s="814">
        <f>BS20</f>
        <v>0</v>
      </c>
      <c r="BA1" s="814" t="str">
        <f>BB20</f>
        <v>Naotake Hanyu</v>
      </c>
      <c r="BB1" s="814" t="str">
        <f>BC20</f>
        <v>Issei TAKAHASHI</v>
      </c>
      <c r="BC1" s="814" t="str">
        <f>BD20</f>
        <v>Koki Kiyotake</v>
      </c>
      <c r="BD1" s="814" t="str">
        <f>BI20</f>
        <v>Joaquín Larrivey</v>
      </c>
      <c r="BI1" s="814"/>
      <c r="BJ1" s="814"/>
      <c r="BK1" s="814"/>
      <c r="BL1" s="814" t="e">
        <f>#REF!</f>
        <v>#REF!</v>
      </c>
      <c r="BN1" s="814"/>
      <c r="BO1" s="814" t="e">
        <f>#REF!</f>
        <v>#REF!</v>
      </c>
      <c r="BQ1" s="814">
        <f>BQ20</f>
        <v>0</v>
      </c>
      <c r="BR1" s="814">
        <f>BR20</f>
        <v>0</v>
      </c>
      <c r="BS1" s="814" t="e">
        <f>#REF!</f>
        <v>#REF!</v>
      </c>
      <c r="BT1" s="814"/>
      <c r="BU1" s="814"/>
      <c r="BV1" s="814"/>
      <c r="BW1" s="814"/>
      <c r="BX1" s="814">
        <f t="shared" ref="BX1:CD1" si="2">BX20</f>
        <v>0</v>
      </c>
      <c r="BY1" s="814">
        <f t="shared" si="2"/>
        <v>0</v>
      </c>
      <c r="BZ1" s="814">
        <f t="shared" si="2"/>
        <v>0</v>
      </c>
      <c r="CA1" s="814">
        <f t="shared" si="2"/>
        <v>0</v>
      </c>
      <c r="CB1" s="814">
        <f t="shared" si="2"/>
        <v>0</v>
      </c>
      <c r="CC1" s="814">
        <f t="shared" si="2"/>
        <v>0</v>
      </c>
      <c r="CD1" s="814">
        <f t="shared" si="2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SUM(IF(L$23:L$243="",0,1)*IF(ISBLANK($T$1),1,IF($I$23:$I$243=$T$1,1,0)))</f>
        <v>45</v>
      </c>
      <c r="AG2" s="874">
        <f t="array" ref="AG2">SUM(IF(ISBLANK(AG$23:AG$243),0,IF(AG$23:AG$243="susp",0,1))*IF(ISBLANK($T$1),1,IF($I$23:$I$243=$T$1,1,0)))</f>
        <v>36</v>
      </c>
      <c r="AH2" s="874">
        <f t="array" ref="AH2">SUM(IF(ISBLANK(AH$23:AH$243),0,IF(AH$23:AH$243="susp",0,1))*IF(ISBLANK($T$1),1,IF($I$23:$I$243=$T$1,1,0)))</f>
        <v>45</v>
      </c>
      <c r="AI2" s="874">
        <f t="array" ref="AI2">SUM(IF(ISBLANK(AI$23:AI$243),0,IF(AI$23:AI$243="susp",0,1))*IF(ISBLANK($T$1),1,IF($I$23:$I$243=$T$1,1,0)))</f>
        <v>44</v>
      </c>
      <c r="AL2" s="874">
        <f t="array" ref="AL2">SUM(IF(ISBLANK(AL$23:AL$243),0,IF(AL$23:AL$243="susp",0,1))*IF(ISBLANK($T$1),1,IF($I$23:$I$243=$T$1,1,0)))</f>
        <v>45</v>
      </c>
      <c r="AM2" s="874">
        <f t="array" ref="AM2">SUM(IF(ISBLANK(AM$23:AM$243),0,IF(AM$23:AM$243="susp",0,1))*IF(ISBLANK($T$1),1,IF($I$23:$I$243=$T$1,1,0)))</f>
        <v>45</v>
      </c>
      <c r="AO2" s="874">
        <f t="array" ref="AO2">SUM(IF(ISBLANK(AO$23:AO$243),0,IF(AO$23:AO$243="susp",0,1))*IF(ISBLANK($T$1),1,IF($I$23:$I$243=$T$1,1,0)))</f>
        <v>44</v>
      </c>
      <c r="AP2" s="874">
        <f t="array" ref="AP2">SUM(IF(ISBLANK(AP$23:AP$243),0,IF(AP$23:AP$243="susp",0,1))*IF(ISBLANK($T$1),1,IF($I$23:$I$243=$T$1,1,0)))</f>
        <v>44</v>
      </c>
      <c r="AQ2" s="874">
        <f t="array" ref="AQ2">SUM(IF(ISBLANK(AQ$23:AQ$243),0,IF(AQ$23:AQ$243="susp",0,1))*IF(ISBLANK($T$1),1,IF($I$23:$I$243=$T$1,1,0)))</f>
        <v>45</v>
      </c>
      <c r="AR2" s="874">
        <f t="array" ref="AR2">SUM(IF(ISBLANK(AR$23:AR$243),0,IF(AR$23:AR$243="susp",0,1))*IF(ISBLANK($T$1),1,IF($I$23:$I$243=$T$1,1,0)))</f>
        <v>44</v>
      </c>
      <c r="AS2" s="874">
        <f t="array" ref="AS2">SUM(IF(ISBLANK(AS$23:AS$243),0,IF(AS$23:AS$243="susp",0,1))*IF(ISBLANK($T$1),1,IF($I$23:$I$243=$T$1,1,0)))</f>
        <v>43</v>
      </c>
      <c r="AT2" s="874">
        <f t="array" ref="AT2">SUM(IF(ISBLANK(AT$23:AT$243),0,IF(AT$23:AT$243="susp",0,1))*IF(ISBLANK($T$1),1,IF($I$23:$I$243=$T$1,1,0)))</f>
        <v>44</v>
      </c>
      <c r="AW2" s="874">
        <f t="array" ref="AW2">SUM(IF(ISBLANK(AW$23:AW$243),0,IF(AW$23:AW$243="susp",0,1))*IF(ISBLANK($T$1),1,IF($I$23:$I$243=$T$1,1,0)))</f>
        <v>43</v>
      </c>
      <c r="AZ2" s="874">
        <f t="array" ref="AZ2">SUM(IF(ISBLANK(AZ$23:AZ$243),0,IF(AZ$23:AZ$243="susp",0,1))*IF(ISBLANK($T$1),1,IF($I$23:$I$243=$T$1,1,0)))</f>
        <v>45</v>
      </c>
      <c r="BA2" s="874">
        <f t="array" ref="BA2">SUM(IF(ISBLANK(BA$23:BA$243),0,IF(BA$23:BA$243="susp",0,1))*IF(ISBLANK($T$1),1,IF($I$23:$I$243=$T$1,1,0)))</f>
        <v>44</v>
      </c>
      <c r="BB2" s="874">
        <f t="array" ref="BB2">SUM(IF(ISBLANK(BB$23:BB$243),0,IF(BB$23:BB$243="susp",0,1))*IF(ISBLANK($T$1),1,IF($I$23:$I$243=$T$1,1,0)))</f>
        <v>44</v>
      </c>
      <c r="BC2" s="874">
        <f t="array" ref="BC2">SUM(IF(ISBLANK(BC$23:BC$243),0,IF(BC$23:BC$243="susp",0,1))*IF(ISBLANK($T$1),1,IF($I$23:$I$243=$T$1,1,0)))</f>
        <v>45</v>
      </c>
      <c r="BD2" s="874">
        <f t="array" ref="BD2">SUM(IF(ISBLANK(BD$23:BD$243),0,IF(BD$23:BD$243="susp",0,1))*IF(ISBLANK($T$1),1,IF($I$23:$I$243=$T$1,1,0)))</f>
        <v>45</v>
      </c>
      <c r="BL2" s="874">
        <f t="array" ref="BL2">SUM(IF(ISBLANK(BL$27:BL$243),0,IF(BL$27:BL$243="susp",0,1))*IF(ISBLANK($T$1),1,IF($I$23:$I$243=$T$1,1,0)))</f>
        <v>11</v>
      </c>
      <c r="BO2" s="874">
        <f t="array" ref="BO2">SUM(IF(ISBLANK(BO$23:BO$243),0,IF(BO$23:BO$243="susp",0,1))*IF(ISBLANK($T$1),1,IF($I$23:$I$243=$T$1,1,0)))</f>
        <v>23</v>
      </c>
      <c r="BQ2" s="874">
        <f t="array" ref="BQ2">SUM(IF(ISBLANK(BQ$23:BQ$243),0,IF(BQ$23:BQ$243="susp",0,1))*IF(ISBLANK($T$1),1,IF($I$23:$I$243=$T$1,1,0)))</f>
        <v>1</v>
      </c>
      <c r="BR2" s="874">
        <f t="array" ref="BR2">SUM(IF(ISBLANK(BR$23:BR$243),0,IF(BR$23:BR$243="susp",0,1))*IF(ISBLANK($T$1),1,IF($I$23:$I$243=$T$1,1,0)))</f>
        <v>1</v>
      </c>
      <c r="BS2" s="874">
        <f t="array" ref="BS2">SUM(IF(ISBLANK(BS$45:BS$243),0,IF(BS$45:BS$243="susp",0,1))*IF(ISBLANK($T$1),1,IF($I$23:$I$243=$T$1,1,0)))</f>
        <v>1</v>
      </c>
      <c r="BX2" s="874">
        <f t="array" ref="BX2">SUM(IF(ISBLANK(BX$23:BX$243),0,IF(BX$23:BX$243="susp",0,1))*IF(ISBLANK($T$1),1,IF($I$23:$I$243=$T$1,1,0)))</f>
        <v>1</v>
      </c>
      <c r="BY2" s="874">
        <f t="array" ref="BY2">SUM(IF(ISBLANK(BY$23:BY$243),0,IF(BY$23:BY$243="susp",0,1))*IF(ISBLANK($T$1),1,IF($I$23:$I$243=$T$1,1,0)))</f>
        <v>1</v>
      </c>
      <c r="BZ2" s="874">
        <f t="array" ref="BZ2">SUM(IF(ISBLANK(BZ$23:BZ$243),0,IF(BZ$23:BZ$243="susp",0,1))*IF(ISBLANK($T$1),1,IF($I$23:$I$243=$T$1,1,0)))</f>
        <v>0</v>
      </c>
      <c r="CA2" s="874">
        <f t="array" ref="CA2">SUM(IF(ISBLANK(CA$23:CA$243),0,IF(CA$23:CA$243="susp",0,1))*IF(ISBLANK($T$1),1,IF($I$23:$I$243=$T$1,1,0)))</f>
        <v>0</v>
      </c>
      <c r="CB2" s="874">
        <f t="array" ref="CB2">SUM(IF(ISBLANK(CB$23:CB$243),0,IF(CB$23:CB$243="susp",0,1))*IF(ISBLANK($T$1),1,IF($I$23:$I$243=$T$1,1,0)))</f>
        <v>0</v>
      </c>
      <c r="CC2" s="874">
        <f t="array" ref="CC2">SUM(IF(ISBLANK(CC$23:CC$243),0,IF(CC$23:CC$243="susp",0,1))*IF(ISBLANK($T$1),1,IF($I$23:$I$243=$T$1,1,0)))</f>
        <v>0</v>
      </c>
      <c r="CD2" s="874">
        <f t="array" ref="CD2">SUM(IF(ISBLANK(CD$23:CD$243),0,IF(CD$23:CD$243="susp",0,1))*IF(ISBLANK($T$1),1,IF($I$23:$I$243=$T$1,1,0)))</f>
        <v>0</v>
      </c>
      <c r="CE2" s="874">
        <f t="array" ref="CE2">SUM(IF(ISBLANK(CE$23:CE$243),0,IF(CE$23:CE$243="susp",0,1))*IF(ISBLANK($T$1),1,IF($I$23:$I$243=$T$1,1,0)))</f>
        <v>0</v>
      </c>
      <c r="CF2" s="874">
        <f t="array" ref="CF2">SUM(IF(ISBLANK(CF$23:CF$243),0,IF(CF$23:CF$243="susp",0,1))*IF(ISBLANK($T$1),1,IF($I$23:$I$243=$T$1,1,0)))</f>
        <v>0</v>
      </c>
      <c r="CG2" s="874">
        <f t="array" ref="CG2">SUM(IF(ISBLANK(CG$23:CG$243),0,IF(CG$23:CG$243="susp",0,1))*IF(ISBLANK($T$1),1,IF($I$23:$I$243=$T$1,1,0)))</f>
        <v>0</v>
      </c>
      <c r="CH2" s="874">
        <f t="array" ref="CH2">SUM(IF(ISBLANK(CH$23:CH$243),0,IF(CH$23:CH$243="susp",0,1))*IF(ISBLANK($T$1),1,IF($I$23:$I$243=$T$1,1,0)))</f>
        <v>0</v>
      </c>
      <c r="CI2" s="874">
        <f t="array" ref="CI2">SUM(IF(ISBLANK(CI$23:CI$243),0,IF(CI$23:CI$243="susp",0,1))*IF(ISBLANK($T$1),1,IF($I$23:$I$243=$T$1,1,0)))</f>
        <v>16</v>
      </c>
      <c r="CJ2" s="874">
        <f t="array" ref="CJ2">SUM(IF(ISBLANK(CJ$23:CJ$243),0,IF(CJ$23:CJ$243="susp",0,1))*IF(ISBLANK($T$1),1,IF($I$23:$I$243=$T$1,1,0)))</f>
        <v>16</v>
      </c>
      <c r="CK2" s="874">
        <f t="array" ref="CK2">SUM(IF(ISBLANK(CK$23:CK$243),0,IF(CK$23:CK$243="susp",0,1))*IF(ISBLANK($T$1),1,IF($I$23:$I$243=$T$1,1,0)))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SUM(IF(L$23:L$243="W",1,0)*IF(ISBLANK($T$1),1,IF($I$23:$I$243=$T$1,1,0)))</f>
        <v>21</v>
      </c>
      <c r="AG3" s="874">
        <f t="array" ref="AG3">SUM(IF(ISTEXT(AG$23:AG$243),1,0)*IF(($L$23:$L$243)="W",1,0)*IF(ISBLANK($T$1),1,IF($I$23:$I$243=$T$1,1,0)))</f>
        <v>19</v>
      </c>
      <c r="AH3" s="874">
        <f t="array" ref="AH3">SUM(IF(ISTEXT(AH$23:AH$243),1,0)*IF(($L$23:$L$243)="W",1,0)*IF(ISBLANK($T$1),1,IF($I$23:$I$243=$T$1,1,0)))</f>
        <v>21</v>
      </c>
      <c r="AI3" s="874">
        <f t="array" ref="AI3">SUM(IF(ISTEXT(AI$23:AI$243),1,0)*IF(($L$23:$L$243)="W",1,0)*IF(ISBLANK($T$1),1,IF($I$23:$I$243=$T$1,1,0)))</f>
        <v>21</v>
      </c>
      <c r="AL3" s="874">
        <f t="array" ref="AL3">SUM(IF(ISTEXT(AL$23:AL$243),1,0)*IF(($L$23:$L$243)="W",1,0)*IF(ISBLANK($T$1),1,IF($I$23:$I$243=$T$1,1,0)))</f>
        <v>21</v>
      </c>
      <c r="AM3" s="874">
        <f t="array" ref="AM3">SUM(IF(ISTEXT(AM$23:AM$243),1,0)*IF(($L$23:$L$243)="W",1,0)*IF(ISBLANK($T$1),1,IF($I$23:$I$243=$T$1,1,0)))</f>
        <v>21</v>
      </c>
      <c r="AO3" s="874">
        <f t="array" ref="AO3">SUM(IF(ISTEXT(AO$23:AO$243),1,0)*IF(($L$23:$L$243)="W",1,0)*IF(ISBLANK($T$1),1,IF($I$23:$I$243=$T$1,1,0)))</f>
        <v>21</v>
      </c>
      <c r="AP3" s="874">
        <f t="array" ref="AP3">SUM(IF(ISTEXT(AP$23:AP$243),1,0)*IF(($L$23:$L$243)="W",1,0)*IF(ISBLANK($T$1),1,IF($I$23:$I$243=$T$1,1,0)))</f>
        <v>21</v>
      </c>
      <c r="AQ3" s="874">
        <f t="array" ref="AQ3">SUM(IF(ISTEXT(AQ$23:AQ$243),1,0)*IF(($L$23:$L$243)="W",1,0)*IF(ISBLANK($T$1),1,IF($I$23:$I$243=$T$1,1,0)))</f>
        <v>21</v>
      </c>
      <c r="AR3" s="874">
        <f t="array" ref="AR3">SUM(IF(ISTEXT(AR$23:AR$243),1,0)*IF(($L$23:$L$243)="W",1,0)*IF(ISBLANK($T$1),1,IF($I$23:$I$243=$T$1,1,0)))</f>
        <v>20</v>
      </c>
      <c r="AS3" s="874">
        <f t="array" ref="AS3">SUM(IF(ISTEXT(AS$23:AS$243),1,0)*IF(($L$23:$L$243)="W",1,0)*IF(ISBLANK($T$1),1,IF($I$23:$I$243=$T$1,1,0)))</f>
        <v>20</v>
      </c>
      <c r="AT3" s="874">
        <f t="array" ref="AT3">SUM(IF(ISTEXT(AT$23:AT$243),1,0)*IF(($L$23:$L$243)="W",1,0)*IF(ISBLANK($T$1),1,IF($I$23:$I$243=$T$1,1,0)))</f>
        <v>20</v>
      </c>
      <c r="AW3" s="874">
        <f t="array" ref="AW3">SUM(IF(ISTEXT(AW$23:AW$243),1,0)*IF(($L$23:$L$243)="W",1,0)*IF(ISBLANK($T$1),1,IF($I$23:$I$243=$T$1,1,0)))</f>
        <v>20</v>
      </c>
      <c r="AZ3" s="874">
        <f t="array" ref="AZ3">SUM(IF(ISTEXT(AZ$23:AZ$243),1,0)*IF(($L$23:$L$243)="W",1,0)*IF(ISBLANK($T$1),1,IF($I$23:$I$243=$T$1,1,0)))</f>
        <v>21</v>
      </c>
      <c r="BA3" s="874">
        <f t="array" ref="BA3">SUM(IF(ISTEXT(BA$23:BA$243),1,0)*IF(($L$23:$L$243)="W",1,0)*IF(ISBLANK($T$1),1,IF($I$23:$I$243=$T$1,1,0)))</f>
        <v>21</v>
      </c>
      <c r="BB3" s="874">
        <f t="array" ref="BB3">SUM(IF(ISTEXT(BB$23:BB$243),1,0)*IF(($L$23:$L$243)="W",1,0)*IF(ISBLANK($T$1),1,IF($I$23:$I$243=$T$1,1,0)))</f>
        <v>21</v>
      </c>
      <c r="BC3" s="874">
        <f t="array" ref="BC3">SUM(IF(ISTEXT(BC$23:BC$243),1,0)*IF(($L$23:$L$243)="W",1,0)*IF(ISBLANK($T$1),1,IF($I$23:$I$243=$T$1,1,0)))</f>
        <v>21</v>
      </c>
      <c r="BD3" s="874">
        <f t="array" ref="BD3">SUM(IF(ISTEXT(BD$23:BD$243),1,0)*IF(($L$23:$L$243)="W",1,0)*IF(ISBLANK($T$1),1,IF($I$23:$I$243=$T$1,1,0)))</f>
        <v>21</v>
      </c>
      <c r="BL3" s="874" t="e">
        <f t="array" ref="BL3">SUM(IF(ISTEXT(BL$27:BL$243),1,0)*IF(($L$23:$L$243)="W",1,0)*IF(ISBLANK($T$1),1,IF($I$23:$I$243=$T$1,1,0)))</f>
        <v>#N/A</v>
      </c>
      <c r="BO3" s="874">
        <f t="array" ref="BO3">SUM(IF(ISTEXT(BO$23:BO$243),1,0)*IF(($L$23:$L$243)="W",1,0)*IF(ISBLANK($T$1),1,IF($I$23:$I$243=$T$1,1,0)))</f>
        <v>8</v>
      </c>
      <c r="BQ3" s="874">
        <f t="array" ref="BQ3">SUM(IF(ISTEXT(BQ$23:BQ$243),1,0)*IF(($L$23:$L$243)="W",1,0)*IF(ISBLANK($T$1),1,IF($I$23:$I$243=$T$1,1,0)))</f>
        <v>0</v>
      </c>
      <c r="BR3" s="874">
        <f t="array" ref="BR3">SUM(IF(ISTEXT(BR$23:BR$243),1,0)*IF(($L$23:$L$243)="W",1,0)*IF(ISBLANK($T$1),1,IF($I$23:$I$243=$T$1,1,0)))</f>
        <v>0</v>
      </c>
      <c r="BS3" s="874" t="e">
        <f t="array" ref="BS3">SUM(IF(ISTEXT(BS$45:BS$243),1,0)*IF(($L$23:$L$243)="W",1,0)*IF(ISBLANK($T$1),1,IF($I$23:$I$243=$T$1,1,0)))</f>
        <v>#N/A</v>
      </c>
      <c r="BX3" s="874">
        <f t="array" ref="BX3">SUM(IF(ISTEXT(BX$23:BX$243),1,0)*IF(($L$23:$L$243)="W",1,0)*IF(ISBLANK($T$1),1,IF($I$23:$I$243=$T$1,1,0)))</f>
        <v>0</v>
      </c>
      <c r="BY3" s="874">
        <f t="array" ref="BY3">SUM(IF(ISTEXT(BY$23:BY$243),1,0)*IF(($L$23:$L$243)="W",1,0)*IF(ISBLANK($T$1),1,IF($I$23:$I$243=$T$1,1,0)))</f>
        <v>0</v>
      </c>
      <c r="BZ3" s="874">
        <f t="array" ref="BZ3">SUM(IF(ISTEXT(BZ$23:BZ$243),1,0)*IF(($L$23:$L$243)="W",1,0)*IF(ISBLANK($T$1),1,IF($I$23:$I$243=$T$1,1,0)))</f>
        <v>0</v>
      </c>
      <c r="CA3" s="874">
        <f t="array" ref="CA3">SUM(IF(ISTEXT(CA$23:CA$243),1,0)*IF(($L$23:$L$243)="W",1,0)*IF(ISBLANK($T$1),1,IF($I$23:$I$243=$T$1,1,0)))</f>
        <v>0</v>
      </c>
      <c r="CB3" s="874">
        <f t="array" ref="CB3">SUM(IF(ISTEXT(CB$23:CB$243),1,0)*IF(($L$23:$L$243)="W",1,0)*IF(ISBLANK($T$1),1,IF($I$23:$I$243=$T$1,1,0)))</f>
        <v>0</v>
      </c>
      <c r="CC3" s="874">
        <f t="array" ref="CC3">SUM(IF(ISTEXT(CC$23:CC$243),1,0)*IF(($L$23:$L$243)="W",1,0)*IF(ISBLANK($T$1),1,IF($I$23:$I$243=$T$1,1,0)))</f>
        <v>0</v>
      </c>
      <c r="CD3" s="874">
        <f t="array" ref="CD3">SUM(IF(ISTEXT(CD$23:CD$243),1,0)*IF(($L$23:$L$243)="W",1,0)*IF(ISBLANK($T$1),1,IF($I$23:$I$243=$T$1,1,0)))</f>
        <v>0</v>
      </c>
      <c r="CE3" s="874">
        <f t="array" ref="CE3">SUM(IF(ISTEXT(CE$23:CE$243),1,0)*IF(($L$23:$L$243)="W",1,0)*IF(ISBLANK($T$1),1,IF($I$23:$I$243=$T$1,1,0)))</f>
        <v>0</v>
      </c>
      <c r="CF3" s="874">
        <f t="array" ref="CF3">SUM(IF(ISTEXT(CF$23:CF$243),1,0)*IF(($L$23:$L$243)="W",1,0)*IF(ISBLANK($T$1),1,IF($I$23:$I$243=$T$1,1,0)))</f>
        <v>0</v>
      </c>
      <c r="CG3" s="874">
        <f t="array" ref="CG3">SUM(IF(ISTEXT(CG$23:CG$243),1,0)*IF(($L$23:$L$243)="W",1,0)*IF(ISBLANK($T$1),1,IF($I$23:$I$243=$T$1,1,0)))</f>
        <v>0</v>
      </c>
      <c r="CH3" s="874">
        <f t="array" ref="CH3">SUM(IF(ISTEXT(CH$23:CH$243),1,0)*IF(($L$23:$L$243)="W",1,0)*IF(ISBLANK($T$1),1,IF($I$23:$I$243=$T$1,1,0)))</f>
        <v>0</v>
      </c>
      <c r="CI3" s="874">
        <f t="array" ref="CI3">SUM(IF(ISTEXT(CI$23:CI$243),1,0)*IF(($L$23:$L$243)="W",1,0)*IF(ISBLANK($T$1),1,IF($I$23:$I$243=$T$1,1,0)))</f>
        <v>6</v>
      </c>
      <c r="CJ3" s="874">
        <f t="array" ref="CJ3">SUM(IF(ISTEXT(CJ$23:CJ$243),1,0)*IF(($L$23:$L$243)="W",1,0)*IF(ISBLANK($T$1),1,IF($I$23:$I$243=$T$1,1,0)))</f>
        <v>6</v>
      </c>
      <c r="CK3" s="874">
        <f t="array" ref="CK3">SUM(IF(ISTEXT(CK$23:CK$243),1,0)*IF(($L$23:$L$243)="W",1,0)*IF(ISBLANK($T$1),1,IF($I$23:$I$243=$T$1,1,0)))</f>
        <v>5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SUM(IF(L$23:L$243="D",1,0)*IF(ISBLANK($T$1),1,IF($I$23:$I$243=$T$1,1,0)))</f>
        <v>8</v>
      </c>
      <c r="AG4" s="874">
        <f t="array" ref="AG4">SUM(IF(ISTEXT(AG$23:AG$243),1,0)*IF(($L$23:$L$243)="D",1,0)*IF(ISBLANK($T$1),1,IF($I$23:$I$243=$T$1,1,0)))</f>
        <v>6</v>
      </c>
      <c r="AH4" s="874">
        <f t="array" ref="AH4">SUM(IF(ISTEXT(AH$23:AH$243),1,0)*IF(($L$23:$L$243)="D",1,0)*IF(ISBLANK($T$1),1,IF($I$23:$I$243=$T$1,1,0)))</f>
        <v>8</v>
      </c>
      <c r="AI4" s="874">
        <f t="array" ref="AI4">SUM(IF(ISTEXT(AI$23:AI$243),1,0)*IF(($L$23:$L$243)="D",1,0)*IF(ISBLANK($T$1),1,IF($I$23:$I$243=$T$1,1,0)))</f>
        <v>8</v>
      </c>
      <c r="AL4" s="874">
        <f t="array" ref="AL4">SUM(IF(ISTEXT(AL$23:AL$243),1,0)*IF(($L$23:$L$243)="D",1,0)*IF(ISBLANK($T$1),1,IF($I$23:$I$243=$T$1,1,0)))</f>
        <v>8</v>
      </c>
      <c r="AM4" s="874">
        <f t="array" ref="AM4">SUM(IF(ISTEXT(AM$23:AM$243),1,0)*IF(($L$23:$L$243)="D",1,0)*IF(ISBLANK($T$1),1,IF($I$23:$I$243=$T$1,1,0)))</f>
        <v>8</v>
      </c>
      <c r="AO4" s="874">
        <f t="array" ref="AO4">SUM(IF(ISTEXT(AO$23:AO$243),1,0)*IF(($L$23:$L$243)="D",1,0)*IF(ISBLANK($T$1),1,IF($I$23:$I$243=$T$1,1,0)))</f>
        <v>8</v>
      </c>
      <c r="AP4" s="874">
        <f t="array" ref="AP4">SUM(IF(ISTEXT(AP$23:AP$243),1,0)*IF(($L$23:$L$243)="D",1,0)*IF(ISBLANK($T$1),1,IF($I$23:$I$243=$T$1,1,0)))</f>
        <v>8</v>
      </c>
      <c r="AQ4" s="874">
        <f t="array" ref="AQ4">SUM(IF(ISTEXT(AQ$23:AQ$243),1,0)*IF(($L$23:$L$243)="D",1,0)*IF(ISBLANK($T$1),1,IF($I$23:$I$243=$T$1,1,0)))</f>
        <v>8</v>
      </c>
      <c r="AR4" s="874">
        <f t="array" ref="AR4">SUM(IF(ISTEXT(AR$23:AR$243),1,0)*IF(($L$23:$L$243)="D",1,0)*IF(ISBLANK($T$1),1,IF($I$23:$I$243=$T$1,1,0)))</f>
        <v>8</v>
      </c>
      <c r="AS4" s="874">
        <f t="array" ref="AS4">SUM(IF(ISTEXT(AS$23:AS$243),1,0)*IF(($L$23:$L$243)="D",1,0)*IF(ISBLANK($T$1),1,IF($I$23:$I$243=$T$1,1,0)))</f>
        <v>8</v>
      </c>
      <c r="AT4" s="874">
        <f t="array" ref="AT4">SUM(IF(ISTEXT(AT$23:AT$243),1,0)*IF(($L$23:$L$243)="D",1,0)*IF(ISBLANK($T$1),1,IF($I$23:$I$243=$T$1,1,0)))</f>
        <v>8</v>
      </c>
      <c r="AW4" s="874">
        <f t="array" ref="AW4">SUM(IF(ISTEXT(AW$23:AW$243),1,0)*IF(($L$23:$L$243)="D",1,0)*IF(ISBLANK($T$1),1,IF($I$23:$I$243=$T$1,1,0)))</f>
        <v>8</v>
      </c>
      <c r="AZ4" s="874">
        <f t="array" ref="AZ4">SUM(IF(ISTEXT(AZ$23:AZ$243),1,0)*IF(($L$23:$L$243)="D",1,0)*IF(ISBLANK($T$1),1,IF($I$23:$I$243=$T$1,1,0)))</f>
        <v>8</v>
      </c>
      <c r="BA4" s="874">
        <f t="array" ref="BA4">SUM(IF(ISTEXT(BA$23:BA$243),1,0)*IF(($L$23:$L$243)="D",1,0)*IF(ISBLANK($T$1),1,IF($I$23:$I$243=$T$1,1,0)))</f>
        <v>8</v>
      </c>
      <c r="BB4" s="874">
        <f t="array" ref="BB4">SUM(IF(ISTEXT(BB$23:BB$243),1,0)*IF(($L$23:$L$243)="D",1,0)*IF(ISBLANK($T$1),1,IF($I$23:$I$243=$T$1,1,0)))</f>
        <v>8</v>
      </c>
      <c r="BC4" s="874">
        <f t="array" ref="BC4">SUM(IF(ISTEXT(BC$23:BC$243),1,0)*IF(($L$23:$L$243)="D",1,0)*IF(ISBLANK($T$1),1,IF($I$23:$I$243=$T$1,1,0)))</f>
        <v>8</v>
      </c>
      <c r="BD4" s="874">
        <f t="array" ref="BD4">SUM(IF(ISTEXT(BD$23:BD$243),1,0)*IF(($L$23:$L$243)="D",1,0)*IF(ISBLANK($T$1),1,IF($I$23:$I$243=$T$1,1,0)))</f>
        <v>8</v>
      </c>
      <c r="BL4" s="874" t="e">
        <f t="array" ref="BL4">SUM(IF(ISTEXT(BL$27:BL$243),1,0)*IF(($L$23:$L$243)="D",1,0)*IF(ISBLANK($T$1),1,IF($I$23:$I$243=$T$1,1,0)))</f>
        <v>#N/A</v>
      </c>
      <c r="BO4" s="874">
        <f t="array" ref="BO4">SUM(IF(ISTEXT(BO$23:BO$243),1,0)*IF(($L$23:$L$243)="D",1,0)*IF(ISBLANK($T$1),1,IF($I$23:$I$243=$T$1,1,0)))</f>
        <v>7</v>
      </c>
      <c r="BQ4" s="874">
        <f t="array" ref="BQ4">SUM(IF(ISTEXT(BQ$23:BQ$243),1,0)*IF(($L$23:$L$243)="D",1,0)*IF(ISBLANK($T$1),1,IF($I$23:$I$243=$T$1,1,0)))</f>
        <v>0</v>
      </c>
      <c r="BR4" s="874">
        <f t="array" ref="BR4">SUM(IF(ISTEXT(BR$23:BR$243),1,0)*IF(($L$23:$L$243)="D",1,0)*IF(ISBLANK($T$1),1,IF($I$23:$I$243=$T$1,1,0)))</f>
        <v>0</v>
      </c>
      <c r="BS4" s="874" t="e">
        <f t="array" ref="BS4">SUM(IF(ISTEXT(BS$45:BS$243),1,0)*IF(($L$23:$L$243)="D",1,0)*IF(ISBLANK($T$1),1,IF($I$23:$I$243=$T$1,1,0)))</f>
        <v>#N/A</v>
      </c>
      <c r="BX4" s="874">
        <f t="array" ref="BX4">SUM(IF(ISTEXT(BX$23:BX$243),1,0)*IF(($L$23:$L$243)="D",1,0)*IF(ISBLANK($T$1),1,IF($I$23:$I$243=$T$1,1,0)))</f>
        <v>0</v>
      </c>
      <c r="BY4" s="874">
        <f t="array" ref="BY4">SUM(IF(ISTEXT(BY$23:BY$243),1,0)*IF(($L$23:$L$243)="D",1,0)*IF(ISBLANK($T$1),1,IF($I$23:$I$243=$T$1,1,0)))</f>
        <v>0</v>
      </c>
      <c r="BZ4" s="874">
        <f t="array" ref="BZ4">SUM(IF(ISTEXT(BZ$23:BZ$243),1,0)*IF(($L$23:$L$243)="D",1,0)*IF(ISBLANK($T$1),1,IF($I$23:$I$243=$T$1,1,0)))</f>
        <v>0</v>
      </c>
      <c r="CA4" s="874">
        <f t="array" ref="CA4">SUM(IF(ISTEXT(CA$23:CA$243),1,0)*IF(($L$23:$L$243)="D",1,0)*IF(ISBLANK($T$1),1,IF($I$23:$I$243=$T$1,1,0)))</f>
        <v>0</v>
      </c>
      <c r="CB4" s="874">
        <f t="array" ref="CB4">SUM(IF(ISTEXT(CB$23:CB$243),1,0)*IF(($L$23:$L$243)="D",1,0)*IF(ISBLANK($T$1),1,IF($I$23:$I$243=$T$1,1,0)))</f>
        <v>0</v>
      </c>
      <c r="CC4" s="874">
        <f t="array" ref="CC4">SUM(IF(ISTEXT(CC$23:CC$243),1,0)*IF(($L$23:$L$243)="D",1,0)*IF(ISBLANK($T$1),1,IF($I$23:$I$243=$T$1,1,0)))</f>
        <v>0</v>
      </c>
      <c r="CD4" s="874">
        <f t="array" ref="CD4">SUM(IF(ISTEXT(CD$23:CD$243),1,0)*IF(($L$23:$L$243)="D",1,0)*IF(ISBLANK($T$1),1,IF($I$23:$I$243=$T$1,1,0)))</f>
        <v>0</v>
      </c>
      <c r="CE4" s="874">
        <f t="array" ref="CE4">SUM(IF(ISTEXT(CE$23:CE$243),1,0)*IF(($L$23:$L$243)="D",1,0)*IF(ISBLANK($T$1),1,IF($I$23:$I$243=$T$1,1,0)))</f>
        <v>0</v>
      </c>
      <c r="CF4" s="874">
        <f t="array" ref="CF4">SUM(IF(ISTEXT(CF$23:CF$243),1,0)*IF(($L$23:$L$243)="D",1,0)*IF(ISBLANK($T$1),1,IF($I$23:$I$243=$T$1,1,0)))</f>
        <v>0</v>
      </c>
      <c r="CG4" s="874">
        <f t="array" ref="CG4">SUM(IF(ISTEXT(CG$23:CG$243),1,0)*IF(($L$23:$L$243)="D",1,0)*IF(ISBLANK($T$1),1,IF($I$23:$I$243=$T$1,1,0)))</f>
        <v>0</v>
      </c>
      <c r="CH4" s="874">
        <f t="array" ref="CH4">SUM(IF(ISTEXT(CH$23:CH$243),1,0)*IF(($L$23:$L$243)="D",1,0)*IF(ISBLANK($T$1),1,IF($I$23:$I$243=$T$1,1,0)))</f>
        <v>0</v>
      </c>
      <c r="CI4" s="874">
        <f t="array" ref="CI4">SUM(IF(ISTEXT(CI$23:CI$243),1,0)*IF(($L$23:$L$243)="D",1,0)*IF(ISBLANK($T$1),1,IF($I$23:$I$243=$T$1,1,0)))</f>
        <v>3</v>
      </c>
      <c r="CJ4" s="874">
        <f t="array" ref="CJ4">SUM(IF(ISTEXT(CJ$23:CJ$243),1,0)*IF(($L$23:$L$243)="D",1,0)*IF(ISBLANK($T$1),1,IF($I$23:$I$243=$T$1,1,0)))</f>
        <v>3</v>
      </c>
      <c r="CK4" s="874">
        <f t="array" ref="CK4">SUM(IF(ISTEXT(CK$23:CK$243),1,0)*IF(($L$23:$L$243)="D",1,0)*IF(ISBLANK($T$1),1,IF($I$23:$I$243=$T$1,1,0)))</f>
        <v>3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SUM(IF(L$23:L$243="L",1,0)*IF(ISBLANK($T$1),1,IF($I$23:$I$243=$T$1,1,0)))</f>
        <v>16</v>
      </c>
      <c r="AG5" s="874">
        <f t="array" ref="AG5">SUM(IF(ISTEXT(AG$23:AG$243),1,0)*IF(($L$23:$L$243)="L",1,0)*IF(ISBLANK($T$1),1,IF($I$23:$I$243=$T$1,1,0)))</f>
        <v>11</v>
      </c>
      <c r="AH5" s="874">
        <f t="array" ref="AH5">SUM(IF(ISTEXT(AH$23:AH$243),1,0)*IF(($L$23:$L$243)="L",1,0)*IF(ISBLANK($T$1),1,IF($I$23:$I$243=$T$1,1,0)))</f>
        <v>16</v>
      </c>
      <c r="AI5" s="874">
        <f t="array" ref="AI5">SUM(IF(ISTEXT(AI$23:AI$243),1,0)*IF(($L$23:$L$243)="L",1,0)*IF(ISBLANK($T$1),1,IF($I$23:$I$243=$T$1,1,0)))</f>
        <v>15</v>
      </c>
      <c r="AL5" s="874">
        <f t="array" ref="AL5">SUM(IF(ISTEXT(AL$23:AL$243),1,0)*IF(($L$23:$L$243)="L",1,0)*IF(ISBLANK($T$1),1,IF($I$23:$I$243=$T$1,1,0)))</f>
        <v>16</v>
      </c>
      <c r="AM5" s="874">
        <f t="array" ref="AM5">SUM(IF(ISTEXT(AM$23:AM$243),1,0)*IF(($L$23:$L$243)="L",1,0)*IF(ISBLANK($T$1),1,IF($I$23:$I$243=$T$1,1,0)))</f>
        <v>16</v>
      </c>
      <c r="AO5" s="874">
        <f t="array" ref="AO5">SUM(IF(ISTEXT(AO$23:AO$243),1,0)*IF(($L$23:$L$243)="L",1,0)*IF(ISBLANK($T$1),1,IF($I$23:$I$243=$T$1,1,0)))</f>
        <v>15</v>
      </c>
      <c r="AP5" s="874">
        <f t="array" ref="AP5">SUM(IF(ISTEXT(AP$23:AP$243),1,0)*IF(($L$23:$L$243)="L",1,0)*IF(ISBLANK($T$1),1,IF($I$23:$I$243=$T$1,1,0)))</f>
        <v>15</v>
      </c>
      <c r="AQ5" s="874">
        <f t="array" ref="AQ5">SUM(IF(ISTEXT(AQ$23:AQ$243),1,0)*IF(($L$23:$L$243)="L",1,0)*IF(ISBLANK($T$1),1,IF($I$23:$I$243=$T$1,1,0)))</f>
        <v>16</v>
      </c>
      <c r="AR5" s="874">
        <f t="array" ref="AR5">SUM(IF(ISTEXT(AR$23:AR$243),1,0)*IF(($L$23:$L$243)="L",1,0)*IF(ISBLANK($T$1),1,IF($I$23:$I$243=$T$1,1,0)))</f>
        <v>16</v>
      </c>
      <c r="AS5" s="874">
        <f t="array" ref="AS5">SUM(IF(ISTEXT(AS$23:AS$243),1,0)*IF(($L$23:$L$243)="L",1,0)*IF(ISBLANK($T$1),1,IF($I$23:$I$243=$T$1,1,0)))</f>
        <v>15</v>
      </c>
      <c r="AT5" s="874">
        <f t="array" ref="AT5">SUM(IF(ISTEXT(AT$23:AT$243),1,0)*IF(($L$23:$L$243)="L",1,0)*IF(ISBLANK($T$1),1,IF($I$23:$I$243=$T$1,1,0)))</f>
        <v>16</v>
      </c>
      <c r="AW5" s="874">
        <f t="array" ref="AW5">SUM(IF(ISTEXT(AW$23:AW$243),1,0)*IF(($L$23:$L$243)="L",1,0)*IF(ISBLANK($T$1),1,IF($I$23:$I$243=$T$1,1,0)))</f>
        <v>15</v>
      </c>
      <c r="AZ5" s="874">
        <f t="array" ref="AZ5">SUM(IF(ISTEXT(AZ$23:AZ$243),1,0)*IF(($L$23:$L$243)="L",1,0)*IF(ISBLANK($T$1),1,IF($I$23:$I$243=$T$1,1,0)))</f>
        <v>16</v>
      </c>
      <c r="BA5" s="874">
        <f t="array" ref="BA5">SUM(IF(ISTEXT(BA$23:BA$243),1,0)*IF(($L$23:$L$243)="L",1,0)*IF(ISBLANK($T$1),1,IF($I$23:$I$243=$T$1,1,0)))</f>
        <v>15</v>
      </c>
      <c r="BB5" s="874">
        <f t="array" ref="BB5">SUM(IF(ISTEXT(BB$23:BB$243),1,0)*IF(($L$23:$L$243)="L",1,0)*IF(ISBLANK($T$1),1,IF($I$23:$I$243=$T$1,1,0)))</f>
        <v>15</v>
      </c>
      <c r="BC5" s="874">
        <f t="array" ref="BC5">SUM(IF(ISTEXT(BC$23:BC$243),1,0)*IF(($L$23:$L$243)="L",1,0)*IF(ISBLANK($T$1),1,IF($I$23:$I$243=$T$1,1,0)))</f>
        <v>16</v>
      </c>
      <c r="BD5" s="874">
        <f t="array" ref="BD5">SUM(IF(ISTEXT(BD$23:BD$243),1,0)*IF(($L$23:$L$243)="L",1,0)*IF(ISBLANK($T$1),1,IF($I$23:$I$243=$T$1,1,0)))</f>
        <v>16</v>
      </c>
      <c r="BL5" s="874" t="e">
        <f t="array" ref="BL5">SUM(IF(ISTEXT(BL$27:BL$243),1,0)*IF(($L$23:$L$243)="L",1,0)*IF(ISBLANK($T$1),1,IF($I$23:$I$243=$T$1,1,0)))</f>
        <v>#N/A</v>
      </c>
      <c r="BO5" s="874">
        <f t="array" ref="BO5">SUM(IF(ISTEXT(BO$23:BO$243),1,0)*IF(($L$23:$L$243)="L",1,0)*IF(ISBLANK($T$1),1,IF($I$23:$I$243=$T$1,1,0)))</f>
        <v>8</v>
      </c>
      <c r="BQ5" s="874">
        <f t="array" ref="BQ5">SUM(IF(ISTEXT(BQ$23:BQ$243),1,0)*IF(($L$23:$L$243)="L",1,0)*IF(ISBLANK($T$1),1,IF($I$23:$I$243=$T$1,1,0)))</f>
        <v>1</v>
      </c>
      <c r="BR5" s="874">
        <f t="array" ref="BR5">SUM(IF(ISTEXT(BR$23:BR$243),1,0)*IF(($L$23:$L$243)="L",1,0)*IF(ISBLANK($T$1),1,IF($I$23:$I$243=$T$1,1,0)))</f>
        <v>1</v>
      </c>
      <c r="BS5" s="874" t="e">
        <f t="array" ref="BS5">SUM(IF(ISTEXT(BS$45:BS$243),1,0)*IF(($L$23:$L$243)="L",1,0)*IF(ISBLANK($T$1),1,IF($I$23:$I$243=$T$1,1,0)))</f>
        <v>#N/A</v>
      </c>
      <c r="BX5" s="874">
        <f t="array" ref="BX5">SUM(IF(ISTEXT(BX$23:BX$243),1,0)*IF(($L$23:$L$243)="L",1,0)*IF(ISBLANK($T$1),1,IF($I$23:$I$243=$T$1,1,0)))</f>
        <v>1</v>
      </c>
      <c r="BY5" s="874">
        <f t="array" ref="BY5">SUM(IF(ISTEXT(BY$23:BY$243),1,0)*IF(($L$23:$L$243)="L",1,0)*IF(ISBLANK($T$1),1,IF($I$23:$I$243=$T$1,1,0)))</f>
        <v>1</v>
      </c>
      <c r="BZ5" s="874">
        <f t="array" ref="BZ5">SUM(IF(ISTEXT(BZ$23:BZ$243),1,0)*IF(($L$23:$L$243)="L",1,0)*IF(ISBLANK($T$1),1,IF($I$23:$I$243=$T$1,1,0)))</f>
        <v>0</v>
      </c>
      <c r="CA5" s="874">
        <f t="array" ref="CA5">SUM(IF(ISTEXT(CA$23:CA$243),1,0)*IF(($L$23:$L$243)="L",1,0)*IF(ISBLANK($T$1),1,IF($I$23:$I$243=$T$1,1,0)))</f>
        <v>0</v>
      </c>
      <c r="CB5" s="874">
        <f t="array" ref="CB5">SUM(IF(ISTEXT(CB$23:CB$243),1,0)*IF(($L$23:$L$243)="L",1,0)*IF(ISBLANK($T$1),1,IF($I$23:$I$243=$T$1,1,0)))</f>
        <v>0</v>
      </c>
      <c r="CC5" s="874">
        <f t="array" ref="CC5">SUM(IF(ISTEXT(CC$23:CC$243),1,0)*IF(($L$23:$L$243)="L",1,0)*IF(ISBLANK($T$1),1,IF($I$23:$I$243=$T$1,1,0)))</f>
        <v>0</v>
      </c>
      <c r="CD5" s="874">
        <f t="array" ref="CD5">SUM(IF(ISTEXT(CD$23:CD$243),1,0)*IF(($L$23:$L$243)="L",1,0)*IF(ISBLANK($T$1),1,IF($I$23:$I$243=$T$1,1,0)))</f>
        <v>0</v>
      </c>
      <c r="CE5" s="874">
        <f t="array" ref="CE5">SUM(IF(ISTEXT(CE$23:CE$243),1,0)*IF(($L$23:$L$243)="L",1,0)*IF(ISBLANK($T$1),1,IF($I$23:$I$243=$T$1,1,0)))</f>
        <v>0</v>
      </c>
      <c r="CF5" s="874">
        <f t="array" ref="CF5">SUM(IF(ISTEXT(CF$23:CF$243),1,0)*IF(($L$23:$L$243)="L",1,0)*IF(ISBLANK($T$1),1,IF($I$23:$I$243=$T$1,1,0)))</f>
        <v>0</v>
      </c>
      <c r="CG5" s="874">
        <f t="array" ref="CG5">SUM(IF(ISTEXT(CG$23:CG$243),1,0)*IF(($L$23:$L$243)="L",1,0)*IF(ISBLANK($T$1),1,IF($I$23:$I$243=$T$1,1,0)))</f>
        <v>0</v>
      </c>
      <c r="CH5" s="874">
        <f t="array" ref="CH5">SUM(IF(ISTEXT(CH$23:CH$243),1,0)*IF(($L$23:$L$243)="L",1,0)*IF(ISBLANK($T$1),1,IF($I$23:$I$243=$T$1,1,0)))</f>
        <v>0</v>
      </c>
      <c r="CI5" s="874">
        <f t="array" ref="CI5">SUM(IF(ISTEXT(CI$23:CI$243),1,0)*IF(($L$23:$L$243)="L",1,0)*IF(ISBLANK($T$1),1,IF($I$23:$I$243=$T$1,1,0)))</f>
        <v>7</v>
      </c>
      <c r="CJ5" s="874">
        <f t="array" ref="CJ5">SUM(IF(ISTEXT(CJ$23:CJ$243),1,0)*IF(($L$23:$L$243)="L",1,0)*IF(ISBLANK($T$1),1,IF($I$23:$I$243=$T$1,1,0)))</f>
        <v>7</v>
      </c>
      <c r="CK5" s="874">
        <f t="array" ref="CK5">SUM(IF(ISTEXT(CK$23:CK$243),1,0)*IF(($L$23:$L$243)="L",1,0)*IF(ISBLANK($T$1),1,IF($I$23:$I$243=$T$1,1,0)))</f>
        <v>7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71</v>
      </c>
      <c r="AG6" s="874">
        <f t="shared" ref="AG6:CK6" si="3">AG$3*3+AG$4</f>
        <v>63</v>
      </c>
      <c r="AH6" s="874">
        <f t="shared" si="3"/>
        <v>71</v>
      </c>
      <c r="AI6" s="874">
        <f t="shared" si="3"/>
        <v>71</v>
      </c>
      <c r="AL6" s="874">
        <f t="shared" si="3"/>
        <v>71</v>
      </c>
      <c r="AM6" s="874">
        <f t="shared" si="3"/>
        <v>71</v>
      </c>
      <c r="AO6" s="874">
        <f>AO$3*3+AO$4</f>
        <v>71</v>
      </c>
      <c r="AP6" s="874">
        <f t="shared" si="3"/>
        <v>71</v>
      </c>
      <c r="AQ6" s="874">
        <f>AQ$3*3+AQ$4</f>
        <v>71</v>
      </c>
      <c r="AR6" s="874">
        <f>AR$3*3+AR$4</f>
        <v>68</v>
      </c>
      <c r="AS6" s="874">
        <f t="shared" si="3"/>
        <v>68</v>
      </c>
      <c r="AT6" s="874">
        <f t="shared" si="3"/>
        <v>68</v>
      </c>
      <c r="AW6" s="874">
        <f>AW$3*3+AW$4</f>
        <v>68</v>
      </c>
      <c r="AZ6" s="874">
        <f>AZ$3*3+AZ$4</f>
        <v>71</v>
      </c>
      <c r="BA6" s="874">
        <f>BA$3*3+BA$4</f>
        <v>71</v>
      </c>
      <c r="BB6" s="874">
        <f>BB$3*3+BB$4</f>
        <v>71</v>
      </c>
      <c r="BC6" s="874">
        <f>BC$3*3+BC$4</f>
        <v>71</v>
      </c>
      <c r="BD6" s="874">
        <f>BD$3*3+BD$4</f>
        <v>71</v>
      </c>
      <c r="BL6" s="874" t="e">
        <f>BL$3*3+BL$4</f>
        <v>#N/A</v>
      </c>
      <c r="BO6" s="874">
        <f>BO$3*3+BO$4</f>
        <v>31</v>
      </c>
      <c r="BQ6" s="874">
        <f>BQ$3*3+BQ$4</f>
        <v>0</v>
      </c>
      <c r="BR6" s="874">
        <f>BR$3*3+BR$4</f>
        <v>0</v>
      </c>
      <c r="BS6" s="874" t="e">
        <f t="shared" si="3"/>
        <v>#N/A</v>
      </c>
      <c r="BX6" s="874">
        <f t="shared" ref="BX6:CD6" si="4">BX$3*3+BX$4</f>
        <v>0</v>
      </c>
      <c r="BY6" s="874">
        <f t="shared" si="4"/>
        <v>0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3"/>
        <v>0</v>
      </c>
      <c r="CF6" s="874">
        <f t="shared" si="3"/>
        <v>0</v>
      </c>
      <c r="CG6" s="874">
        <f t="shared" si="3"/>
        <v>0</v>
      </c>
      <c r="CH6" s="874">
        <f t="shared" si="3"/>
        <v>0</v>
      </c>
      <c r="CI6" s="874">
        <f t="shared" si="3"/>
        <v>21</v>
      </c>
      <c r="CJ6" s="874">
        <f t="shared" si="3"/>
        <v>21</v>
      </c>
      <c r="CK6" s="874">
        <f t="shared" si="3"/>
        <v>18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5">AF6/AF2</f>
        <v>1.5777777777777777</v>
      </c>
      <c r="AG7" s="874">
        <f t="shared" si="5"/>
        <v>1.75</v>
      </c>
      <c r="AH7" s="874">
        <f t="shared" si="5"/>
        <v>1.5777777777777777</v>
      </c>
      <c r="AI7" s="874">
        <f t="shared" si="5"/>
        <v>1.6136363636363635</v>
      </c>
      <c r="AL7" s="874">
        <f t="shared" si="5"/>
        <v>1.5777777777777777</v>
      </c>
      <c r="AM7" s="874">
        <f t="shared" si="5"/>
        <v>1.5777777777777777</v>
      </c>
      <c r="AO7" s="874">
        <f>AO6/AO2</f>
        <v>1.6136363636363635</v>
      </c>
      <c r="AP7" s="874">
        <f t="shared" si="5"/>
        <v>1.6136363636363635</v>
      </c>
      <c r="AQ7" s="874">
        <f>AQ6/AQ2</f>
        <v>1.5777777777777777</v>
      </c>
      <c r="AR7" s="874">
        <f>AR6/AR2</f>
        <v>1.5454545454545454</v>
      </c>
      <c r="AS7" s="874">
        <f t="shared" ref="AS7" si="6">AS6/AS2</f>
        <v>1.5813953488372092</v>
      </c>
      <c r="AT7" s="874">
        <f t="shared" si="5"/>
        <v>1.5454545454545454</v>
      </c>
      <c r="AW7" s="874">
        <f>AW6/AW2</f>
        <v>1.5813953488372092</v>
      </c>
      <c r="AZ7" s="874">
        <f>AZ6/AZ2</f>
        <v>1.5777777777777777</v>
      </c>
      <c r="BA7" s="874">
        <f>BA6/BA2</f>
        <v>1.6136363636363635</v>
      </c>
      <c r="BB7" s="874">
        <f>BB6/BB2</f>
        <v>1.6136363636363635</v>
      </c>
      <c r="BC7" s="874">
        <f>BC6/BC2</f>
        <v>1.5777777777777777</v>
      </c>
      <c r="BD7" s="874">
        <f>BD6/BD2</f>
        <v>1.5777777777777777</v>
      </c>
      <c r="BL7" s="874" t="e">
        <f>BL6/BL2</f>
        <v>#N/A</v>
      </c>
      <c r="BO7" s="874">
        <f>BO6/BO2</f>
        <v>1.3478260869565217</v>
      </c>
      <c r="BQ7" s="874">
        <f>BQ6/BQ2</f>
        <v>0</v>
      </c>
      <c r="BR7" s="874">
        <f>BR6/BR2</f>
        <v>0</v>
      </c>
      <c r="BS7" s="874" t="e">
        <f t="shared" si="5"/>
        <v>#N/A</v>
      </c>
      <c r="BX7" s="874">
        <f t="shared" ref="BX7:CD7" si="7">BX6/BX2</f>
        <v>0</v>
      </c>
      <c r="BY7" s="874">
        <f t="shared" si="7"/>
        <v>0</v>
      </c>
      <c r="BZ7" s="874" t="e">
        <f t="shared" si="7"/>
        <v>#DIV/0!</v>
      </c>
      <c r="CA7" s="874" t="e">
        <f t="shared" si="7"/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5"/>
        <v>#DIV/0!</v>
      </c>
      <c r="CF7" s="874" t="e">
        <f t="shared" si="5"/>
        <v>#DIV/0!</v>
      </c>
      <c r="CG7" s="874" t="e">
        <f t="shared" si="5"/>
        <v>#DIV/0!</v>
      </c>
      <c r="CH7" s="874" t="e">
        <f t="shared" si="5"/>
        <v>#DIV/0!</v>
      </c>
      <c r="CI7" s="874">
        <f t="shared" si="5"/>
        <v>1.3125</v>
      </c>
      <c r="CJ7" s="874">
        <f t="shared" si="5"/>
        <v>1.3125</v>
      </c>
      <c r="CK7" s="874">
        <f t="shared" si="5"/>
        <v>1.2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SUM(IF(($T$23:$T$243)="",0,$T$23:$T$243)*IF(ISBLANK($T$1),1,IF($I$23:$I$243=$T$1,1,0)))</f>
        <v>19.790000000000003</v>
      </c>
      <c r="AG8" s="874">
        <f t="array" ref="AG8">SUM(IF(ISTEXT(AG$23:AG$243),1,0)*IF(($T$23:$T$243)="",0,$T$23:$T$243)*IF(ISBLANK($T$1),1,IF($I$23:$I$243=$T$1,1,0)))</f>
        <v>18.849999999999998</v>
      </c>
      <c r="AH8" s="874">
        <f t="array" ref="AH8">SUM(IF(ISTEXT(AH$23:AH$243),1,0)*IF(($T$23:$T$243)="",0,$T$23:$T$243)*IF(ISBLANK($T$1),1,IF($I$23:$I$243=$T$1,1,0)))</f>
        <v>19.790000000000003</v>
      </c>
      <c r="AI8" s="874">
        <f t="array" ref="AI8">SUM(IF(ISTEXT(AI$23:AI$243),1,0)*IF(($T$23:$T$243)="",0,$T$23:$T$243)*IF(ISBLANK($T$1),1,IF($I$23:$I$243=$T$1,1,0)))</f>
        <v>16.720000000000002</v>
      </c>
      <c r="AL8" s="874">
        <f t="array" ref="AL8">SUM(IF(ISTEXT(AL$23:AL$243),1,0)*IF(($T$23:$T$243)="",0,$T$23:$T$243)*IF(ISBLANK($T$1),1,IF($I$23:$I$243=$T$1,1,0)))</f>
        <v>19.790000000000003</v>
      </c>
      <c r="AM8" s="874">
        <f t="array" ref="AM8">SUM(IF(ISTEXT(AM$23:AM$243),1,0)*IF(($T$23:$T$243)="",0,$T$23:$T$243)*IF(ISBLANK($T$1),1,IF($I$23:$I$243=$T$1,1,0)))</f>
        <v>19.790000000000003</v>
      </c>
      <c r="AO8" s="874">
        <f t="array" ref="AO8">SUM(IF(ISTEXT(AO$23:AO$243),1,0)*IF(($T$23:$T$243)="",0,$T$23:$T$243)*IF(ISBLANK($T$1),1,IF($I$23:$I$243=$T$1,1,0)))</f>
        <v>16.720000000000002</v>
      </c>
      <c r="AP8" s="874">
        <f t="array" ref="AP8">SUM(IF(ISTEXT(AP$23:AP$243),1,0)*IF(($T$23:$T$243)="",0,$T$23:$T$243)*IF(ISBLANK($T$1),1,IF($I$23:$I$243=$T$1,1,0)))</f>
        <v>16.720000000000002</v>
      </c>
      <c r="AQ8" s="874">
        <f t="array" ref="AQ8">SUM(IF(ISTEXT(AQ$23:AQ$243),1,0)*IF(($T$23:$T$243)="",0,$T$23:$T$243)*IF(ISBLANK($T$1),1,IF($I$23:$I$243=$T$1,1,0)))</f>
        <v>19.790000000000003</v>
      </c>
      <c r="AR8" s="874">
        <f t="array" ref="AR8">SUM(IF(ISTEXT(AR$23:AR$243),1,0)*IF(($T$23:$T$243)="",0,$T$23:$T$243)*IF(ISBLANK($T$1),1,IF($I$23:$I$243=$T$1,1,0)))</f>
        <v>20.290000000000003</v>
      </c>
      <c r="AS8" s="874">
        <f t="array" ref="AS8">SUM(IF(ISTEXT(AS$23:AS$243),1,0)*IF(($T$23:$T$243)="",0,$T$23:$T$243)*IF(ISBLANK($T$1),1,IF($I$23:$I$243=$T$1,1,0)))</f>
        <v>17.220000000000002</v>
      </c>
      <c r="AT8" s="874">
        <f t="array" ref="AT8">SUM(IF(ISTEXT(AT$23:AT$243),1,0)*IF(($T$23:$T$243)="",0,$T$23:$T$243)*IF(ISBLANK($T$1),1,IF($I$23:$I$243=$T$1,1,0)))</f>
        <v>20.290000000000003</v>
      </c>
      <c r="AW8" s="874">
        <f t="array" ref="AW8">SUM(IF(ISTEXT(AW$23:AW$243),1,0)*IF(($T$23:$T$243)="",0,$T$23:$T$243)*IF(ISBLANK($T$1),1,IF($I$23:$I$243=$T$1,1,0)))</f>
        <v>17.220000000000002</v>
      </c>
      <c r="AZ8" s="874">
        <f t="array" ref="AZ8">SUM(IF(ISTEXT(AZ$23:AZ$243),1,0)*IF(($T$23:$T$243)="",0,$T$23:$T$243)*IF(ISBLANK($T$1),1,IF($I$23:$I$243=$T$1,1,0)))</f>
        <v>19.790000000000003</v>
      </c>
      <c r="BA8" s="874">
        <f t="array" ref="BA8">SUM(IF(ISTEXT(BA$23:BA$243),1,0)*IF(($T$23:$T$243)="",0,$T$23:$T$243)*IF(ISBLANK($T$1),1,IF($I$23:$I$243=$T$1,1,0)))</f>
        <v>16.720000000000002</v>
      </c>
      <c r="BB8" s="874">
        <f t="array" ref="BB8">SUM(IF(ISTEXT(BB$23:BB$243),1,0)*IF(($T$23:$T$243)="",0,$T$23:$T$243)*IF(ISBLANK($T$1),1,IF($I$23:$I$243=$T$1,1,0)))</f>
        <v>16.720000000000002</v>
      </c>
      <c r="BC8" s="874">
        <f t="array" ref="BC8">SUM(IF(ISTEXT(BC$23:BC$243),1,0)*IF(($T$23:$T$243)="",0,$T$23:$T$243)*IF(ISBLANK($T$1),1,IF($I$23:$I$243=$T$1,1,0)))</f>
        <v>19.790000000000003</v>
      </c>
      <c r="BD8" s="874">
        <f t="array" ref="BD8">SUM(IF(ISTEXT(BD$23:BD$243),1,0)*IF(($T$23:$T$243)="",0,$T$23:$T$243)*IF(ISBLANK($T$1),1,IF($I$23:$I$243=$T$1,1,0)))</f>
        <v>19.790000000000003</v>
      </c>
      <c r="BL8" s="874" t="e">
        <f t="array" ref="BL8">SUM(IF(ISTEXT(BL$27:BL$243),1,0)*IF(($T$23:$T$243)="",0,$T$23:$T$243)*IF(ISBLANK($T$1),1,IF($I$23:$I$243=$T$1,1,0)))</f>
        <v>#N/A</v>
      </c>
      <c r="BO8" s="874">
        <f t="array" ref="BO8">SUM(IF(ISTEXT(BO$23:BO$243),1,0)*IF(($T$23:$T$243)="",0,$T$23:$T$243)*IF(ISBLANK($T$1),1,IF($I$23:$I$243=$T$1,1,0)))</f>
        <v>14.399999999999999</v>
      </c>
      <c r="BQ8" s="874">
        <f t="array" ref="BQ8">SUM(IF(ISTEXT(BQ$23:BQ$243),1,0)*IF(($T$23:$T$243)="",0,$T$23:$T$243)*IF(ISBLANK($T$1),1,IF($I$23:$I$243=$T$1,1,0)))</f>
        <v>-1.58</v>
      </c>
      <c r="BR8" s="874">
        <f t="array" ref="BR8">SUM(IF(ISTEXT(BR$23:BR$243),1,0)*IF(($T$23:$T$243)="",0,$T$23:$T$243)*IF(ISBLANK($T$1),1,IF($I$23:$I$243=$T$1,1,0)))</f>
        <v>-1.58</v>
      </c>
      <c r="BS8" s="874" t="e">
        <f t="array" ref="BS8">SUM(IF(ISTEXT(BS$45:BS$243),1,0)*IF(($T$23:$T$243)="",0,$T$23:$T$243)*IF(ISBLANK($T$1),1,IF($I$23:$I$243=$T$1,1,0)))</f>
        <v>#N/A</v>
      </c>
      <c r="BX8" s="874">
        <f t="array" ref="BX8">SUM(IF(ISTEXT(BX$23:BX$243),1,0)*IF(($T$23:$T$243)="",0,$T$23:$T$243)*IF(ISBLANK($T$1),1,IF($I$23:$I$243=$T$1,1,0)))</f>
        <v>-1.58</v>
      </c>
      <c r="BY8" s="874">
        <f t="array" ref="BY8">SUM(IF(ISTEXT(BY$23:BY$243),1,0)*IF(($T$23:$T$243)="",0,$T$23:$T$243)*IF(ISBLANK($T$1),1,IF($I$23:$I$243=$T$1,1,0)))</f>
        <v>-1.58</v>
      </c>
      <c r="BZ8" s="874">
        <f t="array" ref="BZ8">SUM(IF(ISTEXT(BZ$23:BZ$243),1,0)*IF(($T$23:$T$243)="",0,$T$23:$T$243)*IF(ISBLANK($T$1),1,IF($I$23:$I$243=$T$1,1,0)))</f>
        <v>0</v>
      </c>
      <c r="CA8" s="874">
        <f t="array" ref="CA8">SUM(IF(ISTEXT(CA$23:CA$243),1,0)*IF(($T$23:$T$243)="",0,$T$23:$T$243)*IF(ISBLANK($T$1),1,IF($I$23:$I$243=$T$1,1,0)))</f>
        <v>0</v>
      </c>
      <c r="CB8" s="874">
        <f t="array" ref="CB8">SUM(IF(ISTEXT(CB$23:CB$243),1,0)*IF(($T$23:$T$243)="",0,$T$23:$T$243)*IF(ISBLANK($T$1),1,IF($I$23:$I$243=$T$1,1,0)))</f>
        <v>0</v>
      </c>
      <c r="CC8" s="874">
        <f t="array" ref="CC8">SUM(IF(ISTEXT(CC$23:CC$243),1,0)*IF(($T$23:$T$243)="",0,$T$23:$T$243)*IF(ISBLANK($T$1),1,IF($I$23:$I$243=$T$1,1,0)))</f>
        <v>0</v>
      </c>
      <c r="CD8" s="874">
        <f t="array" ref="CD8">SUM(IF(ISTEXT(CD$23:CD$243),1,0)*IF(($T$23:$T$243)="",0,$T$23:$T$243)*IF(ISBLANK($T$1),1,IF($I$23:$I$243=$T$1,1,0)))</f>
        <v>0</v>
      </c>
      <c r="CE8" s="874">
        <f t="array" ref="CE8">SUM(IF(ISTEXT(CE$23:CE$243),1,0)*IF(($T$23:$T$243)="",0,$T$23:$T$243)*IF(ISBLANK($T$1),1,IF($I$23:$I$243=$T$1,1,0)))</f>
        <v>0</v>
      </c>
      <c r="CF8" s="874">
        <f t="array" ref="CF8">SUM(IF(ISTEXT(CF$23:CF$243),1,0)*IF(($T$23:$T$243)="",0,$T$23:$T$243)*IF(ISBLANK($T$1),1,IF($I$23:$I$243=$T$1,1,0)))</f>
        <v>0</v>
      </c>
      <c r="CG8" s="874">
        <f t="array" ref="CG8">SUM(IF(ISTEXT(CG$23:CG$243),1,0)*IF(($T$23:$T$243)="",0,$T$23:$T$243)*IF(ISBLANK($T$1),1,IF($I$23:$I$243=$T$1,1,0)))</f>
        <v>0</v>
      </c>
      <c r="CH8" s="874">
        <f t="array" ref="CH8">SUM(IF(ISTEXT(CH$23:CH$243),1,0)*IF(($T$23:$T$243)="",0,$T$23:$T$243)*IF(ISBLANK($T$1),1,IF($I$23:$I$243=$T$1,1,0)))</f>
        <v>0</v>
      </c>
      <c r="CI8" s="874">
        <f t="array" ref="CI8">SUM(IF(ISTEXT(CI$23:CI$243),1,0)*IF(($T$23:$T$243)="",0,$T$23:$T$243)*IF(ISBLANK($T$1),1,IF($I$23:$I$243=$T$1,1,0)))</f>
        <v>13.649999999999999</v>
      </c>
      <c r="CJ8" s="874">
        <f t="array" ref="CJ8">SUM(IF(ISTEXT(CJ$23:CJ$243),1,0)*IF(($T$23:$T$243)="",0,$T$23:$T$243)*IF(ISBLANK($T$1),1,IF($I$23:$I$243=$T$1,1,0)))</f>
        <v>13.649999999999999</v>
      </c>
      <c r="CK8" s="874">
        <f t="array" ref="CK8">SUM(IF(ISTEXT(CK$23:CK$243),1,0)*IF(($T$23:$T$243)="",0,$T$23:$T$243)*IF(ISBLANK($T$1),1,IF($I$23:$I$243=$T$1,1,0)))</f>
        <v>9.4400000000000013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8">AF8/AF2</f>
        <v>0.43977777777777782</v>
      </c>
      <c r="AG9" s="874">
        <f t="shared" si="8"/>
        <v>0.52361111111111103</v>
      </c>
      <c r="AH9" s="874">
        <f t="shared" si="8"/>
        <v>0.43977777777777782</v>
      </c>
      <c r="AI9" s="874">
        <f t="shared" si="8"/>
        <v>0.38000000000000006</v>
      </c>
      <c r="AL9" s="874">
        <f t="shared" si="8"/>
        <v>0.43977777777777782</v>
      </c>
      <c r="AM9" s="874">
        <f t="shared" si="8"/>
        <v>0.43977777777777782</v>
      </c>
      <c r="AO9" s="874">
        <f>AO8/AO2</f>
        <v>0.38000000000000006</v>
      </c>
      <c r="AP9" s="874">
        <f t="shared" si="8"/>
        <v>0.38000000000000006</v>
      </c>
      <c r="AQ9" s="874">
        <f>AQ8/AQ2</f>
        <v>0.43977777777777782</v>
      </c>
      <c r="AR9" s="874">
        <f>AR8/AR2</f>
        <v>0.46113636363636368</v>
      </c>
      <c r="AS9" s="874">
        <f t="shared" ref="AS9" si="9">AS8/AS2</f>
        <v>0.40046511627906983</v>
      </c>
      <c r="AT9" s="874">
        <f t="shared" si="8"/>
        <v>0.46113636363636368</v>
      </c>
      <c r="AW9" s="874">
        <f>AW8/AW2</f>
        <v>0.40046511627906983</v>
      </c>
      <c r="AZ9" s="874">
        <f>AZ8/AZ2</f>
        <v>0.43977777777777782</v>
      </c>
      <c r="BA9" s="874">
        <f>BA8/BA2</f>
        <v>0.38000000000000006</v>
      </c>
      <c r="BB9" s="874">
        <f>BB8/BB2</f>
        <v>0.38000000000000006</v>
      </c>
      <c r="BC9" s="874">
        <f>BC8/BC2</f>
        <v>0.43977777777777782</v>
      </c>
      <c r="BD9" s="874">
        <f>BD8/BD2</f>
        <v>0.43977777777777782</v>
      </c>
      <c r="BL9" s="874" t="e">
        <f>BL8/BL2</f>
        <v>#N/A</v>
      </c>
      <c r="BO9" s="874">
        <f>BO8/BO2</f>
        <v>0.62608695652173907</v>
      </c>
      <c r="BQ9" s="874">
        <f>BQ8/BQ2</f>
        <v>-1.58</v>
      </c>
      <c r="BR9" s="874">
        <f>BR8/BR2</f>
        <v>-1.58</v>
      </c>
      <c r="BS9" s="874" t="e">
        <f t="shared" si="8"/>
        <v>#N/A</v>
      </c>
      <c r="BX9" s="874">
        <f t="shared" ref="BX9:CD9" si="10">BX8/BX2</f>
        <v>-1.58</v>
      </c>
      <c r="BY9" s="874">
        <f t="shared" si="10"/>
        <v>-1.58</v>
      </c>
      <c r="BZ9" s="874" t="e">
        <f t="shared" si="10"/>
        <v>#DIV/0!</v>
      </c>
      <c r="CA9" s="874" t="e">
        <f t="shared" si="10"/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8"/>
        <v>#DIV/0!</v>
      </c>
      <c r="CF9" s="874" t="e">
        <f t="shared" si="8"/>
        <v>#DIV/0!</v>
      </c>
      <c r="CG9" s="874" t="e">
        <f t="shared" si="8"/>
        <v>#DIV/0!</v>
      </c>
      <c r="CH9" s="874" t="e">
        <f t="shared" si="8"/>
        <v>#DIV/0!</v>
      </c>
      <c r="CI9" s="874">
        <f t="shared" si="8"/>
        <v>0.85312499999999991</v>
      </c>
      <c r="CJ9" s="874">
        <f t="shared" si="8"/>
        <v>0.85312499999999991</v>
      </c>
      <c r="CK9" s="874">
        <f t="shared" si="8"/>
        <v>0.62933333333333341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SUM(IF(ISBLANK($T$1),$J$23:$J$243,IF($I$23:$I$243=$T$1,$J$23:$J$243,0)))</f>
        <v>73</v>
      </c>
      <c r="AG10" s="874">
        <f t="array" ref="AG10">SUM(IF(ISBLANK(AG$23:AG$243),0,IF(ISNUMBER(VALUE(RIGHT(AG$23:AG$243,1))),RIGHT(AG$23:AG$243,1),0)*IF(ISBLANK($T$1),1,IF($I$23:$I$243=$T$1,1,0))))</f>
        <v>0</v>
      </c>
      <c r="AH10" s="874">
        <f t="array" ref="AH10">SUM(IF(ISBLANK(AH$23:AH$243),0,IF(ISNUMBER(VALUE(RIGHT(AH$23:AH$243,1))),RIGHT(AH$23:AH$243,1),0)*IF(ISBLANK($T$1),1,IF($I$23:$I$243=$T$1,1,0))))</f>
        <v>0</v>
      </c>
      <c r="AI10" s="874">
        <f t="array" ref="AI10">SUM(IF(ISBLANK(AI$23:AI$243),0,IF(ISNUMBER(VALUE(RIGHT(AI$23:AI$243,1))),RIGHT(AI$23:AI$243,1),0)*IF(ISBLANK($T$1),1,IF($I$23:$I$243=$T$1,1,0))))</f>
        <v>0</v>
      </c>
      <c r="AL10" s="874">
        <f t="array" ref="AL10">SUM(IF(ISBLANK(AL$23:AL$243),0,IF(ISNUMBER(VALUE(RIGHT(AL$23:AL$243,1))),RIGHT(AL$23:AL$243,1),0)*IF(ISBLANK($T$1),1,IF($I$23:$I$243=$T$1,1,0))))</f>
        <v>4</v>
      </c>
      <c r="AM10" s="874">
        <f t="array" ref="AM10">SUM(IF(ISBLANK(AM$23:AM$243),0,IF(ISNUMBER(VALUE(RIGHT(AM$23:AM$243,1))),RIGHT(AM$23:AM$243,1),0)*IF(ISBLANK($T$1),1,IF($I$23:$I$243=$T$1,1,0))))</f>
        <v>0</v>
      </c>
      <c r="AO10" s="874">
        <f t="array" ref="AO10">SUM(IF(ISBLANK(AO$23:AO$243),0,IF(ISNUMBER(VALUE(RIGHT(AO$23:AO$243,1))),RIGHT(AO$23:AO$243,1),0)*IF(ISBLANK($T$1),1,IF($I$23:$I$243=$T$1,1,0))))</f>
        <v>1</v>
      </c>
      <c r="AP10" s="874">
        <f t="array" ref="AP10">SUM(IF(ISBLANK(AP$23:AP$243),0,IF(ISNUMBER(VALUE(RIGHT(AP$23:AP$243,1))),RIGHT(AP$23:AP$243,1),0)*IF(ISBLANK($T$1),1,IF($I$23:$I$243=$T$1,1,0))))</f>
        <v>0</v>
      </c>
      <c r="AQ10" s="874">
        <f t="array" ref="AQ10">SUM(IF(ISBLANK(AQ$23:AQ$243),0,IF(ISNUMBER(VALUE(RIGHT(AQ$23:AQ$243,1))),RIGHT(AQ$23:AQ$243,1),0)*IF(ISBLANK($T$1),1,IF($I$23:$I$243=$T$1,1,0))))</f>
        <v>0</v>
      </c>
      <c r="AR10" s="874">
        <f t="array" ref="AR10">SUM(IF(ISBLANK(AR$23:AR$243),0,IF(ISNUMBER(VALUE(RIGHT(AR$23:AR$243,1))),RIGHT(AR$23:AR$243,1),0)*IF(ISBLANK($T$1),1,IF($I$23:$I$243=$T$1,1,0))))</f>
        <v>0</v>
      </c>
      <c r="AS10" s="874">
        <f t="array" ref="AS10">SUM(IF(ISBLANK(AS$23:AS$243),0,IF(ISNUMBER(VALUE(RIGHT(AS$23:AS$243,1))),RIGHT(AS$23:AS$243,1),0)*IF(ISBLANK($T$1),1,IF($I$23:$I$243=$T$1,1,0))))</f>
        <v>0</v>
      </c>
      <c r="AT10" s="874">
        <f t="array" ref="AT10">SUM(IF(ISBLANK(AT$23:AT$243),0,IF(ISNUMBER(VALUE(RIGHT(AT$23:AT$243,1))),RIGHT(AT$23:AT$243,1),0)*IF(ISBLANK($T$1),1,IF($I$23:$I$243=$T$1,1,0))))</f>
        <v>3</v>
      </c>
      <c r="AW10" s="874">
        <f t="array" ref="AW10">SUM(IF(ISBLANK(AW$23:AW$243),0,IF(ISNUMBER(VALUE(RIGHT(AW$23:AW$243,1))),RIGHT(AW$23:AW$243,1),0)*IF(ISBLANK($T$1),1,IF($I$23:$I$243=$T$1,1,0))))</f>
        <v>3</v>
      </c>
      <c r="AZ10" s="874">
        <f t="array" ref="AZ10">SUM(IF(ISBLANK(AZ$23:AZ$243),0,IF(ISNUMBER(VALUE(RIGHT(AZ$23:AZ$243,1))),RIGHT(AZ$23:AZ$243,1),0)*IF(ISBLANK($T$1),1,IF($I$23:$I$243=$T$1,1,0))))</f>
        <v>0</v>
      </c>
      <c r="BA10" s="874">
        <f t="array" ref="BA10">SUM(IF(ISBLANK(BA$23:BA$243),0,IF(ISNUMBER(VALUE(RIGHT(BA$23:BA$243,1))),RIGHT(BA$23:BA$243,1),0)*IF(ISBLANK($T$1),1,IF($I$23:$I$243=$T$1,1,0))))</f>
        <v>0</v>
      </c>
      <c r="BB10" s="874">
        <f t="array" ref="BB10">SUM(IF(ISBLANK(BB$23:BB$243),0,IF(ISNUMBER(VALUE(RIGHT(BB$23:BB$243,1))),RIGHT(BB$23:BB$243,1),0)*IF(ISBLANK($T$1),1,IF($I$23:$I$243=$T$1,1,0))))</f>
        <v>0</v>
      </c>
      <c r="BC10" s="874">
        <f t="array" ref="BC10">SUM(IF(ISBLANK(BC$23:BC$243),0,IF(ISNUMBER(VALUE(RIGHT(BC$23:BC$243,1))),RIGHT(BC$23:BC$243,1),0)*IF(ISBLANK($T$1),1,IF($I$23:$I$243=$T$1,1,0))))</f>
        <v>2</v>
      </c>
      <c r="BD10" s="874">
        <f t="array" ref="BD10">SUM(IF(ISBLANK(BD$23:BD$243),0,IF(ISNUMBER(VALUE(RIGHT(BD$23:BD$243,1))),RIGHT(BD$23:BD$243,1),0)*IF(ISBLANK($T$1),1,IF($I$23:$I$243=$T$1,1,0))))</f>
        <v>12</v>
      </c>
      <c r="BL10" s="874">
        <f t="array" ref="BL10">SUM(IF(ISBLANK(BL$27:BL$243),0,IF(ISNUMBER(VALUE(RIGHT(BL$27:BL$243,1))),RIGHT(BL$27:BL$243,1),0)*IF(ISBLANK($T$1),1,IF($I$23:$I$243=$T$1,1,0))))</f>
        <v>0</v>
      </c>
      <c r="BO10" s="874">
        <f t="array" ref="BO10">SUM(IF(ISBLANK(BO$23:BO$243),0,IF(ISNUMBER(VALUE(RIGHT(BO$23:BO$243,1))),RIGHT(BO$23:BO$243,1),0)*IF(ISBLANK($T$1),1,IF($I$23:$I$243=$T$1,1,0))))</f>
        <v>1</v>
      </c>
      <c r="BQ10" s="874">
        <f t="array" ref="BQ10">SUM(IF(ISBLANK(BQ$23:BQ$243),0,IF(ISNUMBER(VALUE(RIGHT(BQ$23:BQ$243,1))),RIGHT(BQ$23:BQ$243,1),0)*IF(ISBLANK($T$1),1,IF($I$23:$I$243=$T$1,1,0))))</f>
        <v>0</v>
      </c>
      <c r="BR10" s="874">
        <f t="array" ref="BR10">SUM(IF(ISBLANK(BR$23:BR$243),0,IF(ISNUMBER(VALUE(RIGHT(BR$23:BR$243,1))),RIGHT(BR$23:BR$243,1),0)*IF(ISBLANK($T$1),1,IF($I$23:$I$243=$T$1,1,0))))</f>
        <v>0</v>
      </c>
      <c r="BS10" s="874">
        <f t="array" ref="BS10">SUM(IF(ISBLANK(BS$45:BS$243),0,IF(ISNUMBER(VALUE(RIGHT(BS$45:BS$243,1))),RIGHT(BS$45:BS$243,1),0)*IF(ISBLANK($T$1),1,IF($I$23:$I$243=$T$1,1,0))))</f>
        <v>0</v>
      </c>
      <c r="BX10" s="874">
        <f t="array" ref="BX10">SUM(IF(ISBLANK(BX$23:BX$243),0,IF(ISNUMBER(VALUE(RIGHT(BX$23:BX$243,1))),RIGHT(BX$23:BX$243,1),0)*IF(ISBLANK($T$1),1,IF($I$23:$I$243=$T$1,1,0))))</f>
        <v>0</v>
      </c>
      <c r="BY10" s="874">
        <f t="array" ref="BY10">SUM(IF(ISBLANK(BY$23:BY$243),0,IF(ISNUMBER(VALUE(RIGHT(BY$23:BY$243,1))),RIGHT(BY$23:BY$243,1),0)*IF(ISBLANK($T$1),1,IF($I$23:$I$243=$T$1,1,0))))</f>
        <v>0</v>
      </c>
      <c r="BZ10" s="874">
        <f t="array" ref="BZ10">SUM(IF(ISBLANK(BZ$23:BZ$243),0,IF(ISNUMBER(VALUE(RIGHT(BZ$23:BZ$243,1))),RIGHT(BZ$23:BZ$243,1),0)*IF(ISBLANK($T$1),1,IF($I$23:$I$243=$T$1,1,0))))</f>
        <v>0</v>
      </c>
      <c r="CA10" s="874">
        <f t="array" ref="CA10">SUM(IF(ISBLANK(CA$23:CA$243),0,IF(ISNUMBER(VALUE(RIGHT(CA$23:CA$243,1))),RIGHT(CA$23:CA$243,1),0)*IF(ISBLANK($T$1),1,IF($I$23:$I$243=$T$1,1,0))))</f>
        <v>0</v>
      </c>
      <c r="CB10" s="874">
        <f t="array" ref="CB10">SUM(IF(ISBLANK(CB$23:CB$243),0,IF(ISNUMBER(VALUE(RIGHT(CB$23:CB$243,1))),RIGHT(CB$23:CB$243,1),0)*IF(ISBLANK($T$1),1,IF($I$23:$I$243=$T$1,1,0))))</f>
        <v>0</v>
      </c>
      <c r="CC10" s="874">
        <f t="array" ref="CC10">SUM(IF(ISBLANK(CC$23:CC$243),0,IF(ISNUMBER(VALUE(RIGHT(CC$23:CC$243,1))),RIGHT(CC$23:CC$243,1),0)*IF(ISBLANK($T$1),1,IF($I$23:$I$243=$T$1,1,0))))</f>
        <v>0</v>
      </c>
      <c r="CD10" s="874">
        <f t="array" ref="CD10">SUM(IF(ISBLANK(CD$23:CD$243),0,IF(ISNUMBER(VALUE(RIGHT(CD$23:CD$243,1))),RIGHT(CD$23:CD$243,1),0)*IF(ISBLANK($T$1),1,IF($I$23:$I$243=$T$1,1,0))))</f>
        <v>0</v>
      </c>
      <c r="CE10" s="874">
        <f t="array" ref="CE10">SUM(IF(ISBLANK(CE$23:CE$243),0,IF(ISNUMBER(VALUE(RIGHT(CE$23:CE$243,1))),RIGHT(CE$23:CE$243,1),0)*IF(ISBLANK($T$1),1,IF($I$23:$I$243=$T$1,1,0))))</f>
        <v>0</v>
      </c>
      <c r="CF10" s="874">
        <f t="array" ref="CF10">SUM(IF(ISBLANK(CF$23:CF$243),0,IF(ISNUMBER(VALUE(RIGHT(CF$23:CF$243,1))),RIGHT(CF$23:CF$243,1),0)*IF(ISBLANK($T$1),1,IF($I$23:$I$243=$T$1,1,0))))</f>
        <v>0</v>
      </c>
      <c r="CG10" s="874">
        <f t="array" ref="CG10">SUM(IF(ISBLANK(CG$23:CG$243),0,IF(ISNUMBER(VALUE(RIGHT(CG$23:CG$243,1))),RIGHT(CG$23:CG$243,1),0)*IF(ISBLANK($T$1),1,IF($I$23:$I$243=$T$1,1,0))))</f>
        <v>0</v>
      </c>
      <c r="CH10" s="874">
        <f t="array" ref="CH10">SUM(IF(ISBLANK(CH$23:CH$243),0,IF(ISNUMBER(VALUE(RIGHT(CH$23:CH$243,1))),RIGHT(CH$23:CH$243,1),0)*IF(ISBLANK($T$1),1,IF($I$23:$I$243=$T$1,1,0))))</f>
        <v>0</v>
      </c>
      <c r="CI10" s="874">
        <f t="array" ref="CI10">SUM(IF(ISBLANK(CI$23:CI$243),0,IF(ISNUMBER(VALUE(RIGHT(CI$23:CI$243,1))),RIGHT(CI$23:CI$243,1),0)*IF(ISBLANK($T$1),1,IF($I$23:$I$243=$T$1,1,0))))</f>
        <v>0</v>
      </c>
      <c r="CJ10" s="874">
        <f t="array" ref="CJ10">SUM(IF(ISBLANK(CJ$23:CJ$243),0,IF(ISNUMBER(VALUE(RIGHT(CJ$23:CJ$243,1))),RIGHT(CJ$23:CJ$243,1),0)*IF(ISBLANK($T$1),1,IF($I$23:$I$243=$T$1,1,0))))</f>
        <v>0</v>
      </c>
      <c r="CK10" s="874">
        <f t="array" ref="CK10">SUM(IF(ISBLANK(CK$23:CK$243),0,IF(ISNUMBER(VALUE(RIGHT(CK$23:CK$243,1))),RIGHT(CK$23:CK$243,1),0)*IF(ISBLANK($T$1),1,IF($I$23:$I$243=$T$1,1,0))))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1">AF10/AF2</f>
        <v>1.6222222222222222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L11" s="874">
        <f t="shared" si="11"/>
        <v>8.8888888888888892E-2</v>
      </c>
      <c r="AM11" s="874">
        <f t="shared" si="11"/>
        <v>0</v>
      </c>
      <c r="AO11" s="874">
        <f>AO10/AO2</f>
        <v>2.2727272727272728E-2</v>
      </c>
      <c r="AP11" s="874">
        <f t="shared" si="11"/>
        <v>0</v>
      </c>
      <c r="AQ11" s="874">
        <f>AQ10/AQ2</f>
        <v>0</v>
      </c>
      <c r="AR11" s="874">
        <f>AR10/AR2</f>
        <v>0</v>
      </c>
      <c r="AS11" s="874">
        <f t="shared" ref="AS11" si="12">AS10/AS2</f>
        <v>0</v>
      </c>
      <c r="AT11" s="874">
        <f t="shared" si="11"/>
        <v>6.8181818181818177E-2</v>
      </c>
      <c r="AW11" s="874">
        <f>AW10/AW2</f>
        <v>6.9767441860465115E-2</v>
      </c>
      <c r="AZ11" s="874">
        <f>AZ10/AZ2</f>
        <v>0</v>
      </c>
      <c r="BA11" s="874">
        <f>BA10/BA2</f>
        <v>0</v>
      </c>
      <c r="BB11" s="874">
        <f>BB10/BB2</f>
        <v>0</v>
      </c>
      <c r="BC11" s="874">
        <f>BC10/BC2</f>
        <v>4.4444444444444446E-2</v>
      </c>
      <c r="BD11" s="874">
        <f>BD10/BD2</f>
        <v>0.26666666666666666</v>
      </c>
      <c r="BL11" s="874">
        <f>BL10/BL2</f>
        <v>0</v>
      </c>
      <c r="BO11" s="874">
        <f>BO10/BO2</f>
        <v>4.3478260869565216E-2</v>
      </c>
      <c r="BQ11" s="874">
        <f>BQ10/BQ2</f>
        <v>0</v>
      </c>
      <c r="BR11" s="874">
        <f>BR10/BR2</f>
        <v>0</v>
      </c>
      <c r="BS11" s="874">
        <f t="shared" si="11"/>
        <v>0</v>
      </c>
      <c r="BX11" s="874">
        <f t="shared" ref="BX11:CD11" si="13">BX10/BX2</f>
        <v>0</v>
      </c>
      <c r="BY11" s="874">
        <f t="shared" si="13"/>
        <v>0</v>
      </c>
      <c r="BZ11" s="874" t="e">
        <f t="shared" si="13"/>
        <v>#DIV/0!</v>
      </c>
      <c r="CA11" s="874" t="e">
        <f t="shared" si="13"/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1"/>
        <v>#DIV/0!</v>
      </c>
      <c r="CF11" s="874" t="e">
        <f t="shared" si="11"/>
        <v>#DIV/0!</v>
      </c>
      <c r="CG11" s="874" t="e">
        <f t="shared" si="11"/>
        <v>#DIV/0!</v>
      </c>
      <c r="CH11" s="874" t="e">
        <f t="shared" si="11"/>
        <v>#DIV/0!</v>
      </c>
      <c r="CI11" s="874">
        <f t="shared" si="11"/>
        <v>0</v>
      </c>
      <c r="CJ11" s="874">
        <f t="shared" si="11"/>
        <v>0</v>
      </c>
      <c r="CK11" s="874">
        <f t="shared" si="11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SUM(IF(ISBLANK($T$1),$K$23:$K$243,IF($I$23:$I$243=$T$1,$K$23:$K$243,0)))</f>
        <v>64</v>
      </c>
      <c r="AG12" s="874">
        <f t="array" ref="AG12">SUM(IF(ISBLANK(AG$23:AG$243),0,$K23:$K243)*IF(ISBLANK($T$1),1,IF($I$23:$I$243=$T$1,1,0)))</f>
        <v>48</v>
      </c>
      <c r="AH12" s="874">
        <f t="array" ref="AH12">SUM(IF(ISBLANK(AH$23:AH$243),0,$K23:$K243)*IF(ISBLANK($T$1),1,IF($I$23:$I$243=$T$1,1,0)))</f>
        <v>64</v>
      </c>
      <c r="AI12" s="874">
        <f t="array" ref="AI12">SUM(IF(ISBLANK(AI$23:AI$243),0,$K23:$K243)*IF(ISBLANK($T$1),1,IF($I$23:$I$243=$T$1,1,0)))</f>
        <v>60</v>
      </c>
      <c r="AL12" s="874">
        <f t="array" ref="AL12">SUM(IF(ISBLANK(AL$23:AL$243),0,$K23:$K243)*IF(ISBLANK($T$1),1,IF($I$23:$I$243=$T$1,1,0)))</f>
        <v>64</v>
      </c>
      <c r="AM12" s="874">
        <f t="array" ref="AM12">SUM(IF(ISBLANK(AM$23:AM$243),0,$K23:$K243)*IF(ISBLANK($T$1),1,IF($I$23:$I$243=$T$1,1,0)))</f>
        <v>64</v>
      </c>
      <c r="AO12" s="874">
        <f t="array" ref="AO12">SUM(IF(ISBLANK(AO$23:AO$243),0,$K23:$K243)*IF(ISBLANK($T$1),1,IF($I$23:$I$243=$T$1,1,0)))</f>
        <v>60</v>
      </c>
      <c r="AP12" s="874">
        <f t="array" ref="AP12">SUM(IF(ISBLANK(AP$23:AP$243),0,$K23:$K243)*IF(ISBLANK($T$1),1,IF($I$23:$I$243=$T$1,1,0)))</f>
        <v>60</v>
      </c>
      <c r="AQ12" s="874">
        <f t="array" ref="AQ12">SUM(IF(ISBLANK(AQ$23:AQ$243),0,$K23:$K243)*IF(ISBLANK($T$1),1,IF($I$23:$I$243=$T$1,1,0)))</f>
        <v>64</v>
      </c>
      <c r="AR12" s="874">
        <f t="array" ref="AR12">SUM(IF(ISBLANK(AR$23:AR$243),0,$K23:$K243)*IF(ISBLANK($T$1),1,IF($I$23:$I$243=$T$1,1,0)))</f>
        <v>64</v>
      </c>
      <c r="AS12" s="874">
        <f t="array" ref="AS12">SUM(IF(ISBLANK(AS$23:AS$243),0,$K23:$K243)*IF(ISBLANK($T$1),1,IF($I$23:$I$243=$T$1,1,0)))</f>
        <v>60</v>
      </c>
      <c r="AT12" s="874">
        <f t="array" ref="AT12">SUM(IF(ISBLANK(AT$23:AT$243),0,$K23:$K243)*IF(ISBLANK($T$1),1,IF($I$23:$I$243=$T$1,1,0)))</f>
        <v>64</v>
      </c>
      <c r="AW12" s="874">
        <f t="array" ref="AW12">SUM(IF(ISBLANK(AW$23:AW$243),0,$K23:$K243)*IF(ISBLANK($T$1),1,IF($I$23:$I$243=$T$1,1,0)))</f>
        <v>60</v>
      </c>
      <c r="AZ12" s="874">
        <f t="array" ref="AZ12">SUM(IF(ISBLANK(AZ$23:AZ$243),0,$K23:$K243)*IF(ISBLANK($T$1),1,IF($I$23:$I$243=$T$1,1,0)))</f>
        <v>64</v>
      </c>
      <c r="BA12" s="874">
        <f t="array" ref="BA12">SUM(IF(ISBLANK(BA$23:BA$243),0,$K23:$K243)*IF(ISBLANK($T$1),1,IF($I$23:$I$243=$T$1,1,0)))</f>
        <v>60</v>
      </c>
      <c r="BB12" s="874">
        <f t="array" ref="BB12">SUM(IF(ISBLANK(BB$23:BB$243),0,$K23:$K243)*IF(ISBLANK($T$1),1,IF($I$23:$I$243=$T$1,1,0)))</f>
        <v>60</v>
      </c>
      <c r="BC12" s="874">
        <f t="array" ref="BC12">SUM(IF(ISBLANK(BC$23:BC$243),0,$K23:$K243)*IF(ISBLANK($T$1),1,IF($I$23:$I$243=$T$1,1,0)))</f>
        <v>64</v>
      </c>
      <c r="BD12" s="874">
        <f t="array" ref="BD12">SUM(IF(ISBLANK(BD$23:BD$243),0,$K23:$K243)*IF(ISBLANK($T$1),1,IF($I$23:$I$243=$T$1,1,0)))</f>
        <v>64</v>
      </c>
      <c r="BL12" s="874" t="e">
        <f t="array" ref="BL12">SUM(IF(ISBLANK(BL$27:BL$243),0,$K23:$K243)*IF(ISBLANK($T$1),1,IF($I$23:$I$243=$T$1,1,0)))</f>
        <v>#N/A</v>
      </c>
      <c r="BO12" s="874">
        <f t="array" ref="BO12">SUM(IF(ISBLANK(BO$23:BO$243),0,$K23:$K243)*IF(ISBLANK($T$1),1,IF($I$23:$I$243=$T$1,1,0)))</f>
        <v>36</v>
      </c>
      <c r="BQ12" s="874">
        <f t="array" ref="BQ12">SUM(IF(ISBLANK(BQ$23:BQ$243),0,$K23:$K243)*IF(ISBLANK($T$1),1,IF($I$23:$I$243=$T$1,1,0)))</f>
        <v>1</v>
      </c>
      <c r="BR12" s="874">
        <f t="array" ref="BR12">SUM(IF(ISBLANK(BR$23:BR$243),0,$K23:$K243)*IF(ISBLANK($T$1),1,IF($I$23:$I$243=$T$1,1,0)))</f>
        <v>1</v>
      </c>
      <c r="BS12" s="874" t="e">
        <f t="array" ref="BS12">SUM(IF(ISBLANK(BS$45:BS$243),0,$K23:$K243)*IF(ISBLANK($T$1),1,IF($I$23:$I$243=$T$1,1,0)))</f>
        <v>#N/A</v>
      </c>
      <c r="BX12" s="874">
        <f t="array" ref="BX12">SUM(IF(ISBLANK(BX$23:BX$243),0,$K23:$K243)*IF(ISBLANK($T$1),1,IF($I$23:$I$243=$T$1,1,0)))</f>
        <v>1</v>
      </c>
      <c r="BY12" s="874">
        <f t="array" ref="BY12">SUM(IF(ISBLANK(BY$23:BY$243),0,$K23:$K243)*IF(ISBLANK($T$1),1,IF($I$23:$I$243=$T$1,1,0)))</f>
        <v>1</v>
      </c>
      <c r="BZ12" s="874">
        <f t="array" ref="BZ12">SUM(IF(ISBLANK(BZ$23:BZ$243),0,$K23:$K243)*IF(ISBLANK($T$1),1,IF($I$23:$I$243=$T$1,1,0)))</f>
        <v>0</v>
      </c>
      <c r="CA12" s="874">
        <f t="array" ref="CA12">SUM(IF(ISBLANK(CA$23:CA$243),0,$K23:$K243)*IF(ISBLANK($T$1),1,IF($I$23:$I$243=$T$1,1,0)))</f>
        <v>0</v>
      </c>
      <c r="CB12" s="874">
        <f t="array" ref="CB12">SUM(IF(ISBLANK(CB$23:CB$243),0,$K23:$K243)*IF(ISBLANK($T$1),1,IF($I$23:$I$243=$T$1,1,0)))</f>
        <v>0</v>
      </c>
      <c r="CC12" s="874">
        <f t="array" ref="CC12">SUM(IF(ISBLANK(CC$23:CC$243),0,$K23:$K243)*IF(ISBLANK($T$1),1,IF($I$23:$I$243=$T$1,1,0)))</f>
        <v>0</v>
      </c>
      <c r="CD12" s="874">
        <f t="array" ref="CD12">SUM(IF(ISBLANK(CD$23:CD$243),0,$K23:$K243)*IF(ISBLANK($T$1),1,IF($I$23:$I$243=$T$1,1,0)))</f>
        <v>0</v>
      </c>
      <c r="CE12" s="874">
        <f t="array" ref="CE12">SUM(IF(ISBLANK(CE$23:CE$243),0,$K23:$K243)*IF(ISBLANK($T$1),1,IF($I$23:$I$243=$T$1,1,0)))</f>
        <v>0</v>
      </c>
      <c r="CF12" s="874">
        <f t="array" ref="CF12">SUM(IF(ISBLANK(CF$23:CF$243),0,$K23:$K243)*IF(ISBLANK($T$1),1,IF($I$23:$I$243=$T$1,1,0)))</f>
        <v>0</v>
      </c>
      <c r="CG12" s="874">
        <f t="array" ref="CG12">SUM(IF(ISBLANK(CG$23:CG$243),0,$K23:$K243)*IF(ISBLANK($T$1),1,IF($I$23:$I$243=$T$1,1,0)))</f>
        <v>0</v>
      </c>
      <c r="CH12" s="874">
        <f t="array" ref="CH12">SUM(IF(ISBLANK(CH$23:CH$243),0,$K23:$K243)*IF(ISBLANK($T$1),1,IF($I$23:$I$243=$T$1,1,0)))</f>
        <v>0</v>
      </c>
      <c r="CI12" s="874">
        <f t="array" ref="CI12">SUM(IF(ISBLANK(CI$23:CI$243),0,$K23:$K243)*IF(ISBLANK($T$1),1,IF($I$23:$I$243=$T$1,1,0)))</f>
        <v>29</v>
      </c>
      <c r="CJ12" s="874">
        <f t="array" ref="CJ12">SUM(IF(ISBLANK(CJ$23:CJ$243),0,$K23:$K243)*IF(ISBLANK($T$1),1,IF($I$23:$I$243=$T$1,1,0)))</f>
        <v>29</v>
      </c>
      <c r="CK12" s="874">
        <f t="array" ref="CK12">SUM(IF(ISBLANK(CK$23:CK$243),0,$K23:$K243)*IF(ISBLANK($T$1),1,IF($I$23:$I$243=$T$1,1,0)))</f>
        <v>26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4">AF12/AF2</f>
        <v>1.4222222222222223</v>
      </c>
      <c r="AG13" s="874">
        <f t="shared" si="14"/>
        <v>1.3333333333333333</v>
      </c>
      <c r="AH13" s="874">
        <f t="shared" si="14"/>
        <v>1.4222222222222223</v>
      </c>
      <c r="AI13" s="874">
        <f t="shared" si="14"/>
        <v>1.3636363636363635</v>
      </c>
      <c r="AL13" s="874">
        <f t="shared" si="14"/>
        <v>1.4222222222222223</v>
      </c>
      <c r="AM13" s="874">
        <f t="shared" si="14"/>
        <v>1.4222222222222223</v>
      </c>
      <c r="AO13" s="874">
        <f>AO12/AO2</f>
        <v>1.3636363636363635</v>
      </c>
      <c r="AP13" s="874">
        <f t="shared" si="14"/>
        <v>1.3636363636363635</v>
      </c>
      <c r="AQ13" s="874">
        <f>AQ12/AQ2</f>
        <v>1.4222222222222223</v>
      </c>
      <c r="AR13" s="874">
        <f>AR12/AR2</f>
        <v>1.4545454545454546</v>
      </c>
      <c r="AS13" s="874">
        <f t="shared" ref="AS13" si="15">AS12/AS2</f>
        <v>1.3953488372093024</v>
      </c>
      <c r="AT13" s="874">
        <f t="shared" si="14"/>
        <v>1.4545454545454546</v>
      </c>
      <c r="AW13" s="874">
        <f>AW12/AW2</f>
        <v>1.3953488372093024</v>
      </c>
      <c r="AZ13" s="874">
        <f>AZ12/AZ2</f>
        <v>1.4222222222222223</v>
      </c>
      <c r="BA13" s="874">
        <f>BA12/BA2</f>
        <v>1.3636363636363635</v>
      </c>
      <c r="BB13" s="874">
        <f>BB12/BB2</f>
        <v>1.3636363636363635</v>
      </c>
      <c r="BC13" s="874">
        <f>BC12/BC2</f>
        <v>1.4222222222222223</v>
      </c>
      <c r="BD13" s="874">
        <f>BD12/BD2</f>
        <v>1.4222222222222223</v>
      </c>
      <c r="BL13" s="874" t="e">
        <f>BL12/BL2</f>
        <v>#N/A</v>
      </c>
      <c r="BO13" s="874">
        <f>BO12/BO2</f>
        <v>1.5652173913043479</v>
      </c>
      <c r="BQ13" s="874">
        <f>BQ12/BQ2</f>
        <v>1</v>
      </c>
      <c r="BR13" s="874">
        <f>BR12/BR2</f>
        <v>1</v>
      </c>
      <c r="BS13" s="874" t="e">
        <f t="shared" si="14"/>
        <v>#N/A</v>
      </c>
      <c r="BX13" s="874">
        <f t="shared" ref="BX13:CD13" si="16">BX12/BX2</f>
        <v>1</v>
      </c>
      <c r="BY13" s="874">
        <f t="shared" si="16"/>
        <v>1</v>
      </c>
      <c r="BZ13" s="874" t="e">
        <f t="shared" si="16"/>
        <v>#DIV/0!</v>
      </c>
      <c r="CA13" s="874" t="e">
        <f t="shared" si="16"/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4"/>
        <v>#DIV/0!</v>
      </c>
      <c r="CF13" s="874" t="e">
        <f t="shared" si="14"/>
        <v>#DIV/0!</v>
      </c>
      <c r="CG13" s="874" t="e">
        <f t="shared" si="14"/>
        <v>#DIV/0!</v>
      </c>
      <c r="CH13" s="874" t="e">
        <f t="shared" si="14"/>
        <v>#DIV/0!</v>
      </c>
      <c r="CI13" s="874">
        <f t="shared" si="14"/>
        <v>1.8125</v>
      </c>
      <c r="CJ13" s="874">
        <f t="shared" si="14"/>
        <v>1.8125</v>
      </c>
      <c r="CK13" s="874">
        <f t="shared" si="14"/>
        <v>1.7333333333333334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P14" si="17">AG15+AG16</f>
        <v>0</v>
      </c>
      <c r="AH14" s="849">
        <f t="shared" si="17"/>
        <v>37</v>
      </c>
      <c r="AI14" s="849">
        <f t="shared" si="17"/>
        <v>3</v>
      </c>
      <c r="AJ14" s="902">
        <f t="shared" ref="AJ14" si="18">AJ15+AJ16</f>
        <v>5</v>
      </c>
      <c r="AK14" s="849">
        <f t="shared" si="17"/>
        <v>0</v>
      </c>
      <c r="AL14" s="849">
        <f t="shared" si="17"/>
        <v>40</v>
      </c>
      <c r="AM14" s="849">
        <f t="shared" si="17"/>
        <v>16</v>
      </c>
      <c r="AN14" s="849">
        <f t="shared" si="17"/>
        <v>9</v>
      </c>
      <c r="AO14" s="849">
        <f t="shared" si="17"/>
        <v>14</v>
      </c>
      <c r="AP14" s="849">
        <f t="shared" si="17"/>
        <v>12</v>
      </c>
      <c r="AQ14" s="902">
        <f t="shared" ref="AQ14:BL14" si="19">AQ15+AQ16</f>
        <v>9</v>
      </c>
      <c r="AR14" s="902">
        <f t="shared" si="19"/>
        <v>12</v>
      </c>
      <c r="AS14" s="902">
        <f t="shared" si="19"/>
        <v>0</v>
      </c>
      <c r="AT14" s="902">
        <f t="shared" si="19"/>
        <v>27</v>
      </c>
      <c r="AU14" s="902">
        <f t="shared" si="19"/>
        <v>15</v>
      </c>
      <c r="AV14" s="902">
        <f t="shared" si="19"/>
        <v>39</v>
      </c>
      <c r="AW14" s="902">
        <f t="shared" si="19"/>
        <v>23</v>
      </c>
      <c r="AX14" s="902">
        <f t="shared" si="19"/>
        <v>21</v>
      </c>
      <c r="AY14" s="902">
        <f t="shared" si="19"/>
        <v>17</v>
      </c>
      <c r="AZ14" s="902">
        <f t="shared" si="19"/>
        <v>33</v>
      </c>
      <c r="BA14" s="902">
        <f t="shared" si="19"/>
        <v>15</v>
      </c>
      <c r="BB14" s="902">
        <f t="shared" si="19"/>
        <v>9</v>
      </c>
      <c r="BC14" s="902">
        <f t="shared" si="19"/>
        <v>24</v>
      </c>
      <c r="BD14" s="902">
        <f t="shared" si="19"/>
        <v>43</v>
      </c>
      <c r="BE14" s="902">
        <f>BE15+BE16</f>
        <v>39</v>
      </c>
      <c r="BF14" s="902">
        <f t="shared" ref="BF14:BG14" si="20">BF15+BF16</f>
        <v>18</v>
      </c>
      <c r="BG14" s="902">
        <f t="shared" si="20"/>
        <v>17</v>
      </c>
      <c r="BH14" s="902">
        <f t="shared" ref="BH14" si="21">BH15+BH16</f>
        <v>31</v>
      </c>
      <c r="BI14" s="902">
        <f t="shared" si="19"/>
        <v>41</v>
      </c>
      <c r="BJ14" s="902">
        <f t="shared" si="19"/>
        <v>40</v>
      </c>
      <c r="BK14" s="902">
        <f t="shared" si="19"/>
        <v>6</v>
      </c>
      <c r="BL14" s="902">
        <f t="shared" si="19"/>
        <v>4</v>
      </c>
      <c r="BM14" s="889"/>
      <c r="BN14" s="849">
        <f>BN15+BN16</f>
        <v>2</v>
      </c>
      <c r="BO14" s="902">
        <f>BO15+BO16</f>
        <v>5</v>
      </c>
      <c r="BP14" s="902">
        <f>BP15+BP16</f>
        <v>1</v>
      </c>
      <c r="BQ14" s="889"/>
      <c r="BR14" s="889"/>
      <c r="BS14" s="889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  <c r="CE14" s="890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AVERAGEIFS($Q$23:$Q$210,$H$23:$H$210,"H",$I$23:$I$210,Table!$C$1)</f>
        <v>0.45666666666666667</v>
      </c>
      <c r="S15" s="858">
        <f>AVERAGEIFS($Q$23:$Q$210,$H$23:$H$210,"A",$I$23:$I$210,Table!$C$1)</f>
        <v>0.10636363636363634</v>
      </c>
      <c r="AF15" s="848" t="s">
        <v>821</v>
      </c>
      <c r="AG15" s="850">
        <f t="array" ref="AG15">SUM(IF(LEFT(AG23:AG164,1)="X",1,0))</f>
        <v>0</v>
      </c>
      <c r="AH15" s="850">
        <f t="array" ref="AH15">SUM(IF(LEFT(AH23:AH164,1)="X",1,0))</f>
        <v>37</v>
      </c>
      <c r="AI15" s="850">
        <f t="array" ref="AI15">SUM(IF(LEFT(AI23:AI164,1)="X",1,0))</f>
        <v>3</v>
      </c>
      <c r="AJ15" s="903">
        <f t="array" ref="AJ15">SUM(IF(LEFT(AJ23:AJ164,1)="X",1,0))</f>
        <v>5</v>
      </c>
      <c r="AK15" s="850">
        <f t="array" ref="AK15">SUM(IF(LEFT(AK23:AK164,1)="X",1,0))</f>
        <v>0</v>
      </c>
      <c r="AL15" s="850">
        <f t="array" ref="AL15">SUM(IF(LEFT(AL23:AL164,1)="X",1,0))</f>
        <v>40</v>
      </c>
      <c r="AM15" s="850">
        <f t="array" ref="AM15">SUM(IF(LEFT(AM23:AM164,1)="X",1,0))</f>
        <v>15</v>
      </c>
      <c r="AN15" s="850">
        <f t="array" ref="AN15">SUM(IF(LEFT(AN23:AN164,1)="X",1,0))</f>
        <v>7</v>
      </c>
      <c r="AO15" s="850">
        <f t="array" ref="AO15">SUM(IF(LEFT(AO23:AO164,1)="X",1,0))</f>
        <v>4</v>
      </c>
      <c r="AP15" s="850">
        <f t="array" ref="AP15">SUM(IF(LEFT(AP23:AP164,1)="X",1,0))</f>
        <v>8</v>
      </c>
      <c r="AQ15" s="903">
        <f t="array" ref="AQ15">SUM(IF(LEFT(AQ23:AQ164,1)="X",1,0))</f>
        <v>7</v>
      </c>
      <c r="AR15" s="903">
        <f t="array" ref="AR15">SUM(IF(LEFT(AR23:AR164,1)="X",1,0))</f>
        <v>8</v>
      </c>
      <c r="AS15" s="903">
        <f t="array" ref="AS15">SUM(IF(LEFT(AS23:AS164,1)="X",1,0))</f>
        <v>0</v>
      </c>
      <c r="AT15" s="903">
        <f t="array" ref="AT15">SUM(IF(LEFT(AT23:AT164,1)="X",1,0))</f>
        <v>25</v>
      </c>
      <c r="AU15" s="903">
        <f t="array" ref="AU15">SUM(IF(LEFT(AU23:AU164,1)="X",1,0))</f>
        <v>15</v>
      </c>
      <c r="AV15" s="903">
        <f t="array" ref="AV15">SUM(IF(LEFT(AV23:AV164,1)="X",1,0))</f>
        <v>37</v>
      </c>
      <c r="AW15" s="903">
        <f t="array" ref="AW15">SUM(IF(LEFT(AW23:AW164,1)="X",1,0))</f>
        <v>19</v>
      </c>
      <c r="AX15" s="903">
        <f t="array" ref="AX15">SUM(IF(LEFT(AX23:AX164,1)="X",1,0))</f>
        <v>18</v>
      </c>
      <c r="AY15" s="903">
        <f t="array" ref="AY15">SUM(IF(LEFT(AY23:AY164,1)="X",1,0))</f>
        <v>14</v>
      </c>
      <c r="AZ15" s="903">
        <f t="array" ref="AZ15">SUM(IF(LEFT(AZ23:AZ164,1)="X",1,0))</f>
        <v>27</v>
      </c>
      <c r="BA15" s="903">
        <f t="array" ref="BA15">SUM(IF(LEFT(BA23:BA164,1)="X",1,0))</f>
        <v>8</v>
      </c>
      <c r="BB15" s="903">
        <f t="array" ref="BB15">SUM(IF(LEFT(BB23:BB164,1)="X",1,0))</f>
        <v>1</v>
      </c>
      <c r="BC15" s="903">
        <f t="array" ref="BC15">SUM(IF(LEFT(BC23:BC164,1)="X",1,0))</f>
        <v>20</v>
      </c>
      <c r="BD15" s="903">
        <f t="array" ref="BD15">SUM(IF(LEFT(BD23:BD164,1)="X",1,0))</f>
        <v>35</v>
      </c>
      <c r="BE15" s="903">
        <f t="array" ref="BE15">SUM(IF(LEFT(BE23:BE164,1)="X",1,0))</f>
        <v>33</v>
      </c>
      <c r="BF15" s="903">
        <f t="array" ref="BF15">SUM(IF(LEFT(BF23:BF164,1)="X",1,0))</f>
        <v>11</v>
      </c>
      <c r="BG15" s="903">
        <f t="array" ref="BG15">SUM(IF(LEFT(BG23:BG164,1)="X",1,0))</f>
        <v>15</v>
      </c>
      <c r="BH15" s="903">
        <f t="array" ref="BH15">SUM(IF(LEFT(BH23:BH164,1)="X",1,0))</f>
        <v>10</v>
      </c>
      <c r="BI15" s="903">
        <f t="array" ref="BI15">SUM(IF(LEFT(BI23:BI164,1)="X",1,0))</f>
        <v>34</v>
      </c>
      <c r="BJ15" s="903">
        <f t="array" ref="BJ15">SUM(IF(LEFT(BJ23:BJ164,1)="X",1,0))</f>
        <v>33</v>
      </c>
      <c r="BK15" s="903">
        <f t="array" ref="BK15">SUM(IF(LEFT(BK23:BK164,1)="X",1,0))</f>
        <v>0</v>
      </c>
      <c r="BL15" s="903">
        <f t="array" ref="BL15">SUM(IF(LEFT(BL23:BL164,1)="X",1,0))</f>
        <v>0</v>
      </c>
      <c r="BM15" s="889"/>
      <c r="BN15" s="850">
        <f t="array" ref="BN15">SUM(IF(LEFT(BN23:BN164,1)="X",1,0))</f>
        <v>1</v>
      </c>
      <c r="BO15" s="903">
        <f t="array" ref="BO15">SUM(IF(LEFT(BO23:BO164,1)="X",1,0))</f>
        <v>5</v>
      </c>
      <c r="BP15" s="903">
        <f t="array" ref="BP15">SUM(IF(LEFT(BP23:BP164,1)="X",1,0))</f>
        <v>0</v>
      </c>
      <c r="BQ15" s="889"/>
      <c r="BR15" s="889"/>
      <c r="BS15" s="889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  <c r="CE15" s="890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AVERAGEIF($H$23:$H$207,"=H",$J$23:$J$207)</f>
        <v>2.1818181818181817</v>
      </c>
      <c r="J16" s="858">
        <f>AVERAGEIF($H$23:$H$211,"=H",$K$23:$K$211)</f>
        <v>1.0454545454545454</v>
      </c>
      <c r="K16" s="858">
        <f>I16-J16</f>
        <v>1.1363636363636362</v>
      </c>
      <c r="L16" s="857">
        <f>COUNTIFS($L$23:$L$207,"=W",$H$23:$H$207,"=H")</f>
        <v>14</v>
      </c>
      <c r="M16" s="857">
        <f>COUNTIFS($L$23:$L$207,"=D",$H$23:$H$207,"=H")</f>
        <v>6</v>
      </c>
      <c r="N16" s="863">
        <f>COUNTIFS($L$23:$L$207,"=L",$H$23:$H$207,"=H")</f>
        <v>2</v>
      </c>
      <c r="O16" s="858">
        <f>SUM(I16:J16)</f>
        <v>3.2272727272727271</v>
      </c>
      <c r="Q16" s="861" t="s">
        <v>212</v>
      </c>
      <c r="R16" s="858">
        <f>AVERAGEIFS($S$23:$S$208,$H$23:$H$208,"H",$I$23:$I$208,Table!$C$1)</f>
        <v>2.6804761904761905</v>
      </c>
      <c r="S16" s="858">
        <f>AVERAGEIFS($S$23:$S$208,$H$23:$H$208,"A",$I$23:$I$208,Table!$C$1)</f>
        <v>2.6327272727272728</v>
      </c>
      <c r="AF16" s="848" t="s">
        <v>724</v>
      </c>
      <c r="AG16" s="850">
        <f t="array" ref="AG16">SUM(IF(LEFT(AG23:AG165,1)="s",1,0))</f>
        <v>0</v>
      </c>
      <c r="AH16" s="850">
        <f t="array" ref="AH16">SUM(IF(LEFT(AH23:AH165,1)="s",1,0))</f>
        <v>0</v>
      </c>
      <c r="AI16" s="850">
        <f t="array" ref="AI16">SUM(IF(LEFT(AI23:AI165,1)="s",1,0))</f>
        <v>0</v>
      </c>
      <c r="AJ16" s="903">
        <f t="array" ref="AJ16">SUM(IF(LEFT(AJ23:AJ165,1)="s",1,0))</f>
        <v>0</v>
      </c>
      <c r="AK16" s="850">
        <f t="array" ref="AK16">SUM(IF(LEFT(AK23:AK165,1)="s",1,0))</f>
        <v>0</v>
      </c>
      <c r="AL16" s="850">
        <f t="array" ref="AL16">SUM(IF(LEFT(AL23:AL165,1)="s",1,0))</f>
        <v>0</v>
      </c>
      <c r="AM16" s="850">
        <f t="array" ref="AM16">SUM(IF(LEFT(AM23:AM165,1)="s",1,0))</f>
        <v>1</v>
      </c>
      <c r="AN16" s="850">
        <f t="array" ref="AN16">SUM(IF(LEFT(AN23:AN165,1)="s",1,0))</f>
        <v>2</v>
      </c>
      <c r="AO16" s="850">
        <f t="array" ref="AO16">SUM(IF(LEFT(AO23:AO165,1)="s",1,0))</f>
        <v>10</v>
      </c>
      <c r="AP16" s="850">
        <f t="array" ref="AP16">SUM(IF(LEFT(AP23:AP165,1)="s",1,0))</f>
        <v>4</v>
      </c>
      <c r="AQ16" s="903">
        <f t="array" ref="AQ16">SUM(IF(LEFT(AQ23:AQ165,1)="s",1,0))</f>
        <v>2</v>
      </c>
      <c r="AR16" s="903">
        <f t="array" ref="AR16">SUM(IF(LEFT(AR23:AR165,1)="s",1,0))</f>
        <v>4</v>
      </c>
      <c r="AS16" s="903">
        <f t="array" ref="AS16">SUM(IF(LEFT(AS23:AS165,1)="s",1,0))</f>
        <v>0</v>
      </c>
      <c r="AT16" s="903">
        <f t="array" ref="AT16">SUM(IF(LEFT(AT23:AT165,1)="s",1,0))</f>
        <v>2</v>
      </c>
      <c r="AU16" s="903">
        <f t="array" ref="AU16">SUM(IF(LEFT(AU23:AU165,1)="s",1,0))</f>
        <v>0</v>
      </c>
      <c r="AV16" s="903">
        <f t="array" ref="AV16">SUM(IF(LEFT(AV23:AV165,1)="s",1,0))</f>
        <v>2</v>
      </c>
      <c r="AW16" s="903">
        <f t="array" ref="AW16">SUM(IF(LEFT(AW23:AW165,1)="s",1,0))</f>
        <v>4</v>
      </c>
      <c r="AX16" s="903">
        <f t="array" ref="AX16">SUM(IF(LEFT(AX23:AX165,1)="s",1,0))</f>
        <v>3</v>
      </c>
      <c r="AY16" s="903">
        <f t="array" ref="AY16">SUM(IF(LEFT(AY23:AY165,1)="s",1,0))</f>
        <v>3</v>
      </c>
      <c r="AZ16" s="903">
        <f t="array" ref="AZ16">SUM(IF(LEFT(AZ23:AZ165,1)="s",1,0))</f>
        <v>6</v>
      </c>
      <c r="BA16" s="903">
        <f t="array" ref="BA16">SUM(IF(LEFT(BA23:BA165,1)="s",1,0))</f>
        <v>7</v>
      </c>
      <c r="BB16" s="903">
        <f t="array" ref="BB16">SUM(IF(LEFT(BB23:BB165,1)="s",1,0))</f>
        <v>8</v>
      </c>
      <c r="BC16" s="903">
        <f t="array" ref="BC16">SUM(IF(LEFT(BC23:BC165,1)="s",1,0))</f>
        <v>4</v>
      </c>
      <c r="BD16" s="903">
        <f t="array" ref="BD16">SUM(IF(LEFT(BD23:BD165,1)="s",1,0))</f>
        <v>8</v>
      </c>
      <c r="BE16" s="903">
        <f t="array" ref="BE16">SUM(IF(LEFT(BE23:BE165,1)="s",1,0))</f>
        <v>6</v>
      </c>
      <c r="BF16" s="903">
        <f t="array" ref="BF16">SUM(IF(LEFT(BF23:BF165,1)="s",1,0))</f>
        <v>7</v>
      </c>
      <c r="BG16" s="903">
        <f t="array" ref="BG16">SUM(IF(LEFT(BG23:BG165,1)="s",1,0))</f>
        <v>2</v>
      </c>
      <c r="BH16" s="903">
        <f t="array" ref="BH16">SUM(IF(LEFT(BH23:BH165,1)="s",1,0))</f>
        <v>21</v>
      </c>
      <c r="BI16" s="903">
        <f t="array" ref="BI16">SUM(IF(LEFT(BI23:BI165,1)="s",1,0))</f>
        <v>7</v>
      </c>
      <c r="BJ16" s="903">
        <f t="array" ref="BJ16">SUM(IF(LEFT(BJ23:BJ165,1)="s",1,0))</f>
        <v>7</v>
      </c>
      <c r="BK16" s="903">
        <f t="array" ref="BK16">SUM(IF(LEFT(BK23:BK165,1)="s",1,0))</f>
        <v>6</v>
      </c>
      <c r="BL16" s="903">
        <f t="array" ref="BL16">SUM(IF(LEFT(BL23:BL165,1)="s",1,0))</f>
        <v>4</v>
      </c>
      <c r="BM16" s="889"/>
      <c r="BN16" s="850">
        <f t="array" ref="BN16">SUM(IF(LEFT(BN23:BN165,1)="s",1,0))</f>
        <v>1</v>
      </c>
      <c r="BO16" s="903">
        <f t="array" ref="BO16">SUM(IF(LEFT(BO23:BO165,1)="s",1,0))</f>
        <v>0</v>
      </c>
      <c r="BP16" s="903">
        <f t="array" ref="BP16">SUM(IF(LEFT(BP23:BP165,1)="s",1,0))</f>
        <v>1</v>
      </c>
      <c r="BQ16" s="889"/>
      <c r="BR16" s="889"/>
      <c r="BS16" s="889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  <c r="CE16" s="890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23</v>
      </c>
      <c r="I17" s="860">
        <f>AVERAGEIF($H$23:$H$207,"=A",$J$23:$J$207)</f>
        <v>1.0869565217391304</v>
      </c>
      <c r="J17" s="860">
        <f>AVERAGEIF($H$23:$H$211,"=A",$K$23:$K$211)</f>
        <v>1.7826086956521738</v>
      </c>
      <c r="K17" s="858">
        <f>I17-J17</f>
        <v>-0.69565217391304346</v>
      </c>
      <c r="L17" s="857">
        <f>COUNTIFS($L$23:$L$207,"=W",$H$23:$H$207,"=A")</f>
        <v>7</v>
      </c>
      <c r="M17" s="857">
        <f>COUNTIFS($L$23:$L$207,"=D",$H$23:$H$207,"=A")</f>
        <v>2</v>
      </c>
      <c r="N17" s="863">
        <f>COUNTIFS($L$23:$L$207,"=L",$H$23:$H$207,"=A")</f>
        <v>14</v>
      </c>
      <c r="O17" s="858">
        <f>SUM(I17:J17)</f>
        <v>2.8695652173913042</v>
      </c>
      <c r="Q17" s="848"/>
      <c r="R17" s="859"/>
      <c r="S17" s="855"/>
      <c r="AF17" s="848" t="s">
        <v>718</v>
      </c>
      <c r="AG17" s="850">
        <f t="array" ref="AG17">SUM(IF(ISNUMBER(VALUE(RIGHT(AG23:AG173,1))),VALUE(RIGHT(AG23:AG173,1)),0))</f>
        <v>0</v>
      </c>
      <c r="AH17" s="850">
        <f t="array" ref="AH17">SUM(IF(ISNUMBER(VALUE(RIGHT(AH23:AH173,1))),VALUE(RIGHT(AH23:AH173,1)),0))</f>
        <v>0</v>
      </c>
      <c r="AI17" s="850">
        <f t="array" ref="AI17">SUM(IF(ISNUMBER(VALUE(RIGHT(AI23:AI173,1))),VALUE(RIGHT(AI23:AI173,1)),0))</f>
        <v>0</v>
      </c>
      <c r="AJ17" s="903">
        <f t="array" ref="AJ17">SUM(IF(ISNUMBER(VALUE(RIGHT(AJ23:AJ173,1))),VALUE(RIGHT(AJ23:AJ173,1)),0))</f>
        <v>0</v>
      </c>
      <c r="AK17" s="850">
        <f t="array" ref="AK17">SUM(IF(ISNUMBER(VALUE(RIGHT(AK23:AK173,1))),VALUE(RIGHT(AK23:AK173,1)),0))</f>
        <v>0</v>
      </c>
      <c r="AL17" s="850">
        <f t="array" ref="AL17">SUM(IF(ISNUMBER(VALUE(RIGHT(AL23:AL173,1))),VALUE(RIGHT(AL23:AL173,1)),0))</f>
        <v>4</v>
      </c>
      <c r="AM17" s="850">
        <f t="array" ref="AM17">SUM(IF(ISNUMBER(VALUE(RIGHT(AM23:AM173,1))),VALUE(RIGHT(AM23:AM173,1)),0))</f>
        <v>0</v>
      </c>
      <c r="AN17" s="850">
        <f t="array" ref="AN17">SUM(IF(ISNUMBER(VALUE(RIGHT(AN23:AN173,1))),VALUE(RIGHT(AN23:AN173,1)),0))</f>
        <v>0</v>
      </c>
      <c r="AO17" s="850">
        <f t="array" ref="AO17">SUM(IF(ISNUMBER(VALUE(RIGHT(AO23:AO173,1))),VALUE(RIGHT(AO23:AO173,1)),0))</f>
        <v>1</v>
      </c>
      <c r="AP17" s="850">
        <f t="array" ref="AP17">SUM(IF(ISNUMBER(VALUE(RIGHT(AP23:AP173,1))),VALUE(RIGHT(AP23:AP173,1)),0))</f>
        <v>0</v>
      </c>
      <c r="AQ17" s="903">
        <f t="array" ref="AQ17">SUM(IF(ISNUMBER(VALUE(RIGHT(AQ23:AQ173,1))),VALUE(RIGHT(AQ23:AQ173,1)),0))</f>
        <v>0</v>
      </c>
      <c r="AR17" s="903">
        <f t="array" ref="AR17">SUM(IF(ISNUMBER(VALUE(RIGHT(AR23:AR173,1))),VALUE(RIGHT(AR23:AR173,1)),0))</f>
        <v>0</v>
      </c>
      <c r="AS17" s="903">
        <f t="array" ref="AS17">SUM(IF(ISNUMBER(VALUE(RIGHT(AS23:AS173,1))),VALUE(RIGHT(AS23:AS173,1)),0))</f>
        <v>0</v>
      </c>
      <c r="AT17" s="903">
        <f t="array" ref="AT17">SUM(IF(ISNUMBER(VALUE(RIGHT(AT23:AT173,1))),VALUE(RIGHT(AT23:AT173,1)),0))</f>
        <v>3</v>
      </c>
      <c r="AU17" s="903">
        <f t="array" ref="AU17">SUM(IF(ISNUMBER(VALUE(RIGHT(AU23:AU173,1))),VALUE(RIGHT(AU23:AU173,1)),0))</f>
        <v>0</v>
      </c>
      <c r="AV17" s="903">
        <f t="array" ref="AV17">SUM(IF(ISNUMBER(VALUE(RIGHT(AV23:AV173,1))),VALUE(RIGHT(AV23:AV173,1)),0))</f>
        <v>2</v>
      </c>
      <c r="AW17" s="903">
        <f t="array" ref="AW17">SUM(IF(ISNUMBER(VALUE(RIGHT(AW23:AW173,1))),VALUE(RIGHT(AW23:AW173,1)),0))</f>
        <v>3</v>
      </c>
      <c r="AX17" s="903">
        <f t="array" ref="AX17">SUM(IF(ISNUMBER(VALUE(RIGHT(AX23:AX173,1))),VALUE(RIGHT(AX23:AX173,1)),0))</f>
        <v>0</v>
      </c>
      <c r="AY17" s="903">
        <f t="array" ref="AY17">SUM(IF(ISNUMBER(VALUE(RIGHT(AY23:AY173,1))),VALUE(RIGHT(AY23:AY173,1)),0))</f>
        <v>2</v>
      </c>
      <c r="AZ17" s="903">
        <f t="array" ref="AZ17">SUM(IF(ISNUMBER(VALUE(RIGHT(AZ23:AZ173,1))),VALUE(RIGHT(AZ23:AZ173,1)),0))</f>
        <v>0</v>
      </c>
      <c r="BA17" s="903">
        <f t="array" ref="BA17">SUM(IF(ISNUMBER(VALUE(RIGHT(BA23:BA173,1))),VALUE(RIGHT(BA23:BA173,1)),0))</f>
        <v>0</v>
      </c>
      <c r="BB17" s="903">
        <f t="array" ref="BB17">SUM(IF(ISNUMBER(VALUE(RIGHT(BB23:BB173,1))),VALUE(RIGHT(BB23:BB173,1)),0))</f>
        <v>0</v>
      </c>
      <c r="BC17" s="903">
        <f t="array" ref="BC17">SUM(IF(ISNUMBER(VALUE(RIGHT(BC23:BC173,1))),VALUE(RIGHT(BC23:BC173,1)),0))</f>
        <v>2</v>
      </c>
      <c r="BD17" s="903">
        <f t="array" ref="BD17">SUM(IF(ISNUMBER(VALUE(RIGHT(BD23:BD173,1))),VALUE(RIGHT(BD23:BD173,1)),0))</f>
        <v>12</v>
      </c>
      <c r="BE17" s="903">
        <f t="array" ref="BE17">SUM(IF(ISNUMBER(VALUE(RIGHT(BE23:BE173,1))),VALUE(RIGHT(BE23:BE173,1)),0))</f>
        <v>6</v>
      </c>
      <c r="BF17" s="903">
        <f t="array" ref="BF17">SUM(IF(ISNUMBER(VALUE(RIGHT(BF23:BF173,1))),VALUE(RIGHT(BF23:BF173,1)),0))</f>
        <v>4</v>
      </c>
      <c r="BG17" s="903">
        <f t="array" ref="BG17">SUM(IF(ISNUMBER(VALUE(RIGHT(BG23:BG173,1))),VALUE(RIGHT(BG23:BG173,1)),0))</f>
        <v>2</v>
      </c>
      <c r="BH17" s="903">
        <f t="array" ref="BH17">SUM(IF(ISNUMBER(VALUE(RIGHT(BH23:BH173,1))),VALUE(RIGHT(BH23:BH173,1)),0))</f>
        <v>3</v>
      </c>
      <c r="BI17" s="903">
        <f t="array" ref="BI17">SUM(IF(ISNUMBER(VALUE(RIGHT(BI23:BI173,1))),VALUE(RIGHT(BI23:BI173,1)),0))</f>
        <v>21</v>
      </c>
      <c r="BJ17" s="903">
        <f t="array" ref="BJ17">SUM(IF(ISNUMBER(VALUE(RIGHT(BJ23:BJ173,1))),VALUE(RIGHT(BJ23:BJ173,1)),0))</f>
        <v>7</v>
      </c>
      <c r="BK17" s="903">
        <f t="array" ref="BK17">SUM(IF(ISNUMBER(VALUE(RIGHT(BK23:BK173,1))),VALUE(RIGHT(BK23:BK173,1)),0))</f>
        <v>0</v>
      </c>
      <c r="BL17" s="903">
        <f t="array" ref="BL17">SUM(IF(ISNUMBER(VALUE(RIGHT(BL23:BL173,1))),VALUE(RIGHT(BL23:BL173,1)),0))</f>
        <v>0</v>
      </c>
      <c r="BM17" s="889"/>
      <c r="BN17" s="850">
        <f t="array" ref="BN17">SUM(IF(ISNUMBER(VALUE(RIGHT(BN23:BN173,1))),VALUE(RIGHT(BN23:BN173,1)),0))</f>
        <v>0</v>
      </c>
      <c r="BO17" s="903">
        <f t="array" ref="BO17">SUM(IF(ISNUMBER(VALUE(RIGHT(BO23:BO173,1))),VALUE(RIGHT(BO23:BO173,1)),0))</f>
        <v>1</v>
      </c>
      <c r="BP17" s="903">
        <f t="array" ref="BP17">SUM(IF(ISNUMBER(VALUE(RIGHT(BP23:BP173,1))),VALUE(RIGHT(BP23:BP173,1)),0))</f>
        <v>0</v>
      </c>
      <c r="BQ17" s="889"/>
      <c r="BR17" s="889"/>
      <c r="BS17" s="889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  <c r="CE17" s="890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AVERAGEIFS($Y$23:$Y$210,$H$23:$H$210,"H",$I$23:$I$210,Table!$C$1)</f>
        <v>6.7142857142857144</v>
      </c>
      <c r="S18" s="858">
        <f>AVERAGEIFS($Y$23:$Y$210,$H$23:$H$210,"A",$I$23:$I$210,Table!$C$1)</f>
        <v>3.9523809523809526</v>
      </c>
      <c r="AG18" s="876">
        <v>1</v>
      </c>
      <c r="AH18" s="876">
        <v>23</v>
      </c>
      <c r="AI18" s="876">
        <v>29</v>
      </c>
      <c r="AJ18" s="876">
        <v>40</v>
      </c>
      <c r="AK18" s="876">
        <v>31</v>
      </c>
      <c r="AL18" s="876">
        <v>3</v>
      </c>
      <c r="AM18" s="876">
        <v>4</v>
      </c>
      <c r="AN18" s="876">
        <v>5</v>
      </c>
      <c r="AO18" s="876">
        <v>17</v>
      </c>
      <c r="AP18" s="876">
        <v>20</v>
      </c>
      <c r="AQ18" s="876">
        <v>25</v>
      </c>
      <c r="AR18" s="876">
        <v>26</v>
      </c>
      <c r="AS18" s="876">
        <v>27</v>
      </c>
      <c r="AT18" s="876">
        <v>28</v>
      </c>
      <c r="AU18" s="876">
        <v>30</v>
      </c>
      <c r="AV18" s="876">
        <v>37</v>
      </c>
      <c r="AW18" s="876">
        <v>6</v>
      </c>
      <c r="AX18" s="876">
        <v>7</v>
      </c>
      <c r="AY18" s="876">
        <v>14</v>
      </c>
      <c r="AZ18" s="876">
        <v>15</v>
      </c>
      <c r="BA18" s="876">
        <v>21</v>
      </c>
      <c r="BB18" s="876">
        <v>22</v>
      </c>
      <c r="BC18" s="876">
        <v>32</v>
      </c>
      <c r="BD18" s="876">
        <v>8</v>
      </c>
      <c r="BE18" s="876">
        <v>10</v>
      </c>
      <c r="BF18" s="876">
        <v>13</v>
      </c>
      <c r="BG18" s="876">
        <v>18</v>
      </c>
      <c r="BH18" s="876">
        <v>50</v>
      </c>
      <c r="BI18" s="876">
        <v>9</v>
      </c>
      <c r="BJ18" s="876">
        <v>11</v>
      </c>
      <c r="BK18" s="876">
        <v>16</v>
      </c>
      <c r="BL18" s="876">
        <v>34</v>
      </c>
      <c r="BM18" s="876"/>
      <c r="BN18" s="876">
        <v>24</v>
      </c>
      <c r="BO18" s="876">
        <v>33</v>
      </c>
      <c r="BP18" s="876">
        <v>18</v>
      </c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AVERAGEIFS($Z$23:$Z$208,$H$23:$H$208,"H",$I$23:$I$208,Table!$C$1)</f>
        <v>3.2380952380952381</v>
      </c>
      <c r="S19" s="858">
        <f>AVERAGEIFS($Z$23:$Z$208,$H$23:$H$208,"A",$I$23:$I$208,Table!$C$1)</f>
        <v>4.2380952380952381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3151</v>
      </c>
      <c r="AK19" s="901" t="s">
        <v>896</v>
      </c>
      <c r="AL19" s="901" t="s">
        <v>2026</v>
      </c>
      <c r="AM19" s="901" t="s">
        <v>2027</v>
      </c>
      <c r="AN19" s="901" t="s">
        <v>2032</v>
      </c>
      <c r="AO19" s="901" t="s">
        <v>2032</v>
      </c>
      <c r="AP19" s="901" t="s">
        <v>2032</v>
      </c>
      <c r="AQ19" s="901" t="s">
        <v>2018</v>
      </c>
      <c r="AR19" s="901" t="s">
        <v>2028</v>
      </c>
      <c r="AS19" s="901" t="s">
        <v>2028</v>
      </c>
      <c r="AT19" s="901" t="s">
        <v>2032</v>
      </c>
      <c r="AU19" s="901" t="s">
        <v>2028</v>
      </c>
      <c r="AV19" s="901" t="s">
        <v>2110</v>
      </c>
      <c r="AW19" s="901" t="s">
        <v>2019</v>
      </c>
      <c r="AX19" s="901" t="s">
        <v>2021</v>
      </c>
      <c r="AY19" s="901" t="s">
        <v>2021</v>
      </c>
      <c r="AZ19" s="901" t="s">
        <v>2019</v>
      </c>
      <c r="BA19" s="901" t="s">
        <v>2023</v>
      </c>
      <c r="BB19" s="901" t="s">
        <v>2020</v>
      </c>
      <c r="BC19" s="901" t="s">
        <v>2029</v>
      </c>
      <c r="BD19" s="901" t="s">
        <v>2020</v>
      </c>
      <c r="BE19" s="901" t="s">
        <v>2020</v>
      </c>
      <c r="BF19" s="901" t="s">
        <v>2776</v>
      </c>
      <c r="BG19" s="901" t="s">
        <v>2867</v>
      </c>
      <c r="BH19" s="901" t="s">
        <v>2113</v>
      </c>
      <c r="BI19" s="901" t="s">
        <v>2025</v>
      </c>
      <c r="BJ19" s="901" t="s">
        <v>2022</v>
      </c>
      <c r="BK19" s="901" t="s">
        <v>2025</v>
      </c>
      <c r="BL19" s="901" t="s">
        <v>2031</v>
      </c>
      <c r="BM19" s="877"/>
      <c r="BN19" s="901" t="s">
        <v>2032</v>
      </c>
      <c r="BO19" s="901" t="s">
        <v>2032</v>
      </c>
      <c r="BP19" s="901" t="s">
        <v>2030</v>
      </c>
      <c r="BQ19" s="877"/>
      <c r="BR19" s="877"/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6</v>
      </c>
      <c r="G20" s="822" t="str">
        <f ca="1">MID(CELL("filename",A1),FIND("]",CELL("filename",A1))+1,LEN(CELL("filename",A1))-FIND("]",CELL("filename",A1)))</f>
        <v>JEF United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1424</v>
      </c>
      <c r="AH20" s="887" t="s">
        <v>1425</v>
      </c>
      <c r="AI20" s="887" t="s">
        <v>1426</v>
      </c>
      <c r="AJ20" s="887" t="s">
        <v>3154</v>
      </c>
      <c r="AK20" s="887" t="s">
        <v>1427</v>
      </c>
      <c r="AL20" s="887" t="s">
        <v>3213</v>
      </c>
      <c r="AM20" s="887" t="s">
        <v>1428</v>
      </c>
      <c r="AN20" s="887" t="s">
        <v>1429</v>
      </c>
      <c r="AO20" s="887" t="s">
        <v>2856</v>
      </c>
      <c r="AP20" s="887" t="s">
        <v>1430</v>
      </c>
      <c r="AQ20" s="887" t="s">
        <v>1432</v>
      </c>
      <c r="AR20" s="887" t="s">
        <v>2875</v>
      </c>
      <c r="AS20" s="887" t="s">
        <v>1433</v>
      </c>
      <c r="AT20" s="887" t="s">
        <v>3532</v>
      </c>
      <c r="AU20" s="887" t="s">
        <v>1898</v>
      </c>
      <c r="AV20" s="887" t="s">
        <v>2108</v>
      </c>
      <c r="AW20" s="887" t="s">
        <v>1435</v>
      </c>
      <c r="AX20" s="887" t="s">
        <v>3299</v>
      </c>
      <c r="AY20" s="887" t="s">
        <v>1436</v>
      </c>
      <c r="AZ20" s="887" t="s">
        <v>3214</v>
      </c>
      <c r="BA20" s="887" t="s">
        <v>1437</v>
      </c>
      <c r="BB20" s="887" t="s">
        <v>1438</v>
      </c>
      <c r="BC20" s="887" t="s">
        <v>1899</v>
      </c>
      <c r="BD20" s="887" t="s">
        <v>1439</v>
      </c>
      <c r="BE20" s="887" t="s">
        <v>2153</v>
      </c>
      <c r="BF20" s="887" t="s">
        <v>3462</v>
      </c>
      <c r="BG20" s="887" t="s">
        <v>1564</v>
      </c>
      <c r="BH20" s="887" t="s">
        <v>2111</v>
      </c>
      <c r="BI20" s="887" t="s">
        <v>1440</v>
      </c>
      <c r="BJ20" s="887" t="s">
        <v>1441</v>
      </c>
      <c r="BK20" s="887" t="s">
        <v>1442</v>
      </c>
      <c r="BL20" s="887" t="s">
        <v>1900</v>
      </c>
      <c r="BM20" s="864"/>
      <c r="BN20" s="887" t="s">
        <v>1431</v>
      </c>
      <c r="BO20" s="887" t="s">
        <v>1434</v>
      </c>
      <c r="BP20" s="887" t="s">
        <v>2177</v>
      </c>
      <c r="BQ20" s="864"/>
      <c r="BR20" s="864"/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917</v>
      </c>
      <c r="AH21" s="886" t="s">
        <v>919</v>
      </c>
      <c r="AI21" s="886" t="s">
        <v>1127</v>
      </c>
      <c r="AJ21" s="886" t="s">
        <v>3153</v>
      </c>
      <c r="AK21" s="886" t="s">
        <v>920</v>
      </c>
      <c r="AL21" s="886" t="s">
        <v>1128</v>
      </c>
      <c r="AM21" s="886" t="s">
        <v>921</v>
      </c>
      <c r="AN21" s="886" t="s">
        <v>1129</v>
      </c>
      <c r="AO21" s="886" t="s">
        <v>923</v>
      </c>
      <c r="AP21" s="886" t="s">
        <v>924</v>
      </c>
      <c r="AQ21" s="886" t="s">
        <v>922</v>
      </c>
      <c r="AR21" s="886" t="s">
        <v>2876</v>
      </c>
      <c r="AS21" s="886" t="s">
        <v>926</v>
      </c>
      <c r="AT21" s="886" t="s">
        <v>927</v>
      </c>
      <c r="AU21" s="886" t="s">
        <v>1130</v>
      </c>
      <c r="AV21" s="886" t="s">
        <v>2109</v>
      </c>
      <c r="AW21" s="886" t="s">
        <v>928</v>
      </c>
      <c r="AX21" s="886" t="s">
        <v>1132</v>
      </c>
      <c r="AY21" s="886" t="s">
        <v>1133</v>
      </c>
      <c r="AZ21" s="886" t="s">
        <v>1074</v>
      </c>
      <c r="BA21" s="886" t="s">
        <v>1660</v>
      </c>
      <c r="BB21" s="886" t="s">
        <v>1134</v>
      </c>
      <c r="BC21" s="886" t="s">
        <v>2143</v>
      </c>
      <c r="BD21" s="886" t="s">
        <v>1135</v>
      </c>
      <c r="BE21" s="886" t="s">
        <v>2154</v>
      </c>
      <c r="BF21" s="886" t="s">
        <v>1310</v>
      </c>
      <c r="BG21" s="886" t="s">
        <v>1697</v>
      </c>
      <c r="BH21" s="886" t="s">
        <v>2112</v>
      </c>
      <c r="BI21" s="886" t="s">
        <v>1136</v>
      </c>
      <c r="BJ21" s="886" t="s">
        <v>930</v>
      </c>
      <c r="BK21" s="886" t="s">
        <v>931</v>
      </c>
      <c r="BL21" s="886" t="s">
        <v>1662</v>
      </c>
      <c r="BM21" s="864"/>
      <c r="BN21" s="886" t="s">
        <v>925</v>
      </c>
      <c r="BO21" s="886" t="s">
        <v>1131</v>
      </c>
      <c r="BP21" s="886" t="s">
        <v>2178</v>
      </c>
      <c r="BQ21" s="864"/>
      <c r="BR21" s="864"/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16</v>
      </c>
      <c r="G23" s="879" t="s">
        <v>872</v>
      </c>
      <c r="H23" s="879" t="s">
        <v>18</v>
      </c>
      <c r="I23" s="879" t="s">
        <v>891</v>
      </c>
      <c r="J23" s="846">
        <v>1</v>
      </c>
      <c r="K23" s="846">
        <v>0</v>
      </c>
      <c r="L23" s="816" t="str">
        <f t="shared" ref="L23:L27" si="22">IF(J23="","",IF(J23&gt;K23,"W",IF(J23=K23,"D",IF(J23&lt;K23,"L"))))</f>
        <v>W</v>
      </c>
      <c r="M23" s="816">
        <f t="shared" ref="M23:M27" si="23">IF(J23="","",J23+K23)</f>
        <v>1</v>
      </c>
      <c r="N23" s="816" t="str">
        <f t="shared" ref="N23:N24" si="24">IF($J23="","",IF($M23&gt;N$19,"O",IF($M23&lt;N$19,"U",IF($M23=N$19,"-"))))</f>
        <v>U</v>
      </c>
      <c r="O23" s="816">
        <f t="shared" ref="O23:O27" si="25">IF(Q23="","",IF(SIGN(Q23)&lt;&gt;1,VLOOKUP(ABS(Q23),SUP_HDC,3,TRUE),-VLOOKUP(ABS(Q23),SUP_HDC,3,TRUE)))</f>
        <v>0</v>
      </c>
      <c r="P23" s="829">
        <f t="shared" ref="P23:P27" si="26">IF(O23="","",IF((J23-K23+O23)&gt;=0.5,1,IF((J23-K23+O23)=0.25,0.5,IF((J23-K23+O23)&lt;=-0.5,-1,IF((J23-K23+O23)=-0.25,-0.5,0)))))</f>
        <v>1</v>
      </c>
      <c r="Q23" s="830">
        <v>7.0000000000000007E-2</v>
      </c>
      <c r="R23" s="871">
        <f t="shared" ref="R23:R66" si="27">IF(ISBLANK(Q23),"",J23-K23-Q23)</f>
        <v>0.92999999999999994</v>
      </c>
      <c r="S23" s="830">
        <v>2.25</v>
      </c>
      <c r="T23" s="871">
        <f t="shared" ref="T23:T27" si="28">IF(ISBLANK(S23),"",J23+K23-S23)</f>
        <v>-1.25</v>
      </c>
      <c r="U23" s="868">
        <f t="shared" ref="U23:U27" si="29">IF(Q23="","",(Q23+S23)/2)</f>
        <v>1.1599999999999999</v>
      </c>
      <c r="V23" s="868">
        <f t="shared" ref="V23:V27" si="30">IF(Q23="","",S23-U23)</f>
        <v>1.0900000000000001</v>
      </c>
      <c r="W23" s="829">
        <v>11</v>
      </c>
      <c r="X23" s="829">
        <v>18</v>
      </c>
      <c r="Y23" s="829">
        <v>4</v>
      </c>
      <c r="Z23" s="829">
        <v>3</v>
      </c>
      <c r="AA23" s="829">
        <v>59</v>
      </c>
      <c r="AB23" s="829">
        <v>41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32</v>
      </c>
      <c r="AH23" s="891" t="s">
        <v>34</v>
      </c>
      <c r="AI23" s="891" t="s">
        <v>1877</v>
      </c>
      <c r="AJ23" s="891"/>
      <c r="AK23" s="891" t="s">
        <v>32</v>
      </c>
      <c r="AL23" s="891" t="s">
        <v>34</v>
      </c>
      <c r="AM23" s="891" t="s">
        <v>34</v>
      </c>
      <c r="AN23" s="904" t="s">
        <v>34</v>
      </c>
      <c r="AO23" s="891" t="s">
        <v>32</v>
      </c>
      <c r="AP23" s="891" t="s">
        <v>32</v>
      </c>
      <c r="AQ23" s="891" t="s">
        <v>32</v>
      </c>
      <c r="AR23" s="891" t="s">
        <v>32</v>
      </c>
      <c r="AS23" s="891" t="s">
        <v>32</v>
      </c>
      <c r="AT23" s="891" t="s">
        <v>32</v>
      </c>
      <c r="AU23" s="891" t="s">
        <v>1877</v>
      </c>
      <c r="AV23" s="891"/>
      <c r="AW23" s="891" t="s">
        <v>1877</v>
      </c>
      <c r="AX23" s="891" t="s">
        <v>1877</v>
      </c>
      <c r="AY23" s="891" t="s">
        <v>34</v>
      </c>
      <c r="AZ23" s="891" t="s">
        <v>32</v>
      </c>
      <c r="BA23" s="891" t="s">
        <v>34</v>
      </c>
      <c r="BB23" s="891" t="s">
        <v>36</v>
      </c>
      <c r="BC23" s="891" t="s">
        <v>34</v>
      </c>
      <c r="BD23" s="904" t="s">
        <v>35</v>
      </c>
      <c r="BE23" s="904" t="s">
        <v>1879</v>
      </c>
      <c r="BF23" s="910"/>
      <c r="BG23" s="910"/>
      <c r="BH23" s="891"/>
      <c r="BI23" s="904" t="s">
        <v>36</v>
      </c>
      <c r="BJ23" s="891" t="s">
        <v>35</v>
      </c>
      <c r="BK23" s="891"/>
      <c r="BL23" s="891"/>
      <c r="BM23" s="891"/>
      <c r="BN23" s="891" t="s">
        <v>36</v>
      </c>
      <c r="BO23" s="891" t="s">
        <v>35</v>
      </c>
      <c r="BP23" s="891"/>
      <c r="BQ23" s="891"/>
      <c r="BR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6273</v>
      </c>
      <c r="B24" s="884"/>
      <c r="C24" s="884"/>
      <c r="D24" s="884"/>
      <c r="E24" s="884"/>
      <c r="F24" s="884">
        <f ca="1">IF(I24="","",IF(I24=Table!$C$1,VLOOKUP(G24,Table!$B$9:$AE$32,Table!$AE$6-1,FALSE),""))</f>
        <v>11</v>
      </c>
      <c r="G24" s="879" t="s">
        <v>874</v>
      </c>
      <c r="H24" s="879" t="s">
        <v>22</v>
      </c>
      <c r="I24" s="879" t="s">
        <v>891</v>
      </c>
      <c r="J24" s="846">
        <v>1</v>
      </c>
      <c r="K24" s="846">
        <v>1</v>
      </c>
      <c r="L24" s="816" t="str">
        <f t="shared" si="22"/>
        <v>D</v>
      </c>
      <c r="M24" s="816">
        <f t="shared" si="23"/>
        <v>2</v>
      </c>
      <c r="N24" s="816" t="str">
        <f t="shared" si="24"/>
        <v>U</v>
      </c>
      <c r="O24" s="816">
        <f t="shared" si="25"/>
        <v>-0.25</v>
      </c>
      <c r="P24" s="829">
        <f t="shared" si="26"/>
        <v>-0.5</v>
      </c>
      <c r="Q24" s="830">
        <v>0.17</v>
      </c>
      <c r="R24" s="871">
        <f t="shared" si="27"/>
        <v>-0.17</v>
      </c>
      <c r="S24" s="830">
        <v>2.25</v>
      </c>
      <c r="T24" s="871">
        <f t="shared" si="28"/>
        <v>-0.25</v>
      </c>
      <c r="U24" s="868">
        <f t="shared" si="29"/>
        <v>1.21</v>
      </c>
      <c r="V24" s="868">
        <f t="shared" si="30"/>
        <v>1.04</v>
      </c>
      <c r="W24" s="829">
        <v>11</v>
      </c>
      <c r="X24" s="829">
        <v>6</v>
      </c>
      <c r="Y24" s="829">
        <v>4</v>
      </c>
      <c r="Z24" s="829">
        <v>2</v>
      </c>
      <c r="AA24" s="829">
        <v>57</v>
      </c>
      <c r="AB24" s="829">
        <v>43</v>
      </c>
      <c r="AC24" s="829"/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32</v>
      </c>
      <c r="AH24" s="891" t="s">
        <v>34</v>
      </c>
      <c r="AI24" s="891" t="s">
        <v>1877</v>
      </c>
      <c r="AJ24" s="891"/>
      <c r="AK24" s="891" t="s">
        <v>32</v>
      </c>
      <c r="AL24" s="891" t="s">
        <v>34</v>
      </c>
      <c r="AM24" s="891" t="s">
        <v>34</v>
      </c>
      <c r="AN24" s="891" t="s">
        <v>34</v>
      </c>
      <c r="AO24" s="891" t="s">
        <v>32</v>
      </c>
      <c r="AP24" s="891" t="s">
        <v>32</v>
      </c>
      <c r="AQ24" s="891" t="s">
        <v>32</v>
      </c>
      <c r="AR24" s="891" t="s">
        <v>32</v>
      </c>
      <c r="AS24" s="891" t="s">
        <v>32</v>
      </c>
      <c r="AT24" s="891" t="s">
        <v>32</v>
      </c>
      <c r="AU24" s="891" t="s">
        <v>1877</v>
      </c>
      <c r="AV24" s="891"/>
      <c r="AW24" s="891" t="s">
        <v>32</v>
      </c>
      <c r="AX24" s="891" t="s">
        <v>36</v>
      </c>
      <c r="AY24" s="904" t="s">
        <v>34</v>
      </c>
      <c r="AZ24" s="891" t="s">
        <v>36</v>
      </c>
      <c r="BA24" s="891" t="s">
        <v>34</v>
      </c>
      <c r="BB24" s="891" t="s">
        <v>32</v>
      </c>
      <c r="BC24" s="891" t="s">
        <v>35</v>
      </c>
      <c r="BD24" s="891" t="s">
        <v>36</v>
      </c>
      <c r="BE24" s="891" t="s">
        <v>35</v>
      </c>
      <c r="BF24" s="910"/>
      <c r="BG24" s="910"/>
      <c r="BH24" s="891"/>
      <c r="BI24" s="891" t="s">
        <v>34</v>
      </c>
      <c r="BJ24" s="904" t="s">
        <v>1946</v>
      </c>
      <c r="BK24" s="891" t="s">
        <v>1877</v>
      </c>
      <c r="BL24" s="891"/>
      <c r="BM24" s="891"/>
      <c r="BN24" s="891" t="s">
        <v>1877</v>
      </c>
      <c r="BO24" s="891" t="s">
        <v>34</v>
      </c>
      <c r="BP24" s="891"/>
      <c r="BQ24" s="891"/>
      <c r="BR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</row>
    <row r="25" spans="1:115" ht="15">
      <c r="A25" s="882">
        <v>6280</v>
      </c>
      <c r="B25" s="884"/>
      <c r="C25" s="884"/>
      <c r="D25" s="884"/>
      <c r="E25" s="884"/>
      <c r="F25" s="884">
        <f ca="1">IF(I25="","",IF(I25=Table!$C$1,VLOOKUP(G25,Table!$B$9:$AE$32,Table!$AE$6-1,FALSE),""))</f>
        <v>3</v>
      </c>
      <c r="G25" s="879" t="s">
        <v>1085</v>
      </c>
      <c r="H25" s="879" t="s">
        <v>22</v>
      </c>
      <c r="I25" s="879" t="s">
        <v>891</v>
      </c>
      <c r="J25" s="846">
        <v>2</v>
      </c>
      <c r="K25" s="846">
        <v>0</v>
      </c>
      <c r="L25" s="816" t="str">
        <f t="shared" si="22"/>
        <v>W</v>
      </c>
      <c r="M25" s="816">
        <f t="shared" si="23"/>
        <v>2</v>
      </c>
      <c r="N25" s="816" t="str">
        <f t="shared" ref="N25:N33" si="31">IF($J25="","",IF($M25&gt;N$19,"O",IF($M25&lt;N$19,"U",IF($M25=N$19,"-"))))</f>
        <v>U</v>
      </c>
      <c r="O25" s="816">
        <f t="shared" si="25"/>
        <v>0.25</v>
      </c>
      <c r="P25" s="829">
        <f t="shared" si="26"/>
        <v>1</v>
      </c>
      <c r="Q25" s="830">
        <v>-0.14000000000000001</v>
      </c>
      <c r="R25" s="871">
        <f t="shared" si="27"/>
        <v>2.14</v>
      </c>
      <c r="S25" s="830">
        <v>2.48</v>
      </c>
      <c r="T25" s="871">
        <f t="shared" si="28"/>
        <v>-0.48</v>
      </c>
      <c r="U25" s="868">
        <f t="shared" si="29"/>
        <v>1.17</v>
      </c>
      <c r="V25" s="868">
        <f t="shared" si="30"/>
        <v>1.31</v>
      </c>
      <c r="W25" s="829">
        <v>20</v>
      </c>
      <c r="X25" s="829">
        <v>8</v>
      </c>
      <c r="Y25" s="829">
        <v>7</v>
      </c>
      <c r="Z25" s="829">
        <v>1</v>
      </c>
      <c r="AA25" s="829">
        <v>58</v>
      </c>
      <c r="AB25" s="829">
        <v>42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32</v>
      </c>
      <c r="AH25" s="891" t="s">
        <v>34</v>
      </c>
      <c r="AI25" s="891" t="s">
        <v>1877</v>
      </c>
      <c r="AJ25" s="891"/>
      <c r="AK25" s="891" t="s">
        <v>32</v>
      </c>
      <c r="AL25" s="891" t="s">
        <v>32</v>
      </c>
      <c r="AM25" s="891" t="s">
        <v>34</v>
      </c>
      <c r="AN25" s="904" t="s">
        <v>34</v>
      </c>
      <c r="AO25" s="891" t="s">
        <v>36</v>
      </c>
      <c r="AP25" s="891" t="s">
        <v>32</v>
      </c>
      <c r="AQ25" s="891" t="s">
        <v>32</v>
      </c>
      <c r="AR25" s="891" t="s">
        <v>32</v>
      </c>
      <c r="AS25" s="891" t="s">
        <v>32</v>
      </c>
      <c r="AT25" s="891" t="s">
        <v>32</v>
      </c>
      <c r="AU25" s="891" t="s">
        <v>32</v>
      </c>
      <c r="AV25" s="891"/>
      <c r="AW25" s="891" t="s">
        <v>1877</v>
      </c>
      <c r="AX25" s="891" t="s">
        <v>1877</v>
      </c>
      <c r="AY25" s="891" t="s">
        <v>34</v>
      </c>
      <c r="AZ25" s="891" t="s">
        <v>35</v>
      </c>
      <c r="BA25" s="891" t="s">
        <v>35</v>
      </c>
      <c r="BB25" s="904" t="s">
        <v>36</v>
      </c>
      <c r="BC25" s="891" t="s">
        <v>32</v>
      </c>
      <c r="BD25" s="891" t="s">
        <v>1959</v>
      </c>
      <c r="BE25" s="891" t="s">
        <v>34</v>
      </c>
      <c r="BF25" s="910"/>
      <c r="BG25" s="910"/>
      <c r="BH25" s="891"/>
      <c r="BI25" s="891" t="s">
        <v>34</v>
      </c>
      <c r="BJ25" s="891" t="s">
        <v>35</v>
      </c>
      <c r="BK25" s="891"/>
      <c r="BL25" s="891"/>
      <c r="BM25" s="891"/>
      <c r="BN25" s="904" t="s">
        <v>34</v>
      </c>
      <c r="BO25" s="904" t="s">
        <v>1958</v>
      </c>
      <c r="BP25" s="891"/>
      <c r="BQ25" s="891"/>
      <c r="BR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8</v>
      </c>
      <c r="G26" s="879" t="s">
        <v>880</v>
      </c>
      <c r="H26" s="879" t="s">
        <v>18</v>
      </c>
      <c r="I26" s="879" t="s">
        <v>891</v>
      </c>
      <c r="J26" s="846">
        <v>1</v>
      </c>
      <c r="K26" s="846">
        <v>3</v>
      </c>
      <c r="L26" s="816" t="str">
        <f t="shared" si="22"/>
        <v>L</v>
      </c>
      <c r="M26" s="816">
        <f t="shared" si="23"/>
        <v>4</v>
      </c>
      <c r="N26" s="816" t="str">
        <f t="shared" si="31"/>
        <v>O</v>
      </c>
      <c r="O26" s="816">
        <f t="shared" si="25"/>
        <v>0.25</v>
      </c>
      <c r="P26" s="829">
        <f t="shared" si="26"/>
        <v>-1</v>
      </c>
      <c r="Q26" s="830">
        <v>-0.28000000000000003</v>
      </c>
      <c r="R26" s="871">
        <f t="shared" si="27"/>
        <v>-1.72</v>
      </c>
      <c r="S26" s="830">
        <v>2.27</v>
      </c>
      <c r="T26" s="871">
        <f t="shared" si="28"/>
        <v>1.73</v>
      </c>
      <c r="U26" s="868">
        <f t="shared" si="29"/>
        <v>0.995</v>
      </c>
      <c r="V26" s="868">
        <f t="shared" si="30"/>
        <v>1.2749999999999999</v>
      </c>
      <c r="W26" s="829">
        <v>10</v>
      </c>
      <c r="X26" s="829">
        <v>12</v>
      </c>
      <c r="Y26" s="829">
        <v>1</v>
      </c>
      <c r="Z26" s="829">
        <v>6</v>
      </c>
      <c r="AA26" s="829">
        <v>63</v>
      </c>
      <c r="AB26" s="829">
        <v>37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32</v>
      </c>
      <c r="AH26" s="891" t="s">
        <v>34</v>
      </c>
      <c r="AI26" s="891" t="s">
        <v>1877</v>
      </c>
      <c r="AJ26" s="891"/>
      <c r="AK26" s="891" t="s">
        <v>32</v>
      </c>
      <c r="AL26" s="891" t="s">
        <v>34</v>
      </c>
      <c r="AM26" s="891" t="s">
        <v>34</v>
      </c>
      <c r="AN26" s="891" t="s">
        <v>34</v>
      </c>
      <c r="AO26" s="891" t="s">
        <v>1877</v>
      </c>
      <c r="AP26" s="891" t="s">
        <v>1877</v>
      </c>
      <c r="AQ26" s="891" t="s">
        <v>32</v>
      </c>
      <c r="AR26" s="891" t="s">
        <v>32</v>
      </c>
      <c r="AS26" s="891" t="s">
        <v>32</v>
      </c>
      <c r="AT26" s="891" t="s">
        <v>32</v>
      </c>
      <c r="AU26" s="891" t="s">
        <v>32</v>
      </c>
      <c r="AV26" s="891" t="s">
        <v>36</v>
      </c>
      <c r="AW26" s="891" t="s">
        <v>1877</v>
      </c>
      <c r="AX26" s="891" t="s">
        <v>32</v>
      </c>
      <c r="AY26" s="891" t="s">
        <v>34</v>
      </c>
      <c r="AZ26" s="891" t="s">
        <v>35</v>
      </c>
      <c r="BA26" s="891" t="s">
        <v>34</v>
      </c>
      <c r="BB26" s="891" t="s">
        <v>32</v>
      </c>
      <c r="BC26" s="891" t="s">
        <v>34</v>
      </c>
      <c r="BD26" s="891" t="s">
        <v>2114</v>
      </c>
      <c r="BE26" s="891" t="s">
        <v>32</v>
      </c>
      <c r="BF26" s="910"/>
      <c r="BG26" s="910"/>
      <c r="BH26" s="891" t="s">
        <v>36</v>
      </c>
      <c r="BI26" s="891" t="s">
        <v>34</v>
      </c>
      <c r="BJ26" s="891" t="s">
        <v>35</v>
      </c>
      <c r="BK26" s="891"/>
      <c r="BL26" s="891"/>
      <c r="BM26" s="891"/>
      <c r="BN26" s="891" t="s">
        <v>32</v>
      </c>
      <c r="BO26" s="891" t="s">
        <v>35</v>
      </c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28"/>
      <c r="CF26" s="428"/>
      <c r="CG26" s="428"/>
      <c r="CH26" s="428"/>
    </row>
    <row r="27" spans="1:115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</v>
      </c>
      <c r="G27" s="879" t="s">
        <v>1086</v>
      </c>
      <c r="H27" s="879" t="s">
        <v>18</v>
      </c>
      <c r="I27" s="879" t="s">
        <v>891</v>
      </c>
      <c r="J27" s="846">
        <v>0</v>
      </c>
      <c r="K27" s="846">
        <v>2</v>
      </c>
      <c r="L27" s="816" t="str">
        <f t="shared" si="22"/>
        <v>L</v>
      </c>
      <c r="M27" s="816">
        <f t="shared" si="23"/>
        <v>2</v>
      </c>
      <c r="N27" s="816" t="str">
        <f t="shared" si="31"/>
        <v>U</v>
      </c>
      <c r="O27" s="816">
        <f t="shared" si="25"/>
        <v>0.5</v>
      </c>
      <c r="P27" s="829">
        <f t="shared" si="26"/>
        <v>-1</v>
      </c>
      <c r="Q27" s="830">
        <v>-0.45</v>
      </c>
      <c r="R27" s="871">
        <f t="shared" si="27"/>
        <v>-1.55</v>
      </c>
      <c r="S27" s="830">
        <v>2.4300000000000002</v>
      </c>
      <c r="T27" s="871">
        <f t="shared" si="28"/>
        <v>-0.43000000000000016</v>
      </c>
      <c r="U27" s="868">
        <f t="shared" si="29"/>
        <v>0.9900000000000001</v>
      </c>
      <c r="V27" s="868">
        <f t="shared" si="30"/>
        <v>1.44</v>
      </c>
      <c r="W27" s="829">
        <v>13</v>
      </c>
      <c r="X27" s="829">
        <v>14</v>
      </c>
      <c r="Y27" s="829">
        <v>2</v>
      </c>
      <c r="Z27" s="829">
        <v>4</v>
      </c>
      <c r="AA27" s="829">
        <v>60</v>
      </c>
      <c r="AB27" s="829">
        <v>40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/>
      <c r="AH27" s="904" t="s">
        <v>34</v>
      </c>
      <c r="AI27" s="891" t="s">
        <v>1877</v>
      </c>
      <c r="AJ27" s="891"/>
      <c r="AK27" s="891" t="s">
        <v>32</v>
      </c>
      <c r="AL27" s="891" t="s">
        <v>34</v>
      </c>
      <c r="AM27" s="891" t="s">
        <v>34</v>
      </c>
      <c r="AN27" s="891" t="s">
        <v>1877</v>
      </c>
      <c r="AO27" s="891" t="s">
        <v>32</v>
      </c>
      <c r="AP27" s="891" t="s">
        <v>34</v>
      </c>
      <c r="AQ27" s="891" t="s">
        <v>34</v>
      </c>
      <c r="AR27" s="891" t="s">
        <v>32</v>
      </c>
      <c r="AS27" s="891" t="s">
        <v>32</v>
      </c>
      <c r="AT27" s="891" t="s">
        <v>32</v>
      </c>
      <c r="AU27" s="891" t="s">
        <v>32</v>
      </c>
      <c r="AV27" s="891" t="s">
        <v>1877</v>
      </c>
      <c r="AW27" s="891" t="s">
        <v>36</v>
      </c>
      <c r="AX27" s="891" t="s">
        <v>32</v>
      </c>
      <c r="AY27" s="891" t="s">
        <v>34</v>
      </c>
      <c r="AZ27" s="891" t="s">
        <v>1877</v>
      </c>
      <c r="BA27" s="891" t="s">
        <v>35</v>
      </c>
      <c r="BB27" s="891" t="s">
        <v>32</v>
      </c>
      <c r="BC27" s="891" t="s">
        <v>2144</v>
      </c>
      <c r="BD27" s="891" t="s">
        <v>34</v>
      </c>
      <c r="BE27" s="891" t="s">
        <v>32</v>
      </c>
      <c r="BF27" s="910"/>
      <c r="BG27" s="910"/>
      <c r="BH27" s="891" t="s">
        <v>32</v>
      </c>
      <c r="BI27" s="891" t="s">
        <v>36</v>
      </c>
      <c r="BJ27" s="891" t="s">
        <v>35</v>
      </c>
      <c r="BK27" s="891" t="s">
        <v>32</v>
      </c>
      <c r="BL27" s="891"/>
      <c r="BM27" s="891"/>
      <c r="BN27" s="891" t="s">
        <v>32</v>
      </c>
      <c r="BO27" s="891" t="s">
        <v>34</v>
      </c>
      <c r="BP27" s="891" t="s">
        <v>36</v>
      </c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428"/>
      <c r="CF27" s="428"/>
      <c r="CG27" s="428"/>
      <c r="CH27" s="428"/>
      <c r="CI27" s="230" t="s">
        <v>32</v>
      </c>
      <c r="CJ27" s="230" t="s">
        <v>32</v>
      </c>
      <c r="CK27" s="230" t="s">
        <v>32</v>
      </c>
      <c r="CL27" s="230" t="s">
        <v>32</v>
      </c>
      <c r="CM27" s="230" t="s">
        <v>32</v>
      </c>
      <c r="CN27" s="230" t="s">
        <v>32</v>
      </c>
      <c r="CO27" s="230" t="s">
        <v>32</v>
      </c>
    </row>
    <row r="28" spans="1:115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12</v>
      </c>
      <c r="G28" s="879" t="s">
        <v>879</v>
      </c>
      <c r="H28" s="879" t="s">
        <v>22</v>
      </c>
      <c r="I28" s="879" t="s">
        <v>891</v>
      </c>
      <c r="J28" s="846">
        <v>2</v>
      </c>
      <c r="K28" s="846">
        <v>2</v>
      </c>
      <c r="L28" s="816" t="str">
        <f>IF(J28="","",IF(J28&gt;K28,"W",IF(J28=K28,"D",IF(J28&lt;K28,"L"))))</f>
        <v>D</v>
      </c>
      <c r="M28" s="816">
        <f>IF(J28="","",J28+K28)</f>
        <v>4</v>
      </c>
      <c r="N28" s="816" t="str">
        <f t="shared" si="31"/>
        <v>O</v>
      </c>
      <c r="O28" s="816">
        <f t="shared" ref="O28:O61" si="32">IF(Q28="","",IF(SIGN(Q28)&lt;&gt;1,VLOOKUP(ABS(Q28),SUP_HDC,3,TRUE),-VLOOKUP(ABS(Q28),SUP_HDC,3,TRUE)))</f>
        <v>-0.5</v>
      </c>
      <c r="P28" s="829">
        <f t="shared" ref="P28:P61" si="33">IF(O28="","",IF((J28-K28+O28)&gt;=0.5,1,IF((J28-K28+O28)=0.25,0.5,IF((J28-K28+O28)&lt;=-0.5,-1,IF((J28-K28+O28)=-0.25,-0.5,0)))))</f>
        <v>-1</v>
      </c>
      <c r="Q28" s="830">
        <v>0.45</v>
      </c>
      <c r="R28" s="871">
        <f t="shared" si="27"/>
        <v>-0.45</v>
      </c>
      <c r="S28" s="830">
        <v>2.2400000000000002</v>
      </c>
      <c r="T28" s="871">
        <f t="shared" ref="T28:T66" si="34">IF(ISBLANK(S28),"",J28+K28-S28)</f>
        <v>1.7599999999999998</v>
      </c>
      <c r="U28" s="868">
        <f t="shared" ref="U28:U61" si="35">IF(Q28="","",(Q28+S28)/2)</f>
        <v>1.3450000000000002</v>
      </c>
      <c r="V28" s="868">
        <f t="shared" ref="V28:V61" si="36">IF(Q28="","",S28-U28)</f>
        <v>0.89500000000000002</v>
      </c>
      <c r="W28" s="829">
        <v>16</v>
      </c>
      <c r="X28" s="829">
        <v>12</v>
      </c>
      <c r="Y28" s="829">
        <v>8</v>
      </c>
      <c r="Z28" s="829">
        <v>5</v>
      </c>
      <c r="AA28" s="829">
        <v>67</v>
      </c>
      <c r="AB28" s="829">
        <v>33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32</v>
      </c>
      <c r="AH28" s="891" t="s">
        <v>34</v>
      </c>
      <c r="AI28" s="891" t="s">
        <v>1877</v>
      </c>
      <c r="AJ28" s="891"/>
      <c r="AK28" s="891" t="s">
        <v>32</v>
      </c>
      <c r="AL28" s="891" t="s">
        <v>2160</v>
      </c>
      <c r="AM28" s="891" t="s">
        <v>34</v>
      </c>
      <c r="AN28" s="891" t="s">
        <v>1877</v>
      </c>
      <c r="AO28" s="891" t="s">
        <v>32</v>
      </c>
      <c r="AP28" s="891" t="s">
        <v>35</v>
      </c>
      <c r="AQ28" s="891" t="s">
        <v>35</v>
      </c>
      <c r="AR28" s="891" t="s">
        <v>32</v>
      </c>
      <c r="AS28" s="891" t="s">
        <v>32</v>
      </c>
      <c r="AT28" s="891" t="s">
        <v>32</v>
      </c>
      <c r="AU28" s="891" t="s">
        <v>1877</v>
      </c>
      <c r="AV28" s="891" t="s">
        <v>34</v>
      </c>
      <c r="AW28" s="891" t="s">
        <v>35</v>
      </c>
      <c r="AX28" s="891" t="s">
        <v>32</v>
      </c>
      <c r="AY28" s="891" t="s">
        <v>1877</v>
      </c>
      <c r="AZ28" s="904" t="s">
        <v>34</v>
      </c>
      <c r="BA28" s="891" t="s">
        <v>36</v>
      </c>
      <c r="BB28" s="891" t="s">
        <v>36</v>
      </c>
      <c r="BC28" s="891" t="s">
        <v>34</v>
      </c>
      <c r="BD28" s="891" t="s">
        <v>2160</v>
      </c>
      <c r="BE28" s="891" t="s">
        <v>32</v>
      </c>
      <c r="BF28" s="910"/>
      <c r="BG28" s="910"/>
      <c r="BH28" s="891" t="s">
        <v>32</v>
      </c>
      <c r="BI28" s="891" t="s">
        <v>34</v>
      </c>
      <c r="BJ28" s="891" t="s">
        <v>36</v>
      </c>
      <c r="BK28" s="891"/>
      <c r="BL28" s="891"/>
      <c r="BM28" s="891"/>
      <c r="BN28" s="891" t="s">
        <v>32</v>
      </c>
      <c r="BO28" s="891" t="s">
        <v>32</v>
      </c>
      <c r="BP28" s="910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28"/>
      <c r="CF28" s="428"/>
      <c r="CG28" s="428"/>
      <c r="CH28" s="428"/>
      <c r="CI28" s="230" t="s">
        <v>32</v>
      </c>
      <c r="CJ28" s="230" t="s">
        <v>32</v>
      </c>
      <c r="CK28" s="230" t="s">
        <v>32</v>
      </c>
      <c r="CL28" s="230" t="s">
        <v>32</v>
      </c>
      <c r="CM28" s="230" t="s">
        <v>32</v>
      </c>
      <c r="CN28" s="230" t="s">
        <v>32</v>
      </c>
      <c r="CO28" s="230" t="s">
        <v>32</v>
      </c>
    </row>
    <row r="29" spans="1:115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22</v>
      </c>
      <c r="G29" s="879" t="s">
        <v>1087</v>
      </c>
      <c r="H29" s="879" t="s">
        <v>22</v>
      </c>
      <c r="I29" s="879" t="s">
        <v>891</v>
      </c>
      <c r="J29" s="846">
        <v>1</v>
      </c>
      <c r="K29" s="846">
        <v>1</v>
      </c>
      <c r="L29" s="816" t="str">
        <f t="shared" ref="L29:L33" si="37">IF(J29="","",IF(J29&gt;K29,"W",IF(J29=K29,"D",IF(J29&lt;K29,"L"))))</f>
        <v>D</v>
      </c>
      <c r="M29" s="816">
        <f t="shared" ref="M29:M33" si="38">IF(J29="","",J29+K29)</f>
        <v>2</v>
      </c>
      <c r="N29" s="816" t="str">
        <f t="shared" si="31"/>
        <v>U</v>
      </c>
      <c r="O29" s="816">
        <f t="shared" si="32"/>
        <v>-0.75</v>
      </c>
      <c r="P29" s="829">
        <f t="shared" si="33"/>
        <v>-1</v>
      </c>
      <c r="Q29" s="830">
        <v>0.86</v>
      </c>
      <c r="R29" s="871">
        <f t="shared" si="27"/>
        <v>-0.86</v>
      </c>
      <c r="S29" s="830">
        <v>2.6</v>
      </c>
      <c r="T29" s="871">
        <f t="shared" si="34"/>
        <v>-0.60000000000000009</v>
      </c>
      <c r="U29" s="868">
        <f t="shared" si="35"/>
        <v>1.73</v>
      </c>
      <c r="V29" s="868">
        <f t="shared" si="36"/>
        <v>0.87000000000000011</v>
      </c>
      <c r="W29" s="829">
        <v>12</v>
      </c>
      <c r="X29" s="829">
        <v>10</v>
      </c>
      <c r="Y29" s="829">
        <v>2</v>
      </c>
      <c r="Z29" s="829">
        <v>3</v>
      </c>
      <c r="AA29" s="829">
        <v>65</v>
      </c>
      <c r="AB29" s="829">
        <v>35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32</v>
      </c>
      <c r="AH29" s="891" t="s">
        <v>34</v>
      </c>
      <c r="AI29" s="891" t="s">
        <v>1877</v>
      </c>
      <c r="AJ29" s="891"/>
      <c r="AK29" s="891" t="s">
        <v>32</v>
      </c>
      <c r="AL29" s="891" t="s">
        <v>34</v>
      </c>
      <c r="AM29" s="891" t="s">
        <v>34</v>
      </c>
      <c r="AN29" s="891" t="s">
        <v>34</v>
      </c>
      <c r="AO29" s="891" t="s">
        <v>32</v>
      </c>
      <c r="AP29" s="891" t="s">
        <v>1877</v>
      </c>
      <c r="AQ29" s="891" t="s">
        <v>1877</v>
      </c>
      <c r="AR29" s="891" t="s">
        <v>32</v>
      </c>
      <c r="AS29" s="891" t="s">
        <v>32</v>
      </c>
      <c r="AT29" s="891" t="s">
        <v>32</v>
      </c>
      <c r="AU29" s="891" t="s">
        <v>32</v>
      </c>
      <c r="AV29" s="891" t="s">
        <v>34</v>
      </c>
      <c r="AW29" s="891" t="s">
        <v>35</v>
      </c>
      <c r="AX29" s="891" t="s">
        <v>1877</v>
      </c>
      <c r="AY29" s="891" t="s">
        <v>32</v>
      </c>
      <c r="AZ29" s="891" t="s">
        <v>34</v>
      </c>
      <c r="BA29" s="891" t="s">
        <v>35</v>
      </c>
      <c r="BB29" s="891" t="s">
        <v>36</v>
      </c>
      <c r="BC29" s="891" t="s">
        <v>2195</v>
      </c>
      <c r="BD29" s="904" t="s">
        <v>35</v>
      </c>
      <c r="BE29" s="904" t="s">
        <v>36</v>
      </c>
      <c r="BF29" s="910"/>
      <c r="BG29" s="910"/>
      <c r="BH29" s="891" t="s">
        <v>32</v>
      </c>
      <c r="BI29" s="904" t="s">
        <v>34</v>
      </c>
      <c r="BJ29" s="891" t="s">
        <v>36</v>
      </c>
      <c r="BK29" s="891"/>
      <c r="BL29" s="891"/>
      <c r="BM29" s="891"/>
      <c r="BN29" s="891" t="s">
        <v>32</v>
      </c>
      <c r="BO29" s="891" t="s">
        <v>32</v>
      </c>
      <c r="BP29" s="910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6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6" t="s">
        <v>32</v>
      </c>
      <c r="CM29" s="6" t="s">
        <v>32</v>
      </c>
      <c r="CN29" s="6" t="s">
        <v>32</v>
      </c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20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20</v>
      </c>
      <c r="G30" s="879" t="s">
        <v>882</v>
      </c>
      <c r="H30" s="879" t="s">
        <v>18</v>
      </c>
      <c r="I30" s="879" t="s">
        <v>891</v>
      </c>
      <c r="J30" s="846">
        <v>1</v>
      </c>
      <c r="K30" s="846">
        <v>0</v>
      </c>
      <c r="L30" s="816" t="str">
        <f t="shared" si="37"/>
        <v>W</v>
      </c>
      <c r="M30" s="816">
        <f t="shared" si="38"/>
        <v>1</v>
      </c>
      <c r="N30" s="816" t="str">
        <f t="shared" si="31"/>
        <v>U</v>
      </c>
      <c r="O30" s="816">
        <f t="shared" si="32"/>
        <v>0</v>
      </c>
      <c r="P30" s="829">
        <f t="shared" si="33"/>
        <v>1</v>
      </c>
      <c r="Q30" s="830">
        <v>-0.12</v>
      </c>
      <c r="R30" s="871">
        <f t="shared" si="27"/>
        <v>1.1200000000000001</v>
      </c>
      <c r="S30" s="830">
        <v>2.48</v>
      </c>
      <c r="T30" s="871">
        <f t="shared" si="34"/>
        <v>-1.48</v>
      </c>
      <c r="U30" s="868">
        <f t="shared" si="35"/>
        <v>1.18</v>
      </c>
      <c r="V30" s="868">
        <f t="shared" si="36"/>
        <v>1.3</v>
      </c>
      <c r="W30" s="829">
        <v>21</v>
      </c>
      <c r="X30" s="829">
        <v>6</v>
      </c>
      <c r="Y30" s="829">
        <v>7</v>
      </c>
      <c r="Z30" s="829">
        <v>5</v>
      </c>
      <c r="AA30" s="829">
        <v>65</v>
      </c>
      <c r="AB30" s="829">
        <v>35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32</v>
      </c>
      <c r="AH30" s="891" t="s">
        <v>34</v>
      </c>
      <c r="AI30" s="891" t="s">
        <v>1877</v>
      </c>
      <c r="AJ30" s="891"/>
      <c r="AK30" s="891" t="s">
        <v>32</v>
      </c>
      <c r="AL30" s="891" t="s">
        <v>34</v>
      </c>
      <c r="AM30" s="891" t="s">
        <v>34</v>
      </c>
      <c r="AN30" s="891" t="s">
        <v>1877</v>
      </c>
      <c r="AO30" s="891" t="s">
        <v>32</v>
      </c>
      <c r="AP30" s="891" t="s">
        <v>34</v>
      </c>
      <c r="AQ30" s="891" t="s">
        <v>1877</v>
      </c>
      <c r="AR30" s="891" t="s">
        <v>32</v>
      </c>
      <c r="AS30" s="891" t="s">
        <v>32</v>
      </c>
      <c r="AT30" s="891" t="s">
        <v>32</v>
      </c>
      <c r="AU30" s="891" t="s">
        <v>32</v>
      </c>
      <c r="AV30" s="891" t="s">
        <v>34</v>
      </c>
      <c r="AW30" s="891" t="s">
        <v>1877</v>
      </c>
      <c r="AX30" s="891" t="s">
        <v>32</v>
      </c>
      <c r="AY30" s="891" t="s">
        <v>32</v>
      </c>
      <c r="AZ30" s="891" t="s">
        <v>35</v>
      </c>
      <c r="BA30" s="891" t="s">
        <v>35</v>
      </c>
      <c r="BB30" s="891" t="s">
        <v>36</v>
      </c>
      <c r="BC30" s="891" t="s">
        <v>34</v>
      </c>
      <c r="BD30" s="904" t="s">
        <v>35</v>
      </c>
      <c r="BE30" s="891" t="s">
        <v>34</v>
      </c>
      <c r="BF30" s="910"/>
      <c r="BG30" s="910"/>
      <c r="BH30" s="891" t="s">
        <v>32</v>
      </c>
      <c r="BI30" s="891" t="s">
        <v>2231</v>
      </c>
      <c r="BJ30" s="891" t="s">
        <v>34</v>
      </c>
      <c r="BK30" s="891" t="s">
        <v>36</v>
      </c>
      <c r="BL30" s="891"/>
      <c r="BM30" s="891"/>
      <c r="BN30" s="891" t="s">
        <v>32</v>
      </c>
      <c r="BO30" s="891" t="s">
        <v>32</v>
      </c>
      <c r="BP30" s="910"/>
      <c r="BQ30" s="891"/>
      <c r="BR30" s="891"/>
      <c r="BS30" s="891"/>
      <c r="BT30" s="896"/>
      <c r="BU30" s="896"/>
      <c r="BV30" s="896"/>
      <c r="BW30" s="896"/>
      <c r="BX30" s="896"/>
      <c r="BY30" s="896"/>
      <c r="BZ30" s="896"/>
      <c r="CA30" s="896"/>
      <c r="CB30" s="896"/>
      <c r="CC30" s="896"/>
      <c r="CD30" s="896"/>
      <c r="CE30" s="865"/>
      <c r="CF30" s="865"/>
      <c r="CG30" s="865"/>
      <c r="CH30" s="865"/>
      <c r="CI30" s="865" t="s">
        <v>32</v>
      </c>
      <c r="CJ30" s="865" t="s">
        <v>32</v>
      </c>
      <c r="CK30" s="865" t="s">
        <v>32</v>
      </c>
      <c r="CL30" s="4" t="s">
        <v>32</v>
      </c>
      <c r="CM30" s="6" t="s">
        <v>32</v>
      </c>
      <c r="CN30" s="6" t="s">
        <v>32</v>
      </c>
      <c r="CO30" s="6" t="s">
        <v>32</v>
      </c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10</v>
      </c>
      <c r="G31" s="879" t="s">
        <v>883</v>
      </c>
      <c r="H31" s="879" t="s">
        <v>18</v>
      </c>
      <c r="I31" s="879" t="s">
        <v>891</v>
      </c>
      <c r="J31" s="846">
        <v>0</v>
      </c>
      <c r="K31" s="846">
        <v>4</v>
      </c>
      <c r="L31" s="816" t="str">
        <f t="shared" si="37"/>
        <v>L</v>
      </c>
      <c r="M31" s="816">
        <f t="shared" si="38"/>
        <v>4</v>
      </c>
      <c r="N31" s="816" t="str">
        <f t="shared" si="31"/>
        <v>O</v>
      </c>
      <c r="O31" s="816">
        <f t="shared" si="32"/>
        <v>-0.25</v>
      </c>
      <c r="P31" s="829">
        <f t="shared" si="33"/>
        <v>-1</v>
      </c>
      <c r="Q31" s="830">
        <v>0.14000000000000001</v>
      </c>
      <c r="R31" s="871">
        <f t="shared" si="27"/>
        <v>-4.1399999999999997</v>
      </c>
      <c r="S31" s="830">
        <v>2.2200000000000002</v>
      </c>
      <c r="T31" s="871">
        <f t="shared" si="34"/>
        <v>1.7799999999999998</v>
      </c>
      <c r="U31" s="868">
        <f t="shared" si="35"/>
        <v>1.1800000000000002</v>
      </c>
      <c r="V31" s="868">
        <f t="shared" si="36"/>
        <v>1.04</v>
      </c>
      <c r="W31" s="829">
        <v>9</v>
      </c>
      <c r="X31" s="829">
        <v>10</v>
      </c>
      <c r="Y31" s="829">
        <v>1</v>
      </c>
      <c r="Z31" s="829">
        <v>6</v>
      </c>
      <c r="AA31" s="829">
        <v>67</v>
      </c>
      <c r="AB31" s="829">
        <v>33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32</v>
      </c>
      <c r="AH31" s="891" t="s">
        <v>34</v>
      </c>
      <c r="AI31" s="891" t="s">
        <v>1877</v>
      </c>
      <c r="AJ31" s="891"/>
      <c r="AK31" s="891" t="s">
        <v>32</v>
      </c>
      <c r="AL31" s="891" t="s">
        <v>34</v>
      </c>
      <c r="AM31" s="891" t="s">
        <v>34</v>
      </c>
      <c r="AN31" s="891" t="s">
        <v>1877</v>
      </c>
      <c r="AO31" s="891" t="s">
        <v>32</v>
      </c>
      <c r="AP31" s="891" t="s">
        <v>34</v>
      </c>
      <c r="AQ31" s="891" t="s">
        <v>1877</v>
      </c>
      <c r="AR31" s="891" t="s">
        <v>32</v>
      </c>
      <c r="AS31" s="891" t="s">
        <v>32</v>
      </c>
      <c r="AT31" s="891" t="s">
        <v>32</v>
      </c>
      <c r="AU31" s="891" t="s">
        <v>32</v>
      </c>
      <c r="AV31" s="891" t="s">
        <v>34</v>
      </c>
      <c r="AW31" s="891" t="s">
        <v>36</v>
      </c>
      <c r="AX31" s="891" t="s">
        <v>32</v>
      </c>
      <c r="AY31" s="891" t="s">
        <v>32</v>
      </c>
      <c r="AZ31" s="904" t="s">
        <v>34</v>
      </c>
      <c r="BA31" s="891" t="s">
        <v>36</v>
      </c>
      <c r="BB31" s="891" t="s">
        <v>1877</v>
      </c>
      <c r="BC31" s="891" t="s">
        <v>35</v>
      </c>
      <c r="BD31" s="891" t="s">
        <v>35</v>
      </c>
      <c r="BE31" s="891" t="s">
        <v>35</v>
      </c>
      <c r="BF31" s="910"/>
      <c r="BG31" s="910"/>
      <c r="BH31" s="891" t="s">
        <v>32</v>
      </c>
      <c r="BI31" s="891" t="s">
        <v>34</v>
      </c>
      <c r="BJ31" s="891" t="s">
        <v>34</v>
      </c>
      <c r="BK31" s="891" t="s">
        <v>36</v>
      </c>
      <c r="BL31" s="891" t="s">
        <v>32</v>
      </c>
      <c r="BM31" s="891"/>
      <c r="BN31" s="891" t="s">
        <v>32</v>
      </c>
      <c r="BO31" s="891" t="s">
        <v>32</v>
      </c>
      <c r="BP31" s="910"/>
      <c r="BQ31" s="891"/>
      <c r="BR31" s="891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"/>
      <c r="CF31" s="4"/>
      <c r="CG31" s="4"/>
      <c r="CH31" s="4"/>
      <c r="CI31" s="4" t="s">
        <v>32</v>
      </c>
      <c r="CJ31" s="4" t="s">
        <v>32</v>
      </c>
      <c r="CK31" s="4" t="s">
        <v>32</v>
      </c>
      <c r="CL31" s="4" t="s">
        <v>32</v>
      </c>
      <c r="CM31" s="6" t="s">
        <v>32</v>
      </c>
      <c r="CN31" s="6" t="s">
        <v>32</v>
      </c>
      <c r="CO31" s="6" t="s">
        <v>32</v>
      </c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7</v>
      </c>
      <c r="G32" s="879" t="s">
        <v>888</v>
      </c>
      <c r="H32" s="879" t="s">
        <v>22</v>
      </c>
      <c r="I32" s="879" t="s">
        <v>891</v>
      </c>
      <c r="J32" s="846">
        <v>2</v>
      </c>
      <c r="K32" s="908">
        <v>0</v>
      </c>
      <c r="L32" s="816" t="str">
        <f t="shared" si="37"/>
        <v>W</v>
      </c>
      <c r="M32" s="816">
        <f t="shared" si="38"/>
        <v>2</v>
      </c>
      <c r="N32" s="816" t="str">
        <f t="shared" si="31"/>
        <v>U</v>
      </c>
      <c r="O32" s="816">
        <f t="shared" si="32"/>
        <v>0</v>
      </c>
      <c r="P32" s="829">
        <f t="shared" si="33"/>
        <v>1</v>
      </c>
      <c r="Q32" s="830">
        <v>0.08</v>
      </c>
      <c r="R32" s="871">
        <f t="shared" si="27"/>
        <v>1.92</v>
      </c>
      <c r="S32" s="830">
        <v>2.5</v>
      </c>
      <c r="T32" s="871">
        <f t="shared" si="34"/>
        <v>-0.5</v>
      </c>
      <c r="U32" s="868">
        <f t="shared" si="35"/>
        <v>1.29</v>
      </c>
      <c r="V32" s="868">
        <f t="shared" si="36"/>
        <v>1.21</v>
      </c>
      <c r="W32" s="829">
        <v>20</v>
      </c>
      <c r="X32" s="829">
        <v>5</v>
      </c>
      <c r="Y32" s="829">
        <v>8</v>
      </c>
      <c r="Z32" s="829">
        <v>1</v>
      </c>
      <c r="AA32" s="829">
        <v>59</v>
      </c>
      <c r="AB32" s="829">
        <v>41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/>
      <c r="AH32" s="891" t="s">
        <v>2337</v>
      </c>
      <c r="AI32" s="891" t="s">
        <v>2351</v>
      </c>
      <c r="AJ32" s="891"/>
      <c r="AK32" s="891"/>
      <c r="AL32" s="891" t="s">
        <v>2338</v>
      </c>
      <c r="AM32" s="891" t="s">
        <v>2338</v>
      </c>
      <c r="AN32" s="891"/>
      <c r="AO32" s="891" t="s">
        <v>2351</v>
      </c>
      <c r="AP32" s="891" t="s">
        <v>2338</v>
      </c>
      <c r="AQ32" s="891" t="s">
        <v>2350</v>
      </c>
      <c r="AR32" s="891"/>
      <c r="AS32" s="891"/>
      <c r="AT32" s="891"/>
      <c r="AU32" s="891"/>
      <c r="AV32" s="891" t="s">
        <v>2338</v>
      </c>
      <c r="AW32" s="891"/>
      <c r="AX32" s="891"/>
      <c r="AY32" s="891" t="s">
        <v>2351</v>
      </c>
      <c r="AZ32" s="891" t="s">
        <v>2338</v>
      </c>
      <c r="BA32" s="891" t="s">
        <v>2351</v>
      </c>
      <c r="BB32" s="891" t="s">
        <v>2350</v>
      </c>
      <c r="BC32" s="891" t="s">
        <v>1879</v>
      </c>
      <c r="BD32" s="891" t="s">
        <v>2379</v>
      </c>
      <c r="BE32" s="891" t="s">
        <v>2339</v>
      </c>
      <c r="BF32" s="910"/>
      <c r="BG32" s="910"/>
      <c r="BH32" s="891" t="s">
        <v>2380</v>
      </c>
      <c r="BI32" s="891" t="s">
        <v>2378</v>
      </c>
      <c r="BJ32" s="891" t="s">
        <v>2379</v>
      </c>
      <c r="BK32" s="891"/>
      <c r="BL32" s="891"/>
      <c r="BM32" s="891"/>
      <c r="BN32" s="891"/>
      <c r="BO32" s="891"/>
      <c r="BP32" s="910"/>
      <c r="BQ32" s="891"/>
      <c r="BR32" s="891"/>
      <c r="BS32" s="891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1"/>
      <c r="CE32" s="4"/>
      <c r="CF32" s="4"/>
      <c r="CG32" s="4"/>
      <c r="CH32" s="4"/>
      <c r="CI32" s="4" t="s">
        <v>32</v>
      </c>
      <c r="CJ32" s="4" t="s">
        <v>32</v>
      </c>
      <c r="CK32" s="4" t="s">
        <v>32</v>
      </c>
      <c r="CL32" s="4" t="s">
        <v>32</v>
      </c>
      <c r="CM32" s="6" t="s">
        <v>32</v>
      </c>
      <c r="CN32" s="6" t="s">
        <v>32</v>
      </c>
      <c r="CO32" s="6" t="s">
        <v>32</v>
      </c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19</v>
      </c>
      <c r="G33" s="879" t="s">
        <v>885</v>
      </c>
      <c r="H33" s="879" t="s">
        <v>18</v>
      </c>
      <c r="I33" s="879" t="s">
        <v>891</v>
      </c>
      <c r="J33" s="846">
        <v>1</v>
      </c>
      <c r="K33" s="846">
        <v>1</v>
      </c>
      <c r="L33" s="816" t="str">
        <f t="shared" si="37"/>
        <v>D</v>
      </c>
      <c r="M33" s="816">
        <f t="shared" si="38"/>
        <v>2</v>
      </c>
      <c r="N33" s="816" t="str">
        <f t="shared" si="31"/>
        <v>U</v>
      </c>
      <c r="O33" s="816">
        <f t="shared" si="32"/>
        <v>-0.5</v>
      </c>
      <c r="P33" s="829">
        <f t="shared" si="33"/>
        <v>-1</v>
      </c>
      <c r="Q33" s="830">
        <v>0.63</v>
      </c>
      <c r="R33" s="871">
        <f t="shared" si="27"/>
        <v>-0.63</v>
      </c>
      <c r="S33" s="830">
        <v>2.5</v>
      </c>
      <c r="T33" s="871">
        <f t="shared" si="34"/>
        <v>-0.5</v>
      </c>
      <c r="U33" s="868">
        <f t="shared" si="35"/>
        <v>1.5649999999999999</v>
      </c>
      <c r="V33" s="868">
        <f t="shared" si="36"/>
        <v>0.93500000000000005</v>
      </c>
      <c r="W33" s="829">
        <v>21</v>
      </c>
      <c r="X33" s="829">
        <v>7</v>
      </c>
      <c r="Y33" s="829">
        <v>6</v>
      </c>
      <c r="Z33" s="829">
        <v>1</v>
      </c>
      <c r="AA33" s="829">
        <v>71</v>
      </c>
      <c r="AB33" s="829">
        <v>29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/>
      <c r="AH33" s="891" t="s">
        <v>34</v>
      </c>
      <c r="AI33" s="891" t="s">
        <v>1877</v>
      </c>
      <c r="AJ33" s="891"/>
      <c r="AK33" s="891" t="s">
        <v>32</v>
      </c>
      <c r="AL33" s="904" t="s">
        <v>34</v>
      </c>
      <c r="AM33" s="891" t="s">
        <v>32</v>
      </c>
      <c r="AN33" s="904" t="s">
        <v>34</v>
      </c>
      <c r="AO33" s="891" t="s">
        <v>1877</v>
      </c>
      <c r="AP33" s="891" t="s">
        <v>32</v>
      </c>
      <c r="AQ33" s="891" t="s">
        <v>35</v>
      </c>
      <c r="AR33" s="891" t="s">
        <v>1877</v>
      </c>
      <c r="AS33" s="891" t="s">
        <v>32</v>
      </c>
      <c r="AT33" s="891" t="s">
        <v>32</v>
      </c>
      <c r="AU33" s="891" t="s">
        <v>32</v>
      </c>
      <c r="AV33" s="891" t="s">
        <v>34</v>
      </c>
      <c r="AW33" s="891" t="s">
        <v>2414</v>
      </c>
      <c r="AX33" s="891" t="s">
        <v>1877</v>
      </c>
      <c r="AY33" s="891" t="s">
        <v>1877</v>
      </c>
      <c r="AZ33" s="904" t="s">
        <v>34</v>
      </c>
      <c r="BA33" s="891" t="s">
        <v>36</v>
      </c>
      <c r="BB33" s="891" t="s">
        <v>32</v>
      </c>
      <c r="BC33" s="891" t="s">
        <v>34</v>
      </c>
      <c r="BD33" s="891" t="s">
        <v>32</v>
      </c>
      <c r="BE33" s="904" t="s">
        <v>34</v>
      </c>
      <c r="BF33" s="910"/>
      <c r="BG33" s="910"/>
      <c r="BH33" s="891" t="s">
        <v>34</v>
      </c>
      <c r="BI33" s="891" t="s">
        <v>34</v>
      </c>
      <c r="BJ33" s="891" t="s">
        <v>36</v>
      </c>
      <c r="BK33" s="891"/>
      <c r="BL33" s="891"/>
      <c r="BM33" s="891"/>
      <c r="BN33" s="891" t="s">
        <v>32</v>
      </c>
      <c r="BO33" s="891" t="s">
        <v>32</v>
      </c>
      <c r="BP33" s="910"/>
      <c r="BQ33" s="891"/>
      <c r="BR33" s="891"/>
      <c r="BS33" s="891"/>
      <c r="BT33" s="896"/>
      <c r="BU33" s="896"/>
      <c r="BV33" s="896"/>
      <c r="BW33" s="896"/>
      <c r="BX33" s="891"/>
      <c r="BY33" s="891"/>
      <c r="BZ33" s="891"/>
      <c r="CA33" s="891"/>
      <c r="CB33" s="891"/>
      <c r="CC33" s="891"/>
      <c r="CD33" s="891"/>
      <c r="CE33" s="428"/>
      <c r="CF33" s="428"/>
      <c r="CG33" s="428"/>
      <c r="CH33" s="428"/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17</v>
      </c>
      <c r="G34" s="879" t="s">
        <v>875</v>
      </c>
      <c r="H34" s="879" t="s">
        <v>18</v>
      </c>
      <c r="I34" s="879" t="s">
        <v>891</v>
      </c>
      <c r="J34" s="908">
        <v>1</v>
      </c>
      <c r="K34" s="908">
        <v>2</v>
      </c>
      <c r="L34" s="816" t="str">
        <f>IF(J34="","",IF(J34&gt;K34,"W",IF(J34=K34,"D",IF(J34&lt;K34,"L"))))</f>
        <v>L</v>
      </c>
      <c r="M34" s="816">
        <f>IF(J34="","",J34+K34)</f>
        <v>3</v>
      </c>
      <c r="N34" s="816" t="str">
        <f>IF($J34="","",IF($M34&gt;N$19,"O",IF($M34&lt;N$19,"U",IF($M34=N$19,"-"))))</f>
        <v>O</v>
      </c>
      <c r="O34" s="816">
        <f t="shared" si="32"/>
        <v>-0.25</v>
      </c>
      <c r="P34" s="829">
        <f t="shared" si="33"/>
        <v>-1</v>
      </c>
      <c r="Q34" s="830">
        <v>0.28000000000000003</v>
      </c>
      <c r="R34" s="871">
        <f t="shared" si="27"/>
        <v>-1.28</v>
      </c>
      <c r="S34" s="830">
        <v>2.35</v>
      </c>
      <c r="T34" s="871">
        <f t="shared" si="34"/>
        <v>0.64999999999999991</v>
      </c>
      <c r="U34" s="868">
        <f t="shared" si="35"/>
        <v>1.3149999999999999</v>
      </c>
      <c r="V34" s="868">
        <f t="shared" si="36"/>
        <v>1.0350000000000001</v>
      </c>
      <c r="W34" s="829">
        <v>27</v>
      </c>
      <c r="X34" s="829">
        <v>13</v>
      </c>
      <c r="Y34" s="829">
        <v>4</v>
      </c>
      <c r="Z34" s="829">
        <v>5</v>
      </c>
      <c r="AA34" s="829">
        <v>71</v>
      </c>
      <c r="AB34" s="829">
        <v>29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32</v>
      </c>
      <c r="AH34" s="891" t="s">
        <v>34</v>
      </c>
      <c r="AI34" s="891" t="s">
        <v>1877</v>
      </c>
      <c r="AJ34" s="891"/>
      <c r="AK34" s="891" t="s">
        <v>32</v>
      </c>
      <c r="AL34" s="891" t="s">
        <v>34</v>
      </c>
      <c r="AM34" s="891" t="s">
        <v>35</v>
      </c>
      <c r="AN34" s="891" t="s">
        <v>32</v>
      </c>
      <c r="AO34" s="891" t="s">
        <v>32</v>
      </c>
      <c r="AP34" s="909" t="s">
        <v>34</v>
      </c>
      <c r="AQ34" s="891" t="s">
        <v>32</v>
      </c>
      <c r="AR34" s="891" t="s">
        <v>1877</v>
      </c>
      <c r="AS34" s="891" t="s">
        <v>32</v>
      </c>
      <c r="AT34" s="891" t="s">
        <v>1877</v>
      </c>
      <c r="AU34" s="891" t="s">
        <v>32</v>
      </c>
      <c r="AV34" s="891" t="s">
        <v>34</v>
      </c>
      <c r="AW34" s="891" t="s">
        <v>35</v>
      </c>
      <c r="AX34" s="891" t="s">
        <v>1877</v>
      </c>
      <c r="AY34" s="891" t="s">
        <v>36</v>
      </c>
      <c r="AZ34" s="904" t="s">
        <v>34</v>
      </c>
      <c r="BA34" s="891" t="s">
        <v>32</v>
      </c>
      <c r="BB34" s="891" t="s">
        <v>32</v>
      </c>
      <c r="BC34" s="891" t="s">
        <v>34</v>
      </c>
      <c r="BD34" s="891" t="s">
        <v>35</v>
      </c>
      <c r="BE34" s="891" t="s">
        <v>32</v>
      </c>
      <c r="BF34" s="910"/>
      <c r="BG34" s="910"/>
      <c r="BH34" s="891" t="s">
        <v>36</v>
      </c>
      <c r="BI34" s="891" t="s">
        <v>2435</v>
      </c>
      <c r="BJ34" s="891" t="s">
        <v>34</v>
      </c>
      <c r="BK34" s="891" t="s">
        <v>36</v>
      </c>
      <c r="BL34" s="891"/>
      <c r="BM34" s="891"/>
      <c r="BN34" s="891" t="s">
        <v>32</v>
      </c>
      <c r="BO34" s="891" t="s">
        <v>32</v>
      </c>
      <c r="BP34" s="910"/>
      <c r="BQ34" s="891"/>
      <c r="BR34" s="891"/>
      <c r="BS34" s="891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428"/>
      <c r="CF34" s="428"/>
      <c r="CG34" s="428"/>
      <c r="CH34" s="428"/>
      <c r="CI34" s="230" t="s">
        <v>32</v>
      </c>
      <c r="CJ34" s="230" t="s">
        <v>32</v>
      </c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2</v>
      </c>
      <c r="G35" s="879" t="s">
        <v>886</v>
      </c>
      <c r="H35" s="879" t="s">
        <v>22</v>
      </c>
      <c r="I35" s="879" t="s">
        <v>891</v>
      </c>
      <c r="J35" s="846">
        <v>5</v>
      </c>
      <c r="K35" s="846">
        <v>0</v>
      </c>
      <c r="L35" s="816" t="str">
        <f>IF(J35="","",IF(J35&gt;K35,"W",IF(J35=K35,"D",IF(J35&lt;K35,"L"))))</f>
        <v>W</v>
      </c>
      <c r="M35" s="816">
        <f>IF(J35="","",J35+K35)</f>
        <v>5</v>
      </c>
      <c r="N35" s="816" t="str">
        <f>IF($J35="","",IF($M35&gt;N$19,"O",IF($M35&lt;N$19,"U",IF($M35=N$19,"-"))))</f>
        <v>O</v>
      </c>
      <c r="O35" s="816">
        <f t="shared" si="32"/>
        <v>-0.25</v>
      </c>
      <c r="P35" s="829">
        <f t="shared" si="33"/>
        <v>1</v>
      </c>
      <c r="Q35" s="830">
        <v>0.17</v>
      </c>
      <c r="R35" s="871">
        <f t="shared" si="27"/>
        <v>4.83</v>
      </c>
      <c r="S35" s="830">
        <v>2.2999999999999998</v>
      </c>
      <c r="T35" s="871">
        <f t="shared" si="34"/>
        <v>2.7</v>
      </c>
      <c r="U35" s="868">
        <f t="shared" si="35"/>
        <v>1.2349999999999999</v>
      </c>
      <c r="V35" s="868">
        <f t="shared" si="36"/>
        <v>1.0649999999999999</v>
      </c>
      <c r="W35" s="829">
        <v>19</v>
      </c>
      <c r="X35" s="829">
        <v>15</v>
      </c>
      <c r="Y35" s="829">
        <v>7</v>
      </c>
      <c r="Z35" s="829">
        <v>4</v>
      </c>
      <c r="AA35" s="829">
        <v>58</v>
      </c>
      <c r="AB35" s="829">
        <v>42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32</v>
      </c>
      <c r="AH35" s="891" t="s">
        <v>34</v>
      </c>
      <c r="AI35" s="891" t="s">
        <v>1877</v>
      </c>
      <c r="AJ35" s="891"/>
      <c r="AK35" s="891" t="s">
        <v>32</v>
      </c>
      <c r="AL35" s="891" t="s">
        <v>35</v>
      </c>
      <c r="AM35" s="891" t="s">
        <v>32</v>
      </c>
      <c r="AN35" s="891" t="s">
        <v>32</v>
      </c>
      <c r="AO35" s="891" t="s">
        <v>36</v>
      </c>
      <c r="AP35" s="891" t="s">
        <v>2472</v>
      </c>
      <c r="AQ35" s="891" t="s">
        <v>32</v>
      </c>
      <c r="AR35" s="891" t="s">
        <v>35</v>
      </c>
      <c r="AS35" s="891" t="s">
        <v>32</v>
      </c>
      <c r="AT35" s="891" t="s">
        <v>36</v>
      </c>
      <c r="AU35" s="891" t="s">
        <v>32</v>
      </c>
      <c r="AV35" s="891" t="s">
        <v>34</v>
      </c>
      <c r="AW35" s="891" t="s">
        <v>34</v>
      </c>
      <c r="AX35" s="891" t="s">
        <v>34</v>
      </c>
      <c r="AY35" s="891" t="s">
        <v>34</v>
      </c>
      <c r="AZ35" s="891" t="s">
        <v>2473</v>
      </c>
      <c r="BA35" s="891" t="s">
        <v>32</v>
      </c>
      <c r="BB35" s="891" t="s">
        <v>32</v>
      </c>
      <c r="BC35" s="891" t="s">
        <v>35</v>
      </c>
      <c r="BD35" s="891" t="s">
        <v>2475</v>
      </c>
      <c r="BE35" s="891" t="s">
        <v>36</v>
      </c>
      <c r="BF35" s="910"/>
      <c r="BG35" s="910"/>
      <c r="BH35" s="891" t="s">
        <v>34</v>
      </c>
      <c r="BI35" s="891" t="s">
        <v>1877</v>
      </c>
      <c r="BJ35" s="891" t="s">
        <v>2474</v>
      </c>
      <c r="BK35" s="896" t="s">
        <v>1877</v>
      </c>
      <c r="BL35" s="896"/>
      <c r="BM35" s="892"/>
      <c r="BN35" s="891" t="s">
        <v>32</v>
      </c>
      <c r="BO35" s="891" t="s">
        <v>1877</v>
      </c>
      <c r="BP35" s="910"/>
      <c r="BQ35" s="896"/>
      <c r="BR35" s="896"/>
      <c r="BS35" s="891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896"/>
      <c r="CE35" s="428"/>
      <c r="CF35" s="428"/>
      <c r="CG35" s="428"/>
      <c r="CH35" s="428"/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5</v>
      </c>
      <c r="G36" s="879" t="s">
        <v>889</v>
      </c>
      <c r="H36" s="879" t="s">
        <v>18</v>
      </c>
      <c r="I36" s="879" t="s">
        <v>891</v>
      </c>
      <c r="J36" s="846">
        <v>0</v>
      </c>
      <c r="K36" s="846">
        <v>3</v>
      </c>
      <c r="L36" s="816" t="str">
        <f t="shared" ref="L36:L66" si="39">IF(J36="","",IF(J36&gt;K36,"W",IF(J36=K36,"D",IF(J36&lt;K36,"L"))))</f>
        <v>L</v>
      </c>
      <c r="M36" s="816">
        <f t="shared" ref="M36:M66" si="40">IF(J36="","",J36+K36)</f>
        <v>3</v>
      </c>
      <c r="N36" s="816" t="str">
        <f t="shared" ref="N36:N67" si="41">IF($J36="","",IF($M36&gt;N$19,"O",IF($M36&lt;N$19,"U",IF($M36=N$19,"-"))))</f>
        <v>O</v>
      </c>
      <c r="O36" s="816">
        <f t="shared" si="32"/>
        <v>-0.25</v>
      </c>
      <c r="P36" s="829">
        <f t="shared" si="33"/>
        <v>-1</v>
      </c>
      <c r="Q36" s="830">
        <v>0.21</v>
      </c>
      <c r="R36" s="871">
        <f t="shared" si="27"/>
        <v>-3.21</v>
      </c>
      <c r="S36" s="830">
        <v>2.61</v>
      </c>
      <c r="T36" s="871">
        <f t="shared" si="34"/>
        <v>0.39000000000000012</v>
      </c>
      <c r="U36" s="868">
        <f t="shared" si="35"/>
        <v>1.41</v>
      </c>
      <c r="V36" s="868">
        <f t="shared" si="36"/>
        <v>1.2</v>
      </c>
      <c r="W36" s="829">
        <v>14</v>
      </c>
      <c r="X36" s="829">
        <v>13</v>
      </c>
      <c r="Y36" s="829">
        <v>2</v>
      </c>
      <c r="Z36" s="829">
        <v>10</v>
      </c>
      <c r="AA36" s="829">
        <v>64</v>
      </c>
      <c r="AB36" s="829">
        <v>36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/>
      <c r="AH36" s="891" t="s">
        <v>34</v>
      </c>
      <c r="AI36" s="891" t="s">
        <v>1877</v>
      </c>
      <c r="AJ36" s="891"/>
      <c r="AK36" s="891" t="s">
        <v>32</v>
      </c>
      <c r="AL36" s="891" t="s">
        <v>34</v>
      </c>
      <c r="AM36" s="891" t="s">
        <v>32</v>
      </c>
      <c r="AN36" s="891" t="s">
        <v>32</v>
      </c>
      <c r="AO36" s="891" t="s">
        <v>1877</v>
      </c>
      <c r="AP36" s="891" t="s">
        <v>32</v>
      </c>
      <c r="AQ36" s="891" t="s">
        <v>32</v>
      </c>
      <c r="AR36" s="891" t="s">
        <v>34</v>
      </c>
      <c r="AS36" s="891" t="s">
        <v>32</v>
      </c>
      <c r="AT36" s="891" t="s">
        <v>1877</v>
      </c>
      <c r="AU36" s="891" t="s">
        <v>32</v>
      </c>
      <c r="AV36" s="891" t="s">
        <v>34</v>
      </c>
      <c r="AW36" s="891" t="s">
        <v>34</v>
      </c>
      <c r="AX36" s="891" t="s">
        <v>1877</v>
      </c>
      <c r="AY36" s="891" t="s">
        <v>35</v>
      </c>
      <c r="AZ36" s="891" t="s">
        <v>34</v>
      </c>
      <c r="BA36" s="891" t="s">
        <v>36</v>
      </c>
      <c r="BB36" s="891" t="s">
        <v>32</v>
      </c>
      <c r="BC36" s="891" t="s">
        <v>36</v>
      </c>
      <c r="BD36" s="891" t="s">
        <v>34</v>
      </c>
      <c r="BE36" s="891" t="s">
        <v>35</v>
      </c>
      <c r="BF36" s="910"/>
      <c r="BG36" s="910"/>
      <c r="BH36" s="891" t="s">
        <v>36</v>
      </c>
      <c r="BI36" s="891" t="s">
        <v>35</v>
      </c>
      <c r="BJ36" s="891" t="s">
        <v>34</v>
      </c>
      <c r="BK36" s="896"/>
      <c r="BL36" s="896"/>
      <c r="BM36" s="892"/>
      <c r="BN36" s="891" t="s">
        <v>32</v>
      </c>
      <c r="BO36" s="891" t="s">
        <v>32</v>
      </c>
      <c r="BP36" s="910"/>
      <c r="BQ36" s="896"/>
      <c r="BR36" s="896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428"/>
      <c r="CF36" s="428"/>
      <c r="CG36" s="428"/>
      <c r="CH36" s="428"/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21</v>
      </c>
      <c r="G37" s="879" t="s">
        <v>890</v>
      </c>
      <c r="H37" s="879" t="s">
        <v>22</v>
      </c>
      <c r="I37" s="879" t="s">
        <v>891</v>
      </c>
      <c r="J37" s="846">
        <v>1</v>
      </c>
      <c r="K37" s="846">
        <v>1</v>
      </c>
      <c r="L37" s="816" t="str">
        <f t="shared" si="39"/>
        <v>D</v>
      </c>
      <c r="M37" s="816">
        <f t="shared" si="40"/>
        <v>2</v>
      </c>
      <c r="N37" s="816" t="str">
        <f t="shared" si="41"/>
        <v>U</v>
      </c>
      <c r="O37" s="816">
        <f t="shared" si="32"/>
        <v>-0.75</v>
      </c>
      <c r="P37" s="829">
        <f t="shared" si="33"/>
        <v>-1</v>
      </c>
      <c r="Q37" s="830">
        <v>0.93</v>
      </c>
      <c r="R37" s="871">
        <f t="shared" si="27"/>
        <v>-0.93</v>
      </c>
      <c r="S37" s="830">
        <v>2.66</v>
      </c>
      <c r="T37" s="871">
        <f t="shared" si="34"/>
        <v>-0.66000000000000014</v>
      </c>
      <c r="U37" s="868">
        <f t="shared" si="35"/>
        <v>1.7950000000000002</v>
      </c>
      <c r="V37" s="868">
        <f t="shared" si="36"/>
        <v>0.86499999999999999</v>
      </c>
      <c r="W37" s="829">
        <v>21</v>
      </c>
      <c r="X37" s="829">
        <v>9</v>
      </c>
      <c r="Y37" s="829">
        <v>4</v>
      </c>
      <c r="Z37" s="829">
        <v>3</v>
      </c>
      <c r="AA37" s="829">
        <v>70</v>
      </c>
      <c r="AB37" s="829">
        <v>30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32</v>
      </c>
      <c r="AH37" s="891" t="s">
        <v>34</v>
      </c>
      <c r="AI37" s="891" t="s">
        <v>1877</v>
      </c>
      <c r="AJ37" s="891"/>
      <c r="AK37" s="891" t="s">
        <v>32</v>
      </c>
      <c r="AL37" s="904" t="s">
        <v>34</v>
      </c>
      <c r="AM37" s="891" t="s">
        <v>32</v>
      </c>
      <c r="AN37" s="891" t="s">
        <v>32</v>
      </c>
      <c r="AO37" s="891" t="s">
        <v>1877</v>
      </c>
      <c r="AP37" s="891" t="s">
        <v>32</v>
      </c>
      <c r="AQ37" s="891" t="s">
        <v>32</v>
      </c>
      <c r="AR37" s="891" t="s">
        <v>34</v>
      </c>
      <c r="AS37" s="891" t="s">
        <v>32</v>
      </c>
      <c r="AT37" s="891" t="s">
        <v>1877</v>
      </c>
      <c r="AU37" s="891" t="s">
        <v>32</v>
      </c>
      <c r="AV37" s="891" t="s">
        <v>34</v>
      </c>
      <c r="AW37" s="891" t="s">
        <v>35</v>
      </c>
      <c r="AX37" s="891" t="s">
        <v>1877</v>
      </c>
      <c r="AY37" s="891" t="s">
        <v>35</v>
      </c>
      <c r="AZ37" s="891" t="s">
        <v>34</v>
      </c>
      <c r="BA37" s="891" t="s">
        <v>32</v>
      </c>
      <c r="BB37" s="891" t="s">
        <v>32</v>
      </c>
      <c r="BC37" s="891" t="s">
        <v>34</v>
      </c>
      <c r="BD37" s="891" t="s">
        <v>34</v>
      </c>
      <c r="BE37" s="891" t="s">
        <v>36</v>
      </c>
      <c r="BF37" s="910"/>
      <c r="BG37" s="910"/>
      <c r="BH37" s="891" t="s">
        <v>2505</v>
      </c>
      <c r="BI37" s="891" t="s">
        <v>36</v>
      </c>
      <c r="BJ37" s="904" t="s">
        <v>35</v>
      </c>
      <c r="BK37" s="896" t="s">
        <v>36</v>
      </c>
      <c r="BL37" s="896"/>
      <c r="BM37" s="892"/>
      <c r="BN37" s="891" t="s">
        <v>32</v>
      </c>
      <c r="BO37" s="891" t="s">
        <v>32</v>
      </c>
      <c r="BP37" s="910"/>
      <c r="BQ37" s="896"/>
      <c r="BR37" s="896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15</v>
      </c>
      <c r="G38" s="879" t="s">
        <v>881</v>
      </c>
      <c r="H38" s="879" t="s">
        <v>22</v>
      </c>
      <c r="I38" s="879" t="s">
        <v>891</v>
      </c>
      <c r="J38" s="846">
        <v>4</v>
      </c>
      <c r="K38" s="846">
        <v>2</v>
      </c>
      <c r="L38" s="816" t="str">
        <f t="shared" si="39"/>
        <v>W</v>
      </c>
      <c r="M38" s="816">
        <f t="shared" si="40"/>
        <v>6</v>
      </c>
      <c r="N38" s="816" t="str">
        <f t="shared" si="41"/>
        <v>O</v>
      </c>
      <c r="O38" s="816">
        <f t="shared" si="32"/>
        <v>-0.25</v>
      </c>
      <c r="P38" s="829">
        <f t="shared" si="33"/>
        <v>1</v>
      </c>
      <c r="Q38" s="830">
        <v>0.33</v>
      </c>
      <c r="R38" s="871">
        <f t="shared" si="27"/>
        <v>1.67</v>
      </c>
      <c r="S38" s="830">
        <v>2.46</v>
      </c>
      <c r="T38" s="871">
        <f t="shared" si="34"/>
        <v>3.54</v>
      </c>
      <c r="U38" s="868">
        <f t="shared" si="35"/>
        <v>1.395</v>
      </c>
      <c r="V38" s="868">
        <f t="shared" si="36"/>
        <v>1.0649999999999999</v>
      </c>
      <c r="W38" s="829">
        <v>17</v>
      </c>
      <c r="X38" s="829">
        <v>12</v>
      </c>
      <c r="Y38" s="829">
        <v>10</v>
      </c>
      <c r="Z38" s="829">
        <v>4</v>
      </c>
      <c r="AA38" s="829">
        <v>57</v>
      </c>
      <c r="AB38" s="829">
        <v>43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32</v>
      </c>
      <c r="AH38" s="891" t="s">
        <v>34</v>
      </c>
      <c r="AI38" s="891" t="s">
        <v>1877</v>
      </c>
      <c r="AJ38" s="891"/>
      <c r="AK38" s="891" t="s">
        <v>32</v>
      </c>
      <c r="AL38" s="891" t="s">
        <v>2532</v>
      </c>
      <c r="AM38" s="891" t="s">
        <v>32</v>
      </c>
      <c r="AN38" s="891" t="s">
        <v>32</v>
      </c>
      <c r="AO38" s="891" t="s">
        <v>36</v>
      </c>
      <c r="AP38" s="891" t="s">
        <v>32</v>
      </c>
      <c r="AQ38" s="891" t="s">
        <v>32</v>
      </c>
      <c r="AR38" s="891" t="s">
        <v>34</v>
      </c>
      <c r="AS38" s="891" t="s">
        <v>32</v>
      </c>
      <c r="AT38" s="891" t="s">
        <v>2532</v>
      </c>
      <c r="AU38" s="891" t="s">
        <v>32</v>
      </c>
      <c r="AV38" s="891" t="s">
        <v>34</v>
      </c>
      <c r="AW38" s="891" t="s">
        <v>2533</v>
      </c>
      <c r="AX38" s="891" t="s">
        <v>34</v>
      </c>
      <c r="AY38" s="891" t="s">
        <v>1877</v>
      </c>
      <c r="AZ38" s="891" t="s">
        <v>36</v>
      </c>
      <c r="BA38" s="891" t="s">
        <v>32</v>
      </c>
      <c r="BB38" s="891" t="s">
        <v>32</v>
      </c>
      <c r="BC38" s="891" t="s">
        <v>34</v>
      </c>
      <c r="BD38" s="891" t="s">
        <v>34</v>
      </c>
      <c r="BE38" s="891" t="s">
        <v>2534</v>
      </c>
      <c r="BF38" s="910"/>
      <c r="BG38" s="910"/>
      <c r="BH38" s="891" t="s">
        <v>34</v>
      </c>
      <c r="BI38" s="891" t="s">
        <v>1877</v>
      </c>
      <c r="BJ38" s="891" t="s">
        <v>36</v>
      </c>
      <c r="BK38" s="891" t="s">
        <v>1877</v>
      </c>
      <c r="BL38" s="891"/>
      <c r="BM38" s="891"/>
      <c r="BN38" s="891" t="s">
        <v>32</v>
      </c>
      <c r="BO38" s="891" t="s">
        <v>32</v>
      </c>
      <c r="BP38" s="910"/>
      <c r="BQ38" s="891"/>
      <c r="BR38" s="891"/>
      <c r="BS38" s="891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428"/>
      <c r="CF38" s="428"/>
      <c r="CG38" s="428"/>
      <c r="CH38" s="428"/>
      <c r="CL38" s="4" t="s">
        <v>32</v>
      </c>
      <c r="CM38" s="6" t="s">
        <v>32</v>
      </c>
      <c r="CN38" s="6" t="s">
        <v>32</v>
      </c>
      <c r="CO38" s="6" t="s">
        <v>32</v>
      </c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</row>
    <row r="39" spans="1:120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13</v>
      </c>
      <c r="G39" s="879" t="s">
        <v>884</v>
      </c>
      <c r="H39" s="879" t="s">
        <v>18</v>
      </c>
      <c r="I39" s="879" t="s">
        <v>891</v>
      </c>
      <c r="J39" s="846">
        <v>1</v>
      </c>
      <c r="K39" s="846">
        <v>2</v>
      </c>
      <c r="L39" s="816" t="str">
        <f t="shared" si="39"/>
        <v>L</v>
      </c>
      <c r="M39" s="816">
        <f t="shared" si="40"/>
        <v>3</v>
      </c>
      <c r="N39" s="816" t="str">
        <f t="shared" si="41"/>
        <v>O</v>
      </c>
      <c r="O39" s="816">
        <f t="shared" si="32"/>
        <v>-0.25</v>
      </c>
      <c r="P39" s="829">
        <f t="shared" si="33"/>
        <v>-1</v>
      </c>
      <c r="Q39" s="830">
        <v>0.34</v>
      </c>
      <c r="R39" s="871">
        <f t="shared" si="27"/>
        <v>-1.34</v>
      </c>
      <c r="S39" s="830">
        <v>2.61</v>
      </c>
      <c r="T39" s="871">
        <f t="shared" si="34"/>
        <v>0.39000000000000012</v>
      </c>
      <c r="U39" s="868">
        <f t="shared" si="35"/>
        <v>1.4749999999999999</v>
      </c>
      <c r="V39" s="868">
        <f t="shared" si="36"/>
        <v>1.135</v>
      </c>
      <c r="W39" s="829">
        <v>11</v>
      </c>
      <c r="X39" s="829">
        <v>14</v>
      </c>
      <c r="Y39" s="829">
        <v>5</v>
      </c>
      <c r="Z39" s="829">
        <v>4</v>
      </c>
      <c r="AA39" s="829">
        <v>62</v>
      </c>
      <c r="AB39" s="829">
        <v>38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32</v>
      </c>
      <c r="AH39" s="891" t="s">
        <v>34</v>
      </c>
      <c r="AI39" s="891" t="s">
        <v>1877</v>
      </c>
      <c r="AJ39" s="891"/>
      <c r="AK39" s="891" t="s">
        <v>32</v>
      </c>
      <c r="AL39" s="891" t="s">
        <v>34</v>
      </c>
      <c r="AM39" s="891" t="s">
        <v>32</v>
      </c>
      <c r="AN39" s="891" t="s">
        <v>32</v>
      </c>
      <c r="AO39" s="891" t="s">
        <v>32</v>
      </c>
      <c r="AP39" s="891" t="s">
        <v>1877</v>
      </c>
      <c r="AQ39" s="891" t="s">
        <v>32</v>
      </c>
      <c r="AR39" s="891" t="s">
        <v>34</v>
      </c>
      <c r="AS39" s="891" t="s">
        <v>32</v>
      </c>
      <c r="AT39" s="904" t="s">
        <v>34</v>
      </c>
      <c r="AU39" s="891" t="s">
        <v>32</v>
      </c>
      <c r="AV39" s="904" t="s">
        <v>2567</v>
      </c>
      <c r="AW39" s="891" t="s">
        <v>34</v>
      </c>
      <c r="AX39" s="891" t="s">
        <v>34</v>
      </c>
      <c r="AY39" s="891" t="s">
        <v>35</v>
      </c>
      <c r="AZ39" s="891" t="s">
        <v>1877</v>
      </c>
      <c r="BA39" s="891" t="s">
        <v>32</v>
      </c>
      <c r="BB39" s="891" t="s">
        <v>32</v>
      </c>
      <c r="BC39" s="891" t="s">
        <v>35</v>
      </c>
      <c r="BD39" s="891" t="s">
        <v>34</v>
      </c>
      <c r="BE39" s="891" t="s">
        <v>36</v>
      </c>
      <c r="BF39" s="910"/>
      <c r="BG39" s="910"/>
      <c r="BH39" s="891" t="s">
        <v>34</v>
      </c>
      <c r="BI39" s="891" t="s">
        <v>36</v>
      </c>
      <c r="BJ39" s="891" t="s">
        <v>36</v>
      </c>
      <c r="BK39" s="891"/>
      <c r="BL39" s="891"/>
      <c r="BM39" s="891"/>
      <c r="BN39" s="891" t="s">
        <v>32</v>
      </c>
      <c r="BO39" s="891" t="s">
        <v>1877</v>
      </c>
      <c r="BP39" s="910"/>
      <c r="BQ39" s="891"/>
      <c r="BR39" s="891"/>
      <c r="BS39" s="891"/>
      <c r="BT39" s="891"/>
      <c r="BU39" s="891"/>
      <c r="BV39" s="891"/>
      <c r="BW39" s="891"/>
      <c r="BX39" s="891"/>
      <c r="BY39" s="891"/>
      <c r="BZ39" s="891"/>
      <c r="CA39" s="891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4</v>
      </c>
      <c r="G40" s="879" t="s">
        <v>1084</v>
      </c>
      <c r="H40" s="879" t="s">
        <v>22</v>
      </c>
      <c r="I40" s="879" t="s">
        <v>891</v>
      </c>
      <c r="J40" s="846">
        <v>0</v>
      </c>
      <c r="K40" s="846">
        <v>0</v>
      </c>
      <c r="L40" s="816" t="str">
        <f t="shared" si="39"/>
        <v>D</v>
      </c>
      <c r="M40" s="816">
        <f t="shared" si="40"/>
        <v>0</v>
      </c>
      <c r="N40" s="816" t="str">
        <f t="shared" si="41"/>
        <v>U</v>
      </c>
      <c r="O40" s="816">
        <f t="shared" si="32"/>
        <v>0</v>
      </c>
      <c r="P40" s="829">
        <f t="shared" si="33"/>
        <v>0</v>
      </c>
      <c r="Q40" s="830">
        <v>0.03</v>
      </c>
      <c r="R40" s="871">
        <f t="shared" si="27"/>
        <v>-0.03</v>
      </c>
      <c r="S40" s="830">
        <v>2.68</v>
      </c>
      <c r="T40" s="871">
        <f t="shared" si="34"/>
        <v>-2.68</v>
      </c>
      <c r="U40" s="868">
        <f t="shared" si="35"/>
        <v>1.355</v>
      </c>
      <c r="V40" s="868">
        <f t="shared" si="36"/>
        <v>1.3250000000000002</v>
      </c>
      <c r="W40" s="829">
        <v>11</v>
      </c>
      <c r="X40" s="829">
        <v>13</v>
      </c>
      <c r="Y40" s="829">
        <v>2</v>
      </c>
      <c r="Z40" s="829">
        <v>5</v>
      </c>
      <c r="AA40" s="829">
        <v>61</v>
      </c>
      <c r="AB40" s="829">
        <v>39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32</v>
      </c>
      <c r="AH40" s="891" t="s">
        <v>1877</v>
      </c>
      <c r="AI40" s="891" t="s">
        <v>34</v>
      </c>
      <c r="AJ40" s="891"/>
      <c r="AK40" s="891" t="s">
        <v>32</v>
      </c>
      <c r="AL40" s="891" t="s">
        <v>34</v>
      </c>
      <c r="AM40" s="891" t="s">
        <v>32</v>
      </c>
      <c r="AN40" s="891" t="s">
        <v>32</v>
      </c>
      <c r="AO40" s="891" t="s">
        <v>32</v>
      </c>
      <c r="AP40" s="891" t="s">
        <v>1877</v>
      </c>
      <c r="AQ40" s="891" t="s">
        <v>32</v>
      </c>
      <c r="AR40" s="891" t="s">
        <v>34</v>
      </c>
      <c r="AS40" s="891" t="s">
        <v>32</v>
      </c>
      <c r="AT40" s="891" t="s">
        <v>34</v>
      </c>
      <c r="AU40" s="891" t="s">
        <v>32</v>
      </c>
      <c r="AV40" s="891" t="s">
        <v>36</v>
      </c>
      <c r="AW40" s="891" t="s">
        <v>34</v>
      </c>
      <c r="AX40" s="891" t="s">
        <v>34</v>
      </c>
      <c r="AY40" s="891" t="s">
        <v>1877</v>
      </c>
      <c r="AZ40" s="891" t="s">
        <v>36</v>
      </c>
      <c r="BA40" s="891" t="s">
        <v>32</v>
      </c>
      <c r="BB40" s="891" t="s">
        <v>32</v>
      </c>
      <c r="BC40" s="891" t="s">
        <v>35</v>
      </c>
      <c r="BD40" s="891" t="s">
        <v>34</v>
      </c>
      <c r="BE40" s="891" t="s">
        <v>35</v>
      </c>
      <c r="BF40" s="910"/>
      <c r="BG40" s="910"/>
      <c r="BH40" s="891" t="s">
        <v>34</v>
      </c>
      <c r="BI40" s="891" t="s">
        <v>1877</v>
      </c>
      <c r="BJ40" s="891" t="s">
        <v>35</v>
      </c>
      <c r="BK40" s="891" t="s">
        <v>36</v>
      </c>
      <c r="BL40" s="891"/>
      <c r="BM40" s="891"/>
      <c r="BN40" s="891" t="s">
        <v>32</v>
      </c>
      <c r="BO40" s="891" t="s">
        <v>32</v>
      </c>
      <c r="BP40" s="910"/>
      <c r="BQ40" s="891"/>
      <c r="BR40" s="891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28"/>
      <c r="CF40" s="428"/>
      <c r="CG40" s="428"/>
      <c r="CH40" s="428"/>
      <c r="CM40" s="4" t="s">
        <v>32</v>
      </c>
      <c r="CN40" s="4" t="s">
        <v>32</v>
      </c>
      <c r="CO40" s="4" t="s">
        <v>32</v>
      </c>
      <c r="CP40" s="4" t="s">
        <v>32</v>
      </c>
      <c r="CQ40" s="4" t="s">
        <v>32</v>
      </c>
      <c r="CR40" s="4" t="s">
        <v>32</v>
      </c>
      <c r="CS40" s="6" t="s">
        <v>32</v>
      </c>
      <c r="CT40" s="6" t="s">
        <v>32</v>
      </c>
      <c r="CU40" s="6" t="s">
        <v>32</v>
      </c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14</v>
      </c>
      <c r="G41" s="879" t="s">
        <v>873</v>
      </c>
      <c r="H41" s="879" t="s">
        <v>18</v>
      </c>
      <c r="I41" s="879" t="s">
        <v>891</v>
      </c>
      <c r="J41" s="846">
        <v>1</v>
      </c>
      <c r="K41" s="846">
        <v>3</v>
      </c>
      <c r="L41" s="816" t="str">
        <f t="shared" si="39"/>
        <v>L</v>
      </c>
      <c r="M41" s="816">
        <f t="shared" si="40"/>
        <v>4</v>
      </c>
      <c r="N41" s="816" t="str">
        <f t="shared" si="41"/>
        <v>O</v>
      </c>
      <c r="O41" s="816">
        <f t="shared" si="32"/>
        <v>-0.25</v>
      </c>
      <c r="P41" s="829">
        <f t="shared" si="33"/>
        <v>-1</v>
      </c>
      <c r="Q41" s="830">
        <v>0.24</v>
      </c>
      <c r="R41" s="871">
        <f t="shared" si="27"/>
        <v>-2.2400000000000002</v>
      </c>
      <c r="S41" s="830">
        <v>2.27</v>
      </c>
      <c r="T41" s="871">
        <f t="shared" si="34"/>
        <v>1.73</v>
      </c>
      <c r="U41" s="868">
        <f t="shared" si="35"/>
        <v>1.2549999999999999</v>
      </c>
      <c r="V41" s="868">
        <f t="shared" si="36"/>
        <v>1.0150000000000001</v>
      </c>
      <c r="W41" s="829">
        <v>17</v>
      </c>
      <c r="X41" s="829">
        <v>9</v>
      </c>
      <c r="Y41" s="829">
        <v>5</v>
      </c>
      <c r="Z41" s="829">
        <v>4</v>
      </c>
      <c r="AA41" s="829">
        <v>65</v>
      </c>
      <c r="AB41" s="829">
        <v>35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32</v>
      </c>
      <c r="AH41" s="891" t="s">
        <v>1877</v>
      </c>
      <c r="AI41" s="891" t="s">
        <v>34</v>
      </c>
      <c r="AJ41" s="891"/>
      <c r="AK41" s="891" t="s">
        <v>32</v>
      </c>
      <c r="AL41" s="891" t="s">
        <v>34</v>
      </c>
      <c r="AM41" s="891" t="s">
        <v>32</v>
      </c>
      <c r="AN41" s="891" t="s">
        <v>32</v>
      </c>
      <c r="AO41" s="891" t="s">
        <v>1877</v>
      </c>
      <c r="AP41" s="891" t="s">
        <v>32</v>
      </c>
      <c r="AQ41" s="891" t="s">
        <v>32</v>
      </c>
      <c r="AR41" s="904" t="s">
        <v>34</v>
      </c>
      <c r="AS41" s="891" t="s">
        <v>32</v>
      </c>
      <c r="AT41" s="904" t="s">
        <v>34</v>
      </c>
      <c r="AU41" s="891" t="s">
        <v>32</v>
      </c>
      <c r="AV41" s="891" t="s">
        <v>1877</v>
      </c>
      <c r="AW41" s="891" t="s">
        <v>34</v>
      </c>
      <c r="AX41" s="904" t="s">
        <v>34</v>
      </c>
      <c r="AY41" s="891" t="s">
        <v>1877</v>
      </c>
      <c r="AZ41" s="891" t="s">
        <v>36</v>
      </c>
      <c r="BA41" s="891" t="s">
        <v>32</v>
      </c>
      <c r="BB41" s="891" t="s">
        <v>32</v>
      </c>
      <c r="BC41" s="891" t="s">
        <v>2670</v>
      </c>
      <c r="BD41" s="891" t="s">
        <v>2668</v>
      </c>
      <c r="BE41" s="891" t="s">
        <v>35</v>
      </c>
      <c r="BF41" s="910"/>
      <c r="BG41" s="910"/>
      <c r="BH41" s="891" t="s">
        <v>34</v>
      </c>
      <c r="BI41" s="891" t="s">
        <v>36</v>
      </c>
      <c r="BJ41" s="891" t="s">
        <v>35</v>
      </c>
      <c r="BK41" s="891" t="s">
        <v>36</v>
      </c>
      <c r="BL41" s="891"/>
      <c r="BM41" s="891"/>
      <c r="BN41" s="891" t="s">
        <v>32</v>
      </c>
      <c r="BO41" s="891" t="s">
        <v>32</v>
      </c>
      <c r="BP41" s="910"/>
      <c r="BQ41" s="891"/>
      <c r="BR41" s="891"/>
      <c r="BS41" s="891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889</v>
      </c>
      <c r="H42" s="828" t="s">
        <v>22</v>
      </c>
      <c r="I42" s="828" t="s">
        <v>2649</v>
      </c>
      <c r="J42" s="895">
        <v>1</v>
      </c>
      <c r="K42" s="895">
        <v>0</v>
      </c>
      <c r="L42" s="816" t="str">
        <f t="shared" ref="L42" si="42">IF(J42="","",IF(J42&gt;K42,"W",IF(J42=K42,"D",IF(J42&lt;K42,"L"))))</f>
        <v>W</v>
      </c>
      <c r="M42" s="816">
        <f t="shared" ref="M42" si="43">IF(J42="","",J42+K42)</f>
        <v>1</v>
      </c>
      <c r="N42" s="816" t="str">
        <f t="shared" si="41"/>
        <v>U</v>
      </c>
      <c r="O42" s="816" t="str">
        <f t="shared" ref="O42" si="44">IF(Q42="","",IF(SIGN(Q42)&lt;&gt;1,VLOOKUP(ABS(Q42),SUP_HDC,3,TRUE),-VLOOKUP(ABS(Q42),SUP_HDC,3,TRUE)))</f>
        <v/>
      </c>
      <c r="P42" s="829" t="str">
        <f t="shared" ref="P42" si="45">IF(O42="","",IF((J42-K42+O42)&gt;=0.5,1,IF((J42-K42+O42)=0.25,0.5,IF((J42-K42+O42)&lt;=-0.5,-1,IF((J42-K42+O42)=-0.25,-0.5,0)))))</f>
        <v/>
      </c>
      <c r="Q42" s="830"/>
      <c r="R42" s="871" t="str">
        <f t="shared" ref="R42" si="46">IF(ISBLANK(Q42),"",J42-K42-Q42)</f>
        <v/>
      </c>
      <c r="S42" s="830"/>
      <c r="T42" s="871" t="str">
        <f t="shared" ref="T42" si="47">IF(ISBLANK(S42),"",J42+K42-S42)</f>
        <v/>
      </c>
      <c r="U42" s="868" t="str">
        <f t="shared" ref="U42" si="48">IF(Q42="","",(Q42+S42)/2)</f>
        <v/>
      </c>
      <c r="V42" s="868" t="str">
        <f t="shared" ref="V42" si="49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32</v>
      </c>
      <c r="AH42" s="891" t="s">
        <v>34</v>
      </c>
      <c r="AI42" s="891" t="s">
        <v>1877</v>
      </c>
      <c r="AJ42" s="891"/>
      <c r="AK42" s="891" t="s">
        <v>32</v>
      </c>
      <c r="AL42" s="891" t="s">
        <v>32</v>
      </c>
      <c r="AM42" s="891" t="s">
        <v>34</v>
      </c>
      <c r="AN42" s="904" t="s">
        <v>34</v>
      </c>
      <c r="AO42" s="891" t="s">
        <v>34</v>
      </c>
      <c r="AP42" s="891" t="s">
        <v>1877</v>
      </c>
      <c r="AQ42" s="891" t="s">
        <v>1877</v>
      </c>
      <c r="AR42" s="891" t="s">
        <v>32</v>
      </c>
      <c r="AS42" s="891" t="s">
        <v>32</v>
      </c>
      <c r="AT42" s="891" t="s">
        <v>34</v>
      </c>
      <c r="AU42" s="891" t="s">
        <v>32</v>
      </c>
      <c r="AV42" s="891" t="s">
        <v>34</v>
      </c>
      <c r="AW42" s="891" t="s">
        <v>32</v>
      </c>
      <c r="AX42" s="891" t="s">
        <v>32</v>
      </c>
      <c r="AY42" s="891" t="s">
        <v>34</v>
      </c>
      <c r="AZ42" s="891" t="s">
        <v>34</v>
      </c>
      <c r="BA42" s="891" t="s">
        <v>32</v>
      </c>
      <c r="BB42" s="891" t="s">
        <v>36</v>
      </c>
      <c r="BC42" s="891" t="s">
        <v>1877</v>
      </c>
      <c r="BD42" s="891" t="s">
        <v>2709</v>
      </c>
      <c r="BE42" s="891" t="s">
        <v>35</v>
      </c>
      <c r="BF42" s="910"/>
      <c r="BG42" s="910"/>
      <c r="BH42" s="891" t="s">
        <v>36</v>
      </c>
      <c r="BI42" s="891" t="s">
        <v>35</v>
      </c>
      <c r="BJ42" s="891" t="s">
        <v>32</v>
      </c>
      <c r="BK42" s="891" t="s">
        <v>32</v>
      </c>
      <c r="BL42" s="891" t="s">
        <v>36</v>
      </c>
      <c r="BM42" s="891"/>
      <c r="BN42" s="891" t="s">
        <v>32</v>
      </c>
      <c r="BO42" s="891" t="s">
        <v>32</v>
      </c>
      <c r="BP42" s="910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428"/>
      <c r="CG42" s="428"/>
      <c r="CH42" s="428"/>
      <c r="CI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18</v>
      </c>
      <c r="G43" s="879" t="s">
        <v>887</v>
      </c>
      <c r="H43" s="879" t="s">
        <v>18</v>
      </c>
      <c r="I43" s="879" t="s">
        <v>891</v>
      </c>
      <c r="J43" s="846">
        <v>6</v>
      </c>
      <c r="K43" s="846">
        <v>4</v>
      </c>
      <c r="L43" s="816" t="str">
        <f t="shared" si="39"/>
        <v>W</v>
      </c>
      <c r="M43" s="816">
        <f t="shared" si="40"/>
        <v>10</v>
      </c>
      <c r="N43" s="816" t="str">
        <f t="shared" si="41"/>
        <v>O</v>
      </c>
      <c r="O43" s="816">
        <f t="shared" si="32"/>
        <v>0</v>
      </c>
      <c r="P43" s="829">
        <f t="shared" si="33"/>
        <v>1</v>
      </c>
      <c r="Q43" s="830">
        <v>0.13</v>
      </c>
      <c r="R43" s="871">
        <f t="shared" si="27"/>
        <v>1.87</v>
      </c>
      <c r="S43" s="830">
        <v>2.85</v>
      </c>
      <c r="T43" s="871">
        <f t="shared" si="34"/>
        <v>7.15</v>
      </c>
      <c r="U43" s="868">
        <f t="shared" si="35"/>
        <v>1.49</v>
      </c>
      <c r="V43" s="868">
        <f t="shared" si="36"/>
        <v>1.36</v>
      </c>
      <c r="W43" s="829">
        <v>20</v>
      </c>
      <c r="X43" s="829">
        <v>16</v>
      </c>
      <c r="Y43" s="829">
        <v>8</v>
      </c>
      <c r="Z43" s="829">
        <v>8</v>
      </c>
      <c r="AA43" s="829">
        <v>47</v>
      </c>
      <c r="AB43" s="829">
        <v>53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32</v>
      </c>
      <c r="AH43" s="891" t="s">
        <v>34</v>
      </c>
      <c r="AI43" s="891" t="s">
        <v>1877</v>
      </c>
      <c r="AJ43" s="891"/>
      <c r="AK43" s="891" t="s">
        <v>32</v>
      </c>
      <c r="AL43" s="904" t="s">
        <v>35</v>
      </c>
      <c r="AM43" s="891" t="s">
        <v>34</v>
      </c>
      <c r="AN43" s="891" t="s">
        <v>32</v>
      </c>
      <c r="AO43" s="891" t="s">
        <v>34</v>
      </c>
      <c r="AP43" s="891" t="s">
        <v>32</v>
      </c>
      <c r="AQ43" s="891" t="s">
        <v>1877</v>
      </c>
      <c r="AR43" s="891" t="s">
        <v>36</v>
      </c>
      <c r="AS43" s="891" t="s">
        <v>32</v>
      </c>
      <c r="AT43" s="891" t="s">
        <v>2742</v>
      </c>
      <c r="AU43" s="891" t="s">
        <v>32</v>
      </c>
      <c r="AV43" s="891" t="s">
        <v>2742</v>
      </c>
      <c r="AW43" s="891" t="s">
        <v>32</v>
      </c>
      <c r="AX43" s="891" t="s">
        <v>36</v>
      </c>
      <c r="AY43" s="904" t="s">
        <v>2745</v>
      </c>
      <c r="AZ43" s="904" t="s">
        <v>35</v>
      </c>
      <c r="BA43" s="891" t="s">
        <v>32</v>
      </c>
      <c r="BB43" s="891" t="s">
        <v>32</v>
      </c>
      <c r="BC43" s="891" t="s">
        <v>1877</v>
      </c>
      <c r="BD43" s="891" t="s">
        <v>2742</v>
      </c>
      <c r="BE43" s="891" t="s">
        <v>34</v>
      </c>
      <c r="BF43" s="910"/>
      <c r="BG43" s="910"/>
      <c r="BH43" s="891" t="s">
        <v>2744</v>
      </c>
      <c r="BI43" s="891" t="s">
        <v>2746</v>
      </c>
      <c r="BJ43" s="891" t="s">
        <v>32</v>
      </c>
      <c r="BK43" s="896" t="s">
        <v>1877</v>
      </c>
      <c r="BL43" s="896"/>
      <c r="BM43" s="892"/>
      <c r="BN43" s="891" t="s">
        <v>32</v>
      </c>
      <c r="BO43" s="891" t="s">
        <v>32</v>
      </c>
      <c r="BP43" s="910"/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9</v>
      </c>
      <c r="G44" s="879" t="s">
        <v>1083</v>
      </c>
      <c r="H44" s="879" t="s">
        <v>22</v>
      </c>
      <c r="I44" s="879" t="s">
        <v>891</v>
      </c>
      <c r="J44" s="846">
        <v>4</v>
      </c>
      <c r="K44" s="846">
        <v>1</v>
      </c>
      <c r="L44" s="816" t="str">
        <f t="shared" si="39"/>
        <v>W</v>
      </c>
      <c r="M44" s="816">
        <f t="shared" si="40"/>
        <v>5</v>
      </c>
      <c r="N44" s="816" t="str">
        <f t="shared" si="41"/>
        <v>O</v>
      </c>
      <c r="O44" s="816">
        <f t="shared" si="32"/>
        <v>-0.25</v>
      </c>
      <c r="P44" s="829">
        <f t="shared" si="33"/>
        <v>1</v>
      </c>
      <c r="Q44" s="830">
        <v>0.35</v>
      </c>
      <c r="R44" s="871">
        <f t="shared" si="27"/>
        <v>2.65</v>
      </c>
      <c r="S44" s="830">
        <v>2.78</v>
      </c>
      <c r="T44" s="871">
        <f t="shared" si="34"/>
        <v>2.2200000000000002</v>
      </c>
      <c r="U44" s="868">
        <f t="shared" si="35"/>
        <v>1.5649999999999999</v>
      </c>
      <c r="V44" s="868">
        <f t="shared" si="36"/>
        <v>1.2149999999999999</v>
      </c>
      <c r="W44" s="829">
        <v>27</v>
      </c>
      <c r="X44" s="829">
        <v>9</v>
      </c>
      <c r="Y44" s="829">
        <v>10</v>
      </c>
      <c r="Z44" s="829">
        <v>4</v>
      </c>
      <c r="AA44" s="829">
        <v>53</v>
      </c>
      <c r="AB44" s="829">
        <v>47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32</v>
      </c>
      <c r="AH44" s="891" t="s">
        <v>34</v>
      </c>
      <c r="AI44" s="891" t="s">
        <v>1877</v>
      </c>
      <c r="AJ44" s="891"/>
      <c r="AK44" s="891" t="s">
        <v>32</v>
      </c>
      <c r="AL44" s="891" t="s">
        <v>34</v>
      </c>
      <c r="AM44" s="891" t="s">
        <v>34</v>
      </c>
      <c r="AN44" s="891" t="s">
        <v>32</v>
      </c>
      <c r="AO44" s="891" t="s">
        <v>1877</v>
      </c>
      <c r="AP44" s="891" t="s">
        <v>32</v>
      </c>
      <c r="AQ44" s="891" t="s">
        <v>32</v>
      </c>
      <c r="AR44" s="891" t="s">
        <v>1877</v>
      </c>
      <c r="AS44" s="891" t="s">
        <v>32</v>
      </c>
      <c r="AT44" s="891" t="s">
        <v>34</v>
      </c>
      <c r="AU44" s="891" t="s">
        <v>32</v>
      </c>
      <c r="AV44" s="891" t="s">
        <v>34</v>
      </c>
      <c r="AW44" s="891" t="s">
        <v>32</v>
      </c>
      <c r="AX44" s="891" t="s">
        <v>32</v>
      </c>
      <c r="AY44" s="891" t="s">
        <v>36</v>
      </c>
      <c r="AZ44" s="891" t="s">
        <v>35</v>
      </c>
      <c r="BA44" s="891" t="s">
        <v>36</v>
      </c>
      <c r="BB44" s="891" t="s">
        <v>1877</v>
      </c>
      <c r="BC44" s="891" t="s">
        <v>34</v>
      </c>
      <c r="BD44" s="891" t="s">
        <v>2797</v>
      </c>
      <c r="BE44" s="891" t="s">
        <v>34</v>
      </c>
      <c r="BF44" s="910" t="s">
        <v>32</v>
      </c>
      <c r="BG44" s="910"/>
      <c r="BH44" s="891" t="s">
        <v>32</v>
      </c>
      <c r="BI44" s="891" t="s">
        <v>2799</v>
      </c>
      <c r="BJ44" s="891" t="s">
        <v>2798</v>
      </c>
      <c r="BK44" s="896" t="s">
        <v>32</v>
      </c>
      <c r="BL44" s="891" t="s">
        <v>36</v>
      </c>
      <c r="BM44" s="892"/>
      <c r="BN44" s="891" t="s">
        <v>32</v>
      </c>
      <c r="BO44" s="910"/>
      <c r="BP44" s="910"/>
      <c r="BQ44" s="896"/>
      <c r="BR44" s="891"/>
      <c r="BS44" s="891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428"/>
      <c r="CF44" s="428"/>
      <c r="CG44" s="428"/>
      <c r="CH44" s="428"/>
      <c r="CI44" s="230" t="s">
        <v>32</v>
      </c>
      <c r="CJ44" s="230" t="s">
        <v>32</v>
      </c>
      <c r="CK44" s="230" t="s">
        <v>32</v>
      </c>
      <c r="CL44" s="230" t="s">
        <v>32</v>
      </c>
      <c r="CM44" s="230" t="s">
        <v>32</v>
      </c>
      <c r="CN44" s="230" t="s">
        <v>32</v>
      </c>
      <c r="CO44" s="230" t="s">
        <v>32</v>
      </c>
    </row>
    <row r="45" spans="1:120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19</v>
      </c>
      <c r="G45" s="879" t="s">
        <v>885</v>
      </c>
      <c r="H45" s="879" t="s">
        <v>22</v>
      </c>
      <c r="I45" s="879" t="s">
        <v>891</v>
      </c>
      <c r="J45" s="908">
        <v>4</v>
      </c>
      <c r="K45" s="846">
        <v>3</v>
      </c>
      <c r="L45" s="816" t="str">
        <f t="shared" si="39"/>
        <v>W</v>
      </c>
      <c r="M45" s="816">
        <f t="shared" si="40"/>
        <v>7</v>
      </c>
      <c r="N45" s="816" t="str">
        <f t="shared" si="41"/>
        <v>O</v>
      </c>
      <c r="O45" s="816">
        <f t="shared" si="32"/>
        <v>-1</v>
      </c>
      <c r="P45" s="829">
        <f t="shared" si="33"/>
        <v>0</v>
      </c>
      <c r="Q45" s="830">
        <v>0.99</v>
      </c>
      <c r="R45" s="871">
        <f t="shared" si="27"/>
        <v>1.0000000000000009E-2</v>
      </c>
      <c r="S45" s="830">
        <v>2.79</v>
      </c>
      <c r="T45" s="871">
        <f t="shared" si="34"/>
        <v>4.21</v>
      </c>
      <c r="U45" s="868">
        <f t="shared" si="35"/>
        <v>1.8900000000000001</v>
      </c>
      <c r="V45" s="868">
        <f t="shared" si="36"/>
        <v>0.89999999999999991</v>
      </c>
      <c r="W45" s="829">
        <v>16</v>
      </c>
      <c r="X45" s="829">
        <v>10</v>
      </c>
      <c r="Y45" s="829">
        <v>8</v>
      </c>
      <c r="Z45" s="829">
        <v>6</v>
      </c>
      <c r="AA45" s="829">
        <v>63</v>
      </c>
      <c r="AB45" s="829">
        <v>37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32</v>
      </c>
      <c r="AH45" s="904" t="s">
        <v>34</v>
      </c>
      <c r="AI45" s="891" t="s">
        <v>1877</v>
      </c>
      <c r="AJ45" s="891"/>
      <c r="AK45" s="891" t="s">
        <v>32</v>
      </c>
      <c r="AL45" s="891" t="s">
        <v>32</v>
      </c>
      <c r="AM45" s="891" t="s">
        <v>34</v>
      </c>
      <c r="AN45" s="891" t="s">
        <v>32</v>
      </c>
      <c r="AO45" s="909" t="s">
        <v>34</v>
      </c>
      <c r="AP45" s="891" t="s">
        <v>1877</v>
      </c>
      <c r="AQ45" s="891" t="s">
        <v>32</v>
      </c>
      <c r="AR45" s="891" t="s">
        <v>36</v>
      </c>
      <c r="AS45" s="891" t="s">
        <v>32</v>
      </c>
      <c r="AT45" s="891" t="s">
        <v>34</v>
      </c>
      <c r="AU45" s="891" t="s">
        <v>32</v>
      </c>
      <c r="AV45" s="891" t="s">
        <v>34</v>
      </c>
      <c r="AW45" s="891" t="s">
        <v>32</v>
      </c>
      <c r="AX45" s="891" t="s">
        <v>1877</v>
      </c>
      <c r="AY45" s="891" t="s">
        <v>32</v>
      </c>
      <c r="AZ45" s="891" t="s">
        <v>35</v>
      </c>
      <c r="BA45" s="891" t="s">
        <v>36</v>
      </c>
      <c r="BB45" s="891" t="s">
        <v>35</v>
      </c>
      <c r="BC45" s="904" t="s">
        <v>36</v>
      </c>
      <c r="BD45" s="891" t="s">
        <v>2832</v>
      </c>
      <c r="BE45" s="891" t="s">
        <v>34</v>
      </c>
      <c r="BF45" s="910" t="s">
        <v>32</v>
      </c>
      <c r="BG45" s="910"/>
      <c r="BH45" s="891" t="s">
        <v>32</v>
      </c>
      <c r="BI45" s="904" t="s">
        <v>2834</v>
      </c>
      <c r="BJ45" s="891" t="s">
        <v>35</v>
      </c>
      <c r="BK45" s="896" t="s">
        <v>32</v>
      </c>
      <c r="BL45" s="891" t="s">
        <v>1877</v>
      </c>
      <c r="BM45" s="892"/>
      <c r="BN45" s="891" t="s">
        <v>32</v>
      </c>
      <c r="BO45" s="910"/>
      <c r="BP45" s="910"/>
      <c r="BQ45" s="896"/>
      <c r="BR45" s="891"/>
      <c r="BS45" s="896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4"/>
      <c r="CF45" s="4"/>
      <c r="CG45" s="4"/>
      <c r="CH45" s="4"/>
      <c r="CI45" s="6" t="s">
        <v>32</v>
      </c>
      <c r="CJ45" s="6" t="s">
        <v>32</v>
      </c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</row>
    <row r="46" spans="1:120" ht="15">
      <c r="A46" s="912">
        <v>6403</v>
      </c>
      <c r="B46" s="894"/>
      <c r="C46" s="894"/>
      <c r="D46" s="894"/>
      <c r="E46" s="894"/>
      <c r="F46" s="894"/>
      <c r="G46" s="828" t="s">
        <v>2768</v>
      </c>
      <c r="H46" s="828" t="s">
        <v>2763</v>
      </c>
      <c r="I46" s="828" t="s">
        <v>2649</v>
      </c>
      <c r="J46" s="914">
        <v>0</v>
      </c>
      <c r="K46" s="898">
        <v>2</v>
      </c>
      <c r="L46" s="816" t="str">
        <f t="shared" si="39"/>
        <v>L</v>
      </c>
      <c r="M46" s="816">
        <f t="shared" si="40"/>
        <v>2</v>
      </c>
      <c r="N46" s="816" t="str">
        <f t="shared" si="41"/>
        <v>U</v>
      </c>
      <c r="O46" s="816"/>
      <c r="P46" s="829"/>
      <c r="Q46" s="830"/>
      <c r="R46" s="871" t="str">
        <f t="shared" si="27"/>
        <v/>
      </c>
      <c r="S46" s="830"/>
      <c r="T46" s="871" t="str">
        <f t="shared" si="34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E46" s="831"/>
      <c r="AG46" s="891" t="s">
        <v>1877</v>
      </c>
      <c r="AH46" s="891" t="s">
        <v>32</v>
      </c>
      <c r="AI46" s="891" t="s">
        <v>34</v>
      </c>
      <c r="AJ46" s="891"/>
      <c r="AK46" s="891" t="s">
        <v>32</v>
      </c>
      <c r="AL46" s="891" t="s">
        <v>35</v>
      </c>
      <c r="AM46" s="891" t="s">
        <v>32</v>
      </c>
      <c r="AN46" s="891" t="s">
        <v>32</v>
      </c>
      <c r="AO46" s="891" t="s">
        <v>32</v>
      </c>
      <c r="AP46" s="891" t="s">
        <v>1877</v>
      </c>
      <c r="AQ46" s="891" t="s">
        <v>32</v>
      </c>
      <c r="AR46" s="909" t="s">
        <v>34</v>
      </c>
      <c r="AS46" s="891" t="s">
        <v>32</v>
      </c>
      <c r="AT46" s="891" t="s">
        <v>36</v>
      </c>
      <c r="AU46" s="891" t="s">
        <v>34</v>
      </c>
      <c r="AV46" s="891" t="s">
        <v>34</v>
      </c>
      <c r="AW46" s="891" t="s">
        <v>32</v>
      </c>
      <c r="AX46" s="891" t="s">
        <v>34</v>
      </c>
      <c r="AY46" s="891" t="s">
        <v>32</v>
      </c>
      <c r="AZ46" s="891" t="s">
        <v>1877</v>
      </c>
      <c r="BA46" s="891" t="s">
        <v>32</v>
      </c>
      <c r="BB46" s="891" t="s">
        <v>32</v>
      </c>
      <c r="BC46" s="891" t="s">
        <v>34</v>
      </c>
      <c r="BD46" s="891" t="s">
        <v>35</v>
      </c>
      <c r="BE46" s="891" t="s">
        <v>34</v>
      </c>
      <c r="BF46" s="910" t="s">
        <v>32</v>
      </c>
      <c r="BG46" s="910"/>
      <c r="BH46" s="891" t="s">
        <v>36</v>
      </c>
      <c r="BI46" s="891" t="s">
        <v>2860</v>
      </c>
      <c r="BJ46" s="891" t="s">
        <v>34</v>
      </c>
      <c r="BK46" s="896" t="s">
        <v>32</v>
      </c>
      <c r="BL46" s="904" t="s">
        <v>36</v>
      </c>
      <c r="BM46" s="892"/>
      <c r="BN46" s="891" t="s">
        <v>1877</v>
      </c>
      <c r="BO46" s="910"/>
      <c r="BP46" s="910"/>
      <c r="BQ46" s="896"/>
      <c r="BR46" s="891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4"/>
      <c r="CF46" s="4"/>
      <c r="CG46" s="4"/>
      <c r="CH46" s="4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</row>
    <row r="47" spans="1:120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21</v>
      </c>
      <c r="G47" s="879" t="s">
        <v>890</v>
      </c>
      <c r="H47" s="879" t="s">
        <v>18</v>
      </c>
      <c r="I47" s="879" t="s">
        <v>891</v>
      </c>
      <c r="J47" s="846">
        <v>0</v>
      </c>
      <c r="K47" s="846">
        <v>1</v>
      </c>
      <c r="L47" s="816" t="str">
        <f t="shared" si="39"/>
        <v>L</v>
      </c>
      <c r="M47" s="816">
        <f t="shared" si="40"/>
        <v>1</v>
      </c>
      <c r="N47" s="816" t="str">
        <f t="shared" si="41"/>
        <v>U</v>
      </c>
      <c r="O47" s="816">
        <f t="shared" si="32"/>
        <v>-0.5</v>
      </c>
      <c r="P47" s="829">
        <f t="shared" si="33"/>
        <v>-1</v>
      </c>
      <c r="Q47" s="830">
        <v>0.67</v>
      </c>
      <c r="R47" s="871">
        <f t="shared" si="27"/>
        <v>-1.67</v>
      </c>
      <c r="S47" s="830">
        <v>2.87</v>
      </c>
      <c r="T47" s="871">
        <f t="shared" si="34"/>
        <v>-1.87</v>
      </c>
      <c r="U47" s="868">
        <f t="shared" si="35"/>
        <v>1.77</v>
      </c>
      <c r="V47" s="868">
        <f t="shared" si="36"/>
        <v>1.1000000000000001</v>
      </c>
      <c r="W47" s="829">
        <v>14</v>
      </c>
      <c r="X47" s="829">
        <v>13</v>
      </c>
      <c r="Y47" s="829">
        <v>1</v>
      </c>
      <c r="Z47" s="829">
        <v>4</v>
      </c>
      <c r="AA47" s="829">
        <v>66</v>
      </c>
      <c r="AB47" s="829">
        <v>34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32</v>
      </c>
      <c r="AH47" s="891" t="s">
        <v>34</v>
      </c>
      <c r="AI47" s="891" t="s">
        <v>1877</v>
      </c>
      <c r="AJ47" s="891"/>
      <c r="AK47" s="891" t="s">
        <v>32</v>
      </c>
      <c r="AL47" s="891" t="s">
        <v>34</v>
      </c>
      <c r="AM47" s="891" t="s">
        <v>32</v>
      </c>
      <c r="AN47" s="891" t="s">
        <v>32</v>
      </c>
      <c r="AO47" s="891" t="s">
        <v>2880</v>
      </c>
      <c r="AP47" s="891" t="s">
        <v>1877</v>
      </c>
      <c r="AQ47" s="891" t="s">
        <v>32</v>
      </c>
      <c r="AR47" s="891" t="s">
        <v>2880</v>
      </c>
      <c r="AS47" s="891" t="s">
        <v>32</v>
      </c>
      <c r="AT47" s="891" t="s">
        <v>34</v>
      </c>
      <c r="AU47" s="891" t="s">
        <v>32</v>
      </c>
      <c r="AV47" s="891" t="s">
        <v>34</v>
      </c>
      <c r="AW47" s="891" t="s">
        <v>34</v>
      </c>
      <c r="AX47" s="891" t="s">
        <v>1877</v>
      </c>
      <c r="AY47" s="891" t="s">
        <v>32</v>
      </c>
      <c r="AZ47" s="904" t="s">
        <v>34</v>
      </c>
      <c r="BA47" s="891" t="s">
        <v>36</v>
      </c>
      <c r="BB47" s="891" t="s">
        <v>36</v>
      </c>
      <c r="BC47" s="891" t="s">
        <v>35</v>
      </c>
      <c r="BD47" s="891" t="s">
        <v>34</v>
      </c>
      <c r="BE47" s="891" t="s">
        <v>35</v>
      </c>
      <c r="BF47" s="910" t="s">
        <v>32</v>
      </c>
      <c r="BG47" s="910"/>
      <c r="BH47" s="891" t="s">
        <v>35</v>
      </c>
      <c r="BI47" s="891" t="s">
        <v>34</v>
      </c>
      <c r="BJ47" s="891" t="s">
        <v>36</v>
      </c>
      <c r="BK47" s="896"/>
      <c r="BL47" s="896"/>
      <c r="BM47" s="892"/>
      <c r="BN47" s="891" t="s">
        <v>1877</v>
      </c>
      <c r="BO47" s="910"/>
      <c r="BP47" s="910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428"/>
      <c r="CF47" s="428"/>
      <c r="CG47" s="428"/>
      <c r="CH47" s="428"/>
      <c r="CI47" s="230" t="s">
        <v>32</v>
      </c>
      <c r="CJ47" s="230" t="s">
        <v>32</v>
      </c>
      <c r="CK47" s="230" t="s">
        <v>32</v>
      </c>
      <c r="CL47" s="230" t="s">
        <v>32</v>
      </c>
      <c r="CM47" s="230" t="s">
        <v>32</v>
      </c>
      <c r="CN47" s="230" t="s">
        <v>32</v>
      </c>
      <c r="CO47" s="230" t="s">
        <v>32</v>
      </c>
    </row>
    <row r="48" spans="1:120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17</v>
      </c>
      <c r="G48" s="879" t="s">
        <v>875</v>
      </c>
      <c r="H48" s="879" t="s">
        <v>22</v>
      </c>
      <c r="I48" s="879" t="s">
        <v>891</v>
      </c>
      <c r="J48" s="846">
        <v>2</v>
      </c>
      <c r="K48" s="846">
        <v>0</v>
      </c>
      <c r="L48" s="816" t="str">
        <f t="shared" si="39"/>
        <v>W</v>
      </c>
      <c r="M48" s="816">
        <f t="shared" si="40"/>
        <v>2</v>
      </c>
      <c r="N48" s="816" t="str">
        <f t="shared" si="41"/>
        <v>U</v>
      </c>
      <c r="O48" s="816">
        <f t="shared" si="32"/>
        <v>-0.75</v>
      </c>
      <c r="P48" s="829">
        <f t="shared" si="33"/>
        <v>1</v>
      </c>
      <c r="Q48" s="830">
        <v>0.93</v>
      </c>
      <c r="R48" s="871">
        <f t="shared" si="27"/>
        <v>1.0699999999999998</v>
      </c>
      <c r="S48" s="830">
        <v>3.06</v>
      </c>
      <c r="T48" s="871">
        <f t="shared" si="34"/>
        <v>-1.06</v>
      </c>
      <c r="U48" s="868">
        <f t="shared" si="35"/>
        <v>1.9950000000000001</v>
      </c>
      <c r="V48" s="868">
        <f t="shared" si="36"/>
        <v>1.0649999999999999</v>
      </c>
      <c r="W48" s="829">
        <v>16</v>
      </c>
      <c r="X48" s="829">
        <v>7</v>
      </c>
      <c r="Y48" s="829">
        <v>10</v>
      </c>
      <c r="Z48" s="829">
        <v>2</v>
      </c>
      <c r="AA48" s="829">
        <v>61</v>
      </c>
      <c r="AB48" s="829">
        <v>39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32</v>
      </c>
      <c r="AH48" s="891" t="s">
        <v>34</v>
      </c>
      <c r="AI48" s="891" t="s">
        <v>32</v>
      </c>
      <c r="AJ48" s="891"/>
      <c r="AK48" s="891" t="s">
        <v>1877</v>
      </c>
      <c r="AL48" s="891" t="s">
        <v>34</v>
      </c>
      <c r="AM48" s="891" t="s">
        <v>32</v>
      </c>
      <c r="AN48" s="891" t="s">
        <v>32</v>
      </c>
      <c r="AO48" s="891" t="s">
        <v>32</v>
      </c>
      <c r="AP48" s="891" t="s">
        <v>1877</v>
      </c>
      <c r="AQ48" s="906" t="s">
        <v>2903</v>
      </c>
      <c r="AR48" s="891" t="s">
        <v>32</v>
      </c>
      <c r="AS48" s="891" t="s">
        <v>32</v>
      </c>
      <c r="AT48" s="891" t="s">
        <v>34</v>
      </c>
      <c r="AU48" s="891" t="s">
        <v>32</v>
      </c>
      <c r="AV48" s="891" t="s">
        <v>34</v>
      </c>
      <c r="AW48" s="891" t="s">
        <v>35</v>
      </c>
      <c r="AX48" s="891" t="s">
        <v>1877</v>
      </c>
      <c r="AY48" s="891" t="s">
        <v>34</v>
      </c>
      <c r="AZ48" s="891" t="s">
        <v>34</v>
      </c>
      <c r="BA48" s="891" t="s">
        <v>32</v>
      </c>
      <c r="BB48" s="891" t="s">
        <v>32</v>
      </c>
      <c r="BC48" s="891" t="s">
        <v>32</v>
      </c>
      <c r="BD48" s="891" t="s">
        <v>35</v>
      </c>
      <c r="BE48" s="891" t="s">
        <v>2901</v>
      </c>
      <c r="BF48" s="891" t="s">
        <v>36</v>
      </c>
      <c r="BG48" s="891"/>
      <c r="BH48" s="891" t="s">
        <v>36</v>
      </c>
      <c r="BI48" s="891" t="s">
        <v>2902</v>
      </c>
      <c r="BJ48" s="891" t="s">
        <v>34</v>
      </c>
      <c r="BK48" s="896" t="s">
        <v>32</v>
      </c>
      <c r="BL48" s="896" t="s">
        <v>1877</v>
      </c>
      <c r="BM48" s="892"/>
      <c r="BN48" s="891" t="s">
        <v>32</v>
      </c>
      <c r="BO48" s="910"/>
      <c r="BP48" s="910"/>
      <c r="BQ48" s="896"/>
      <c r="BR48" s="896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86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15</v>
      </c>
      <c r="G49" s="879" t="s">
        <v>881</v>
      </c>
      <c r="H49" s="879" t="s">
        <v>18</v>
      </c>
      <c r="I49" s="879" t="s">
        <v>891</v>
      </c>
      <c r="J49" s="908">
        <v>0</v>
      </c>
      <c r="K49" s="846">
        <v>1</v>
      </c>
      <c r="L49" s="816" t="str">
        <f t="shared" si="39"/>
        <v>L</v>
      </c>
      <c r="M49" s="816">
        <f t="shared" si="40"/>
        <v>1</v>
      </c>
      <c r="N49" s="816" t="str">
        <f t="shared" si="41"/>
        <v>U</v>
      </c>
      <c r="O49" s="816">
        <f t="shared" si="32"/>
        <v>-0.25</v>
      </c>
      <c r="P49" s="829">
        <f t="shared" si="33"/>
        <v>-1</v>
      </c>
      <c r="Q49" s="830">
        <v>0.28000000000000003</v>
      </c>
      <c r="R49" s="871">
        <f t="shared" si="27"/>
        <v>-1.28</v>
      </c>
      <c r="S49" s="830">
        <v>2.81</v>
      </c>
      <c r="T49" s="871">
        <f t="shared" si="34"/>
        <v>-1.81</v>
      </c>
      <c r="U49" s="868">
        <f t="shared" si="35"/>
        <v>1.5449999999999999</v>
      </c>
      <c r="V49" s="868">
        <f t="shared" si="36"/>
        <v>1.2650000000000001</v>
      </c>
      <c r="W49" s="829">
        <v>13</v>
      </c>
      <c r="X49" s="829">
        <v>9</v>
      </c>
      <c r="Y49" s="829">
        <v>2</v>
      </c>
      <c r="Z49" s="829">
        <v>4</v>
      </c>
      <c r="AA49" s="829">
        <v>62</v>
      </c>
      <c r="AB49" s="829">
        <v>38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32</v>
      </c>
      <c r="AH49" s="891" t="s">
        <v>34</v>
      </c>
      <c r="AI49" s="891" t="s">
        <v>32</v>
      </c>
      <c r="AJ49" s="891"/>
      <c r="AK49" s="891" t="s">
        <v>1877</v>
      </c>
      <c r="AL49" s="891" t="s">
        <v>34</v>
      </c>
      <c r="AM49" s="891" t="s">
        <v>32</v>
      </c>
      <c r="AN49" s="891" t="s">
        <v>32</v>
      </c>
      <c r="AO49" s="891" t="s">
        <v>32</v>
      </c>
      <c r="AP49" s="891" t="s">
        <v>1877</v>
      </c>
      <c r="AQ49" s="891" t="s">
        <v>1877</v>
      </c>
      <c r="AR49" s="891" t="s">
        <v>32</v>
      </c>
      <c r="AS49" s="891" t="s">
        <v>32</v>
      </c>
      <c r="AT49" s="904" t="s">
        <v>34</v>
      </c>
      <c r="AU49" s="891" t="s">
        <v>34</v>
      </c>
      <c r="AV49" s="891" t="s">
        <v>34</v>
      </c>
      <c r="AW49" s="891" t="s">
        <v>32</v>
      </c>
      <c r="AX49" s="909" t="s">
        <v>34</v>
      </c>
      <c r="AY49" s="891" t="s">
        <v>34</v>
      </c>
      <c r="AZ49" s="891" t="s">
        <v>32</v>
      </c>
      <c r="BA49" s="891" t="s">
        <v>32</v>
      </c>
      <c r="BB49" s="891" t="s">
        <v>32</v>
      </c>
      <c r="BC49" s="891" t="s">
        <v>1877</v>
      </c>
      <c r="BD49" s="891" t="s">
        <v>36</v>
      </c>
      <c r="BE49" s="891" t="s">
        <v>34</v>
      </c>
      <c r="BF49" s="891" t="s">
        <v>35</v>
      </c>
      <c r="BG49" s="891" t="s">
        <v>36</v>
      </c>
      <c r="BH49" s="891" t="s">
        <v>36</v>
      </c>
      <c r="BI49" s="891" t="s">
        <v>35</v>
      </c>
      <c r="BJ49" s="891" t="s">
        <v>35</v>
      </c>
      <c r="BK49" s="896" t="s">
        <v>32</v>
      </c>
      <c r="BL49" s="896" t="s">
        <v>32</v>
      </c>
      <c r="BM49" s="892" t="s">
        <v>32</v>
      </c>
      <c r="BN49" s="891" t="s">
        <v>32</v>
      </c>
      <c r="BO49" s="910"/>
      <c r="BP49" s="910"/>
      <c r="BQ49" s="896"/>
      <c r="BR49" s="891"/>
      <c r="BS49" s="896"/>
      <c r="BT49" s="896"/>
      <c r="BU49" s="896"/>
      <c r="BV49" s="896"/>
      <c r="BW49" s="896"/>
      <c r="BX49" s="891"/>
      <c r="BY49" s="891"/>
      <c r="BZ49" s="891"/>
      <c r="CA49" s="891"/>
      <c r="CB49" s="891"/>
      <c r="CC49" s="891"/>
      <c r="CD49" s="891"/>
      <c r="CE49" s="428"/>
      <c r="CF49" s="428"/>
      <c r="CG49" s="428"/>
      <c r="CH49" s="428"/>
    </row>
    <row r="50" spans="1:86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7</v>
      </c>
      <c r="G50" s="879" t="s">
        <v>888</v>
      </c>
      <c r="H50" s="879" t="s">
        <v>18</v>
      </c>
      <c r="I50" s="879" t="s">
        <v>891</v>
      </c>
      <c r="J50" s="846">
        <v>1</v>
      </c>
      <c r="K50" s="846">
        <v>0</v>
      </c>
      <c r="L50" s="816" t="str">
        <f t="shared" si="39"/>
        <v>W</v>
      </c>
      <c r="M50" s="816">
        <f t="shared" si="40"/>
        <v>1</v>
      </c>
      <c r="N50" s="816" t="str">
        <f t="shared" si="41"/>
        <v>U</v>
      </c>
      <c r="O50" s="816">
        <f t="shared" si="32"/>
        <v>0.25</v>
      </c>
      <c r="P50" s="829">
        <f t="shared" si="33"/>
        <v>1</v>
      </c>
      <c r="Q50" s="830">
        <v>-0.35</v>
      </c>
      <c r="R50" s="871">
        <f t="shared" si="27"/>
        <v>1.35</v>
      </c>
      <c r="S50" s="830">
        <v>2.88</v>
      </c>
      <c r="T50" s="871">
        <f t="shared" si="34"/>
        <v>-1.88</v>
      </c>
      <c r="U50" s="868">
        <f t="shared" si="35"/>
        <v>1.2649999999999999</v>
      </c>
      <c r="V50" s="868">
        <f t="shared" si="36"/>
        <v>1.615</v>
      </c>
      <c r="W50" s="829">
        <v>14</v>
      </c>
      <c r="X50" s="829">
        <v>12</v>
      </c>
      <c r="Y50" s="829">
        <v>3</v>
      </c>
      <c r="Z50" s="829">
        <v>2</v>
      </c>
      <c r="AA50" s="829">
        <v>42</v>
      </c>
      <c r="AB50" s="829">
        <v>58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32</v>
      </c>
      <c r="AH50" s="904" t="s">
        <v>34</v>
      </c>
      <c r="AI50" s="891" t="s">
        <v>32</v>
      </c>
      <c r="AJ50" s="891"/>
      <c r="AK50" s="891" t="s">
        <v>1877</v>
      </c>
      <c r="AL50" s="891" t="s">
        <v>34</v>
      </c>
      <c r="AM50" s="891" t="s">
        <v>32</v>
      </c>
      <c r="AN50" s="891" t="s">
        <v>32</v>
      </c>
      <c r="AO50" s="891" t="s">
        <v>32</v>
      </c>
      <c r="AP50" s="904" t="s">
        <v>36</v>
      </c>
      <c r="AQ50" s="891" t="s">
        <v>1877</v>
      </c>
      <c r="AR50" s="891" t="s">
        <v>32</v>
      </c>
      <c r="AS50" s="891" t="s">
        <v>32</v>
      </c>
      <c r="AT50" s="891" t="s">
        <v>34</v>
      </c>
      <c r="AU50" s="891" t="s">
        <v>34</v>
      </c>
      <c r="AV50" s="891" t="s">
        <v>34</v>
      </c>
      <c r="AW50" s="891" t="s">
        <v>32</v>
      </c>
      <c r="AX50" s="891" t="s">
        <v>3020</v>
      </c>
      <c r="AY50" s="891" t="s">
        <v>36</v>
      </c>
      <c r="AZ50" s="904" t="s">
        <v>34</v>
      </c>
      <c r="BA50" s="891" t="s">
        <v>32</v>
      </c>
      <c r="BB50" s="891" t="s">
        <v>32</v>
      </c>
      <c r="BC50" s="891" t="s">
        <v>1877</v>
      </c>
      <c r="BD50" s="891" t="s">
        <v>35</v>
      </c>
      <c r="BE50" s="891" t="s">
        <v>34</v>
      </c>
      <c r="BF50" s="891" t="s">
        <v>36</v>
      </c>
      <c r="BG50" s="891" t="s">
        <v>35</v>
      </c>
      <c r="BH50" s="891" t="s">
        <v>1877</v>
      </c>
      <c r="BI50" s="891" t="s">
        <v>3021</v>
      </c>
      <c r="BJ50" s="891" t="s">
        <v>35</v>
      </c>
      <c r="BK50" s="896" t="s">
        <v>32</v>
      </c>
      <c r="BL50" s="896" t="s">
        <v>32</v>
      </c>
      <c r="BM50" s="892" t="s">
        <v>32</v>
      </c>
      <c r="BN50" s="891" t="s">
        <v>32</v>
      </c>
      <c r="BO50" s="910" t="s">
        <v>32</v>
      </c>
      <c r="BP50" s="910" t="s">
        <v>32</v>
      </c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86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20</v>
      </c>
      <c r="G51" s="879" t="s">
        <v>882</v>
      </c>
      <c r="H51" s="879" t="s">
        <v>22</v>
      </c>
      <c r="I51" s="879" t="s">
        <v>891</v>
      </c>
      <c r="J51" s="846">
        <v>2</v>
      </c>
      <c r="K51" s="846">
        <v>1</v>
      </c>
      <c r="L51" s="816" t="str">
        <f t="shared" si="39"/>
        <v>W</v>
      </c>
      <c r="M51" s="816">
        <f t="shared" si="40"/>
        <v>3</v>
      </c>
      <c r="N51" s="816" t="str">
        <f>IF($J51="","",IF($M51&gt;N$19,"O",IF($M51&lt;N$19,"U",IF($M51=N$19,"-"))))</f>
        <v>O</v>
      </c>
      <c r="O51" s="816">
        <f t="shared" si="32"/>
        <v>-0.75</v>
      </c>
      <c r="P51" s="829">
        <f t="shared" si="33"/>
        <v>0.5</v>
      </c>
      <c r="Q51" s="830">
        <v>0.88</v>
      </c>
      <c r="R51" s="871">
        <f t="shared" si="27"/>
        <v>0.12</v>
      </c>
      <c r="S51" s="830">
        <v>2.98</v>
      </c>
      <c r="T51" s="871">
        <f t="shared" si="34"/>
        <v>2.0000000000000018E-2</v>
      </c>
      <c r="U51" s="868">
        <f t="shared" si="35"/>
        <v>1.93</v>
      </c>
      <c r="V51" s="868">
        <f t="shared" si="36"/>
        <v>1.05</v>
      </c>
      <c r="W51" s="829">
        <v>25</v>
      </c>
      <c r="X51" s="829">
        <v>6</v>
      </c>
      <c r="Y51" s="829">
        <v>4</v>
      </c>
      <c r="Z51" s="829">
        <v>2</v>
      </c>
      <c r="AA51" s="829">
        <v>64</v>
      </c>
      <c r="AB51" s="829">
        <v>36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/>
      <c r="AH51" s="891" t="s">
        <v>34</v>
      </c>
      <c r="AI51" s="891" t="s">
        <v>32</v>
      </c>
      <c r="AJ51" s="891"/>
      <c r="AK51" s="891" t="s">
        <v>1877</v>
      </c>
      <c r="AL51" s="891" t="s">
        <v>34</v>
      </c>
      <c r="AM51" s="891" t="s">
        <v>32</v>
      </c>
      <c r="AN51" s="891" t="s">
        <v>32</v>
      </c>
      <c r="AO51" s="891" t="s">
        <v>32</v>
      </c>
      <c r="AP51" s="891" t="s">
        <v>36</v>
      </c>
      <c r="AQ51" s="891" t="s">
        <v>1877</v>
      </c>
      <c r="AR51" s="891" t="s">
        <v>32</v>
      </c>
      <c r="AS51" s="891" t="s">
        <v>32</v>
      </c>
      <c r="AT51" s="891" t="s">
        <v>34</v>
      </c>
      <c r="AU51" s="891" t="s">
        <v>34</v>
      </c>
      <c r="AV51" s="891" t="s">
        <v>34</v>
      </c>
      <c r="AW51" s="891" t="s">
        <v>32</v>
      </c>
      <c r="AX51" s="891" t="s">
        <v>1877</v>
      </c>
      <c r="AY51" s="891" t="s">
        <v>1877</v>
      </c>
      <c r="AZ51" s="891" t="s">
        <v>34</v>
      </c>
      <c r="BA51" s="891" t="s">
        <v>32</v>
      </c>
      <c r="BB51" s="891" t="s">
        <v>32</v>
      </c>
      <c r="BC51" s="891" t="s">
        <v>32</v>
      </c>
      <c r="BD51" s="891" t="s">
        <v>3067</v>
      </c>
      <c r="BE51" s="891" t="s">
        <v>3065</v>
      </c>
      <c r="BF51" s="891" t="s">
        <v>36</v>
      </c>
      <c r="BG51" s="891" t="s">
        <v>35</v>
      </c>
      <c r="BH51" s="891" t="s">
        <v>36</v>
      </c>
      <c r="BI51" s="891" t="s">
        <v>35</v>
      </c>
      <c r="BJ51" s="891" t="s">
        <v>35</v>
      </c>
      <c r="BK51" s="896"/>
      <c r="BL51" s="896"/>
      <c r="BM51" s="892"/>
      <c r="BN51" s="910"/>
      <c r="BO51" s="910"/>
      <c r="BP51" s="910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86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</v>
      </c>
      <c r="G52" s="879" t="s">
        <v>1086</v>
      </c>
      <c r="H52" s="879" t="s">
        <v>22</v>
      </c>
      <c r="I52" s="879" t="s">
        <v>891</v>
      </c>
      <c r="J52" s="846">
        <v>0</v>
      </c>
      <c r="K52" s="846">
        <v>1</v>
      </c>
      <c r="L52" s="816" t="str">
        <f t="shared" si="39"/>
        <v>L</v>
      </c>
      <c r="M52" s="816">
        <f t="shared" si="40"/>
        <v>1</v>
      </c>
      <c r="N52" s="816" t="str">
        <f>IF($J52="","",IF($M52&gt;N$19,"O",IF($M52&lt;N$19,"U",IF($M52=N$19,"-"))))</f>
        <v>U</v>
      </c>
      <c r="O52" s="816">
        <f t="shared" si="32"/>
        <v>0</v>
      </c>
      <c r="P52" s="829">
        <f t="shared" si="33"/>
        <v>-1</v>
      </c>
      <c r="Q52" s="830">
        <v>0.08</v>
      </c>
      <c r="R52" s="871">
        <f t="shared" si="27"/>
        <v>-1.08</v>
      </c>
      <c r="S52" s="830">
        <v>2.58</v>
      </c>
      <c r="T52" s="871">
        <f t="shared" si="34"/>
        <v>-1.58</v>
      </c>
      <c r="U52" s="868">
        <f t="shared" si="35"/>
        <v>1.33</v>
      </c>
      <c r="V52" s="868">
        <f t="shared" si="36"/>
        <v>1.25</v>
      </c>
      <c r="W52" s="829">
        <v>20</v>
      </c>
      <c r="X52" s="829">
        <v>3</v>
      </c>
      <c r="Y52" s="829">
        <v>9</v>
      </c>
      <c r="Z52" s="829">
        <v>1</v>
      </c>
      <c r="AA52" s="829">
        <v>60</v>
      </c>
      <c r="AB52" s="829">
        <v>40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/>
      <c r="AH52" s="891" t="s">
        <v>34</v>
      </c>
      <c r="AI52" s="891" t="s">
        <v>32</v>
      </c>
      <c r="AJ52" s="891"/>
      <c r="AK52" s="891" t="s">
        <v>1877</v>
      </c>
      <c r="AL52" s="891" t="s">
        <v>34</v>
      </c>
      <c r="AM52" s="891" t="s">
        <v>32</v>
      </c>
      <c r="AN52" s="891" t="s">
        <v>32</v>
      </c>
      <c r="AO52" s="891" t="s">
        <v>32</v>
      </c>
      <c r="AP52" s="891" t="s">
        <v>36</v>
      </c>
      <c r="AQ52" s="891" t="s">
        <v>1877</v>
      </c>
      <c r="AR52" s="891" t="s">
        <v>32</v>
      </c>
      <c r="AS52" s="891" t="s">
        <v>32</v>
      </c>
      <c r="AT52" s="904" t="s">
        <v>34</v>
      </c>
      <c r="AU52" s="891" t="s">
        <v>34</v>
      </c>
      <c r="AV52" s="891" t="s">
        <v>34</v>
      </c>
      <c r="AW52" s="891" t="s">
        <v>32</v>
      </c>
      <c r="AX52" s="891" t="s">
        <v>1877</v>
      </c>
      <c r="AY52" s="891" t="s">
        <v>1877</v>
      </c>
      <c r="AZ52" s="891" t="s">
        <v>34</v>
      </c>
      <c r="BA52" s="891" t="s">
        <v>32</v>
      </c>
      <c r="BB52" s="891" t="s">
        <v>32</v>
      </c>
      <c r="BC52" s="891" t="s">
        <v>32</v>
      </c>
      <c r="BD52" s="891" t="s">
        <v>34</v>
      </c>
      <c r="BE52" s="891" t="s">
        <v>34</v>
      </c>
      <c r="BF52" s="891" t="s">
        <v>36</v>
      </c>
      <c r="BG52" s="891" t="s">
        <v>35</v>
      </c>
      <c r="BH52" s="891" t="s">
        <v>36</v>
      </c>
      <c r="BI52" s="891" t="s">
        <v>35</v>
      </c>
      <c r="BJ52" s="891" t="s">
        <v>35</v>
      </c>
      <c r="BK52" s="896" t="s">
        <v>32</v>
      </c>
      <c r="BL52" s="896" t="s">
        <v>32</v>
      </c>
      <c r="BM52" s="892" t="s">
        <v>32</v>
      </c>
      <c r="BN52" s="910"/>
      <c r="BO52" s="910"/>
      <c r="BP52" s="910"/>
      <c r="BQ52" s="896" t="s">
        <v>32</v>
      </c>
      <c r="BR52" s="896" t="s">
        <v>32</v>
      </c>
      <c r="BS52" s="896" t="s">
        <v>32</v>
      </c>
      <c r="BT52" s="896" t="s">
        <v>32</v>
      </c>
      <c r="BU52" s="896" t="s">
        <v>32</v>
      </c>
      <c r="BV52" s="896" t="s">
        <v>32</v>
      </c>
      <c r="BW52" s="896" t="s">
        <v>32</v>
      </c>
      <c r="BX52" s="896" t="s">
        <v>32</v>
      </c>
      <c r="BY52" s="896" t="s">
        <v>32</v>
      </c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86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11</v>
      </c>
      <c r="G53" s="879" t="s">
        <v>874</v>
      </c>
      <c r="H53" s="879" t="s">
        <v>18</v>
      </c>
      <c r="I53" s="879" t="s">
        <v>891</v>
      </c>
      <c r="J53" s="846">
        <v>2</v>
      </c>
      <c r="K53" s="846">
        <v>2</v>
      </c>
      <c r="L53" s="816" t="str">
        <f t="shared" si="39"/>
        <v>D</v>
      </c>
      <c r="M53" s="816">
        <f t="shared" si="40"/>
        <v>4</v>
      </c>
      <c r="N53" s="816" t="str">
        <f t="shared" si="41"/>
        <v>O</v>
      </c>
      <c r="O53" s="816">
        <f t="shared" si="32"/>
        <v>-0.25</v>
      </c>
      <c r="P53" s="829">
        <f t="shared" si="33"/>
        <v>-0.5</v>
      </c>
      <c r="Q53" s="830">
        <v>0.25</v>
      </c>
      <c r="R53" s="871">
        <f t="shared" si="27"/>
        <v>-0.25</v>
      </c>
      <c r="S53" s="830">
        <v>2.42</v>
      </c>
      <c r="T53" s="871">
        <f t="shared" si="34"/>
        <v>1.58</v>
      </c>
      <c r="U53" s="868">
        <f t="shared" si="35"/>
        <v>1.335</v>
      </c>
      <c r="V53" s="868">
        <f t="shared" si="36"/>
        <v>1.085</v>
      </c>
      <c r="W53" s="829">
        <v>11</v>
      </c>
      <c r="X53" s="829">
        <v>11</v>
      </c>
      <c r="Y53" s="829">
        <v>4</v>
      </c>
      <c r="Z53" s="829">
        <v>3</v>
      </c>
      <c r="AA53" s="829">
        <v>55</v>
      </c>
      <c r="AB53" s="829">
        <v>45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32</v>
      </c>
      <c r="AH53" s="891" t="s">
        <v>34</v>
      </c>
      <c r="AI53" s="891" t="s">
        <v>32</v>
      </c>
      <c r="AJ53" s="891"/>
      <c r="AK53" s="891" t="s">
        <v>1877</v>
      </c>
      <c r="AL53" s="891" t="s">
        <v>34</v>
      </c>
      <c r="AM53" s="891" t="s">
        <v>32</v>
      </c>
      <c r="AN53" s="891" t="s">
        <v>32</v>
      </c>
      <c r="AO53" s="891" t="s">
        <v>32</v>
      </c>
      <c r="AP53" s="891" t="s">
        <v>36</v>
      </c>
      <c r="AQ53" s="891" t="s">
        <v>35</v>
      </c>
      <c r="AR53" s="891" t="s">
        <v>1877</v>
      </c>
      <c r="AS53" s="891" t="s">
        <v>32</v>
      </c>
      <c r="AT53" s="891" t="s">
        <v>3117</v>
      </c>
      <c r="AU53" s="891" t="s">
        <v>34</v>
      </c>
      <c r="AV53" s="891" t="s">
        <v>34</v>
      </c>
      <c r="AW53" s="891" t="s">
        <v>32</v>
      </c>
      <c r="AX53" s="891" t="s">
        <v>1877</v>
      </c>
      <c r="AY53" s="891" t="s">
        <v>1877</v>
      </c>
      <c r="AZ53" s="891" t="s">
        <v>34</v>
      </c>
      <c r="BA53" s="891" t="s">
        <v>32</v>
      </c>
      <c r="BB53" s="891" t="s">
        <v>32</v>
      </c>
      <c r="BC53" s="891" t="s">
        <v>32</v>
      </c>
      <c r="BD53" s="904" t="s">
        <v>34</v>
      </c>
      <c r="BE53" s="904" t="s">
        <v>35</v>
      </c>
      <c r="BF53" s="891" t="s">
        <v>36</v>
      </c>
      <c r="BG53" s="891" t="s">
        <v>34</v>
      </c>
      <c r="BH53" s="891" t="s">
        <v>36</v>
      </c>
      <c r="BI53" s="904" t="s">
        <v>3118</v>
      </c>
      <c r="BJ53" s="891" t="s">
        <v>35</v>
      </c>
      <c r="BK53" s="896" t="s">
        <v>32</v>
      </c>
      <c r="BL53" s="896" t="s">
        <v>32</v>
      </c>
      <c r="BM53" s="892" t="s">
        <v>32</v>
      </c>
      <c r="BN53" s="910" t="s">
        <v>32</v>
      </c>
      <c r="BO53" s="910" t="s">
        <v>32</v>
      </c>
      <c r="BP53" s="910" t="s">
        <v>32</v>
      </c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86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18</v>
      </c>
      <c r="G54" s="879" t="s">
        <v>887</v>
      </c>
      <c r="H54" s="879" t="s">
        <v>22</v>
      </c>
      <c r="I54" s="879" t="s">
        <v>891</v>
      </c>
      <c r="J54" s="846">
        <v>1</v>
      </c>
      <c r="K54" s="846">
        <v>3</v>
      </c>
      <c r="L54" s="816" t="str">
        <f t="shared" si="39"/>
        <v>L</v>
      </c>
      <c r="M54" s="816">
        <f t="shared" si="40"/>
        <v>4</v>
      </c>
      <c r="N54" s="816" t="str">
        <f t="shared" si="41"/>
        <v>O</v>
      </c>
      <c r="O54" s="816">
        <f t="shared" si="32"/>
        <v>-0.5</v>
      </c>
      <c r="P54" s="829">
        <f t="shared" si="33"/>
        <v>-1</v>
      </c>
      <c r="Q54" s="830">
        <v>0.49</v>
      </c>
      <c r="R54" s="871">
        <f t="shared" si="27"/>
        <v>-2.4900000000000002</v>
      </c>
      <c r="S54" s="830">
        <v>2.79</v>
      </c>
      <c r="T54" s="871">
        <f t="shared" si="34"/>
        <v>1.21</v>
      </c>
      <c r="U54" s="868">
        <f t="shared" si="35"/>
        <v>1.6400000000000001</v>
      </c>
      <c r="V54" s="868">
        <f t="shared" si="36"/>
        <v>1.1499999999999999</v>
      </c>
      <c r="W54" s="829">
        <v>13</v>
      </c>
      <c r="X54" s="829">
        <v>6</v>
      </c>
      <c r="Y54" s="829">
        <v>5</v>
      </c>
      <c r="Z54" s="829">
        <v>3</v>
      </c>
      <c r="AA54" s="829">
        <v>54</v>
      </c>
      <c r="AB54" s="829">
        <v>46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32</v>
      </c>
      <c r="AH54" s="891" t="s">
        <v>1877</v>
      </c>
      <c r="AI54" s="891" t="s">
        <v>32</v>
      </c>
      <c r="AJ54" s="891" t="s">
        <v>3152</v>
      </c>
      <c r="AK54" s="891" t="s">
        <v>32</v>
      </c>
      <c r="AL54" s="891" t="s">
        <v>34</v>
      </c>
      <c r="AM54" s="891" t="s">
        <v>32</v>
      </c>
      <c r="AN54" s="891" t="s">
        <v>32</v>
      </c>
      <c r="AO54" s="891" t="s">
        <v>32</v>
      </c>
      <c r="AP54" s="891" t="s">
        <v>1877</v>
      </c>
      <c r="AQ54" s="891" t="s">
        <v>1877</v>
      </c>
      <c r="AR54" s="891" t="s">
        <v>32</v>
      </c>
      <c r="AS54" s="891" t="s">
        <v>32</v>
      </c>
      <c r="AT54" s="891" t="s">
        <v>34</v>
      </c>
      <c r="AU54" s="891" t="s">
        <v>35</v>
      </c>
      <c r="AV54" s="891" t="s">
        <v>34</v>
      </c>
      <c r="AW54" s="891" t="s">
        <v>36</v>
      </c>
      <c r="AX54" s="891" t="s">
        <v>36</v>
      </c>
      <c r="AY54" s="891" t="s">
        <v>3155</v>
      </c>
      <c r="AZ54" s="904" t="s">
        <v>3152</v>
      </c>
      <c r="BA54" s="891" t="s">
        <v>1877</v>
      </c>
      <c r="BB54" s="891" t="s">
        <v>32</v>
      </c>
      <c r="BC54" s="891" t="s">
        <v>32</v>
      </c>
      <c r="BD54" s="891" t="s">
        <v>3149</v>
      </c>
      <c r="BE54" s="891" t="s">
        <v>3149</v>
      </c>
      <c r="BF54" s="891" t="s">
        <v>35</v>
      </c>
      <c r="BG54" s="891" t="s">
        <v>34</v>
      </c>
      <c r="BH54" s="891" t="s">
        <v>34</v>
      </c>
      <c r="BI54" s="891" t="s">
        <v>3150</v>
      </c>
      <c r="BJ54" s="891" t="s">
        <v>34</v>
      </c>
      <c r="BK54" s="896" t="s">
        <v>32</v>
      </c>
      <c r="BL54" s="896" t="s">
        <v>36</v>
      </c>
      <c r="BM54" s="892" t="s">
        <v>32</v>
      </c>
      <c r="BN54" s="910" t="s">
        <v>32</v>
      </c>
      <c r="BO54" s="910" t="s">
        <v>32</v>
      </c>
      <c r="BP54" s="910" t="s">
        <v>32</v>
      </c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86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5</v>
      </c>
      <c r="G55" s="879" t="s">
        <v>889</v>
      </c>
      <c r="H55" s="879" t="s">
        <v>22</v>
      </c>
      <c r="I55" s="879" t="s">
        <v>891</v>
      </c>
      <c r="J55" s="846">
        <v>2</v>
      </c>
      <c r="K55" s="846">
        <v>2</v>
      </c>
      <c r="L55" s="816" t="str">
        <f t="shared" si="39"/>
        <v>D</v>
      </c>
      <c r="M55" s="816">
        <f t="shared" si="40"/>
        <v>4</v>
      </c>
      <c r="N55" s="816" t="str">
        <f t="shared" si="41"/>
        <v>O</v>
      </c>
      <c r="O55" s="816">
        <f t="shared" si="32"/>
        <v>-0.25</v>
      </c>
      <c r="P55" s="829">
        <f t="shared" si="33"/>
        <v>-0.5</v>
      </c>
      <c r="Q55" s="830">
        <v>0.23</v>
      </c>
      <c r="R55" s="871">
        <f t="shared" si="27"/>
        <v>-0.23</v>
      </c>
      <c r="S55" s="830">
        <v>2.8</v>
      </c>
      <c r="T55" s="871">
        <f t="shared" si="34"/>
        <v>1.2000000000000002</v>
      </c>
      <c r="U55" s="868">
        <f t="shared" si="35"/>
        <v>1.5149999999999999</v>
      </c>
      <c r="V55" s="868">
        <f t="shared" si="36"/>
        <v>1.2849999999999999</v>
      </c>
      <c r="W55" s="829">
        <v>11</v>
      </c>
      <c r="X55" s="829">
        <v>16</v>
      </c>
      <c r="Y55" s="829">
        <v>5</v>
      </c>
      <c r="Z55" s="829">
        <v>7</v>
      </c>
      <c r="AA55" s="829">
        <v>59</v>
      </c>
      <c r="AB55" s="829">
        <v>41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/>
      <c r="AH55" s="891" t="s">
        <v>1877</v>
      </c>
      <c r="AI55" s="891" t="s">
        <v>32</v>
      </c>
      <c r="AJ55" s="891" t="s">
        <v>34</v>
      </c>
      <c r="AK55" s="891" t="s">
        <v>32</v>
      </c>
      <c r="AL55" s="904" t="s">
        <v>34</v>
      </c>
      <c r="AM55" s="891" t="s">
        <v>32</v>
      </c>
      <c r="AN55" s="891" t="s">
        <v>1877</v>
      </c>
      <c r="AO55" s="891" t="s">
        <v>3177</v>
      </c>
      <c r="AP55" s="891" t="s">
        <v>34</v>
      </c>
      <c r="AQ55" s="891" t="s">
        <v>1877</v>
      </c>
      <c r="AR55" s="891" t="s">
        <v>32</v>
      </c>
      <c r="AS55" s="891" t="s">
        <v>32</v>
      </c>
      <c r="AT55" s="904" t="s">
        <v>34</v>
      </c>
      <c r="AU55" s="891" t="s">
        <v>32</v>
      </c>
      <c r="AV55" s="891" t="s">
        <v>32</v>
      </c>
      <c r="AW55" s="891" t="s">
        <v>34</v>
      </c>
      <c r="AX55" s="891" t="s">
        <v>34</v>
      </c>
      <c r="AY55" s="891" t="s">
        <v>32</v>
      </c>
      <c r="AZ55" s="891" t="s">
        <v>3072</v>
      </c>
      <c r="BA55" s="891" t="s">
        <v>35</v>
      </c>
      <c r="BB55" s="891" t="s">
        <v>32</v>
      </c>
      <c r="BC55" s="891" t="s">
        <v>1877</v>
      </c>
      <c r="BD55" s="904" t="s">
        <v>35</v>
      </c>
      <c r="BE55" s="891" t="s">
        <v>34</v>
      </c>
      <c r="BF55" s="891" t="s">
        <v>32</v>
      </c>
      <c r="BG55" s="891" t="s">
        <v>34</v>
      </c>
      <c r="BH55" s="891" t="s">
        <v>36</v>
      </c>
      <c r="BI55" s="891" t="s">
        <v>3176</v>
      </c>
      <c r="BJ55" s="891" t="s">
        <v>1877</v>
      </c>
      <c r="BK55" s="896"/>
      <c r="BL55" s="896"/>
      <c r="BM55" s="892"/>
      <c r="BN55" s="910"/>
      <c r="BO55" s="910"/>
      <c r="BP55" s="910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</row>
    <row r="56" spans="1:86" ht="15">
      <c r="A56" s="882">
        <v>6462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22</v>
      </c>
      <c r="G56" s="879" t="s">
        <v>1087</v>
      </c>
      <c r="H56" s="879" t="s">
        <v>18</v>
      </c>
      <c r="I56" s="879" t="s">
        <v>891</v>
      </c>
      <c r="J56" s="908">
        <v>0</v>
      </c>
      <c r="K56" s="846">
        <v>2</v>
      </c>
      <c r="L56" s="816" t="str">
        <f t="shared" si="39"/>
        <v>L</v>
      </c>
      <c r="M56" s="816">
        <f t="shared" si="40"/>
        <v>2</v>
      </c>
      <c r="N56" s="816" t="str">
        <f t="shared" si="41"/>
        <v>U</v>
      </c>
      <c r="O56" s="816">
        <f t="shared" si="32"/>
        <v>-0.75</v>
      </c>
      <c r="P56" s="829">
        <f t="shared" si="33"/>
        <v>-1</v>
      </c>
      <c r="Q56" s="830">
        <v>0.88</v>
      </c>
      <c r="R56" s="871">
        <f t="shared" si="27"/>
        <v>-2.88</v>
      </c>
      <c r="S56" s="830">
        <v>2.9</v>
      </c>
      <c r="T56" s="871">
        <f t="shared" si="34"/>
        <v>-0.89999999999999991</v>
      </c>
      <c r="U56" s="868">
        <f t="shared" si="35"/>
        <v>1.89</v>
      </c>
      <c r="V56" s="868">
        <f t="shared" si="36"/>
        <v>1.01</v>
      </c>
      <c r="W56" s="829">
        <v>26</v>
      </c>
      <c r="X56" s="829">
        <v>5</v>
      </c>
      <c r="Y56" s="829">
        <v>5</v>
      </c>
      <c r="Z56" s="829">
        <v>2</v>
      </c>
      <c r="AA56" s="829">
        <v>68</v>
      </c>
      <c r="AB56" s="829">
        <v>32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32</v>
      </c>
      <c r="AH56" s="891" t="s">
        <v>1877</v>
      </c>
      <c r="AI56" s="891" t="s">
        <v>32</v>
      </c>
      <c r="AJ56" s="891" t="s">
        <v>34</v>
      </c>
      <c r="AK56" s="891" t="s">
        <v>32</v>
      </c>
      <c r="AL56" s="891" t="s">
        <v>3230</v>
      </c>
      <c r="AM56" s="891" t="s">
        <v>32</v>
      </c>
      <c r="AN56" s="891" t="s">
        <v>1877</v>
      </c>
      <c r="AO56" s="891" t="s">
        <v>1877</v>
      </c>
      <c r="AP56" s="891" t="s">
        <v>34</v>
      </c>
      <c r="AQ56" s="891" t="s">
        <v>1877</v>
      </c>
      <c r="AR56" s="891" t="s">
        <v>32</v>
      </c>
      <c r="AS56" s="891" t="s">
        <v>32</v>
      </c>
      <c r="AT56" s="891" t="s">
        <v>34</v>
      </c>
      <c r="AU56" s="891" t="s">
        <v>32</v>
      </c>
      <c r="AV56" s="891" t="s">
        <v>34</v>
      </c>
      <c r="AW56" s="891" t="s">
        <v>35</v>
      </c>
      <c r="AX56" s="909" t="s">
        <v>34</v>
      </c>
      <c r="AY56" s="891" t="s">
        <v>32</v>
      </c>
      <c r="AZ56" s="891" t="s">
        <v>3230</v>
      </c>
      <c r="BA56" s="891" t="s">
        <v>32</v>
      </c>
      <c r="BB56" s="891" t="s">
        <v>32</v>
      </c>
      <c r="BC56" s="891" t="s">
        <v>36</v>
      </c>
      <c r="BD56" s="891" t="s">
        <v>34</v>
      </c>
      <c r="BE56" s="891" t="s">
        <v>34</v>
      </c>
      <c r="BF56" s="891" t="s">
        <v>36</v>
      </c>
      <c r="BG56" s="891" t="s">
        <v>35</v>
      </c>
      <c r="BH56" s="891" t="s">
        <v>36</v>
      </c>
      <c r="BI56" s="891" t="s">
        <v>34</v>
      </c>
      <c r="BJ56" s="891" t="s">
        <v>35</v>
      </c>
      <c r="BK56" s="896"/>
      <c r="BL56" s="896"/>
      <c r="BM56" s="892"/>
      <c r="BN56" s="910"/>
      <c r="BO56" s="910"/>
      <c r="BP56" s="910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86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14</v>
      </c>
      <c r="G57" s="879" t="s">
        <v>873</v>
      </c>
      <c r="H57" s="879" t="s">
        <v>22</v>
      </c>
      <c r="I57" s="879" t="s">
        <v>891</v>
      </c>
      <c r="J57" s="846">
        <v>2</v>
      </c>
      <c r="K57" s="846">
        <v>1</v>
      </c>
      <c r="L57" s="816" t="str">
        <f t="shared" si="39"/>
        <v>W</v>
      </c>
      <c r="M57" s="816">
        <f t="shared" si="40"/>
        <v>3</v>
      </c>
      <c r="N57" s="816" t="str">
        <f t="shared" si="41"/>
        <v>O</v>
      </c>
      <c r="O57" s="816">
        <f t="shared" si="32"/>
        <v>-0.5</v>
      </c>
      <c r="P57" s="829">
        <f t="shared" si="33"/>
        <v>1</v>
      </c>
      <c r="Q57" s="830">
        <v>0.63</v>
      </c>
      <c r="R57" s="871">
        <f t="shared" si="27"/>
        <v>0.37</v>
      </c>
      <c r="S57" s="830">
        <v>2.58</v>
      </c>
      <c r="T57" s="871">
        <f t="shared" si="34"/>
        <v>0.41999999999999993</v>
      </c>
      <c r="U57" s="868">
        <f t="shared" si="35"/>
        <v>1.605</v>
      </c>
      <c r="V57" s="868">
        <f t="shared" si="36"/>
        <v>0.97500000000000009</v>
      </c>
      <c r="W57" s="829">
        <v>22</v>
      </c>
      <c r="X57" s="829">
        <v>13</v>
      </c>
      <c r="Y57" s="829">
        <v>9</v>
      </c>
      <c r="Z57" s="829">
        <v>3</v>
      </c>
      <c r="AA57" s="829">
        <v>52</v>
      </c>
      <c r="AB57" s="829">
        <v>48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32</v>
      </c>
      <c r="AH57" s="891" t="s">
        <v>1877</v>
      </c>
      <c r="AI57" s="891" t="s">
        <v>32</v>
      </c>
      <c r="AJ57" s="891" t="s">
        <v>34</v>
      </c>
      <c r="AK57" s="891" t="s">
        <v>32</v>
      </c>
      <c r="AL57" s="891" t="s">
        <v>34</v>
      </c>
      <c r="AM57" s="891" t="s">
        <v>32</v>
      </c>
      <c r="AN57" s="891" t="s">
        <v>36</v>
      </c>
      <c r="AO57" s="891" t="s">
        <v>36</v>
      </c>
      <c r="AP57" s="891" t="s">
        <v>32</v>
      </c>
      <c r="AQ57" s="891" t="s">
        <v>32</v>
      </c>
      <c r="AR57" s="891" t="s">
        <v>32</v>
      </c>
      <c r="AS57" s="891" t="s">
        <v>32</v>
      </c>
      <c r="AT57" s="891" t="s">
        <v>34</v>
      </c>
      <c r="AU57" s="891" t="s">
        <v>34</v>
      </c>
      <c r="AV57" s="891" t="s">
        <v>34</v>
      </c>
      <c r="AW57" s="891" t="s">
        <v>32</v>
      </c>
      <c r="AX57" s="891" t="s">
        <v>3265</v>
      </c>
      <c r="AY57" s="891" t="s">
        <v>32</v>
      </c>
      <c r="AZ57" s="891" t="s">
        <v>35</v>
      </c>
      <c r="BA57" s="891" t="s">
        <v>32</v>
      </c>
      <c r="BB57" s="891" t="s">
        <v>32</v>
      </c>
      <c r="BC57" s="891" t="s">
        <v>1877</v>
      </c>
      <c r="BD57" s="891" t="s">
        <v>35</v>
      </c>
      <c r="BE57" s="891" t="s">
        <v>34</v>
      </c>
      <c r="BF57" s="904" t="s">
        <v>3259</v>
      </c>
      <c r="BG57" s="891" t="s">
        <v>3266</v>
      </c>
      <c r="BH57" s="891" t="s">
        <v>36</v>
      </c>
      <c r="BI57" s="891" t="s">
        <v>35</v>
      </c>
      <c r="BJ57" s="891" t="s">
        <v>1877</v>
      </c>
      <c r="BK57" s="896"/>
      <c r="BL57" s="896"/>
      <c r="BM57" s="892"/>
      <c r="BN57" s="910"/>
      <c r="BO57" s="910"/>
      <c r="BP57" s="910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86" ht="15">
      <c r="A58" s="882">
        <v>6476</v>
      </c>
      <c r="B58" s="884"/>
      <c r="C58" s="884"/>
      <c r="D58" s="884"/>
      <c r="E58" s="884"/>
      <c r="F58" s="884">
        <f ca="1">IF(I58="","",IF(I58=Table!$C$1,VLOOKUP(G58,Table!$B$9:$AE$32,Table!$AE$6-1,FALSE),""))</f>
        <v>2</v>
      </c>
      <c r="G58" s="879" t="s">
        <v>886</v>
      </c>
      <c r="H58" s="879" t="s">
        <v>18</v>
      </c>
      <c r="I58" s="879" t="s">
        <v>891</v>
      </c>
      <c r="J58" s="846">
        <v>1</v>
      </c>
      <c r="K58" s="846">
        <v>2</v>
      </c>
      <c r="L58" s="816" t="str">
        <f t="shared" ref="L58:L59" si="50">IF(J58="","",IF(J58&gt;K58,"W",IF(J58=K58,"D",IF(J58&lt;K58,"L"))))</f>
        <v>L</v>
      </c>
      <c r="M58" s="816">
        <f t="shared" ref="M58:M59" si="51">IF(J58="","",J58+K58)</f>
        <v>3</v>
      </c>
      <c r="N58" s="816" t="str">
        <f t="shared" si="41"/>
        <v>O</v>
      </c>
      <c r="O58" s="816">
        <f t="shared" ref="O58" si="52">IF(Q58="","",IF(SIGN(Q58)&lt;&gt;1,VLOOKUP(ABS(Q58),SUP_HDC,3,TRUE),-VLOOKUP(ABS(Q58),SUP_HDC,3,TRUE)))</f>
        <v>-0.25</v>
      </c>
      <c r="P58" s="829">
        <f t="shared" ref="P58" si="53">IF(O58="","",IF((J58-K58+O58)&gt;=0.5,1,IF((J58-K58+O58)=0.25,0.5,IF((J58-K58+O58)&lt;=-0.5,-1,IF((J58-K58+O58)=-0.25,-0.5,0)))))</f>
        <v>-1</v>
      </c>
      <c r="Q58" s="830">
        <v>0.16</v>
      </c>
      <c r="R58" s="871">
        <f t="shared" ref="R58" si="54">IF(ISBLANK(Q58),"",J58-K58-Q58)</f>
        <v>-1.1599999999999999</v>
      </c>
      <c r="S58" s="830">
        <v>2.5299999999999998</v>
      </c>
      <c r="T58" s="871">
        <f t="shared" ref="T58" si="55">IF(ISBLANK(S58),"",J58+K58-S58)</f>
        <v>0.4700000000000002</v>
      </c>
      <c r="U58" s="868">
        <f t="shared" ref="U58" si="56">IF(Q58="","",(Q58+S58)/2)</f>
        <v>1.345</v>
      </c>
      <c r="V58" s="868">
        <f t="shared" ref="V58" si="57">IF(Q58="","",S58-U58)</f>
        <v>1.1849999999999998</v>
      </c>
      <c r="W58" s="829">
        <v>17</v>
      </c>
      <c r="X58" s="829">
        <v>13</v>
      </c>
      <c r="Y58" s="829">
        <v>4</v>
      </c>
      <c r="Z58" s="829">
        <v>4</v>
      </c>
      <c r="AA58" s="829">
        <v>63</v>
      </c>
      <c r="AB58" s="829">
        <v>37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32</v>
      </c>
      <c r="AH58" s="891" t="s">
        <v>1877</v>
      </c>
      <c r="AI58" s="891" t="s">
        <v>32</v>
      </c>
      <c r="AJ58" s="891" t="s">
        <v>34</v>
      </c>
      <c r="AK58" s="891" t="s">
        <v>32</v>
      </c>
      <c r="AL58" s="891" t="s">
        <v>35</v>
      </c>
      <c r="AM58" s="891" t="s">
        <v>1877</v>
      </c>
      <c r="AN58" s="891" t="s">
        <v>1877</v>
      </c>
      <c r="AO58" s="891" t="s">
        <v>36</v>
      </c>
      <c r="AP58" s="891" t="s">
        <v>32</v>
      </c>
      <c r="AQ58" s="891" t="s">
        <v>32</v>
      </c>
      <c r="AR58" s="891" t="s">
        <v>32</v>
      </c>
      <c r="AS58" s="891" t="s">
        <v>32</v>
      </c>
      <c r="AT58" s="904" t="s">
        <v>34</v>
      </c>
      <c r="AU58" s="891" t="s">
        <v>35</v>
      </c>
      <c r="AV58" s="891" t="s">
        <v>34</v>
      </c>
      <c r="AW58" s="891" t="s">
        <v>36</v>
      </c>
      <c r="AX58" s="891" t="s">
        <v>3307</v>
      </c>
      <c r="AY58" s="891" t="s">
        <v>32</v>
      </c>
      <c r="AZ58" s="891" t="s">
        <v>34</v>
      </c>
      <c r="BA58" s="891" t="s">
        <v>32</v>
      </c>
      <c r="BB58" s="891" t="s">
        <v>32</v>
      </c>
      <c r="BC58" s="891" t="s">
        <v>1877</v>
      </c>
      <c r="BD58" s="891" t="s">
        <v>34</v>
      </c>
      <c r="BE58" s="891" t="s">
        <v>34</v>
      </c>
      <c r="BF58" s="891" t="s">
        <v>34</v>
      </c>
      <c r="BG58" s="891" t="s">
        <v>3343</v>
      </c>
      <c r="BH58" s="891" t="s">
        <v>32</v>
      </c>
      <c r="BI58" s="904" t="s">
        <v>34</v>
      </c>
      <c r="BJ58" s="891" t="s">
        <v>1877</v>
      </c>
      <c r="BK58" s="896"/>
      <c r="BL58" s="896"/>
      <c r="BM58" s="892"/>
      <c r="BN58" s="910"/>
      <c r="BO58" s="910"/>
      <c r="BP58" s="910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86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12</v>
      </c>
      <c r="G59" s="879" t="s">
        <v>879</v>
      </c>
      <c r="H59" s="879" t="s">
        <v>18</v>
      </c>
      <c r="I59" s="879" t="s">
        <v>891</v>
      </c>
      <c r="J59" s="846">
        <v>0</v>
      </c>
      <c r="K59" s="846">
        <v>2</v>
      </c>
      <c r="L59" s="816" t="str">
        <f t="shared" si="50"/>
        <v>L</v>
      </c>
      <c r="M59" s="816">
        <f t="shared" si="51"/>
        <v>2</v>
      </c>
      <c r="N59" s="816" t="str">
        <f t="shared" si="41"/>
        <v>U</v>
      </c>
      <c r="O59" s="816">
        <f t="shared" ref="O59" si="58">IF(Q59="","",IF(SIGN(Q59)&lt;&gt;1,VLOOKUP(ABS(Q59),SUP_HDC,3,TRUE),-VLOOKUP(ABS(Q59),SUP_HDC,3,TRUE)))</f>
        <v>0</v>
      </c>
      <c r="P59" s="829">
        <f t="shared" ref="P59" si="59">IF(O59="","",IF((J59-K59+O59)&gt;=0.5,1,IF((J59-K59+O59)=0.25,0.5,IF((J59-K59+O59)&lt;=-0.5,-1,IF((J59-K59+O59)=-0.25,-0.5,0)))))</f>
        <v>-1</v>
      </c>
      <c r="Q59" s="830">
        <v>0.05</v>
      </c>
      <c r="R59" s="871">
        <f t="shared" ref="R59" si="60">IF(ISBLANK(Q59),"",J59-K59-Q59)</f>
        <v>-2.0499999999999998</v>
      </c>
      <c r="S59" s="830">
        <v>2.73</v>
      </c>
      <c r="T59" s="871">
        <f t="shared" ref="T59" si="61">IF(ISBLANK(S59),"",J59+K59-S59)</f>
        <v>-0.73</v>
      </c>
      <c r="U59" s="868">
        <f t="shared" ref="U59" si="62">IF(Q59="","",(Q59+S59)/2)</f>
        <v>1.39</v>
      </c>
      <c r="V59" s="868">
        <f t="shared" ref="V59" si="63">IF(Q59="","",S59-U59)</f>
        <v>1.34</v>
      </c>
      <c r="W59" s="829">
        <v>18</v>
      </c>
      <c r="X59" s="829">
        <v>11</v>
      </c>
      <c r="Y59" s="829">
        <v>2</v>
      </c>
      <c r="Z59" s="829">
        <v>3</v>
      </c>
      <c r="AA59" s="829">
        <v>58</v>
      </c>
      <c r="AB59" s="829">
        <v>42</v>
      </c>
      <c r="AC59" s="829"/>
      <c r="AD59" s="816" t="str">
        <f t="array" ref="AD59">IF($J59="","",IF(SUM(IF(ISNUMBER(VALUE(RIGHT($AG59:$DW59,1))),VALUE(RIGHT($AG59:$DW59,1)),0))=$J59,"T","F"))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IF($J59="","",SUM(IF(LEFT($AG59:$DW59,1)="X",1,0)))</f>
        <v>11</v>
      </c>
      <c r="AG59" s="891"/>
      <c r="AH59" s="891" t="s">
        <v>34</v>
      </c>
      <c r="AI59" s="891" t="s">
        <v>32</v>
      </c>
      <c r="AJ59" s="891" t="s">
        <v>1877</v>
      </c>
      <c r="AK59" s="891" t="s">
        <v>32</v>
      </c>
      <c r="AL59" s="891" t="s">
        <v>32</v>
      </c>
      <c r="AM59" s="891" t="s">
        <v>32</v>
      </c>
      <c r="AN59" s="891" t="s">
        <v>36</v>
      </c>
      <c r="AO59" s="891" t="s">
        <v>35</v>
      </c>
      <c r="AP59" s="891" t="s">
        <v>32</v>
      </c>
      <c r="AQ59" s="891" t="s">
        <v>32</v>
      </c>
      <c r="AR59" s="891" t="s">
        <v>1877</v>
      </c>
      <c r="AS59" s="891" t="s">
        <v>32</v>
      </c>
      <c r="AT59" s="891" t="s">
        <v>34</v>
      </c>
      <c r="AU59" s="891" t="s">
        <v>32</v>
      </c>
      <c r="AV59" s="891" t="s">
        <v>34</v>
      </c>
      <c r="AW59" s="891" t="s">
        <v>34</v>
      </c>
      <c r="AX59" s="891" t="s">
        <v>34</v>
      </c>
      <c r="AY59" s="891" t="s">
        <v>32</v>
      </c>
      <c r="AZ59" s="891" t="s">
        <v>32</v>
      </c>
      <c r="BA59" s="891" t="s">
        <v>32</v>
      </c>
      <c r="BB59" s="891" t="s">
        <v>32</v>
      </c>
      <c r="BC59" s="891" t="s">
        <v>1877</v>
      </c>
      <c r="BD59" s="891" t="s">
        <v>34</v>
      </c>
      <c r="BE59" s="891" t="s">
        <v>34</v>
      </c>
      <c r="BF59" s="891" t="s">
        <v>35</v>
      </c>
      <c r="BG59" s="891" t="s">
        <v>34</v>
      </c>
      <c r="BH59" s="891" t="s">
        <v>36</v>
      </c>
      <c r="BI59" s="891" t="s">
        <v>35</v>
      </c>
      <c r="BJ59" s="891" t="s">
        <v>36</v>
      </c>
      <c r="BK59" s="896"/>
      <c r="BL59" s="896"/>
      <c r="BM59" s="892"/>
      <c r="BN59" s="910"/>
      <c r="BO59" s="910"/>
      <c r="BP59" s="910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86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13</v>
      </c>
      <c r="G60" s="879" t="s">
        <v>884</v>
      </c>
      <c r="H60" s="879" t="s">
        <v>22</v>
      </c>
      <c r="I60" s="879" t="s">
        <v>891</v>
      </c>
      <c r="J60" s="846">
        <v>3</v>
      </c>
      <c r="K60" s="846">
        <v>1</v>
      </c>
      <c r="L60" s="816" t="str">
        <f t="shared" si="39"/>
        <v>W</v>
      </c>
      <c r="M60" s="816">
        <f t="shared" si="40"/>
        <v>4</v>
      </c>
      <c r="N60" s="816" t="str">
        <f t="shared" si="41"/>
        <v>O</v>
      </c>
      <c r="O60" s="816">
        <f t="shared" si="32"/>
        <v>-0.5</v>
      </c>
      <c r="P60" s="829">
        <f t="shared" si="33"/>
        <v>1</v>
      </c>
      <c r="Q60" s="830">
        <v>0.51</v>
      </c>
      <c r="R60" s="871">
        <f t="shared" si="27"/>
        <v>1.49</v>
      </c>
      <c r="S60" s="830">
        <v>2.74</v>
      </c>
      <c r="T60" s="871">
        <f t="shared" si="34"/>
        <v>1.2599999999999998</v>
      </c>
      <c r="U60" s="868">
        <f t="shared" si="35"/>
        <v>1.625</v>
      </c>
      <c r="V60" s="868">
        <f t="shared" si="36"/>
        <v>1.1150000000000002</v>
      </c>
      <c r="W60" s="829">
        <v>20</v>
      </c>
      <c r="X60" s="829">
        <v>11</v>
      </c>
      <c r="Y60" s="829">
        <v>7</v>
      </c>
      <c r="Z60" s="829">
        <v>4</v>
      </c>
      <c r="AA60" s="829">
        <v>59</v>
      </c>
      <c r="AB60" s="829">
        <v>41</v>
      </c>
      <c r="AC60" s="829"/>
      <c r="AD60" s="816" t="str">
        <f t="array" ref="AD60">IF($J60="","",IF(SUM(IF(ISNUMBER(VALUE(RIGHT($AG60:$DW60,1))),VALUE(RIGHT($AG60:$DW60,1)),0))=$J60,"T","F"))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IF($J60="","",SUM(IF(LEFT($AG60:$DW60,1)="X",1,0)))</f>
        <v>11</v>
      </c>
      <c r="AG60" s="891" t="s">
        <v>32</v>
      </c>
      <c r="AH60" s="891" t="s">
        <v>34</v>
      </c>
      <c r="AI60" s="891" t="s">
        <v>32</v>
      </c>
      <c r="AJ60" s="891" t="s">
        <v>1877</v>
      </c>
      <c r="AK60" s="891" t="s">
        <v>32</v>
      </c>
      <c r="AL60" s="891" t="s">
        <v>3401</v>
      </c>
      <c r="AM60" s="891" t="s">
        <v>32</v>
      </c>
      <c r="AN60" s="891" t="s">
        <v>1877</v>
      </c>
      <c r="AO60" s="891" t="s">
        <v>36</v>
      </c>
      <c r="AP60" s="891" t="s">
        <v>32</v>
      </c>
      <c r="AQ60" s="891" t="s">
        <v>32</v>
      </c>
      <c r="AR60" s="891" t="s">
        <v>32</v>
      </c>
      <c r="AS60" s="891" t="s">
        <v>32</v>
      </c>
      <c r="AT60" s="891" t="s">
        <v>3410</v>
      </c>
      <c r="AU60" s="891" t="s">
        <v>32</v>
      </c>
      <c r="AV60" s="904" t="s">
        <v>34</v>
      </c>
      <c r="AW60" s="891" t="s">
        <v>34</v>
      </c>
      <c r="AX60" s="891" t="s">
        <v>34</v>
      </c>
      <c r="AY60" s="891" t="s">
        <v>32</v>
      </c>
      <c r="AZ60" s="891" t="s">
        <v>3409</v>
      </c>
      <c r="BA60" s="891" t="s">
        <v>32</v>
      </c>
      <c r="BB60" s="891" t="s">
        <v>32</v>
      </c>
      <c r="BC60" s="891" t="s">
        <v>36</v>
      </c>
      <c r="BD60" s="904" t="s">
        <v>35</v>
      </c>
      <c r="BE60" s="891" t="s">
        <v>32</v>
      </c>
      <c r="BF60" s="891" t="s">
        <v>34</v>
      </c>
      <c r="BG60" s="891" t="s">
        <v>34</v>
      </c>
      <c r="BH60" s="891" t="s">
        <v>36</v>
      </c>
      <c r="BI60" s="891" t="s">
        <v>3411</v>
      </c>
      <c r="BJ60" s="891" t="s">
        <v>35</v>
      </c>
      <c r="BK60" s="896" t="s">
        <v>32</v>
      </c>
      <c r="BL60" s="896"/>
      <c r="BM60" s="892"/>
      <c r="BN60" s="910"/>
      <c r="BO60" s="910"/>
      <c r="BP60" s="910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428"/>
      <c r="CF60" s="428"/>
      <c r="CG60" s="428"/>
      <c r="CH60" s="428"/>
    </row>
    <row r="61" spans="1:86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8</v>
      </c>
      <c r="G61" s="879" t="s">
        <v>880</v>
      </c>
      <c r="H61" s="879" t="s">
        <v>22</v>
      </c>
      <c r="I61" s="879" t="s">
        <v>891</v>
      </c>
      <c r="J61" s="846">
        <v>5</v>
      </c>
      <c r="K61" s="908">
        <v>1</v>
      </c>
      <c r="L61" s="816" t="str">
        <f t="shared" si="39"/>
        <v>W</v>
      </c>
      <c r="M61" s="816">
        <f t="shared" si="40"/>
        <v>6</v>
      </c>
      <c r="N61" s="816" t="str">
        <f t="shared" si="41"/>
        <v>O</v>
      </c>
      <c r="O61" s="816">
        <f t="shared" si="32"/>
        <v>0</v>
      </c>
      <c r="P61" s="829">
        <f t="shared" si="33"/>
        <v>1</v>
      </c>
      <c r="Q61" s="830">
        <v>-0.11</v>
      </c>
      <c r="R61" s="871">
        <f t="shared" si="27"/>
        <v>4.1100000000000003</v>
      </c>
      <c r="S61" s="830">
        <v>2.86</v>
      </c>
      <c r="T61" s="871">
        <f t="shared" si="34"/>
        <v>3.14</v>
      </c>
      <c r="U61" s="868">
        <f t="shared" si="35"/>
        <v>1.375</v>
      </c>
      <c r="V61" s="868">
        <f t="shared" si="36"/>
        <v>1.4849999999999999</v>
      </c>
      <c r="W61" s="829">
        <v>22</v>
      </c>
      <c r="X61" s="829">
        <v>15</v>
      </c>
      <c r="Y61" s="829">
        <v>10</v>
      </c>
      <c r="Z61" s="829">
        <v>4</v>
      </c>
      <c r="AA61" s="829">
        <v>54</v>
      </c>
      <c r="AB61" s="829">
        <v>46</v>
      </c>
      <c r="AC61" s="829"/>
      <c r="AD61" s="816" t="str">
        <f t="array" ref="AD61">IF($J61="","",IF(SUM(IF(ISNUMBER(VALUE(RIGHT($AG61:$DW61,1))),VALUE(RIGHT($AG61:$DW61,1)),0))=$J61,"T","F"))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IF($J61="","",SUM(IF(LEFT($AG61:$DW61,1)="X",1,0)))</f>
        <v>11</v>
      </c>
      <c r="AG61" s="891" t="s">
        <v>32</v>
      </c>
      <c r="AH61" s="891" t="s">
        <v>34</v>
      </c>
      <c r="AI61" s="891" t="s">
        <v>32</v>
      </c>
      <c r="AJ61" s="891" t="s">
        <v>1877</v>
      </c>
      <c r="AK61" s="891" t="s">
        <v>32</v>
      </c>
      <c r="AL61" s="891" t="s">
        <v>34</v>
      </c>
      <c r="AM61" s="891" t="s">
        <v>32</v>
      </c>
      <c r="AN61" s="891" t="s">
        <v>1877</v>
      </c>
      <c r="AO61" s="891" t="s">
        <v>36</v>
      </c>
      <c r="AP61" s="891" t="s">
        <v>32</v>
      </c>
      <c r="AQ61" s="891" t="s">
        <v>32</v>
      </c>
      <c r="AR61" s="891" t="s">
        <v>32</v>
      </c>
      <c r="AS61" s="891" t="s">
        <v>32</v>
      </c>
      <c r="AT61" s="891" t="s">
        <v>34</v>
      </c>
      <c r="AU61" s="891" t="s">
        <v>32</v>
      </c>
      <c r="AV61" s="891" t="s">
        <v>34</v>
      </c>
      <c r="AW61" s="891" t="s">
        <v>3423</v>
      </c>
      <c r="AX61" s="891" t="s">
        <v>34</v>
      </c>
      <c r="AY61" s="891" t="s">
        <v>1877</v>
      </c>
      <c r="AZ61" s="891" t="s">
        <v>3431</v>
      </c>
      <c r="BA61" s="891" t="s">
        <v>32</v>
      </c>
      <c r="BB61" s="891" t="s">
        <v>32</v>
      </c>
      <c r="BC61" s="891" t="s">
        <v>1877</v>
      </c>
      <c r="BD61" s="891" t="s">
        <v>35</v>
      </c>
      <c r="BE61" s="891" t="s">
        <v>3433</v>
      </c>
      <c r="BF61" s="891" t="s">
        <v>3434</v>
      </c>
      <c r="BG61" s="891" t="s">
        <v>34</v>
      </c>
      <c r="BH61" s="891" t="s">
        <v>36</v>
      </c>
      <c r="BI61" s="891" t="s">
        <v>3432</v>
      </c>
      <c r="BJ61" s="891" t="s">
        <v>35</v>
      </c>
      <c r="BK61" s="896"/>
      <c r="BL61" s="896"/>
      <c r="BM61" s="892"/>
      <c r="BN61" s="910"/>
      <c r="BO61" s="910"/>
      <c r="BP61" s="910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428"/>
      <c r="CF61" s="428"/>
      <c r="CG61" s="428"/>
      <c r="CH61" s="428"/>
    </row>
    <row r="62" spans="1:86" ht="15">
      <c r="A62" s="882">
        <v>6504</v>
      </c>
      <c r="B62" s="884"/>
      <c r="C62" s="884"/>
      <c r="D62" s="884"/>
      <c r="E62" s="884"/>
      <c r="F62" s="884">
        <f ca="1">IF(I62="","",IF(I62=Table!$C$1,VLOOKUP(G62,Table!$B$9:$AE$32,Table!$AE$6-1,FALSE),""))</f>
        <v>4</v>
      </c>
      <c r="G62" s="879" t="s">
        <v>1084</v>
      </c>
      <c r="H62" s="879" t="s">
        <v>18</v>
      </c>
      <c r="I62" s="879" t="s">
        <v>891</v>
      </c>
      <c r="J62" s="846">
        <v>1</v>
      </c>
      <c r="K62" s="908">
        <v>0</v>
      </c>
      <c r="L62" s="816" t="str">
        <f t="shared" ref="L62" si="64">IF(J62="","",IF(J62&gt;K62,"W",IF(J62=K62,"D",IF(J62&lt;K62,"L"))))</f>
        <v>W</v>
      </c>
      <c r="M62" s="816">
        <f t="shared" ref="M62" si="65">IF(J62="","",J62+K62)</f>
        <v>1</v>
      </c>
      <c r="N62" s="816" t="str">
        <f t="shared" si="41"/>
        <v>U</v>
      </c>
      <c r="O62" s="816">
        <f t="shared" ref="O62:O66" si="66">IF(Q62="","",IF(SIGN(Q62)&lt;&gt;1,VLOOKUP(ABS(Q62),SUP_HDC,3,TRUE),-VLOOKUP(ABS(Q62),SUP_HDC,3,TRUE)))</f>
        <v>0.25</v>
      </c>
      <c r="P62" s="829">
        <f t="shared" ref="P62:P66" si="67">IF(O62="","",IF((J62-K62+O62)&gt;=0.5,1,IF((J62-K62+O62)=0.25,0.5,IF((J62-K62+O62)&lt;=-0.5,-1,IF((J62-K62+O62)=-0.25,-0.5,0)))))</f>
        <v>1</v>
      </c>
      <c r="Q62" s="830">
        <v>-0.3</v>
      </c>
      <c r="R62" s="871">
        <f t="shared" ref="R62" si="68">IF(ISBLANK(Q62),"",J62-K62-Q62)</f>
        <v>1.3</v>
      </c>
      <c r="S62" s="830">
        <v>2.83</v>
      </c>
      <c r="T62" s="871">
        <f t="shared" ref="T62" si="69">IF(ISBLANK(S62),"",J62+K62-S62)</f>
        <v>-1.83</v>
      </c>
      <c r="U62" s="868">
        <f t="shared" ref="U62:U74" si="70">IF(Q62="","",(Q62+S62)/2)</f>
        <v>1.2650000000000001</v>
      </c>
      <c r="V62" s="868">
        <f t="shared" ref="V62:V74" si="71">IF(Q62="","",S62-U62)</f>
        <v>1.5649999999999999</v>
      </c>
      <c r="W62" s="829">
        <v>9</v>
      </c>
      <c r="X62" s="829">
        <v>13</v>
      </c>
      <c r="Y62" s="829">
        <v>3</v>
      </c>
      <c r="Z62" s="829">
        <v>5</v>
      </c>
      <c r="AA62" s="829">
        <v>49</v>
      </c>
      <c r="AB62" s="829">
        <v>51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32</v>
      </c>
      <c r="AH62" s="891" t="s">
        <v>34</v>
      </c>
      <c r="AI62" s="891" t="s">
        <v>32</v>
      </c>
      <c r="AJ62" s="891" t="s">
        <v>1877</v>
      </c>
      <c r="AK62" s="891" t="s">
        <v>32</v>
      </c>
      <c r="AL62" s="891" t="s">
        <v>34</v>
      </c>
      <c r="AM62" s="891" t="s">
        <v>32</v>
      </c>
      <c r="AN62" s="891" t="s">
        <v>1877</v>
      </c>
      <c r="AO62" s="891" t="s">
        <v>36</v>
      </c>
      <c r="AP62" s="891" t="s">
        <v>32</v>
      </c>
      <c r="AQ62" s="891" t="s">
        <v>32</v>
      </c>
      <c r="AR62" s="891" t="s">
        <v>32</v>
      </c>
      <c r="AS62" s="891" t="s">
        <v>32</v>
      </c>
      <c r="AT62" s="891" t="s">
        <v>34</v>
      </c>
      <c r="AU62" s="891" t="s">
        <v>34</v>
      </c>
      <c r="AV62" s="891" t="s">
        <v>34</v>
      </c>
      <c r="AW62" s="891" t="s">
        <v>35</v>
      </c>
      <c r="AX62" s="891" t="s">
        <v>34</v>
      </c>
      <c r="AY62" s="891" t="s">
        <v>1877</v>
      </c>
      <c r="AZ62" s="891" t="s">
        <v>32</v>
      </c>
      <c r="BA62" s="891" t="s">
        <v>32</v>
      </c>
      <c r="BB62" s="891" t="s">
        <v>32</v>
      </c>
      <c r="BC62" s="891" t="s">
        <v>1877</v>
      </c>
      <c r="BD62" s="904" t="s">
        <v>35</v>
      </c>
      <c r="BE62" s="891" t="s">
        <v>36</v>
      </c>
      <c r="BF62" s="891" t="s">
        <v>3480</v>
      </c>
      <c r="BG62" s="891" t="s">
        <v>34</v>
      </c>
      <c r="BH62" s="891" t="s">
        <v>36</v>
      </c>
      <c r="BI62" s="904" t="s">
        <v>34</v>
      </c>
      <c r="BJ62" s="891" t="s">
        <v>3481</v>
      </c>
      <c r="BK62" s="896"/>
      <c r="BL62" s="896"/>
      <c r="BM62" s="892"/>
      <c r="BN62" s="910"/>
      <c r="BO62" s="910"/>
      <c r="BP62" s="910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428"/>
      <c r="CF62" s="428"/>
      <c r="CG62" s="428"/>
      <c r="CH62" s="428"/>
    </row>
    <row r="63" spans="1:86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9</v>
      </c>
      <c r="G63" s="879" t="s">
        <v>1083</v>
      </c>
      <c r="H63" s="879" t="s">
        <v>18</v>
      </c>
      <c r="I63" s="879" t="s">
        <v>891</v>
      </c>
      <c r="J63" s="846">
        <v>2</v>
      </c>
      <c r="K63" s="846">
        <v>1</v>
      </c>
      <c r="L63" s="816" t="str">
        <f t="shared" si="39"/>
        <v>W</v>
      </c>
      <c r="M63" s="816">
        <f t="shared" si="40"/>
        <v>3</v>
      </c>
      <c r="N63" s="816" t="str">
        <f t="shared" si="41"/>
        <v>O</v>
      </c>
      <c r="O63" s="816">
        <f t="shared" si="66"/>
        <v>0</v>
      </c>
      <c r="P63" s="829">
        <f t="shared" si="67"/>
        <v>1</v>
      </c>
      <c r="Q63" s="830">
        <v>0.13</v>
      </c>
      <c r="R63" s="871">
        <f t="shared" si="27"/>
        <v>0.87</v>
      </c>
      <c r="S63" s="830">
        <v>2.85</v>
      </c>
      <c r="T63" s="871">
        <f t="shared" si="34"/>
        <v>0.14999999999999991</v>
      </c>
      <c r="U63" s="868">
        <f t="shared" si="70"/>
        <v>1.49</v>
      </c>
      <c r="V63" s="868">
        <f t="shared" si="71"/>
        <v>1.36</v>
      </c>
      <c r="W63" s="829">
        <v>16</v>
      </c>
      <c r="X63" s="829">
        <v>11</v>
      </c>
      <c r="Y63" s="829">
        <v>5</v>
      </c>
      <c r="Z63" s="829">
        <v>4</v>
      </c>
      <c r="AA63" s="829">
        <v>52</v>
      </c>
      <c r="AB63" s="829">
        <v>48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32</v>
      </c>
      <c r="AH63" s="891" t="s">
        <v>34</v>
      </c>
      <c r="AI63" s="891" t="s">
        <v>32</v>
      </c>
      <c r="AJ63" s="891" t="s">
        <v>1877</v>
      </c>
      <c r="AK63" s="891" t="s">
        <v>32</v>
      </c>
      <c r="AL63" s="891" t="s">
        <v>34</v>
      </c>
      <c r="AM63" s="891" t="s">
        <v>32</v>
      </c>
      <c r="AN63" s="891" t="s">
        <v>1877</v>
      </c>
      <c r="AO63" s="891" t="s">
        <v>36</v>
      </c>
      <c r="AP63" s="891" t="s">
        <v>32</v>
      </c>
      <c r="AQ63" s="891" t="s">
        <v>32</v>
      </c>
      <c r="AR63" s="891" t="s">
        <v>32</v>
      </c>
      <c r="AS63" s="891" t="s">
        <v>32</v>
      </c>
      <c r="AT63" s="891" t="s">
        <v>34</v>
      </c>
      <c r="AU63" s="891" t="s">
        <v>34</v>
      </c>
      <c r="AV63" s="891" t="s">
        <v>34</v>
      </c>
      <c r="AW63" s="891" t="s">
        <v>32</v>
      </c>
      <c r="AX63" s="891" t="s">
        <v>34</v>
      </c>
      <c r="AY63" s="891" t="s">
        <v>32</v>
      </c>
      <c r="AZ63" s="891" t="s">
        <v>36</v>
      </c>
      <c r="BA63" s="891" t="s">
        <v>32</v>
      </c>
      <c r="BB63" s="891" t="s">
        <v>32</v>
      </c>
      <c r="BC63" s="891" t="s">
        <v>1877</v>
      </c>
      <c r="BD63" s="891" t="s">
        <v>35</v>
      </c>
      <c r="BE63" s="891" t="s">
        <v>35</v>
      </c>
      <c r="BF63" s="891" t="s">
        <v>36</v>
      </c>
      <c r="BG63" s="891" t="s">
        <v>34</v>
      </c>
      <c r="BH63" s="891" t="s">
        <v>1877</v>
      </c>
      <c r="BI63" s="891" t="s">
        <v>3488</v>
      </c>
      <c r="BJ63" s="891" t="s">
        <v>3489</v>
      </c>
      <c r="BK63" s="896"/>
      <c r="BL63" s="896"/>
      <c r="BM63" s="892"/>
      <c r="BN63" s="910"/>
      <c r="BO63" s="910"/>
      <c r="BP63" s="910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428"/>
      <c r="CF63" s="428"/>
      <c r="CG63" s="428"/>
      <c r="CH63" s="428"/>
    </row>
    <row r="64" spans="1:86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16</v>
      </c>
      <c r="G64" s="879" t="s">
        <v>872</v>
      </c>
      <c r="H64" s="879" t="s">
        <v>22</v>
      </c>
      <c r="I64" s="879" t="s">
        <v>891</v>
      </c>
      <c r="J64" s="846">
        <v>2</v>
      </c>
      <c r="K64" s="846">
        <v>1</v>
      </c>
      <c r="L64" s="816" t="str">
        <f t="shared" si="39"/>
        <v>W</v>
      </c>
      <c r="M64" s="816">
        <f t="shared" si="40"/>
        <v>3</v>
      </c>
      <c r="N64" s="816" t="str">
        <f t="shared" si="41"/>
        <v>O</v>
      </c>
      <c r="O64" s="816">
        <f t="shared" si="66"/>
        <v>-0.75</v>
      </c>
      <c r="P64" s="829">
        <f t="shared" si="67"/>
        <v>0.5</v>
      </c>
      <c r="Q64" s="830">
        <v>0.85</v>
      </c>
      <c r="R64" s="871">
        <f t="shared" si="27"/>
        <v>0.15000000000000002</v>
      </c>
      <c r="S64" s="830">
        <v>3.03</v>
      </c>
      <c r="T64" s="871">
        <f t="shared" si="34"/>
        <v>-2.9999999999999805E-2</v>
      </c>
      <c r="U64" s="868">
        <f t="shared" si="70"/>
        <v>1.94</v>
      </c>
      <c r="V64" s="868">
        <f t="shared" si="71"/>
        <v>1.0899999999999999</v>
      </c>
      <c r="W64" s="829">
        <v>18</v>
      </c>
      <c r="X64" s="829">
        <v>18</v>
      </c>
      <c r="Y64" s="829">
        <v>7</v>
      </c>
      <c r="Z64" s="829">
        <v>4</v>
      </c>
      <c r="AA64" s="829">
        <v>56</v>
      </c>
      <c r="AB64" s="829">
        <v>44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32</v>
      </c>
      <c r="AH64" s="891" t="s">
        <v>34</v>
      </c>
      <c r="AI64" s="891" t="s">
        <v>32</v>
      </c>
      <c r="AJ64" s="891" t="s">
        <v>1877</v>
      </c>
      <c r="AK64" s="891" t="s">
        <v>32</v>
      </c>
      <c r="AL64" s="891" t="s">
        <v>34</v>
      </c>
      <c r="AM64" s="891" t="s">
        <v>32</v>
      </c>
      <c r="AN64" s="891" t="s">
        <v>1877</v>
      </c>
      <c r="AO64" s="891" t="s">
        <v>32</v>
      </c>
      <c r="AP64" s="891" t="s">
        <v>32</v>
      </c>
      <c r="AQ64" s="891" t="s">
        <v>32</v>
      </c>
      <c r="AR64" s="906" t="s">
        <v>3524</v>
      </c>
      <c r="AS64" s="891" t="s">
        <v>32</v>
      </c>
      <c r="AT64" s="891" t="s">
        <v>35</v>
      </c>
      <c r="AU64" s="891" t="s">
        <v>34</v>
      </c>
      <c r="AV64" s="891" t="s">
        <v>34</v>
      </c>
      <c r="AW64" s="891" t="s">
        <v>32</v>
      </c>
      <c r="AX64" s="904" t="s">
        <v>34</v>
      </c>
      <c r="AY64" s="891" t="s">
        <v>32</v>
      </c>
      <c r="AZ64" s="891" t="s">
        <v>36</v>
      </c>
      <c r="BA64" s="891" t="s">
        <v>32</v>
      </c>
      <c r="BB64" s="891" t="s">
        <v>32</v>
      </c>
      <c r="BC64" s="891" t="s">
        <v>1877</v>
      </c>
      <c r="BD64" s="891" t="s">
        <v>36</v>
      </c>
      <c r="BE64" s="891" t="s">
        <v>35</v>
      </c>
      <c r="BF64" s="891" t="s">
        <v>3526</v>
      </c>
      <c r="BG64" s="891" t="s">
        <v>35</v>
      </c>
      <c r="BH64" s="891" t="s">
        <v>1877</v>
      </c>
      <c r="BI64" s="891" t="s">
        <v>34</v>
      </c>
      <c r="BJ64" s="891" t="s">
        <v>3523</v>
      </c>
      <c r="BK64" s="896"/>
      <c r="BL64" s="896"/>
      <c r="BM64" s="892"/>
      <c r="BN64" s="910"/>
      <c r="BO64" s="910"/>
      <c r="BP64" s="910"/>
      <c r="BQ64" s="896"/>
      <c r="BR64" s="896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</row>
    <row r="65" spans="1:82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3</v>
      </c>
      <c r="G65" s="879" t="s">
        <v>1085</v>
      </c>
      <c r="H65" s="879" t="s">
        <v>18</v>
      </c>
      <c r="I65" s="879" t="s">
        <v>891</v>
      </c>
      <c r="J65" s="846">
        <v>3</v>
      </c>
      <c r="K65" s="846">
        <v>0</v>
      </c>
      <c r="L65" s="816" t="str">
        <f t="shared" si="39"/>
        <v>W</v>
      </c>
      <c r="M65" s="816">
        <f t="shared" si="40"/>
        <v>3</v>
      </c>
      <c r="N65" s="816" t="str">
        <f t="shared" si="41"/>
        <v>O</v>
      </c>
      <c r="O65" s="816">
        <f t="shared" si="66"/>
        <v>0.5</v>
      </c>
      <c r="P65" s="829">
        <f t="shared" si="67"/>
        <v>1</v>
      </c>
      <c r="Q65" s="830">
        <v>-0.65</v>
      </c>
      <c r="R65" s="871">
        <f t="shared" si="27"/>
        <v>3.65</v>
      </c>
      <c r="S65" s="830">
        <v>3.33</v>
      </c>
      <c r="T65" s="871">
        <f t="shared" si="34"/>
        <v>-0.33000000000000007</v>
      </c>
      <c r="U65" s="868">
        <f t="shared" si="70"/>
        <v>1.34</v>
      </c>
      <c r="V65" s="868">
        <f t="shared" si="71"/>
        <v>1.99</v>
      </c>
      <c r="W65" s="829">
        <v>17</v>
      </c>
      <c r="X65" s="829">
        <v>9</v>
      </c>
      <c r="Y65" s="829">
        <v>9</v>
      </c>
      <c r="Z65" s="829">
        <v>2</v>
      </c>
      <c r="AA65" s="829">
        <v>49</v>
      </c>
      <c r="AB65" s="829">
        <v>51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32</v>
      </c>
      <c r="AH65" s="891" t="s">
        <v>34</v>
      </c>
      <c r="AI65" s="891" t="s">
        <v>32</v>
      </c>
      <c r="AJ65" s="891" t="s">
        <v>1877</v>
      </c>
      <c r="AK65" s="891" t="s">
        <v>32</v>
      </c>
      <c r="AL65" s="891" t="s">
        <v>34</v>
      </c>
      <c r="AM65" s="891" t="s">
        <v>1877</v>
      </c>
      <c r="AN65" s="891" t="s">
        <v>1877</v>
      </c>
      <c r="AO65" s="891" t="s">
        <v>32</v>
      </c>
      <c r="AP65" s="891" t="s">
        <v>32</v>
      </c>
      <c r="AQ65" s="891" t="s">
        <v>35</v>
      </c>
      <c r="AR65" s="891" t="s">
        <v>36</v>
      </c>
      <c r="AS65" s="891" t="s">
        <v>32</v>
      </c>
      <c r="AT65" s="891" t="s">
        <v>1886</v>
      </c>
      <c r="AU65" s="891" t="s">
        <v>34</v>
      </c>
      <c r="AV65" s="904" t="s">
        <v>34</v>
      </c>
      <c r="AW65" s="891" t="s">
        <v>32</v>
      </c>
      <c r="AX65" s="891" t="s">
        <v>34</v>
      </c>
      <c r="AY65" s="891" t="s">
        <v>32</v>
      </c>
      <c r="AZ65" s="891" t="s">
        <v>34</v>
      </c>
      <c r="BA65" s="891" t="s">
        <v>32</v>
      </c>
      <c r="BB65" s="891" t="s">
        <v>32</v>
      </c>
      <c r="BC65" s="891" t="s">
        <v>1877</v>
      </c>
      <c r="BD65" s="891" t="s">
        <v>36</v>
      </c>
      <c r="BE65" s="891" t="s">
        <v>34</v>
      </c>
      <c r="BF65" s="891" t="s">
        <v>3543</v>
      </c>
      <c r="BG65" s="891" t="s">
        <v>32</v>
      </c>
      <c r="BH65" s="891" t="s">
        <v>36</v>
      </c>
      <c r="BI65" s="891" t="s">
        <v>3542</v>
      </c>
      <c r="BJ65" s="891" t="s">
        <v>35</v>
      </c>
      <c r="BK65" s="896"/>
      <c r="BL65" s="896"/>
      <c r="BM65" s="892"/>
      <c r="BN65" s="910"/>
      <c r="BO65" s="910"/>
      <c r="BP65" s="910"/>
      <c r="BQ65" s="896"/>
      <c r="BR65" s="896"/>
      <c r="BS65" s="896"/>
      <c r="BT65" s="896"/>
      <c r="BU65" s="896"/>
      <c r="BV65" s="896"/>
      <c r="BW65" s="896"/>
      <c r="BX65" s="896"/>
      <c r="BY65" s="896"/>
      <c r="BZ65" s="896"/>
      <c r="CA65" s="896"/>
      <c r="CB65" s="896"/>
      <c r="CC65" s="896"/>
      <c r="CD65" s="896"/>
    </row>
    <row r="66" spans="1:82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10</v>
      </c>
      <c r="G66" s="879" t="s">
        <v>883</v>
      </c>
      <c r="H66" s="879" t="s">
        <v>22</v>
      </c>
      <c r="I66" s="879" t="s">
        <v>891</v>
      </c>
      <c r="J66" s="846">
        <v>2</v>
      </c>
      <c r="K66" s="846">
        <v>1</v>
      </c>
      <c r="L66" s="816" t="str">
        <f t="shared" si="39"/>
        <v>W</v>
      </c>
      <c r="M66" s="816">
        <f t="shared" si="40"/>
        <v>3</v>
      </c>
      <c r="N66" s="816" t="str">
        <f t="shared" si="41"/>
        <v>O</v>
      </c>
      <c r="O66" s="816">
        <f t="shared" si="66"/>
        <v>-0.75</v>
      </c>
      <c r="P66" s="829">
        <f t="shared" si="67"/>
        <v>0.5</v>
      </c>
      <c r="Q66" s="830">
        <v>0.88</v>
      </c>
      <c r="R66" s="871">
        <f t="shared" si="27"/>
        <v>0.12</v>
      </c>
      <c r="S66" s="830">
        <v>3.13</v>
      </c>
      <c r="T66" s="871">
        <f t="shared" si="34"/>
        <v>-0.12999999999999989</v>
      </c>
      <c r="U66" s="868">
        <f t="shared" si="70"/>
        <v>2.0049999999999999</v>
      </c>
      <c r="V66" s="868">
        <f t="shared" si="71"/>
        <v>1.125</v>
      </c>
      <c r="W66" s="829">
        <v>19</v>
      </c>
      <c r="X66" s="829">
        <v>7</v>
      </c>
      <c r="Y66" s="829">
        <v>5</v>
      </c>
      <c r="Z66" s="829">
        <v>0</v>
      </c>
      <c r="AA66" s="829">
        <v>58</v>
      </c>
      <c r="AB66" s="829">
        <v>42</v>
      </c>
      <c r="AC66" s="829"/>
      <c r="AD66" s="816" t="str">
        <f t="array" ref="AD66">IF($J66="","",IF(SUM(IF(ISNUMBER(VALUE(RIGHT($AG66:$CI66,1))),VALUE(RIGHT($AG66:$CI66,1)),0))=$J66,"T","F"))</f>
        <v>T</v>
      </c>
      <c r="AE66" s="831">
        <f t="array" ref="AE66">IF($J66="","",SUM(IF(LEFT($AG66:$DU66,1)="s",1,0))-SUM(IF(RIGHT(LEFT($AG66:$DU66,2))="-",1,0)))</f>
        <v>0</v>
      </c>
      <c r="AF66" s="816">
        <f t="array" ref="AF66">IF($J66="","",SUM(IF(LEFT($AG66:$DA66,1)="X",1,0)))</f>
        <v>11</v>
      </c>
      <c r="AG66" s="891" t="s">
        <v>32</v>
      </c>
      <c r="AH66" s="891" t="s">
        <v>34</v>
      </c>
      <c r="AI66" s="891" t="s">
        <v>32</v>
      </c>
      <c r="AJ66" s="891" t="s">
        <v>1877</v>
      </c>
      <c r="AK66" s="891" t="s">
        <v>32</v>
      </c>
      <c r="AL66" s="891" t="s">
        <v>3572</v>
      </c>
      <c r="AM66" s="891" t="s">
        <v>32</v>
      </c>
      <c r="AN66" s="891" t="s">
        <v>1877</v>
      </c>
      <c r="AO66" s="891" t="s">
        <v>32</v>
      </c>
      <c r="AP66" s="891" t="s">
        <v>32</v>
      </c>
      <c r="AQ66" s="891" t="s">
        <v>35</v>
      </c>
      <c r="AR66" s="891" t="s">
        <v>1877</v>
      </c>
      <c r="AS66" s="891" t="s">
        <v>32</v>
      </c>
      <c r="AT66" s="891" t="s">
        <v>1886</v>
      </c>
      <c r="AU66" s="891" t="s">
        <v>34</v>
      </c>
      <c r="AV66" s="891" t="s">
        <v>34</v>
      </c>
      <c r="AW66" s="891" t="s">
        <v>32</v>
      </c>
      <c r="AX66" s="891" t="s">
        <v>35</v>
      </c>
      <c r="AY66" s="891" t="s">
        <v>32</v>
      </c>
      <c r="AZ66" s="891" t="s">
        <v>34</v>
      </c>
      <c r="BA66" s="891" t="s">
        <v>32</v>
      </c>
      <c r="BB66" s="891" t="s">
        <v>32</v>
      </c>
      <c r="BC66" s="891" t="s">
        <v>1877</v>
      </c>
      <c r="BD66" s="891" t="s">
        <v>36</v>
      </c>
      <c r="BE66" s="891" t="s">
        <v>3572</v>
      </c>
      <c r="BF66" s="904" t="s">
        <v>34</v>
      </c>
      <c r="BG66" s="891" t="s">
        <v>36</v>
      </c>
      <c r="BH66" s="891" t="s">
        <v>36</v>
      </c>
      <c r="BI66" s="891" t="s">
        <v>34</v>
      </c>
      <c r="BJ66" s="891" t="s">
        <v>35</v>
      </c>
      <c r="BK66" s="896"/>
      <c r="BL66" s="896"/>
      <c r="BM66" s="892"/>
      <c r="BN66" s="910"/>
      <c r="BO66" s="910"/>
      <c r="BP66" s="910"/>
      <c r="BQ66" s="896"/>
      <c r="BR66" s="896"/>
      <c r="BS66" s="896"/>
      <c r="BT66" s="896"/>
      <c r="BU66" s="896"/>
      <c r="BV66" s="896"/>
      <c r="BW66" s="896"/>
      <c r="BX66" s="896"/>
      <c r="BY66" s="896"/>
      <c r="BZ66" s="896"/>
      <c r="CA66" s="896"/>
      <c r="CB66" s="896"/>
      <c r="CC66" s="896"/>
      <c r="CD66" s="896"/>
    </row>
    <row r="67" spans="1:82" ht="15">
      <c r="A67" s="882">
        <v>6540</v>
      </c>
      <c r="B67" s="884"/>
      <c r="C67" s="884"/>
      <c r="D67" s="884">
        <f ca="1">IF(I67=Table!$C$1,VLOOKUP(G67,Table!$B$38:$AO$61,Table!$AO$35-1,FALSE),"")</f>
        <v>0</v>
      </c>
      <c r="E67" s="884"/>
      <c r="F67" s="884">
        <f ca="1">IF(I67="","",IF(I67=Table!$C$1,VLOOKUP(G67,Table!$B$9:$AE$32,Table!$AE$6-1,FALSE),""))</f>
        <v>3</v>
      </c>
      <c r="G67" s="879" t="s">
        <v>1085</v>
      </c>
      <c r="H67" s="879" t="s">
        <v>18</v>
      </c>
      <c r="I67" s="879" t="s">
        <v>891</v>
      </c>
      <c r="J67" s="846">
        <v>2</v>
      </c>
      <c r="K67" s="846">
        <v>4</v>
      </c>
      <c r="L67" s="816" t="str">
        <f t="shared" ref="L67" si="72">IF(J67="","",IF(J67&gt;K67,"W",IF(J67=K67,"D",IF(J67&lt;K67,"L"))))</f>
        <v>L</v>
      </c>
      <c r="M67" s="816">
        <f t="shared" ref="M67" si="73">IF(J67="","",J67+K67)</f>
        <v>6</v>
      </c>
      <c r="N67" s="816" t="str">
        <f t="shared" si="41"/>
        <v>O</v>
      </c>
      <c r="O67" s="816">
        <f t="shared" ref="O67" si="74">IF(Q67="","",IF(SIGN(Q67)&lt;&gt;1,VLOOKUP(ABS(Q67),SUP_HDC,3,TRUE),-VLOOKUP(ABS(Q67),SUP_HDC,3,TRUE)))</f>
        <v>0</v>
      </c>
      <c r="P67" s="829">
        <f t="shared" ref="P67" si="75">IF(O67="","",IF((J67-K67+O67)&gt;=0.5,1,IF((J67-K67+O67)=0.25,0.5,IF((J67-K67+O67)&lt;=-0.5,-1,IF((J67-K67+O67)=-0.25,-0.5,0)))))</f>
        <v>-1</v>
      </c>
      <c r="Q67" s="830">
        <v>0.03</v>
      </c>
      <c r="R67" s="871">
        <f t="shared" ref="R67" si="76">IF(ISBLANK(Q67),"",J67-K67-Q67)</f>
        <v>-2.0299999999999998</v>
      </c>
      <c r="S67" s="830">
        <v>2.93</v>
      </c>
      <c r="T67" s="871">
        <f t="shared" ref="T67" si="77">IF(ISBLANK(S67),"",J67+K67-S67)</f>
        <v>3.07</v>
      </c>
      <c r="U67" s="868">
        <f t="shared" si="70"/>
        <v>1.48</v>
      </c>
      <c r="V67" s="868">
        <f t="shared" si="71"/>
        <v>1.4500000000000002</v>
      </c>
      <c r="W67" s="829"/>
      <c r="X67" s="829"/>
      <c r="Y67" s="829"/>
      <c r="Z67" s="829"/>
      <c r="AA67" s="829"/>
      <c r="AB67" s="829"/>
      <c r="AC67" s="829"/>
      <c r="AE67" s="831"/>
      <c r="AG67" s="891"/>
      <c r="AH67" s="891" t="s">
        <v>3596</v>
      </c>
      <c r="AI67" s="891"/>
      <c r="AJ67" s="891" t="s">
        <v>3600</v>
      </c>
      <c r="AK67" s="891"/>
      <c r="AL67" s="891" t="s">
        <v>3597</v>
      </c>
      <c r="AM67" s="891" t="s">
        <v>3603</v>
      </c>
      <c r="AN67" s="891" t="s">
        <v>3599</v>
      </c>
      <c r="AO67" s="891"/>
      <c r="AP67" s="891"/>
      <c r="AQ67" s="891" t="s">
        <v>3597</v>
      </c>
      <c r="AR67" s="891" t="s">
        <v>3599</v>
      </c>
      <c r="AS67" s="891"/>
      <c r="AT67" s="891" t="s">
        <v>1886</v>
      </c>
      <c r="AU67" s="891" t="s">
        <v>3602</v>
      </c>
      <c r="AV67" s="891" t="s">
        <v>3597</v>
      </c>
      <c r="AW67" s="891"/>
      <c r="AX67" s="891" t="s">
        <v>3598</v>
      </c>
      <c r="AY67" s="891"/>
      <c r="AZ67" s="891" t="s">
        <v>3597</v>
      </c>
      <c r="BA67" s="891"/>
      <c r="BB67" s="891"/>
      <c r="BC67" s="891" t="s">
        <v>3599</v>
      </c>
      <c r="BD67" s="891" t="s">
        <v>3601</v>
      </c>
      <c r="BE67" s="891" t="s">
        <v>3598</v>
      </c>
      <c r="BF67" s="891" t="s">
        <v>871</v>
      </c>
      <c r="BG67" s="891"/>
      <c r="BH67" s="891" t="s">
        <v>2997</v>
      </c>
      <c r="BI67" s="904" t="s">
        <v>3038</v>
      </c>
      <c r="BJ67" s="904" t="s">
        <v>3602</v>
      </c>
      <c r="BK67" s="896"/>
      <c r="BL67" s="896"/>
      <c r="BM67" s="892"/>
      <c r="BN67" s="910"/>
      <c r="BO67" s="910"/>
      <c r="BP67" s="910"/>
      <c r="BQ67" s="896"/>
      <c r="BR67" s="896"/>
      <c r="BS67" s="896"/>
      <c r="BT67" s="896"/>
      <c r="BU67" s="896"/>
      <c r="BV67" s="896"/>
      <c r="BW67" s="896"/>
      <c r="BX67" s="896"/>
      <c r="BY67" s="896"/>
      <c r="BZ67" s="896"/>
      <c r="CA67" s="896"/>
      <c r="CB67" s="896"/>
      <c r="CC67" s="896"/>
      <c r="CD67" s="896"/>
    </row>
    <row r="68" spans="1:82" ht="15">
      <c r="A68" s="882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29"/>
      <c r="U68" s="868" t="str">
        <f t="shared" ref="U68:U73" si="78">IF(Q68="","",(Q68+S68)/2)</f>
        <v/>
      </c>
      <c r="V68" s="868" t="str">
        <f t="shared" ref="V68:V73" si="79">IF(Q68="","",S68-U68)</f>
        <v/>
      </c>
      <c r="W68" s="829"/>
      <c r="X68" s="829"/>
      <c r="Y68" s="829"/>
      <c r="Z68" s="829"/>
      <c r="AA68" s="829"/>
      <c r="AB68" s="829"/>
      <c r="AC68" s="829"/>
      <c r="AE68" s="831"/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 t="s">
        <v>32</v>
      </c>
      <c r="BF68" s="891"/>
      <c r="BG68" s="891"/>
      <c r="BH68" s="891"/>
      <c r="BI68" s="891"/>
      <c r="BJ68" s="891"/>
      <c r="BK68" s="896"/>
      <c r="BL68" s="896"/>
      <c r="BM68" s="893"/>
      <c r="BN68" s="891"/>
      <c r="BO68" s="891"/>
      <c r="BP68" s="893"/>
      <c r="BQ68" s="896"/>
      <c r="BR68" s="896"/>
      <c r="BS68" s="896"/>
      <c r="BT68" s="896"/>
      <c r="BU68" s="896"/>
      <c r="BV68" s="896"/>
      <c r="BW68" s="896"/>
      <c r="BX68" s="896"/>
      <c r="BY68" s="896"/>
      <c r="BZ68" s="896"/>
      <c r="CA68" s="896"/>
      <c r="CB68" s="896"/>
      <c r="CC68" s="896"/>
      <c r="CD68" s="896"/>
    </row>
    <row r="69" spans="1:82" ht="15">
      <c r="A69" s="882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29"/>
      <c r="U69" s="868" t="str">
        <f t="shared" si="78"/>
        <v/>
      </c>
      <c r="V69" s="868" t="str">
        <f t="shared" si="79"/>
        <v/>
      </c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 t="s">
        <v>32</v>
      </c>
      <c r="BF69" s="891"/>
      <c r="BG69" s="891"/>
      <c r="BH69" s="891"/>
      <c r="BI69" s="891"/>
      <c r="BJ69" s="891"/>
      <c r="BK69" s="896"/>
      <c r="BL69" s="896"/>
      <c r="BM69" s="893"/>
      <c r="BN69" s="891"/>
      <c r="BO69" s="891"/>
      <c r="BP69" s="893"/>
      <c r="BQ69" s="896"/>
      <c r="BR69" s="896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82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80"/>
      <c r="H70" s="879"/>
      <c r="I70" s="879"/>
      <c r="J70" s="428"/>
      <c r="K70" s="428"/>
      <c r="T70" s="829"/>
      <c r="U70" s="868" t="str">
        <f t="shared" si="78"/>
        <v/>
      </c>
      <c r="V70" s="868" t="str">
        <f t="shared" si="79"/>
        <v/>
      </c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 t="s">
        <v>32</v>
      </c>
      <c r="BF70" s="891"/>
      <c r="BG70" s="891"/>
      <c r="BH70" s="891"/>
      <c r="BI70" s="891"/>
      <c r="BJ70" s="891"/>
      <c r="BK70" s="896"/>
      <c r="BL70" s="896"/>
      <c r="BM70" s="893"/>
      <c r="BN70" s="891"/>
      <c r="BO70" s="891"/>
      <c r="BP70" s="893"/>
      <c r="BQ70" s="896"/>
      <c r="BR70" s="896"/>
      <c r="BS70" s="897"/>
      <c r="BT70" s="897"/>
      <c r="BU70" s="897"/>
      <c r="BV70" s="897"/>
      <c r="BW70" s="897"/>
      <c r="BX70" s="896"/>
      <c r="BY70" s="896"/>
      <c r="BZ70" s="896"/>
      <c r="CA70" s="896"/>
      <c r="CB70" s="896"/>
      <c r="CC70" s="896"/>
      <c r="CD70" s="896"/>
    </row>
    <row r="71" spans="1:82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29"/>
      <c r="U71" s="868" t="str">
        <f t="shared" si="78"/>
        <v/>
      </c>
      <c r="V71" s="868" t="str">
        <f t="shared" si="79"/>
        <v/>
      </c>
      <c r="W71" s="829"/>
      <c r="X71" s="829"/>
      <c r="Y71" s="829"/>
      <c r="Z71" s="829"/>
      <c r="AA71" s="829"/>
      <c r="AB71" s="829"/>
      <c r="AC71" s="829"/>
      <c r="AE71" s="831"/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 t="s">
        <v>32</v>
      </c>
      <c r="BF71" s="891"/>
      <c r="BG71" s="891"/>
      <c r="BH71" s="891"/>
      <c r="BI71" s="891"/>
      <c r="BJ71" s="891"/>
      <c r="BK71" s="896"/>
      <c r="BL71" s="896"/>
      <c r="BM71" s="893"/>
      <c r="BN71" s="891"/>
      <c r="BO71" s="891"/>
      <c r="BP71" s="893"/>
      <c r="BQ71" s="896"/>
      <c r="BR71" s="896"/>
      <c r="BS71" s="897"/>
      <c r="BT71" s="897"/>
      <c r="BU71" s="897"/>
      <c r="BV71" s="897"/>
      <c r="BW71" s="897"/>
      <c r="BX71" s="896"/>
      <c r="BY71" s="896"/>
      <c r="BZ71" s="896"/>
      <c r="CA71" s="896"/>
      <c r="CB71" s="896"/>
      <c r="CC71" s="896"/>
      <c r="CD71" s="896"/>
    </row>
    <row r="72" spans="1:82" ht="15">
      <c r="A72" s="881"/>
      <c r="B72" s="884"/>
      <c r="C72" s="884"/>
      <c r="D72" s="884" t="str">
        <f>IF(I72=Table!$C$1,VLOOKUP(G72,Table!$B$38:$AO$61,Table!$AO$35-1,FALSE),"")</f>
        <v/>
      </c>
      <c r="E72" s="884"/>
      <c r="F72" s="884" t="str">
        <f>IF(I72="","",IF(I72=Table!$C$1,VLOOKUP(G72,Table!$B$9:$AE$32,Table!$AE$6-1,FALSE),""))</f>
        <v/>
      </c>
      <c r="G72" s="879"/>
      <c r="H72" s="879"/>
      <c r="I72" s="879"/>
      <c r="J72" s="428"/>
      <c r="K72" s="428"/>
      <c r="T72" s="829"/>
      <c r="U72" s="868" t="str">
        <f t="shared" si="78"/>
        <v/>
      </c>
      <c r="V72" s="868" t="str">
        <f t="shared" si="79"/>
        <v/>
      </c>
      <c r="W72" s="829"/>
      <c r="X72" s="829"/>
      <c r="Y72" s="829"/>
      <c r="Z72" s="829"/>
      <c r="AA72" s="829"/>
      <c r="AB72" s="829"/>
      <c r="AC72" s="829"/>
      <c r="AE72" s="831"/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 t="s">
        <v>32</v>
      </c>
      <c r="BF72" s="891"/>
      <c r="BG72" s="891"/>
      <c r="BH72" s="891"/>
      <c r="BI72" s="891"/>
      <c r="BJ72" s="891"/>
      <c r="BK72" s="896"/>
      <c r="BL72" s="896"/>
      <c r="BM72" s="893"/>
      <c r="BN72" s="891"/>
      <c r="BO72" s="891"/>
      <c r="BP72" s="893"/>
      <c r="BQ72" s="896"/>
      <c r="BR72" s="896"/>
      <c r="BS72" s="897"/>
      <c r="BT72" s="897"/>
      <c r="BU72" s="897"/>
      <c r="BV72" s="897"/>
      <c r="BW72" s="897"/>
      <c r="BX72" s="896"/>
      <c r="BY72" s="896"/>
      <c r="BZ72" s="896"/>
      <c r="CA72" s="896"/>
      <c r="CB72" s="896"/>
      <c r="CC72" s="896"/>
      <c r="CD72" s="896"/>
    </row>
    <row r="73" spans="1:82" ht="15">
      <c r="A73" s="881"/>
      <c r="B73" s="884"/>
      <c r="C73" s="884"/>
      <c r="D73" s="884" t="str">
        <f>IF(I73=Table!$C$1,VLOOKUP(G73,Table!$B$38:$AO$61,Table!$AO$35-1,FALSE),"")</f>
        <v/>
      </c>
      <c r="E73" s="884"/>
      <c r="F73" s="884" t="str">
        <f>IF(I73="","",IF(I73=Table!$C$1,VLOOKUP(G73,Table!$B$9:$AE$32,Table!$AE$6-1,FALSE),""))</f>
        <v/>
      </c>
      <c r="G73" s="879"/>
      <c r="H73" s="879"/>
      <c r="I73" s="879"/>
      <c r="J73" s="428"/>
      <c r="K73" s="428"/>
      <c r="T73" s="829"/>
      <c r="U73" s="868" t="str">
        <f t="shared" si="78"/>
        <v/>
      </c>
      <c r="V73" s="868" t="str">
        <f t="shared" si="79"/>
        <v/>
      </c>
      <c r="W73" s="829"/>
      <c r="X73" s="829"/>
      <c r="Y73" s="829"/>
      <c r="Z73" s="829"/>
      <c r="AA73" s="829"/>
      <c r="AB73" s="829"/>
      <c r="AC73" s="829"/>
      <c r="AE73" s="831"/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 t="s">
        <v>32</v>
      </c>
      <c r="BF73" s="891"/>
      <c r="BG73" s="891"/>
      <c r="BH73" s="891"/>
      <c r="BI73" s="891"/>
      <c r="BJ73" s="891"/>
      <c r="BK73" s="896"/>
      <c r="BL73" s="896"/>
      <c r="BM73" s="893"/>
      <c r="BN73" s="891"/>
      <c r="BO73" s="891"/>
      <c r="BP73" s="893"/>
      <c r="BQ73" s="896"/>
      <c r="BR73" s="896"/>
      <c r="BS73" s="897"/>
      <c r="BT73" s="897"/>
      <c r="BU73" s="897"/>
      <c r="BV73" s="897"/>
      <c r="BW73" s="897"/>
      <c r="BX73" s="896"/>
      <c r="BY73" s="896"/>
      <c r="BZ73" s="896"/>
      <c r="CA73" s="896"/>
      <c r="CB73" s="896"/>
      <c r="CC73" s="896"/>
      <c r="CD73" s="896"/>
    </row>
    <row r="74" spans="1:82" ht="15">
      <c r="A74" s="843"/>
      <c r="E74" s="816"/>
      <c r="G74" s="828"/>
      <c r="H74" s="828"/>
      <c r="I74" s="828"/>
      <c r="J74" s="428"/>
      <c r="K74" s="428"/>
      <c r="T74" s="829"/>
      <c r="U74" s="868" t="str">
        <f t="shared" si="70"/>
        <v/>
      </c>
      <c r="V74" s="868" t="str">
        <f t="shared" si="71"/>
        <v/>
      </c>
      <c r="W74" s="829"/>
      <c r="X74" s="829"/>
      <c r="Y74" s="829"/>
      <c r="Z74" s="829"/>
      <c r="AA74" s="829"/>
      <c r="AB74" s="829"/>
      <c r="AC74" s="829"/>
      <c r="AE74" s="831"/>
      <c r="AG74" s="891"/>
      <c r="AH74" s="891"/>
      <c r="AI74" s="891"/>
      <c r="AJ74" s="891"/>
      <c r="AK74" s="891"/>
      <c r="AL74" s="891"/>
      <c r="AM74" s="891"/>
      <c r="AN74" s="891"/>
      <c r="AO74" s="891"/>
      <c r="AP74" s="891"/>
      <c r="AQ74" s="891"/>
      <c r="AR74" s="891"/>
      <c r="AS74" s="891"/>
      <c r="AT74" s="891"/>
      <c r="AU74" s="891"/>
      <c r="AV74" s="891"/>
      <c r="AW74" s="891"/>
      <c r="AX74" s="891"/>
      <c r="AY74" s="891"/>
      <c r="AZ74" s="891"/>
      <c r="BA74" s="891"/>
      <c r="BB74" s="891"/>
      <c r="BC74" s="891"/>
      <c r="BD74" s="891"/>
      <c r="BE74" s="891" t="s">
        <v>32</v>
      </c>
      <c r="BF74" s="891"/>
      <c r="BG74" s="891"/>
      <c r="BH74" s="891"/>
      <c r="BI74" s="891"/>
      <c r="BJ74" s="891"/>
      <c r="BK74" s="896"/>
      <c r="BL74" s="896"/>
      <c r="BM74" s="893"/>
      <c r="BN74" s="891"/>
      <c r="BO74" s="891"/>
      <c r="BP74" s="893"/>
      <c r="BQ74" s="896"/>
      <c r="BR74" s="896"/>
      <c r="BS74" s="897"/>
      <c r="BT74" s="897"/>
      <c r="BU74" s="897"/>
      <c r="BV74" s="897"/>
      <c r="BW74" s="897"/>
      <c r="BX74" s="896"/>
      <c r="BY74" s="896"/>
      <c r="BZ74" s="896"/>
      <c r="CA74" s="896"/>
      <c r="CB74" s="896"/>
      <c r="CC74" s="896"/>
      <c r="CD74" s="896"/>
    </row>
    <row r="75" spans="1:82" ht="15">
      <c r="A75" s="843"/>
      <c r="E75" s="816"/>
      <c r="G75" s="828"/>
      <c r="H75" s="828"/>
      <c r="I75" s="828"/>
      <c r="J75" s="428"/>
      <c r="K75" s="428"/>
      <c r="T75" s="829"/>
      <c r="U75" s="829"/>
      <c r="V75" s="829"/>
      <c r="W75" s="829"/>
      <c r="X75" s="829"/>
      <c r="Y75" s="829"/>
      <c r="Z75" s="829"/>
      <c r="AA75" s="829"/>
      <c r="AB75" s="829"/>
      <c r="AC75" s="829"/>
      <c r="AE75" s="831"/>
      <c r="AG75" s="891"/>
      <c r="AH75" s="891"/>
      <c r="AI75" s="891"/>
      <c r="AJ75" s="891"/>
      <c r="AK75" s="891"/>
      <c r="AL75" s="891"/>
      <c r="AM75" s="891"/>
      <c r="AN75" s="891"/>
      <c r="AO75" s="891"/>
      <c r="AP75" s="891"/>
      <c r="AQ75" s="891"/>
      <c r="AR75" s="891"/>
      <c r="AS75" s="891"/>
      <c r="AT75" s="891"/>
      <c r="AU75" s="891"/>
      <c r="AV75" s="891"/>
      <c r="AW75" s="891"/>
      <c r="AX75" s="891"/>
      <c r="AY75" s="891"/>
      <c r="AZ75" s="891"/>
      <c r="BA75" s="891"/>
      <c r="BB75" s="891"/>
      <c r="BC75" s="891"/>
      <c r="BD75" s="891"/>
      <c r="BE75" s="891" t="s">
        <v>32</v>
      </c>
      <c r="BF75" s="891"/>
      <c r="BG75" s="891"/>
      <c r="BH75" s="891"/>
      <c r="BI75" s="891"/>
      <c r="BJ75" s="891"/>
      <c r="BK75" s="896"/>
      <c r="BL75" s="896"/>
      <c r="BM75" s="893"/>
      <c r="BN75" s="891"/>
      <c r="BO75" s="891"/>
      <c r="BP75" s="893"/>
      <c r="BQ75" s="896"/>
      <c r="BR75" s="896"/>
      <c r="BS75" s="897"/>
      <c r="BT75" s="897"/>
      <c r="BU75" s="897"/>
      <c r="BV75" s="897"/>
      <c r="BW75" s="897"/>
      <c r="BX75" s="896"/>
      <c r="BY75" s="896"/>
      <c r="BZ75" s="896"/>
      <c r="CA75" s="896"/>
      <c r="CB75" s="896"/>
      <c r="CC75" s="896"/>
      <c r="CD75" s="896"/>
    </row>
    <row r="76" spans="1:82" ht="15">
      <c r="A76" s="843"/>
      <c r="E76" s="816"/>
      <c r="G76" s="828"/>
      <c r="H76" s="828"/>
      <c r="I76" s="828"/>
      <c r="J76" s="428"/>
      <c r="K76" s="428"/>
      <c r="T76" s="829"/>
      <c r="U76" s="829"/>
      <c r="V76" s="829"/>
      <c r="W76" s="829"/>
      <c r="X76" s="829"/>
      <c r="Y76" s="829"/>
      <c r="Z76" s="829"/>
      <c r="AA76" s="829"/>
      <c r="AB76" s="829"/>
      <c r="AC76" s="829"/>
      <c r="AE76" s="831"/>
      <c r="AG76" s="896"/>
      <c r="AH76" s="896"/>
      <c r="AI76" s="896"/>
      <c r="AJ76" s="896"/>
      <c r="AK76" s="893"/>
      <c r="AL76" s="896"/>
      <c r="AM76" s="896"/>
      <c r="AN76" s="896"/>
      <c r="AO76" s="896"/>
      <c r="AP76" s="896"/>
      <c r="AQ76" s="896"/>
      <c r="AR76" s="896"/>
      <c r="AS76" s="896"/>
      <c r="AT76" s="891"/>
      <c r="AU76" s="896"/>
      <c r="AV76" s="896"/>
      <c r="AW76" s="896"/>
      <c r="AX76" s="896"/>
      <c r="AY76" s="896"/>
      <c r="AZ76" s="896"/>
      <c r="BA76" s="896"/>
      <c r="BB76" s="893"/>
      <c r="BC76" s="893"/>
      <c r="BD76" s="893"/>
      <c r="BE76" s="891" t="s">
        <v>32</v>
      </c>
      <c r="BF76" s="891"/>
      <c r="BG76" s="891"/>
      <c r="BH76" s="893"/>
      <c r="BI76" s="896"/>
      <c r="BJ76" s="896"/>
      <c r="BK76" s="896"/>
      <c r="BL76" s="896"/>
      <c r="BM76" s="893"/>
      <c r="BN76" s="896"/>
      <c r="BO76" s="896"/>
      <c r="BP76" s="893"/>
      <c r="BQ76" s="896"/>
      <c r="BR76" s="896"/>
      <c r="BS76" s="897"/>
      <c r="BT76" s="897"/>
      <c r="BU76" s="897"/>
      <c r="BV76" s="897"/>
      <c r="BW76" s="897"/>
      <c r="BX76" s="896"/>
      <c r="BY76" s="896"/>
      <c r="BZ76" s="896"/>
      <c r="CA76" s="896"/>
      <c r="CB76" s="896"/>
      <c r="CC76" s="896"/>
      <c r="CD76" s="896"/>
    </row>
    <row r="77" spans="1:82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ref="L77:L134" si="80">IF(J77="","",IF(J77&gt;K77,"W",IF(J77=K77,"D",IF(J77&lt;K77,"L"))))</f>
        <v/>
      </c>
      <c r="M77" s="816" t="str">
        <f t="shared" ref="M77:M134" si="81">IF(J77="","",J77+K77)</f>
        <v/>
      </c>
      <c r="N77" s="816" t="str">
        <f t="shared" ref="N77:N134" si="82">IF($J77="","",IF($M77&gt;N$19,"O",IF($M77&lt;N$19,"U",IF($M77=N$19,"-"))))</f>
        <v/>
      </c>
      <c r="R77" s="816" t="str">
        <f t="shared" ref="R77:R134" si="83">IF(ISBLANK(Q77),"",J77-K77-Q77)</f>
        <v/>
      </c>
      <c r="T77" s="829" t="str">
        <f t="shared" ref="T77:T134" si="84">IF(ISBLANK(S77),"",J77+K77-S77)</f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1"/>
      <c r="AU77" s="897"/>
      <c r="AV77" s="897"/>
      <c r="AW77" s="897"/>
      <c r="AX77" s="897"/>
      <c r="AY77" s="897"/>
      <c r="AZ77" s="897"/>
      <c r="BA77" s="897"/>
      <c r="BB77" s="893"/>
      <c r="BC77" s="893"/>
      <c r="BD77" s="893"/>
      <c r="BE77" s="891" t="s">
        <v>32</v>
      </c>
      <c r="BF77" s="891"/>
      <c r="BG77" s="891"/>
      <c r="BH77" s="893"/>
      <c r="BI77" s="897"/>
      <c r="BJ77" s="897"/>
      <c r="BK77" s="897"/>
      <c r="BL77" s="897"/>
      <c r="BM77" s="893"/>
      <c r="BN77" s="897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3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828"/>
      <c r="H78" s="828"/>
      <c r="I78" s="828"/>
      <c r="J78" s="428"/>
      <c r="K78" s="428"/>
      <c r="L78" s="816" t="str">
        <f t="shared" si="80"/>
        <v/>
      </c>
      <c r="M78" s="816" t="str">
        <f t="shared" si="81"/>
        <v/>
      </c>
      <c r="N78" s="816" t="str">
        <f t="shared" si="82"/>
        <v/>
      </c>
      <c r="R78" s="816" t="str">
        <f t="shared" si="83"/>
        <v/>
      </c>
      <c r="T78" s="829" t="str">
        <f t="shared" si="84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3"/>
      <c r="BC78" s="893"/>
      <c r="BD78" s="893"/>
      <c r="BE78" s="891" t="s">
        <v>32</v>
      </c>
      <c r="BF78" s="891"/>
      <c r="BG78" s="891"/>
      <c r="BH78" s="893"/>
      <c r="BI78" s="897"/>
      <c r="BJ78" s="897"/>
      <c r="BK78" s="897"/>
      <c r="BL78" s="897"/>
      <c r="BM78" s="893"/>
      <c r="BN78" s="897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3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828"/>
      <c r="H79" s="828"/>
      <c r="I79" s="828"/>
      <c r="J79" s="428"/>
      <c r="K79" s="428"/>
      <c r="L79" s="816" t="str">
        <f t="shared" si="80"/>
        <v/>
      </c>
      <c r="M79" s="816" t="str">
        <f t="shared" si="81"/>
        <v/>
      </c>
      <c r="N79" s="816" t="str">
        <f t="shared" si="82"/>
        <v/>
      </c>
      <c r="R79" s="816" t="str">
        <f t="shared" si="83"/>
        <v/>
      </c>
      <c r="T79" s="829" t="str">
        <f t="shared" si="84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3"/>
      <c r="BC79" s="893"/>
      <c r="BD79" s="893"/>
      <c r="BE79" s="891" t="s">
        <v>32</v>
      </c>
      <c r="BF79" s="891"/>
      <c r="BG79" s="891"/>
      <c r="BH79" s="893"/>
      <c r="BI79" s="897"/>
      <c r="BJ79" s="897"/>
      <c r="BK79" s="897"/>
      <c r="BL79" s="897"/>
      <c r="BM79" s="893"/>
      <c r="BN79" s="897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428"/>
      <c r="K80" s="428"/>
      <c r="L80" s="816" t="str">
        <f t="shared" si="80"/>
        <v/>
      </c>
      <c r="M80" s="816" t="str">
        <f t="shared" si="81"/>
        <v/>
      </c>
      <c r="N80" s="816" t="str">
        <f t="shared" si="82"/>
        <v/>
      </c>
      <c r="R80" s="816" t="str">
        <f t="shared" si="83"/>
        <v/>
      </c>
      <c r="T80" s="829" t="str">
        <f t="shared" si="84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3"/>
      <c r="BC80" s="893"/>
      <c r="BD80" s="893"/>
      <c r="BE80" s="891" t="s">
        <v>32</v>
      </c>
      <c r="BF80" s="891"/>
      <c r="BG80" s="891"/>
      <c r="BH80" s="893"/>
      <c r="BI80" s="897"/>
      <c r="BJ80" s="897"/>
      <c r="BK80" s="897"/>
      <c r="BL80" s="897"/>
      <c r="BM80" s="893"/>
      <c r="BN80" s="897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428"/>
      <c r="K81" s="428"/>
      <c r="L81" s="816" t="str">
        <f t="shared" si="80"/>
        <v/>
      </c>
      <c r="M81" s="816" t="str">
        <f t="shared" si="81"/>
        <v/>
      </c>
      <c r="N81" s="816" t="str">
        <f t="shared" si="82"/>
        <v/>
      </c>
      <c r="R81" s="816" t="str">
        <f t="shared" si="83"/>
        <v/>
      </c>
      <c r="T81" s="829" t="str">
        <f t="shared" si="84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3"/>
      <c r="BC81" s="893"/>
      <c r="BD81" s="893"/>
      <c r="BE81" s="891" t="s">
        <v>32</v>
      </c>
      <c r="BF81" s="891"/>
      <c r="BG81" s="891"/>
      <c r="BH81" s="893"/>
      <c r="BI81" s="897"/>
      <c r="BJ81" s="897"/>
      <c r="BK81" s="897"/>
      <c r="BL81" s="897"/>
      <c r="BM81" s="893"/>
      <c r="BN81" s="897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80"/>
        <v/>
      </c>
      <c r="M82" s="816" t="str">
        <f t="shared" si="81"/>
        <v/>
      </c>
      <c r="N82" s="816" t="str">
        <f t="shared" si="82"/>
        <v/>
      </c>
      <c r="R82" s="816" t="str">
        <f t="shared" si="83"/>
        <v/>
      </c>
      <c r="T82" s="829" t="str">
        <f t="shared" si="84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3"/>
      <c r="BC82" s="893"/>
      <c r="BD82" s="893"/>
      <c r="BE82" s="897"/>
      <c r="BF82" s="897"/>
      <c r="BG82" s="897"/>
      <c r="BH82" s="893"/>
      <c r="BI82" s="897"/>
      <c r="BJ82" s="897"/>
      <c r="BK82" s="897"/>
      <c r="BL82" s="897"/>
      <c r="BM82" s="893"/>
      <c r="BN82" s="897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/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80"/>
        <v/>
      </c>
      <c r="M83" s="816" t="str">
        <f t="shared" si="81"/>
        <v/>
      </c>
      <c r="N83" s="816" t="str">
        <f t="shared" si="82"/>
        <v/>
      </c>
      <c r="R83" s="816" t="str">
        <f t="shared" si="83"/>
        <v/>
      </c>
      <c r="T83" s="829" t="str">
        <f t="shared" si="84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3"/>
      <c r="BC83" s="893"/>
      <c r="BD83" s="893"/>
      <c r="BE83" s="897"/>
      <c r="BF83" s="897"/>
      <c r="BG83" s="897"/>
      <c r="BH83" s="893"/>
      <c r="BI83" s="897"/>
      <c r="BJ83" s="897"/>
      <c r="BK83" s="897"/>
      <c r="BL83" s="897"/>
      <c r="BM83" s="893"/>
      <c r="BN83" s="897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/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80"/>
        <v/>
      </c>
      <c r="M84" s="816" t="str">
        <f t="shared" si="81"/>
        <v/>
      </c>
      <c r="N84" s="816" t="str">
        <f t="shared" si="82"/>
        <v/>
      </c>
      <c r="R84" s="816" t="str">
        <f t="shared" si="83"/>
        <v/>
      </c>
      <c r="T84" s="829" t="str">
        <f t="shared" si="84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3"/>
      <c r="BC84" s="893"/>
      <c r="BD84" s="893"/>
      <c r="BE84" s="897"/>
      <c r="BF84" s="897"/>
      <c r="BG84" s="897"/>
      <c r="BH84" s="893"/>
      <c r="BI84" s="897"/>
      <c r="BJ84" s="897"/>
      <c r="BK84" s="897"/>
      <c r="BL84" s="897"/>
      <c r="BM84" s="893"/>
      <c r="BN84" s="897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80"/>
        <v/>
      </c>
      <c r="M85" s="816" t="str">
        <f t="shared" si="81"/>
        <v/>
      </c>
      <c r="N85" s="816" t="str">
        <f t="shared" si="82"/>
        <v/>
      </c>
      <c r="R85" s="816" t="str">
        <f t="shared" si="83"/>
        <v/>
      </c>
      <c r="T85" s="829" t="str">
        <f t="shared" si="84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3"/>
      <c r="BC85" s="893"/>
      <c r="BD85" s="893"/>
      <c r="BE85" s="897"/>
      <c r="BF85" s="897"/>
      <c r="BG85" s="897"/>
      <c r="BH85" s="893"/>
      <c r="BI85" s="897"/>
      <c r="BJ85" s="897"/>
      <c r="BK85" s="897"/>
      <c r="BL85" s="897"/>
      <c r="BM85" s="893"/>
      <c r="BN85" s="897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80"/>
        <v/>
      </c>
      <c r="M86" s="816" t="str">
        <f t="shared" si="81"/>
        <v/>
      </c>
      <c r="N86" s="816" t="str">
        <f t="shared" si="82"/>
        <v/>
      </c>
      <c r="R86" s="816" t="str">
        <f t="shared" si="83"/>
        <v/>
      </c>
      <c r="T86" s="829" t="str">
        <f t="shared" si="84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3"/>
      <c r="BC86" s="893"/>
      <c r="BD86" s="893"/>
      <c r="BE86" s="897"/>
      <c r="BF86" s="897"/>
      <c r="BG86" s="897"/>
      <c r="BH86" s="893"/>
      <c r="BI86" s="897"/>
      <c r="BJ86" s="897"/>
      <c r="BK86" s="897"/>
      <c r="BL86" s="897"/>
      <c r="BM86" s="893"/>
      <c r="BN86" s="897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80"/>
        <v/>
      </c>
      <c r="M87" s="816" t="str">
        <f t="shared" si="81"/>
        <v/>
      </c>
      <c r="N87" s="816" t="str">
        <f t="shared" si="82"/>
        <v/>
      </c>
      <c r="R87" s="816" t="str">
        <f t="shared" si="83"/>
        <v/>
      </c>
      <c r="T87" s="829" t="str">
        <f t="shared" si="84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3"/>
      <c r="BC87" s="893"/>
      <c r="BD87" s="893"/>
      <c r="BE87" s="897"/>
      <c r="BF87" s="897"/>
      <c r="BG87" s="897"/>
      <c r="BH87" s="893"/>
      <c r="BI87" s="897"/>
      <c r="BJ87" s="897"/>
      <c r="BK87" s="897"/>
      <c r="BL87" s="897"/>
      <c r="BM87" s="893"/>
      <c r="BN87" s="897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230"/>
      <c r="H88" s="230"/>
      <c r="I88" s="230"/>
      <c r="J88" s="230"/>
      <c r="K88" s="230"/>
      <c r="L88" s="816" t="str">
        <f t="shared" si="80"/>
        <v/>
      </c>
      <c r="M88" s="816" t="str">
        <f t="shared" si="81"/>
        <v/>
      </c>
      <c r="N88" s="816" t="str">
        <f t="shared" si="82"/>
        <v/>
      </c>
      <c r="R88" s="816" t="str">
        <f t="shared" si="83"/>
        <v/>
      </c>
      <c r="T88" s="829" t="str">
        <f t="shared" si="84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3"/>
      <c r="BC88" s="893"/>
      <c r="BD88" s="893"/>
      <c r="BE88" s="897"/>
      <c r="BF88" s="897"/>
      <c r="BG88" s="897"/>
      <c r="BH88" s="893"/>
      <c r="BI88" s="897"/>
      <c r="BJ88" s="897"/>
      <c r="BK88" s="897"/>
      <c r="BL88" s="897"/>
      <c r="BM88" s="893"/>
      <c r="BN88" s="897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4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230"/>
      <c r="H89" s="230"/>
      <c r="I89" s="230"/>
      <c r="J89" s="230"/>
      <c r="K89" s="230"/>
      <c r="L89" s="816" t="str">
        <f t="shared" si="80"/>
        <v/>
      </c>
      <c r="M89" s="816" t="str">
        <f t="shared" si="81"/>
        <v/>
      </c>
      <c r="N89" s="816" t="str">
        <f t="shared" si="82"/>
        <v/>
      </c>
      <c r="R89" s="816" t="str">
        <f t="shared" si="83"/>
        <v/>
      </c>
      <c r="T89" s="829" t="str">
        <f t="shared" si="84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3"/>
      <c r="BC89" s="893"/>
      <c r="BD89" s="893"/>
      <c r="BE89" s="897"/>
      <c r="BF89" s="897"/>
      <c r="BG89" s="897"/>
      <c r="BH89" s="893"/>
      <c r="BI89" s="897"/>
      <c r="BJ89" s="897"/>
      <c r="BK89" s="897"/>
      <c r="BL89" s="897"/>
      <c r="BM89" s="893"/>
      <c r="BN89" s="897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4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787"/>
      <c r="H90" s="833"/>
      <c r="I90" s="833"/>
      <c r="J90" s="833"/>
      <c r="K90" s="833"/>
      <c r="L90" s="816" t="str">
        <f t="shared" si="80"/>
        <v/>
      </c>
      <c r="M90" s="816" t="str">
        <f t="shared" si="81"/>
        <v/>
      </c>
      <c r="N90" s="816" t="str">
        <f t="shared" si="82"/>
        <v/>
      </c>
      <c r="R90" s="816" t="str">
        <f t="shared" si="83"/>
        <v/>
      </c>
      <c r="T90" s="829" t="str">
        <f t="shared" si="84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3"/>
      <c r="BC90" s="893"/>
      <c r="BD90" s="893"/>
      <c r="BE90" s="897"/>
      <c r="BF90" s="897"/>
      <c r="BG90" s="897"/>
      <c r="BH90" s="893"/>
      <c r="BI90" s="897"/>
      <c r="BJ90" s="897"/>
      <c r="BK90" s="897"/>
      <c r="BL90" s="897"/>
      <c r="BM90" s="893"/>
      <c r="BN90" s="897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80"/>
        <v/>
      </c>
      <c r="M91" s="816" t="str">
        <f t="shared" si="81"/>
        <v/>
      </c>
      <c r="N91" s="816" t="str">
        <f t="shared" si="82"/>
        <v/>
      </c>
      <c r="R91" s="816" t="str">
        <f t="shared" si="83"/>
        <v/>
      </c>
      <c r="T91" s="829" t="str">
        <f t="shared" si="84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3"/>
      <c r="BC91" s="893"/>
      <c r="BD91" s="893"/>
      <c r="BE91" s="897"/>
      <c r="BF91" s="897"/>
      <c r="BG91" s="897"/>
      <c r="BH91" s="893"/>
      <c r="BI91" s="897"/>
      <c r="BJ91" s="897"/>
      <c r="BK91" s="897"/>
      <c r="BL91" s="897"/>
      <c r="BM91" s="893"/>
      <c r="BN91" s="897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80"/>
        <v/>
      </c>
      <c r="M92" s="816" t="str">
        <f t="shared" si="81"/>
        <v/>
      </c>
      <c r="N92" s="816" t="str">
        <f t="shared" si="82"/>
        <v/>
      </c>
      <c r="R92" s="816" t="str">
        <f t="shared" si="83"/>
        <v/>
      </c>
      <c r="T92" s="829" t="str">
        <f t="shared" si="84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3"/>
      <c r="BC92" s="893"/>
      <c r="BD92" s="893"/>
      <c r="BE92" s="897"/>
      <c r="BF92" s="897"/>
      <c r="BG92" s="897"/>
      <c r="BH92" s="893"/>
      <c r="BI92" s="897"/>
      <c r="BJ92" s="897"/>
      <c r="BK92" s="897"/>
      <c r="BL92" s="897"/>
      <c r="BM92" s="893"/>
      <c r="BN92" s="897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80"/>
        <v/>
      </c>
      <c r="M93" s="816" t="str">
        <f t="shared" si="81"/>
        <v/>
      </c>
      <c r="N93" s="816" t="str">
        <f t="shared" si="82"/>
        <v/>
      </c>
      <c r="R93" s="816" t="str">
        <f t="shared" si="83"/>
        <v/>
      </c>
      <c r="T93" s="829" t="str">
        <f t="shared" si="84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3"/>
      <c r="BC93" s="893"/>
      <c r="BD93" s="893"/>
      <c r="BE93" s="897"/>
      <c r="BF93" s="897"/>
      <c r="BG93" s="897"/>
      <c r="BH93" s="893"/>
      <c r="BI93" s="897"/>
      <c r="BJ93" s="897"/>
      <c r="BK93" s="897"/>
      <c r="BL93" s="897"/>
      <c r="BM93" s="893"/>
      <c r="BN93" s="897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80"/>
        <v/>
      </c>
      <c r="M94" s="816" t="str">
        <f t="shared" si="81"/>
        <v/>
      </c>
      <c r="N94" s="816" t="str">
        <f t="shared" si="82"/>
        <v/>
      </c>
      <c r="R94" s="816" t="str">
        <f t="shared" si="83"/>
        <v/>
      </c>
      <c r="T94" s="829" t="str">
        <f t="shared" si="84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3"/>
      <c r="BC94" s="893"/>
      <c r="BD94" s="893"/>
      <c r="BE94" s="897"/>
      <c r="BF94" s="897"/>
      <c r="BG94" s="897"/>
      <c r="BH94" s="893"/>
      <c r="BI94" s="897"/>
      <c r="BJ94" s="897"/>
      <c r="BK94" s="897"/>
      <c r="BL94" s="897"/>
      <c r="BM94" s="893"/>
      <c r="BN94" s="897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80"/>
        <v/>
      </c>
      <c r="M95" s="816" t="str">
        <f t="shared" si="81"/>
        <v/>
      </c>
      <c r="N95" s="816" t="str">
        <f t="shared" si="82"/>
        <v/>
      </c>
      <c r="R95" s="816" t="str">
        <f t="shared" si="83"/>
        <v/>
      </c>
      <c r="T95" s="829" t="str">
        <f t="shared" si="84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3"/>
      <c r="BC95" s="893"/>
      <c r="BD95" s="893"/>
      <c r="BE95" s="897"/>
      <c r="BF95" s="897"/>
      <c r="BG95" s="897"/>
      <c r="BH95" s="893"/>
      <c r="BI95" s="897"/>
      <c r="BJ95" s="897"/>
      <c r="BK95" s="897"/>
      <c r="BL95" s="897"/>
      <c r="BM95" s="893"/>
      <c r="BN95" s="897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80"/>
        <v/>
      </c>
      <c r="M96" s="816" t="str">
        <f t="shared" si="81"/>
        <v/>
      </c>
      <c r="N96" s="816" t="str">
        <f t="shared" si="82"/>
        <v/>
      </c>
      <c r="R96" s="816" t="str">
        <f t="shared" si="83"/>
        <v/>
      </c>
      <c r="T96" s="829" t="str">
        <f t="shared" si="84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3"/>
      <c r="BC96" s="893"/>
      <c r="BD96" s="893"/>
      <c r="BE96" s="897"/>
      <c r="BF96" s="897"/>
      <c r="BG96" s="897"/>
      <c r="BH96" s="893"/>
      <c r="BI96" s="897"/>
      <c r="BJ96" s="897"/>
      <c r="BK96" s="897"/>
      <c r="BL96" s="897"/>
      <c r="BM96" s="893"/>
      <c r="BN96" s="897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80"/>
        <v/>
      </c>
      <c r="M97" s="816" t="str">
        <f t="shared" si="81"/>
        <v/>
      </c>
      <c r="N97" s="816" t="str">
        <f t="shared" si="82"/>
        <v/>
      </c>
      <c r="R97" s="816" t="str">
        <f t="shared" si="83"/>
        <v/>
      </c>
      <c r="T97" s="829" t="str">
        <f t="shared" si="84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3"/>
      <c r="BC97" s="893"/>
      <c r="BD97" s="893"/>
      <c r="BE97" s="897"/>
      <c r="BF97" s="897"/>
      <c r="BG97" s="897"/>
      <c r="BH97" s="893"/>
      <c r="BI97" s="897"/>
      <c r="BJ97" s="897"/>
      <c r="BK97" s="897"/>
      <c r="BL97" s="897"/>
      <c r="BM97" s="893"/>
      <c r="BN97" s="897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80"/>
        <v/>
      </c>
      <c r="M98" s="816" t="str">
        <f t="shared" si="81"/>
        <v/>
      </c>
      <c r="N98" s="816" t="str">
        <f t="shared" si="82"/>
        <v/>
      </c>
      <c r="R98" s="816" t="str">
        <f t="shared" si="83"/>
        <v/>
      </c>
      <c r="T98" s="829" t="str">
        <f t="shared" si="84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3"/>
      <c r="BC98" s="893"/>
      <c r="BD98" s="893"/>
      <c r="BE98" s="897"/>
      <c r="BF98" s="897"/>
      <c r="BG98" s="897"/>
      <c r="BH98" s="893"/>
      <c r="BI98" s="897"/>
      <c r="BJ98" s="897"/>
      <c r="BK98" s="897"/>
      <c r="BL98" s="897"/>
      <c r="BM98" s="893"/>
      <c r="BN98" s="897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80"/>
        <v/>
      </c>
      <c r="M99" s="816" t="str">
        <f t="shared" si="81"/>
        <v/>
      </c>
      <c r="N99" s="816" t="str">
        <f t="shared" si="82"/>
        <v/>
      </c>
      <c r="R99" s="816" t="str">
        <f t="shared" si="83"/>
        <v/>
      </c>
      <c r="T99" s="829" t="str">
        <f t="shared" si="84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3"/>
      <c r="BC99" s="893"/>
      <c r="BD99" s="893"/>
      <c r="BE99" s="897"/>
      <c r="BF99" s="897"/>
      <c r="BG99" s="897"/>
      <c r="BH99" s="893"/>
      <c r="BI99" s="897"/>
      <c r="BJ99" s="897"/>
      <c r="BK99" s="897"/>
      <c r="BL99" s="897"/>
      <c r="BM99" s="893"/>
      <c r="BN99" s="897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80"/>
        <v/>
      </c>
      <c r="M100" s="816" t="str">
        <f t="shared" si="81"/>
        <v/>
      </c>
      <c r="N100" s="816" t="str">
        <f t="shared" si="82"/>
        <v/>
      </c>
      <c r="R100" s="816" t="str">
        <f t="shared" si="83"/>
        <v/>
      </c>
      <c r="T100" s="829" t="str">
        <f t="shared" si="84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3"/>
      <c r="BC100" s="893"/>
      <c r="BD100" s="893"/>
      <c r="BE100" s="897"/>
      <c r="BF100" s="897"/>
      <c r="BG100" s="897"/>
      <c r="BH100" s="893"/>
      <c r="BI100" s="897"/>
      <c r="BJ100" s="897"/>
      <c r="BK100" s="897"/>
      <c r="BL100" s="897"/>
      <c r="BM100" s="893"/>
      <c r="BN100" s="897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80"/>
        <v/>
      </c>
      <c r="M101" s="816" t="str">
        <f t="shared" si="81"/>
        <v/>
      </c>
      <c r="N101" s="816" t="str">
        <f t="shared" si="82"/>
        <v/>
      </c>
      <c r="R101" s="816" t="str">
        <f t="shared" si="83"/>
        <v/>
      </c>
      <c r="T101" s="829" t="str">
        <f t="shared" si="84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3"/>
      <c r="BC101" s="893"/>
      <c r="BD101" s="893"/>
      <c r="BE101" s="897"/>
      <c r="BF101" s="897"/>
      <c r="BG101" s="897"/>
      <c r="BH101" s="893"/>
      <c r="BI101" s="897"/>
      <c r="BJ101" s="897"/>
      <c r="BK101" s="897"/>
      <c r="BL101" s="897"/>
      <c r="BM101" s="893"/>
      <c r="BN101" s="897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80"/>
        <v/>
      </c>
      <c r="M102" s="816" t="str">
        <f t="shared" si="81"/>
        <v/>
      </c>
      <c r="N102" s="816" t="str">
        <f t="shared" si="82"/>
        <v/>
      </c>
      <c r="R102" s="816" t="str">
        <f t="shared" si="83"/>
        <v/>
      </c>
      <c r="T102" s="829" t="str">
        <f t="shared" si="84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3"/>
      <c r="BC102" s="893"/>
      <c r="BD102" s="893"/>
      <c r="BE102" s="897"/>
      <c r="BF102" s="897"/>
      <c r="BG102" s="897"/>
      <c r="BH102" s="893"/>
      <c r="BI102" s="897"/>
      <c r="BJ102" s="897"/>
      <c r="BK102" s="897"/>
      <c r="BL102" s="897"/>
      <c r="BM102" s="893"/>
      <c r="BN102" s="897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80"/>
        <v/>
      </c>
      <c r="M103" s="816" t="str">
        <f t="shared" si="81"/>
        <v/>
      </c>
      <c r="N103" s="816" t="str">
        <f t="shared" si="82"/>
        <v/>
      </c>
      <c r="R103" s="816" t="str">
        <f t="shared" si="83"/>
        <v/>
      </c>
      <c r="T103" s="829" t="str">
        <f t="shared" si="84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3"/>
      <c r="BC103" s="893"/>
      <c r="BD103" s="893"/>
      <c r="BE103" s="897"/>
      <c r="BF103" s="897"/>
      <c r="BG103" s="897"/>
      <c r="BH103" s="893"/>
      <c r="BI103" s="897"/>
      <c r="BJ103" s="897"/>
      <c r="BK103" s="897"/>
      <c r="BL103" s="897"/>
      <c r="BM103" s="893"/>
      <c r="BN103" s="897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80"/>
        <v/>
      </c>
      <c r="M104" s="816" t="str">
        <f t="shared" si="81"/>
        <v/>
      </c>
      <c r="N104" s="816" t="str">
        <f t="shared" si="82"/>
        <v/>
      </c>
      <c r="R104" s="816" t="str">
        <f t="shared" si="83"/>
        <v/>
      </c>
      <c r="T104" s="829" t="str">
        <f t="shared" si="84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3"/>
      <c r="BC104" s="893"/>
      <c r="BD104" s="893"/>
      <c r="BE104" s="897"/>
      <c r="BF104" s="897"/>
      <c r="BG104" s="897"/>
      <c r="BH104" s="893"/>
      <c r="BI104" s="897"/>
      <c r="BJ104" s="897"/>
      <c r="BK104" s="897"/>
      <c r="BL104" s="897"/>
      <c r="BM104" s="893"/>
      <c r="BN104" s="897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80"/>
        <v/>
      </c>
      <c r="M105" s="816" t="str">
        <f t="shared" si="81"/>
        <v/>
      </c>
      <c r="N105" s="816" t="str">
        <f t="shared" si="82"/>
        <v/>
      </c>
      <c r="R105" s="816" t="str">
        <f t="shared" si="83"/>
        <v/>
      </c>
      <c r="T105" s="829" t="str">
        <f t="shared" si="84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31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3"/>
      <c r="BC105" s="893"/>
      <c r="BD105" s="893"/>
      <c r="BE105" s="897"/>
      <c r="BF105" s="897"/>
      <c r="BG105" s="897"/>
      <c r="BH105" s="893"/>
      <c r="BI105" s="897"/>
      <c r="BJ105" s="897"/>
      <c r="BK105" s="897"/>
      <c r="BL105" s="897"/>
      <c r="BM105" s="893"/>
      <c r="BN105" s="897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80"/>
        <v/>
      </c>
      <c r="M106" s="816" t="str">
        <f t="shared" si="81"/>
        <v/>
      </c>
      <c r="N106" s="816" t="str">
        <f t="shared" si="82"/>
        <v/>
      </c>
      <c r="R106" s="816" t="str">
        <f t="shared" si="83"/>
        <v/>
      </c>
      <c r="T106" s="829" t="str">
        <f t="shared" si="84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31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3"/>
      <c r="BC106" s="893"/>
      <c r="BD106" s="893"/>
      <c r="BE106" s="897"/>
      <c r="BF106" s="897"/>
      <c r="BG106" s="897"/>
      <c r="BH106" s="893"/>
      <c r="BI106" s="897"/>
      <c r="BJ106" s="897"/>
      <c r="BK106" s="897"/>
      <c r="BL106" s="897"/>
      <c r="BM106" s="893"/>
      <c r="BN106" s="897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80"/>
        <v/>
      </c>
      <c r="M107" s="816" t="str">
        <f t="shared" si="81"/>
        <v/>
      </c>
      <c r="N107" s="816" t="str">
        <f t="shared" si="82"/>
        <v/>
      </c>
      <c r="R107" s="816" t="str">
        <f t="shared" si="83"/>
        <v/>
      </c>
      <c r="T107" s="829" t="str">
        <f t="shared" si="84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31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3"/>
      <c r="BC107" s="893"/>
      <c r="BD107" s="893"/>
      <c r="BE107" s="897"/>
      <c r="BF107" s="897"/>
      <c r="BG107" s="897"/>
      <c r="BH107" s="893"/>
      <c r="BI107" s="897"/>
      <c r="BJ107" s="897"/>
      <c r="BK107" s="897"/>
      <c r="BL107" s="897"/>
      <c r="BM107" s="893"/>
      <c r="BN107" s="897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80"/>
        <v/>
      </c>
      <c r="M108" s="816" t="str">
        <f t="shared" si="81"/>
        <v/>
      </c>
      <c r="N108" s="816" t="str">
        <f t="shared" si="82"/>
        <v/>
      </c>
      <c r="R108" s="816" t="str">
        <f t="shared" si="83"/>
        <v/>
      </c>
      <c r="T108" s="829" t="str">
        <f t="shared" si="84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31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3"/>
      <c r="BC108" s="893"/>
      <c r="BD108" s="893"/>
      <c r="BE108" s="897"/>
      <c r="BF108" s="897"/>
      <c r="BG108" s="897"/>
      <c r="BH108" s="893"/>
      <c r="BI108" s="897"/>
      <c r="BJ108" s="897"/>
      <c r="BK108" s="897"/>
      <c r="BL108" s="897"/>
      <c r="BM108" s="893"/>
      <c r="BN108" s="897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80"/>
        <v/>
      </c>
      <c r="M109" s="816" t="str">
        <f t="shared" si="81"/>
        <v/>
      </c>
      <c r="N109" s="816" t="str">
        <f t="shared" si="82"/>
        <v/>
      </c>
      <c r="R109" s="816" t="str">
        <f t="shared" si="83"/>
        <v/>
      </c>
      <c r="T109" s="829" t="str">
        <f t="shared" si="84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3"/>
      <c r="BC109" s="893"/>
      <c r="BD109" s="893"/>
      <c r="BE109" s="897"/>
      <c r="BF109" s="897"/>
      <c r="BG109" s="897"/>
      <c r="BH109" s="893"/>
      <c r="BI109" s="897"/>
      <c r="BJ109" s="897"/>
      <c r="BK109" s="897"/>
      <c r="BL109" s="897"/>
      <c r="BM109" s="893"/>
      <c r="BN109" s="897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A110" s="845"/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80"/>
        <v/>
      </c>
      <c r="M110" s="816" t="str">
        <f t="shared" si="81"/>
        <v/>
      </c>
      <c r="N110" s="816" t="str">
        <f t="shared" si="82"/>
        <v/>
      </c>
      <c r="R110" s="816" t="str">
        <f t="shared" si="83"/>
        <v/>
      </c>
      <c r="T110" s="829" t="str">
        <f t="shared" si="84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3"/>
      <c r="BC110" s="893"/>
      <c r="BD110" s="893"/>
      <c r="BE110" s="897"/>
      <c r="BF110" s="897"/>
      <c r="BG110" s="897"/>
      <c r="BH110" s="893"/>
      <c r="BI110" s="897"/>
      <c r="BJ110" s="897"/>
      <c r="BK110" s="897"/>
      <c r="BL110" s="897"/>
      <c r="BM110" s="893"/>
      <c r="BN110" s="897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A111" s="845"/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80"/>
        <v/>
      </c>
      <c r="M111" s="816" t="str">
        <f t="shared" si="81"/>
        <v/>
      </c>
      <c r="N111" s="816" t="str">
        <f t="shared" si="82"/>
        <v/>
      </c>
      <c r="R111" s="816" t="str">
        <f t="shared" si="83"/>
        <v/>
      </c>
      <c r="T111" s="829" t="str">
        <f t="shared" si="84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3"/>
      <c r="BC111" s="893"/>
      <c r="BD111" s="893"/>
      <c r="BE111" s="897"/>
      <c r="BF111" s="897"/>
      <c r="BG111" s="897"/>
      <c r="BH111" s="893"/>
      <c r="BI111" s="897"/>
      <c r="BJ111" s="897"/>
      <c r="BK111" s="897"/>
      <c r="BL111" s="897"/>
      <c r="BM111" s="893"/>
      <c r="BN111" s="897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80"/>
        <v/>
      </c>
      <c r="M112" s="816" t="str">
        <f t="shared" si="81"/>
        <v/>
      </c>
      <c r="N112" s="816" t="str">
        <f t="shared" si="82"/>
        <v/>
      </c>
      <c r="R112" s="816" t="str">
        <f t="shared" si="83"/>
        <v/>
      </c>
      <c r="T112" s="829" t="str">
        <f t="shared" si="84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3"/>
      <c r="BC112" s="893"/>
      <c r="BD112" s="893"/>
      <c r="BE112" s="897"/>
      <c r="BF112" s="897"/>
      <c r="BG112" s="897"/>
      <c r="BH112" s="893"/>
      <c r="BI112" s="897"/>
      <c r="BJ112" s="897"/>
      <c r="BK112" s="897"/>
      <c r="BL112" s="897"/>
      <c r="BM112" s="893"/>
      <c r="BN112" s="897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80"/>
        <v/>
      </c>
      <c r="M113" s="816" t="str">
        <f t="shared" si="81"/>
        <v/>
      </c>
      <c r="N113" s="816" t="str">
        <f t="shared" si="82"/>
        <v/>
      </c>
      <c r="R113" s="816" t="str">
        <f t="shared" si="83"/>
        <v/>
      </c>
      <c r="T113" s="829" t="str">
        <f t="shared" si="84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3"/>
      <c r="BC113" s="893"/>
      <c r="BD113" s="893"/>
      <c r="BE113" s="897"/>
      <c r="BF113" s="897"/>
      <c r="BG113" s="897"/>
      <c r="BH113" s="893"/>
      <c r="BI113" s="897"/>
      <c r="BJ113" s="897"/>
      <c r="BK113" s="897"/>
      <c r="BL113" s="897"/>
      <c r="BM113" s="893"/>
      <c r="BN113" s="897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80"/>
        <v/>
      </c>
      <c r="M114" s="816" t="str">
        <f t="shared" si="81"/>
        <v/>
      </c>
      <c r="N114" s="816" t="str">
        <f t="shared" si="82"/>
        <v/>
      </c>
      <c r="R114" s="816" t="str">
        <f t="shared" si="83"/>
        <v/>
      </c>
      <c r="T114" s="829" t="str">
        <f t="shared" si="84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3"/>
      <c r="BC114" s="893"/>
      <c r="BD114" s="893"/>
      <c r="BE114" s="897"/>
      <c r="BF114" s="897"/>
      <c r="BG114" s="897"/>
      <c r="BH114" s="893"/>
      <c r="BI114" s="897"/>
      <c r="BJ114" s="897"/>
      <c r="BK114" s="897"/>
      <c r="BL114" s="897"/>
      <c r="BM114" s="893"/>
      <c r="BN114" s="897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80"/>
        <v/>
      </c>
      <c r="M115" s="816" t="str">
        <f t="shared" si="81"/>
        <v/>
      </c>
      <c r="N115" s="816" t="str">
        <f t="shared" si="82"/>
        <v/>
      </c>
      <c r="R115" s="816" t="str">
        <f t="shared" si="83"/>
        <v/>
      </c>
      <c r="T115" s="829" t="str">
        <f t="shared" si="84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3"/>
      <c r="BC115" s="893"/>
      <c r="BD115" s="893"/>
      <c r="BE115" s="897"/>
      <c r="BF115" s="897"/>
      <c r="BG115" s="897"/>
      <c r="BH115" s="893"/>
      <c r="BI115" s="897"/>
      <c r="BJ115" s="897"/>
      <c r="BK115" s="897"/>
      <c r="BL115" s="897"/>
      <c r="BM115" s="893"/>
      <c r="BN115" s="897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80"/>
        <v/>
      </c>
      <c r="M116" s="816" t="str">
        <f t="shared" si="81"/>
        <v/>
      </c>
      <c r="N116" s="816" t="str">
        <f t="shared" si="82"/>
        <v/>
      </c>
      <c r="R116" s="816" t="str">
        <f t="shared" si="83"/>
        <v/>
      </c>
      <c r="T116" s="829" t="str">
        <f t="shared" si="84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3"/>
      <c r="BC116" s="893"/>
      <c r="BD116" s="893"/>
      <c r="BE116" s="897"/>
      <c r="BF116" s="897"/>
      <c r="BG116" s="897"/>
      <c r="BH116" s="893"/>
      <c r="BI116" s="897"/>
      <c r="BJ116" s="897"/>
      <c r="BK116" s="897"/>
      <c r="BL116" s="897"/>
      <c r="BM116" s="893"/>
      <c r="BN116" s="897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80"/>
        <v/>
      </c>
      <c r="M117" s="816" t="str">
        <f t="shared" si="81"/>
        <v/>
      </c>
      <c r="N117" s="816" t="str">
        <f t="shared" si="82"/>
        <v/>
      </c>
      <c r="R117" s="816" t="str">
        <f t="shared" si="83"/>
        <v/>
      </c>
      <c r="T117" s="829" t="str">
        <f t="shared" si="84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3"/>
      <c r="BC117" s="893"/>
      <c r="BD117" s="893"/>
      <c r="BE117" s="897"/>
      <c r="BF117" s="897"/>
      <c r="BG117" s="897"/>
      <c r="BH117" s="893"/>
      <c r="BI117" s="897"/>
      <c r="BJ117" s="897"/>
      <c r="BK117" s="897"/>
      <c r="BL117" s="897"/>
      <c r="BM117" s="893"/>
      <c r="BN117" s="897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80"/>
        <v/>
      </c>
      <c r="M118" s="816" t="str">
        <f t="shared" si="81"/>
        <v/>
      </c>
      <c r="N118" s="816" t="str">
        <f t="shared" si="82"/>
        <v/>
      </c>
      <c r="R118" s="816" t="str">
        <f t="shared" si="83"/>
        <v/>
      </c>
      <c r="T118" s="829" t="str">
        <f t="shared" si="84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3"/>
      <c r="BC118" s="893"/>
      <c r="BD118" s="893"/>
      <c r="BE118" s="897"/>
      <c r="BF118" s="897"/>
      <c r="BG118" s="897"/>
      <c r="BH118" s="893"/>
      <c r="BI118" s="897"/>
      <c r="BJ118" s="897"/>
      <c r="BK118" s="897"/>
      <c r="BL118" s="897"/>
      <c r="BM118" s="893"/>
      <c r="BN118" s="897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80"/>
        <v/>
      </c>
      <c r="M119" s="816" t="str">
        <f t="shared" si="81"/>
        <v/>
      </c>
      <c r="N119" s="816" t="str">
        <f t="shared" si="82"/>
        <v/>
      </c>
      <c r="R119" s="816" t="str">
        <f t="shared" si="83"/>
        <v/>
      </c>
      <c r="T119" s="829" t="str">
        <f t="shared" si="84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3"/>
      <c r="BC119" s="893"/>
      <c r="BD119" s="893"/>
      <c r="BE119" s="897"/>
      <c r="BF119" s="897"/>
      <c r="BG119" s="897"/>
      <c r="BH119" s="893"/>
      <c r="BI119" s="897"/>
      <c r="BJ119" s="897"/>
      <c r="BK119" s="897"/>
      <c r="BL119" s="897"/>
      <c r="BM119" s="893"/>
      <c r="BN119" s="897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80"/>
        <v/>
      </c>
      <c r="M120" s="816" t="str">
        <f t="shared" si="81"/>
        <v/>
      </c>
      <c r="N120" s="816" t="str">
        <f t="shared" si="82"/>
        <v/>
      </c>
      <c r="R120" s="816" t="str">
        <f t="shared" si="83"/>
        <v/>
      </c>
      <c r="T120" s="829" t="str">
        <f t="shared" si="84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3"/>
      <c r="BC120" s="893"/>
      <c r="BD120" s="893"/>
      <c r="BE120" s="897"/>
      <c r="BF120" s="897"/>
      <c r="BG120" s="897"/>
      <c r="BH120" s="893"/>
      <c r="BI120" s="897"/>
      <c r="BJ120" s="897"/>
      <c r="BK120" s="897"/>
      <c r="BL120" s="897"/>
      <c r="BM120" s="893"/>
      <c r="BN120" s="897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80"/>
        <v/>
      </c>
      <c r="M121" s="816" t="str">
        <f t="shared" si="81"/>
        <v/>
      </c>
      <c r="N121" s="816" t="str">
        <f t="shared" si="82"/>
        <v/>
      </c>
      <c r="R121" s="816" t="str">
        <f t="shared" si="83"/>
        <v/>
      </c>
      <c r="T121" s="829" t="str">
        <f t="shared" si="84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3"/>
      <c r="BC121" s="893"/>
      <c r="BD121" s="893"/>
      <c r="BE121" s="897"/>
      <c r="BF121" s="897"/>
      <c r="BG121" s="897"/>
      <c r="BH121" s="893"/>
      <c r="BI121" s="897"/>
      <c r="BJ121" s="897"/>
      <c r="BK121" s="897"/>
      <c r="BL121" s="897"/>
      <c r="BM121" s="893"/>
      <c r="BN121" s="897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80"/>
        <v/>
      </c>
      <c r="M122" s="816" t="str">
        <f t="shared" si="81"/>
        <v/>
      </c>
      <c r="N122" s="816" t="str">
        <f t="shared" si="82"/>
        <v/>
      </c>
      <c r="R122" s="816" t="str">
        <f t="shared" si="83"/>
        <v/>
      </c>
      <c r="T122" s="829" t="str">
        <f t="shared" si="84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3"/>
      <c r="BC122" s="893"/>
      <c r="BD122" s="893"/>
      <c r="BE122" s="897"/>
      <c r="BF122" s="897"/>
      <c r="BG122" s="897"/>
      <c r="BH122" s="893"/>
      <c r="BI122" s="897"/>
      <c r="BJ122" s="897"/>
      <c r="BK122" s="897"/>
      <c r="BL122" s="897"/>
      <c r="BM122" s="893"/>
      <c r="BN122" s="897"/>
      <c r="BO122" s="897"/>
      <c r="BP122" s="893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80"/>
        <v/>
      </c>
      <c r="M123" s="816" t="str">
        <f t="shared" si="81"/>
        <v/>
      </c>
      <c r="N123" s="816" t="str">
        <f t="shared" si="82"/>
        <v/>
      </c>
      <c r="R123" s="816" t="str">
        <f t="shared" si="83"/>
        <v/>
      </c>
      <c r="T123" s="829" t="str">
        <f t="shared" si="84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3"/>
      <c r="BC123" s="893"/>
      <c r="BD123" s="893"/>
      <c r="BE123" s="897"/>
      <c r="BF123" s="897"/>
      <c r="BG123" s="897"/>
      <c r="BH123" s="893"/>
      <c r="BI123" s="897"/>
      <c r="BJ123" s="897"/>
      <c r="BK123" s="897"/>
      <c r="BL123" s="897"/>
      <c r="BM123" s="893"/>
      <c r="BN123" s="897"/>
      <c r="BO123" s="897"/>
      <c r="BP123" s="893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</row>
    <row r="124" spans="4:82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80"/>
        <v/>
      </c>
      <c r="M124" s="816" t="str">
        <f t="shared" si="81"/>
        <v/>
      </c>
      <c r="N124" s="816" t="str">
        <f t="shared" si="82"/>
        <v/>
      </c>
      <c r="R124" s="816" t="str">
        <f t="shared" si="83"/>
        <v/>
      </c>
      <c r="T124" s="829" t="str">
        <f t="shared" si="84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3"/>
      <c r="BC124" s="893"/>
      <c r="BD124" s="893"/>
      <c r="BE124" s="897"/>
      <c r="BF124" s="897"/>
      <c r="BG124" s="897"/>
      <c r="BH124" s="893"/>
      <c r="BI124" s="897"/>
      <c r="BJ124" s="897"/>
      <c r="BK124" s="897"/>
      <c r="BL124" s="897"/>
      <c r="BM124" s="893"/>
      <c r="BN124" s="897"/>
      <c r="BO124" s="897"/>
      <c r="BP124" s="893"/>
      <c r="BQ124" s="897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</row>
    <row r="125" spans="4:82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80"/>
        <v/>
      </c>
      <c r="M125" s="816" t="str">
        <f t="shared" si="81"/>
        <v/>
      </c>
      <c r="N125" s="816" t="str">
        <f t="shared" si="82"/>
        <v/>
      </c>
      <c r="R125" s="816" t="str">
        <f t="shared" si="83"/>
        <v/>
      </c>
      <c r="T125" s="829" t="str">
        <f t="shared" si="84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  <c r="AG125" s="897"/>
      <c r="AH125" s="897"/>
      <c r="AI125" s="897"/>
      <c r="AJ125" s="897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3"/>
      <c r="BC125" s="893"/>
      <c r="BD125" s="893"/>
      <c r="BE125" s="897"/>
      <c r="BF125" s="897"/>
      <c r="BG125" s="897"/>
      <c r="BH125" s="893"/>
      <c r="BI125" s="897"/>
      <c r="BJ125" s="897"/>
      <c r="BK125" s="897"/>
      <c r="BL125" s="897"/>
      <c r="BM125" s="893"/>
      <c r="BN125" s="897"/>
      <c r="BO125" s="897"/>
      <c r="BP125" s="893"/>
      <c r="BQ125" s="897"/>
      <c r="BR125" s="897"/>
      <c r="BS125" s="897"/>
      <c r="BT125" s="897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</row>
    <row r="126" spans="4:82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80"/>
        <v/>
      </c>
      <c r="M126" s="816" t="str">
        <f t="shared" si="81"/>
        <v/>
      </c>
      <c r="N126" s="816" t="str">
        <f t="shared" si="82"/>
        <v/>
      </c>
      <c r="R126" s="816" t="str">
        <f t="shared" si="83"/>
        <v/>
      </c>
      <c r="T126" s="829" t="str">
        <f t="shared" si="84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  <c r="AG126" s="897"/>
      <c r="AH126" s="897"/>
      <c r="AI126" s="897"/>
      <c r="AJ126" s="897"/>
      <c r="AK126" s="893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3"/>
      <c r="BC126" s="893"/>
      <c r="BD126" s="893"/>
      <c r="BE126" s="897"/>
      <c r="BF126" s="897"/>
      <c r="BG126" s="897"/>
      <c r="BH126" s="893"/>
      <c r="BI126" s="897"/>
      <c r="BJ126" s="897"/>
      <c r="BK126" s="897"/>
      <c r="BL126" s="897"/>
      <c r="BM126" s="893"/>
      <c r="BN126" s="897"/>
      <c r="BO126" s="897"/>
      <c r="BP126" s="893"/>
      <c r="BQ126" s="897"/>
      <c r="BR126" s="897"/>
      <c r="BS126" s="897"/>
      <c r="BT126" s="897"/>
      <c r="BU126" s="897"/>
      <c r="BV126" s="897"/>
      <c r="BW126" s="897"/>
      <c r="BX126" s="897"/>
      <c r="BY126" s="897"/>
      <c r="BZ126" s="897"/>
      <c r="CA126" s="897"/>
      <c r="CB126" s="897"/>
      <c r="CC126" s="897"/>
      <c r="CD126" s="897"/>
    </row>
    <row r="127" spans="4:82" ht="15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80"/>
        <v/>
      </c>
      <c r="M127" s="816" t="str">
        <f t="shared" si="81"/>
        <v/>
      </c>
      <c r="N127" s="816" t="str">
        <f t="shared" si="82"/>
        <v/>
      </c>
      <c r="R127" s="816" t="str">
        <f t="shared" si="83"/>
        <v/>
      </c>
      <c r="T127" s="829" t="str">
        <f t="shared" si="84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  <c r="AG127" s="897"/>
      <c r="AH127" s="897"/>
      <c r="AI127" s="897"/>
      <c r="AJ127" s="897"/>
      <c r="AK127" s="893"/>
      <c r="AL127" s="897"/>
      <c r="AM127" s="897"/>
      <c r="AN127" s="897"/>
      <c r="AO127" s="897"/>
      <c r="AP127" s="897"/>
      <c r="AQ127" s="897"/>
      <c r="AR127" s="897"/>
      <c r="AS127" s="897"/>
      <c r="AT127" s="897"/>
      <c r="AU127" s="897"/>
      <c r="AV127" s="897"/>
      <c r="AW127" s="897"/>
      <c r="AX127" s="897"/>
      <c r="AY127" s="897"/>
      <c r="AZ127" s="897"/>
      <c r="BA127" s="897"/>
      <c r="BB127" s="893"/>
      <c r="BC127" s="893"/>
      <c r="BD127" s="893"/>
      <c r="BE127" s="897"/>
      <c r="BF127" s="897"/>
      <c r="BG127" s="897"/>
      <c r="BH127" s="893"/>
      <c r="BI127" s="897"/>
      <c r="BJ127" s="897"/>
      <c r="BK127" s="897"/>
      <c r="BL127" s="897"/>
      <c r="BM127" s="893"/>
      <c r="BN127" s="897"/>
      <c r="BO127" s="897"/>
      <c r="BP127" s="893"/>
      <c r="BQ127" s="897"/>
      <c r="BR127" s="897"/>
      <c r="BS127" s="897"/>
      <c r="BT127" s="897"/>
      <c r="BU127" s="897"/>
      <c r="BV127" s="897"/>
      <c r="BW127" s="897"/>
      <c r="BX127" s="897"/>
      <c r="BY127" s="897"/>
      <c r="BZ127" s="897"/>
      <c r="CA127" s="897"/>
      <c r="CB127" s="897"/>
      <c r="CC127" s="897"/>
      <c r="CD127" s="897"/>
    </row>
    <row r="128" spans="4:82" ht="15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80"/>
        <v/>
      </c>
      <c r="M128" s="816" t="str">
        <f t="shared" si="81"/>
        <v/>
      </c>
      <c r="N128" s="816" t="str">
        <f t="shared" si="82"/>
        <v/>
      </c>
      <c r="R128" s="816" t="str">
        <f t="shared" si="83"/>
        <v/>
      </c>
      <c r="T128" s="829" t="str">
        <f t="shared" si="84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  <c r="AG128" s="897"/>
      <c r="AH128" s="897"/>
      <c r="AI128" s="897"/>
      <c r="AJ128" s="897"/>
      <c r="AK128" s="893"/>
      <c r="AL128" s="897"/>
      <c r="AM128" s="897"/>
      <c r="AN128" s="897"/>
      <c r="AO128" s="897"/>
      <c r="AP128" s="897"/>
      <c r="AQ128" s="897"/>
      <c r="AR128" s="897"/>
      <c r="AS128" s="897"/>
      <c r="AT128" s="897"/>
      <c r="AU128" s="897"/>
      <c r="AV128" s="897"/>
      <c r="AW128" s="897"/>
      <c r="AX128" s="897"/>
      <c r="AY128" s="897"/>
      <c r="AZ128" s="897"/>
      <c r="BA128" s="897"/>
      <c r="BB128" s="893"/>
      <c r="BC128" s="893"/>
      <c r="BD128" s="893"/>
      <c r="BE128" s="897"/>
      <c r="BF128" s="897"/>
      <c r="BG128" s="897"/>
      <c r="BH128" s="893"/>
      <c r="BI128" s="897"/>
      <c r="BJ128" s="897"/>
      <c r="BK128" s="897"/>
      <c r="BL128" s="897"/>
      <c r="BM128" s="893"/>
      <c r="BN128" s="897"/>
      <c r="BO128" s="897"/>
      <c r="BP128" s="893"/>
      <c r="BQ128" s="897"/>
      <c r="BR128" s="897"/>
      <c r="BS128" s="897"/>
      <c r="BT128" s="897"/>
      <c r="BU128" s="897"/>
      <c r="BV128" s="897"/>
      <c r="BW128" s="897"/>
      <c r="BX128" s="897"/>
      <c r="BY128" s="897"/>
      <c r="BZ128" s="897"/>
      <c r="CA128" s="897"/>
      <c r="CB128" s="897"/>
      <c r="CC128" s="897"/>
      <c r="CD128" s="897"/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80"/>
        <v/>
      </c>
      <c r="M129" s="816" t="str">
        <f t="shared" si="81"/>
        <v/>
      </c>
      <c r="N129" s="816" t="str">
        <f t="shared" si="82"/>
        <v/>
      </c>
      <c r="R129" s="816" t="str">
        <f t="shared" si="83"/>
        <v/>
      </c>
      <c r="T129" s="829" t="str">
        <f t="shared" si="84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80"/>
        <v/>
      </c>
      <c r="M130" s="816" t="str">
        <f t="shared" si="81"/>
        <v/>
      </c>
      <c r="N130" s="816" t="str">
        <f t="shared" si="82"/>
        <v/>
      </c>
      <c r="R130" s="816" t="str">
        <f t="shared" si="83"/>
        <v/>
      </c>
      <c r="T130" s="829" t="str">
        <f t="shared" si="84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80"/>
        <v/>
      </c>
      <c r="M131" s="816" t="str">
        <f t="shared" si="81"/>
        <v/>
      </c>
      <c r="N131" s="816" t="str">
        <f t="shared" si="82"/>
        <v/>
      </c>
      <c r="R131" s="816" t="str">
        <f t="shared" si="83"/>
        <v/>
      </c>
      <c r="T131" s="829" t="str">
        <f t="shared" si="84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IF($J131="","",IF(SUM(IF(ISNUMBER(VALUE(RIGHT($AG131:$CI131,1))),VALUE(RIGHT($AG131:$CI131,1)),0))=$J131,"T","F"))</f>
        <v/>
      </c>
      <c r="AE131" s="816" t="str">
        <f t="array" ref="AE131">IF($J131="","",SUM(IF(LEFT($AG131:$DU131,1)="s",1,0))-SUM(IF(RIGHT(LEFT($AG131:$DU131,2))="-",1,0)))</f>
        <v/>
      </c>
      <c r="AF131" s="816" t="str">
        <f t="array" ref="AF131">IF($J131="","",SUM(IF(LEFT($AG131:$DA131,1)="X",1,0)))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80"/>
        <v/>
      </c>
      <c r="M132" s="816" t="str">
        <f t="shared" si="81"/>
        <v/>
      </c>
      <c r="N132" s="816" t="str">
        <f t="shared" si="82"/>
        <v/>
      </c>
      <c r="R132" s="816" t="str">
        <f t="shared" si="83"/>
        <v/>
      </c>
      <c r="T132" s="829" t="str">
        <f t="shared" si="84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IF($J132="","",IF(SUM(IF(ISNUMBER(VALUE(RIGHT($AG132:$CI132,1))),VALUE(RIGHT($AG132:$CI132,1)),0))=$J132,"T","F"))</f>
        <v/>
      </c>
      <c r="AE132" s="816" t="str">
        <f t="array" ref="AE132">IF($J132="","",SUM(IF(LEFT($AG132:$DU132,1)="s",1,0))-SUM(IF(RIGHT(LEFT($AG132:$DU132,2))="-",1,0)))</f>
        <v/>
      </c>
      <c r="AF132" s="816" t="str">
        <f t="array" ref="AF132">IF($J132="","",SUM(IF(LEFT($AG132:$DA132,1)="X",1,0)))</f>
        <v/>
      </c>
    </row>
    <row r="133" spans="4:32">
      <c r="D133" s="816" t="str">
        <f>IF(I133=Table!$C$1,VLOOKUP(G133,Table!$B$38:$AO$61,Table!$AO$35-1,FALSE),"")</f>
        <v/>
      </c>
      <c r="E133" s="816" t="s">
        <v>32</v>
      </c>
      <c r="F133" s="816" t="str">
        <f>IF(I133="","",IF(I133=Table!$C$1,VLOOKUP(G133,Table!$B$9:$AE$32,Table!$AE$6-1,FALSE),""))</f>
        <v/>
      </c>
      <c r="G133" s="833"/>
      <c r="H133" s="833"/>
      <c r="I133" s="833"/>
      <c r="J133" s="833"/>
      <c r="K133" s="833"/>
      <c r="L133" s="816" t="str">
        <f t="shared" si="80"/>
        <v/>
      </c>
      <c r="M133" s="816" t="str">
        <f t="shared" si="81"/>
        <v/>
      </c>
      <c r="N133" s="816" t="str">
        <f t="shared" si="82"/>
        <v/>
      </c>
      <c r="R133" s="816" t="str">
        <f t="shared" si="83"/>
        <v/>
      </c>
      <c r="T133" s="829" t="str">
        <f t="shared" si="84"/>
        <v/>
      </c>
      <c r="U133" s="829"/>
      <c r="V133" s="829"/>
      <c r="W133" s="829"/>
      <c r="X133" s="829"/>
      <c r="Y133" s="829"/>
      <c r="Z133" s="829"/>
      <c r="AA133" s="829"/>
      <c r="AB133" s="829"/>
      <c r="AC133" s="829"/>
      <c r="AD133" s="816" t="str">
        <f t="array" ref="AD133">IF($J133="","",IF(SUM(IF(ISNUMBER(VALUE(RIGHT($AG133:$CI133,1))),VALUE(RIGHT($AG133:$CI133,1)),0))=$J133,"T","F"))</f>
        <v/>
      </c>
      <c r="AE133" s="816" t="str">
        <f t="array" ref="AE133">IF($J133="","",SUM(IF(LEFT($AG133:$DU133,1)="s",1,0))-SUM(IF(RIGHT(LEFT($AG133:$DU133,2))="-",1,0)))</f>
        <v/>
      </c>
      <c r="AF133" s="816" t="str">
        <f t="array" ref="AF133">IF($J133="","",SUM(IF(LEFT($AG133:$DA133,1)="X",1,0)))</f>
        <v/>
      </c>
    </row>
    <row r="134" spans="4:32">
      <c r="D134" s="816" t="str">
        <f>IF(I134=Table!$C$1,VLOOKUP(G134,Table!$B$38:$AO$61,Table!$AO$35-1,FALSE),"")</f>
        <v/>
      </c>
      <c r="E134" s="816" t="s">
        <v>32</v>
      </c>
      <c r="F134" s="816" t="str">
        <f>IF(I134="","",IF(I134=Table!$C$1,VLOOKUP(G134,Table!$B$9:$AE$32,Table!$AE$6-1,FALSE),""))</f>
        <v/>
      </c>
      <c r="G134" s="833"/>
      <c r="H134" s="833"/>
      <c r="I134" s="833"/>
      <c r="J134" s="833"/>
      <c r="K134" s="833"/>
      <c r="L134" s="816" t="str">
        <f t="shared" si="80"/>
        <v/>
      </c>
      <c r="M134" s="816" t="str">
        <f t="shared" si="81"/>
        <v/>
      </c>
      <c r="N134" s="816" t="str">
        <f t="shared" si="82"/>
        <v/>
      </c>
      <c r="R134" s="816" t="str">
        <f t="shared" si="83"/>
        <v/>
      </c>
      <c r="T134" s="829" t="str">
        <f t="shared" si="84"/>
        <v/>
      </c>
      <c r="U134" s="829"/>
      <c r="V134" s="829"/>
      <c r="W134" s="829"/>
      <c r="X134" s="829"/>
      <c r="Y134" s="829"/>
      <c r="Z134" s="829"/>
      <c r="AA134" s="829"/>
      <c r="AB134" s="829"/>
      <c r="AC134" s="829"/>
      <c r="AD134" s="816" t="str">
        <f t="array" ref="AD134">IF($J134="","",IF(SUM(IF(ISNUMBER(VALUE(RIGHT($AG134:$CI134,1))),VALUE(RIGHT($AG134:$CI134,1)),0))=$J134,"T","F"))</f>
        <v/>
      </c>
      <c r="AE134" s="816" t="str">
        <f t="array" ref="AE134">IF($J134="","",SUM(IF(LEFT($AG134:$DU134,1)="s",1,0))-SUM(IF(RIGHT(LEFT($AG134:$DU134,2))="-",1,0)))</f>
        <v/>
      </c>
      <c r="AF134" s="816" t="str">
        <f t="array" ref="AF134">IF($J134="","",SUM(IF(LEFT($AG134:$DA134,1)="X",1,0)))</f>
        <v/>
      </c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  <row r="240" spans="7:29">
      <c r="G240" s="833"/>
      <c r="H240" s="833"/>
      <c r="I240" s="833"/>
      <c r="J240" s="833"/>
      <c r="K240" s="833"/>
      <c r="T240" s="829"/>
      <c r="U240" s="829"/>
      <c r="V240" s="829"/>
      <c r="W240" s="829"/>
      <c r="X240" s="829"/>
      <c r="Y240" s="829"/>
      <c r="Z240" s="829"/>
      <c r="AA240" s="829"/>
      <c r="AB240" s="829"/>
      <c r="AC240" s="829"/>
    </row>
    <row r="241" spans="7:29">
      <c r="G241" s="833"/>
      <c r="H241" s="833"/>
      <c r="I241" s="833"/>
      <c r="J241" s="833"/>
      <c r="K241" s="833"/>
      <c r="T241" s="829"/>
      <c r="U241" s="829"/>
      <c r="V241" s="829"/>
      <c r="W241" s="829"/>
      <c r="X241" s="829"/>
      <c r="Y241" s="829"/>
      <c r="Z241" s="829"/>
      <c r="AA241" s="829"/>
      <c r="AB241" s="829"/>
      <c r="AC241" s="829"/>
    </row>
  </sheetData>
  <autoFilter ref="A22:DG81"/>
  <mergeCells count="3">
    <mergeCell ref="W19:X19"/>
    <mergeCell ref="Y19:Z19"/>
    <mergeCell ref="AA19:AB19"/>
  </mergeCells>
  <phoneticPr fontId="21" type="noConversion"/>
  <conditionalFormatting sqref="AD23:AD311">
    <cfRule type="cellIs" dxfId="1377" priority="73" operator="equal">
      <formula>"T"</formula>
    </cfRule>
  </conditionalFormatting>
  <conditionalFormatting sqref="N23:N311">
    <cfRule type="cellIs" dxfId="1376" priority="80" stopIfTrue="1" operator="equal">
      <formula>"U"</formula>
    </cfRule>
    <cfRule type="cellIs" dxfId="1375" priority="81" stopIfTrue="1" operator="equal">
      <formula>"O"</formula>
    </cfRule>
  </conditionalFormatting>
  <conditionalFormatting sqref="L23:L311">
    <cfRule type="cellIs" dxfId="1374" priority="78" stopIfTrue="1" operator="equal">
      <formula>"W"</formula>
    </cfRule>
    <cfRule type="cellIs" dxfId="1373" priority="79" stopIfTrue="1" operator="equal">
      <formula>"D"</formula>
    </cfRule>
  </conditionalFormatting>
  <conditionalFormatting sqref="AF23:AF311">
    <cfRule type="cellIs" dxfId="1372" priority="76" stopIfTrue="1" operator="notEqual">
      <formula>11</formula>
    </cfRule>
    <cfRule type="cellIs" dxfId="1371" priority="77" stopIfTrue="1" operator="between">
      <formula>0</formula>
      <formula>20</formula>
    </cfRule>
  </conditionalFormatting>
  <conditionalFormatting sqref="AE23:AE311">
    <cfRule type="cellIs" dxfId="1370" priority="74" stopIfTrue="1" operator="notEqual">
      <formula>0</formula>
    </cfRule>
    <cfRule type="cellIs" dxfId="1369" priority="75" stopIfTrue="1" operator="between">
      <formula>0</formula>
      <formula>20</formula>
    </cfRule>
  </conditionalFormatting>
  <conditionalFormatting sqref="CF19:CW19">
    <cfRule type="expression" dxfId="1368" priority="69">
      <formula>CF19="G"</formula>
    </cfRule>
    <cfRule type="expression" dxfId="1367" priority="70">
      <formula>CF19="M"</formula>
    </cfRule>
    <cfRule type="expression" dxfId="1366" priority="71">
      <formula>CF19="D"</formula>
    </cfRule>
    <cfRule type="expression" dxfId="1365" priority="72">
      <formula>CF19="A"</formula>
    </cfRule>
  </conditionalFormatting>
  <conditionalFormatting sqref="AW19:BG19 AL19:AU19 BI19:CE19">
    <cfRule type="expression" dxfId="1364" priority="65">
      <formula>AL19="G"</formula>
    </cfRule>
    <cfRule type="expression" dxfId="1363" priority="66">
      <formula>OR(AL19="M",AL19="CM",AL19="LM",AL19="RM",AL19="DM",AL19="AM")</formula>
    </cfRule>
    <cfRule type="expression" dxfId="1362" priority="67">
      <formula>OR(AL19="D",AL19="CB",AL19="LB",AL19="RB")</formula>
    </cfRule>
    <cfRule type="expression" dxfId="1361" priority="68">
      <formula>OR(AL19="A",AL19="CF",AL19="SS",AL19="ST",AL19="RW",AL19="LW")</formula>
    </cfRule>
  </conditionalFormatting>
  <conditionalFormatting sqref="AW23:BD26 BI23:BK26 BE23:BG41 BH27:BK41 BP42 BD42 AV27:BD41 BP43:BV71 AG23:AU41 BL23:BV41 BN43:BO75 AG68:AS75 AU68:BD75 AT67:AT77 BE68:BG81 BH68:BJ75 BH68:BM71 AG43:BM67">
    <cfRule type="expression" dxfId="1360" priority="63">
      <formula>IF(ISNUMBER(VALUE(RIGHT(AG23,1))),1,0)</formula>
    </cfRule>
  </conditionalFormatting>
  <conditionalFormatting sqref="BX16:CD16 AG16:BS16">
    <cfRule type="top10" dxfId="1359" priority="82" stopIfTrue="1" rank="5"/>
  </conditionalFormatting>
  <conditionalFormatting sqref="BX15:CD15 AG15:BS15">
    <cfRule type="top10" dxfId="1358" priority="83" rank="11"/>
  </conditionalFormatting>
  <conditionalFormatting sqref="BX17:CD17 AG17:BS17">
    <cfRule type="top10" dxfId="1357" priority="84" stopIfTrue="1" rank="5"/>
  </conditionalFormatting>
  <conditionalFormatting sqref="BX14:CD14 AG14:BS14">
    <cfRule type="top10" dxfId="1356" priority="85" rank="11"/>
  </conditionalFormatting>
  <conditionalFormatting sqref="BI73">
    <cfRule type="expression" dxfId="1355" priority="61">
      <formula>IF(ISNUMBER(VALUE(RIGHT(BI73,1))),1,0)</formula>
    </cfRule>
  </conditionalFormatting>
  <conditionalFormatting sqref="AW19:BG19 BI19:BL19 AG19:AU19 BN19:BP19">
    <cfRule type="cellIs" dxfId="1354" priority="60" operator="equal">
      <formula>"M"</formula>
    </cfRule>
  </conditionalFormatting>
  <conditionalFormatting sqref="AW19:BG19 BI19:BL19 AG19:AU19 BN19:BP19">
    <cfRule type="cellIs" dxfId="1353" priority="59" operator="equal">
      <formula>"D"</formula>
    </cfRule>
  </conditionalFormatting>
  <conditionalFormatting sqref="AW19:BG19 BI19:BL19 AG19:AU19 BN19:BP19">
    <cfRule type="cellIs" dxfId="1352" priority="57" operator="equal">
      <formula>"G"</formula>
    </cfRule>
    <cfRule type="cellIs" dxfId="1351" priority="58" operator="equal">
      <formula>"A"</formula>
    </cfRule>
  </conditionalFormatting>
  <conditionalFormatting sqref="AW19:BG19 BI19:BL19 AG19:AU19 BN19:BP19">
    <cfRule type="containsText" dxfId="1350" priority="54" operator="containsText" text="FW">
      <formula>NOT(ISERROR(SEARCH("FW",AG19)))</formula>
    </cfRule>
    <cfRule type="containsText" dxfId="1349" priority="55" operator="containsText" text="MF">
      <formula>NOT(ISERROR(SEARCH("MF",AG19)))</formula>
    </cfRule>
    <cfRule type="containsText" dxfId="1348" priority="56" operator="containsText" text="DF">
      <formula>NOT(ISERROR(SEARCH("DF",AG19)))</formula>
    </cfRule>
  </conditionalFormatting>
  <conditionalFormatting sqref="AV19">
    <cfRule type="expression" dxfId="1347" priority="32">
      <formula>AV19="G"</formula>
    </cfRule>
    <cfRule type="expression" dxfId="1346" priority="33">
      <formula>OR(AV19="M",AV19="CM",AV19="LM",AV19="RM",AV19="DM",AV19="AM")</formula>
    </cfRule>
    <cfRule type="expression" dxfId="1345" priority="34">
      <formula>OR(AV19="D",AV19="CB",AV19="LB",AV19="RB")</formula>
    </cfRule>
    <cfRule type="expression" dxfId="1344" priority="35">
      <formula>OR(AV19="A",AV19="CF",AV19="SS",AV19="ST",AV19="RW",AV19="LW")</formula>
    </cfRule>
  </conditionalFormatting>
  <conditionalFormatting sqref="AV19">
    <cfRule type="cellIs" dxfId="1343" priority="31" operator="equal">
      <formula>"M"</formula>
    </cfRule>
  </conditionalFormatting>
  <conditionalFormatting sqref="AV19">
    <cfRule type="cellIs" dxfId="1342" priority="30" operator="equal">
      <formula>"D"</formula>
    </cfRule>
  </conditionalFormatting>
  <conditionalFormatting sqref="AV19">
    <cfRule type="cellIs" dxfId="1341" priority="28" operator="equal">
      <formula>"G"</formula>
    </cfRule>
    <cfRule type="cellIs" dxfId="1340" priority="29" operator="equal">
      <formula>"A"</formula>
    </cfRule>
  </conditionalFormatting>
  <conditionalFormatting sqref="AV19">
    <cfRule type="containsText" dxfId="1339" priority="25" operator="containsText" text="FW">
      <formula>NOT(ISERROR(SEARCH("FW",AV19)))</formula>
    </cfRule>
    <cfRule type="containsText" dxfId="1338" priority="26" operator="containsText" text="MF">
      <formula>NOT(ISERROR(SEARCH("MF",AV19)))</formula>
    </cfRule>
    <cfRule type="containsText" dxfId="1337" priority="27" operator="containsText" text="DF">
      <formula>NOT(ISERROR(SEARCH("DF",AV19)))</formula>
    </cfRule>
  </conditionalFormatting>
  <conditionalFormatting sqref="BH19">
    <cfRule type="expression" dxfId="1336" priority="21">
      <formula>BH19="G"</formula>
    </cfRule>
    <cfRule type="expression" dxfId="1335" priority="22">
      <formula>OR(BH19="M",BH19="CM",BH19="LM",BH19="RM",BH19="DM",BH19="AM")</formula>
    </cfRule>
    <cfRule type="expression" dxfId="1334" priority="23">
      <formula>OR(BH19="D",BH19="CB",BH19="LB",BH19="RB")</formula>
    </cfRule>
    <cfRule type="expression" dxfId="1333" priority="24">
      <formula>OR(BH19="A",BH19="CF",BH19="SS",BH19="ST",BH19="RW",BH19="LW")</formula>
    </cfRule>
  </conditionalFormatting>
  <conditionalFormatting sqref="BH19">
    <cfRule type="cellIs" dxfId="1332" priority="20" operator="equal">
      <formula>"M"</formula>
    </cfRule>
  </conditionalFormatting>
  <conditionalFormatting sqref="BH19">
    <cfRule type="cellIs" dxfId="1331" priority="19" operator="equal">
      <formula>"D"</formula>
    </cfRule>
  </conditionalFormatting>
  <conditionalFormatting sqref="BH19">
    <cfRule type="cellIs" dxfId="1330" priority="17" operator="equal">
      <formula>"G"</formula>
    </cfRule>
    <cfRule type="cellIs" dxfId="1329" priority="18" operator="equal">
      <formula>"A"</formula>
    </cfRule>
  </conditionalFormatting>
  <conditionalFormatting sqref="BH19">
    <cfRule type="containsText" dxfId="1328" priority="14" operator="containsText" text="FW">
      <formula>NOT(ISERROR(SEARCH("FW",BH19)))</formula>
    </cfRule>
    <cfRule type="containsText" dxfId="1327" priority="15" operator="containsText" text="MF">
      <formula>NOT(ISERROR(SEARCH("MF",BH19)))</formula>
    </cfRule>
    <cfRule type="containsText" dxfId="1326" priority="16" operator="containsText" text="DF">
      <formula>NOT(ISERROR(SEARCH("DF",BH19)))</formula>
    </cfRule>
  </conditionalFormatting>
  <conditionalFormatting sqref="AV23:AV26">
    <cfRule type="expression" dxfId="1325" priority="13">
      <formula>IF(ISNUMBER(VALUE(RIGHT(AV23,1))),1,0)</formula>
    </cfRule>
  </conditionalFormatting>
  <conditionalFormatting sqref="BH23:BH26">
    <cfRule type="expression" dxfId="1324" priority="12">
      <formula>IF(ISNUMBER(VALUE(RIGHT(BH23,1))),1,0)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$I23:$I243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8241978F-2143-43BE-BBA8-100CF3E2C8BE}">
            <xm:f>IF(ISNUMBER(VALUE(RIGHT('Fagiano Okayama'!AQ42,1))),1,0)</xm:f>
            <x14:dxf>
              <font>
                <b/>
                <i val="0"/>
                <color rgb="FF00B0F0"/>
              </font>
            </x14:dxf>
          </x14:cfRule>
          <xm:sqref>AQ42:AT42</xm:sqref>
        </x14:conditionalFormatting>
        <x14:conditionalFormatting xmlns:xm="http://schemas.microsoft.com/office/excel/2006/main">
          <x14:cfRule type="expression" priority="1" id="{6F31919C-DC7B-4282-B46D-642D01F836F8}">
            <xm:f>IF(ISNUMBER(VALUE(RIGHT('V-Varen Nagasaki'!AG42,1))),1,0)</xm:f>
            <x14:dxf>
              <font>
                <b/>
                <i val="0"/>
                <color rgb="FF00B0F0"/>
              </font>
            </x14:dxf>
          </x14:cfRule>
          <xm:sqref>BQ42:BW42 AG42:AJ42 AU42</xm:sqref>
        </x14:conditionalFormatting>
        <x14:conditionalFormatting xmlns:xm="http://schemas.microsoft.com/office/excel/2006/main">
          <x14:cfRule type="expression" priority="545" id="{6F31919C-DC7B-4282-B46D-642D01F836F8}">
            <xm:f>IF(ISNUMBER(VALUE(RIGHT('V-Varen Nagasaki'!BA42,1))),1,0)</xm:f>
            <x14:dxf>
              <font>
                <b/>
                <i val="0"/>
                <color rgb="FF00B0F0"/>
              </font>
            </x14:dxf>
          </x14:cfRule>
          <xm:sqref>BE42 AY42:BC42 BJ42:BM42</xm:sqref>
        </x14:conditionalFormatting>
        <x14:conditionalFormatting xmlns:xm="http://schemas.microsoft.com/office/excel/2006/main">
          <x14:cfRule type="expression" priority="597" id="{6F31919C-DC7B-4282-B46D-642D01F836F8}">
            <xm:f>IF(ISNUMBER(VALUE(RIGHT('V-Varen Nagasaki'!AV42,1))),1,0)</xm:f>
            <x14:dxf>
              <font>
                <b/>
                <i val="0"/>
                <color rgb="FF00B0F0"/>
              </font>
            </x14:dxf>
          </x14:cfRule>
          <xm:sqref>BO42</xm:sqref>
        </x14:conditionalFormatting>
        <x14:conditionalFormatting xmlns:xm="http://schemas.microsoft.com/office/excel/2006/main">
          <x14:cfRule type="expression" priority="605" id="{6F31919C-DC7B-4282-B46D-642D01F836F8}">
            <xm:f>IF(ISNUMBER(VALUE(RIGHT('V-Varen Nagasaki'!AW42,1))),1,0)</xm:f>
            <x14:dxf>
              <font>
                <b/>
                <i val="0"/>
                <color rgb="FF00B0F0"/>
              </font>
            </x14:dxf>
          </x14:cfRule>
          <xm:sqref>BH42:BI42 AV42:AX42</xm:sqref>
        </x14:conditionalFormatting>
        <x14:conditionalFormatting xmlns:xm="http://schemas.microsoft.com/office/excel/2006/main">
          <x14:cfRule type="expression" priority="751" id="{6F31919C-DC7B-4282-B46D-642D01F836F8}">
            <xm:f>IF(ISNUMBER(VALUE(RIGHT('V-Varen Nagasaki'!BI42,1))),1,0)</xm:f>
            <x14:dxf>
              <font>
                <b/>
                <i val="0"/>
                <color rgb="FF00B0F0"/>
              </font>
            </x14:dxf>
          </x14:cfRule>
          <xm:sqref>BF42:BG42</xm:sqref>
        </x14:conditionalFormatting>
        <x14:conditionalFormatting xmlns:xm="http://schemas.microsoft.com/office/excel/2006/main">
          <x14:cfRule type="expression" priority="912" id="{8241978F-2143-43BE-BBA8-100CF3E2C8BE}">
            <xm:f>IF(ISNUMBER(VALUE(RIGHT('Fagiano Okayama'!AP42,1))),1,0)</xm:f>
            <x14:dxf>
              <font>
                <b/>
                <i val="0"/>
                <color rgb="FF00B0F0"/>
              </font>
            </x14:dxf>
          </x14:cfRule>
          <xm:sqref>BN42</xm:sqref>
        </x14:conditionalFormatting>
        <x14:conditionalFormatting xmlns:xm="http://schemas.microsoft.com/office/excel/2006/main">
          <x14:cfRule type="expression" priority="925" id="{8241978F-2143-43BE-BBA8-100CF3E2C8BE}">
            <xm:f>IF(ISNUMBER(VALUE(RIGHT('Fagiano Okayama'!AM42,1))),1,0)</xm:f>
            <x14:dxf>
              <font>
                <b/>
                <i val="0"/>
                <color rgb="FF00B0F0"/>
              </font>
            </x14:dxf>
          </x14:cfRule>
          <xm:sqref>AN42:AP42</xm:sqref>
        </x14:conditionalFormatting>
        <x14:conditionalFormatting xmlns:xm="http://schemas.microsoft.com/office/excel/2006/main">
          <x14:cfRule type="expression" priority="1124" id="{6F31919C-DC7B-4282-B46D-642D01F836F8}">
            <xm:f>IF(ISNUMBER(VALUE(RIGHT('V-Varen Nagasaki'!AJ42,1))),1,0)</xm:f>
            <x14:dxf>
              <font>
                <b/>
                <i val="0"/>
                <color rgb="FF00B0F0"/>
              </font>
            </x14:dxf>
          </x14:cfRule>
          <xm:sqref>AK42:AM42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DO235"/>
  <sheetViews>
    <sheetView zoomScale="85" zoomScaleNormal="85" workbookViewId="0">
      <pane xSplit="32" ySplit="22" topLeftCell="AG50" activePane="bottomRight" state="frozen"/>
      <selection activeCell="AB20" sqref="AB20"/>
      <selection pane="topRight" activeCell="AB20" sqref="AB20"/>
      <selection pane="bottomLeft" activeCell="AB20" sqref="AB20"/>
      <selection pane="bottomRight" activeCell="G65" sqref="G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4" width="3.75" style="230" customWidth="1"/>
    <col min="45" max="45" width="3.75" customWidth="1"/>
    <col min="46" max="52" width="3.75" style="230" customWidth="1"/>
    <col min="53" max="54" width="3.75" bestFit="1" customWidth="1"/>
    <col min="55" max="55" width="3.75" customWidth="1"/>
    <col min="56" max="61" width="3.75" style="230" customWidth="1"/>
    <col min="62" max="62" width="3.75" bestFit="1" customWidth="1"/>
    <col min="63" max="63" width="3.75" customWidth="1"/>
    <col min="64" max="64" width="3.75" style="230" customWidth="1"/>
    <col min="65" max="65" width="3.75" bestFit="1" customWidth="1"/>
    <col min="66" max="66" width="3.75" style="230" customWidth="1"/>
    <col min="67" max="67" width="3.75" bestFit="1" customWidth="1"/>
    <col min="68" max="100" width="3.75" style="230" customWidth="1"/>
    <col min="101" max="16384" width="5.75" style="230"/>
  </cols>
  <sheetData>
    <row r="1" spans="1:88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>AG20</f>
        <v>Kenta Shimizu</v>
      </c>
      <c r="AH1" s="814" t="str">
        <f>AH20</f>
        <v>Shuhei Matsubara</v>
      </c>
      <c r="AI1" s="814" t="str">
        <f>AI20</f>
        <v>Takuya Seguchi</v>
      </c>
      <c r="AK1" s="814" t="str">
        <f>AK20</f>
        <v>Kazuya Sunamori</v>
      </c>
      <c r="AL1" s="814" t="str">
        <f>AL20</f>
        <v>Atsushi Ichimura</v>
      </c>
      <c r="AM1" s="814"/>
      <c r="AN1" s="814" t="str">
        <f>AT20</f>
        <v>Yong-Jik Ri</v>
      </c>
      <c r="AO1" s="814" t="str">
        <f>AO20</f>
        <v>Yusuke Takeda</v>
      </c>
      <c r="AP1" s="814" t="str">
        <f>AU20</f>
        <v>Hironori Nishi</v>
      </c>
      <c r="AQ1" s="814" t="str">
        <f>AZ20</f>
        <v>Shohei Yamamoto</v>
      </c>
      <c r="AR1" s="814" t="str">
        <f>AM20</f>
        <v>Takuya NAGASAWA</v>
      </c>
      <c r="AT1" s="814"/>
      <c r="AU1" s="814" t="str">
        <f>AW20</f>
        <v>Kota Ogino</v>
      </c>
      <c r="AV1" s="814" t="str">
        <f>BE20</f>
        <v>Daigo Watanabe</v>
      </c>
      <c r="AW1" s="814" t="str">
        <f>BF20</f>
        <v>Tomoya Osawa</v>
      </c>
      <c r="AX1" s="814" t="e">
        <f>#REF!</f>
        <v>#REF!</v>
      </c>
      <c r="AY1" s="814"/>
      <c r="AZ1" s="814"/>
      <c r="BD1" s="814"/>
      <c r="BE1" s="814" t="str">
        <f>BG20</f>
        <v>Kazuki Ganaha</v>
      </c>
      <c r="BF1" s="814" t="str">
        <f>BH20</f>
        <v>Tetsuya Kijima</v>
      </c>
      <c r="BG1" s="814">
        <f>BR20</f>
        <v>0</v>
      </c>
      <c r="BH1" s="814" t="str">
        <f>BJ20</f>
        <v>Yuki Fuke</v>
      </c>
      <c r="BI1" s="814"/>
      <c r="BL1" s="814"/>
      <c r="BN1" s="814" t="e">
        <f>#REF!</f>
        <v>#REF!</v>
      </c>
      <c r="BP1" s="814">
        <f>BP20</f>
        <v>0</v>
      </c>
      <c r="BQ1" s="814">
        <f>BQ20</f>
        <v>0</v>
      </c>
      <c r="BR1" s="814" t="e">
        <f>#REF!</f>
        <v>#REF!</v>
      </c>
      <c r="BS1" s="814"/>
      <c r="BT1" s="814"/>
      <c r="BU1" s="814"/>
      <c r="BV1" s="814"/>
      <c r="BW1" s="814">
        <f t="shared" ref="BW1:CC1" si="0">BW20</f>
        <v>0</v>
      </c>
      <c r="BX1" s="814">
        <f t="shared" si="0"/>
        <v>0</v>
      </c>
      <c r="BY1" s="814">
        <f t="shared" si="0"/>
        <v>0</v>
      </c>
      <c r="BZ1" s="814">
        <f t="shared" si="0"/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ref="CD1:CJ1" si="1">CD20</f>
        <v>0</v>
      </c>
      <c r="CE1" s="814">
        <f t="shared" si="1"/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</row>
    <row r="2" spans="1:88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SUM(IF(L$23:L$237="",0,1)*IF(ISBLANK($T$1),1,IF($I$23:$I$237=$T$1,1,0)))</f>
        <v>43</v>
      </c>
      <c r="AG2" s="874">
        <f t="array" ref="AG2">SUM(IF(ISBLANK(AG$23:AG$237),0,IF(AG$23:AG$237="susp",0,1))*IF(ISBLANK($T$1),1,IF($I$23:$I$237=$T$1,1,0)))</f>
        <v>43</v>
      </c>
      <c r="AH2" s="874">
        <f t="array" ref="AH2">SUM(IF(ISBLANK(AH$23:AH$237),0,IF(AH$23:AH$237="susp",0,1))*IF(ISBLANK($T$1),1,IF($I$23:$I$237=$T$1,1,0)))</f>
        <v>42</v>
      </c>
      <c r="AI2" s="874">
        <f t="array" ref="AI2">SUM(IF(ISBLANK(AI$23:AI$237),0,IF(AI$23:AI$237="susp",0,1))*IF(ISBLANK($T$1),1,IF($I$23:$I$237=$T$1,1,0)))</f>
        <v>43</v>
      </c>
      <c r="AK2" s="874">
        <f t="array" ref="AK2">SUM(IF(ISBLANK(AK$23:AK$237),0,IF(AK$23:AK$237="susp",0,1))*IF(ISBLANK($T$1),1,IF($I$23:$I$237=$T$1,1,0)))</f>
        <v>43</v>
      </c>
      <c r="AL2" s="874">
        <f t="array" ref="AL2">SUM(IF(ISBLANK(AL$23:AL$237),0,IF(AL$23:AL$237="susp",0,1))*IF(ISBLANK($T$1),1,IF($I$23:$I$237=$T$1,1,0)))</f>
        <v>43</v>
      </c>
      <c r="AN2" s="874">
        <f t="array" ref="AN2">SUM(IF(ISBLANK(AN$26:AN$237),0,IF(AN$26:AN$237="susp",0,1))*IF(ISBLANK($T$1),1,IF($I$23:$I$237=$T$1,1,0)))</f>
        <v>40</v>
      </c>
      <c r="AO2" s="874">
        <f t="array" ref="AO2">SUM(IF(ISBLANK(AO$23:AO$237),0,IF(AO$23:AO$237="susp",0,1))*IF(ISBLANK($T$1),1,IF($I$23:$I$237=$T$1,1,0)))</f>
        <v>43</v>
      </c>
      <c r="AP2" s="874">
        <f t="array" ref="AP2">SUM(IF(ISBLANK(AP$26:AP$237),0,IF(AP$26:AP$237="susp",0,1))*IF(ISBLANK($T$1),1,IF($I$23:$I$237=$T$1,1,0)))</f>
        <v>37</v>
      </c>
      <c r="AQ2" s="874">
        <f t="array" ref="AQ2">SUM(IF(ISBLANK(AQ$26:AQ$237),0,IF(AQ$26:AQ$237="susp",0,1))*IF(ISBLANK($T$1),1,IF($I$23:$I$237=$T$1,1,0)))</f>
        <v>39</v>
      </c>
      <c r="AR2" s="874">
        <f t="array" ref="AR2">SUM(IF(ISBLANK(AR$26:AR$237),0,IF(AR$26:AR$237="susp",0,1))*IF(ISBLANK($T$1),1,IF($I$23:$I$237=$T$1,1,0)))</f>
        <v>18</v>
      </c>
      <c r="AU2" s="874">
        <f t="array" ref="AU2">SUM(IF(ISBLANK(AU$23:AU$237),0,IF(AU$23:AU$237="susp",0,1))*IF(ISBLANK($T$1),1,IF($I$23:$I$237=$T$1,1,0)))</f>
        <v>43</v>
      </c>
      <c r="AV2" s="874">
        <f t="array" ref="AV2">SUM(IF(ISBLANK(AV$26:AV$237),0,IF(AV$26:AV$237="susp",0,1))*IF(ISBLANK($T$1),1,IF($I$23:$I$237=$T$1,1,0)))</f>
        <v>40</v>
      </c>
      <c r="AW2" s="874">
        <f t="array" ref="AW2">SUM(IF(ISBLANK(AW$26:AW$237),0,IF(AW$26:AW$237="susp",0,1))*IF(ISBLANK($T$1),1,IF($I$23:$I$237=$T$1,1,0)))</f>
        <v>40</v>
      </c>
      <c r="AX2" s="874">
        <f t="array" ref="AX2">SUM(IF(ISBLANK(AX$26:AX$237),0,IF(AX$26:AX$237="susp",0,1))*IF(ISBLANK($T$1),1,IF($I$23:$I$237=$T$1,1,0)))</f>
        <v>40</v>
      </c>
      <c r="BE2" s="874">
        <f t="array" ref="BE2">SUM(IF(ISBLANK(BE$23:BE$237),0,IF(BE$23:BE$237="susp",0,1))*IF(ISBLANK($T$1),1,IF($I$23:$I$237=$T$1,1,0)))</f>
        <v>43</v>
      </c>
      <c r="BF2" s="874">
        <f t="array" ref="BF2">SUM(IF(ISBLANK(BF$23:BF$237),0,IF(BF$23:BF$237="susp",0,1))*IF(ISBLANK($T$1),1,IF($I$23:$I$237=$T$1,1,0)))</f>
        <v>42</v>
      </c>
      <c r="BG2" s="874">
        <f t="array" ref="BG2">SUM(IF(ISBLANK(BG$23:BG$237),0,IF(BG$23:BG$237="susp",0,1))*IF(ISBLANK($T$1),1,IF($I$23:$I$237=$T$1,1,0)))</f>
        <v>43</v>
      </c>
      <c r="BH2" s="874">
        <f t="array" ref="BH2">SUM(IF(ISBLANK(BH$23:BH$237),0,IF(BH$23:BH$237="susp",0,1))*IF(ISBLANK($T$1),1,IF($I$23:$I$237=$T$1,1,0)))</f>
        <v>43</v>
      </c>
      <c r="BN2" s="874">
        <f t="array" ref="BN2">SUM(IF(ISBLANK(BN$26:BN$237),0,IF(BN$26:BN$237="susp",0,1))*IF(ISBLANK($T$1),1,IF($I$23:$I$237=$T$1,1,0)))</f>
        <v>2</v>
      </c>
      <c r="BP2" s="874">
        <f t="array" ref="BP2">SUM(IF(ISBLANK(BP$23:BP$237),0,IF(BP$23:BP$237="susp",0,1))*IF(ISBLANK($T$1),1,IF($I$23:$I$237=$T$1,1,0)))</f>
        <v>2</v>
      </c>
      <c r="BQ2" s="874">
        <f t="array" ref="BQ2">SUM(IF(ISBLANK(BQ$23:BQ$237),0,IF(BQ$23:BQ$237="susp",0,1))*IF(ISBLANK($T$1),1,IF($I$23:$I$237=$T$1,1,0)))</f>
        <v>2</v>
      </c>
      <c r="BR2" s="874">
        <f t="array" ref="BR2">SUM(IF(ISBLANK(BR$41:BR$237),0,IF(BR$41:BR$237="susp",0,1))*IF(ISBLANK($T$1),1,IF($I$23:$I$237=$T$1,1,0)))</f>
        <v>1</v>
      </c>
      <c r="BW2" s="874">
        <f t="array" ref="BW2">SUM(IF(ISBLANK(BW$23:BW$237),0,IF(BW$23:BW$237="susp",0,1))*IF(ISBLANK($T$1),1,IF($I$23:$I$237=$T$1,1,0)))</f>
        <v>1</v>
      </c>
      <c r="BX2" s="874">
        <f t="array" ref="BX2">SUM(IF(ISBLANK(BX$23:BX$237),0,IF(BX$23:BX$237="susp",0,1))*IF(ISBLANK($T$1),1,IF($I$23:$I$237=$T$1,1,0)))</f>
        <v>1</v>
      </c>
      <c r="BY2" s="874">
        <f t="array" ref="BY2">SUM(IF(ISBLANK(BY$23:BY$237),0,IF(BY$23:BY$237="susp",0,1))*IF(ISBLANK($T$1),1,IF($I$23:$I$237=$T$1,1,0)))</f>
        <v>0</v>
      </c>
      <c r="BZ2" s="874">
        <f t="array" ref="BZ2">SUM(IF(ISBLANK(BZ$23:BZ$237),0,IF(BZ$23:BZ$237="susp",0,1))*IF(ISBLANK($T$1),1,IF($I$23:$I$237=$T$1,1,0)))</f>
        <v>0</v>
      </c>
      <c r="CA2" s="874">
        <f t="array" ref="CA2">SUM(IF(ISBLANK(CA$23:CA$237),0,IF(CA$23:CA$237="susp",0,1))*IF(ISBLANK($T$1),1,IF($I$23:$I$237=$T$1,1,0)))</f>
        <v>0</v>
      </c>
      <c r="CB2" s="874">
        <f t="array" ref="CB2">SUM(IF(ISBLANK(CB$23:CB$237),0,IF(CB$23:CB$237="susp",0,1))*IF(ISBLANK($T$1),1,IF($I$23:$I$237=$T$1,1,0)))</f>
        <v>0</v>
      </c>
      <c r="CC2" s="874">
        <f t="array" ref="CC2">SUM(IF(ISBLANK(CC$23:CC$237),0,IF(CC$23:CC$237="susp",0,1))*IF(ISBLANK($T$1),1,IF($I$23:$I$237=$T$1,1,0)))</f>
        <v>0</v>
      </c>
      <c r="CD2" s="874">
        <f t="array" ref="CD2">SUM(IF(ISBLANK(CD$23:CD$237),0,IF(CD$23:CD$237="susp",0,1))*IF(ISBLANK($T$1),1,IF($I$23:$I$237=$T$1,1,0)))</f>
        <v>0</v>
      </c>
      <c r="CE2" s="874">
        <f t="array" ref="CE2">SUM(IF(ISBLANK(CE$23:CE$237),0,IF(CE$23:CE$237="susp",0,1))*IF(ISBLANK($T$1),1,IF($I$23:$I$237=$T$1,1,0)))</f>
        <v>0</v>
      </c>
      <c r="CF2" s="874">
        <f t="array" ref="CF2">SUM(IF(ISBLANK(CF$23:CF$237),0,IF(CF$23:CF$237="susp",0,1))*IF(ISBLANK($T$1),1,IF($I$23:$I$237=$T$1,1,0)))</f>
        <v>0</v>
      </c>
      <c r="CG2" s="874">
        <f t="array" ref="CG2">SUM(IF(ISBLANK(CG$23:CG$237),0,IF(CG$23:CG$237="susp",0,1))*IF(ISBLANK($T$1),1,IF($I$23:$I$237=$T$1,1,0)))</f>
        <v>0</v>
      </c>
      <c r="CH2" s="874">
        <f t="array" ref="CH2">SUM(IF(ISBLANK(CH$23:CH$237),0,IF(CH$23:CH$237="susp",0,1))*IF(ISBLANK($T$1),1,IF($I$23:$I$237=$T$1,1,0)))</f>
        <v>16</v>
      </c>
      <c r="CI2" s="874">
        <f t="array" ref="CI2">SUM(IF(ISBLANK(CI$23:CI$237),0,IF(CI$23:CI$237="susp",0,1))*IF(ISBLANK($T$1),1,IF($I$23:$I$237=$T$1,1,0)))</f>
        <v>16</v>
      </c>
      <c r="CJ2" s="874">
        <f t="array" ref="CJ2">SUM(IF(ISBLANK(CJ$23:CJ$237),0,IF(CJ$23:CJ$237="susp",0,1))*IF(ISBLANK($T$1),1,IF($I$23:$I$237=$T$1,1,0)))</f>
        <v>15</v>
      </c>
    </row>
    <row r="3" spans="1:88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SUM(IF(L$23:L$237="W",1,0)*IF(ISBLANK($T$1),1,IF($I$23:$I$237=$T$1,1,0)))</f>
        <v>8</v>
      </c>
      <c r="AG3" s="874">
        <f t="array" ref="AG3">SUM(IF(ISTEXT(AG$23:AG$237),1,0)*IF(($L$23:$L$237)="W",1,0)*IF(ISBLANK($T$1),1,IF($I$23:$I$237=$T$1,1,0)))</f>
        <v>8</v>
      </c>
      <c r="AH3" s="874">
        <f t="array" ref="AH3">SUM(IF(ISTEXT(AH$23:AH$237),1,0)*IF(($L$23:$L$237)="W",1,0)*IF(ISBLANK($T$1),1,IF($I$23:$I$237=$T$1,1,0)))</f>
        <v>8</v>
      </c>
      <c r="AI3" s="874">
        <f t="array" ref="AI3">SUM(IF(ISTEXT(AI$23:AI$237),1,0)*IF(($L$23:$L$237)="W",1,0)*IF(ISBLANK($T$1),1,IF($I$23:$I$237=$T$1,1,0)))</f>
        <v>8</v>
      </c>
      <c r="AK3" s="874">
        <f t="array" ref="AK3">SUM(IF(ISTEXT(AK$23:AK$237),1,0)*IF(($L$23:$L$237)="W",1,0)*IF(ISBLANK($T$1),1,IF($I$23:$I$237=$T$1,1,0)))</f>
        <v>8</v>
      </c>
      <c r="AL3" s="874">
        <f t="array" ref="AL3">SUM(IF(ISTEXT(AL$23:AL$237),1,0)*IF(($L$23:$L$237)="W",1,0)*IF(ISBLANK($T$1),1,IF($I$23:$I$237=$T$1,1,0)))</f>
        <v>8</v>
      </c>
      <c r="AN3" s="874" t="e">
        <f t="array" ref="AN3">SUM(IF(ISTEXT(AN$26:AN$237),1,0)*IF(($L$23:$L$237)="W",1,0)*IF(ISBLANK($T$1),1,IF($I$23:$I$237=$T$1,1,0)))</f>
        <v>#N/A</v>
      </c>
      <c r="AO3" s="874">
        <f t="array" ref="AO3">SUM(IF(ISTEXT(AO$23:AO$237),1,0)*IF(($L$23:$L$237)="W",1,0)*IF(ISBLANK($T$1),1,IF($I$23:$I$237=$T$1,1,0)))</f>
        <v>8</v>
      </c>
      <c r="AP3" s="874" t="e">
        <f t="array" ref="AP3">SUM(IF(ISTEXT(AP$26:AP$237),1,0)*IF(($L$23:$L$237)="W",1,0)*IF(ISBLANK($T$1),1,IF($I$23:$I$237=$T$1,1,0)))</f>
        <v>#N/A</v>
      </c>
      <c r="AQ3" s="874" t="e">
        <f t="array" ref="AQ3">SUM(IF(ISTEXT(AQ$26:AQ$237),1,0)*IF(($L$23:$L$237)="W",1,0)*IF(ISBLANK($T$1),1,IF($I$23:$I$237=$T$1,1,0)))</f>
        <v>#N/A</v>
      </c>
      <c r="AR3" s="874" t="e">
        <f t="array" ref="AR3">SUM(IF(ISTEXT(AR$26:AR$237),1,0)*IF(($L$23:$L$237)="W",1,0)*IF(ISBLANK($T$1),1,IF($I$23:$I$237=$T$1,1,0)))</f>
        <v>#N/A</v>
      </c>
      <c r="AU3" s="874">
        <f t="array" ref="AU3">SUM(IF(ISTEXT(AU$23:AU$237),1,0)*IF(($L$23:$L$237)="W",1,0)*IF(ISBLANK($T$1),1,IF($I$23:$I$237=$T$1,1,0)))</f>
        <v>8</v>
      </c>
      <c r="AV3" s="874" t="e">
        <f t="array" ref="AV3">SUM(IF(ISTEXT(AV$26:AV$237),1,0)*IF(($L$23:$L$237)="W",1,0)*IF(ISBLANK($T$1),1,IF($I$23:$I$237=$T$1,1,0)))</f>
        <v>#N/A</v>
      </c>
      <c r="AW3" s="874" t="e">
        <f t="array" ref="AW3">SUM(IF(ISTEXT(AW$26:AW$237),1,0)*IF(($L$23:$L$237)="W",1,0)*IF(ISBLANK($T$1),1,IF($I$23:$I$237=$T$1,1,0)))</f>
        <v>#N/A</v>
      </c>
      <c r="AX3" s="874" t="e">
        <f t="array" ref="AX3">SUM(IF(ISTEXT(AX$26:AX$237),1,0)*IF(($L$23:$L$237)="W",1,0)*IF(ISBLANK($T$1),1,IF($I$23:$I$237=$T$1,1,0)))</f>
        <v>#N/A</v>
      </c>
      <c r="BE3" s="874">
        <f t="array" ref="BE3">SUM(IF(ISTEXT(BE$23:BE$237),1,0)*IF(($L$23:$L$237)="W",1,0)*IF(ISBLANK($T$1),1,IF($I$23:$I$237=$T$1,1,0)))</f>
        <v>8</v>
      </c>
      <c r="BF3" s="874">
        <f t="array" ref="BF3">SUM(IF(ISTEXT(BF$23:BF$237),1,0)*IF(($L$23:$L$237)="W",1,0)*IF(ISBLANK($T$1),1,IF($I$23:$I$237=$T$1,1,0)))</f>
        <v>8</v>
      </c>
      <c r="BG3" s="874">
        <f t="array" ref="BG3">SUM(IF(ISTEXT(BG$23:BG$237),1,0)*IF(($L$23:$L$237)="W",1,0)*IF(ISBLANK($T$1),1,IF($I$23:$I$237=$T$1,1,0)))</f>
        <v>8</v>
      </c>
      <c r="BH3" s="874">
        <f t="array" ref="BH3">SUM(IF(ISTEXT(BH$23:BH$237),1,0)*IF(($L$23:$L$237)="W",1,0)*IF(ISBLANK($T$1),1,IF($I$23:$I$237=$T$1,1,0)))</f>
        <v>8</v>
      </c>
      <c r="BN3" s="874" t="e">
        <f t="array" ref="BN3">SUM(IF(ISTEXT(BN$26:BN$237),1,0)*IF(($L$23:$L$237)="W",1,0)*IF(ISBLANK($T$1),1,IF($I$23:$I$237=$T$1,1,0)))</f>
        <v>#N/A</v>
      </c>
      <c r="BP3" s="874">
        <f t="array" ref="BP3">SUM(IF(ISTEXT(BP$23:BP$237),1,0)*IF(($L$23:$L$237)="W",1,0)*IF(ISBLANK($T$1),1,IF($I$23:$I$237=$T$1,1,0)))</f>
        <v>0</v>
      </c>
      <c r="BQ3" s="874">
        <f t="array" ref="BQ3">SUM(IF(ISTEXT(BQ$23:BQ$237),1,0)*IF(($L$23:$L$237)="W",1,0)*IF(ISBLANK($T$1),1,IF($I$23:$I$237=$T$1,1,0)))</f>
        <v>0</v>
      </c>
      <c r="BR3" s="874" t="e">
        <f t="array" ref="BR3">SUM(IF(ISTEXT(BR$41:BR$237),1,0)*IF(($L$23:$L$237)="W",1,0)*IF(ISBLANK($T$1),1,IF($I$23:$I$237=$T$1,1,0)))</f>
        <v>#N/A</v>
      </c>
      <c r="BW3" s="874">
        <f t="array" ref="BW3">SUM(IF(ISTEXT(BW$23:BW$237),1,0)*IF(($L$23:$L$237)="W",1,0)*IF(ISBLANK($T$1),1,IF($I$23:$I$237=$T$1,1,0)))</f>
        <v>0</v>
      </c>
      <c r="BX3" s="874">
        <f t="array" ref="BX3">SUM(IF(ISTEXT(BX$23:BX$237),1,0)*IF(($L$23:$L$237)="W",1,0)*IF(ISBLANK($T$1),1,IF($I$23:$I$237=$T$1,1,0)))</f>
        <v>0</v>
      </c>
      <c r="BY3" s="874">
        <f t="array" ref="BY3">SUM(IF(ISTEXT(BY$23:BY$237),1,0)*IF(($L$23:$L$237)="W",1,0)*IF(ISBLANK($T$1),1,IF($I$23:$I$237=$T$1,1,0)))</f>
        <v>0</v>
      </c>
      <c r="BZ3" s="874">
        <f t="array" ref="BZ3">SUM(IF(ISTEXT(BZ$23:BZ$237),1,0)*IF(($L$23:$L$237)="W",1,0)*IF(ISBLANK($T$1),1,IF($I$23:$I$237=$T$1,1,0)))</f>
        <v>0</v>
      </c>
      <c r="CA3" s="874">
        <f t="array" ref="CA3">SUM(IF(ISTEXT(CA$23:CA$237),1,0)*IF(($L$23:$L$237)="W",1,0)*IF(ISBLANK($T$1),1,IF($I$23:$I$237=$T$1,1,0)))</f>
        <v>0</v>
      </c>
      <c r="CB3" s="874">
        <f t="array" ref="CB3">SUM(IF(ISTEXT(CB$23:CB$237),1,0)*IF(($L$23:$L$237)="W",1,0)*IF(ISBLANK($T$1),1,IF($I$23:$I$237=$T$1,1,0)))</f>
        <v>0</v>
      </c>
      <c r="CC3" s="874">
        <f t="array" ref="CC3">SUM(IF(ISTEXT(CC$23:CC$237),1,0)*IF(($L$23:$L$237)="W",1,0)*IF(ISBLANK($T$1),1,IF($I$23:$I$237=$T$1,1,0)))</f>
        <v>0</v>
      </c>
      <c r="CD3" s="874">
        <f t="array" ref="CD3">SUM(IF(ISTEXT(CD$23:CD$237),1,0)*IF(($L$23:$L$237)="W",1,0)*IF(ISBLANK($T$1),1,IF($I$23:$I$237=$T$1,1,0)))</f>
        <v>0</v>
      </c>
      <c r="CE3" s="874">
        <f t="array" ref="CE3">SUM(IF(ISTEXT(CE$23:CE$237),1,0)*IF(($L$23:$L$237)="W",1,0)*IF(ISBLANK($T$1),1,IF($I$23:$I$237=$T$1,1,0)))</f>
        <v>0</v>
      </c>
      <c r="CF3" s="874">
        <f t="array" ref="CF3">SUM(IF(ISTEXT(CF$23:CF$237),1,0)*IF(($L$23:$L$237)="W",1,0)*IF(ISBLANK($T$1),1,IF($I$23:$I$237=$T$1,1,0)))</f>
        <v>0</v>
      </c>
      <c r="CG3" s="874">
        <f t="array" ref="CG3">SUM(IF(ISTEXT(CG$23:CG$237),1,0)*IF(($L$23:$L$237)="W",1,0)*IF(ISBLANK($T$1),1,IF($I$23:$I$237=$T$1,1,0)))</f>
        <v>0</v>
      </c>
      <c r="CH3" s="874">
        <f t="array" ref="CH3">SUM(IF(ISTEXT(CH$23:CH$237),1,0)*IF(($L$23:$L$237)="W",1,0)*IF(ISBLANK($T$1),1,IF($I$23:$I$237=$T$1,1,0)))</f>
        <v>2</v>
      </c>
      <c r="CI3" s="874">
        <f t="array" ref="CI3">SUM(IF(ISTEXT(CI$23:CI$237),1,0)*IF(($L$23:$L$237)="W",1,0)*IF(ISBLANK($T$1),1,IF($I$23:$I$237=$T$1,1,0)))</f>
        <v>2</v>
      </c>
      <c r="CJ3" s="874">
        <f t="array" ref="CJ3">SUM(IF(ISTEXT(CJ$23:CJ$237),1,0)*IF(($L$23:$L$237)="W",1,0)*IF(ISBLANK($T$1),1,IF($I$23:$I$237=$T$1,1,0)))</f>
        <v>2</v>
      </c>
    </row>
    <row r="4" spans="1:88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SUM(IF(L$23:L$237="D",1,0)*IF(ISBLANK($T$1),1,IF($I$23:$I$237=$T$1,1,0)))</f>
        <v>14</v>
      </c>
      <c r="AG4" s="874">
        <f t="array" ref="AG4">SUM(IF(ISTEXT(AG$23:AG$237),1,0)*IF(($L$23:$L$237)="D",1,0)*IF(ISBLANK($T$1),1,IF($I$23:$I$237=$T$1,1,0)))</f>
        <v>14</v>
      </c>
      <c r="AH4" s="874">
        <f t="array" ref="AH4">SUM(IF(ISTEXT(AH$23:AH$237),1,0)*IF(($L$23:$L$237)="D",1,0)*IF(ISBLANK($T$1),1,IF($I$23:$I$237=$T$1,1,0)))</f>
        <v>14</v>
      </c>
      <c r="AI4" s="874">
        <f t="array" ref="AI4">SUM(IF(ISTEXT(AI$23:AI$237),1,0)*IF(($L$23:$L$237)="D",1,0)*IF(ISBLANK($T$1),1,IF($I$23:$I$237=$T$1,1,0)))</f>
        <v>14</v>
      </c>
      <c r="AK4" s="874">
        <f t="array" ref="AK4">SUM(IF(ISTEXT(AK$23:AK$237),1,0)*IF(($L$23:$L$237)="D",1,0)*IF(ISBLANK($T$1),1,IF($I$23:$I$237=$T$1,1,0)))</f>
        <v>14</v>
      </c>
      <c r="AL4" s="874">
        <f t="array" ref="AL4">SUM(IF(ISTEXT(AL$23:AL$237),1,0)*IF(($L$23:$L$237)="D",1,0)*IF(ISBLANK($T$1),1,IF($I$23:$I$237=$T$1,1,0)))</f>
        <v>14</v>
      </c>
      <c r="AN4" s="874" t="e">
        <f t="array" ref="AN4">SUM(IF(ISTEXT(AN$26:AN$237),1,0)*IF(($L$23:$L$237)="D",1,0)*IF(ISBLANK($T$1),1,IF($I$23:$I$237=$T$1,1,0)))</f>
        <v>#N/A</v>
      </c>
      <c r="AO4" s="874">
        <f t="array" ref="AO4">SUM(IF(ISTEXT(AO$23:AO$237),1,0)*IF(($L$23:$L$237)="D",1,0)*IF(ISBLANK($T$1),1,IF($I$23:$I$237=$T$1,1,0)))</f>
        <v>14</v>
      </c>
      <c r="AP4" s="874" t="e">
        <f t="array" ref="AP4">SUM(IF(ISTEXT(AP$26:AP$237),1,0)*IF(($L$23:$L$237)="D",1,0)*IF(ISBLANK($T$1),1,IF($I$23:$I$237=$T$1,1,0)))</f>
        <v>#N/A</v>
      </c>
      <c r="AQ4" s="874" t="e">
        <f t="array" ref="AQ4">SUM(IF(ISTEXT(AQ$26:AQ$237),1,0)*IF(($L$23:$L$237)="D",1,0)*IF(ISBLANK($T$1),1,IF($I$23:$I$237=$T$1,1,0)))</f>
        <v>#N/A</v>
      </c>
      <c r="AR4" s="874" t="e">
        <f t="array" ref="AR4">SUM(IF(ISTEXT(AR$26:AR$237),1,0)*IF(($L$23:$L$237)="D",1,0)*IF(ISBLANK($T$1),1,IF($I$23:$I$237=$T$1,1,0)))</f>
        <v>#N/A</v>
      </c>
      <c r="AU4" s="874">
        <f t="array" ref="AU4">SUM(IF(ISTEXT(AU$23:AU$237),1,0)*IF(($L$23:$L$237)="D",1,0)*IF(ISBLANK($T$1),1,IF($I$23:$I$237=$T$1,1,0)))</f>
        <v>14</v>
      </c>
      <c r="AV4" s="874" t="e">
        <f t="array" ref="AV4">SUM(IF(ISTEXT(AV$26:AV$237),1,0)*IF(($L$23:$L$237)="D",1,0)*IF(ISBLANK($T$1),1,IF($I$23:$I$237=$T$1,1,0)))</f>
        <v>#N/A</v>
      </c>
      <c r="AW4" s="874" t="e">
        <f t="array" ref="AW4">SUM(IF(ISTEXT(AW$26:AW$237),1,0)*IF(($L$23:$L$237)="D",1,0)*IF(ISBLANK($T$1),1,IF($I$23:$I$237=$T$1,1,0)))</f>
        <v>#N/A</v>
      </c>
      <c r="AX4" s="874" t="e">
        <f t="array" ref="AX4">SUM(IF(ISTEXT(AX$26:AX$237),1,0)*IF(($L$23:$L$237)="D",1,0)*IF(ISBLANK($T$1),1,IF($I$23:$I$237=$T$1,1,0)))</f>
        <v>#N/A</v>
      </c>
      <c r="BE4" s="874">
        <f t="array" ref="BE4">SUM(IF(ISTEXT(BE$23:BE$237),1,0)*IF(($L$23:$L$237)="D",1,0)*IF(ISBLANK($T$1),1,IF($I$23:$I$237=$T$1,1,0)))</f>
        <v>14</v>
      </c>
      <c r="BF4" s="874">
        <f t="array" ref="BF4">SUM(IF(ISTEXT(BF$23:BF$237),1,0)*IF(($L$23:$L$237)="D",1,0)*IF(ISBLANK($T$1),1,IF($I$23:$I$237=$T$1,1,0)))</f>
        <v>14</v>
      </c>
      <c r="BG4" s="874">
        <f t="array" ref="BG4">SUM(IF(ISTEXT(BG$23:BG$237),1,0)*IF(($L$23:$L$237)="D",1,0)*IF(ISBLANK($T$1),1,IF($I$23:$I$237=$T$1,1,0)))</f>
        <v>14</v>
      </c>
      <c r="BH4" s="874">
        <f t="array" ref="BH4">SUM(IF(ISTEXT(BH$23:BH$237),1,0)*IF(($L$23:$L$237)="D",1,0)*IF(ISBLANK($T$1),1,IF($I$23:$I$237=$T$1,1,0)))</f>
        <v>14</v>
      </c>
      <c r="BN4" s="874" t="e">
        <f t="array" ref="BN4">SUM(IF(ISTEXT(BN$26:BN$237),1,0)*IF(($L$23:$L$237)="D",1,0)*IF(ISBLANK($T$1),1,IF($I$23:$I$237=$T$1,1,0)))</f>
        <v>#N/A</v>
      </c>
      <c r="BP4" s="874">
        <f t="array" ref="BP4">SUM(IF(ISTEXT(BP$23:BP$237),1,0)*IF(($L$23:$L$237)="D",1,0)*IF(ISBLANK($T$1),1,IF($I$23:$I$237=$T$1,1,0)))</f>
        <v>0</v>
      </c>
      <c r="BQ4" s="874">
        <f t="array" ref="BQ4">SUM(IF(ISTEXT(BQ$23:BQ$237),1,0)*IF(($L$23:$L$237)="D",1,0)*IF(ISBLANK($T$1),1,IF($I$23:$I$237=$T$1,1,0)))</f>
        <v>0</v>
      </c>
      <c r="BR4" s="874" t="e">
        <f t="array" ref="BR4">SUM(IF(ISTEXT(BR$41:BR$237),1,0)*IF(($L$23:$L$237)="D",1,0)*IF(ISBLANK($T$1),1,IF($I$23:$I$237=$T$1,1,0)))</f>
        <v>#N/A</v>
      </c>
      <c r="BW4" s="874">
        <f t="array" ref="BW4">SUM(IF(ISTEXT(BW$23:BW$237),1,0)*IF(($L$23:$L$237)="D",1,0)*IF(ISBLANK($T$1),1,IF($I$23:$I$237=$T$1,1,0)))</f>
        <v>0</v>
      </c>
      <c r="BX4" s="874">
        <f t="array" ref="BX4">SUM(IF(ISTEXT(BX$23:BX$237),1,0)*IF(($L$23:$L$237)="D",1,0)*IF(ISBLANK($T$1),1,IF($I$23:$I$237=$T$1,1,0)))</f>
        <v>0</v>
      </c>
      <c r="BY4" s="874">
        <f t="array" ref="BY4">SUM(IF(ISTEXT(BY$23:BY$237),1,0)*IF(($L$23:$L$237)="D",1,0)*IF(ISBLANK($T$1),1,IF($I$23:$I$237=$T$1,1,0)))</f>
        <v>0</v>
      </c>
      <c r="BZ4" s="874">
        <f t="array" ref="BZ4">SUM(IF(ISTEXT(BZ$23:BZ$237),1,0)*IF(($L$23:$L$237)="D",1,0)*IF(ISBLANK($T$1),1,IF($I$23:$I$237=$T$1,1,0)))</f>
        <v>0</v>
      </c>
      <c r="CA4" s="874">
        <f t="array" ref="CA4">SUM(IF(ISTEXT(CA$23:CA$237),1,0)*IF(($L$23:$L$237)="D",1,0)*IF(ISBLANK($T$1),1,IF($I$23:$I$237=$T$1,1,0)))</f>
        <v>0</v>
      </c>
      <c r="CB4" s="874">
        <f t="array" ref="CB4">SUM(IF(ISTEXT(CB$23:CB$237),1,0)*IF(($L$23:$L$237)="D",1,0)*IF(ISBLANK($T$1),1,IF($I$23:$I$237=$T$1,1,0)))</f>
        <v>0</v>
      </c>
      <c r="CC4" s="874">
        <f t="array" ref="CC4">SUM(IF(ISTEXT(CC$23:CC$237),1,0)*IF(($L$23:$L$237)="D",1,0)*IF(ISBLANK($T$1),1,IF($I$23:$I$237=$T$1,1,0)))</f>
        <v>0</v>
      </c>
      <c r="CD4" s="874">
        <f t="array" ref="CD4">SUM(IF(ISTEXT(CD$23:CD$237),1,0)*IF(($L$23:$L$237)="D",1,0)*IF(ISBLANK($T$1),1,IF($I$23:$I$237=$T$1,1,0)))</f>
        <v>0</v>
      </c>
      <c r="CE4" s="874">
        <f t="array" ref="CE4">SUM(IF(ISTEXT(CE$23:CE$237),1,0)*IF(($L$23:$L$237)="D",1,0)*IF(ISBLANK($T$1),1,IF($I$23:$I$237=$T$1,1,0)))</f>
        <v>0</v>
      </c>
      <c r="CF4" s="874">
        <f t="array" ref="CF4">SUM(IF(ISTEXT(CF$23:CF$237),1,0)*IF(($L$23:$L$237)="D",1,0)*IF(ISBLANK($T$1),1,IF($I$23:$I$237=$T$1,1,0)))</f>
        <v>0</v>
      </c>
      <c r="CG4" s="874">
        <f t="array" ref="CG4">SUM(IF(ISTEXT(CG$23:CG$237),1,0)*IF(($L$23:$L$237)="D",1,0)*IF(ISBLANK($T$1),1,IF($I$23:$I$237=$T$1,1,0)))</f>
        <v>0</v>
      </c>
      <c r="CH4" s="874">
        <f t="array" ref="CH4">SUM(IF(ISTEXT(CH$23:CH$237),1,0)*IF(($L$23:$L$237)="D",1,0)*IF(ISBLANK($T$1),1,IF($I$23:$I$237=$T$1,1,0)))</f>
        <v>6</v>
      </c>
      <c r="CI4" s="874">
        <f t="array" ref="CI4">SUM(IF(ISTEXT(CI$23:CI$237),1,0)*IF(($L$23:$L$237)="D",1,0)*IF(ISBLANK($T$1),1,IF($I$23:$I$237=$T$1,1,0)))</f>
        <v>6</v>
      </c>
      <c r="CJ4" s="874">
        <f t="array" ref="CJ4">SUM(IF(ISTEXT(CJ$23:CJ$237),1,0)*IF(($L$23:$L$237)="D",1,0)*IF(ISBLANK($T$1),1,IF($I$23:$I$237=$T$1,1,0)))</f>
        <v>6</v>
      </c>
    </row>
    <row r="5" spans="1:88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SUM(IF(L$23:L$237="L",1,0)*IF(ISBLANK($T$1),1,IF($I$23:$I$237=$T$1,1,0)))</f>
        <v>21</v>
      </c>
      <c r="AG5" s="874">
        <f t="array" ref="AG5">SUM(IF(ISTEXT(AG$23:AG$237),1,0)*IF(($L$23:$L$237)="L",1,0)*IF(ISBLANK($T$1),1,IF($I$23:$I$237=$T$1,1,0)))</f>
        <v>21</v>
      </c>
      <c r="AH5" s="874">
        <f t="array" ref="AH5">SUM(IF(ISTEXT(AH$23:AH$237),1,0)*IF(($L$23:$L$237)="L",1,0)*IF(ISBLANK($T$1),1,IF($I$23:$I$237=$T$1,1,0)))</f>
        <v>20</v>
      </c>
      <c r="AI5" s="874">
        <f t="array" ref="AI5">SUM(IF(ISTEXT(AI$23:AI$237),1,0)*IF(($L$23:$L$237)="L",1,0)*IF(ISBLANK($T$1),1,IF($I$23:$I$237=$T$1,1,0)))</f>
        <v>21</v>
      </c>
      <c r="AK5" s="874">
        <f t="array" ref="AK5">SUM(IF(ISTEXT(AK$23:AK$237),1,0)*IF(($L$23:$L$237)="L",1,0)*IF(ISBLANK($T$1),1,IF($I$23:$I$237=$T$1,1,0)))</f>
        <v>21</v>
      </c>
      <c r="AL5" s="874">
        <f t="array" ref="AL5">SUM(IF(ISTEXT(AL$23:AL$237),1,0)*IF(($L$23:$L$237)="L",1,0)*IF(ISBLANK($T$1),1,IF($I$23:$I$237=$T$1,1,0)))</f>
        <v>21</v>
      </c>
      <c r="AN5" s="874" t="e">
        <f t="array" ref="AN5">SUM(IF(ISTEXT(AN$26:AN$237),1,0)*IF(($L$23:$L$237)="L",1,0)*IF(ISBLANK($T$1),1,IF($I$23:$I$237=$T$1,1,0)))</f>
        <v>#N/A</v>
      </c>
      <c r="AO5" s="874">
        <f t="array" ref="AO5">SUM(IF(ISTEXT(AO$23:AO$237),1,0)*IF(($L$23:$L$237)="L",1,0)*IF(ISBLANK($T$1),1,IF($I$23:$I$237=$T$1,1,0)))</f>
        <v>21</v>
      </c>
      <c r="AP5" s="874" t="e">
        <f t="array" ref="AP5">SUM(IF(ISTEXT(AP$26:AP$237),1,0)*IF(($L$23:$L$237)="L",1,0)*IF(ISBLANK($T$1),1,IF($I$23:$I$237=$T$1,1,0)))</f>
        <v>#N/A</v>
      </c>
      <c r="AQ5" s="874" t="e">
        <f t="array" ref="AQ5">SUM(IF(ISTEXT(AQ$26:AQ$237),1,0)*IF(($L$23:$L$237)="L",1,0)*IF(ISBLANK($T$1),1,IF($I$23:$I$237=$T$1,1,0)))</f>
        <v>#N/A</v>
      </c>
      <c r="AR5" s="874" t="e">
        <f t="array" ref="AR5">SUM(IF(ISTEXT(AR$26:AR$237),1,0)*IF(($L$23:$L$237)="L",1,0)*IF(ISBLANK($T$1),1,IF($I$23:$I$237=$T$1,1,0)))</f>
        <v>#N/A</v>
      </c>
      <c r="AU5" s="874">
        <f t="array" ref="AU5">SUM(IF(ISTEXT(AU$23:AU$237),1,0)*IF(($L$23:$L$237)="L",1,0)*IF(ISBLANK($T$1),1,IF($I$23:$I$237=$T$1,1,0)))</f>
        <v>21</v>
      </c>
      <c r="AV5" s="874" t="e">
        <f t="array" ref="AV5">SUM(IF(ISTEXT(AV$26:AV$237),1,0)*IF(($L$23:$L$237)="L",1,0)*IF(ISBLANK($T$1),1,IF($I$23:$I$237=$T$1,1,0)))</f>
        <v>#N/A</v>
      </c>
      <c r="AW5" s="874" t="e">
        <f t="array" ref="AW5">SUM(IF(ISTEXT(AW$26:AW$237),1,0)*IF(($L$23:$L$237)="L",1,0)*IF(ISBLANK($T$1),1,IF($I$23:$I$237=$T$1,1,0)))</f>
        <v>#N/A</v>
      </c>
      <c r="AX5" s="874" t="e">
        <f t="array" ref="AX5">SUM(IF(ISTEXT(AX$26:AX$237),1,0)*IF(($L$23:$L$237)="L",1,0)*IF(ISBLANK($T$1),1,IF($I$23:$I$237=$T$1,1,0)))</f>
        <v>#N/A</v>
      </c>
      <c r="BE5" s="874">
        <f t="array" ref="BE5">SUM(IF(ISTEXT(BE$23:BE$237),1,0)*IF(($L$23:$L$237)="L",1,0)*IF(ISBLANK($T$1),1,IF($I$23:$I$237=$T$1,1,0)))</f>
        <v>21</v>
      </c>
      <c r="BF5" s="874">
        <f t="array" ref="BF5">SUM(IF(ISTEXT(BF$23:BF$237),1,0)*IF(($L$23:$L$237)="L",1,0)*IF(ISBLANK($T$1),1,IF($I$23:$I$237=$T$1,1,0)))</f>
        <v>20</v>
      </c>
      <c r="BG5" s="874">
        <f t="array" ref="BG5">SUM(IF(ISTEXT(BG$23:BG$237),1,0)*IF(($L$23:$L$237)="L",1,0)*IF(ISBLANK($T$1),1,IF($I$23:$I$237=$T$1,1,0)))</f>
        <v>21</v>
      </c>
      <c r="BH5" s="874">
        <f t="array" ref="BH5">SUM(IF(ISTEXT(BH$23:BH$237),1,0)*IF(($L$23:$L$237)="L",1,0)*IF(ISBLANK($T$1),1,IF($I$23:$I$237=$T$1,1,0)))</f>
        <v>21</v>
      </c>
      <c r="BN5" s="874" t="e">
        <f t="array" ref="BN5">SUM(IF(ISTEXT(BN$26:BN$237),1,0)*IF(($L$23:$L$237)="L",1,0)*IF(ISBLANK($T$1),1,IF($I$23:$I$237=$T$1,1,0)))</f>
        <v>#N/A</v>
      </c>
      <c r="BP5" s="874">
        <f t="array" ref="BP5">SUM(IF(ISTEXT(BP$23:BP$237),1,0)*IF(($L$23:$L$237)="L",1,0)*IF(ISBLANK($T$1),1,IF($I$23:$I$237=$T$1,1,0)))</f>
        <v>2</v>
      </c>
      <c r="BQ5" s="874">
        <f t="array" ref="BQ5">SUM(IF(ISTEXT(BQ$23:BQ$237),1,0)*IF(($L$23:$L$237)="L",1,0)*IF(ISBLANK($T$1),1,IF($I$23:$I$237=$T$1,1,0)))</f>
        <v>2</v>
      </c>
      <c r="BR5" s="874" t="e">
        <f t="array" ref="BR5">SUM(IF(ISTEXT(BR$41:BR$237),1,0)*IF(($L$23:$L$237)="L",1,0)*IF(ISBLANK($T$1),1,IF($I$23:$I$237=$T$1,1,0)))</f>
        <v>#N/A</v>
      </c>
      <c r="BW5" s="874">
        <f t="array" ref="BW5">SUM(IF(ISTEXT(BW$23:BW$237),1,0)*IF(($L$23:$L$237)="L",1,0)*IF(ISBLANK($T$1),1,IF($I$23:$I$237=$T$1,1,0)))</f>
        <v>1</v>
      </c>
      <c r="BX5" s="874">
        <f t="array" ref="BX5">SUM(IF(ISTEXT(BX$23:BX$237),1,0)*IF(($L$23:$L$237)="L",1,0)*IF(ISBLANK($T$1),1,IF($I$23:$I$237=$T$1,1,0)))</f>
        <v>1</v>
      </c>
      <c r="BY5" s="874">
        <f t="array" ref="BY5">SUM(IF(ISTEXT(BY$23:BY$237),1,0)*IF(($L$23:$L$237)="L",1,0)*IF(ISBLANK($T$1),1,IF($I$23:$I$237=$T$1,1,0)))</f>
        <v>0</v>
      </c>
      <c r="BZ5" s="874">
        <f t="array" ref="BZ5">SUM(IF(ISTEXT(BZ$23:BZ$237),1,0)*IF(($L$23:$L$237)="L",1,0)*IF(ISBLANK($T$1),1,IF($I$23:$I$237=$T$1,1,0)))</f>
        <v>0</v>
      </c>
      <c r="CA5" s="874">
        <f t="array" ref="CA5">SUM(IF(ISTEXT(CA$23:CA$237),1,0)*IF(($L$23:$L$237)="L",1,0)*IF(ISBLANK($T$1),1,IF($I$23:$I$237=$T$1,1,0)))</f>
        <v>0</v>
      </c>
      <c r="CB5" s="874">
        <f t="array" ref="CB5">SUM(IF(ISTEXT(CB$23:CB$237),1,0)*IF(($L$23:$L$237)="L",1,0)*IF(ISBLANK($T$1),1,IF($I$23:$I$237=$T$1,1,0)))</f>
        <v>0</v>
      </c>
      <c r="CC5" s="874">
        <f t="array" ref="CC5">SUM(IF(ISTEXT(CC$23:CC$237),1,0)*IF(($L$23:$L$237)="L",1,0)*IF(ISBLANK($T$1),1,IF($I$23:$I$237=$T$1,1,0)))</f>
        <v>0</v>
      </c>
      <c r="CD5" s="874">
        <f t="array" ref="CD5">SUM(IF(ISTEXT(CD$23:CD$237),1,0)*IF(($L$23:$L$237)="L",1,0)*IF(ISBLANK($T$1),1,IF($I$23:$I$237=$T$1,1,0)))</f>
        <v>0</v>
      </c>
      <c r="CE5" s="874">
        <f t="array" ref="CE5">SUM(IF(ISTEXT(CE$23:CE$237),1,0)*IF(($L$23:$L$237)="L",1,0)*IF(ISBLANK($T$1),1,IF($I$23:$I$237=$T$1,1,0)))</f>
        <v>0</v>
      </c>
      <c r="CF5" s="874">
        <f t="array" ref="CF5">SUM(IF(ISTEXT(CF$23:CF$237),1,0)*IF(($L$23:$L$237)="L",1,0)*IF(ISBLANK($T$1),1,IF($I$23:$I$237=$T$1,1,0)))</f>
        <v>0</v>
      </c>
      <c r="CG5" s="874">
        <f t="array" ref="CG5">SUM(IF(ISTEXT(CG$23:CG$237),1,0)*IF(($L$23:$L$237)="L",1,0)*IF(ISBLANK($T$1),1,IF($I$23:$I$237=$T$1,1,0)))</f>
        <v>0</v>
      </c>
      <c r="CH5" s="874">
        <f t="array" ref="CH5">SUM(IF(ISTEXT(CH$23:CH$237),1,0)*IF(($L$23:$L$237)="L",1,0)*IF(ISBLANK($T$1),1,IF($I$23:$I$237=$T$1,1,0)))</f>
        <v>8</v>
      </c>
      <c r="CI5" s="874">
        <f t="array" ref="CI5">SUM(IF(ISTEXT(CI$23:CI$237),1,0)*IF(($L$23:$L$237)="L",1,0)*IF(ISBLANK($T$1),1,IF($I$23:$I$237=$T$1,1,0)))</f>
        <v>8</v>
      </c>
      <c r="CJ5" s="874">
        <f t="array" ref="CJ5">SUM(IF(ISTEXT(CJ$23:CJ$237),1,0)*IF(($L$23:$L$237)="L",1,0)*IF(ISBLANK($T$1),1,IF($I$23:$I$237=$T$1,1,0)))</f>
        <v>7</v>
      </c>
    </row>
    <row r="6" spans="1:88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38</v>
      </c>
      <c r="AG6" s="874">
        <f>AG$3*3+AG$4</f>
        <v>38</v>
      </c>
      <c r="AH6" s="874">
        <f>AH$3*3+AH$4</f>
        <v>38</v>
      </c>
      <c r="AI6" s="874">
        <f>AI$3*3+AI$4</f>
        <v>38</v>
      </c>
      <c r="AK6" s="874">
        <f>AK$3*3+AK$4</f>
        <v>38</v>
      </c>
      <c r="AL6" s="874">
        <f>AL$3*3+AL$4</f>
        <v>38</v>
      </c>
      <c r="AN6" s="874" t="e">
        <f>AN$3*3+AN$4</f>
        <v>#N/A</v>
      </c>
      <c r="AO6" s="874">
        <f>AO$3*3+AO$4</f>
        <v>38</v>
      </c>
      <c r="AP6" s="874" t="e">
        <f>AP$3*3+AP$4</f>
        <v>#N/A</v>
      </c>
      <c r="AQ6" s="874" t="e">
        <f>AQ$3*3+AQ$4</f>
        <v>#N/A</v>
      </c>
      <c r="AR6" s="874" t="e">
        <f>AR$3*3+AR$4</f>
        <v>#N/A</v>
      </c>
      <c r="AU6" s="874">
        <f>AU$3*3+AU$4</f>
        <v>38</v>
      </c>
      <c r="AV6" s="874" t="e">
        <f>AV$3*3+AV$4</f>
        <v>#N/A</v>
      </c>
      <c r="AW6" s="874" t="e">
        <f>AW$3*3+AW$4</f>
        <v>#N/A</v>
      </c>
      <c r="AX6" s="874" t="e">
        <f>AX$3*3+AX$4</f>
        <v>#N/A</v>
      </c>
      <c r="BE6" s="874">
        <f t="shared" ref="BE6:BH6" si="2">BE$3*3+BE$4</f>
        <v>38</v>
      </c>
      <c r="BF6" s="874">
        <f t="shared" si="2"/>
        <v>38</v>
      </c>
      <c r="BG6" s="874">
        <f t="shared" si="2"/>
        <v>38</v>
      </c>
      <c r="BH6" s="874">
        <f t="shared" si="2"/>
        <v>38</v>
      </c>
      <c r="BN6" s="874" t="e">
        <f>BN$3*3+BN$4</f>
        <v>#N/A</v>
      </c>
      <c r="BP6" s="874">
        <f>BP$3*3+BP$4</f>
        <v>0</v>
      </c>
      <c r="BQ6" s="874">
        <f>BQ$3*3+BQ$4</f>
        <v>0</v>
      </c>
      <c r="BR6" s="874" t="e">
        <f>BR$3*3+BR$4</f>
        <v>#N/A</v>
      </c>
      <c r="BW6" s="874">
        <f t="shared" ref="BW6:CC6" si="3">BW$3*3+BW$4</f>
        <v>0</v>
      </c>
      <c r="BX6" s="874">
        <f t="shared" si="3"/>
        <v>0</v>
      </c>
      <c r="BY6" s="874">
        <f t="shared" si="3"/>
        <v>0</v>
      </c>
      <c r="BZ6" s="874">
        <f t="shared" si="3"/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ref="CD6:CJ6" si="4">CD$3*3+CD$4</f>
        <v>0</v>
      </c>
      <c r="CE6" s="874">
        <f t="shared" si="4"/>
        <v>0</v>
      </c>
      <c r="CF6" s="874">
        <f t="shared" si="4"/>
        <v>0</v>
      </c>
      <c r="CG6" s="874">
        <f t="shared" si="4"/>
        <v>0</v>
      </c>
      <c r="CH6" s="874">
        <f t="shared" si="4"/>
        <v>12</v>
      </c>
      <c r="CI6" s="874">
        <f t="shared" si="4"/>
        <v>12</v>
      </c>
      <c r="CJ6" s="874">
        <f t="shared" si="4"/>
        <v>12</v>
      </c>
    </row>
    <row r="7" spans="1:88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>AF6/AF2</f>
        <v>0.88372093023255816</v>
      </c>
      <c r="AG7" s="874">
        <f>AG6/AG2</f>
        <v>0.88372093023255816</v>
      </c>
      <c r="AH7" s="874">
        <f>AH6/AH2</f>
        <v>0.90476190476190477</v>
      </c>
      <c r="AI7" s="874">
        <f>AI6/AI2</f>
        <v>0.88372093023255816</v>
      </c>
      <c r="AK7" s="874">
        <f>AK6/AK2</f>
        <v>0.88372093023255816</v>
      </c>
      <c r="AL7" s="874">
        <f>AL6/AL2</f>
        <v>0.88372093023255816</v>
      </c>
      <c r="AN7" s="874" t="e">
        <f>AN6/AN2</f>
        <v>#N/A</v>
      </c>
      <c r="AO7" s="874">
        <f>AO6/AO2</f>
        <v>0.88372093023255816</v>
      </c>
      <c r="AP7" s="874" t="e">
        <f>AP6/AP2</f>
        <v>#N/A</v>
      </c>
      <c r="AQ7" s="874" t="e">
        <f>AQ6/AQ2</f>
        <v>#N/A</v>
      </c>
      <c r="AR7" s="874" t="e">
        <f>AR6/AR2</f>
        <v>#N/A</v>
      </c>
      <c r="AU7" s="874">
        <f>AU6/AU2</f>
        <v>0.88372093023255816</v>
      </c>
      <c r="AV7" s="874" t="e">
        <f>AV6/AV2</f>
        <v>#N/A</v>
      </c>
      <c r="AW7" s="874" t="e">
        <f>AW6/AW2</f>
        <v>#N/A</v>
      </c>
      <c r="AX7" s="874" t="e">
        <f>AX6/AX2</f>
        <v>#N/A</v>
      </c>
      <c r="BE7" s="874">
        <f t="shared" ref="BE7" si="5">BE6/BE2</f>
        <v>0.88372093023255816</v>
      </c>
      <c r="BF7" s="874">
        <f>BF6/BF2</f>
        <v>0.90476190476190477</v>
      </c>
      <c r="BG7" s="874">
        <f>BG6/BG2</f>
        <v>0.88372093023255816</v>
      </c>
      <c r="BH7" s="874">
        <f>BH6/BH2</f>
        <v>0.88372093023255816</v>
      </c>
      <c r="BN7" s="874" t="e">
        <f>BN6/BN2</f>
        <v>#N/A</v>
      </c>
      <c r="BP7" s="874">
        <f>BP6/BP2</f>
        <v>0</v>
      </c>
      <c r="BQ7" s="874">
        <f>BQ6/BQ2</f>
        <v>0</v>
      </c>
      <c r="BR7" s="874" t="e">
        <f>BR6/BR2</f>
        <v>#N/A</v>
      </c>
      <c r="BW7" s="874">
        <f t="shared" ref="BW7:CC7" si="6">BW6/BW2</f>
        <v>0</v>
      </c>
      <c r="BX7" s="874">
        <f t="shared" si="6"/>
        <v>0</v>
      </c>
      <c r="BY7" s="874" t="e">
        <f t="shared" si="6"/>
        <v>#DIV/0!</v>
      </c>
      <c r="BZ7" s="874" t="e">
        <f t="shared" si="6"/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ref="CD7:CJ7" si="7">CD6/CD2</f>
        <v>#DIV/0!</v>
      </c>
      <c r="CE7" s="874" t="e">
        <f t="shared" si="7"/>
        <v>#DIV/0!</v>
      </c>
      <c r="CF7" s="874" t="e">
        <f t="shared" si="7"/>
        <v>#DIV/0!</v>
      </c>
      <c r="CG7" s="874" t="e">
        <f t="shared" si="7"/>
        <v>#DIV/0!</v>
      </c>
      <c r="CH7" s="874">
        <f t="shared" si="7"/>
        <v>0.75</v>
      </c>
      <c r="CI7" s="874">
        <f t="shared" si="7"/>
        <v>0.75</v>
      </c>
      <c r="CJ7" s="874">
        <f t="shared" si="7"/>
        <v>0.8</v>
      </c>
    </row>
    <row r="8" spans="1:88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SUM(IF(($T$23:$T$237)="",0,$T$23:$T$237)*IF(ISBLANK($T$1),1,IF($I$23:$I$237=$T$1,1,0)))</f>
        <v>-1.6899999999999986</v>
      </c>
      <c r="AG8" s="874">
        <f t="array" ref="AG8">SUM(IF(ISTEXT(AG$23:AG$237),1,0)*IF(($T$23:$T$237)="",0,$T$23:$T$237)*IF(ISBLANK($T$1),1,IF($I$23:$I$237=$T$1,1,0)))</f>
        <v>-1.6899999999999986</v>
      </c>
      <c r="AH8" s="874">
        <f t="array" ref="AH8">SUM(IF(ISTEXT(AH$23:AH$237),1,0)*IF(($T$23:$T$237)="",0,$T$23:$T$237)*IF(ISBLANK($T$1),1,IF($I$23:$I$237=$T$1,1,0)))</f>
        <v>-3.0599999999999996</v>
      </c>
      <c r="AI8" s="874">
        <f t="array" ref="AI8">SUM(IF(ISTEXT(AI$23:AI$237),1,0)*IF(($T$23:$T$237)="",0,$T$23:$T$237)*IF(ISBLANK($T$1),1,IF($I$23:$I$237=$T$1,1,0)))</f>
        <v>-1.6899999999999986</v>
      </c>
      <c r="AK8" s="874">
        <f t="array" ref="AK8">SUM(IF(ISTEXT(AK$23:AK$237),1,0)*IF(($T$23:$T$237)="",0,$T$23:$T$237)*IF(ISBLANK($T$1),1,IF($I$23:$I$237=$T$1,1,0)))</f>
        <v>-1.6899999999999986</v>
      </c>
      <c r="AL8" s="874">
        <f t="array" ref="AL8">SUM(IF(ISTEXT(AL$23:AL$237),1,0)*IF(($T$23:$T$237)="",0,$T$23:$T$237)*IF(ISBLANK($T$1),1,IF($I$23:$I$237=$T$1,1,0)))</f>
        <v>-1.6899999999999986</v>
      </c>
      <c r="AN8" s="874" t="e">
        <f t="array" ref="AN8">SUM(IF(ISTEXT(AN$26:AN$237),1,0)*IF(($T$23:$T$237)="",0,$T$23:$T$237)*IF(ISBLANK($T$1),1,IF($I$23:$I$237=$T$1,1,0)))</f>
        <v>#N/A</v>
      </c>
      <c r="AO8" s="874">
        <f t="array" ref="AO8">SUM(IF(ISTEXT(AO$23:AO$237),1,0)*IF(($T$23:$T$237)="",0,$T$23:$T$237)*IF(ISBLANK($T$1),1,IF($I$23:$I$237=$T$1,1,0)))</f>
        <v>-1.6899999999999986</v>
      </c>
      <c r="AP8" s="874" t="e">
        <f t="array" ref="AP8">SUM(IF(ISTEXT(AP$26:AP$237),1,0)*IF(($T$23:$T$237)="",0,$T$23:$T$237)*IF(ISBLANK($T$1),1,IF($I$23:$I$237=$T$1,1,0)))</f>
        <v>#N/A</v>
      </c>
      <c r="AQ8" s="874" t="e">
        <f t="array" ref="AQ8">SUM(IF(ISTEXT(AQ$26:AQ$237),1,0)*IF(($T$23:$T$237)="",0,$T$23:$T$237)*IF(ISBLANK($T$1),1,IF($I$23:$I$237=$T$1,1,0)))</f>
        <v>#N/A</v>
      </c>
      <c r="AR8" s="874" t="e">
        <f t="array" ref="AR8">SUM(IF(ISTEXT(AR$26:AR$237),1,0)*IF(($T$23:$T$237)="",0,$T$23:$T$237)*IF(ISBLANK($T$1),1,IF($I$23:$I$237=$T$1,1,0)))</f>
        <v>#N/A</v>
      </c>
      <c r="AU8" s="874">
        <f t="array" ref="AU8">SUM(IF(ISTEXT(AU$23:AU$237),1,0)*IF(($T$23:$T$237)="",0,$T$23:$T$237)*IF(ISBLANK($T$1),1,IF($I$23:$I$237=$T$1,1,0)))</f>
        <v>-1.6899999999999986</v>
      </c>
      <c r="AV8" s="874" t="e">
        <f t="array" ref="AV8">SUM(IF(ISTEXT(AV$26:AV$237),1,0)*IF(($T$23:$T$237)="",0,$T$23:$T$237)*IF(ISBLANK($T$1),1,IF($I$23:$I$237=$T$1,1,0)))</f>
        <v>#N/A</v>
      </c>
      <c r="AW8" s="874" t="e">
        <f t="array" ref="AW8">SUM(IF(ISTEXT(AW$26:AW$237),1,0)*IF(($T$23:$T$237)="",0,$T$23:$T$237)*IF(ISBLANK($T$1),1,IF($I$23:$I$237=$T$1,1,0)))</f>
        <v>#N/A</v>
      </c>
      <c r="AX8" s="874" t="e">
        <f t="array" ref="AX8">SUM(IF(ISTEXT(AX$26:AX$237),1,0)*IF(($T$23:$T$237)="",0,$T$23:$T$237)*IF(ISBLANK($T$1),1,IF($I$23:$I$237=$T$1,1,0)))</f>
        <v>#N/A</v>
      </c>
      <c r="BE8" s="874">
        <f t="array" ref="BE8">SUM(IF(ISTEXT(BE$23:BE$237),1,0)*IF(($T$23:$T$237)="",0,$T$23:$T$237)*IF(ISBLANK($T$1),1,IF($I$23:$I$237=$T$1,1,0)))</f>
        <v>-1.6899999999999986</v>
      </c>
      <c r="BF8" s="874">
        <f t="array" ref="BF8">SUM(IF(ISTEXT(BF$23:BF$237),1,0)*IF(($T$23:$T$237)="",0,$T$23:$T$237)*IF(ISBLANK($T$1),1,IF($I$23:$I$237=$T$1,1,0)))</f>
        <v>-3.0599999999999996</v>
      </c>
      <c r="BG8" s="874">
        <f t="array" ref="BG8">SUM(IF(ISTEXT(BG$23:BG$237),1,0)*IF(($T$23:$T$237)="",0,$T$23:$T$237)*IF(ISBLANK($T$1),1,IF($I$23:$I$237=$T$1,1,0)))</f>
        <v>-1.6899999999999986</v>
      </c>
      <c r="BH8" s="874">
        <f t="array" ref="BH8">SUM(IF(ISTEXT(BH$23:BH$237),1,0)*IF(($T$23:$T$237)="",0,$T$23:$T$237)*IF(ISBLANK($T$1),1,IF($I$23:$I$237=$T$1,1,0)))</f>
        <v>-1.6899999999999986</v>
      </c>
      <c r="BN8" s="874" t="e">
        <f t="array" ref="BN8">SUM(IF(ISTEXT(BN$26:BN$237),1,0)*IF(($T$23:$T$237)="",0,$T$23:$T$237)*IF(ISBLANK($T$1),1,IF($I$23:$I$237=$T$1,1,0)))</f>
        <v>#N/A</v>
      </c>
      <c r="BP8" s="874">
        <f t="array" ref="BP8">SUM(IF(ISTEXT(BP$23:BP$237),1,0)*IF(($T$23:$T$237)="",0,$T$23:$T$237)*IF(ISBLANK($T$1),1,IF($I$23:$I$237=$T$1,1,0)))</f>
        <v>-3.02</v>
      </c>
      <c r="BQ8" s="874">
        <f t="array" ref="BQ8">SUM(IF(ISTEXT(BQ$23:BQ$237),1,0)*IF(($T$23:$T$237)="",0,$T$23:$T$237)*IF(ISBLANK($T$1),1,IF($I$23:$I$237=$T$1,1,0)))</f>
        <v>-3.02</v>
      </c>
      <c r="BR8" s="874" t="e">
        <f t="array" ref="BR8">SUM(IF(ISTEXT(BR$41:BR$237),1,0)*IF(($T$23:$T$237)="",0,$T$23:$T$237)*IF(ISBLANK($T$1),1,IF($I$23:$I$237=$T$1,1,0)))</f>
        <v>#N/A</v>
      </c>
      <c r="BW8" s="874">
        <f t="array" ref="BW8">SUM(IF(ISTEXT(BW$23:BW$237),1,0)*IF(($T$23:$T$237)="",0,$T$23:$T$237)*IF(ISBLANK($T$1),1,IF($I$23:$I$237=$T$1,1,0)))</f>
        <v>-1.54</v>
      </c>
      <c r="BX8" s="874">
        <f t="array" ref="BX8">SUM(IF(ISTEXT(BX$23:BX$237),1,0)*IF(($T$23:$T$237)="",0,$T$23:$T$237)*IF(ISBLANK($T$1),1,IF($I$23:$I$237=$T$1,1,0)))</f>
        <v>-1.54</v>
      </c>
      <c r="BY8" s="874">
        <f t="array" ref="BY8">SUM(IF(ISTEXT(BY$23:BY$237),1,0)*IF(($T$23:$T$237)="",0,$T$23:$T$237)*IF(ISBLANK($T$1),1,IF($I$23:$I$237=$T$1,1,0)))</f>
        <v>0</v>
      </c>
      <c r="BZ8" s="874">
        <f t="array" ref="BZ8">SUM(IF(ISTEXT(BZ$23:BZ$237),1,0)*IF(($T$23:$T$237)="",0,$T$23:$T$237)*IF(ISBLANK($T$1),1,IF($I$23:$I$237=$T$1,1,0)))</f>
        <v>0</v>
      </c>
      <c r="CA8" s="874">
        <f t="array" ref="CA8">SUM(IF(ISTEXT(CA$23:CA$237),1,0)*IF(($T$23:$T$237)="",0,$T$23:$T$237)*IF(ISBLANK($T$1),1,IF($I$23:$I$237=$T$1,1,0)))</f>
        <v>0</v>
      </c>
      <c r="CB8" s="874">
        <f t="array" ref="CB8">SUM(IF(ISTEXT(CB$23:CB$237),1,0)*IF(($T$23:$T$237)="",0,$T$23:$T$237)*IF(ISBLANK($T$1),1,IF($I$23:$I$237=$T$1,1,0)))</f>
        <v>0</v>
      </c>
      <c r="CC8" s="874">
        <f t="array" ref="CC8">SUM(IF(ISTEXT(CC$23:CC$237),1,0)*IF(($T$23:$T$237)="",0,$T$23:$T$237)*IF(ISBLANK($T$1),1,IF($I$23:$I$237=$T$1,1,0)))</f>
        <v>0</v>
      </c>
      <c r="CD8" s="874">
        <f t="array" ref="CD8">SUM(IF(ISTEXT(CD$23:CD$237),1,0)*IF(($T$23:$T$237)="",0,$T$23:$T$237)*IF(ISBLANK($T$1),1,IF($I$23:$I$237=$T$1,1,0)))</f>
        <v>0</v>
      </c>
      <c r="CE8" s="874">
        <f t="array" ref="CE8">SUM(IF(ISTEXT(CE$23:CE$237),1,0)*IF(($T$23:$T$237)="",0,$T$23:$T$237)*IF(ISBLANK($T$1),1,IF($I$23:$I$237=$T$1,1,0)))</f>
        <v>0</v>
      </c>
      <c r="CF8" s="874">
        <f t="array" ref="CF8">SUM(IF(ISTEXT(CF$23:CF$237),1,0)*IF(($T$23:$T$237)="",0,$T$23:$T$237)*IF(ISBLANK($T$1),1,IF($I$23:$I$237=$T$1,1,0)))</f>
        <v>0</v>
      </c>
      <c r="CG8" s="874">
        <f t="array" ref="CG8">SUM(IF(ISTEXT(CG$23:CG$237),1,0)*IF(($T$23:$T$237)="",0,$T$23:$T$237)*IF(ISBLANK($T$1),1,IF($I$23:$I$237=$T$1,1,0)))</f>
        <v>0</v>
      </c>
      <c r="CH8" s="874">
        <f t="array" ref="CH8">SUM(IF(ISTEXT(CH$23:CH$237),1,0)*IF(($T$23:$T$237)="",0,$T$23:$T$237)*IF(ISBLANK($T$1),1,IF($I$23:$I$237=$T$1,1,0)))</f>
        <v>3.62</v>
      </c>
      <c r="CI8" s="874">
        <f t="array" ref="CI8">SUM(IF(ISTEXT(CI$23:CI$237),1,0)*IF(($T$23:$T$237)="",0,$T$23:$T$237)*IF(ISBLANK($T$1),1,IF($I$23:$I$237=$T$1,1,0)))</f>
        <v>3.62</v>
      </c>
      <c r="CJ8" s="874">
        <f t="array" ref="CJ8">SUM(IF(ISTEXT(CJ$23:CJ$237),1,0)*IF(($T$23:$T$237)="",0,$T$23:$T$237)*IF(ISBLANK($T$1),1,IF($I$23:$I$237=$T$1,1,0)))</f>
        <v>3.1100000000000003</v>
      </c>
    </row>
    <row r="9" spans="1:88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>AF8/AF2</f>
        <v>-3.930232558139532E-2</v>
      </c>
      <c r="AG9" s="874">
        <f>AG8/AG2</f>
        <v>-3.930232558139532E-2</v>
      </c>
      <c r="AH9" s="874">
        <f>AH8/AH2</f>
        <v>-7.2857142857142843E-2</v>
      </c>
      <c r="AI9" s="874">
        <f>AI8/AI2</f>
        <v>-3.930232558139532E-2</v>
      </c>
      <c r="AK9" s="874">
        <f>AK8/AK2</f>
        <v>-3.930232558139532E-2</v>
      </c>
      <c r="AL9" s="874">
        <f>AL8/AL2</f>
        <v>-3.930232558139532E-2</v>
      </c>
      <c r="AN9" s="874" t="e">
        <f>AN8/AN2</f>
        <v>#N/A</v>
      </c>
      <c r="AO9" s="874">
        <f>AO8/AO2</f>
        <v>-3.930232558139532E-2</v>
      </c>
      <c r="AP9" s="874" t="e">
        <f>AP8/AP2</f>
        <v>#N/A</v>
      </c>
      <c r="AQ9" s="874" t="e">
        <f>AQ8/AQ2</f>
        <v>#N/A</v>
      </c>
      <c r="AR9" s="874" t="e">
        <f>AR8/AR2</f>
        <v>#N/A</v>
      </c>
      <c r="AU9" s="874">
        <f>AU8/AU2</f>
        <v>-3.930232558139532E-2</v>
      </c>
      <c r="AV9" s="874" t="e">
        <f>AV8/AV2</f>
        <v>#N/A</v>
      </c>
      <c r="AW9" s="874" t="e">
        <f>AW8/AW2</f>
        <v>#N/A</v>
      </c>
      <c r="AX9" s="874" t="e">
        <f>AX8/AX2</f>
        <v>#N/A</v>
      </c>
      <c r="BE9" s="874">
        <f t="shared" ref="BE9" si="8">BE8/BE2</f>
        <v>-3.930232558139532E-2</v>
      </c>
      <c r="BF9" s="874">
        <f>BF8/BF2</f>
        <v>-7.2857142857142843E-2</v>
      </c>
      <c r="BG9" s="874">
        <f>BG8/BG2</f>
        <v>-3.930232558139532E-2</v>
      </c>
      <c r="BH9" s="874">
        <f>BH8/BH2</f>
        <v>-3.930232558139532E-2</v>
      </c>
      <c r="BN9" s="874" t="e">
        <f>BN8/BN2</f>
        <v>#N/A</v>
      </c>
      <c r="BP9" s="874">
        <f>BP8/BP2</f>
        <v>-1.51</v>
      </c>
      <c r="BQ9" s="874">
        <f>BQ8/BQ2</f>
        <v>-1.51</v>
      </c>
      <c r="BR9" s="874" t="e">
        <f>BR8/BR2</f>
        <v>#N/A</v>
      </c>
      <c r="BW9" s="874">
        <f t="shared" ref="BW9:CC9" si="9">BW8/BW2</f>
        <v>-1.54</v>
      </c>
      <c r="BX9" s="874">
        <f t="shared" si="9"/>
        <v>-1.54</v>
      </c>
      <c r="BY9" s="874" t="e">
        <f t="shared" si="9"/>
        <v>#DIV/0!</v>
      </c>
      <c r="BZ9" s="874" t="e">
        <f t="shared" si="9"/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ref="CD9:CJ9" si="10">CD8/CD2</f>
        <v>#DIV/0!</v>
      </c>
      <c r="CE9" s="874" t="e">
        <f t="shared" si="10"/>
        <v>#DIV/0!</v>
      </c>
      <c r="CF9" s="874" t="e">
        <f t="shared" si="10"/>
        <v>#DIV/0!</v>
      </c>
      <c r="CG9" s="874" t="e">
        <f t="shared" si="10"/>
        <v>#DIV/0!</v>
      </c>
      <c r="CH9" s="874">
        <f t="shared" si="10"/>
        <v>0.22625000000000001</v>
      </c>
      <c r="CI9" s="874">
        <f t="shared" si="10"/>
        <v>0.22625000000000001</v>
      </c>
      <c r="CJ9" s="874">
        <f t="shared" si="10"/>
        <v>0.20733333333333334</v>
      </c>
    </row>
    <row r="10" spans="1:88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SUM(IF(ISBLANK($T$1),$J$23:$J$237,IF($I$23:$I$237=$T$1,$J$23:$J$237,0)))</f>
        <v>42</v>
      </c>
      <c r="AG10" s="874">
        <f t="array" ref="AG10">SUM(IF(ISBLANK(AG$23:AG$237),0,IF(ISNUMBER(VALUE(RIGHT(AG$23:AG$237,1))),RIGHT(AG$23:AG$237,1),0)*IF(ISBLANK($T$1),1,IF($I$23:$I$237=$T$1,1,0))))</f>
        <v>0</v>
      </c>
      <c r="AH10" s="874">
        <f t="array" ref="AH10">SUM(IF(ISBLANK(AH$23:AH$237),0,IF(ISNUMBER(VALUE(RIGHT(AH$23:AH$237,1))),RIGHT(AH$23:AH$237,1),0)*IF(ISBLANK($T$1),1,IF($I$23:$I$237=$T$1,1,0))))</f>
        <v>0</v>
      </c>
      <c r="AI10" s="874">
        <f t="array" ref="AI10">SUM(IF(ISBLANK(AI$23:AI$237),0,IF(ISNUMBER(VALUE(RIGHT(AI$23:AI$237,1))),RIGHT(AI$23:AI$237,1),0)*IF(ISBLANK($T$1),1,IF($I$23:$I$237=$T$1,1,0))))</f>
        <v>0</v>
      </c>
      <c r="AK10" s="874">
        <f t="array" ref="AK10">SUM(IF(ISBLANK(AK$23:AK$237),0,IF(ISNUMBER(VALUE(RIGHT(AK$23:AK$237,1))),RIGHT(AK$23:AK$237,1),0)*IF(ISBLANK($T$1),1,IF($I$23:$I$237=$T$1,1,0))))</f>
        <v>0</v>
      </c>
      <c r="AL10" s="874">
        <f t="array" ref="AL10">SUM(IF(ISBLANK(AL$23:AL$237),0,IF(ISNUMBER(VALUE(RIGHT(AL$23:AL$237,1))),RIGHT(AL$23:AL$237,1),0)*IF(ISBLANK($T$1),1,IF($I$23:$I$237=$T$1,1,0))))</f>
        <v>0</v>
      </c>
      <c r="AN10" s="874">
        <f t="array" ref="AN10">SUM(IF(ISBLANK(AN$26:AN$237),0,IF(ISNUMBER(VALUE(RIGHT(AN$26:AN$237,1))),RIGHT(AN$26:AN$237,1),0)*IF(ISBLANK($T$1),1,IF($I$23:$I$237=$T$1,1,0))))</f>
        <v>1</v>
      </c>
      <c r="AO10" s="874">
        <f t="array" ref="AO10">SUM(IF(ISBLANK(AO$23:AO$237),0,IF(ISNUMBER(VALUE(RIGHT(AO$23:AO$237,1))),RIGHT(AO$23:AO$237,1),0)*IF(ISBLANK($T$1),1,IF($I$23:$I$237=$T$1,1,0))))</f>
        <v>3</v>
      </c>
      <c r="AP10" s="874">
        <f t="array" ref="AP10">SUM(IF(ISBLANK(AP$26:AP$237),0,IF(ISNUMBER(VALUE(RIGHT(AP$26:AP$237,1))),RIGHT(AP$26:AP$237,1),0)*IF(ISBLANK($T$1),1,IF($I$23:$I$237=$T$1,1,0))))</f>
        <v>0</v>
      </c>
      <c r="AQ10" s="874">
        <f t="array" ref="AQ10">SUM(IF(ISBLANK(AQ$26:AQ$237),0,IF(ISNUMBER(VALUE(RIGHT(AQ$26:AQ$237,1))),RIGHT(AQ$26:AQ$237,1),0)*IF(ISBLANK($T$1),1,IF($I$23:$I$237=$T$1,1,0))))</f>
        <v>0</v>
      </c>
      <c r="AR10" s="874">
        <f t="array" ref="AR10">SUM(IF(ISBLANK(AR$26:AR$237),0,IF(ISNUMBER(VALUE(RIGHT(AR$26:AR$237,1))),RIGHT(AR$26:AR$237,1),0)*IF(ISBLANK($T$1),1,IF($I$23:$I$237=$T$1,1,0))))</f>
        <v>0</v>
      </c>
      <c r="AU10" s="874">
        <f t="array" ref="AU10">SUM(IF(ISBLANK(AU$23:AU$237),0,IF(ISNUMBER(VALUE(RIGHT(AU$23:AU$237,1))),RIGHT(AU$23:AU$237,1),0)*IF(ISBLANK($T$1),1,IF($I$23:$I$237=$T$1,1,0))))</f>
        <v>4</v>
      </c>
      <c r="AV10" s="874">
        <f t="array" ref="AV10">SUM(IF(ISBLANK(AV$26:AV$237),0,IF(ISNUMBER(VALUE(RIGHT(AV$26:AV$237,1))),RIGHT(AV$26:AV$237,1),0)*IF(ISBLANK($T$1),1,IF($I$23:$I$237=$T$1,1,0))))</f>
        <v>2</v>
      </c>
      <c r="AW10" s="874">
        <f t="array" ref="AW10">SUM(IF(ISBLANK(AW$26:AW$237),0,IF(ISNUMBER(VALUE(RIGHT(AW$26:AW$237,1))),RIGHT(AW$26:AW$237,1),0)*IF(ISBLANK($T$1),1,IF($I$23:$I$237=$T$1,1,0))))</f>
        <v>0</v>
      </c>
      <c r="AX10" s="874">
        <f t="array" ref="AX10">SUM(IF(ISBLANK(AX$26:AX$237),0,IF(ISNUMBER(VALUE(RIGHT(AX$26:AX$237,1))),RIGHT(AX$26:AX$237,1),0)*IF(ISBLANK($T$1),1,IF($I$23:$I$237=$T$1,1,0))))</f>
        <v>0</v>
      </c>
      <c r="BE10" s="874">
        <f t="array" ref="BE10">SUM(IF(ISBLANK(BE$23:BE$237),0,IF(ISNUMBER(VALUE(RIGHT(BE$23:BE$237,1))),RIGHT(BE$23:BE$237,1),0)*IF(ISBLANK($T$1),1,IF($I$23:$I$237=$T$1,1,0))))</f>
        <v>2</v>
      </c>
      <c r="BF10" s="874">
        <f t="array" ref="BF10">SUM(IF(ISBLANK(BF$23:BF$237),0,IF(ISNUMBER(VALUE(RIGHT(BF$23:BF$237,1))),RIGHT(BF$23:BF$237,1),0)*IF(ISBLANK($T$1),1,IF($I$23:$I$237=$T$1,1,0))))</f>
        <v>0</v>
      </c>
      <c r="BG10" s="874">
        <f t="array" ref="BG10">SUM(IF(ISBLANK(BG$23:BG$237),0,IF(ISNUMBER(VALUE(RIGHT(BG$23:BG$237,1))),RIGHT(BG$23:BG$237,1),0)*IF(ISBLANK($T$1),1,IF($I$23:$I$237=$T$1,1,0))))</f>
        <v>2</v>
      </c>
      <c r="BH10" s="874">
        <f t="array" ref="BH10">SUM(IF(ISBLANK(BH$23:BH$237),0,IF(ISNUMBER(VALUE(RIGHT(BH$23:BH$237,1))),RIGHT(BH$23:BH$237,1),0)*IF(ISBLANK($T$1),1,IF($I$23:$I$237=$T$1,1,0))))</f>
        <v>6</v>
      </c>
      <c r="BN10" s="874">
        <f t="array" ref="BN10">SUM(IF(ISBLANK(BN$26:BN$237),0,IF(ISNUMBER(VALUE(RIGHT(BN$26:BN$237,1))),RIGHT(BN$26:BN$237,1),0)*IF(ISBLANK($T$1),1,IF($I$23:$I$237=$T$1,1,0))))</f>
        <v>0</v>
      </c>
      <c r="BP10" s="874">
        <f t="array" ref="BP10">SUM(IF(ISBLANK(BP$23:BP$237),0,IF(ISNUMBER(VALUE(RIGHT(BP$23:BP$237,1))),RIGHT(BP$23:BP$237,1),0)*IF(ISBLANK($T$1),1,IF($I$23:$I$237=$T$1,1,0))))</f>
        <v>0</v>
      </c>
      <c r="BQ10" s="874">
        <f t="array" ref="BQ10">SUM(IF(ISBLANK(BQ$23:BQ$237),0,IF(ISNUMBER(VALUE(RIGHT(BQ$23:BQ$237,1))),RIGHT(BQ$23:BQ$237,1),0)*IF(ISBLANK($T$1),1,IF($I$23:$I$237=$T$1,1,0))))</f>
        <v>0</v>
      </c>
      <c r="BR10" s="874">
        <f t="array" ref="BR10">SUM(IF(ISBLANK(BR$41:BR$237),0,IF(ISNUMBER(VALUE(RIGHT(BR$41:BR$237,1))),RIGHT(BR$41:BR$237,1),0)*IF(ISBLANK($T$1),1,IF($I$23:$I$237=$T$1,1,0))))</f>
        <v>0</v>
      </c>
      <c r="BW10" s="874">
        <f t="array" ref="BW10">SUM(IF(ISBLANK(BW$23:BW$237),0,IF(ISNUMBER(VALUE(RIGHT(BW$23:BW$237,1))),RIGHT(BW$23:BW$237,1),0)*IF(ISBLANK($T$1),1,IF($I$23:$I$237=$T$1,1,0))))</f>
        <v>0</v>
      </c>
      <c r="BX10" s="874">
        <f t="array" ref="BX10">SUM(IF(ISBLANK(BX$23:BX$237),0,IF(ISNUMBER(VALUE(RIGHT(BX$23:BX$237,1))),RIGHT(BX$23:BX$237,1),0)*IF(ISBLANK($T$1),1,IF($I$23:$I$237=$T$1,1,0))))</f>
        <v>0</v>
      </c>
      <c r="BY10" s="874">
        <f t="array" ref="BY10">SUM(IF(ISBLANK(BY$23:BY$237),0,IF(ISNUMBER(VALUE(RIGHT(BY$23:BY$237,1))),RIGHT(BY$23:BY$237,1),0)*IF(ISBLANK($T$1),1,IF($I$23:$I$237=$T$1,1,0))))</f>
        <v>0</v>
      </c>
      <c r="BZ10" s="874">
        <f t="array" ref="BZ10">SUM(IF(ISBLANK(BZ$23:BZ$237),0,IF(ISNUMBER(VALUE(RIGHT(BZ$23:BZ$237,1))),RIGHT(BZ$23:BZ$237,1),0)*IF(ISBLANK($T$1),1,IF($I$23:$I$237=$T$1,1,0))))</f>
        <v>0</v>
      </c>
      <c r="CA10" s="874">
        <f t="array" ref="CA10">SUM(IF(ISBLANK(CA$23:CA$237),0,IF(ISNUMBER(VALUE(RIGHT(CA$23:CA$237,1))),RIGHT(CA$23:CA$237,1),0)*IF(ISBLANK($T$1),1,IF($I$23:$I$237=$T$1,1,0))))</f>
        <v>0</v>
      </c>
      <c r="CB10" s="874">
        <f t="array" ref="CB10">SUM(IF(ISBLANK(CB$23:CB$237),0,IF(ISNUMBER(VALUE(RIGHT(CB$23:CB$237,1))),RIGHT(CB$23:CB$237,1),0)*IF(ISBLANK($T$1),1,IF($I$23:$I$237=$T$1,1,0))))</f>
        <v>0</v>
      </c>
      <c r="CC10" s="874">
        <f t="array" ref="CC10">SUM(IF(ISBLANK(CC$23:CC$237),0,IF(ISNUMBER(VALUE(RIGHT(CC$23:CC$237,1))),RIGHT(CC$23:CC$237,1),0)*IF(ISBLANK($T$1),1,IF($I$23:$I$237=$T$1,1,0))))</f>
        <v>0</v>
      </c>
      <c r="CD10" s="874">
        <f t="array" ref="CD10">SUM(IF(ISBLANK(CD$23:CD$237),0,IF(ISNUMBER(VALUE(RIGHT(CD$23:CD$237,1))),RIGHT(CD$23:CD$237,1),0)*IF(ISBLANK($T$1),1,IF($I$23:$I$237=$T$1,1,0))))</f>
        <v>0</v>
      </c>
      <c r="CE10" s="874">
        <f t="array" ref="CE10">SUM(IF(ISBLANK(CE$23:CE$237),0,IF(ISNUMBER(VALUE(RIGHT(CE$23:CE$237,1))),RIGHT(CE$23:CE$237,1),0)*IF(ISBLANK($T$1),1,IF($I$23:$I$237=$T$1,1,0))))</f>
        <v>0</v>
      </c>
      <c r="CF10" s="874">
        <f t="array" ref="CF10">SUM(IF(ISBLANK(CF$23:CF$237),0,IF(ISNUMBER(VALUE(RIGHT(CF$23:CF$237,1))),RIGHT(CF$23:CF$237,1),0)*IF(ISBLANK($T$1),1,IF($I$23:$I$237=$T$1,1,0))))</f>
        <v>0</v>
      </c>
      <c r="CG10" s="874">
        <f t="array" ref="CG10">SUM(IF(ISBLANK(CG$23:CG$237),0,IF(ISNUMBER(VALUE(RIGHT(CG$23:CG$237,1))),RIGHT(CG$23:CG$237,1),0)*IF(ISBLANK($T$1),1,IF($I$23:$I$237=$T$1,1,0))))</f>
        <v>0</v>
      </c>
      <c r="CH10" s="874">
        <f t="array" ref="CH10">SUM(IF(ISBLANK(CH$23:CH$237),0,IF(ISNUMBER(VALUE(RIGHT(CH$23:CH$237,1))),RIGHT(CH$23:CH$237,1),0)*IF(ISBLANK($T$1),1,IF($I$23:$I$237=$T$1,1,0))))</f>
        <v>0</v>
      </c>
      <c r="CI10" s="874">
        <f t="array" ref="CI10">SUM(IF(ISBLANK(CI$23:CI$237),0,IF(ISNUMBER(VALUE(RIGHT(CI$23:CI$237,1))),RIGHT(CI$23:CI$237,1),0)*IF(ISBLANK($T$1),1,IF($I$23:$I$237=$T$1,1,0))))</f>
        <v>0</v>
      </c>
      <c r="CJ10" s="874">
        <f t="array" ref="CJ10">SUM(IF(ISBLANK(CJ$23:CJ$237),0,IF(ISNUMBER(VALUE(RIGHT(CJ$23:CJ$237,1))),RIGHT(CJ$23:CJ$237,1),0)*IF(ISBLANK($T$1),1,IF($I$23:$I$237=$T$1,1,0))))</f>
        <v>0</v>
      </c>
    </row>
    <row r="11" spans="1:88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>AF10/AF2</f>
        <v>0.97674418604651159</v>
      </c>
      <c r="AG11" s="874">
        <f>AG10/AG2</f>
        <v>0</v>
      </c>
      <c r="AH11" s="874">
        <f>AH10/AH2</f>
        <v>0</v>
      </c>
      <c r="AI11" s="874">
        <f>AI10/AI2</f>
        <v>0</v>
      </c>
      <c r="AK11" s="874">
        <f>AK10/AK2</f>
        <v>0</v>
      </c>
      <c r="AL11" s="874">
        <f>AL10/AL2</f>
        <v>0</v>
      </c>
      <c r="AN11" s="874">
        <f>AN10/AN2</f>
        <v>2.5000000000000001E-2</v>
      </c>
      <c r="AO11" s="874">
        <f>AO10/AO2</f>
        <v>6.9767441860465115E-2</v>
      </c>
      <c r="AP11" s="874">
        <f>AP10/AP2</f>
        <v>0</v>
      </c>
      <c r="AQ11" s="874">
        <f>AQ10/AQ2</f>
        <v>0</v>
      </c>
      <c r="AR11" s="874">
        <f>AR10/AR2</f>
        <v>0</v>
      </c>
      <c r="AU11" s="874">
        <f>AU10/AU2</f>
        <v>9.3023255813953487E-2</v>
      </c>
      <c r="AV11" s="874">
        <f>AV10/AV2</f>
        <v>0.05</v>
      </c>
      <c r="AW11" s="874">
        <f>AW10/AW2</f>
        <v>0</v>
      </c>
      <c r="AX11" s="874">
        <f>AX10/AX2</f>
        <v>0</v>
      </c>
      <c r="BE11" s="874">
        <f t="shared" ref="BE11" si="11">BE10/BE2</f>
        <v>4.6511627906976744E-2</v>
      </c>
      <c r="BF11" s="874">
        <f>BF10/BF2</f>
        <v>0</v>
      </c>
      <c r="BG11" s="874">
        <f>BG10/BG2</f>
        <v>4.6511627906976744E-2</v>
      </c>
      <c r="BH11" s="874">
        <f>BH10/BH2</f>
        <v>0.13953488372093023</v>
      </c>
      <c r="BN11" s="874">
        <f>BN10/BN2</f>
        <v>0</v>
      </c>
      <c r="BP11" s="874">
        <f>BP10/BP2</f>
        <v>0</v>
      </c>
      <c r="BQ11" s="874">
        <f>BQ10/BQ2</f>
        <v>0</v>
      </c>
      <c r="BR11" s="874">
        <f>BR10/BR2</f>
        <v>0</v>
      </c>
      <c r="BW11" s="874">
        <f t="shared" ref="BW11:CC11" si="12">BW10/BW2</f>
        <v>0</v>
      </c>
      <c r="BX11" s="874">
        <f t="shared" si="12"/>
        <v>0</v>
      </c>
      <c r="BY11" s="874" t="e">
        <f t="shared" si="12"/>
        <v>#DIV/0!</v>
      </c>
      <c r="BZ11" s="874" t="e">
        <f t="shared" si="12"/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ref="CD11:CJ11" si="13">CD10/CD2</f>
        <v>#DIV/0!</v>
      </c>
      <c r="CE11" s="874" t="e">
        <f t="shared" si="13"/>
        <v>#DIV/0!</v>
      </c>
      <c r="CF11" s="874" t="e">
        <f t="shared" si="13"/>
        <v>#DIV/0!</v>
      </c>
      <c r="CG11" s="874" t="e">
        <f t="shared" si="13"/>
        <v>#DIV/0!</v>
      </c>
      <c r="CH11" s="874">
        <f t="shared" si="13"/>
        <v>0</v>
      </c>
      <c r="CI11" s="874">
        <f t="shared" si="13"/>
        <v>0</v>
      </c>
      <c r="CJ11" s="874">
        <f t="shared" si="13"/>
        <v>0</v>
      </c>
    </row>
    <row r="12" spans="1:88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SUM(IF(ISBLANK($T$1),$K$23:$K$237,IF($I$23:$I$237=$T$1,$K$23:$K$237,0)))</f>
        <v>63</v>
      </c>
      <c r="AG12" s="874">
        <f t="array" ref="AG12">SUM(IF(ISBLANK(AG$23:AG$237),0,$K23:$K237)*IF(ISBLANK($T$1),1,IF($I$23:$I$237=$T$1,1,0)))</f>
        <v>63</v>
      </c>
      <c r="AH12" s="874">
        <f t="array" ref="AH12">SUM(IF(ISBLANK(AH$23:AH$237),0,$K23:$K237)*IF(ISBLANK($T$1),1,IF($I$23:$I$237=$T$1,1,0)))</f>
        <v>59</v>
      </c>
      <c r="AI12" s="874">
        <f t="array" ref="AI12">SUM(IF(ISBLANK(AI$23:AI$237),0,$K23:$K237)*IF(ISBLANK($T$1),1,IF($I$23:$I$237=$T$1,1,0)))</f>
        <v>63</v>
      </c>
      <c r="AK12" s="874">
        <f t="array" ref="AK12">SUM(IF(ISBLANK(AK$23:AK$237),0,$K23:$K237)*IF(ISBLANK($T$1),1,IF($I$23:$I$237=$T$1,1,0)))</f>
        <v>63</v>
      </c>
      <c r="AL12" s="874">
        <f t="array" ref="AL12">SUM(IF(ISBLANK(AL$23:AL$237),0,$K23:$K237)*IF(ISBLANK($T$1),1,IF($I$23:$I$237=$T$1,1,0)))</f>
        <v>63</v>
      </c>
      <c r="AN12" s="874" t="e">
        <f t="array" ref="AN12">SUM(IF(ISBLANK(AN$26:AN$237),0,$K23:$K237)*IF(ISBLANK($T$1),1,IF($I$23:$I$237=$T$1,1,0)))</f>
        <v>#N/A</v>
      </c>
      <c r="AO12" s="874">
        <f t="array" ref="AO12">SUM(IF(ISBLANK(AO$23:AO$237),0,$K23:$K237)*IF(ISBLANK($T$1),1,IF($I$23:$I$237=$T$1,1,0)))</f>
        <v>63</v>
      </c>
      <c r="AP12" s="874" t="e">
        <f t="array" ref="AP12">SUM(IF(ISBLANK(AP$26:AP$237),0,$K23:$K237)*IF(ISBLANK($T$1),1,IF($I$23:$I$237=$T$1,1,0)))</f>
        <v>#N/A</v>
      </c>
      <c r="AQ12" s="874" t="e">
        <f t="array" ref="AQ12">SUM(IF(ISBLANK(AQ$26:AQ$237),0,$K23:$K237)*IF(ISBLANK($T$1),1,IF($I$23:$I$237=$T$1,1,0)))</f>
        <v>#N/A</v>
      </c>
      <c r="AR12" s="874" t="e">
        <f t="array" ref="AR12">SUM(IF(ISBLANK(AR$26:AR$237),0,$K23:$K237)*IF(ISBLANK($T$1),1,IF($I$23:$I$237=$T$1,1,0)))</f>
        <v>#N/A</v>
      </c>
      <c r="AU12" s="874">
        <f t="array" ref="AU12">SUM(IF(ISBLANK(AU$23:AU$237),0,$K23:$K237)*IF(ISBLANK($T$1),1,IF($I$23:$I$237=$T$1,1,0)))</f>
        <v>63</v>
      </c>
      <c r="AV12" s="874" t="e">
        <f t="array" ref="AV12">SUM(IF(ISBLANK(AV$26:AV$237),0,$K23:$K237)*IF(ISBLANK($T$1),1,IF($I$23:$I$237=$T$1,1,0)))</f>
        <v>#N/A</v>
      </c>
      <c r="AW12" s="874" t="e">
        <f t="array" ref="AW12">SUM(IF(ISBLANK(AW$26:AW$237),0,$K23:$K237)*IF(ISBLANK($T$1),1,IF($I$23:$I$237=$T$1,1,0)))</f>
        <v>#N/A</v>
      </c>
      <c r="AX12" s="874" t="e">
        <f t="array" ref="AX12">SUM(IF(ISBLANK(AX$26:AX$237),0,$K23:$K237)*IF(ISBLANK($T$1),1,IF($I$23:$I$237=$T$1,1,0)))</f>
        <v>#N/A</v>
      </c>
      <c r="BE12" s="874">
        <f t="array" ref="BE12">SUM(IF(ISBLANK(BE$23:BE$237),0,$K23:$K237)*IF(ISBLANK($T$1),1,IF($I$23:$I$237=$T$1,1,0)))</f>
        <v>63</v>
      </c>
      <c r="BF12" s="874">
        <f t="array" ref="BF12">SUM(IF(ISBLANK(BF$23:BF$237),0,$K23:$K237)*IF(ISBLANK($T$1),1,IF($I$23:$I$237=$T$1,1,0)))</f>
        <v>59</v>
      </c>
      <c r="BG12" s="874">
        <f t="array" ref="BG12">SUM(IF(ISBLANK(BG$23:BG$237),0,$K23:$K237)*IF(ISBLANK($T$1),1,IF($I$23:$I$237=$T$1,1,0)))</f>
        <v>63</v>
      </c>
      <c r="BH12" s="874">
        <f t="array" ref="BH12">SUM(IF(ISBLANK(BH$23:BH$237),0,$K23:$K237)*IF(ISBLANK($T$1),1,IF($I$23:$I$237=$T$1,1,0)))</f>
        <v>63</v>
      </c>
      <c r="BN12" s="874" t="e">
        <f t="array" ref="BN12">SUM(IF(ISBLANK(BN$26:BN$237),0,$K23:$K237)*IF(ISBLANK($T$1),1,IF($I$23:$I$237=$T$1,1,0)))</f>
        <v>#N/A</v>
      </c>
      <c r="BP12" s="874">
        <f t="array" ref="BP12">SUM(IF(ISBLANK(BP$23:BP$237),0,$K23:$K237)*IF(ISBLANK($T$1),1,IF($I$23:$I$237=$T$1,1,0)))</f>
        <v>2</v>
      </c>
      <c r="BQ12" s="874">
        <f t="array" ref="BQ12">SUM(IF(ISBLANK(BQ$23:BQ$237),0,$K23:$K237)*IF(ISBLANK($T$1),1,IF($I$23:$I$237=$T$1,1,0)))</f>
        <v>2</v>
      </c>
      <c r="BR12" s="874" t="e">
        <f t="array" ref="BR12">SUM(IF(ISBLANK(BR$41:BR$237),0,$K23:$K237)*IF(ISBLANK($T$1),1,IF($I$23:$I$237=$T$1,1,0)))</f>
        <v>#N/A</v>
      </c>
      <c r="BW12" s="874">
        <f t="array" ref="BW12">SUM(IF(ISBLANK(BW$23:BW$237),0,$K23:$K237)*IF(ISBLANK($T$1),1,IF($I$23:$I$237=$T$1,1,0)))</f>
        <v>1</v>
      </c>
      <c r="BX12" s="874">
        <f t="array" ref="BX12">SUM(IF(ISBLANK(BX$23:BX$237),0,$K23:$K237)*IF(ISBLANK($T$1),1,IF($I$23:$I$237=$T$1,1,0)))</f>
        <v>1</v>
      </c>
      <c r="BY12" s="874">
        <f t="array" ref="BY12">SUM(IF(ISBLANK(BY$23:BY$237),0,$K23:$K237)*IF(ISBLANK($T$1),1,IF($I$23:$I$237=$T$1,1,0)))</f>
        <v>0</v>
      </c>
      <c r="BZ12" s="874">
        <f t="array" ref="BZ12">SUM(IF(ISBLANK(BZ$23:BZ$237),0,$K23:$K237)*IF(ISBLANK($T$1),1,IF($I$23:$I$237=$T$1,1,0)))</f>
        <v>0</v>
      </c>
      <c r="CA12" s="874">
        <f t="array" ref="CA12">SUM(IF(ISBLANK(CA$23:CA$237),0,$K23:$K237)*IF(ISBLANK($T$1),1,IF($I$23:$I$237=$T$1,1,0)))</f>
        <v>0</v>
      </c>
      <c r="CB12" s="874">
        <f t="array" ref="CB12">SUM(IF(ISBLANK(CB$23:CB$237),0,$K23:$K237)*IF(ISBLANK($T$1),1,IF($I$23:$I$237=$T$1,1,0)))</f>
        <v>0</v>
      </c>
      <c r="CC12" s="874">
        <f t="array" ref="CC12">SUM(IF(ISBLANK(CC$23:CC$237),0,$K23:$K237)*IF(ISBLANK($T$1),1,IF($I$23:$I$237=$T$1,1,0)))</f>
        <v>0</v>
      </c>
      <c r="CD12" s="874">
        <f t="array" ref="CD12">SUM(IF(ISBLANK(CD$23:CD$237),0,$K23:$K237)*IF(ISBLANK($T$1),1,IF($I$23:$I$237=$T$1,1,0)))</f>
        <v>0</v>
      </c>
      <c r="CE12" s="874">
        <f t="array" ref="CE12">SUM(IF(ISBLANK(CE$23:CE$237),0,$K23:$K237)*IF(ISBLANK($T$1),1,IF($I$23:$I$237=$T$1,1,0)))</f>
        <v>0</v>
      </c>
      <c r="CF12" s="874">
        <f t="array" ref="CF12">SUM(IF(ISBLANK(CF$23:CF$237),0,$K23:$K237)*IF(ISBLANK($T$1),1,IF($I$23:$I$237=$T$1,1,0)))</f>
        <v>0</v>
      </c>
      <c r="CG12" s="874">
        <f t="array" ref="CG12">SUM(IF(ISBLANK(CG$23:CG$237),0,$K23:$K237)*IF(ISBLANK($T$1),1,IF($I$23:$I$237=$T$1,1,0)))</f>
        <v>0</v>
      </c>
      <c r="CH12" s="874">
        <f t="array" ref="CH12">SUM(IF(ISBLANK(CH$23:CH$237),0,$K23:$K237)*IF(ISBLANK($T$1),1,IF($I$23:$I$237=$T$1,1,0)))</f>
        <v>24</v>
      </c>
      <c r="CI12" s="874">
        <f t="array" ref="CI12">SUM(IF(ISBLANK(CI$23:CI$237),0,$K23:$K237)*IF(ISBLANK($T$1),1,IF($I$23:$I$237=$T$1,1,0)))</f>
        <v>24</v>
      </c>
      <c r="CJ12" s="874">
        <f t="array" ref="CJ12">SUM(IF(ISBLANK(CJ$23:CJ$237),0,$K23:$K237)*IF(ISBLANK($T$1),1,IF($I$23:$I$237=$T$1,1,0)))</f>
        <v>22</v>
      </c>
    </row>
    <row r="13" spans="1:88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>AF12/AF2</f>
        <v>1.4651162790697674</v>
      </c>
      <c r="AG13" s="874">
        <f>AG12/AG2</f>
        <v>1.4651162790697674</v>
      </c>
      <c r="AH13" s="874">
        <f>AH12/AH2</f>
        <v>1.4047619047619047</v>
      </c>
      <c r="AI13" s="874">
        <f>AI12/AI2</f>
        <v>1.4651162790697674</v>
      </c>
      <c r="AK13" s="874">
        <f>AK12/AK2</f>
        <v>1.4651162790697674</v>
      </c>
      <c r="AL13" s="874">
        <f>AL12/AL2</f>
        <v>1.4651162790697674</v>
      </c>
      <c r="AN13" s="874" t="e">
        <f>AN12/AN2</f>
        <v>#N/A</v>
      </c>
      <c r="AO13" s="874">
        <f>AO12/AO2</f>
        <v>1.4651162790697674</v>
      </c>
      <c r="AP13" s="874" t="e">
        <f>AP12/AP2</f>
        <v>#N/A</v>
      </c>
      <c r="AQ13" s="874" t="e">
        <f>AQ12/AQ2</f>
        <v>#N/A</v>
      </c>
      <c r="AR13" s="874" t="e">
        <f>AR12/AR2</f>
        <v>#N/A</v>
      </c>
      <c r="AU13" s="874">
        <f>AU12/AU2</f>
        <v>1.4651162790697674</v>
      </c>
      <c r="AV13" s="874" t="e">
        <f>AV12/AV2</f>
        <v>#N/A</v>
      </c>
      <c r="AW13" s="874" t="e">
        <f>AW12/AW2</f>
        <v>#N/A</v>
      </c>
      <c r="AX13" s="874" t="e">
        <f>AX12/AX2</f>
        <v>#N/A</v>
      </c>
      <c r="BE13" s="874">
        <f t="shared" ref="BE13" si="14">BE12/BE2</f>
        <v>1.4651162790697674</v>
      </c>
      <c r="BF13" s="874">
        <f>BF12/BF2</f>
        <v>1.4047619047619047</v>
      </c>
      <c r="BG13" s="874">
        <f>BG12/BG2</f>
        <v>1.4651162790697674</v>
      </c>
      <c r="BH13" s="874">
        <f>BH12/BH2</f>
        <v>1.4651162790697674</v>
      </c>
      <c r="BN13" s="874" t="e">
        <f>BN12/BN2</f>
        <v>#N/A</v>
      </c>
      <c r="BP13" s="874">
        <f>BP12/BP2</f>
        <v>1</v>
      </c>
      <c r="BQ13" s="874">
        <f>BQ12/BQ2</f>
        <v>1</v>
      </c>
      <c r="BR13" s="874" t="e">
        <f>BR12/BR2</f>
        <v>#N/A</v>
      </c>
      <c r="BW13" s="874">
        <f t="shared" ref="BW13:CC13" si="15">BW12/BW2</f>
        <v>1</v>
      </c>
      <c r="BX13" s="874">
        <f t="shared" si="15"/>
        <v>1</v>
      </c>
      <c r="BY13" s="874" t="e">
        <f t="shared" si="15"/>
        <v>#DIV/0!</v>
      </c>
      <c r="BZ13" s="874" t="e">
        <f t="shared" si="15"/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ref="CD13:CJ13" si="16">CD12/CD2</f>
        <v>#DIV/0!</v>
      </c>
      <c r="CE13" s="874" t="e">
        <f t="shared" si="16"/>
        <v>#DIV/0!</v>
      </c>
      <c r="CF13" s="874" t="e">
        <f t="shared" si="16"/>
        <v>#DIV/0!</v>
      </c>
      <c r="CG13" s="874" t="e">
        <f t="shared" si="16"/>
        <v>#DIV/0!</v>
      </c>
      <c r="CH13" s="874">
        <f t="shared" si="16"/>
        <v>1.5</v>
      </c>
      <c r="CI13" s="874">
        <f t="shared" si="16"/>
        <v>1.5</v>
      </c>
      <c r="CJ13" s="874">
        <f t="shared" si="16"/>
        <v>1.4666666666666666</v>
      </c>
    </row>
    <row r="14" spans="1:88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R14" si="17">AG15+AG16</f>
        <v>37</v>
      </c>
      <c r="AH14" s="902">
        <f t="shared" si="17"/>
        <v>2</v>
      </c>
      <c r="AI14" s="902">
        <f t="shared" si="17"/>
        <v>4</v>
      </c>
      <c r="AJ14" s="902">
        <f t="shared" si="17"/>
        <v>18</v>
      </c>
      <c r="AK14" s="902">
        <f t="shared" si="17"/>
        <v>0</v>
      </c>
      <c r="AL14" s="902">
        <f t="shared" si="17"/>
        <v>19</v>
      </c>
      <c r="AM14" s="902">
        <f t="shared" si="17"/>
        <v>2</v>
      </c>
      <c r="AN14" s="902">
        <f t="shared" si="17"/>
        <v>20</v>
      </c>
      <c r="AO14" s="902">
        <f t="shared" si="17"/>
        <v>31</v>
      </c>
      <c r="AP14" s="902">
        <f t="shared" si="17"/>
        <v>7</v>
      </c>
      <c r="AQ14" s="902">
        <f>AQ15+AQ16</f>
        <v>15</v>
      </c>
      <c r="AR14" s="902">
        <f t="shared" si="17"/>
        <v>18</v>
      </c>
      <c r="AS14" s="902">
        <f t="shared" ref="AS14:AT14" si="18">AS15+AS16</f>
        <v>6</v>
      </c>
      <c r="AT14" s="902">
        <f t="shared" si="18"/>
        <v>24</v>
      </c>
      <c r="AU14" s="902">
        <f t="shared" ref="AU14:BL14" si="19">AU15+AU16</f>
        <v>32</v>
      </c>
      <c r="AV14" s="902">
        <f t="shared" si="19"/>
        <v>42</v>
      </c>
      <c r="AW14" s="902">
        <f t="shared" si="19"/>
        <v>3</v>
      </c>
      <c r="AX14" s="902">
        <f t="shared" si="19"/>
        <v>7</v>
      </c>
      <c r="AY14" s="902">
        <f t="shared" si="19"/>
        <v>0</v>
      </c>
      <c r="AZ14" s="902">
        <f t="shared" si="19"/>
        <v>17</v>
      </c>
      <c r="BA14" s="902">
        <f t="shared" si="19"/>
        <v>37</v>
      </c>
      <c r="BB14" s="902">
        <f t="shared" si="19"/>
        <v>39</v>
      </c>
      <c r="BC14" s="902">
        <f t="shared" si="19"/>
        <v>39</v>
      </c>
      <c r="BD14" s="902">
        <f t="shared" si="19"/>
        <v>28</v>
      </c>
      <c r="BE14" s="902">
        <f t="shared" si="19"/>
        <v>38</v>
      </c>
      <c r="BF14" s="902">
        <f t="shared" si="19"/>
        <v>4</v>
      </c>
      <c r="BG14" s="902">
        <f t="shared" si="19"/>
        <v>12</v>
      </c>
      <c r="BH14" s="902">
        <f t="shared" si="19"/>
        <v>33</v>
      </c>
      <c r="BI14" s="902">
        <f t="shared" si="19"/>
        <v>31</v>
      </c>
      <c r="BJ14" s="902">
        <f t="shared" si="19"/>
        <v>1</v>
      </c>
      <c r="BK14" s="902">
        <f t="shared" si="19"/>
        <v>7</v>
      </c>
      <c r="BL14" s="902">
        <f t="shared" si="19"/>
        <v>10</v>
      </c>
      <c r="BM14" s="889"/>
      <c r="BN14" s="889"/>
      <c r="BO14" s="889"/>
      <c r="BP14" s="889"/>
      <c r="BQ14" s="889"/>
      <c r="BR14" s="889"/>
      <c r="BS14" s="890"/>
      <c r="BT14" s="890"/>
      <c r="BU14" s="890"/>
      <c r="BV14" s="890"/>
      <c r="BW14" s="889"/>
      <c r="BX14" s="889"/>
      <c r="BY14" s="889"/>
      <c r="BZ14" s="889"/>
      <c r="CA14" s="889"/>
      <c r="CB14" s="889"/>
      <c r="CC14" s="889"/>
    </row>
    <row r="15" spans="1:88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AVERAGEIFS($Q$23:$Q$204,$H$23:$H$204,"H",$I$23:$I$204,Table!$C$1)</f>
        <v>-0.30238095238095236</v>
      </c>
      <c r="S15" s="858">
        <f>AVERAGEIFS($Q$23:$Q$204,$H$23:$H$204,"A",$I$23:$I$204,Table!$C$1)</f>
        <v>-0.58285714285714285</v>
      </c>
      <c r="AF15" s="848" t="s">
        <v>821</v>
      </c>
      <c r="AG15" s="850">
        <f t="array" ref="AG15">SUM(IF(LEFT(AG23:AG158,1)="X",1,0))</f>
        <v>37</v>
      </c>
      <c r="AH15" s="903">
        <f t="array" ref="AH15">SUM(IF(LEFT(AH23:AH158,1)="X",1,0))</f>
        <v>2</v>
      </c>
      <c r="AI15" s="903">
        <f t="array" ref="AI15">SUM(IF(LEFT(AI23:AI158,1)="X",1,0))</f>
        <v>4</v>
      </c>
      <c r="AJ15" s="903">
        <f t="array" ref="AJ15">SUM(IF(LEFT(AJ23:AJ158,1)="X",1,0))</f>
        <v>15</v>
      </c>
      <c r="AK15" s="903">
        <f t="array" ref="AK15">SUM(IF(LEFT(AK23:AK158,1)="X",1,0))</f>
        <v>0</v>
      </c>
      <c r="AL15" s="903">
        <f t="array" ref="AL15">SUM(IF(LEFT(AL23:AL158,1)="X",1,0))</f>
        <v>16</v>
      </c>
      <c r="AM15" s="903">
        <f t="array" ref="AM15">SUM(IF(LEFT(AM23:AM158,1)="X",1,0))</f>
        <v>1</v>
      </c>
      <c r="AN15" s="903">
        <f t="array" ref="AN15">SUM(IF(LEFT(AN23:AN158,1)="X",1,0))</f>
        <v>19</v>
      </c>
      <c r="AO15" s="903">
        <f t="array" ref="AO15">SUM(IF(LEFT(AO23:AO158,1)="X",1,0))</f>
        <v>20</v>
      </c>
      <c r="AP15" s="903">
        <f t="array" ref="AP15">SUM(IF(LEFT(AP23:AP158,1)="X",1,0))</f>
        <v>3</v>
      </c>
      <c r="AQ15" s="903">
        <f t="array" ref="AQ15">SUM(IF(LEFT(AQ23:AQ158,1)="X",1,0))</f>
        <v>15</v>
      </c>
      <c r="AR15" s="903">
        <f t="array" ref="AR15">SUM(IF(LEFT(AR23:AR158,1)="X",1,0))</f>
        <v>18</v>
      </c>
      <c r="AS15" s="903">
        <f t="array" ref="AS15">SUM(IF(LEFT(AS23:AS158,1)="X",1,0))</f>
        <v>5</v>
      </c>
      <c r="AT15" s="903">
        <f t="array" ref="AT15">SUM(IF(LEFT(AT23:AT158,1)="X",1,0))</f>
        <v>22</v>
      </c>
      <c r="AU15" s="903">
        <f t="array" ref="AU15">SUM(IF(LEFT(AU23:AU158,1)="X",1,0))</f>
        <v>21</v>
      </c>
      <c r="AV15" s="903">
        <f t="array" ref="AV15">SUM(IF(LEFT(AV23:AV158,1)="X",1,0))</f>
        <v>42</v>
      </c>
      <c r="AW15" s="903">
        <f t="array" ref="AW15">SUM(IF(LEFT(AW23:AW158,1)="X",1,0))</f>
        <v>0</v>
      </c>
      <c r="AX15" s="903">
        <f t="array" ref="AX15">SUM(IF(LEFT(AX23:AX158,1)="X",1,0))</f>
        <v>2</v>
      </c>
      <c r="AY15" s="903">
        <f t="array" ref="AY15">SUM(IF(LEFT(AY23:AY158,1)="X",1,0))</f>
        <v>0</v>
      </c>
      <c r="AZ15" s="903">
        <f t="array" ref="AZ15">SUM(IF(LEFT(AZ23:AZ158,1)="X",1,0))</f>
        <v>11</v>
      </c>
      <c r="BA15" s="903">
        <f t="array" ref="BA15">SUM(IF(LEFT(BA23:BA158,1)="X",1,0))</f>
        <v>32</v>
      </c>
      <c r="BB15" s="903">
        <f t="array" ref="BB15">SUM(IF(LEFT(BB23:BB158,1)="X",1,0))</f>
        <v>34</v>
      </c>
      <c r="BC15" s="903">
        <f t="array" ref="BC15">SUM(IF(LEFT(BC23:BC158,1)="X",1,0))</f>
        <v>37</v>
      </c>
      <c r="BD15" s="903">
        <f t="array" ref="BD15">SUM(IF(LEFT(BD23:BD158,1)="X",1,0))</f>
        <v>25</v>
      </c>
      <c r="BE15" s="903">
        <f t="array" ref="BE15">SUM(IF(LEFT(BE23:BE158,1)="X",1,0))</f>
        <v>38</v>
      </c>
      <c r="BF15" s="903">
        <f t="array" ref="BF15">SUM(IF(LEFT(BF23:BF158,1)="X",1,0))</f>
        <v>2</v>
      </c>
      <c r="BG15" s="903">
        <f t="array" ref="BG15">SUM(IF(LEFT(BG23:BG158,1)="X",1,0))</f>
        <v>4</v>
      </c>
      <c r="BH15" s="903">
        <f t="array" ref="BH15">SUM(IF(LEFT(BH23:BH158,1)="X",1,0))</f>
        <v>22</v>
      </c>
      <c r="BI15" s="903">
        <f t="array" ref="BI15">SUM(IF(LEFT(BI23:BI158,1)="X",1,0))</f>
        <v>20</v>
      </c>
      <c r="BJ15" s="903">
        <f t="array" ref="BJ15">SUM(IF(LEFT(BJ23:BJ158,1)="X",1,0))</f>
        <v>1</v>
      </c>
      <c r="BK15" s="903">
        <f t="array" ref="BK15">SUM(IF(LEFT(BK23:BK158,1)="X",1,0))</f>
        <v>5</v>
      </c>
      <c r="BL15" s="903">
        <f t="array" ref="BL15">SUM(IF(LEFT(BL23:BL158,1)="X",1,0))</f>
        <v>0</v>
      </c>
      <c r="BM15" s="889"/>
      <c r="BN15" s="889"/>
      <c r="BO15" s="889"/>
      <c r="BP15" s="889"/>
      <c r="BQ15" s="889"/>
      <c r="BR15" s="889"/>
      <c r="BS15" s="890"/>
      <c r="BT15" s="890"/>
      <c r="BU15" s="890"/>
      <c r="BV15" s="890"/>
      <c r="BW15" s="889"/>
      <c r="BX15" s="889"/>
      <c r="BY15" s="889"/>
      <c r="BZ15" s="889"/>
      <c r="CA15" s="889"/>
      <c r="CB15" s="889"/>
      <c r="CC15" s="889"/>
    </row>
    <row r="16" spans="1:88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AVERAGEIF($H$23:$H$201,"=H",$J$23:$J$201)</f>
        <v>0.90476190476190477</v>
      </c>
      <c r="J16" s="858">
        <f>AVERAGEIF($H$23:$H$205,"=H",$K$23:$K$205)</f>
        <v>1.1904761904761905</v>
      </c>
      <c r="K16" s="858">
        <f>I16-J16</f>
        <v>-0.2857142857142857</v>
      </c>
      <c r="L16" s="857">
        <f>COUNTIFS($L$23:$L$201,"=W",$H$23:$H$201,"=H")</f>
        <v>4</v>
      </c>
      <c r="M16" s="857">
        <f>COUNTIFS($L$23:$L$201,"=D",$H$23:$H$201,"=H")</f>
        <v>10</v>
      </c>
      <c r="N16" s="863">
        <f>COUNTIFS($L$23:$L$201,"=L",$H$23:$H$201,"=H")</f>
        <v>7</v>
      </c>
      <c r="O16" s="858">
        <f>SUM(I16:J16)</f>
        <v>2.0952380952380953</v>
      </c>
      <c r="Q16" s="861" t="s">
        <v>212</v>
      </c>
      <c r="R16" s="858">
        <f>AVERAGEIFS($S$23:$S$202,$H$23:$H$202,"H",$I$23:$I$202,Table!$C$1)</f>
        <v>2.4190476190476184</v>
      </c>
      <c r="S16" s="858">
        <f>AVERAGEIFS($S$23:$S$202,$H$23:$H$202,"A",$I$23:$I$202,Table!$C$1)</f>
        <v>2.5185714285714282</v>
      </c>
      <c r="AF16" s="848" t="s">
        <v>724</v>
      </c>
      <c r="AG16" s="850">
        <f t="array" ref="AG16">SUM(IF(LEFT(AG23:AG159,1)="s",1,0))</f>
        <v>0</v>
      </c>
      <c r="AH16" s="903">
        <f t="array" ref="AH16">SUM(IF(LEFT(AH23:AH159,1)="s",1,0))</f>
        <v>0</v>
      </c>
      <c r="AI16" s="903">
        <f t="array" ref="AI16">SUM(IF(LEFT(AI23:AI159,1)="s",1,0))</f>
        <v>0</v>
      </c>
      <c r="AJ16" s="903">
        <f t="array" ref="AJ16">SUM(IF(LEFT(AJ23:AJ159,1)="s",1,0))</f>
        <v>3</v>
      </c>
      <c r="AK16" s="903">
        <f t="array" ref="AK16">SUM(IF(LEFT(AK23:AK159,1)="s",1,0))</f>
        <v>0</v>
      </c>
      <c r="AL16" s="903">
        <f t="array" ref="AL16">SUM(IF(LEFT(AL23:AL159,1)="s",1,0))</f>
        <v>3</v>
      </c>
      <c r="AM16" s="903">
        <f t="array" ref="AM16">SUM(IF(LEFT(AM23:AM159,1)="s",1,0))</f>
        <v>1</v>
      </c>
      <c r="AN16" s="903">
        <f t="array" ref="AN16">SUM(IF(LEFT(AN23:AN159,1)="s",1,0))</f>
        <v>1</v>
      </c>
      <c r="AO16" s="903">
        <f t="array" ref="AO16">SUM(IF(LEFT(AO23:AO159,1)="s",1,0))</f>
        <v>11</v>
      </c>
      <c r="AP16" s="903">
        <f t="array" ref="AP16">SUM(IF(LEFT(AP23:AP159,1)="s",1,0))</f>
        <v>4</v>
      </c>
      <c r="AQ16" s="903">
        <f t="array" ref="AQ16">SUM(IF(LEFT(AQ23:AQ159,1)="s",1,0))</f>
        <v>0</v>
      </c>
      <c r="AR16" s="903">
        <f t="array" ref="AR16">SUM(IF(LEFT(AR23:AR159,1)="s",1,0))</f>
        <v>0</v>
      </c>
      <c r="AS16" s="903">
        <f t="array" ref="AS16">SUM(IF(LEFT(AS23:AS159,1)="s",1,0))</f>
        <v>1</v>
      </c>
      <c r="AT16" s="903">
        <f t="array" ref="AT16">SUM(IF(LEFT(AT23:AT159,1)="s",1,0))</f>
        <v>2</v>
      </c>
      <c r="AU16" s="903">
        <f t="array" ref="AU16">SUM(IF(LEFT(AU23:AU159,1)="s",1,0))</f>
        <v>11</v>
      </c>
      <c r="AV16" s="903">
        <f t="array" ref="AV16">SUM(IF(LEFT(AV23:AV159,1)="s",1,0))</f>
        <v>0</v>
      </c>
      <c r="AW16" s="903">
        <f t="array" ref="AW16">SUM(IF(LEFT(AW23:AW159,1)="s",1,0))</f>
        <v>3</v>
      </c>
      <c r="AX16" s="903">
        <f t="array" ref="AX16">SUM(IF(LEFT(AX23:AX159,1)="s",1,0))</f>
        <v>5</v>
      </c>
      <c r="AY16" s="903">
        <f t="array" ref="AY16">SUM(IF(LEFT(AY23:AY159,1)="s",1,0))</f>
        <v>0</v>
      </c>
      <c r="AZ16" s="903">
        <f t="array" ref="AZ16">SUM(IF(LEFT(AZ23:AZ159,1)="s",1,0))</f>
        <v>6</v>
      </c>
      <c r="BA16" s="903">
        <f t="array" ref="BA16">SUM(IF(LEFT(BA23:BA159,1)="s",1,0))</f>
        <v>5</v>
      </c>
      <c r="BB16" s="903">
        <f t="array" ref="BB16">SUM(IF(LEFT(BB23:BB159,1)="s",1,0))</f>
        <v>5</v>
      </c>
      <c r="BC16" s="903">
        <f t="array" ref="BC16">SUM(IF(LEFT(BC23:BC159,1)="s",1,0))</f>
        <v>2</v>
      </c>
      <c r="BD16" s="903">
        <f t="array" ref="BD16">SUM(IF(LEFT(BD23:BD159,1)="s",1,0))</f>
        <v>3</v>
      </c>
      <c r="BE16" s="903">
        <f t="array" ref="BE16">SUM(IF(LEFT(BE23:BE159,1)="s",1,0))</f>
        <v>0</v>
      </c>
      <c r="BF16" s="903">
        <f t="array" ref="BF16">SUM(IF(LEFT(BF23:BF159,1)="s",1,0))</f>
        <v>2</v>
      </c>
      <c r="BG16" s="903">
        <f t="array" ref="BG16">SUM(IF(LEFT(BG23:BG159,1)="s",1,0))</f>
        <v>8</v>
      </c>
      <c r="BH16" s="903">
        <f t="array" ref="BH16">SUM(IF(LEFT(BH23:BH159,1)="s",1,0))</f>
        <v>11</v>
      </c>
      <c r="BI16" s="903">
        <f t="array" ref="BI16">SUM(IF(LEFT(BI23:BI159,1)="s",1,0))</f>
        <v>11</v>
      </c>
      <c r="BJ16" s="903">
        <f t="array" ref="BJ16">SUM(IF(LEFT(BJ23:BJ159,1)="s",1,0))</f>
        <v>0</v>
      </c>
      <c r="BK16" s="903">
        <f t="array" ref="BK16">SUM(IF(LEFT(BK23:BK159,1)="s",1,0))</f>
        <v>2</v>
      </c>
      <c r="BL16" s="903">
        <f t="array" ref="BL16">SUM(IF(LEFT(BL23:BL159,1)="s",1,0))</f>
        <v>10</v>
      </c>
      <c r="BM16" s="889"/>
      <c r="BN16" s="889"/>
      <c r="BO16" s="889"/>
      <c r="BP16" s="889"/>
      <c r="BQ16" s="889"/>
      <c r="BR16" s="889"/>
      <c r="BS16" s="890"/>
      <c r="BT16" s="890"/>
      <c r="BU16" s="890"/>
      <c r="BV16" s="890"/>
      <c r="BW16" s="889"/>
      <c r="BX16" s="889"/>
      <c r="BY16" s="889"/>
      <c r="BZ16" s="889"/>
      <c r="CA16" s="889"/>
      <c r="CB16" s="889"/>
      <c r="CC16" s="889"/>
    </row>
    <row r="17" spans="1:114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AVERAGEIF($H$23:$H$201,"=A",$J$23:$J$201)</f>
        <v>1.0454545454545454</v>
      </c>
      <c r="J17" s="860">
        <f>AVERAGEIF($H$23:$H$205,"=A",$K$23:$K$205)</f>
        <v>1.7272727272727273</v>
      </c>
      <c r="K17" s="858">
        <f>I17-J17</f>
        <v>-0.68181818181818188</v>
      </c>
      <c r="L17" s="857">
        <f>COUNTIFS($L$23:$L$201,"=W",$H$23:$H$201,"=A")</f>
        <v>4</v>
      </c>
      <c r="M17" s="857">
        <f>COUNTIFS($L$23:$L$201,"=D",$H$23:$H$201,"=A")</f>
        <v>4</v>
      </c>
      <c r="N17" s="863">
        <f>COUNTIFS($L$23:$L$201,"=L",$H$23:$H$201,"=A")</f>
        <v>14</v>
      </c>
      <c r="O17" s="858">
        <f>SUM(I17:J17)</f>
        <v>2.7727272727272725</v>
      </c>
      <c r="Q17" s="848"/>
      <c r="R17" s="859"/>
      <c r="S17" s="855"/>
      <c r="AF17" s="848" t="s">
        <v>718</v>
      </c>
      <c r="AG17" s="850">
        <f t="array" ref="AG17">SUM(IF(ISNUMBER(VALUE(RIGHT(AG23:AG167,1))),VALUE(RIGHT(AG23:AG167,1)),0))</f>
        <v>0</v>
      </c>
      <c r="AH17" s="903">
        <f t="array" ref="AH17">SUM(IF(ISNUMBER(VALUE(RIGHT(AH23:AH167,1))),VALUE(RIGHT(AH23:AH167,1)),0))</f>
        <v>0</v>
      </c>
      <c r="AI17" s="903">
        <f t="array" ref="AI17">SUM(IF(ISNUMBER(VALUE(RIGHT(AI23:AI167,1))),VALUE(RIGHT(AI23:AI167,1)),0))</f>
        <v>0</v>
      </c>
      <c r="AJ17" s="903">
        <f t="array" ref="AJ17">SUM(IF(ISNUMBER(VALUE(RIGHT(AJ23:AJ167,1))),VALUE(RIGHT(AJ23:AJ167,1)),0))</f>
        <v>0</v>
      </c>
      <c r="AK17" s="903">
        <f t="array" ref="AK17">SUM(IF(ISNUMBER(VALUE(RIGHT(AK23:AK167,1))),VALUE(RIGHT(AK23:AK167,1)),0))</f>
        <v>0</v>
      </c>
      <c r="AL17" s="903">
        <f t="array" ref="AL17">SUM(IF(ISNUMBER(VALUE(RIGHT(AL23:AL167,1))),VALUE(RIGHT(AL23:AL167,1)),0))</f>
        <v>0</v>
      </c>
      <c r="AM17" s="903">
        <f t="array" ref="AM17">SUM(IF(ISNUMBER(VALUE(RIGHT(AM23:AM167,1))),VALUE(RIGHT(AM23:AM167,1)),0))</f>
        <v>0</v>
      </c>
      <c r="AN17" s="903">
        <f t="array" ref="AN17">SUM(IF(ISNUMBER(VALUE(RIGHT(AN23:AN167,1))),VALUE(RIGHT(AN23:AN167,1)),0))</f>
        <v>1</v>
      </c>
      <c r="AO17" s="903">
        <f t="array" ref="AO17">SUM(IF(ISNUMBER(VALUE(RIGHT(AO23:AO167,1))),VALUE(RIGHT(AO23:AO167,1)),0))</f>
        <v>3</v>
      </c>
      <c r="AP17" s="903">
        <f t="array" ref="AP17">SUM(IF(ISNUMBER(VALUE(RIGHT(AP23:AP167,1))),VALUE(RIGHT(AP23:AP167,1)),0))</f>
        <v>0</v>
      </c>
      <c r="AQ17" s="903">
        <f t="array" ref="AQ17">SUM(IF(ISNUMBER(VALUE(RIGHT(AQ23:AQ167,1))),VALUE(RIGHT(AQ23:AQ167,1)),0))</f>
        <v>0</v>
      </c>
      <c r="AR17" s="903">
        <f t="array" ref="AR17">SUM(IF(ISNUMBER(VALUE(RIGHT(AR23:AR167,1))),VALUE(RIGHT(AR23:AR167,1)),0))</f>
        <v>0</v>
      </c>
      <c r="AS17" s="903">
        <f t="array" ref="AS17">SUM(IF(ISNUMBER(VALUE(RIGHT(AS23:AS167,1))),VALUE(RIGHT(AS23:AS167,1)),0))</f>
        <v>0</v>
      </c>
      <c r="AT17" s="903">
        <f t="array" ref="AT17">SUM(IF(ISNUMBER(VALUE(RIGHT(AT23:AT167,1))),VALUE(RIGHT(AT23:AT167,1)),0))</f>
        <v>2</v>
      </c>
      <c r="AU17" s="903">
        <f t="array" ref="AU17">SUM(IF(ISNUMBER(VALUE(RIGHT(AU23:AU167,1))),VALUE(RIGHT(AU23:AU167,1)),0))</f>
        <v>4</v>
      </c>
      <c r="AV17" s="903">
        <f t="array" ref="AV17">SUM(IF(ISNUMBER(VALUE(RIGHT(AV23:AV167,1))),VALUE(RIGHT(AV23:AV167,1)),0))</f>
        <v>3</v>
      </c>
      <c r="AW17" s="903">
        <f t="array" ref="AW17">SUM(IF(ISNUMBER(VALUE(RIGHT(AW23:AW167,1))),VALUE(RIGHT(AW23:AW167,1)),0))</f>
        <v>0</v>
      </c>
      <c r="AX17" s="903">
        <f t="array" ref="AX17">SUM(IF(ISNUMBER(VALUE(RIGHT(AX23:AX167,1))),VALUE(RIGHT(AX23:AX167,1)),0))</f>
        <v>0</v>
      </c>
      <c r="AY17" s="903">
        <f t="array" ref="AY17">SUM(IF(ISNUMBER(VALUE(RIGHT(AY23:AY167,1))),VALUE(RIGHT(AY23:AY167,1)),0))</f>
        <v>0</v>
      </c>
      <c r="AZ17" s="903">
        <f t="array" ref="AZ17">SUM(IF(ISNUMBER(VALUE(RIGHT(AZ23:AZ167,1))),VALUE(RIGHT(AZ23:AZ167,1)),0))</f>
        <v>0</v>
      </c>
      <c r="BA17" s="903">
        <f t="array" ref="BA17">SUM(IF(ISNUMBER(VALUE(RIGHT(BA23:BA167,1))),VALUE(RIGHT(BA23:BA167,1)),0))</f>
        <v>3</v>
      </c>
      <c r="BB17" s="903">
        <f t="array" ref="BB17">SUM(IF(ISNUMBER(VALUE(RIGHT(BB23:BB167,1))),VALUE(RIGHT(BB23:BB167,1)),0))</f>
        <v>5</v>
      </c>
      <c r="BC17" s="903">
        <f t="array" ref="BC17">SUM(IF(ISNUMBER(VALUE(RIGHT(BC23:BC167,1))),VALUE(RIGHT(BC23:BC167,1)),0))</f>
        <v>2</v>
      </c>
      <c r="BD17" s="903">
        <f t="array" ref="BD17">SUM(IF(ISNUMBER(VALUE(RIGHT(BD23:BD167,1))),VALUE(RIGHT(BD23:BD167,1)),0))</f>
        <v>0</v>
      </c>
      <c r="BE17" s="903">
        <f t="array" ref="BE17">SUM(IF(ISNUMBER(VALUE(RIGHT(BE23:BE167,1))),VALUE(RIGHT(BE23:BE167,1)),0))</f>
        <v>2</v>
      </c>
      <c r="BF17" s="903">
        <f t="array" ref="BF17">SUM(IF(ISNUMBER(VALUE(RIGHT(BF23:BF167,1))),VALUE(RIGHT(BF23:BF167,1)),0))</f>
        <v>0</v>
      </c>
      <c r="BG17" s="903">
        <f t="array" ref="BG17">SUM(IF(ISNUMBER(VALUE(RIGHT(BG23:BG167,1))),VALUE(RIGHT(BG23:BG167,1)),0))</f>
        <v>2</v>
      </c>
      <c r="BH17" s="903">
        <f t="array" ref="BH17">SUM(IF(ISNUMBER(VALUE(RIGHT(BH23:BH167,1))),VALUE(RIGHT(BH23:BH167,1)),0))</f>
        <v>6</v>
      </c>
      <c r="BI17" s="903">
        <f t="array" ref="BI17">SUM(IF(ISNUMBER(VALUE(RIGHT(BI23:BI167,1))),VALUE(RIGHT(BI23:BI167,1)),0))</f>
        <v>7</v>
      </c>
      <c r="BJ17" s="903">
        <f t="array" ref="BJ17">SUM(IF(ISNUMBER(VALUE(RIGHT(BJ23:BJ167,1))),VALUE(RIGHT(BJ23:BJ167,1)),0))</f>
        <v>0</v>
      </c>
      <c r="BK17" s="903">
        <f t="array" ref="BK17">SUM(IF(ISNUMBER(VALUE(RIGHT(BK23:BK167,1))),VALUE(RIGHT(BK23:BK167,1)),0))</f>
        <v>2</v>
      </c>
      <c r="BL17" s="903">
        <f t="array" ref="BL17">SUM(IF(ISNUMBER(VALUE(RIGHT(BL23:BL167,1))),VALUE(RIGHT(BL23:BL167,1)),0))</f>
        <v>0</v>
      </c>
      <c r="BM17" s="889"/>
      <c r="BN17" s="889"/>
      <c r="BO17" s="889"/>
      <c r="BP17" s="889"/>
      <c r="BQ17" s="889"/>
      <c r="BR17" s="889"/>
      <c r="BS17" s="890"/>
      <c r="BT17" s="890"/>
      <c r="BU17" s="890"/>
      <c r="BV17" s="890"/>
      <c r="BW17" s="889"/>
      <c r="BX17" s="889"/>
      <c r="BY17" s="889"/>
      <c r="BZ17" s="889"/>
      <c r="CA17" s="889"/>
      <c r="CB17" s="889"/>
      <c r="CC17" s="889"/>
    </row>
    <row r="18" spans="1:114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AVERAGEIFS($Y$23:$Y$204,$H$23:$H$204,"H",$I$23:$I$204,Table!$C$1)</f>
        <v>3.3809523809523809</v>
      </c>
      <c r="S18" s="858">
        <f>AVERAGEIFS($Y$23:$Y$204,$H$23:$H$204,"A",$I$23:$I$204,Table!$C$1)</f>
        <v>3.2380952380952381</v>
      </c>
      <c r="AG18" s="876">
        <v>1</v>
      </c>
      <c r="AH18" s="876">
        <v>16</v>
      </c>
      <c r="AI18" s="876">
        <v>24</v>
      </c>
      <c r="AJ18" s="876">
        <v>3</v>
      </c>
      <c r="AK18" s="876">
        <v>4</v>
      </c>
      <c r="AL18" s="876">
        <v>6</v>
      </c>
      <c r="AM18" s="876">
        <v>14</v>
      </c>
      <c r="AN18" s="876">
        <v>30</v>
      </c>
      <c r="AO18" s="876">
        <v>22</v>
      </c>
      <c r="AP18" s="874">
        <v>27</v>
      </c>
      <c r="AQ18" s="876">
        <v>14</v>
      </c>
      <c r="AR18" s="874">
        <v>31</v>
      </c>
      <c r="AS18" s="874">
        <v>32</v>
      </c>
      <c r="AT18" s="876">
        <v>17</v>
      </c>
      <c r="AU18" s="876">
        <v>23</v>
      </c>
      <c r="AV18" s="876">
        <v>7</v>
      </c>
      <c r="AW18" s="876">
        <v>2</v>
      </c>
      <c r="AX18" s="876">
        <v>15</v>
      </c>
      <c r="AY18" s="876"/>
      <c r="AZ18" s="876">
        <v>8</v>
      </c>
      <c r="BA18" s="876">
        <v>10</v>
      </c>
      <c r="BB18" s="876">
        <v>11</v>
      </c>
      <c r="BC18" s="876">
        <v>19</v>
      </c>
      <c r="BD18" s="876">
        <v>25</v>
      </c>
      <c r="BE18" s="876">
        <v>5</v>
      </c>
      <c r="BF18" s="876">
        <v>26</v>
      </c>
      <c r="BG18" s="876">
        <v>9</v>
      </c>
      <c r="BH18" s="876">
        <v>13</v>
      </c>
      <c r="BI18" s="876">
        <v>20</v>
      </c>
      <c r="BJ18" s="876">
        <v>21</v>
      </c>
      <c r="BK18" s="876">
        <v>29</v>
      </c>
      <c r="BL18" s="876">
        <v>33</v>
      </c>
      <c r="BM18" s="876"/>
      <c r="BN18" s="876"/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</row>
    <row r="19" spans="1:114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AVERAGEIFS($Z$23:$Z$202,$H$23:$H$202,"H",$I$23:$I$202,Table!$C$1)</f>
        <v>4.333333333333333</v>
      </c>
      <c r="S19" s="858">
        <f>AVERAGEIFS($Z$23:$Z$202,$H$23:$H$202,"A",$I$23:$I$202,Table!$C$1)</f>
        <v>4.1428571428571432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2032</v>
      </c>
      <c r="AK19" s="901" t="s">
        <v>2018</v>
      </c>
      <c r="AL19" s="901" t="s">
        <v>2033</v>
      </c>
      <c r="AM19" s="901" t="s">
        <v>2028</v>
      </c>
      <c r="AN19" s="901" t="s">
        <v>2032</v>
      </c>
      <c r="AO19" s="901" t="s">
        <v>1986</v>
      </c>
      <c r="AP19" s="901" t="s">
        <v>2175</v>
      </c>
      <c r="AQ19" s="901" t="s">
        <v>3097</v>
      </c>
      <c r="AR19" s="901" t="s">
        <v>2948</v>
      </c>
      <c r="AS19" s="901" t="s">
        <v>1984</v>
      </c>
      <c r="AT19" s="901" t="s">
        <v>2019</v>
      </c>
      <c r="AU19" s="901" t="s">
        <v>2020</v>
      </c>
      <c r="AV19" s="901" t="s">
        <v>2019</v>
      </c>
      <c r="AW19" s="901" t="s">
        <v>2029</v>
      </c>
      <c r="AX19" s="901" t="s">
        <v>2021</v>
      </c>
      <c r="AY19" s="901" t="s">
        <v>2029</v>
      </c>
      <c r="AZ19" s="901" t="s">
        <v>2021</v>
      </c>
      <c r="BA19" s="901" t="s">
        <v>2020</v>
      </c>
      <c r="BB19" s="901" t="s">
        <v>2025</v>
      </c>
      <c r="BC19" s="901" t="s">
        <v>2034</v>
      </c>
      <c r="BD19" s="901" t="s">
        <v>2034</v>
      </c>
      <c r="BE19" s="901" t="s">
        <v>2034</v>
      </c>
      <c r="BF19" s="901" t="s">
        <v>2035</v>
      </c>
      <c r="BG19" s="901" t="s">
        <v>2025</v>
      </c>
      <c r="BH19" s="901" t="s">
        <v>2022</v>
      </c>
      <c r="BI19" s="901" t="s">
        <v>2025</v>
      </c>
      <c r="BJ19" s="901" t="s">
        <v>2030</v>
      </c>
      <c r="BK19" s="901" t="s">
        <v>2030</v>
      </c>
      <c r="BL19" s="901" t="s">
        <v>2022</v>
      </c>
      <c r="BO19" s="877"/>
      <c r="BP19" s="877"/>
      <c r="BQ19" s="877"/>
      <c r="BR19" s="877"/>
      <c r="BS19" s="428"/>
      <c r="BT19" s="428"/>
      <c r="BU19" s="428"/>
      <c r="BV19" s="428"/>
      <c r="BW19" s="877"/>
      <c r="BX19" s="877"/>
      <c r="BY19" s="877"/>
      <c r="BZ19" s="877"/>
      <c r="CA19" s="877"/>
      <c r="CB19" s="877"/>
      <c r="CC19" s="877"/>
      <c r="CD19" s="428"/>
      <c r="CE19" s="876"/>
      <c r="CF19" s="876"/>
      <c r="CG19" s="876"/>
    </row>
    <row r="20" spans="1:114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19</v>
      </c>
      <c r="G20" s="822" t="str">
        <f ca="1">MID(CELL("filename",A1),FIND("]",CELL("filename",A1))+1,LEN(CELL("filename",A1))-FIND("]",CELL("filename",A1)))</f>
        <v>Kamatamare Sanuki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2575</v>
      </c>
      <c r="AH20" s="887" t="s">
        <v>1443</v>
      </c>
      <c r="AI20" s="887" t="s">
        <v>1444</v>
      </c>
      <c r="AJ20" s="887" t="s">
        <v>1445</v>
      </c>
      <c r="AK20" s="887" t="s">
        <v>2297</v>
      </c>
      <c r="AL20" s="887" t="s">
        <v>1446</v>
      </c>
      <c r="AM20" s="887" t="s">
        <v>1901</v>
      </c>
      <c r="AN20" s="887" t="s">
        <v>2402</v>
      </c>
      <c r="AO20" s="887" t="s">
        <v>1447</v>
      </c>
      <c r="AP20" s="887" t="s">
        <v>2173</v>
      </c>
      <c r="AQ20" s="887" t="s">
        <v>3537</v>
      </c>
      <c r="AR20" s="887" t="s">
        <v>3053</v>
      </c>
      <c r="AS20" s="887" t="s">
        <v>1431</v>
      </c>
      <c r="AT20" s="887" t="s">
        <v>2403</v>
      </c>
      <c r="AU20" s="887" t="s">
        <v>1448</v>
      </c>
      <c r="AV20" s="887" t="s">
        <v>1451</v>
      </c>
      <c r="AW20" s="887" t="s">
        <v>1449</v>
      </c>
      <c r="AX20" s="887" t="s">
        <v>1455</v>
      </c>
      <c r="AY20" s="887" t="s">
        <v>1902</v>
      </c>
      <c r="AZ20" s="887" t="s">
        <v>3281</v>
      </c>
      <c r="BA20" s="887" t="s">
        <v>1453</v>
      </c>
      <c r="BB20" s="887" t="s">
        <v>1454</v>
      </c>
      <c r="BC20" s="887" t="s">
        <v>3536</v>
      </c>
      <c r="BD20" s="887" t="s">
        <v>2873</v>
      </c>
      <c r="BE20" s="887" t="s">
        <v>1450</v>
      </c>
      <c r="BF20" s="887" t="s">
        <v>1452</v>
      </c>
      <c r="BG20" s="887" t="s">
        <v>1456</v>
      </c>
      <c r="BH20" s="887" t="s">
        <v>3282</v>
      </c>
      <c r="BI20" s="887" t="s">
        <v>2434</v>
      </c>
      <c r="BJ20" s="887" t="s">
        <v>1457</v>
      </c>
      <c r="BK20" s="887" t="s">
        <v>1458</v>
      </c>
      <c r="BL20" s="887" t="s">
        <v>1459</v>
      </c>
      <c r="BO20" s="864"/>
      <c r="BP20" s="864"/>
      <c r="BQ20" s="864"/>
      <c r="BR20" s="864"/>
      <c r="BS20" s="847"/>
      <c r="BT20" s="847"/>
      <c r="BU20" s="847"/>
      <c r="BV20" s="847"/>
      <c r="BW20" s="864"/>
      <c r="BX20" s="864"/>
      <c r="BY20" s="864"/>
      <c r="BZ20" s="864"/>
      <c r="CA20" s="864"/>
      <c r="CB20" s="864"/>
      <c r="CC20" s="864"/>
      <c r="CD20" s="82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</row>
    <row r="21" spans="1:114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932</v>
      </c>
      <c r="AH21" s="886" t="s">
        <v>1272</v>
      </c>
      <c r="AI21" s="886" t="s">
        <v>933</v>
      </c>
      <c r="AJ21" s="886" t="s">
        <v>1273</v>
      </c>
      <c r="AK21" s="886" t="s">
        <v>2298</v>
      </c>
      <c r="AL21" s="886" t="s">
        <v>1052</v>
      </c>
      <c r="AM21" s="886" t="s">
        <v>1274</v>
      </c>
      <c r="AN21" s="886" t="s">
        <v>937</v>
      </c>
      <c r="AO21" s="886" t="s">
        <v>935</v>
      </c>
      <c r="AP21" s="886" t="s">
        <v>2174</v>
      </c>
      <c r="AQ21" s="886" t="s">
        <v>3378</v>
      </c>
      <c r="AR21" s="886" t="s">
        <v>2947</v>
      </c>
      <c r="AS21" s="886" t="s">
        <v>925</v>
      </c>
      <c r="AT21" s="886" t="s">
        <v>1042</v>
      </c>
      <c r="AU21" s="886" t="s">
        <v>936</v>
      </c>
      <c r="AV21" s="886" t="s">
        <v>1275</v>
      </c>
      <c r="AW21" s="886" t="s">
        <v>954</v>
      </c>
      <c r="AX21" s="886" t="s">
        <v>939</v>
      </c>
      <c r="AY21" s="886" t="s">
        <v>940</v>
      </c>
      <c r="AZ21" s="886" t="s">
        <v>941</v>
      </c>
      <c r="BA21" s="886" t="s">
        <v>1276</v>
      </c>
      <c r="BB21" s="886" t="s">
        <v>942</v>
      </c>
      <c r="BC21" s="886" t="s">
        <v>1277</v>
      </c>
      <c r="BD21" s="886" t="s">
        <v>2874</v>
      </c>
      <c r="BE21" s="886" t="s">
        <v>1080</v>
      </c>
      <c r="BF21" s="886" t="s">
        <v>938</v>
      </c>
      <c r="BG21" s="886" t="s">
        <v>1278</v>
      </c>
      <c r="BH21" s="886" t="s">
        <v>1279</v>
      </c>
      <c r="BI21" s="886" t="s">
        <v>1724</v>
      </c>
      <c r="BJ21" s="886" t="s">
        <v>943</v>
      </c>
      <c r="BK21" s="886" t="s">
        <v>944</v>
      </c>
      <c r="BL21" s="886" t="s">
        <v>1280</v>
      </c>
      <c r="BO21" s="864"/>
      <c r="BP21" s="864"/>
      <c r="BQ21" s="864"/>
      <c r="BR21" s="864"/>
      <c r="BS21" s="847"/>
      <c r="BT21" s="847"/>
      <c r="BU21" s="847"/>
      <c r="BV21" s="847"/>
      <c r="BW21" s="864"/>
      <c r="BX21" s="864"/>
      <c r="BY21" s="864"/>
      <c r="BZ21" s="864"/>
      <c r="CA21" s="864"/>
      <c r="CB21" s="864"/>
      <c r="CC21" s="864"/>
      <c r="CD21" s="82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</row>
    <row r="22" spans="1:114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Q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</row>
    <row r="23" spans="1:114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21</v>
      </c>
      <c r="G23" s="879" t="s">
        <v>890</v>
      </c>
      <c r="H23" s="879" t="s">
        <v>18</v>
      </c>
      <c r="I23" s="879" t="s">
        <v>891</v>
      </c>
      <c r="J23" s="846">
        <v>1</v>
      </c>
      <c r="K23" s="846">
        <v>2</v>
      </c>
      <c r="L23" s="816" t="str">
        <f>IF(J23="","",IF(J23&gt;K23,"W",IF(J23=K23,"D",IF(J23&lt;K23,"L"))))</f>
        <v>L</v>
      </c>
      <c r="M23" s="816">
        <f>IF(J23="","",J23+K23)</f>
        <v>3</v>
      </c>
      <c r="N23" s="816" t="str">
        <f>IF($J23="","",IF($M23&gt;N$19,"O",IF($M23&lt;N$19,"U",IF($M23=N$19,"-"))))</f>
        <v>O</v>
      </c>
      <c r="O23" s="816">
        <f t="shared" ref="O23:O57" si="20">IF(Q23="","",IF(SIGN(Q23)&lt;&gt;1,VLOOKUP(ABS(Q23),SUP_HDC,3,TRUE),-VLOOKUP(ABS(Q23),SUP_HDC,3,TRUE)))</f>
        <v>0</v>
      </c>
      <c r="P23" s="829">
        <f>IF(O23="","",IF((J23-K23+O23)&gt;=0.5,1,IF((J23-K23+O23)=0.25,0.5,IF((J23-K23+O23)&lt;=-0.5,-1,IF((J23-K23+O23)=-0.25,-0.5,0)))))</f>
        <v>-1</v>
      </c>
      <c r="Q23" s="830">
        <v>0.05</v>
      </c>
      <c r="R23" s="871">
        <f>IF(ISBLANK(Q23),"",J23-K23-Q23)</f>
        <v>-1.05</v>
      </c>
      <c r="S23" s="830">
        <v>2.15</v>
      </c>
      <c r="T23" s="871">
        <f>IF(ISBLANK(S23),"",J23+K23-S23)</f>
        <v>0.85000000000000009</v>
      </c>
      <c r="U23" s="868">
        <f>IF(Q23="","",(Q23+S23)/2)</f>
        <v>1.0999999999999999</v>
      </c>
      <c r="V23" s="868">
        <f>IF(Q23="","",S23-U23)</f>
        <v>1.05</v>
      </c>
      <c r="W23" s="816">
        <v>14</v>
      </c>
      <c r="X23" s="816">
        <v>12</v>
      </c>
      <c r="Y23" s="829">
        <v>3</v>
      </c>
      <c r="Z23" s="829">
        <v>5</v>
      </c>
      <c r="AA23" s="829">
        <v>52</v>
      </c>
      <c r="AB23" s="829">
        <v>48</v>
      </c>
      <c r="AC23" s="829"/>
      <c r="AD23" s="816" t="str">
        <f t="array" ref="AD23">IF($J23="","",IF(SUM(IF(ISNUMBER(VALUE(RIGHT($AG23:$DV23,1))),VALUE(RIGHT($AG23:$DV23,1)),0))=$J23,"T","F"))</f>
        <v>T</v>
      </c>
      <c r="AE23" s="831">
        <f t="array" ref="AE23">IF($J23="","",SUM(IF(LEFT($AG23:$DV23,1)="s",1,0))-SUM(IF(RIGHT(LEFT($AG23:$DV23,2))="-",1,0)))</f>
        <v>0</v>
      </c>
      <c r="AF23" s="816">
        <f t="array" ref="AF23">IF($J23="","",SUM(IF(LEFT($AG23:$DV23,1)="X",1,0)))</f>
        <v>11</v>
      </c>
      <c r="AG23" s="891" t="s">
        <v>34</v>
      </c>
      <c r="AH23" s="891" t="s">
        <v>32</v>
      </c>
      <c r="AI23" s="891" t="s">
        <v>1877</v>
      </c>
      <c r="AJ23" s="891" t="s">
        <v>36</v>
      </c>
      <c r="AK23" s="891" t="s">
        <v>1886</v>
      </c>
      <c r="AL23" s="891" t="s">
        <v>34</v>
      </c>
      <c r="AM23" s="891" t="s">
        <v>32</v>
      </c>
      <c r="AN23" s="891" t="s">
        <v>34</v>
      </c>
      <c r="AO23" s="891" t="s">
        <v>32</v>
      </c>
      <c r="AP23" s="891"/>
      <c r="AQ23" s="891" t="s">
        <v>32</v>
      </c>
      <c r="AR23" s="915"/>
      <c r="AS23" s="918"/>
      <c r="AT23" s="891" t="s">
        <v>34</v>
      </c>
      <c r="AU23" s="891" t="s">
        <v>34</v>
      </c>
      <c r="AV23" s="891" t="s">
        <v>1879</v>
      </c>
      <c r="AW23" s="891" t="s">
        <v>1877</v>
      </c>
      <c r="AX23" s="891" t="s">
        <v>32</v>
      </c>
      <c r="AY23" s="891" t="s">
        <v>32</v>
      </c>
      <c r="AZ23" s="891" t="s">
        <v>32</v>
      </c>
      <c r="BA23" s="891" t="s">
        <v>36</v>
      </c>
      <c r="BB23" s="891" t="s">
        <v>35</v>
      </c>
      <c r="BC23" s="891" t="s">
        <v>34</v>
      </c>
      <c r="BD23" s="891" t="s">
        <v>32</v>
      </c>
      <c r="BE23" s="891" t="s">
        <v>35</v>
      </c>
      <c r="BF23" s="891" t="s">
        <v>1877</v>
      </c>
      <c r="BG23" s="891" t="s">
        <v>35</v>
      </c>
      <c r="BH23" s="891" t="s">
        <v>34</v>
      </c>
      <c r="BI23" s="891" t="s">
        <v>36</v>
      </c>
      <c r="BJ23" s="891" t="s">
        <v>32</v>
      </c>
      <c r="BK23" s="891" t="s">
        <v>32</v>
      </c>
      <c r="BL23" s="891" t="s">
        <v>1877</v>
      </c>
      <c r="BO23" s="891"/>
      <c r="BP23" s="891"/>
      <c r="BQ23" s="891"/>
      <c r="BR23" s="891"/>
      <c r="BS23" s="896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428"/>
      <c r="CE23" s="428"/>
      <c r="CF23" s="428"/>
      <c r="CG23" s="428"/>
      <c r="CH23" s="230" t="s">
        <v>32</v>
      </c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</row>
    <row r="24" spans="1:114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16</v>
      </c>
      <c r="G24" s="879" t="s">
        <v>872</v>
      </c>
      <c r="H24" s="879" t="s">
        <v>22</v>
      </c>
      <c r="I24" s="879" t="s">
        <v>891</v>
      </c>
      <c r="J24" s="846">
        <v>2</v>
      </c>
      <c r="K24" s="846">
        <v>2</v>
      </c>
      <c r="L24" s="816" t="str">
        <f>IF(J24="","",IF(J24&gt;K24,"W",IF(J24=K24,"D",IF(J24&lt;K24,"L"))))</f>
        <v>D</v>
      </c>
      <c r="M24" s="816">
        <f>IF(J24="","",J24+K24)</f>
        <v>4</v>
      </c>
      <c r="N24" s="816" t="str">
        <f t="shared" ref="N24:N30" si="21">IF($J24="","",IF($M24&gt;N$19,"O",IF($M24&lt;N$19,"U",IF($M24=N$19,"-"))))</f>
        <v>O</v>
      </c>
      <c r="O24" s="816">
        <f t="shared" si="20"/>
        <v>0.25</v>
      </c>
      <c r="P24" s="829">
        <f t="shared" ref="P24:P57" si="22">IF(O24="","",IF((J24-K24+O24)&gt;=0.5,1,IF((J24-K24+O24)=0.25,0.5,IF((J24-K24+O24)&lt;=-0.5,-1,IF((J24-K24+O24)=-0.25,-0.5,0)))))</f>
        <v>0.5</v>
      </c>
      <c r="Q24" s="830">
        <v>-0.34</v>
      </c>
      <c r="R24" s="871">
        <f t="shared" ref="R24:R65" si="23">IF(ISBLANK(Q24),"",J24-K24-Q24)</f>
        <v>0.34</v>
      </c>
      <c r="S24" s="830">
        <v>2.14</v>
      </c>
      <c r="T24" s="871">
        <f t="shared" ref="T24:T65" si="24">IF(ISBLANK(S24),"",J24+K24-S24)</f>
        <v>1.8599999999999999</v>
      </c>
      <c r="U24" s="868">
        <f t="shared" ref="U24:U57" si="25">IF(Q24="","",(Q24+S24)/2)</f>
        <v>0.9</v>
      </c>
      <c r="V24" s="868">
        <f t="shared" ref="V24:V57" si="26">IF(Q24="","",S24-U24)</f>
        <v>1.2400000000000002</v>
      </c>
      <c r="W24" s="829">
        <v>14</v>
      </c>
      <c r="X24" s="829">
        <v>18</v>
      </c>
      <c r="Y24" s="829">
        <v>5</v>
      </c>
      <c r="Z24" s="829">
        <v>4</v>
      </c>
      <c r="AA24" s="829">
        <v>50</v>
      </c>
      <c r="AB24" s="829">
        <v>50</v>
      </c>
      <c r="AD24" s="816" t="str">
        <f t="array" ref="AD24">IF($J24="","",IF(SUM(IF(ISNUMBER(VALUE(RIGHT($AG24:$DV24,1))),VALUE(RIGHT($AG24:$DV24,1)),0))=$J24,"T","F"))</f>
        <v>T</v>
      </c>
      <c r="AE24" s="831">
        <f t="array" ref="AE24">IF($J24="","",SUM(IF(LEFT($AG24:$DV24,1)="s",1,0))-SUM(IF(RIGHT(LEFT($AG24:$DV24,2))="-",1,0)))</f>
        <v>0</v>
      </c>
      <c r="AF24" s="816">
        <f t="array" ref="AF24">IF($J24="","",SUM(IF(LEFT($AG24:$DV24,1)="X",1,0)))</f>
        <v>11</v>
      </c>
      <c r="AG24" s="891" t="s">
        <v>34</v>
      </c>
      <c r="AH24" s="891" t="s">
        <v>32</v>
      </c>
      <c r="AI24" s="891" t="s">
        <v>1877</v>
      </c>
      <c r="AJ24" s="891" t="s">
        <v>36</v>
      </c>
      <c r="AK24" s="891" t="s">
        <v>1886</v>
      </c>
      <c r="AL24" s="891" t="s">
        <v>34</v>
      </c>
      <c r="AM24" s="891" t="s">
        <v>32</v>
      </c>
      <c r="AN24" s="891" t="s">
        <v>34</v>
      </c>
      <c r="AO24" s="891" t="s">
        <v>32</v>
      </c>
      <c r="AP24" s="891"/>
      <c r="AQ24" s="891" t="s">
        <v>32</v>
      </c>
      <c r="AR24" s="915"/>
      <c r="AS24" s="918"/>
      <c r="AT24" s="904" t="s">
        <v>34</v>
      </c>
      <c r="AU24" s="891" t="s">
        <v>35</v>
      </c>
      <c r="AV24" s="891" t="s">
        <v>34</v>
      </c>
      <c r="AW24" s="891" t="s">
        <v>1877</v>
      </c>
      <c r="AX24" s="891" t="s">
        <v>1877</v>
      </c>
      <c r="AY24" s="891" t="s">
        <v>32</v>
      </c>
      <c r="AZ24" s="891" t="s">
        <v>32</v>
      </c>
      <c r="BA24" s="891" t="s">
        <v>34</v>
      </c>
      <c r="BB24" s="891" t="s">
        <v>1943</v>
      </c>
      <c r="BC24" s="891" t="s">
        <v>1948</v>
      </c>
      <c r="BD24" s="891" t="s">
        <v>32</v>
      </c>
      <c r="BE24" s="891" t="s">
        <v>35</v>
      </c>
      <c r="BF24" s="891" t="s">
        <v>32</v>
      </c>
      <c r="BG24" s="891" t="s">
        <v>32</v>
      </c>
      <c r="BH24" s="891" t="s">
        <v>35</v>
      </c>
      <c r="BI24" s="891" t="s">
        <v>34</v>
      </c>
      <c r="BJ24" s="891" t="s">
        <v>32</v>
      </c>
      <c r="BK24" s="891" t="s">
        <v>1877</v>
      </c>
      <c r="BL24" s="891" t="s">
        <v>36</v>
      </c>
      <c r="BO24" s="891"/>
      <c r="BP24" s="891"/>
      <c r="BQ24" s="891"/>
      <c r="BR24" s="891"/>
      <c r="BS24" s="896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428"/>
      <c r="CE24" s="428"/>
      <c r="CF24" s="428"/>
      <c r="CG24" s="428"/>
      <c r="CH24" s="230" t="s">
        <v>32</v>
      </c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</row>
    <row r="25" spans="1:114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15</v>
      </c>
      <c r="G25" s="879" t="s">
        <v>881</v>
      </c>
      <c r="H25" s="879" t="s">
        <v>22</v>
      </c>
      <c r="I25" s="879" t="s">
        <v>891</v>
      </c>
      <c r="J25" s="846">
        <v>2</v>
      </c>
      <c r="K25" s="846">
        <v>2</v>
      </c>
      <c r="L25" s="816" t="str">
        <f>IF(J25="","",IF(J25&gt;K25,"W",IF(J25=K25,"D",IF(J25&lt;K25,"L"))))</f>
        <v>D</v>
      </c>
      <c r="M25" s="816">
        <f>IF(J25="","",J25+K25)</f>
        <v>4</v>
      </c>
      <c r="N25" s="816" t="str">
        <f t="shared" si="21"/>
        <v>O</v>
      </c>
      <c r="O25" s="816">
        <f t="shared" si="20"/>
        <v>0.25</v>
      </c>
      <c r="P25" s="829">
        <f t="shared" si="22"/>
        <v>0.5</v>
      </c>
      <c r="Q25" s="830">
        <v>-0.22</v>
      </c>
      <c r="R25" s="871">
        <f t="shared" si="23"/>
        <v>0.22</v>
      </c>
      <c r="S25" s="830">
        <v>2.15</v>
      </c>
      <c r="T25" s="871">
        <f t="shared" si="24"/>
        <v>1.85</v>
      </c>
      <c r="U25" s="868">
        <f t="shared" si="25"/>
        <v>0.96499999999999997</v>
      </c>
      <c r="V25" s="868">
        <f t="shared" si="26"/>
        <v>1.1850000000000001</v>
      </c>
      <c r="W25" s="829">
        <v>14</v>
      </c>
      <c r="X25" s="829">
        <v>14</v>
      </c>
      <c r="Y25" s="829">
        <v>5</v>
      </c>
      <c r="Z25" s="829">
        <v>4</v>
      </c>
      <c r="AA25" s="829">
        <v>41</v>
      </c>
      <c r="AB25" s="829">
        <v>59</v>
      </c>
      <c r="AC25" s="829"/>
      <c r="AD25" s="816" t="str">
        <f t="array" ref="AD25">IF($J25="","",IF(SUM(IF(ISNUMBER(VALUE(RIGHT($AG25:$DV25,1))),VALUE(RIGHT($AG25:$DV25,1)),0))=$J25,"T","F"))</f>
        <v>T</v>
      </c>
      <c r="AE25" s="831">
        <f t="array" ref="AE25">IF($J25="","",SUM(IF(LEFT($AG25:$DV25,1)="s",1,0))-SUM(IF(RIGHT(LEFT($AG25:$DV25,2))="-",1,0)))</f>
        <v>0</v>
      </c>
      <c r="AF25" s="816">
        <f t="array" ref="AF25">IF($J25="","",SUM(IF(LEFT($AG25:$DV25,1)="X",1,0)))</f>
        <v>11</v>
      </c>
      <c r="AG25" s="891" t="s">
        <v>34</v>
      </c>
      <c r="AH25" s="891" t="s">
        <v>32</v>
      </c>
      <c r="AI25" s="891" t="s">
        <v>1877</v>
      </c>
      <c r="AJ25" s="891" t="s">
        <v>1877</v>
      </c>
      <c r="AK25" s="891" t="s">
        <v>1886</v>
      </c>
      <c r="AL25" s="891" t="s">
        <v>34</v>
      </c>
      <c r="AM25" s="891" t="s">
        <v>32</v>
      </c>
      <c r="AN25" s="891" t="s">
        <v>34</v>
      </c>
      <c r="AO25" s="891" t="s">
        <v>1877</v>
      </c>
      <c r="AP25" s="891"/>
      <c r="AQ25" s="891" t="s">
        <v>32</v>
      </c>
      <c r="AR25" s="915"/>
      <c r="AS25" s="918"/>
      <c r="AT25" s="904" t="s">
        <v>1964</v>
      </c>
      <c r="AU25" s="891" t="s">
        <v>34</v>
      </c>
      <c r="AV25" s="891" t="s">
        <v>34</v>
      </c>
      <c r="AW25" s="891" t="s">
        <v>1877</v>
      </c>
      <c r="AX25" s="891" t="s">
        <v>36</v>
      </c>
      <c r="AY25" s="891" t="s">
        <v>32</v>
      </c>
      <c r="AZ25" s="904" t="s">
        <v>35</v>
      </c>
      <c r="BA25" s="891" t="s">
        <v>35</v>
      </c>
      <c r="BB25" s="891" t="s">
        <v>34</v>
      </c>
      <c r="BC25" s="891" t="s">
        <v>36</v>
      </c>
      <c r="BD25" s="891" t="s">
        <v>32</v>
      </c>
      <c r="BE25" s="891" t="s">
        <v>35</v>
      </c>
      <c r="BF25" s="891" t="s">
        <v>32</v>
      </c>
      <c r="BG25" s="891" t="s">
        <v>32</v>
      </c>
      <c r="BH25" s="891" t="s">
        <v>1964</v>
      </c>
      <c r="BI25" s="891" t="s">
        <v>32</v>
      </c>
      <c r="BJ25" s="891" t="s">
        <v>32</v>
      </c>
      <c r="BK25" s="891" t="s">
        <v>32</v>
      </c>
      <c r="BL25" s="891" t="s">
        <v>36</v>
      </c>
      <c r="BO25" s="891"/>
      <c r="BP25" s="891"/>
      <c r="BQ25" s="891"/>
      <c r="BR25" s="891"/>
      <c r="BS25" s="896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428"/>
      <c r="CE25" s="428"/>
      <c r="CF25" s="428"/>
      <c r="CG25" s="428"/>
      <c r="CH25" s="230" t="s">
        <v>32</v>
      </c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</row>
    <row r="26" spans="1:114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11</v>
      </c>
      <c r="G26" s="879" t="s">
        <v>874</v>
      </c>
      <c r="H26" s="879" t="s">
        <v>18</v>
      </c>
      <c r="I26" s="879" t="s">
        <v>891</v>
      </c>
      <c r="J26" s="846">
        <v>0</v>
      </c>
      <c r="K26" s="846">
        <v>0</v>
      </c>
      <c r="L26" s="816" t="str">
        <f t="shared" ref="L26:L30" si="27">IF(J26="","",IF(J26&gt;K26,"W",IF(J26=K26,"D",IF(J26&lt;K26,"L"))))</f>
        <v>D</v>
      </c>
      <c r="M26" s="816">
        <f t="shared" ref="M26:M30" si="28">IF(J26="","",J26+K26)</f>
        <v>0</v>
      </c>
      <c r="N26" s="816" t="str">
        <f t="shared" si="21"/>
        <v>U</v>
      </c>
      <c r="O26" s="816">
        <f t="shared" si="20"/>
        <v>0.75</v>
      </c>
      <c r="P26" s="829">
        <f t="shared" si="22"/>
        <v>1</v>
      </c>
      <c r="Q26" s="830">
        <v>-0.77</v>
      </c>
      <c r="R26" s="871">
        <f t="shared" si="23"/>
        <v>0.77</v>
      </c>
      <c r="S26" s="830">
        <v>2.31</v>
      </c>
      <c r="T26" s="871">
        <f t="shared" si="24"/>
        <v>-2.31</v>
      </c>
      <c r="U26" s="868">
        <f t="shared" si="25"/>
        <v>0.77</v>
      </c>
      <c r="V26" s="868">
        <f t="shared" si="26"/>
        <v>1.54</v>
      </c>
      <c r="W26" s="829">
        <v>18</v>
      </c>
      <c r="X26" s="829">
        <v>7</v>
      </c>
      <c r="Y26" s="829">
        <v>3</v>
      </c>
      <c r="Z26" s="829">
        <v>2</v>
      </c>
      <c r="AA26" s="829">
        <v>51</v>
      </c>
      <c r="AB26" s="829">
        <v>49</v>
      </c>
      <c r="AC26" s="829"/>
      <c r="AD26" s="816" t="str">
        <f t="array" ref="AD26">IF($J26="","",IF(SUM(IF(ISNUMBER(VALUE(RIGHT($AG26:$DV26,1))),VALUE(RIGHT($AG26:$DV26,1)),0))=$J26,"T","F"))</f>
        <v>T</v>
      </c>
      <c r="AE26" s="831">
        <f t="array" ref="AE26">IF($J26="","",SUM(IF(LEFT($AG26:$DV26,1)="s",1,0))-SUM(IF(RIGHT(LEFT($AG26:$DV26,2))="-",1,0)))</f>
        <v>0</v>
      </c>
      <c r="AF26" s="816">
        <f t="array" ref="AF26">IF($J26="","",SUM(IF(LEFT($AG26:$DV26,1)="X",1,0)))</f>
        <v>11</v>
      </c>
      <c r="AG26" s="891" t="s">
        <v>34</v>
      </c>
      <c r="AH26" s="891" t="s">
        <v>32</v>
      </c>
      <c r="AI26" s="891" t="s">
        <v>1877</v>
      </c>
      <c r="AJ26" s="891" t="s">
        <v>34</v>
      </c>
      <c r="AK26" s="891" t="s">
        <v>1886</v>
      </c>
      <c r="AL26" s="891" t="s">
        <v>34</v>
      </c>
      <c r="AM26" s="891" t="s">
        <v>32</v>
      </c>
      <c r="AN26" s="891" t="s">
        <v>34</v>
      </c>
      <c r="AO26" s="891" t="s">
        <v>1877</v>
      </c>
      <c r="AP26" s="891"/>
      <c r="AQ26" s="891" t="s">
        <v>32</v>
      </c>
      <c r="AR26" s="915"/>
      <c r="AS26" s="918"/>
      <c r="AT26" s="891" t="s">
        <v>34</v>
      </c>
      <c r="AU26" s="891" t="s">
        <v>36</v>
      </c>
      <c r="AV26" s="891" t="s">
        <v>34</v>
      </c>
      <c r="AW26" s="891" t="s">
        <v>1877</v>
      </c>
      <c r="AX26" s="891" t="s">
        <v>32</v>
      </c>
      <c r="AY26" s="891" t="s">
        <v>32</v>
      </c>
      <c r="AZ26" s="891" t="s">
        <v>1877</v>
      </c>
      <c r="BA26" s="891" t="s">
        <v>34</v>
      </c>
      <c r="BB26" s="891" t="s">
        <v>34</v>
      </c>
      <c r="BC26" s="904" t="s">
        <v>34</v>
      </c>
      <c r="BD26" s="891" t="s">
        <v>32</v>
      </c>
      <c r="BE26" s="891" t="s">
        <v>35</v>
      </c>
      <c r="BF26" s="891" t="s">
        <v>32</v>
      </c>
      <c r="BG26" s="891" t="s">
        <v>32</v>
      </c>
      <c r="BH26" s="891" t="s">
        <v>35</v>
      </c>
      <c r="BI26" s="891" t="s">
        <v>36</v>
      </c>
      <c r="BJ26" s="891" t="s">
        <v>32</v>
      </c>
      <c r="BK26" s="891" t="s">
        <v>32</v>
      </c>
      <c r="BL26" s="891" t="s">
        <v>1877</v>
      </c>
      <c r="BM26" s="891"/>
      <c r="BN26" s="891"/>
      <c r="BO26" s="891"/>
      <c r="BP26" s="891"/>
      <c r="BQ26" s="891"/>
      <c r="BR26" s="891"/>
      <c r="BS26" s="896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4"/>
      <c r="CE26" s="4"/>
      <c r="CF26" s="4"/>
      <c r="CG26" s="4"/>
      <c r="CH26" s="4" t="s">
        <v>32</v>
      </c>
      <c r="CI26" s="4" t="s">
        <v>32</v>
      </c>
      <c r="CJ26" s="4" t="s">
        <v>32</v>
      </c>
      <c r="CK26" s="6" t="s">
        <v>32</v>
      </c>
      <c r="CL26" s="6" t="s">
        <v>32</v>
      </c>
      <c r="CM26" s="6" t="s">
        <v>32</v>
      </c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20"/>
    </row>
    <row r="27" spans="1:114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20</v>
      </c>
      <c r="G27" s="879" t="s">
        <v>882</v>
      </c>
      <c r="H27" s="879" t="s">
        <v>18</v>
      </c>
      <c r="I27" s="879" t="s">
        <v>891</v>
      </c>
      <c r="J27" s="846">
        <v>0</v>
      </c>
      <c r="K27" s="846">
        <v>1</v>
      </c>
      <c r="L27" s="816" t="str">
        <f t="shared" si="27"/>
        <v>L</v>
      </c>
      <c r="M27" s="816">
        <f t="shared" si="28"/>
        <v>1</v>
      </c>
      <c r="N27" s="816" t="str">
        <f t="shared" si="21"/>
        <v>U</v>
      </c>
      <c r="O27" s="816">
        <f t="shared" si="20"/>
        <v>0.25</v>
      </c>
      <c r="P27" s="829">
        <f t="shared" si="22"/>
        <v>-1</v>
      </c>
      <c r="Q27" s="830">
        <v>-0.33</v>
      </c>
      <c r="R27" s="871">
        <f t="shared" si="23"/>
        <v>-0.66999999999999993</v>
      </c>
      <c r="S27" s="830">
        <v>2.48</v>
      </c>
      <c r="T27" s="871">
        <f t="shared" si="24"/>
        <v>-1.48</v>
      </c>
      <c r="U27" s="868">
        <f t="shared" si="25"/>
        <v>1.075</v>
      </c>
      <c r="V27" s="868">
        <f t="shared" si="26"/>
        <v>1.405</v>
      </c>
      <c r="W27" s="829">
        <v>10</v>
      </c>
      <c r="X27" s="829">
        <v>15</v>
      </c>
      <c r="Y27" s="829">
        <v>2</v>
      </c>
      <c r="Z27" s="829">
        <v>4</v>
      </c>
      <c r="AA27" s="829">
        <v>56</v>
      </c>
      <c r="AB27" s="829">
        <v>44</v>
      </c>
      <c r="AC27" s="829"/>
      <c r="AD27" s="816" t="str">
        <f t="array" ref="AD27">IF($J27="","",IF(SUM(IF(ISNUMBER(VALUE(RIGHT($AG27:$DV27,1))),VALUE(RIGHT($AG27:$DV27,1)),0))=$J27,"T","F"))</f>
        <v>T</v>
      </c>
      <c r="AE27" s="831">
        <f t="array" ref="AE27">IF($J27="","",SUM(IF(LEFT($AG27:$DV27,1)="s",1,0))-SUM(IF(RIGHT(LEFT($AG27:$DV27,2))="-",1,0)))</f>
        <v>0</v>
      </c>
      <c r="AF27" s="816">
        <f t="array" ref="AF27">IF($J27="","",SUM(IF(LEFT($AG27:$DV27,1)="X",1,0)))</f>
        <v>11</v>
      </c>
      <c r="AG27" s="891" t="s">
        <v>34</v>
      </c>
      <c r="AH27" s="891" t="s">
        <v>1877</v>
      </c>
      <c r="AI27" s="891" t="s">
        <v>32</v>
      </c>
      <c r="AJ27" s="891" t="s">
        <v>34</v>
      </c>
      <c r="AK27" s="891" t="s">
        <v>1886</v>
      </c>
      <c r="AL27" s="891" t="s">
        <v>34</v>
      </c>
      <c r="AM27" s="891" t="s">
        <v>32</v>
      </c>
      <c r="AN27" s="904" t="s">
        <v>34</v>
      </c>
      <c r="AO27" s="891" t="s">
        <v>36</v>
      </c>
      <c r="AP27" s="891"/>
      <c r="AQ27" s="891" t="s">
        <v>32</v>
      </c>
      <c r="AR27" s="915"/>
      <c r="AS27" s="918"/>
      <c r="AT27" s="891" t="s">
        <v>35</v>
      </c>
      <c r="AU27" s="891" t="s">
        <v>36</v>
      </c>
      <c r="AV27" s="891" t="s">
        <v>34</v>
      </c>
      <c r="AW27" s="891" t="s">
        <v>1877</v>
      </c>
      <c r="AX27" s="891" t="s">
        <v>32</v>
      </c>
      <c r="AY27" s="891" t="s">
        <v>32</v>
      </c>
      <c r="AZ27" s="891" t="s">
        <v>1877</v>
      </c>
      <c r="BA27" s="891" t="s">
        <v>34</v>
      </c>
      <c r="BB27" s="891" t="s">
        <v>34</v>
      </c>
      <c r="BC27" s="891" t="s">
        <v>35</v>
      </c>
      <c r="BD27" s="891" t="s">
        <v>32</v>
      </c>
      <c r="BE27" s="891" t="s">
        <v>34</v>
      </c>
      <c r="BF27" s="891" t="s">
        <v>32</v>
      </c>
      <c r="BG27" s="891" t="s">
        <v>32</v>
      </c>
      <c r="BH27" s="891" t="s">
        <v>35</v>
      </c>
      <c r="BI27" s="906" t="s">
        <v>2148</v>
      </c>
      <c r="BJ27" s="891" t="s">
        <v>32</v>
      </c>
      <c r="BK27" s="891" t="s">
        <v>32</v>
      </c>
      <c r="BL27" s="891" t="s">
        <v>1877</v>
      </c>
      <c r="BM27" s="891" t="s">
        <v>32</v>
      </c>
      <c r="BN27" s="891" t="s">
        <v>32</v>
      </c>
      <c r="BO27" s="891" t="s">
        <v>32</v>
      </c>
      <c r="BP27" s="891" t="s">
        <v>32</v>
      </c>
      <c r="BQ27" s="891" t="s">
        <v>32</v>
      </c>
      <c r="BR27" s="891" t="s">
        <v>32</v>
      </c>
      <c r="BS27" s="896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65"/>
      <c r="CE27" s="865"/>
      <c r="CF27" s="865"/>
      <c r="CG27" s="865"/>
      <c r="CH27" s="865" t="s">
        <v>32</v>
      </c>
      <c r="CI27" s="865" t="s">
        <v>32</v>
      </c>
      <c r="CJ27" s="865" t="s">
        <v>32</v>
      </c>
      <c r="CK27" s="4" t="s">
        <v>32</v>
      </c>
      <c r="CL27" s="6" t="s">
        <v>32</v>
      </c>
      <c r="CM27" s="6" t="s">
        <v>32</v>
      </c>
      <c r="CN27" s="6" t="s">
        <v>32</v>
      </c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</row>
    <row r="28" spans="1:114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</v>
      </c>
      <c r="G28" s="879" t="s">
        <v>1086</v>
      </c>
      <c r="H28" s="879" t="s">
        <v>22</v>
      </c>
      <c r="I28" s="879" t="s">
        <v>891</v>
      </c>
      <c r="J28" s="846">
        <v>3</v>
      </c>
      <c r="K28" s="846">
        <v>0</v>
      </c>
      <c r="L28" s="816" t="str">
        <f t="shared" si="27"/>
        <v>W</v>
      </c>
      <c r="M28" s="816">
        <f t="shared" si="28"/>
        <v>3</v>
      </c>
      <c r="N28" s="816" t="str">
        <f t="shared" si="21"/>
        <v>O</v>
      </c>
      <c r="O28" s="816">
        <f t="shared" si="20"/>
        <v>1</v>
      </c>
      <c r="P28" s="829">
        <f t="shared" si="22"/>
        <v>1</v>
      </c>
      <c r="Q28" s="830">
        <v>-1.02</v>
      </c>
      <c r="R28" s="871">
        <f t="shared" si="23"/>
        <v>4.0199999999999996</v>
      </c>
      <c r="S28" s="830">
        <v>2.46</v>
      </c>
      <c r="T28" s="871">
        <f t="shared" si="24"/>
        <v>0.54</v>
      </c>
      <c r="U28" s="868">
        <f t="shared" si="25"/>
        <v>0.72</v>
      </c>
      <c r="V28" s="868">
        <f t="shared" si="26"/>
        <v>1.74</v>
      </c>
      <c r="W28" s="829">
        <v>11</v>
      </c>
      <c r="X28" s="829">
        <v>12</v>
      </c>
      <c r="Y28" s="829">
        <v>5</v>
      </c>
      <c r="Z28" s="829">
        <v>3</v>
      </c>
      <c r="AA28" s="829">
        <v>39</v>
      </c>
      <c r="AB28" s="829">
        <v>61</v>
      </c>
      <c r="AC28" s="829"/>
      <c r="AD28" s="816" t="str">
        <f t="array" ref="AD28">IF($J28="","",IF(SUM(IF(ISNUMBER(VALUE(RIGHT($AG28:$DV28,1))),VALUE(RIGHT($AG28:$DV28,1)),0))=$J28,"T","F"))</f>
        <v>T</v>
      </c>
      <c r="AE28" s="831">
        <f t="array" ref="AE28">IF($J28="","",SUM(IF(LEFT($AG28:$DV28,1)="s",1,0))-SUM(IF(RIGHT(LEFT($AG28:$DV28,2))="-",1,0)))</f>
        <v>0</v>
      </c>
      <c r="AF28" s="816">
        <f t="array" ref="AF28">IF($J28="","",SUM(IF(LEFT($AG28:$DV28,1)="X",1,0)))</f>
        <v>11</v>
      </c>
      <c r="AG28" s="891" t="s">
        <v>34</v>
      </c>
      <c r="AH28" s="891" t="s">
        <v>1877</v>
      </c>
      <c r="AI28" s="891" t="s">
        <v>32</v>
      </c>
      <c r="AJ28" s="891" t="s">
        <v>34</v>
      </c>
      <c r="AK28" s="891" t="s">
        <v>1886</v>
      </c>
      <c r="AL28" s="891" t="s">
        <v>34</v>
      </c>
      <c r="AM28" s="891" t="s">
        <v>32</v>
      </c>
      <c r="AN28" s="891" t="s">
        <v>2158</v>
      </c>
      <c r="AO28" s="891" t="s">
        <v>32</v>
      </c>
      <c r="AP28" s="891" t="s">
        <v>2176</v>
      </c>
      <c r="AQ28" s="891" t="s">
        <v>32</v>
      </c>
      <c r="AR28" s="915"/>
      <c r="AS28" s="918"/>
      <c r="AT28" s="891" t="s">
        <v>2184</v>
      </c>
      <c r="AU28" s="891" t="s">
        <v>35</v>
      </c>
      <c r="AV28" s="891" t="s">
        <v>34</v>
      </c>
      <c r="AW28" s="891" t="s">
        <v>32</v>
      </c>
      <c r="AX28" s="891" t="s">
        <v>1877</v>
      </c>
      <c r="AY28" s="891" t="s">
        <v>32</v>
      </c>
      <c r="AZ28" s="891" t="s">
        <v>36</v>
      </c>
      <c r="BA28" s="891" t="s">
        <v>34</v>
      </c>
      <c r="BB28" s="891" t="s">
        <v>35</v>
      </c>
      <c r="BC28" s="891" t="s">
        <v>34</v>
      </c>
      <c r="BD28" s="891" t="s">
        <v>32</v>
      </c>
      <c r="BE28" s="904" t="s">
        <v>34</v>
      </c>
      <c r="BF28" s="891" t="s">
        <v>32</v>
      </c>
      <c r="BG28" s="891" t="s">
        <v>1877</v>
      </c>
      <c r="BH28" s="891" t="s">
        <v>36</v>
      </c>
      <c r="BI28" s="891" t="s">
        <v>2169</v>
      </c>
      <c r="BJ28" s="891" t="s">
        <v>32</v>
      </c>
      <c r="BK28" s="891" t="s">
        <v>32</v>
      </c>
      <c r="BL28" s="891" t="s">
        <v>1877</v>
      </c>
      <c r="BM28" s="891"/>
      <c r="BN28" s="891"/>
      <c r="BO28" s="891"/>
      <c r="BP28" s="891"/>
      <c r="BQ28" s="891"/>
      <c r="BR28" s="891"/>
      <c r="BS28" s="896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4"/>
      <c r="CE28" s="4"/>
      <c r="CF28" s="4"/>
      <c r="CG28" s="4"/>
      <c r="CH28" s="4" t="s">
        <v>32</v>
      </c>
      <c r="CI28" s="4" t="s">
        <v>32</v>
      </c>
      <c r="CJ28" s="4" t="s">
        <v>32</v>
      </c>
      <c r="CK28" s="4" t="s">
        <v>32</v>
      </c>
      <c r="CL28" s="6" t="s">
        <v>32</v>
      </c>
      <c r="CM28" s="6" t="s">
        <v>32</v>
      </c>
      <c r="CN28" s="6" t="s">
        <v>32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</row>
    <row r="29" spans="1:114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3</v>
      </c>
      <c r="G29" s="879" t="s">
        <v>1085</v>
      </c>
      <c r="H29" s="879" t="s">
        <v>18</v>
      </c>
      <c r="I29" s="879" t="s">
        <v>891</v>
      </c>
      <c r="J29" s="846">
        <v>1</v>
      </c>
      <c r="K29" s="846">
        <v>2</v>
      </c>
      <c r="L29" s="816" t="str">
        <f t="shared" si="27"/>
        <v>L</v>
      </c>
      <c r="M29" s="816">
        <f t="shared" si="28"/>
        <v>3</v>
      </c>
      <c r="N29" s="816" t="str">
        <f t="shared" si="21"/>
        <v>O</v>
      </c>
      <c r="O29" s="816">
        <f t="shared" si="20"/>
        <v>0.5</v>
      </c>
      <c r="P29" s="829">
        <f t="shared" si="22"/>
        <v>-1</v>
      </c>
      <c r="Q29" s="830">
        <v>-0.7</v>
      </c>
      <c r="R29" s="871">
        <f t="shared" si="23"/>
        <v>-0.30000000000000004</v>
      </c>
      <c r="S29" s="830">
        <v>2.58</v>
      </c>
      <c r="T29" s="871">
        <f t="shared" si="24"/>
        <v>0.41999999999999993</v>
      </c>
      <c r="U29" s="868">
        <f t="shared" si="25"/>
        <v>0.94000000000000006</v>
      </c>
      <c r="V29" s="868">
        <f t="shared" si="26"/>
        <v>1.6400000000000001</v>
      </c>
      <c r="W29" s="829">
        <v>15</v>
      </c>
      <c r="X29" s="829">
        <v>9</v>
      </c>
      <c r="Y29" s="829">
        <v>7</v>
      </c>
      <c r="Z29" s="829">
        <v>5</v>
      </c>
      <c r="AA29" s="829">
        <v>40</v>
      </c>
      <c r="AB29" s="829">
        <v>60</v>
      </c>
      <c r="AC29" s="829"/>
      <c r="AD29" s="816" t="str">
        <f t="array" ref="AD29">IF($J29="","",IF(SUM(IF(ISNUMBER(VALUE(RIGHT($AG29:$DV29,1))),VALUE(RIGHT($AG29:$DV29,1)),0))=$J29,"T","F"))</f>
        <v>T</v>
      </c>
      <c r="AE29" s="831">
        <f t="array" ref="AE29">IF($J29="","",SUM(IF(LEFT($AG29:$DV29,1)="s",1,0))-SUM(IF(RIGHT(LEFT($AG29:$DV29,2))="-",1,0)))</f>
        <v>0</v>
      </c>
      <c r="AF29" s="816">
        <f t="array" ref="AF29">IF($J29="","",SUM(IF(LEFT($AG29:$DV29,1)="X",1,0)))</f>
        <v>11</v>
      </c>
      <c r="AG29" s="891" t="s">
        <v>34</v>
      </c>
      <c r="AH29" s="891" t="s">
        <v>32</v>
      </c>
      <c r="AI29" s="891" t="s">
        <v>1877</v>
      </c>
      <c r="AJ29" s="891" t="s">
        <v>36</v>
      </c>
      <c r="AK29" s="891" t="s">
        <v>1886</v>
      </c>
      <c r="AL29" s="904" t="s">
        <v>34</v>
      </c>
      <c r="AM29" s="891" t="s">
        <v>32</v>
      </c>
      <c r="AN29" s="904" t="s">
        <v>34</v>
      </c>
      <c r="AO29" s="891" t="s">
        <v>1877</v>
      </c>
      <c r="AP29" s="891" t="s">
        <v>32</v>
      </c>
      <c r="AQ29" s="891" t="s">
        <v>32</v>
      </c>
      <c r="AR29" s="915"/>
      <c r="AS29" s="918"/>
      <c r="AT29" s="891" t="s">
        <v>34</v>
      </c>
      <c r="AU29" s="891" t="s">
        <v>2189</v>
      </c>
      <c r="AV29" s="891" t="s">
        <v>34</v>
      </c>
      <c r="AW29" s="891" t="s">
        <v>32</v>
      </c>
      <c r="AX29" s="891" t="s">
        <v>32</v>
      </c>
      <c r="AY29" s="891" t="s">
        <v>32</v>
      </c>
      <c r="AZ29" s="891" t="s">
        <v>36</v>
      </c>
      <c r="BA29" s="891" t="s">
        <v>34</v>
      </c>
      <c r="BB29" s="891" t="s">
        <v>35</v>
      </c>
      <c r="BC29" s="891" t="s">
        <v>34</v>
      </c>
      <c r="BD29" s="891" t="s">
        <v>32</v>
      </c>
      <c r="BE29" s="891" t="s">
        <v>34</v>
      </c>
      <c r="BF29" s="891" t="s">
        <v>32</v>
      </c>
      <c r="BG29" s="891" t="s">
        <v>1877</v>
      </c>
      <c r="BH29" s="891" t="s">
        <v>36</v>
      </c>
      <c r="BI29" s="904" t="s">
        <v>35</v>
      </c>
      <c r="BJ29" s="891" t="s">
        <v>32</v>
      </c>
      <c r="BK29" s="891" t="s">
        <v>32</v>
      </c>
      <c r="BL29" s="891" t="s">
        <v>1877</v>
      </c>
      <c r="BM29" s="891"/>
      <c r="BN29" s="891"/>
      <c r="BO29" s="891"/>
      <c r="BP29" s="891"/>
      <c r="BQ29" s="891"/>
      <c r="BR29" s="891"/>
      <c r="BS29" s="896"/>
      <c r="BT29" s="896"/>
      <c r="BU29" s="896"/>
      <c r="BV29" s="896"/>
      <c r="BW29" s="896"/>
      <c r="BX29" s="896"/>
      <c r="BY29" s="896"/>
      <c r="BZ29" s="896"/>
      <c r="CA29" s="896"/>
      <c r="CB29" s="896"/>
      <c r="CC29" s="891"/>
      <c r="CD29" s="4"/>
      <c r="CE29" s="4"/>
      <c r="CF29" s="4"/>
      <c r="CG29" s="4"/>
      <c r="CH29" s="4" t="s">
        <v>32</v>
      </c>
      <c r="CI29" s="4" t="s">
        <v>32</v>
      </c>
      <c r="CJ29" s="4" t="s">
        <v>32</v>
      </c>
      <c r="CK29" s="4" t="s">
        <v>32</v>
      </c>
      <c r="CL29" s="6" t="s">
        <v>32</v>
      </c>
      <c r="CM29" s="6" t="s">
        <v>32</v>
      </c>
      <c r="CN29" s="6" t="s">
        <v>32</v>
      </c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</row>
    <row r="30" spans="1:114" ht="15">
      <c r="A30" s="882">
        <v>6316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13</v>
      </c>
      <c r="G30" s="879" t="s">
        <v>884</v>
      </c>
      <c r="H30" s="879" t="s">
        <v>22</v>
      </c>
      <c r="I30" s="879" t="s">
        <v>891</v>
      </c>
      <c r="J30" s="846">
        <v>1</v>
      </c>
      <c r="K30" s="846">
        <v>1</v>
      </c>
      <c r="L30" s="816" t="str">
        <f t="shared" si="27"/>
        <v>D</v>
      </c>
      <c r="M30" s="816">
        <f t="shared" si="28"/>
        <v>2</v>
      </c>
      <c r="N30" s="816" t="str">
        <f t="shared" si="21"/>
        <v>U</v>
      </c>
      <c r="O30" s="816">
        <f t="shared" si="20"/>
        <v>0</v>
      </c>
      <c r="P30" s="829">
        <f t="shared" si="22"/>
        <v>0</v>
      </c>
      <c r="Q30" s="830">
        <v>-0.03</v>
      </c>
      <c r="R30" s="871">
        <f t="shared" si="23"/>
        <v>0.03</v>
      </c>
      <c r="S30" s="830">
        <v>2.27</v>
      </c>
      <c r="T30" s="871">
        <f t="shared" si="24"/>
        <v>-0.27</v>
      </c>
      <c r="U30" s="868">
        <f t="shared" si="25"/>
        <v>1.1200000000000001</v>
      </c>
      <c r="V30" s="868">
        <f t="shared" si="26"/>
        <v>1.1499999999999999</v>
      </c>
      <c r="W30" s="829">
        <v>16</v>
      </c>
      <c r="X30" s="829">
        <v>9</v>
      </c>
      <c r="Y30" s="829">
        <v>5</v>
      </c>
      <c r="Z30" s="829">
        <v>3</v>
      </c>
      <c r="AA30" s="829">
        <v>50</v>
      </c>
      <c r="AB30" s="829">
        <v>50</v>
      </c>
      <c r="AC30" s="829"/>
      <c r="AD30" s="816" t="str">
        <f t="array" ref="AD30">IF($J30="","",IF(SUM(IF(ISNUMBER(VALUE(RIGHT($AG30:$DV30,1))),VALUE(RIGHT($AG30:$DV30,1)),0))=$J30,"T","F"))</f>
        <v>T</v>
      </c>
      <c r="AE30" s="831">
        <f t="array" ref="AE30">IF($J30="","",SUM(IF(LEFT($AG30:$DV30,1)="s",1,0))-SUM(IF(RIGHT(LEFT($AG30:$DV30,2))="-",1,0)))</f>
        <v>0</v>
      </c>
      <c r="AF30" s="816">
        <f t="array" ref="AF30">IF($J30="","",SUM(IF(LEFT($AG30:$DV30,1)="X",1,0)))</f>
        <v>11</v>
      </c>
      <c r="AG30" s="891" t="s">
        <v>34</v>
      </c>
      <c r="AH30" s="891" t="s">
        <v>32</v>
      </c>
      <c r="AI30" s="891" t="s">
        <v>1877</v>
      </c>
      <c r="AJ30" s="891" t="s">
        <v>34</v>
      </c>
      <c r="AK30" s="891" t="s">
        <v>1886</v>
      </c>
      <c r="AL30" s="891" t="s">
        <v>34</v>
      </c>
      <c r="AM30" s="891" t="s">
        <v>32</v>
      </c>
      <c r="AN30" s="891" t="s">
        <v>32</v>
      </c>
      <c r="AO30" s="891" t="s">
        <v>1877</v>
      </c>
      <c r="AP30" s="891" t="s">
        <v>36</v>
      </c>
      <c r="AQ30" s="891" t="s">
        <v>32</v>
      </c>
      <c r="AR30" s="915"/>
      <c r="AS30" s="918"/>
      <c r="AT30" s="891" t="s">
        <v>34</v>
      </c>
      <c r="AU30" s="891" t="s">
        <v>35</v>
      </c>
      <c r="AV30" s="891" t="s">
        <v>34</v>
      </c>
      <c r="AW30" s="891" t="s">
        <v>1877</v>
      </c>
      <c r="AX30" s="891" t="s">
        <v>32</v>
      </c>
      <c r="AY30" s="891" t="s">
        <v>32</v>
      </c>
      <c r="AZ30" s="891" t="s">
        <v>1877</v>
      </c>
      <c r="BA30" s="891" t="s">
        <v>34</v>
      </c>
      <c r="BB30" s="891" t="s">
        <v>35</v>
      </c>
      <c r="BC30" s="891" t="s">
        <v>34</v>
      </c>
      <c r="BD30" s="891" t="s">
        <v>32</v>
      </c>
      <c r="BE30" s="891" t="s">
        <v>34</v>
      </c>
      <c r="BF30" s="891" t="s">
        <v>32</v>
      </c>
      <c r="BG30" s="891" t="s">
        <v>2246</v>
      </c>
      <c r="BH30" s="891" t="s">
        <v>35</v>
      </c>
      <c r="BI30" s="891" t="s">
        <v>2400</v>
      </c>
      <c r="BJ30" s="891" t="s">
        <v>32</v>
      </c>
      <c r="BK30" s="891" t="s">
        <v>32</v>
      </c>
      <c r="BL30" s="891" t="s">
        <v>36</v>
      </c>
      <c r="BM30" s="891"/>
      <c r="BN30" s="891"/>
      <c r="BO30" s="891"/>
      <c r="BP30" s="891"/>
      <c r="BQ30" s="891"/>
      <c r="BR30" s="891"/>
      <c r="BS30" s="896"/>
      <c r="BT30" s="896"/>
      <c r="BU30" s="896"/>
      <c r="BV30" s="896"/>
      <c r="BW30" s="891"/>
      <c r="BX30" s="891"/>
      <c r="BY30" s="891"/>
      <c r="BZ30" s="891"/>
      <c r="CA30" s="891"/>
      <c r="CB30" s="891"/>
      <c r="CC30" s="891"/>
      <c r="CD30" s="428"/>
      <c r="CE30" s="428"/>
      <c r="CF30" s="428"/>
      <c r="CG30" s="428"/>
      <c r="CH30" s="230" t="s">
        <v>32</v>
      </c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</row>
    <row r="31" spans="1:114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18</v>
      </c>
      <c r="G31" s="879" t="s">
        <v>887</v>
      </c>
      <c r="H31" s="879" t="s">
        <v>22</v>
      </c>
      <c r="I31" s="879" t="s">
        <v>891</v>
      </c>
      <c r="J31" s="846">
        <v>1</v>
      </c>
      <c r="K31" s="846">
        <v>3</v>
      </c>
      <c r="L31" s="816" t="str">
        <f>IF(J31="","",IF(J31&gt;K31,"W",IF(J31=K31,"D",IF(J31&lt;K31,"L"))))</f>
        <v>L</v>
      </c>
      <c r="M31" s="816">
        <f>IF(J31="","",J31+K31)</f>
        <v>4</v>
      </c>
      <c r="N31" s="816" t="str">
        <f>IF($J31="","",IF($M31&gt;N$19,"O",IF($M31&lt;N$19,"U",IF($M31=N$19,"-"))))</f>
        <v>O</v>
      </c>
      <c r="O31" s="816">
        <f t="shared" si="20"/>
        <v>0</v>
      </c>
      <c r="P31" s="829">
        <f t="shared" si="22"/>
        <v>-1</v>
      </c>
      <c r="Q31" s="830">
        <v>-0.12</v>
      </c>
      <c r="R31" s="871">
        <f t="shared" si="23"/>
        <v>-1.88</v>
      </c>
      <c r="S31" s="830">
        <v>2.36</v>
      </c>
      <c r="T31" s="871">
        <f t="shared" si="24"/>
        <v>1.6400000000000001</v>
      </c>
      <c r="U31" s="868">
        <f t="shared" si="25"/>
        <v>1.1199999999999999</v>
      </c>
      <c r="V31" s="868">
        <f t="shared" si="26"/>
        <v>1.24</v>
      </c>
      <c r="W31" s="829">
        <v>9</v>
      </c>
      <c r="X31" s="829">
        <v>18</v>
      </c>
      <c r="Y31" s="829">
        <v>3</v>
      </c>
      <c r="Z31" s="829">
        <v>8</v>
      </c>
      <c r="AA31" s="829">
        <v>44</v>
      </c>
      <c r="AB31" s="829">
        <v>56</v>
      </c>
      <c r="AC31" s="829"/>
      <c r="AD31" s="816" t="str">
        <f t="array" ref="AD31">IF($J31="","",IF(SUM(IF(ISNUMBER(VALUE(RIGHT($AG31:$DV31,1))),VALUE(RIGHT($AG31:$DV31,1)),0))=$J31,"T","F"))</f>
        <v>T</v>
      </c>
      <c r="AE31" s="831">
        <f t="array" ref="AE31">IF($J31="","",SUM(IF(LEFT($AG31:$DV31,1)="s",1,0))-SUM(IF(RIGHT(LEFT($AG31:$DV31,2))="-",1,0)))</f>
        <v>0</v>
      </c>
      <c r="AF31" s="816">
        <f t="array" ref="AF31">IF($J31="","",SUM(IF(LEFT($AG31:$DV31,1)="X",1,0)))</f>
        <v>11</v>
      </c>
      <c r="AG31" s="891" t="s">
        <v>34</v>
      </c>
      <c r="AH31" s="891" t="s">
        <v>32</v>
      </c>
      <c r="AI31" s="891" t="s">
        <v>1877</v>
      </c>
      <c r="AJ31" s="891" t="s">
        <v>34</v>
      </c>
      <c r="AK31" s="891" t="s">
        <v>1886</v>
      </c>
      <c r="AL31" s="891" t="s">
        <v>34</v>
      </c>
      <c r="AM31" s="891" t="s">
        <v>32</v>
      </c>
      <c r="AN31" s="904" t="s">
        <v>34</v>
      </c>
      <c r="AO31" s="891" t="s">
        <v>1877</v>
      </c>
      <c r="AP31" s="904" t="s">
        <v>36</v>
      </c>
      <c r="AQ31" s="891" t="s">
        <v>32</v>
      </c>
      <c r="AR31" s="915"/>
      <c r="AS31" s="918"/>
      <c r="AT31" s="891" t="s">
        <v>34</v>
      </c>
      <c r="AU31" s="891" t="s">
        <v>35</v>
      </c>
      <c r="AV31" s="891" t="s">
        <v>34</v>
      </c>
      <c r="AW31" s="891" t="s">
        <v>1877</v>
      </c>
      <c r="AX31" s="891" t="s">
        <v>1877</v>
      </c>
      <c r="AY31" s="891" t="s">
        <v>32</v>
      </c>
      <c r="AZ31" s="891" t="s">
        <v>35</v>
      </c>
      <c r="BA31" s="891" t="s">
        <v>32</v>
      </c>
      <c r="BB31" s="891" t="s">
        <v>32</v>
      </c>
      <c r="BC31" s="891" t="s">
        <v>34</v>
      </c>
      <c r="BD31" s="891" t="s">
        <v>32</v>
      </c>
      <c r="BE31" s="891" t="s">
        <v>34</v>
      </c>
      <c r="BF31" s="891" t="s">
        <v>32</v>
      </c>
      <c r="BG31" s="891" t="s">
        <v>2320</v>
      </c>
      <c r="BH31" s="891" t="s">
        <v>35</v>
      </c>
      <c r="BI31" s="891" t="s">
        <v>2400</v>
      </c>
      <c r="BJ31" s="891" t="s">
        <v>32</v>
      </c>
      <c r="BK31" s="891" t="s">
        <v>32</v>
      </c>
      <c r="BL31" s="891" t="s">
        <v>36</v>
      </c>
      <c r="BM31" s="891"/>
      <c r="BN31" s="891"/>
      <c r="BO31" s="891"/>
      <c r="BP31" s="891"/>
      <c r="BQ31" s="891"/>
      <c r="BR31" s="891"/>
      <c r="BS31" s="896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428"/>
      <c r="CE31" s="428"/>
      <c r="CF31" s="428"/>
      <c r="CG31" s="428"/>
      <c r="CH31" s="230" t="s">
        <v>32</v>
      </c>
      <c r="CI31" s="230" t="s">
        <v>32</v>
      </c>
      <c r="CJ31" s="230" t="s">
        <v>32</v>
      </c>
      <c r="CK31" s="230" t="s">
        <v>32</v>
      </c>
      <c r="CL31" s="230" t="s">
        <v>32</v>
      </c>
      <c r="CM31" s="230" t="s">
        <v>32</v>
      </c>
      <c r="CN31" s="230" t="s">
        <v>32</v>
      </c>
    </row>
    <row r="32" spans="1:114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8</v>
      </c>
      <c r="G32" s="879" t="s">
        <v>880</v>
      </c>
      <c r="H32" s="879" t="s">
        <v>18</v>
      </c>
      <c r="I32" s="879" t="s">
        <v>891</v>
      </c>
      <c r="J32" s="908">
        <v>0</v>
      </c>
      <c r="K32" s="846">
        <v>4</v>
      </c>
      <c r="L32" s="816" t="str">
        <f>IF(J32="","",IF(J32&gt;K32,"W",IF(J32=K32,"D",IF(J32&lt;K32,"L"))))</f>
        <v>L</v>
      </c>
      <c r="M32" s="816">
        <f>IF(J32="","",J32+K32)</f>
        <v>4</v>
      </c>
      <c r="N32" s="816" t="str">
        <f>IF($J32="","",IF($M32&gt;N$19,"O",IF($M32&lt;N$19,"U",IF($M32=N$19,"-"))))</f>
        <v>O</v>
      </c>
      <c r="O32" s="816">
        <f t="shared" si="20"/>
        <v>1</v>
      </c>
      <c r="P32" s="829">
        <f t="shared" si="22"/>
        <v>-1</v>
      </c>
      <c r="Q32" s="830">
        <v>-1.1499999999999999</v>
      </c>
      <c r="R32" s="871">
        <f t="shared" si="23"/>
        <v>-2.85</v>
      </c>
      <c r="S32" s="830">
        <v>2.63</v>
      </c>
      <c r="T32" s="871">
        <f t="shared" si="24"/>
        <v>1.37</v>
      </c>
      <c r="U32" s="868">
        <f t="shared" si="25"/>
        <v>0.74</v>
      </c>
      <c r="V32" s="868">
        <f t="shared" si="26"/>
        <v>1.89</v>
      </c>
      <c r="W32" s="829">
        <v>10</v>
      </c>
      <c r="X32" s="829">
        <v>19</v>
      </c>
      <c r="Y32" s="829">
        <v>2</v>
      </c>
      <c r="Z32" s="829">
        <v>7</v>
      </c>
      <c r="AA32" s="829">
        <v>44</v>
      </c>
      <c r="AB32" s="829">
        <v>56</v>
      </c>
      <c r="AC32" s="829"/>
      <c r="AD32" s="816" t="str">
        <f t="array" ref="AD32">IF($J32="","",IF(SUM(IF(ISNUMBER(VALUE(RIGHT($AG32:$DV32,1))),VALUE(RIGHT($AG32:$DV32,1)),0))=$J32,"T","F"))</f>
        <v>T</v>
      </c>
      <c r="AE32" s="831">
        <f t="array" ref="AE32">IF($J32="","",SUM(IF(LEFT($AG32:$DV32,1)="s",1,0))-SUM(IF(RIGHT(LEFT($AG32:$DV32,2))="-",1,0)))</f>
        <v>0</v>
      </c>
      <c r="AF32" s="816">
        <f t="array" ref="AF32">IF($J32="","",SUM(IF(LEFT($AG32:$DV32,1)="X",1,0)))</f>
        <v>11</v>
      </c>
      <c r="AG32" s="891" t="s">
        <v>2345</v>
      </c>
      <c r="AH32" s="891"/>
      <c r="AI32" s="891" t="s">
        <v>2351</v>
      </c>
      <c r="AJ32" s="891" t="s">
        <v>2351</v>
      </c>
      <c r="AK32" s="891" t="s">
        <v>1886</v>
      </c>
      <c r="AL32" s="891" t="s">
        <v>2347</v>
      </c>
      <c r="AM32" s="891"/>
      <c r="AN32" s="909" t="s">
        <v>2345</v>
      </c>
      <c r="AO32" s="891" t="s">
        <v>2345</v>
      </c>
      <c r="AP32" s="891"/>
      <c r="AQ32" s="891"/>
      <c r="AR32" s="915"/>
      <c r="AS32" s="918"/>
      <c r="AT32" s="909" t="s">
        <v>2345</v>
      </c>
      <c r="AU32" s="891" t="s">
        <v>2392</v>
      </c>
      <c r="AV32" s="891" t="s">
        <v>2345</v>
      </c>
      <c r="AW32" s="891" t="s">
        <v>2351</v>
      </c>
      <c r="AX32" s="891" t="s">
        <v>2393</v>
      </c>
      <c r="AY32" s="891"/>
      <c r="AZ32" s="891"/>
      <c r="BA32" s="891" t="s">
        <v>2350</v>
      </c>
      <c r="BB32" s="891" t="s">
        <v>2345</v>
      </c>
      <c r="BC32" s="891" t="s">
        <v>2371</v>
      </c>
      <c r="BD32" s="891"/>
      <c r="BE32" s="891" t="s">
        <v>2353</v>
      </c>
      <c r="BF32" s="891"/>
      <c r="BG32" s="891" t="s">
        <v>2390</v>
      </c>
      <c r="BH32" s="891" t="s">
        <v>2391</v>
      </c>
      <c r="BI32" s="891" t="s">
        <v>2400</v>
      </c>
      <c r="BJ32" s="891"/>
      <c r="BK32" s="891"/>
      <c r="BL32" s="891" t="s">
        <v>2350</v>
      </c>
      <c r="BM32" s="892"/>
      <c r="BN32" s="896"/>
      <c r="BO32" s="892"/>
      <c r="BP32" s="896"/>
      <c r="BQ32" s="896"/>
      <c r="BR32" s="891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428"/>
      <c r="CE32" s="428"/>
      <c r="CF32" s="428"/>
      <c r="CG32" s="428"/>
    </row>
    <row r="33" spans="1:119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6</v>
      </c>
      <c r="G33" s="879" t="s">
        <v>876</v>
      </c>
      <c r="H33" s="879" t="s">
        <v>22</v>
      </c>
      <c r="I33" s="879" t="s">
        <v>891</v>
      </c>
      <c r="J33" s="846">
        <v>1</v>
      </c>
      <c r="K33" s="846">
        <v>1</v>
      </c>
      <c r="L33" s="816" t="str">
        <f t="shared" ref="L33:L65" si="29">IF(J33="","",IF(J33&gt;K33,"W",IF(J33=K33,"D",IF(J33&lt;K33,"L"))))</f>
        <v>D</v>
      </c>
      <c r="M33" s="816">
        <f t="shared" ref="M33:M65" si="30">IF(J33="","",J33+K33)</f>
        <v>2</v>
      </c>
      <c r="N33" s="816" t="str">
        <f t="shared" ref="N33:N65" si="31">IF($J33="","",IF($M33&gt;N$19,"O",IF($M33&lt;N$19,"U",IF($M33=N$19,"-"))))</f>
        <v>U</v>
      </c>
      <c r="O33" s="816">
        <f t="shared" si="20"/>
        <v>0.5</v>
      </c>
      <c r="P33" s="829">
        <f t="shared" si="22"/>
        <v>1</v>
      </c>
      <c r="Q33" s="830">
        <v>-0.63</v>
      </c>
      <c r="R33" s="871">
        <f t="shared" si="23"/>
        <v>0.63</v>
      </c>
      <c r="S33" s="830">
        <v>2.5</v>
      </c>
      <c r="T33" s="871">
        <f t="shared" si="24"/>
        <v>-0.5</v>
      </c>
      <c r="U33" s="868">
        <f t="shared" si="25"/>
        <v>0.93500000000000005</v>
      </c>
      <c r="V33" s="868">
        <f t="shared" si="26"/>
        <v>1.5649999999999999</v>
      </c>
      <c r="W33" s="829">
        <v>7</v>
      </c>
      <c r="X33" s="829">
        <v>21</v>
      </c>
      <c r="Y33" s="829">
        <v>1</v>
      </c>
      <c r="Z33" s="829">
        <v>6</v>
      </c>
      <c r="AA33" s="829">
        <v>29</v>
      </c>
      <c r="AB33" s="829">
        <v>71</v>
      </c>
      <c r="AC33" s="829"/>
      <c r="AD33" s="816" t="str">
        <f t="array" ref="AD33">IF($J33="","",IF(SUM(IF(ISNUMBER(VALUE(RIGHT($AG33:$DV33,1))),VALUE(RIGHT($AG33:$DV33,1)),0))=$J33,"T","F"))</f>
        <v>T</v>
      </c>
      <c r="AE33" s="831">
        <f t="array" ref="AE33">IF($J33="","",SUM(IF(LEFT($AG33:$DV33,1)="s",1,0))-SUM(IF(RIGHT(LEFT($AG33:$DV33,2))="-",1,0)))</f>
        <v>0</v>
      </c>
      <c r="AF33" s="816">
        <f t="array" ref="AF33">IF($J33="","",SUM(IF(LEFT($AG33:$DV33,1)="X",1,0)))</f>
        <v>11</v>
      </c>
      <c r="AG33" s="891" t="s">
        <v>1877</v>
      </c>
      <c r="AH33" s="891" t="s">
        <v>32</v>
      </c>
      <c r="AI33" s="891" t="s">
        <v>34</v>
      </c>
      <c r="AJ33" s="891" t="s">
        <v>34</v>
      </c>
      <c r="AK33" s="891" t="s">
        <v>1886</v>
      </c>
      <c r="AL33" s="891" t="s">
        <v>32</v>
      </c>
      <c r="AM33" s="891" t="s">
        <v>32</v>
      </c>
      <c r="AN33" s="891" t="s">
        <v>2412</v>
      </c>
      <c r="AO33" s="891" t="s">
        <v>34</v>
      </c>
      <c r="AP33" s="891" t="s">
        <v>32</v>
      </c>
      <c r="AQ33" s="891" t="s">
        <v>32</v>
      </c>
      <c r="AR33" s="915"/>
      <c r="AS33" s="918"/>
      <c r="AT33" s="891" t="s">
        <v>2412</v>
      </c>
      <c r="AU33" s="891" t="s">
        <v>34</v>
      </c>
      <c r="AV33" s="891" t="s">
        <v>34</v>
      </c>
      <c r="AW33" s="891" t="s">
        <v>1877</v>
      </c>
      <c r="AX33" s="891" t="s">
        <v>1877</v>
      </c>
      <c r="AY33" s="891" t="s">
        <v>32</v>
      </c>
      <c r="AZ33" s="891" t="s">
        <v>1877</v>
      </c>
      <c r="BA33" s="891" t="s">
        <v>34</v>
      </c>
      <c r="BB33" s="891" t="s">
        <v>34</v>
      </c>
      <c r="BC33" s="891" t="s">
        <v>34</v>
      </c>
      <c r="BD33" s="891" t="s">
        <v>34</v>
      </c>
      <c r="BE33" s="891" t="s">
        <v>34</v>
      </c>
      <c r="BF33" s="891" t="s">
        <v>32</v>
      </c>
      <c r="BG33" s="891" t="s">
        <v>1877</v>
      </c>
      <c r="BH33" s="891" t="s">
        <v>2413</v>
      </c>
      <c r="BI33" s="891" t="s">
        <v>1886</v>
      </c>
      <c r="BJ33" s="891" t="s">
        <v>32</v>
      </c>
      <c r="BK33" s="891" t="s">
        <v>1877</v>
      </c>
      <c r="BL33" s="904" t="s">
        <v>36</v>
      </c>
      <c r="BM33" s="892"/>
      <c r="BN33" s="896"/>
      <c r="BO33" s="892"/>
      <c r="BP33" s="896"/>
      <c r="BQ33" s="896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428"/>
      <c r="CE33" s="428"/>
      <c r="CF33" s="428"/>
      <c r="CG33" s="428"/>
      <c r="CH33" s="230" t="s">
        <v>32</v>
      </c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</row>
    <row r="34" spans="1:119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12</v>
      </c>
      <c r="G34" s="879" t="s">
        <v>879</v>
      </c>
      <c r="H34" s="879" t="s">
        <v>18</v>
      </c>
      <c r="I34" s="879" t="s">
        <v>891</v>
      </c>
      <c r="J34" s="846">
        <v>0</v>
      </c>
      <c r="K34" s="908">
        <v>1</v>
      </c>
      <c r="L34" s="816" t="str">
        <f t="shared" si="29"/>
        <v>L</v>
      </c>
      <c r="M34" s="816">
        <f t="shared" si="30"/>
        <v>1</v>
      </c>
      <c r="N34" s="816" t="str">
        <f t="shared" si="31"/>
        <v>U</v>
      </c>
      <c r="O34" s="816">
        <f t="shared" si="20"/>
        <v>0.75</v>
      </c>
      <c r="P34" s="829">
        <f t="shared" si="22"/>
        <v>-0.5</v>
      </c>
      <c r="Q34" s="830">
        <v>-0.78</v>
      </c>
      <c r="R34" s="871">
        <f t="shared" si="23"/>
        <v>-0.21999999999999997</v>
      </c>
      <c r="S34" s="830">
        <v>2.41</v>
      </c>
      <c r="T34" s="871">
        <f t="shared" si="24"/>
        <v>-1.4100000000000001</v>
      </c>
      <c r="U34" s="868">
        <f t="shared" si="25"/>
        <v>0.81500000000000006</v>
      </c>
      <c r="V34" s="868">
        <f t="shared" si="26"/>
        <v>1.5950000000000002</v>
      </c>
      <c r="W34" s="829">
        <v>10</v>
      </c>
      <c r="X34" s="829">
        <v>9</v>
      </c>
      <c r="Y34" s="829">
        <v>1</v>
      </c>
      <c r="Z34" s="829">
        <v>5</v>
      </c>
      <c r="AA34" s="829">
        <v>45</v>
      </c>
      <c r="AB34" s="829">
        <v>55</v>
      </c>
      <c r="AC34" s="829"/>
      <c r="AD34" s="816" t="str">
        <f t="array" ref="AD34">IF($J34="","",IF(SUM(IF(ISNUMBER(VALUE(RIGHT($AG34:$DV34,1))),VALUE(RIGHT($AG34:$DV34,1)),0))=$J34,"T","F"))</f>
        <v>T</v>
      </c>
      <c r="AE34" s="831">
        <f t="array" ref="AE34">IF($J34="","",SUM(IF(LEFT($AG34:$DV34,1)="s",1,0))-SUM(IF(RIGHT(LEFT($AG34:$DV34,2))="-",1,0)))</f>
        <v>0</v>
      </c>
      <c r="AF34" s="816">
        <f t="array" ref="AF34">IF($J34="","",SUM(IF(LEFT($AG34:$DV34,1)="X",1,0)))</f>
        <v>11</v>
      </c>
      <c r="AG34" s="891" t="s">
        <v>1877</v>
      </c>
      <c r="AH34" s="891" t="s">
        <v>32</v>
      </c>
      <c r="AI34" s="891" t="s">
        <v>34</v>
      </c>
      <c r="AJ34" s="891" t="s">
        <v>35</v>
      </c>
      <c r="AK34" s="891" t="s">
        <v>1886</v>
      </c>
      <c r="AL34" s="891" t="s">
        <v>32</v>
      </c>
      <c r="AM34" s="891" t="s">
        <v>32</v>
      </c>
      <c r="AN34" s="891" t="s">
        <v>34</v>
      </c>
      <c r="AO34" s="891" t="s">
        <v>34</v>
      </c>
      <c r="AP34" s="891" t="s">
        <v>32</v>
      </c>
      <c r="AQ34" s="891" t="s">
        <v>32</v>
      </c>
      <c r="AR34" s="915"/>
      <c r="AS34" s="918"/>
      <c r="AT34" s="891" t="s">
        <v>34</v>
      </c>
      <c r="AU34" s="891" t="s">
        <v>36</v>
      </c>
      <c r="AV34" s="891" t="s">
        <v>34</v>
      </c>
      <c r="AW34" s="891" t="s">
        <v>32</v>
      </c>
      <c r="AX34" s="891" t="s">
        <v>32</v>
      </c>
      <c r="AY34" s="891" t="s">
        <v>32</v>
      </c>
      <c r="AZ34" s="891" t="s">
        <v>1877</v>
      </c>
      <c r="BA34" s="891" t="s">
        <v>34</v>
      </c>
      <c r="BB34" s="891" t="s">
        <v>35</v>
      </c>
      <c r="BC34" s="891" t="s">
        <v>34</v>
      </c>
      <c r="BD34" s="906" t="s">
        <v>2446</v>
      </c>
      <c r="BE34" s="891" t="s">
        <v>34</v>
      </c>
      <c r="BF34" s="891" t="s">
        <v>32</v>
      </c>
      <c r="BG34" s="891" t="s">
        <v>36</v>
      </c>
      <c r="BH34" s="891" t="s">
        <v>35</v>
      </c>
      <c r="BI34" s="891" t="s">
        <v>1886</v>
      </c>
      <c r="BJ34" s="891" t="s">
        <v>32</v>
      </c>
      <c r="BK34" s="891" t="s">
        <v>1877</v>
      </c>
      <c r="BL34" s="891" t="s">
        <v>1877</v>
      </c>
      <c r="BM34" s="892"/>
      <c r="BN34" s="896"/>
      <c r="BO34" s="892"/>
      <c r="BP34" s="896"/>
      <c r="BQ34" s="896"/>
      <c r="BR34" s="896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428"/>
      <c r="CE34" s="428"/>
      <c r="CF34" s="428"/>
      <c r="CG34" s="428"/>
    </row>
    <row r="35" spans="1:119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5</v>
      </c>
      <c r="G35" s="879" t="s">
        <v>889</v>
      </c>
      <c r="H35" s="879" t="s">
        <v>22</v>
      </c>
      <c r="I35" s="879" t="s">
        <v>891</v>
      </c>
      <c r="J35" s="846">
        <v>0</v>
      </c>
      <c r="K35" s="846">
        <v>0</v>
      </c>
      <c r="L35" s="816" t="str">
        <f t="shared" si="29"/>
        <v>D</v>
      </c>
      <c r="M35" s="816">
        <f t="shared" si="30"/>
        <v>0</v>
      </c>
      <c r="N35" s="816" t="str">
        <f t="shared" si="31"/>
        <v>U</v>
      </c>
      <c r="O35" s="816">
        <f t="shared" si="20"/>
        <v>0.25</v>
      </c>
      <c r="P35" s="829">
        <f t="shared" si="22"/>
        <v>0.5</v>
      </c>
      <c r="Q35" s="830">
        <v>-0.37</v>
      </c>
      <c r="R35" s="871">
        <f t="shared" si="23"/>
        <v>0.37</v>
      </c>
      <c r="S35" s="830">
        <v>2.4700000000000002</v>
      </c>
      <c r="T35" s="871">
        <f t="shared" si="24"/>
        <v>-2.4700000000000002</v>
      </c>
      <c r="U35" s="868">
        <f t="shared" si="25"/>
        <v>1.05</v>
      </c>
      <c r="V35" s="868">
        <f t="shared" si="26"/>
        <v>1.4200000000000002</v>
      </c>
      <c r="W35" s="829">
        <v>16</v>
      </c>
      <c r="X35" s="829">
        <v>20</v>
      </c>
      <c r="Y35" s="829">
        <v>4</v>
      </c>
      <c r="Z35" s="829">
        <v>4</v>
      </c>
      <c r="AA35" s="829">
        <v>40</v>
      </c>
      <c r="AB35" s="829">
        <v>60</v>
      </c>
      <c r="AC35" s="829"/>
      <c r="AD35" s="816" t="str">
        <f t="array" ref="AD35">IF($J35="","",IF(SUM(IF(ISNUMBER(VALUE(RIGHT($AG35:$DV35,1))),VALUE(RIGHT($AG35:$DV35,1)),0))=$J35,"T","F"))</f>
        <v>T</v>
      </c>
      <c r="AE35" s="831">
        <f t="array" ref="AE35">IF($J35="","",SUM(IF(LEFT($AG35:$DV35,1)="s",1,0))-SUM(IF(RIGHT(LEFT($AG35:$DV35,2))="-",1,0)))</f>
        <v>0</v>
      </c>
      <c r="AF35" s="816">
        <f t="array" ref="AF35">IF($J35="","",SUM(IF(LEFT($AG35:$DV35,1)="X",1,0)))</f>
        <v>11</v>
      </c>
      <c r="AG35" s="891" t="s">
        <v>34</v>
      </c>
      <c r="AH35" s="891" t="s">
        <v>32</v>
      </c>
      <c r="AI35" s="891" t="s">
        <v>1877</v>
      </c>
      <c r="AJ35" s="891" t="s">
        <v>32</v>
      </c>
      <c r="AK35" s="891" t="s">
        <v>1886</v>
      </c>
      <c r="AL35" s="891" t="s">
        <v>1886</v>
      </c>
      <c r="AM35" s="891" t="s">
        <v>32</v>
      </c>
      <c r="AN35" s="904" t="s">
        <v>34</v>
      </c>
      <c r="AO35" s="891" t="s">
        <v>34</v>
      </c>
      <c r="AP35" s="891" t="s">
        <v>1877</v>
      </c>
      <c r="AQ35" s="891" t="s">
        <v>32</v>
      </c>
      <c r="AR35" s="915"/>
      <c r="AS35" s="918"/>
      <c r="AT35" s="891" t="s">
        <v>34</v>
      </c>
      <c r="AU35" s="891" t="s">
        <v>35</v>
      </c>
      <c r="AV35" s="891" t="s">
        <v>34</v>
      </c>
      <c r="AW35" s="891" t="s">
        <v>1877</v>
      </c>
      <c r="AX35" s="891" t="s">
        <v>1877</v>
      </c>
      <c r="AY35" s="891" t="s">
        <v>32</v>
      </c>
      <c r="AZ35" s="891" t="s">
        <v>1877</v>
      </c>
      <c r="BA35" s="891" t="s">
        <v>34</v>
      </c>
      <c r="BB35" s="891" t="s">
        <v>36</v>
      </c>
      <c r="BC35" s="904" t="s">
        <v>34</v>
      </c>
      <c r="BD35" s="891" t="s">
        <v>34</v>
      </c>
      <c r="BE35" s="891" t="s">
        <v>35</v>
      </c>
      <c r="BF35" s="891" t="s">
        <v>32</v>
      </c>
      <c r="BG35" s="891" t="s">
        <v>32</v>
      </c>
      <c r="BH35" s="891" t="s">
        <v>36</v>
      </c>
      <c r="BI35" s="891" t="s">
        <v>2483</v>
      </c>
      <c r="BJ35" s="891" t="s">
        <v>32</v>
      </c>
      <c r="BK35" s="891" t="s">
        <v>34</v>
      </c>
      <c r="BL35" s="891"/>
      <c r="BM35" s="891"/>
      <c r="BN35" s="891"/>
      <c r="BO35" s="891"/>
      <c r="BP35" s="891"/>
      <c r="BQ35" s="891"/>
      <c r="BR35" s="891"/>
      <c r="BS35" s="896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428"/>
      <c r="CE35" s="428"/>
      <c r="CF35" s="428"/>
      <c r="CG35" s="428"/>
      <c r="CK35" s="4" t="s">
        <v>32</v>
      </c>
      <c r="CL35" s="6" t="s">
        <v>32</v>
      </c>
      <c r="CM35" s="6" t="s">
        <v>32</v>
      </c>
      <c r="CN35" s="6" t="s">
        <v>32</v>
      </c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</row>
    <row r="36" spans="1:119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10</v>
      </c>
      <c r="G36" s="879" t="s">
        <v>883</v>
      </c>
      <c r="H36" s="879" t="s">
        <v>18</v>
      </c>
      <c r="I36" s="879" t="s">
        <v>891</v>
      </c>
      <c r="J36" s="846">
        <v>1</v>
      </c>
      <c r="K36" s="846">
        <v>2</v>
      </c>
      <c r="L36" s="816" t="str">
        <f t="shared" si="29"/>
        <v>L</v>
      </c>
      <c r="M36" s="816">
        <f t="shared" si="30"/>
        <v>3</v>
      </c>
      <c r="N36" s="816" t="str">
        <f t="shared" si="31"/>
        <v>O</v>
      </c>
      <c r="O36" s="816">
        <f t="shared" si="20"/>
        <v>0.75</v>
      </c>
      <c r="P36" s="829">
        <f t="shared" si="22"/>
        <v>-0.5</v>
      </c>
      <c r="Q36" s="830">
        <v>-0.78</v>
      </c>
      <c r="R36" s="871">
        <f t="shared" si="23"/>
        <v>-0.21999999999999997</v>
      </c>
      <c r="S36" s="830">
        <v>2.4300000000000002</v>
      </c>
      <c r="T36" s="871">
        <f t="shared" si="24"/>
        <v>0.56999999999999984</v>
      </c>
      <c r="U36" s="868">
        <f t="shared" si="25"/>
        <v>0.82500000000000007</v>
      </c>
      <c r="V36" s="868">
        <f t="shared" si="26"/>
        <v>1.605</v>
      </c>
      <c r="W36" s="829">
        <v>16</v>
      </c>
      <c r="X36" s="829">
        <v>10</v>
      </c>
      <c r="Y36" s="829">
        <v>4</v>
      </c>
      <c r="Z36" s="829">
        <v>4</v>
      </c>
      <c r="AA36" s="829">
        <v>45</v>
      </c>
      <c r="AB36" s="829">
        <v>55</v>
      </c>
      <c r="AC36" s="829"/>
      <c r="AD36" s="816" t="str">
        <f t="array" ref="AD36">IF($J36="","",IF(SUM(IF(ISNUMBER(VALUE(RIGHT($AG36:$DV36,1))),VALUE(RIGHT($AG36:$DV36,1)),0))=$J36,"T","F"))</f>
        <v>T</v>
      </c>
      <c r="AE36" s="831">
        <f t="array" ref="AE36">IF($J36="","",SUM(IF(LEFT($AG36:$DV36,1)="s",1,0))-SUM(IF(RIGHT(LEFT($AG36:$DV36,2))="-",1,0)))</f>
        <v>0</v>
      </c>
      <c r="AF36" s="816">
        <f t="array" ref="AF36">IF($J36="","",SUM(IF(LEFT($AG36:$DV36,1)="X",1,0)))</f>
        <v>11</v>
      </c>
      <c r="AG36" s="891" t="s">
        <v>34</v>
      </c>
      <c r="AH36" s="891" t="s">
        <v>32</v>
      </c>
      <c r="AI36" s="891" t="s">
        <v>1877</v>
      </c>
      <c r="AJ36" s="891" t="s">
        <v>2502</v>
      </c>
      <c r="AK36" s="891" t="s">
        <v>1886</v>
      </c>
      <c r="AL36" s="891" t="s">
        <v>1886</v>
      </c>
      <c r="AM36" s="891" t="s">
        <v>32</v>
      </c>
      <c r="AN36" s="891" t="s">
        <v>32</v>
      </c>
      <c r="AO36" s="891" t="s">
        <v>34</v>
      </c>
      <c r="AP36" s="904" t="s">
        <v>34</v>
      </c>
      <c r="AQ36" s="891" t="s">
        <v>32</v>
      </c>
      <c r="AR36" s="915"/>
      <c r="AS36" s="918"/>
      <c r="AT36" s="891" t="s">
        <v>34</v>
      </c>
      <c r="AU36" s="891" t="s">
        <v>35</v>
      </c>
      <c r="AV36" s="891" t="s">
        <v>34</v>
      </c>
      <c r="AW36" s="891" t="s">
        <v>1877</v>
      </c>
      <c r="AX36" s="891" t="s">
        <v>32</v>
      </c>
      <c r="AY36" s="891" t="s">
        <v>32</v>
      </c>
      <c r="AZ36" s="891" t="s">
        <v>1877</v>
      </c>
      <c r="BA36" s="891" t="s">
        <v>34</v>
      </c>
      <c r="BB36" s="891" t="s">
        <v>2503</v>
      </c>
      <c r="BC36" s="891" t="s">
        <v>36</v>
      </c>
      <c r="BD36" s="891" t="s">
        <v>34</v>
      </c>
      <c r="BE36" s="891" t="s">
        <v>35</v>
      </c>
      <c r="BF36" s="891" t="s">
        <v>32</v>
      </c>
      <c r="BG36" s="891" t="s">
        <v>32</v>
      </c>
      <c r="BH36" s="891" t="s">
        <v>36</v>
      </c>
      <c r="BI36" s="891" t="s">
        <v>36</v>
      </c>
      <c r="BJ36" s="891" t="s">
        <v>1877</v>
      </c>
      <c r="BK36" s="891" t="s">
        <v>35</v>
      </c>
      <c r="BL36" s="891"/>
      <c r="BM36" s="891"/>
      <c r="BN36" s="891"/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6"/>
      <c r="CB36" s="896"/>
      <c r="CC36" s="896"/>
      <c r="CD36" s="428"/>
      <c r="CE36" s="428"/>
      <c r="CF36" s="428"/>
      <c r="CG36" s="428"/>
      <c r="CH36" s="230" t="s">
        <v>32</v>
      </c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</row>
    <row r="37" spans="1:119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22</v>
      </c>
      <c r="G37" s="879" t="s">
        <v>1087</v>
      </c>
      <c r="H37" s="879" t="s">
        <v>22</v>
      </c>
      <c r="I37" s="879" t="s">
        <v>891</v>
      </c>
      <c r="J37" s="846">
        <v>1</v>
      </c>
      <c r="K37" s="846">
        <v>2</v>
      </c>
      <c r="L37" s="816" t="str">
        <f t="shared" si="29"/>
        <v>L</v>
      </c>
      <c r="M37" s="816">
        <f t="shared" si="30"/>
        <v>3</v>
      </c>
      <c r="N37" s="816" t="str">
        <f t="shared" si="31"/>
        <v>O</v>
      </c>
      <c r="O37" s="816">
        <f t="shared" si="20"/>
        <v>-0.25</v>
      </c>
      <c r="P37" s="829">
        <f t="shared" si="22"/>
        <v>-1</v>
      </c>
      <c r="Q37" s="830">
        <v>0.22</v>
      </c>
      <c r="R37" s="871">
        <f t="shared" si="23"/>
        <v>-1.22</v>
      </c>
      <c r="S37" s="830">
        <v>2.4500000000000002</v>
      </c>
      <c r="T37" s="871">
        <f t="shared" si="24"/>
        <v>0.54999999999999982</v>
      </c>
      <c r="U37" s="868">
        <f t="shared" si="25"/>
        <v>1.3350000000000002</v>
      </c>
      <c r="V37" s="868">
        <f t="shared" si="26"/>
        <v>1.115</v>
      </c>
      <c r="W37" s="829">
        <v>17</v>
      </c>
      <c r="X37" s="829">
        <v>16</v>
      </c>
      <c r="Y37" s="829">
        <v>6</v>
      </c>
      <c r="Z37" s="829">
        <v>6</v>
      </c>
      <c r="AA37" s="829">
        <v>47</v>
      </c>
      <c r="AB37" s="829">
        <v>53</v>
      </c>
      <c r="AC37" s="829"/>
      <c r="AD37" s="816" t="str">
        <f t="array" ref="AD37">IF($J37="","",IF(SUM(IF(ISNUMBER(VALUE(RIGHT($AG37:$DV37,1))),VALUE(RIGHT($AG37:$DV37,1)),0))=$J37,"T","F"))</f>
        <v>T</v>
      </c>
      <c r="AE37" s="831">
        <f t="array" ref="AE37">IF($J37="","",SUM(IF(LEFT($AG37:$DV37,1)="s",1,0))-SUM(IF(RIGHT(LEFT($AG37:$DV37,2))="-",1,0)))</f>
        <v>0</v>
      </c>
      <c r="AF37" s="816">
        <f t="array" ref="AF37">IF($J37="","",SUM(IF(LEFT($AG37:$DV37,1)="X",1,0)))</f>
        <v>11</v>
      </c>
      <c r="AG37" s="891" t="s">
        <v>34</v>
      </c>
      <c r="AH37" s="891" t="s">
        <v>32</v>
      </c>
      <c r="AI37" s="891" t="s">
        <v>1877</v>
      </c>
      <c r="AJ37" s="891" t="s">
        <v>2525</v>
      </c>
      <c r="AK37" s="891" t="s">
        <v>1886</v>
      </c>
      <c r="AL37" s="891" t="s">
        <v>1886</v>
      </c>
      <c r="AM37" s="891" t="s">
        <v>32</v>
      </c>
      <c r="AN37" s="891" t="s">
        <v>34</v>
      </c>
      <c r="AO37" s="891" t="s">
        <v>34</v>
      </c>
      <c r="AP37" s="891" t="s">
        <v>1877</v>
      </c>
      <c r="AQ37" s="891" t="s">
        <v>32</v>
      </c>
      <c r="AR37" s="915"/>
      <c r="AS37" s="918"/>
      <c r="AT37" s="891" t="s">
        <v>34</v>
      </c>
      <c r="AU37" s="891" t="s">
        <v>1877</v>
      </c>
      <c r="AV37" s="891" t="s">
        <v>34</v>
      </c>
      <c r="AW37" s="891" t="s">
        <v>36</v>
      </c>
      <c r="AX37" s="891" t="s">
        <v>32</v>
      </c>
      <c r="AY37" s="891" t="s">
        <v>32</v>
      </c>
      <c r="AZ37" s="891" t="s">
        <v>32</v>
      </c>
      <c r="BA37" s="891" t="s">
        <v>35</v>
      </c>
      <c r="BB37" s="891" t="s">
        <v>34</v>
      </c>
      <c r="BC37" s="891" t="s">
        <v>34</v>
      </c>
      <c r="BD37" s="891" t="s">
        <v>35</v>
      </c>
      <c r="BE37" s="891" t="s">
        <v>35</v>
      </c>
      <c r="BF37" s="891" t="s">
        <v>32</v>
      </c>
      <c r="BG37" s="891" t="s">
        <v>32</v>
      </c>
      <c r="BH37" s="891" t="s">
        <v>36</v>
      </c>
      <c r="BI37" s="891" t="s">
        <v>2505</v>
      </c>
      <c r="BJ37" s="891" t="s">
        <v>32</v>
      </c>
      <c r="BK37" s="891" t="s">
        <v>1877</v>
      </c>
      <c r="BL37" s="891" t="s">
        <v>36</v>
      </c>
      <c r="BM37" s="891"/>
      <c r="BN37" s="891"/>
      <c r="BO37" s="891"/>
      <c r="BP37" s="891"/>
      <c r="BQ37" s="891"/>
      <c r="BR37" s="896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428"/>
      <c r="CE37" s="428"/>
      <c r="CF37" s="428"/>
      <c r="CG37" s="428"/>
      <c r="CL37" s="4" t="s">
        <v>32</v>
      </c>
      <c r="CM37" s="4" t="s">
        <v>32</v>
      </c>
      <c r="CN37" s="4" t="s">
        <v>32</v>
      </c>
      <c r="CO37" s="4" t="s">
        <v>32</v>
      </c>
      <c r="CP37" s="4" t="s">
        <v>32</v>
      </c>
      <c r="CQ37" s="4" t="s">
        <v>32</v>
      </c>
      <c r="CR37" s="6" t="s">
        <v>32</v>
      </c>
      <c r="CS37" s="6" t="s">
        <v>32</v>
      </c>
      <c r="CT37" s="6" t="s">
        <v>32</v>
      </c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</row>
    <row r="38" spans="1:119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7</v>
      </c>
      <c r="G38" s="879" t="s">
        <v>888</v>
      </c>
      <c r="H38" s="879" t="s">
        <v>18</v>
      </c>
      <c r="I38" s="879" t="s">
        <v>891</v>
      </c>
      <c r="J38" s="846">
        <v>1</v>
      </c>
      <c r="K38" s="846">
        <v>1</v>
      </c>
      <c r="L38" s="816" t="str">
        <f t="shared" si="29"/>
        <v>D</v>
      </c>
      <c r="M38" s="816">
        <f t="shared" si="30"/>
        <v>2</v>
      </c>
      <c r="N38" s="816" t="str">
        <f t="shared" si="31"/>
        <v>U</v>
      </c>
      <c r="O38" s="816">
        <f t="shared" si="20"/>
        <v>0.75</v>
      </c>
      <c r="P38" s="829">
        <f t="shared" si="22"/>
        <v>1</v>
      </c>
      <c r="Q38" s="830">
        <v>-0.89</v>
      </c>
      <c r="R38" s="871">
        <f t="shared" si="23"/>
        <v>0.89</v>
      </c>
      <c r="S38" s="830">
        <v>2.56</v>
      </c>
      <c r="T38" s="871">
        <f t="shared" si="24"/>
        <v>-0.56000000000000005</v>
      </c>
      <c r="U38" s="868">
        <f t="shared" si="25"/>
        <v>0.83499999999999996</v>
      </c>
      <c r="V38" s="868">
        <f t="shared" si="26"/>
        <v>1.7250000000000001</v>
      </c>
      <c r="W38" s="829">
        <v>9</v>
      </c>
      <c r="X38" s="829">
        <v>15</v>
      </c>
      <c r="Y38" s="829">
        <v>2</v>
      </c>
      <c r="Z38" s="829">
        <v>4</v>
      </c>
      <c r="AA38" s="829">
        <v>40</v>
      </c>
      <c r="AB38" s="829">
        <v>60</v>
      </c>
      <c r="AC38" s="829"/>
      <c r="AD38" s="816" t="str">
        <f t="array" ref="AD38">IF($J38="","",IF(SUM(IF(ISNUMBER(VALUE(RIGHT($AG38:$DV38,1))),VALUE(RIGHT($AG38:$DV38,1)),0))=$J38,"T","F"))</f>
        <v>T</v>
      </c>
      <c r="AE38" s="831">
        <f t="array" ref="AE38">IF($J38="","",SUM(IF(LEFT($AG38:$DV38,1)="s",1,0))-SUM(IF(RIGHT(LEFT($AG38:$DV38,2))="-",1,0)))</f>
        <v>0</v>
      </c>
      <c r="AF38" s="816">
        <f t="array" ref="AF38">IF($J38="","",SUM(IF(LEFT($AG38:$DV38,1)="X",1,0)))</f>
        <v>11</v>
      </c>
      <c r="AG38" s="891" t="s">
        <v>34</v>
      </c>
      <c r="AH38" s="891" t="s">
        <v>32</v>
      </c>
      <c r="AI38" s="891" t="s">
        <v>1877</v>
      </c>
      <c r="AJ38" s="891" t="s">
        <v>1885</v>
      </c>
      <c r="AK38" s="891" t="s">
        <v>1886</v>
      </c>
      <c r="AL38" s="891" t="s">
        <v>1886</v>
      </c>
      <c r="AM38" s="891" t="s">
        <v>32</v>
      </c>
      <c r="AN38" s="891" t="s">
        <v>34</v>
      </c>
      <c r="AO38" s="891" t="s">
        <v>36</v>
      </c>
      <c r="AP38" s="891" t="s">
        <v>1877</v>
      </c>
      <c r="AQ38" s="891" t="s">
        <v>32</v>
      </c>
      <c r="AR38" s="915"/>
      <c r="AS38" s="918"/>
      <c r="AT38" s="891" t="s">
        <v>34</v>
      </c>
      <c r="AU38" s="891" t="s">
        <v>2539</v>
      </c>
      <c r="AV38" s="891" t="s">
        <v>34</v>
      </c>
      <c r="AW38" s="891" t="s">
        <v>32</v>
      </c>
      <c r="AX38" s="891" t="s">
        <v>36</v>
      </c>
      <c r="AY38" s="891" t="s">
        <v>32</v>
      </c>
      <c r="AZ38" s="891" t="s">
        <v>36</v>
      </c>
      <c r="BA38" s="891" t="s">
        <v>34</v>
      </c>
      <c r="BB38" s="891" t="s">
        <v>34</v>
      </c>
      <c r="BC38" s="891" t="s">
        <v>34</v>
      </c>
      <c r="BD38" s="891" t="s">
        <v>1877</v>
      </c>
      <c r="BE38" s="891" t="s">
        <v>35</v>
      </c>
      <c r="BF38" s="891" t="s">
        <v>35</v>
      </c>
      <c r="BG38" s="891" t="s">
        <v>32</v>
      </c>
      <c r="BH38" s="891" t="s">
        <v>1877</v>
      </c>
      <c r="BI38" s="891" t="s">
        <v>34</v>
      </c>
      <c r="BJ38" s="891"/>
      <c r="BK38" s="891"/>
      <c r="BL38" s="891"/>
      <c r="BM38" s="891"/>
      <c r="BN38" s="891"/>
      <c r="BO38" s="891"/>
      <c r="BP38" s="891"/>
      <c r="BQ38" s="891"/>
      <c r="BR38" s="891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428"/>
      <c r="CE38" s="428"/>
      <c r="CF38" s="428"/>
      <c r="CG38" s="428"/>
      <c r="CH38" s="230" t="s">
        <v>32</v>
      </c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</row>
    <row r="39" spans="1:119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4</v>
      </c>
      <c r="G39" s="879" t="s">
        <v>1084</v>
      </c>
      <c r="H39" s="879" t="s">
        <v>18</v>
      </c>
      <c r="I39" s="879" t="s">
        <v>891</v>
      </c>
      <c r="J39" s="846">
        <v>1</v>
      </c>
      <c r="K39" s="846">
        <v>3</v>
      </c>
      <c r="L39" s="816" t="str">
        <f t="shared" si="29"/>
        <v>L</v>
      </c>
      <c r="M39" s="816">
        <f t="shared" si="30"/>
        <v>4</v>
      </c>
      <c r="N39" s="816" t="str">
        <f t="shared" si="31"/>
        <v>O</v>
      </c>
      <c r="O39" s="816">
        <f t="shared" si="20"/>
        <v>1.25</v>
      </c>
      <c r="P39" s="829">
        <f t="shared" si="22"/>
        <v>-1</v>
      </c>
      <c r="Q39" s="830">
        <v>-1.22</v>
      </c>
      <c r="R39" s="871">
        <f t="shared" si="23"/>
        <v>-0.78</v>
      </c>
      <c r="S39" s="830">
        <v>2.72</v>
      </c>
      <c r="T39" s="871">
        <f t="shared" si="24"/>
        <v>1.2799999999999998</v>
      </c>
      <c r="U39" s="868">
        <f t="shared" si="25"/>
        <v>0.75000000000000011</v>
      </c>
      <c r="V39" s="868">
        <f t="shared" si="26"/>
        <v>1.9700000000000002</v>
      </c>
      <c r="W39" s="829">
        <v>11</v>
      </c>
      <c r="X39" s="829">
        <v>16</v>
      </c>
      <c r="Y39" s="829">
        <v>3</v>
      </c>
      <c r="Z39" s="829">
        <v>6</v>
      </c>
      <c r="AA39" s="829">
        <v>52</v>
      </c>
      <c r="AB39" s="829">
        <v>48</v>
      </c>
      <c r="AC39" s="829"/>
      <c r="AD39" s="816" t="str">
        <f t="array" ref="AD39">IF($J39="","",IF(SUM(IF(ISNUMBER(VALUE(RIGHT($AG39:$DV39,1))),VALUE(RIGHT($AG39:$DV39,1)),0))=$J39,"T","F"))</f>
        <v>T</v>
      </c>
      <c r="AE39" s="831">
        <f t="array" ref="AE39">IF($J39="","",SUM(IF(LEFT($AG39:$DV39,1)="s",1,0))-SUM(IF(RIGHT(LEFT($AG39:$DV39,2))="-",1,0)))</f>
        <v>0</v>
      </c>
      <c r="AF39" s="816">
        <f t="array" ref="AF39">IF($J39="","",SUM(IF(LEFT($AG39:$DV39,1)="X",1,0)))</f>
        <v>11</v>
      </c>
      <c r="AG39" s="891" t="s">
        <v>1886</v>
      </c>
      <c r="AH39" s="891" t="s">
        <v>1877</v>
      </c>
      <c r="AI39" s="891" t="s">
        <v>34</v>
      </c>
      <c r="AJ39" s="891" t="s">
        <v>32</v>
      </c>
      <c r="AK39" s="891" t="s">
        <v>1886</v>
      </c>
      <c r="AL39" s="891" t="s">
        <v>1886</v>
      </c>
      <c r="AM39" s="891" t="s">
        <v>32</v>
      </c>
      <c r="AN39" s="904" t="s">
        <v>34</v>
      </c>
      <c r="AO39" s="891" t="s">
        <v>36</v>
      </c>
      <c r="AP39" s="891" t="s">
        <v>1877</v>
      </c>
      <c r="AQ39" s="891" t="s">
        <v>32</v>
      </c>
      <c r="AR39" s="915"/>
      <c r="AS39" s="918"/>
      <c r="AT39" s="891" t="s">
        <v>34</v>
      </c>
      <c r="AU39" s="891" t="s">
        <v>35</v>
      </c>
      <c r="AV39" s="891" t="s">
        <v>34</v>
      </c>
      <c r="AW39" s="891" t="s">
        <v>32</v>
      </c>
      <c r="AX39" s="891" t="s">
        <v>1877</v>
      </c>
      <c r="AY39" s="891" t="s">
        <v>32</v>
      </c>
      <c r="AZ39" s="891" t="s">
        <v>36</v>
      </c>
      <c r="BA39" s="891" t="s">
        <v>34</v>
      </c>
      <c r="BB39" s="891" t="s">
        <v>34</v>
      </c>
      <c r="BC39" s="891" t="s">
        <v>34</v>
      </c>
      <c r="BD39" s="891" t="s">
        <v>1877</v>
      </c>
      <c r="BE39" s="891" t="s">
        <v>34</v>
      </c>
      <c r="BF39" s="891" t="s">
        <v>35</v>
      </c>
      <c r="BG39" s="891" t="s">
        <v>32</v>
      </c>
      <c r="BH39" s="891" t="s">
        <v>1877</v>
      </c>
      <c r="BI39" s="891" t="s">
        <v>2557</v>
      </c>
      <c r="BJ39" s="891"/>
      <c r="BK39" s="891"/>
      <c r="BL39" s="891"/>
      <c r="BM39" s="892"/>
      <c r="BN39" s="896"/>
      <c r="BO39" s="892"/>
      <c r="BP39" s="896"/>
      <c r="BQ39" s="896"/>
      <c r="BR39" s="896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428"/>
      <c r="CE39" s="428"/>
      <c r="CF39" s="428"/>
      <c r="CG39" s="428"/>
      <c r="CH39" s="230" t="s">
        <v>32</v>
      </c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</row>
    <row r="40" spans="1:119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17</v>
      </c>
      <c r="G40" s="879" t="s">
        <v>875</v>
      </c>
      <c r="H40" s="879" t="s">
        <v>22</v>
      </c>
      <c r="I40" s="879" t="s">
        <v>891</v>
      </c>
      <c r="J40" s="846">
        <v>1</v>
      </c>
      <c r="K40" s="846">
        <v>0</v>
      </c>
      <c r="L40" s="816" t="str">
        <f t="shared" si="29"/>
        <v>W</v>
      </c>
      <c r="M40" s="816">
        <f t="shared" si="30"/>
        <v>1</v>
      </c>
      <c r="N40" s="816" t="str">
        <f t="shared" si="31"/>
        <v>U</v>
      </c>
      <c r="O40" s="816">
        <f t="shared" si="20"/>
        <v>-0.25</v>
      </c>
      <c r="P40" s="829">
        <f t="shared" si="22"/>
        <v>1</v>
      </c>
      <c r="Q40" s="830">
        <v>0.23</v>
      </c>
      <c r="R40" s="871">
        <f t="shared" si="23"/>
        <v>0.77</v>
      </c>
      <c r="S40" s="830">
        <v>2.38</v>
      </c>
      <c r="T40" s="871">
        <f t="shared" si="24"/>
        <v>-1.38</v>
      </c>
      <c r="U40" s="868">
        <f t="shared" si="25"/>
        <v>1.3049999999999999</v>
      </c>
      <c r="V40" s="868">
        <f t="shared" si="26"/>
        <v>1.075</v>
      </c>
      <c r="W40" s="829">
        <v>14</v>
      </c>
      <c r="X40" s="829">
        <v>12</v>
      </c>
      <c r="Y40" s="829">
        <v>4</v>
      </c>
      <c r="Z40" s="829">
        <v>2</v>
      </c>
      <c r="AA40" s="829">
        <v>50</v>
      </c>
      <c r="AB40" s="829">
        <v>50</v>
      </c>
      <c r="AC40" s="829"/>
      <c r="AD40" s="816" t="str">
        <f t="array" ref="AD40">IF($J40="","",IF(SUM(IF(ISNUMBER(VALUE(RIGHT($AG40:$DV40,1))),VALUE(RIGHT($AG40:$DV40,1)),0))=$J40,"T","F"))</f>
        <v>T</v>
      </c>
      <c r="AE40" s="831">
        <f t="array" ref="AE40">IF($J40="","",SUM(IF(LEFT($AG40:$DV40,1)="s",1,0))-SUM(IF(RIGHT(LEFT($AG40:$DV40,2))="-",1,0)))</f>
        <v>0</v>
      </c>
      <c r="AF40" s="816">
        <f t="array" ref="AF40">IF($J40="","",SUM(IF(LEFT($AG40:$DV40,1)="X",1,0)))</f>
        <v>11</v>
      </c>
      <c r="AG40" s="891" t="s">
        <v>1886</v>
      </c>
      <c r="AH40" s="891" t="s">
        <v>34</v>
      </c>
      <c r="AI40" s="891" t="s">
        <v>1877</v>
      </c>
      <c r="AJ40" s="891" t="s">
        <v>34</v>
      </c>
      <c r="AK40" s="891" t="s">
        <v>1886</v>
      </c>
      <c r="AL40" s="891" t="s">
        <v>1886</v>
      </c>
      <c r="AM40" s="891" t="s">
        <v>32</v>
      </c>
      <c r="AN40" s="891" t="s">
        <v>34</v>
      </c>
      <c r="AO40" s="891" t="s">
        <v>36</v>
      </c>
      <c r="AP40" s="891" t="s">
        <v>1877</v>
      </c>
      <c r="AQ40" s="891" t="s">
        <v>32</v>
      </c>
      <c r="AR40" s="915"/>
      <c r="AS40" s="918"/>
      <c r="AT40" s="891" t="s">
        <v>32</v>
      </c>
      <c r="AU40" s="891" t="s">
        <v>2589</v>
      </c>
      <c r="AV40" s="891" t="s">
        <v>34</v>
      </c>
      <c r="AW40" s="891" t="s">
        <v>32</v>
      </c>
      <c r="AX40" s="891" t="s">
        <v>1877</v>
      </c>
      <c r="AY40" s="891" t="s">
        <v>32</v>
      </c>
      <c r="AZ40" s="904" t="s">
        <v>35</v>
      </c>
      <c r="BA40" s="891" t="s">
        <v>34</v>
      </c>
      <c r="BB40" s="891" t="s">
        <v>35</v>
      </c>
      <c r="BC40" s="891" t="s">
        <v>34</v>
      </c>
      <c r="BD40" s="891" t="s">
        <v>32</v>
      </c>
      <c r="BE40" s="891" t="s">
        <v>34</v>
      </c>
      <c r="BF40" s="891" t="s">
        <v>1877</v>
      </c>
      <c r="BG40" s="891" t="s">
        <v>32</v>
      </c>
      <c r="BH40" s="891" t="s">
        <v>36</v>
      </c>
      <c r="BI40" s="891" t="s">
        <v>34</v>
      </c>
      <c r="BJ40" s="891" t="s">
        <v>32</v>
      </c>
      <c r="BK40" s="891" t="s">
        <v>1877</v>
      </c>
      <c r="BL40" s="891"/>
      <c r="BM40" s="891"/>
      <c r="BN40" s="891"/>
      <c r="BO40" s="892"/>
      <c r="BP40" s="896"/>
      <c r="BQ40" s="891"/>
      <c r="BR40" s="891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428"/>
      <c r="CE40" s="428"/>
      <c r="CF40" s="428"/>
      <c r="CG40" s="428"/>
      <c r="CH40" s="230" t="s">
        <v>32</v>
      </c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  <c r="CN40" s="230" t="s">
        <v>32</v>
      </c>
    </row>
    <row r="41" spans="1:119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9</v>
      </c>
      <c r="G41" s="879" t="s">
        <v>1083</v>
      </c>
      <c r="H41" s="879" t="s">
        <v>18</v>
      </c>
      <c r="I41" s="879" t="s">
        <v>891</v>
      </c>
      <c r="J41" s="846">
        <v>1</v>
      </c>
      <c r="K41" s="846">
        <v>2</v>
      </c>
      <c r="L41" s="816" t="str">
        <f t="shared" si="29"/>
        <v>L</v>
      </c>
      <c r="M41" s="816">
        <f t="shared" si="30"/>
        <v>3</v>
      </c>
      <c r="N41" s="816" t="str">
        <f t="shared" si="31"/>
        <v>O</v>
      </c>
      <c r="O41" s="816">
        <f t="shared" si="20"/>
        <v>0.5</v>
      </c>
      <c r="P41" s="829">
        <f t="shared" si="22"/>
        <v>-1</v>
      </c>
      <c r="Q41" s="830">
        <v>-0.64</v>
      </c>
      <c r="R41" s="871">
        <f t="shared" si="23"/>
        <v>-0.36</v>
      </c>
      <c r="S41" s="830">
        <v>2.4900000000000002</v>
      </c>
      <c r="T41" s="871">
        <f t="shared" si="24"/>
        <v>0.50999999999999979</v>
      </c>
      <c r="U41" s="868">
        <f t="shared" si="25"/>
        <v>0.92500000000000004</v>
      </c>
      <c r="V41" s="868">
        <f t="shared" si="26"/>
        <v>1.5650000000000002</v>
      </c>
      <c r="W41" s="829">
        <v>11</v>
      </c>
      <c r="X41" s="829">
        <v>8</v>
      </c>
      <c r="Y41" s="829">
        <v>4</v>
      </c>
      <c r="Z41" s="829">
        <v>3</v>
      </c>
      <c r="AA41" s="829">
        <v>49</v>
      </c>
      <c r="AB41" s="829">
        <v>51</v>
      </c>
      <c r="AC41" s="829"/>
      <c r="AD41" s="816" t="str">
        <f t="array" ref="AD41">IF($J41="","",IF(SUM(IF(ISNUMBER(VALUE(RIGHT($AG41:$DV41,1))),VALUE(RIGHT($AG41:$DV41,1)),0))=$J41,"T","F"))</f>
        <v>T</v>
      </c>
      <c r="AE41" s="831">
        <f t="array" ref="AE41">IF($J41="","",SUM(IF(LEFT($AG41:$DV41,1)="s",1,0))-SUM(IF(RIGHT(LEFT($AG41:$DV41,2))="-",1,0)))</f>
        <v>0</v>
      </c>
      <c r="AF41" s="816">
        <f t="array" ref="AF41">IF($J41="","",SUM(IF(LEFT($AG41:$DV41,1)="X",1,0)))</f>
        <v>11</v>
      </c>
      <c r="AG41" s="891" t="s">
        <v>1886</v>
      </c>
      <c r="AH41" s="891" t="s">
        <v>1877</v>
      </c>
      <c r="AI41" s="891" t="s">
        <v>34</v>
      </c>
      <c r="AJ41" s="891" t="s">
        <v>34</v>
      </c>
      <c r="AK41" s="891" t="s">
        <v>1886</v>
      </c>
      <c r="AL41" s="891" t="s">
        <v>36</v>
      </c>
      <c r="AM41" s="891" t="s">
        <v>32</v>
      </c>
      <c r="AN41" s="891" t="s">
        <v>34</v>
      </c>
      <c r="AO41" s="891" t="s">
        <v>1877</v>
      </c>
      <c r="AP41" s="891" t="s">
        <v>32</v>
      </c>
      <c r="AQ41" s="891" t="s">
        <v>32</v>
      </c>
      <c r="AR41" s="915"/>
      <c r="AS41" s="918"/>
      <c r="AT41" s="891" t="s">
        <v>32</v>
      </c>
      <c r="AU41" s="891" t="s">
        <v>34</v>
      </c>
      <c r="AV41" s="891" t="s">
        <v>34</v>
      </c>
      <c r="AW41" s="891" t="s">
        <v>32</v>
      </c>
      <c r="AX41" s="891" t="s">
        <v>1877</v>
      </c>
      <c r="AY41" s="891" t="s">
        <v>32</v>
      </c>
      <c r="AZ41" s="904" t="s">
        <v>35</v>
      </c>
      <c r="BA41" s="891" t="s">
        <v>34</v>
      </c>
      <c r="BB41" s="891" t="s">
        <v>35</v>
      </c>
      <c r="BC41" s="891" t="s">
        <v>34</v>
      </c>
      <c r="BD41" s="891" t="s">
        <v>36</v>
      </c>
      <c r="BE41" s="904" t="s">
        <v>35</v>
      </c>
      <c r="BF41" s="891" t="s">
        <v>1877</v>
      </c>
      <c r="BG41" s="891" t="s">
        <v>32</v>
      </c>
      <c r="BH41" s="891" t="s">
        <v>2682</v>
      </c>
      <c r="BI41" s="891" t="s">
        <v>34</v>
      </c>
      <c r="BJ41" s="891"/>
      <c r="BK41" s="891"/>
      <c r="BL41" s="891"/>
      <c r="BM41" s="891"/>
      <c r="BN41" s="891"/>
      <c r="BO41" s="892"/>
      <c r="BP41" s="896"/>
      <c r="BQ41" s="891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4"/>
      <c r="CE41" s="4"/>
      <c r="CF41" s="4"/>
      <c r="CG41" s="4"/>
      <c r="CH41" s="6" t="s">
        <v>32</v>
      </c>
      <c r="CI41" s="6" t="s">
        <v>32</v>
      </c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</row>
    <row r="42" spans="1:119" ht="15">
      <c r="A42" s="912">
        <v>6382</v>
      </c>
      <c r="B42" s="894"/>
      <c r="C42" s="894"/>
      <c r="D42" s="894"/>
      <c r="E42" s="894"/>
      <c r="F42" s="894"/>
      <c r="G42" s="828" t="s">
        <v>881</v>
      </c>
      <c r="H42" s="828" t="s">
        <v>18</v>
      </c>
      <c r="I42" s="828" t="s">
        <v>2649</v>
      </c>
      <c r="J42" s="895">
        <v>1</v>
      </c>
      <c r="K42" s="895">
        <v>2</v>
      </c>
      <c r="L42" s="816" t="str">
        <f t="shared" ref="L42" si="32">IF(J42="","",IF(J42&gt;K42,"W",IF(J42=K42,"D",IF(J42&lt;K42,"L"))))</f>
        <v>L</v>
      </c>
      <c r="M42" s="816">
        <f t="shared" ref="M42" si="33">IF(J42="","",J42+K42)</f>
        <v>3</v>
      </c>
      <c r="N42" s="816" t="str">
        <f t="shared" si="31"/>
        <v>O</v>
      </c>
      <c r="O42" s="816" t="str">
        <f t="shared" ref="O42" si="34">IF(Q42="","",IF(SIGN(Q42)&lt;&gt;1,VLOOKUP(ABS(Q42),SUP_HDC,3,TRUE),-VLOOKUP(ABS(Q42),SUP_HDC,3,TRUE)))</f>
        <v/>
      </c>
      <c r="P42" s="829" t="str">
        <f t="shared" ref="P42" si="35">IF(O42="","",IF((J42-K42+O42)&gt;=0.5,1,IF((J42-K42+O42)=0.25,0.5,IF((J42-K42+O42)&lt;=-0.5,-1,IF((J42-K42+O42)=-0.25,-0.5,0)))))</f>
        <v/>
      </c>
      <c r="Q42" s="830"/>
      <c r="R42" s="871" t="str">
        <f t="shared" ref="R42" si="36">IF(ISBLANK(Q42),"",J42-K42-Q42)</f>
        <v/>
      </c>
      <c r="S42" s="830"/>
      <c r="T42" s="871" t="str">
        <f t="shared" ref="T42" si="37">IF(ISBLANK(S42),"",J42+K42-S42)</f>
        <v/>
      </c>
      <c r="U42" s="868" t="str">
        <f t="shared" ref="U42" si="38">IF(Q42="","",(Q42+S42)/2)</f>
        <v/>
      </c>
      <c r="V42" s="868" t="str">
        <f t="shared" ref="V42" si="39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IF($J42="","",IF(SUM(IF(ISNUMBER(VALUE(RIGHT($AG42:$DV42,1))),VALUE(RIGHT($AG42:$DV42,1)),0))=$J42,"T","F"))</f>
        <v>T</v>
      </c>
      <c r="AE42" s="831">
        <f t="array" ref="AE42">IF($J42="","",SUM(IF(LEFT($AG42:$DV42,1)="s",1,0))-SUM(IF(RIGHT(LEFT($AG42:$DV42,2))="-",1,0)))</f>
        <v>0</v>
      </c>
      <c r="AF42" s="816">
        <f t="array" ref="AF42">IF($J42="","",SUM(IF(LEFT($AG42:$DV42,1)="X",1,0)))</f>
        <v>11</v>
      </c>
      <c r="AG42" s="891" t="s">
        <v>1886</v>
      </c>
      <c r="AH42" s="891" t="s">
        <v>34</v>
      </c>
      <c r="AI42" s="891" t="s">
        <v>1877</v>
      </c>
      <c r="AJ42" s="891" t="s">
        <v>34</v>
      </c>
      <c r="AK42" s="891" t="s">
        <v>1886</v>
      </c>
      <c r="AL42" s="891" t="s">
        <v>34</v>
      </c>
      <c r="AM42" s="891" t="s">
        <v>1877</v>
      </c>
      <c r="AN42" s="891" t="s">
        <v>32</v>
      </c>
      <c r="AO42" s="891" t="s">
        <v>34</v>
      </c>
      <c r="AP42" s="891" t="s">
        <v>34</v>
      </c>
      <c r="AQ42" s="891" t="s">
        <v>34</v>
      </c>
      <c r="AR42" s="915"/>
      <c r="AS42" s="918"/>
      <c r="AT42" s="891" t="s">
        <v>34</v>
      </c>
      <c r="AU42" s="891" t="s">
        <v>32</v>
      </c>
      <c r="AV42" s="891" t="s">
        <v>1877</v>
      </c>
      <c r="AW42" s="891" t="s">
        <v>32</v>
      </c>
      <c r="AX42" s="891" t="s">
        <v>34</v>
      </c>
      <c r="AY42" s="891" t="s">
        <v>1877</v>
      </c>
      <c r="AZ42" s="891" t="s">
        <v>32</v>
      </c>
      <c r="BA42" s="891" t="s">
        <v>1877</v>
      </c>
      <c r="BB42" s="891" t="s">
        <v>1877</v>
      </c>
      <c r="BC42" s="891" t="s">
        <v>1877</v>
      </c>
      <c r="BD42" s="891" t="s">
        <v>34</v>
      </c>
      <c r="BE42" s="891" t="s">
        <v>32</v>
      </c>
      <c r="BF42" s="891" t="s">
        <v>32</v>
      </c>
      <c r="BG42" s="891" t="s">
        <v>32</v>
      </c>
      <c r="BH42" s="891" t="s">
        <v>32</v>
      </c>
      <c r="BI42" s="891" t="s">
        <v>32</v>
      </c>
      <c r="BJ42" s="891" t="s">
        <v>34</v>
      </c>
      <c r="BK42" s="891" t="s">
        <v>2691</v>
      </c>
      <c r="BL42" s="891"/>
      <c r="BM42" s="891"/>
      <c r="BN42" s="891"/>
      <c r="BO42" s="892"/>
      <c r="BP42" s="896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4"/>
      <c r="CE42" s="4"/>
      <c r="CF42" s="4"/>
      <c r="CG42" s="4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</row>
    <row r="43" spans="1:119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14</v>
      </c>
      <c r="G43" s="879" t="s">
        <v>873</v>
      </c>
      <c r="H43" s="879" t="s">
        <v>18</v>
      </c>
      <c r="I43" s="879" t="s">
        <v>891</v>
      </c>
      <c r="J43" s="846">
        <v>1</v>
      </c>
      <c r="K43" s="846">
        <v>2</v>
      </c>
      <c r="L43" s="816" t="str">
        <f t="shared" si="29"/>
        <v>L</v>
      </c>
      <c r="M43" s="816">
        <f t="shared" si="30"/>
        <v>3</v>
      </c>
      <c r="N43" s="816" t="str">
        <f t="shared" si="31"/>
        <v>O</v>
      </c>
      <c r="O43" s="816">
        <f t="shared" si="20"/>
        <v>0.25</v>
      </c>
      <c r="P43" s="829">
        <f t="shared" si="22"/>
        <v>-1</v>
      </c>
      <c r="Q43" s="830">
        <v>-0.4</v>
      </c>
      <c r="R43" s="871">
        <f t="shared" si="23"/>
        <v>-0.6</v>
      </c>
      <c r="S43" s="830">
        <v>2.4</v>
      </c>
      <c r="T43" s="871">
        <f t="shared" si="24"/>
        <v>0.60000000000000009</v>
      </c>
      <c r="U43" s="868">
        <f t="shared" si="25"/>
        <v>1</v>
      </c>
      <c r="V43" s="868">
        <f t="shared" si="26"/>
        <v>1.4</v>
      </c>
      <c r="W43" s="829">
        <v>11</v>
      </c>
      <c r="X43" s="829">
        <v>14</v>
      </c>
      <c r="Y43" s="829">
        <v>3</v>
      </c>
      <c r="Z43" s="829">
        <v>5</v>
      </c>
      <c r="AA43" s="829">
        <v>48</v>
      </c>
      <c r="AB43" s="829">
        <v>52</v>
      </c>
      <c r="AC43" s="829"/>
      <c r="AD43" s="816" t="str">
        <f t="array" ref="AD43">IF($J43="","",IF(SUM(IF(ISNUMBER(VALUE(RIGHT($AG43:$DV43,1))),VALUE(RIGHT($AG43:$DV43,1)),0))=$J43,"T","F"))</f>
        <v>T</v>
      </c>
      <c r="AE43" s="831">
        <f t="array" ref="AE43">IF($J43="","",SUM(IF(LEFT($AG43:$DV43,1)="s",1,0))-SUM(IF(RIGHT(LEFT($AG43:$DV43,2))="-",1,0)))</f>
        <v>0</v>
      </c>
      <c r="AF43" s="816">
        <f t="array" ref="AF43">IF($J43="","",SUM(IF(LEFT($AG43:$DV43,1)="X",1,0)))</f>
        <v>11</v>
      </c>
      <c r="AG43" s="891" t="s">
        <v>34</v>
      </c>
      <c r="AH43" s="891" t="s">
        <v>1877</v>
      </c>
      <c r="AI43" s="891" t="s">
        <v>32</v>
      </c>
      <c r="AJ43" s="891" t="s">
        <v>1877</v>
      </c>
      <c r="AK43" s="891" t="s">
        <v>1886</v>
      </c>
      <c r="AL43" s="891" t="s">
        <v>35</v>
      </c>
      <c r="AM43" s="891" t="s">
        <v>32</v>
      </c>
      <c r="AN43" s="891" t="s">
        <v>34</v>
      </c>
      <c r="AO43" s="891" t="s">
        <v>36</v>
      </c>
      <c r="AP43" s="891" t="s">
        <v>32</v>
      </c>
      <c r="AQ43" s="891" t="s">
        <v>32</v>
      </c>
      <c r="AR43" s="915"/>
      <c r="AS43" s="918"/>
      <c r="AT43" s="891" t="s">
        <v>34</v>
      </c>
      <c r="AU43" s="891" t="s">
        <v>36</v>
      </c>
      <c r="AV43" s="891" t="s">
        <v>34</v>
      </c>
      <c r="AW43" s="891" t="s">
        <v>32</v>
      </c>
      <c r="AX43" s="891" t="s">
        <v>1877</v>
      </c>
      <c r="AY43" s="891" t="s">
        <v>32</v>
      </c>
      <c r="AZ43" s="891" t="s">
        <v>35</v>
      </c>
      <c r="BA43" s="891" t="s">
        <v>34</v>
      </c>
      <c r="BB43" s="891" t="s">
        <v>34</v>
      </c>
      <c r="BC43" s="891" t="s">
        <v>2734</v>
      </c>
      <c r="BD43" s="891" t="s">
        <v>36</v>
      </c>
      <c r="BE43" s="891" t="s">
        <v>35</v>
      </c>
      <c r="BF43" s="891" t="s">
        <v>32</v>
      </c>
      <c r="BG43" s="891" t="s">
        <v>32</v>
      </c>
      <c r="BH43" s="891" t="s">
        <v>32</v>
      </c>
      <c r="BI43" s="891" t="s">
        <v>34</v>
      </c>
      <c r="BJ43" s="891" t="s">
        <v>32</v>
      </c>
      <c r="BK43" s="891" t="s">
        <v>1877</v>
      </c>
      <c r="BL43" s="891"/>
      <c r="BM43" s="892"/>
      <c r="BN43" s="896"/>
      <c r="BO43" s="892"/>
      <c r="BP43" s="896"/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428"/>
      <c r="CE43" s="428"/>
      <c r="CF43" s="428"/>
      <c r="CG43" s="428"/>
      <c r="CH43" s="230" t="s">
        <v>32</v>
      </c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</row>
    <row r="44" spans="1:119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2</v>
      </c>
      <c r="G44" s="879" t="s">
        <v>886</v>
      </c>
      <c r="H44" s="879" t="s">
        <v>22</v>
      </c>
      <c r="I44" s="879" t="s">
        <v>891</v>
      </c>
      <c r="J44" s="846">
        <v>0</v>
      </c>
      <c r="K44" s="846">
        <v>1</v>
      </c>
      <c r="L44" s="816" t="str">
        <f t="shared" si="29"/>
        <v>L</v>
      </c>
      <c r="M44" s="816">
        <f t="shared" si="30"/>
        <v>1</v>
      </c>
      <c r="N44" s="816" t="str">
        <f t="shared" si="31"/>
        <v>U</v>
      </c>
      <c r="O44" s="816">
        <f t="shared" si="20"/>
        <v>0.25</v>
      </c>
      <c r="P44" s="829">
        <f t="shared" si="22"/>
        <v>-1</v>
      </c>
      <c r="Q44" s="830">
        <v>-0.2</v>
      </c>
      <c r="R44" s="871">
        <f t="shared" si="23"/>
        <v>-0.8</v>
      </c>
      <c r="S44" s="830">
        <v>2.13</v>
      </c>
      <c r="T44" s="871">
        <f t="shared" si="24"/>
        <v>-1.1299999999999999</v>
      </c>
      <c r="U44" s="868">
        <f t="shared" si="25"/>
        <v>0.96499999999999997</v>
      </c>
      <c r="V44" s="868">
        <f t="shared" si="26"/>
        <v>1.165</v>
      </c>
      <c r="W44" s="829">
        <v>8</v>
      </c>
      <c r="X44" s="829">
        <v>13</v>
      </c>
      <c r="Y44" s="829">
        <v>1</v>
      </c>
      <c r="Z44" s="829">
        <v>4</v>
      </c>
      <c r="AA44" s="829">
        <v>46</v>
      </c>
      <c r="AB44" s="829">
        <v>54</v>
      </c>
      <c r="AC44" s="829"/>
      <c r="AD44" s="816" t="str">
        <f t="array" ref="AD44">IF($J44="","",IF(SUM(IF(ISNUMBER(VALUE(RIGHT($AG44:$DV44,1))),VALUE(RIGHT($AG44:$DV44,1)),0))=$J44,"T","F"))</f>
        <v>T</v>
      </c>
      <c r="AE44" s="831">
        <f t="array" ref="AE44">IF($J44="","",SUM(IF(LEFT($AG44:$DV44,1)="s",1,0))-SUM(IF(RIGHT(LEFT($AG44:$DV44,2))="-",1,0)))</f>
        <v>0</v>
      </c>
      <c r="AF44" s="816">
        <f t="array" ref="AF44">IF($J44="","",SUM(IF(LEFT($AG44:$DV44,1)="X",1,0)))</f>
        <v>11</v>
      </c>
      <c r="AG44" s="891" t="s">
        <v>34</v>
      </c>
      <c r="AH44" s="891" t="s">
        <v>1877</v>
      </c>
      <c r="AI44" s="891" t="s">
        <v>32</v>
      </c>
      <c r="AJ44" s="891" t="s">
        <v>1877</v>
      </c>
      <c r="AK44" s="891" t="s">
        <v>1886</v>
      </c>
      <c r="AL44" s="891" t="s">
        <v>34</v>
      </c>
      <c r="AM44" s="891" t="s">
        <v>32</v>
      </c>
      <c r="AN44" s="891" t="s">
        <v>34</v>
      </c>
      <c r="AO44" s="891" t="s">
        <v>36</v>
      </c>
      <c r="AP44" s="891" t="s">
        <v>32</v>
      </c>
      <c r="AQ44" s="891" t="s">
        <v>32</v>
      </c>
      <c r="AR44" s="915"/>
      <c r="AS44" s="918"/>
      <c r="AT44" s="891" t="s">
        <v>34</v>
      </c>
      <c r="AU44" s="891" t="s">
        <v>35</v>
      </c>
      <c r="AV44" s="891" t="s">
        <v>34</v>
      </c>
      <c r="AW44" s="891" t="s">
        <v>32</v>
      </c>
      <c r="AX44" s="891" t="s">
        <v>1877</v>
      </c>
      <c r="AY44" s="891" t="s">
        <v>32</v>
      </c>
      <c r="AZ44" s="891" t="s">
        <v>35</v>
      </c>
      <c r="BA44" s="891" t="s">
        <v>34</v>
      </c>
      <c r="BB44" s="891" t="s">
        <v>36</v>
      </c>
      <c r="BC44" s="904" t="s">
        <v>34</v>
      </c>
      <c r="BD44" s="891" t="s">
        <v>1877</v>
      </c>
      <c r="BE44" s="891" t="s">
        <v>34</v>
      </c>
      <c r="BF44" s="891" t="s">
        <v>32</v>
      </c>
      <c r="BG44" s="891" t="s">
        <v>32</v>
      </c>
      <c r="BH44" s="891" t="s">
        <v>32</v>
      </c>
      <c r="BI44" s="891" t="s">
        <v>35</v>
      </c>
      <c r="BJ44" s="891" t="s">
        <v>32</v>
      </c>
      <c r="BK44" s="891" t="s">
        <v>36</v>
      </c>
      <c r="BL44" s="891"/>
      <c r="BM44" s="892"/>
      <c r="BN44" s="896"/>
      <c r="BO44" s="892"/>
      <c r="BP44" s="896"/>
      <c r="BQ44" s="896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428"/>
      <c r="CE44" s="428"/>
      <c r="CF44" s="428"/>
      <c r="CG44" s="428"/>
    </row>
    <row r="45" spans="1:119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6</v>
      </c>
      <c r="G45" s="879" t="s">
        <v>876</v>
      </c>
      <c r="H45" s="879" t="s">
        <v>18</v>
      </c>
      <c r="I45" s="879" t="s">
        <v>891</v>
      </c>
      <c r="J45" s="846">
        <v>3</v>
      </c>
      <c r="K45" s="908">
        <v>4</v>
      </c>
      <c r="L45" s="816" t="str">
        <f t="shared" si="29"/>
        <v>L</v>
      </c>
      <c r="M45" s="816">
        <f t="shared" si="30"/>
        <v>7</v>
      </c>
      <c r="N45" s="816" t="str">
        <f t="shared" si="31"/>
        <v>O</v>
      </c>
      <c r="O45" s="816">
        <f t="shared" si="20"/>
        <v>1</v>
      </c>
      <c r="P45" s="829">
        <f t="shared" si="22"/>
        <v>0</v>
      </c>
      <c r="Q45" s="830">
        <v>-0.99</v>
      </c>
      <c r="R45" s="871">
        <f t="shared" si="23"/>
        <v>-1.0000000000000009E-2</v>
      </c>
      <c r="S45" s="830">
        <v>2.79</v>
      </c>
      <c r="T45" s="871">
        <f t="shared" si="24"/>
        <v>4.21</v>
      </c>
      <c r="U45" s="868">
        <f t="shared" si="25"/>
        <v>0.9</v>
      </c>
      <c r="V45" s="868">
        <f t="shared" si="26"/>
        <v>1.8900000000000001</v>
      </c>
      <c r="W45" s="829">
        <v>10</v>
      </c>
      <c r="X45" s="829">
        <v>16</v>
      </c>
      <c r="Y45" s="829">
        <v>6</v>
      </c>
      <c r="Z45" s="829">
        <v>8</v>
      </c>
      <c r="AA45" s="829">
        <v>37</v>
      </c>
      <c r="AB45" s="829">
        <v>63</v>
      </c>
      <c r="AC45" s="829"/>
      <c r="AD45" s="816" t="str">
        <f t="array" ref="AD45">IF($J45="","",IF(SUM(IF(ISNUMBER(VALUE(RIGHT($AG45:$DV45,1))),VALUE(RIGHT($AG45:$DV45,1)),0))=$J45,"T","F"))</f>
        <v>T</v>
      </c>
      <c r="AE45" s="831">
        <f t="array" ref="AE45">IF($J45="","",SUM(IF(LEFT($AG45:$DV45,1)="s",1,0))-SUM(IF(RIGHT(LEFT($AG45:$DV45,2))="-",1,0)))</f>
        <v>0</v>
      </c>
      <c r="AF45" s="816">
        <f t="array" ref="AF45">IF($J45="","",SUM(IF(LEFT($AG45:$DV45,1)="X",1,0)))</f>
        <v>11</v>
      </c>
      <c r="AG45" s="891" t="s">
        <v>34</v>
      </c>
      <c r="AH45" s="891" t="s">
        <v>1877</v>
      </c>
      <c r="AI45" s="891" t="s">
        <v>32</v>
      </c>
      <c r="AJ45" s="891" t="s">
        <v>34</v>
      </c>
      <c r="AK45" s="891" t="s">
        <v>1886</v>
      </c>
      <c r="AL45" s="891" t="s">
        <v>35</v>
      </c>
      <c r="AM45" s="891" t="s">
        <v>32</v>
      </c>
      <c r="AN45" s="891" t="s">
        <v>32</v>
      </c>
      <c r="AO45" s="891" t="s">
        <v>34</v>
      </c>
      <c r="AP45" s="891" t="s">
        <v>32</v>
      </c>
      <c r="AQ45" s="891" t="s">
        <v>32</v>
      </c>
      <c r="AR45" s="915"/>
      <c r="AS45" s="918"/>
      <c r="AT45" s="891" t="s">
        <v>1877</v>
      </c>
      <c r="AU45" s="891" t="s">
        <v>1877</v>
      </c>
      <c r="AV45" s="891" t="s">
        <v>34</v>
      </c>
      <c r="AW45" s="891" t="s">
        <v>32</v>
      </c>
      <c r="AX45" s="891" t="s">
        <v>1877</v>
      </c>
      <c r="AY45" s="891" t="s">
        <v>32</v>
      </c>
      <c r="AZ45" s="904" t="s">
        <v>34</v>
      </c>
      <c r="BA45" s="904" t="s">
        <v>2835</v>
      </c>
      <c r="BB45" s="891" t="s">
        <v>2832</v>
      </c>
      <c r="BC45" s="904" t="s">
        <v>34</v>
      </c>
      <c r="BD45" s="904" t="s">
        <v>34</v>
      </c>
      <c r="BE45" s="891" t="s">
        <v>35</v>
      </c>
      <c r="BF45" s="891" t="s">
        <v>32</v>
      </c>
      <c r="BG45" s="891" t="s">
        <v>36</v>
      </c>
      <c r="BH45" s="891" t="s">
        <v>2833</v>
      </c>
      <c r="BI45" s="891" t="s">
        <v>35</v>
      </c>
      <c r="BJ45" s="891"/>
      <c r="BK45" s="891"/>
      <c r="BL45" s="891"/>
      <c r="BM45" s="892"/>
      <c r="BN45" s="896"/>
      <c r="BO45" s="892"/>
      <c r="BP45" s="896"/>
      <c r="BQ45" s="891"/>
      <c r="BR45" s="896"/>
      <c r="BS45" s="896"/>
      <c r="BT45" s="896"/>
      <c r="BU45" s="896"/>
      <c r="BV45" s="896"/>
      <c r="BW45" s="891"/>
      <c r="BX45" s="891"/>
      <c r="BY45" s="891"/>
      <c r="BZ45" s="891"/>
      <c r="CA45" s="891"/>
      <c r="CB45" s="891"/>
      <c r="CC45" s="891"/>
      <c r="CD45" s="428"/>
      <c r="CE45" s="428"/>
      <c r="CF45" s="428"/>
      <c r="CG45" s="428"/>
    </row>
    <row r="46" spans="1:119" ht="15">
      <c r="A46" s="882">
        <v>6406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20</v>
      </c>
      <c r="G46" s="879" t="s">
        <v>882</v>
      </c>
      <c r="H46" s="879" t="s">
        <v>22</v>
      </c>
      <c r="I46" s="879" t="s">
        <v>891</v>
      </c>
      <c r="J46" s="846">
        <v>1</v>
      </c>
      <c r="K46" s="846">
        <v>3</v>
      </c>
      <c r="L46" s="816" t="str">
        <f t="shared" si="29"/>
        <v>L</v>
      </c>
      <c r="M46" s="816">
        <f t="shared" si="30"/>
        <v>4</v>
      </c>
      <c r="N46" s="816" t="str">
        <f t="shared" si="31"/>
        <v>O</v>
      </c>
      <c r="O46" s="816">
        <f t="shared" si="20"/>
        <v>0.25</v>
      </c>
      <c r="P46" s="829">
        <f t="shared" si="22"/>
        <v>-1</v>
      </c>
      <c r="Q46" s="830">
        <v>-0.28000000000000003</v>
      </c>
      <c r="R46" s="871">
        <f t="shared" si="23"/>
        <v>-1.72</v>
      </c>
      <c r="S46" s="830">
        <v>2.59</v>
      </c>
      <c r="T46" s="871">
        <f t="shared" si="24"/>
        <v>1.4100000000000001</v>
      </c>
      <c r="U46" s="868">
        <f t="shared" si="25"/>
        <v>1.1549999999999998</v>
      </c>
      <c r="V46" s="868">
        <f t="shared" si="26"/>
        <v>1.4350000000000001</v>
      </c>
      <c r="W46" s="829">
        <v>17</v>
      </c>
      <c r="X46" s="829">
        <v>12</v>
      </c>
      <c r="Y46" s="829">
        <v>4</v>
      </c>
      <c r="Z46" s="829">
        <v>7</v>
      </c>
      <c r="AA46" s="829">
        <v>45</v>
      </c>
      <c r="AB46" s="829">
        <v>55</v>
      </c>
      <c r="AC46" s="829"/>
      <c r="AD46" s="816" t="str">
        <f t="array" ref="AD46">IF($J46="","",IF(SUM(IF(ISNUMBER(VALUE(RIGHT($AG46:$DV46,1))),VALUE(RIGHT($AG46:$DV46,1)),0))=$J46,"T","F"))</f>
        <v>T</v>
      </c>
      <c r="AE46" s="831">
        <f t="array" ref="AE46">IF($J46="","",SUM(IF(LEFT($AG46:$DV46,1)="s",1,0))-SUM(IF(RIGHT(LEFT($AG46:$DV46,2))="-",1,0)))</f>
        <v>0</v>
      </c>
      <c r="AF46" s="816">
        <f t="array" ref="AF46">IF($J46="","",SUM(IF(LEFT($AG46:$DV46,1)="X",1,0)))</f>
        <v>11</v>
      </c>
      <c r="AG46" s="891" t="s">
        <v>34</v>
      </c>
      <c r="AH46" s="891" t="s">
        <v>1877</v>
      </c>
      <c r="AI46" s="891" t="s">
        <v>32</v>
      </c>
      <c r="AJ46" s="891" t="s">
        <v>34</v>
      </c>
      <c r="AK46" s="891" t="s">
        <v>1886</v>
      </c>
      <c r="AL46" s="891" t="s">
        <v>34</v>
      </c>
      <c r="AM46" s="891" t="s">
        <v>32</v>
      </c>
      <c r="AN46" s="891" t="s">
        <v>32</v>
      </c>
      <c r="AO46" s="891" t="s">
        <v>2882</v>
      </c>
      <c r="AP46" s="891" t="s">
        <v>36</v>
      </c>
      <c r="AQ46" s="891" t="s">
        <v>32</v>
      </c>
      <c r="AR46" s="915"/>
      <c r="AS46" s="918"/>
      <c r="AT46" s="891" t="s">
        <v>1877</v>
      </c>
      <c r="AU46" s="891" t="s">
        <v>1877</v>
      </c>
      <c r="AV46" s="891" t="s">
        <v>34</v>
      </c>
      <c r="AW46" s="891" t="s">
        <v>36</v>
      </c>
      <c r="AX46" s="891" t="s">
        <v>35</v>
      </c>
      <c r="AY46" s="891" t="s">
        <v>32</v>
      </c>
      <c r="AZ46" s="891" t="s">
        <v>2880</v>
      </c>
      <c r="BA46" s="891" t="s">
        <v>34</v>
      </c>
      <c r="BB46" s="891" t="s">
        <v>34</v>
      </c>
      <c r="BC46" s="891" t="s">
        <v>2881</v>
      </c>
      <c r="BD46" s="891" t="s">
        <v>2880</v>
      </c>
      <c r="BE46" s="891" t="s">
        <v>34</v>
      </c>
      <c r="BF46" s="891" t="s">
        <v>1877</v>
      </c>
      <c r="BG46" s="904" t="s">
        <v>36</v>
      </c>
      <c r="BH46" s="904" t="s">
        <v>35</v>
      </c>
      <c r="BI46" s="904" t="s">
        <v>35</v>
      </c>
      <c r="BJ46" s="891"/>
      <c r="BK46" s="891"/>
      <c r="BL46" s="891"/>
      <c r="BM46" s="892"/>
      <c r="BN46" s="896"/>
      <c r="BO46" s="892"/>
      <c r="BP46" s="896"/>
      <c r="BQ46" s="896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428"/>
      <c r="CE46" s="428"/>
      <c r="CF46" s="428"/>
      <c r="CG46" s="428"/>
    </row>
    <row r="47" spans="1:119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5</v>
      </c>
      <c r="G47" s="879" t="s">
        <v>889</v>
      </c>
      <c r="H47" s="879" t="s">
        <v>18</v>
      </c>
      <c r="I47" s="879" t="s">
        <v>891</v>
      </c>
      <c r="J47" s="846">
        <v>3</v>
      </c>
      <c r="K47" s="846">
        <v>3</v>
      </c>
      <c r="L47" s="816" t="str">
        <f t="shared" si="29"/>
        <v>D</v>
      </c>
      <c r="M47" s="816">
        <f t="shared" si="30"/>
        <v>6</v>
      </c>
      <c r="N47" s="816" t="str">
        <f t="shared" si="31"/>
        <v>O</v>
      </c>
      <c r="O47" s="816">
        <f t="shared" si="20"/>
        <v>0.75</v>
      </c>
      <c r="P47" s="829">
        <f t="shared" si="22"/>
        <v>1</v>
      </c>
      <c r="Q47" s="830">
        <v>-0.9</v>
      </c>
      <c r="R47" s="871">
        <f t="shared" si="23"/>
        <v>0.9</v>
      </c>
      <c r="S47" s="830">
        <v>2.65</v>
      </c>
      <c r="T47" s="871">
        <f t="shared" si="24"/>
        <v>3.35</v>
      </c>
      <c r="U47" s="868">
        <f t="shared" si="25"/>
        <v>0.875</v>
      </c>
      <c r="V47" s="868">
        <f t="shared" si="26"/>
        <v>1.7749999999999999</v>
      </c>
      <c r="W47" s="829">
        <v>19</v>
      </c>
      <c r="X47" s="829">
        <v>19</v>
      </c>
      <c r="Y47" s="829">
        <v>5</v>
      </c>
      <c r="Z47" s="829">
        <v>7</v>
      </c>
      <c r="AA47" s="829">
        <v>43</v>
      </c>
      <c r="AB47" s="829">
        <v>57</v>
      </c>
      <c r="AC47" s="829"/>
      <c r="AD47" s="816" t="str">
        <f t="array" ref="AD47">IF($J47="","",IF(SUM(IF(ISNUMBER(VALUE(RIGHT($AG47:$DV47,1))),VALUE(RIGHT($AG47:$DV47,1)),0))=$J47,"T","F"))</f>
        <v>T</v>
      </c>
      <c r="AE47" s="831">
        <f t="array" ref="AE47">IF($J47="","",SUM(IF(LEFT($AG47:$DV47,1)="s",1,0))-SUM(IF(RIGHT(LEFT($AG47:$DV47,2))="-",1,0)))</f>
        <v>0</v>
      </c>
      <c r="AF47" s="816">
        <f t="array" ref="AF47">IF($J47="","",SUM(IF(LEFT($AG47:$DV47,1)="X",1,0)))</f>
        <v>11</v>
      </c>
      <c r="AG47" s="891" t="s">
        <v>34</v>
      </c>
      <c r="AH47" s="891" t="s">
        <v>1877</v>
      </c>
      <c r="AI47" s="891" t="s">
        <v>32</v>
      </c>
      <c r="AJ47" s="891" t="s">
        <v>34</v>
      </c>
      <c r="AK47" s="891" t="s">
        <v>1886</v>
      </c>
      <c r="AL47" s="891" t="s">
        <v>1877</v>
      </c>
      <c r="AM47" s="891" t="s">
        <v>34</v>
      </c>
      <c r="AN47" s="891" t="s">
        <v>32</v>
      </c>
      <c r="AO47" s="891" t="s">
        <v>34</v>
      </c>
      <c r="AP47" s="891" t="s">
        <v>32</v>
      </c>
      <c r="AQ47" s="891" t="s">
        <v>32</v>
      </c>
      <c r="AR47" s="915"/>
      <c r="AS47" s="918"/>
      <c r="AT47" s="891" t="s">
        <v>2901</v>
      </c>
      <c r="AU47" s="891" t="s">
        <v>2908</v>
      </c>
      <c r="AV47" s="891" t="s">
        <v>2901</v>
      </c>
      <c r="AW47" s="891" t="s">
        <v>32</v>
      </c>
      <c r="AX47" s="891" t="s">
        <v>1877</v>
      </c>
      <c r="AY47" s="891" t="s">
        <v>32</v>
      </c>
      <c r="AZ47" s="891" t="s">
        <v>35</v>
      </c>
      <c r="BA47" s="891" t="s">
        <v>1877</v>
      </c>
      <c r="BB47" s="904" t="s">
        <v>36</v>
      </c>
      <c r="BC47" s="904" t="s">
        <v>35</v>
      </c>
      <c r="BD47" s="891" t="s">
        <v>34</v>
      </c>
      <c r="BE47" s="904" t="s">
        <v>34</v>
      </c>
      <c r="BF47" s="891" t="s">
        <v>32</v>
      </c>
      <c r="BG47" s="891" t="s">
        <v>32</v>
      </c>
      <c r="BH47" s="891" t="s">
        <v>35</v>
      </c>
      <c r="BI47" s="891" t="s">
        <v>36</v>
      </c>
      <c r="BJ47" s="891"/>
      <c r="BK47" s="891"/>
      <c r="BL47" s="891"/>
      <c r="BM47" s="892"/>
      <c r="BN47" s="896"/>
      <c r="BO47" s="892"/>
      <c r="BP47" s="896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428"/>
      <c r="CE47" s="428"/>
      <c r="CF47" s="428"/>
      <c r="CG47" s="428"/>
    </row>
    <row r="48" spans="1:119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9</v>
      </c>
      <c r="G48" s="879" t="s">
        <v>1083</v>
      </c>
      <c r="H48" s="879" t="s">
        <v>22</v>
      </c>
      <c r="I48" s="879" t="s">
        <v>891</v>
      </c>
      <c r="J48" s="846">
        <v>0</v>
      </c>
      <c r="K48" s="846">
        <v>1</v>
      </c>
      <c r="L48" s="816" t="str">
        <f t="shared" si="29"/>
        <v>L</v>
      </c>
      <c r="M48" s="816">
        <f t="shared" si="30"/>
        <v>1</v>
      </c>
      <c r="N48" s="816" t="str">
        <f t="shared" si="31"/>
        <v>U</v>
      </c>
      <c r="O48" s="816">
        <f t="shared" si="20"/>
        <v>0.25</v>
      </c>
      <c r="P48" s="829">
        <f t="shared" si="22"/>
        <v>-1</v>
      </c>
      <c r="Q48" s="830">
        <v>-0.36</v>
      </c>
      <c r="R48" s="871">
        <f t="shared" si="23"/>
        <v>-0.64</v>
      </c>
      <c r="S48" s="830">
        <v>2.54</v>
      </c>
      <c r="T48" s="871">
        <f t="shared" si="24"/>
        <v>-1.54</v>
      </c>
      <c r="U48" s="868">
        <f t="shared" si="25"/>
        <v>1.0900000000000001</v>
      </c>
      <c r="V48" s="868">
        <f t="shared" si="26"/>
        <v>1.45</v>
      </c>
      <c r="W48" s="829">
        <v>10</v>
      </c>
      <c r="X48" s="829">
        <v>12</v>
      </c>
      <c r="Y48" s="816">
        <v>1</v>
      </c>
      <c r="Z48" s="829">
        <v>4</v>
      </c>
      <c r="AA48" s="829">
        <v>44</v>
      </c>
      <c r="AB48" s="829">
        <v>56</v>
      </c>
      <c r="AC48" s="829"/>
      <c r="AD48" s="816" t="str">
        <f t="array" ref="AD48">IF($J48="","",IF(SUM(IF(ISNUMBER(VALUE(RIGHT($AG48:$DV48,1))),VALUE(RIGHT($AG48:$DV48,1)),0))=$J48,"T","F"))</f>
        <v>T</v>
      </c>
      <c r="AE48" s="831">
        <f t="array" ref="AE48">IF($J48="","",SUM(IF(LEFT($AG48:$DV48,1)="s",1,0))-SUM(IF(RIGHT(LEFT($AG48:$DV48,2))="-",1,0)))</f>
        <v>0</v>
      </c>
      <c r="AF48" s="816">
        <f t="array" ref="AF48">IF($J48="","",SUM(IF(LEFT($AG48:$DV48,1)="X",1,0)))</f>
        <v>11</v>
      </c>
      <c r="AG48" s="891" t="s">
        <v>34</v>
      </c>
      <c r="AH48" s="891" t="s">
        <v>1877</v>
      </c>
      <c r="AI48" s="891" t="s">
        <v>32</v>
      </c>
      <c r="AJ48" s="891" t="s">
        <v>34</v>
      </c>
      <c r="AK48" s="891" t="s">
        <v>2946</v>
      </c>
      <c r="AL48" s="891" t="s">
        <v>1877</v>
      </c>
      <c r="AM48" s="891" t="s">
        <v>1877</v>
      </c>
      <c r="AN48" s="891" t="s">
        <v>32</v>
      </c>
      <c r="AO48" s="891" t="s">
        <v>34</v>
      </c>
      <c r="AP48" s="891" t="s">
        <v>32</v>
      </c>
      <c r="AQ48" s="891" t="s">
        <v>32</v>
      </c>
      <c r="AR48" s="891" t="s">
        <v>35</v>
      </c>
      <c r="AS48" s="918"/>
      <c r="AT48" s="891" t="s">
        <v>34</v>
      </c>
      <c r="AU48" s="891" t="s">
        <v>36</v>
      </c>
      <c r="AV48" s="891" t="s">
        <v>34</v>
      </c>
      <c r="AW48" s="891" t="s">
        <v>32</v>
      </c>
      <c r="AX48" s="891" t="s">
        <v>32</v>
      </c>
      <c r="AY48" s="891" t="s">
        <v>32</v>
      </c>
      <c r="AZ48" s="891" t="s">
        <v>36</v>
      </c>
      <c r="BA48" s="891" t="s">
        <v>35</v>
      </c>
      <c r="BB48" s="891" t="s">
        <v>1877</v>
      </c>
      <c r="BC48" s="891" t="s">
        <v>34</v>
      </c>
      <c r="BD48" s="891" t="s">
        <v>34</v>
      </c>
      <c r="BE48" s="891" t="s">
        <v>34</v>
      </c>
      <c r="BF48" s="891" t="s">
        <v>32</v>
      </c>
      <c r="BG48" s="891" t="s">
        <v>32</v>
      </c>
      <c r="BH48" s="904" t="s">
        <v>35</v>
      </c>
      <c r="BI48" s="891" t="s">
        <v>36</v>
      </c>
      <c r="BJ48" s="891" t="s">
        <v>32</v>
      </c>
      <c r="BK48" s="891" t="s">
        <v>32</v>
      </c>
      <c r="BL48" s="891" t="s">
        <v>32</v>
      </c>
      <c r="BM48" s="892" t="s">
        <v>32</v>
      </c>
      <c r="BN48" s="896" t="s">
        <v>32</v>
      </c>
      <c r="BO48" s="892" t="s">
        <v>32</v>
      </c>
      <c r="BP48" s="896" t="s">
        <v>32</v>
      </c>
      <c r="BQ48" s="896" t="s">
        <v>32</v>
      </c>
      <c r="BR48" s="896" t="s">
        <v>32</v>
      </c>
      <c r="BS48" s="896" t="s">
        <v>32</v>
      </c>
      <c r="BT48" s="896" t="s">
        <v>32</v>
      </c>
      <c r="BU48" s="896" t="s">
        <v>32</v>
      </c>
      <c r="BV48" s="896" t="s">
        <v>32</v>
      </c>
      <c r="BW48" s="896" t="s">
        <v>32</v>
      </c>
      <c r="BX48" s="896" t="s">
        <v>32</v>
      </c>
      <c r="BY48" s="896"/>
      <c r="BZ48" s="896"/>
      <c r="CA48" s="896"/>
      <c r="CB48" s="896"/>
      <c r="CC48" s="896"/>
      <c r="CD48" s="428"/>
      <c r="CE48" s="428"/>
      <c r="CF48" s="428"/>
      <c r="CG48" s="428"/>
    </row>
    <row r="49" spans="1:85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14</v>
      </c>
      <c r="G49" s="879" t="s">
        <v>873</v>
      </c>
      <c r="H49" s="879" t="s">
        <v>22</v>
      </c>
      <c r="I49" s="879" t="s">
        <v>891</v>
      </c>
      <c r="J49" s="846">
        <v>2</v>
      </c>
      <c r="K49" s="846">
        <v>0</v>
      </c>
      <c r="L49" s="816" t="str">
        <f t="shared" si="29"/>
        <v>W</v>
      </c>
      <c r="M49" s="816">
        <f t="shared" si="30"/>
        <v>2</v>
      </c>
      <c r="N49" s="816" t="str">
        <f t="shared" si="31"/>
        <v>U</v>
      </c>
      <c r="O49" s="816">
        <f t="shared" si="20"/>
        <v>0</v>
      </c>
      <c r="P49" s="829">
        <f t="shared" si="22"/>
        <v>1</v>
      </c>
      <c r="Q49" s="830">
        <v>-0.13</v>
      </c>
      <c r="R49" s="871">
        <f t="shared" si="23"/>
        <v>2.13</v>
      </c>
      <c r="S49" s="830">
        <v>2.33</v>
      </c>
      <c r="T49" s="871">
        <f t="shared" si="24"/>
        <v>-0.33000000000000007</v>
      </c>
      <c r="U49" s="868">
        <f t="shared" si="25"/>
        <v>1.1000000000000001</v>
      </c>
      <c r="V49" s="868">
        <f t="shared" si="26"/>
        <v>1.23</v>
      </c>
      <c r="W49" s="829">
        <v>17</v>
      </c>
      <c r="X49" s="829">
        <v>6</v>
      </c>
      <c r="Y49" s="829">
        <v>5</v>
      </c>
      <c r="Z49" s="829">
        <v>1</v>
      </c>
      <c r="AA49" s="829">
        <v>62</v>
      </c>
      <c r="AB49" s="829">
        <v>38</v>
      </c>
      <c r="AC49" s="829"/>
      <c r="AD49" s="816" t="str">
        <f t="array" ref="AD49">IF($J49="","",IF(SUM(IF(ISNUMBER(VALUE(RIGHT($AG49:$DV49,1))),VALUE(RIGHT($AG49:$DV49,1)),0))=$J49,"T","F"))</f>
        <v>T</v>
      </c>
      <c r="AE49" s="831">
        <f t="array" ref="AE49">IF($J49="","",SUM(IF(LEFT($AG49:$DV49,1)="s",1,0))-SUM(IF(RIGHT(LEFT($AG49:$DV49,2))="-",1,0)))</f>
        <v>0</v>
      </c>
      <c r="AF49" s="816">
        <f t="array" ref="AF49">IF($J49="","",SUM(IF(LEFT($AG49:$DV49,1)="X",1,0)))</f>
        <v>11</v>
      </c>
      <c r="AG49" s="891" t="s">
        <v>34</v>
      </c>
      <c r="AH49" s="891" t="s">
        <v>1877</v>
      </c>
      <c r="AI49" s="891" t="s">
        <v>32</v>
      </c>
      <c r="AJ49" s="891" t="s">
        <v>32</v>
      </c>
      <c r="AK49" s="891" t="s">
        <v>3022</v>
      </c>
      <c r="AL49" s="891" t="s">
        <v>1877</v>
      </c>
      <c r="AM49" s="891" t="s">
        <v>32</v>
      </c>
      <c r="AN49" s="891" t="s">
        <v>35</v>
      </c>
      <c r="AO49" s="891" t="s">
        <v>34</v>
      </c>
      <c r="AP49" s="891" t="s">
        <v>32</v>
      </c>
      <c r="AQ49" s="891" t="s">
        <v>35</v>
      </c>
      <c r="AR49" s="891" t="s">
        <v>34</v>
      </c>
      <c r="AS49" s="918"/>
      <c r="AT49" s="891" t="s">
        <v>36</v>
      </c>
      <c r="AU49" s="891" t="s">
        <v>1877</v>
      </c>
      <c r="AV49" s="891" t="s">
        <v>34</v>
      </c>
      <c r="AW49" s="891" t="s">
        <v>32</v>
      </c>
      <c r="AX49" s="891" t="s">
        <v>32</v>
      </c>
      <c r="AY49" s="891" t="s">
        <v>32</v>
      </c>
      <c r="AZ49" s="891" t="s">
        <v>1877</v>
      </c>
      <c r="BA49" s="906" t="s">
        <v>3025</v>
      </c>
      <c r="BB49" s="891" t="s">
        <v>3024</v>
      </c>
      <c r="BC49" s="891" t="s">
        <v>34</v>
      </c>
      <c r="BD49" s="891" t="s">
        <v>34</v>
      </c>
      <c r="BE49" s="891" t="s">
        <v>34</v>
      </c>
      <c r="BF49" s="891" t="s">
        <v>32</v>
      </c>
      <c r="BG49" s="891" t="s">
        <v>36</v>
      </c>
      <c r="BH49" s="904" t="s">
        <v>3023</v>
      </c>
      <c r="BI49" s="891" t="s">
        <v>32</v>
      </c>
      <c r="BJ49" s="891" t="s">
        <v>32</v>
      </c>
      <c r="BK49" s="891" t="s">
        <v>32</v>
      </c>
      <c r="BL49" s="891" t="s">
        <v>32</v>
      </c>
      <c r="BM49" s="892"/>
      <c r="BN49" s="896"/>
      <c r="BO49" s="892"/>
      <c r="BP49" s="896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428"/>
      <c r="CE49" s="428"/>
      <c r="CF49" s="428"/>
      <c r="CG49" s="428"/>
    </row>
    <row r="50" spans="1:85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22</v>
      </c>
      <c r="G50" s="879" t="s">
        <v>1087</v>
      </c>
      <c r="H50" s="879" t="s">
        <v>18</v>
      </c>
      <c r="I50" s="879" t="s">
        <v>891</v>
      </c>
      <c r="J50" s="846">
        <v>2</v>
      </c>
      <c r="K50" s="846">
        <v>1</v>
      </c>
      <c r="L50" s="816" t="str">
        <f t="shared" si="29"/>
        <v>W</v>
      </c>
      <c r="M50" s="816">
        <f t="shared" si="30"/>
        <v>3</v>
      </c>
      <c r="N50" s="816" t="str">
        <f t="shared" si="31"/>
        <v>O</v>
      </c>
      <c r="O50" s="816">
        <f t="shared" si="20"/>
        <v>-0.25</v>
      </c>
      <c r="P50" s="829">
        <f t="shared" si="22"/>
        <v>1</v>
      </c>
      <c r="Q50" s="830">
        <v>0.15</v>
      </c>
      <c r="R50" s="871">
        <f t="shared" si="23"/>
        <v>0.85</v>
      </c>
      <c r="S50" s="830">
        <v>2.65</v>
      </c>
      <c r="T50" s="871">
        <f t="shared" si="24"/>
        <v>0.35000000000000009</v>
      </c>
      <c r="U50" s="868">
        <f t="shared" si="25"/>
        <v>1.4</v>
      </c>
      <c r="V50" s="868">
        <f t="shared" si="26"/>
        <v>1.25</v>
      </c>
      <c r="W50" s="829">
        <v>10</v>
      </c>
      <c r="X50" s="829">
        <v>19</v>
      </c>
      <c r="Y50" s="829">
        <v>2</v>
      </c>
      <c r="Z50" s="829">
        <v>1</v>
      </c>
      <c r="AA50" s="829">
        <v>48</v>
      </c>
      <c r="AB50" s="829">
        <v>52</v>
      </c>
      <c r="AC50" s="829"/>
      <c r="AD50" s="816" t="str">
        <f t="array" ref="AD50">IF($J50="","",IF(SUM(IF(ISNUMBER(VALUE(RIGHT($AG50:$DV50,1))),VALUE(RIGHT($AG50:$DV50,1)),0))=$J50,"T","F"))</f>
        <v>T</v>
      </c>
      <c r="AE50" s="831">
        <f t="array" ref="AE50">IF($J50="","",SUM(IF(LEFT($AG50:$DV50,1)="s",1,0))-SUM(IF(RIGHT(LEFT($AG50:$DV50,2))="-",1,0)))</f>
        <v>0</v>
      </c>
      <c r="AF50" s="816">
        <f t="array" ref="AF50">IF($J50="","",SUM(IF(LEFT($AG50:$DV50,1)="X",1,0)))</f>
        <v>11</v>
      </c>
      <c r="AG50" s="891" t="s">
        <v>34</v>
      </c>
      <c r="AH50" s="891" t="s">
        <v>1877</v>
      </c>
      <c r="AI50" s="891" t="s">
        <v>32</v>
      </c>
      <c r="AJ50" s="891" t="s">
        <v>32</v>
      </c>
      <c r="AK50" s="891" t="s">
        <v>1886</v>
      </c>
      <c r="AL50" s="891" t="s">
        <v>1877</v>
      </c>
      <c r="AM50" s="891" t="s">
        <v>32</v>
      </c>
      <c r="AN50" s="891" t="s">
        <v>1886</v>
      </c>
      <c r="AO50" s="904" t="s">
        <v>3066</v>
      </c>
      <c r="AP50" s="891" t="s">
        <v>32</v>
      </c>
      <c r="AQ50" s="891" t="s">
        <v>35</v>
      </c>
      <c r="AR50" s="891" t="s">
        <v>35</v>
      </c>
      <c r="AS50" t="s">
        <v>32</v>
      </c>
      <c r="AT50" s="891" t="s">
        <v>36</v>
      </c>
      <c r="AU50" s="891" t="s">
        <v>36</v>
      </c>
      <c r="AV50" s="891" t="s">
        <v>34</v>
      </c>
      <c r="AW50" s="891" t="s">
        <v>32</v>
      </c>
      <c r="AX50" s="891" t="s">
        <v>36</v>
      </c>
      <c r="AY50" s="891" t="s">
        <v>32</v>
      </c>
      <c r="AZ50" s="891" t="s">
        <v>1877</v>
      </c>
      <c r="BA50" s="891" t="s">
        <v>34</v>
      </c>
      <c r="BB50" s="891" t="s">
        <v>3065</v>
      </c>
      <c r="BC50" s="891" t="s">
        <v>34</v>
      </c>
      <c r="BD50" s="891" t="s">
        <v>34</v>
      </c>
      <c r="BE50" s="891" t="s">
        <v>35</v>
      </c>
      <c r="BF50" s="891" t="s">
        <v>1877</v>
      </c>
      <c r="BG50" s="891" t="s">
        <v>32</v>
      </c>
      <c r="BH50" s="891" t="s">
        <v>34</v>
      </c>
      <c r="BI50" s="891"/>
      <c r="BJ50" s="891"/>
      <c r="BK50" s="891"/>
      <c r="BL50" s="891"/>
      <c r="BM50" s="892"/>
      <c r="BN50" s="896"/>
      <c r="BO50" s="892"/>
      <c r="BP50" s="896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428"/>
      <c r="CE50" s="428"/>
      <c r="CF50" s="428"/>
      <c r="CG50" s="428"/>
    </row>
    <row r="51" spans="1:85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10</v>
      </c>
      <c r="G51" s="879" t="s">
        <v>883</v>
      </c>
      <c r="H51" s="879" t="s">
        <v>22</v>
      </c>
      <c r="I51" s="879" t="s">
        <v>891</v>
      </c>
      <c r="J51" s="846">
        <v>1</v>
      </c>
      <c r="K51" s="846">
        <v>0</v>
      </c>
      <c r="L51" s="816" t="str">
        <f t="shared" si="29"/>
        <v>W</v>
      </c>
      <c r="M51" s="816">
        <f t="shared" si="30"/>
        <v>1</v>
      </c>
      <c r="N51" s="816" t="str">
        <f t="shared" si="31"/>
        <v>U</v>
      </c>
      <c r="O51" s="816">
        <f t="shared" si="20"/>
        <v>0.25</v>
      </c>
      <c r="P51" s="829">
        <f t="shared" si="22"/>
        <v>1</v>
      </c>
      <c r="Q51" s="830">
        <v>-0.2</v>
      </c>
      <c r="R51" s="871">
        <f t="shared" si="23"/>
        <v>1.2</v>
      </c>
      <c r="S51" s="830">
        <v>2.5299999999999998</v>
      </c>
      <c r="T51" s="871">
        <f t="shared" si="24"/>
        <v>-1.5299999999999998</v>
      </c>
      <c r="U51" s="868">
        <f t="shared" si="25"/>
        <v>1.1649999999999998</v>
      </c>
      <c r="V51" s="868">
        <f t="shared" si="26"/>
        <v>1.365</v>
      </c>
      <c r="W51" s="829">
        <v>10</v>
      </c>
      <c r="X51" s="829">
        <v>9</v>
      </c>
      <c r="Y51" s="829">
        <v>4</v>
      </c>
      <c r="Z51" s="829">
        <v>1</v>
      </c>
      <c r="AA51" s="829">
        <v>51</v>
      </c>
      <c r="AB51" s="829">
        <v>49</v>
      </c>
      <c r="AC51" s="829"/>
      <c r="AD51" s="816" t="str">
        <f t="array" ref="AD51">IF($J51="","",IF(SUM(IF(ISNUMBER(VALUE(RIGHT($AG51:$DV51,1))),VALUE(RIGHT($AG51:$DV51,1)),0))=$J51,"T","F"))</f>
        <v>T</v>
      </c>
      <c r="AE51" s="831">
        <f t="array" ref="AE51">IF($J51="","",SUM(IF(LEFT($AG51:$DV51,1)="s",1,0))-SUM(IF(RIGHT(LEFT($AG51:$DV51,2))="-",1,0)))</f>
        <v>0</v>
      </c>
      <c r="AF51" s="816">
        <f t="array" ref="AF51">IF($J51="","",SUM(IF(LEFT($AG51:$DV51,1)="X",1,0)))</f>
        <v>11</v>
      </c>
      <c r="AG51" s="891" t="s">
        <v>34</v>
      </c>
      <c r="AH51" s="891" t="s">
        <v>1877</v>
      </c>
      <c r="AI51" s="891" t="s">
        <v>32</v>
      </c>
      <c r="AJ51" s="891" t="s">
        <v>32</v>
      </c>
      <c r="AK51" s="891" t="s">
        <v>1886</v>
      </c>
      <c r="AL51" s="891" t="s">
        <v>1877</v>
      </c>
      <c r="AM51" s="891" t="s">
        <v>32</v>
      </c>
      <c r="AN51" s="891" t="s">
        <v>1886</v>
      </c>
      <c r="AO51" s="891" t="s">
        <v>34</v>
      </c>
      <c r="AP51" s="891" t="s">
        <v>32</v>
      </c>
      <c r="AQ51" s="904" t="s">
        <v>34</v>
      </c>
      <c r="AR51" s="891" t="s">
        <v>34</v>
      </c>
      <c r="AS51" t="s">
        <v>32</v>
      </c>
      <c r="AT51" s="891" t="s">
        <v>1877</v>
      </c>
      <c r="AU51" s="891" t="s">
        <v>1877</v>
      </c>
      <c r="AV51" s="891" t="s">
        <v>34</v>
      </c>
      <c r="AW51" s="891" t="s">
        <v>32</v>
      </c>
      <c r="AX51" s="891" t="s">
        <v>32</v>
      </c>
      <c r="AY51" s="891" t="s">
        <v>32</v>
      </c>
      <c r="AZ51" s="891" t="s">
        <v>1877</v>
      </c>
      <c r="BA51" s="891" t="s">
        <v>34</v>
      </c>
      <c r="BB51" s="891" t="s">
        <v>34</v>
      </c>
      <c r="BC51" s="891" t="s">
        <v>34</v>
      </c>
      <c r="BD51" s="891" t="s">
        <v>34</v>
      </c>
      <c r="BE51" s="891" t="s">
        <v>1879</v>
      </c>
      <c r="BF51" s="891" t="s">
        <v>1877</v>
      </c>
      <c r="BG51" s="891" t="s">
        <v>32</v>
      </c>
      <c r="BH51" s="891" t="s">
        <v>35</v>
      </c>
      <c r="BI51" s="891" t="s">
        <v>36</v>
      </c>
      <c r="BJ51" s="891"/>
      <c r="BK51" s="891"/>
      <c r="BL51" s="891"/>
      <c r="BM51" s="892"/>
      <c r="BN51" s="896"/>
      <c r="BO51" s="892"/>
      <c r="BP51" s="896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428"/>
      <c r="CE51" s="428"/>
      <c r="CF51" s="428"/>
      <c r="CG51" s="428"/>
    </row>
    <row r="52" spans="1:85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18</v>
      </c>
      <c r="G52" s="879" t="s">
        <v>887</v>
      </c>
      <c r="H52" s="879" t="s">
        <v>18</v>
      </c>
      <c r="I52" s="879" t="s">
        <v>891</v>
      </c>
      <c r="J52" s="846">
        <v>1</v>
      </c>
      <c r="K52" s="846">
        <v>0</v>
      </c>
      <c r="L52" s="816" t="str">
        <f t="shared" si="29"/>
        <v>W</v>
      </c>
      <c r="M52" s="816">
        <f t="shared" si="30"/>
        <v>1</v>
      </c>
      <c r="N52" s="816" t="str">
        <f t="shared" si="31"/>
        <v>U</v>
      </c>
      <c r="O52" s="816">
        <f t="shared" si="20"/>
        <v>0.25</v>
      </c>
      <c r="P52" s="829">
        <f t="shared" si="22"/>
        <v>1</v>
      </c>
      <c r="Q52" s="830">
        <v>-0.42</v>
      </c>
      <c r="R52" s="871">
        <f t="shared" si="23"/>
        <v>1.42</v>
      </c>
      <c r="S52" s="830">
        <v>2.64</v>
      </c>
      <c r="T52" s="871">
        <f t="shared" si="24"/>
        <v>-1.6400000000000001</v>
      </c>
      <c r="U52" s="868">
        <f t="shared" si="25"/>
        <v>1.1100000000000001</v>
      </c>
      <c r="V52" s="868">
        <f t="shared" si="26"/>
        <v>1.53</v>
      </c>
      <c r="W52" s="829">
        <v>9</v>
      </c>
      <c r="X52" s="829">
        <v>8</v>
      </c>
      <c r="Y52" s="829">
        <v>4</v>
      </c>
      <c r="Z52" s="829">
        <v>0</v>
      </c>
      <c r="AA52" s="829">
        <v>35</v>
      </c>
      <c r="AB52" s="829">
        <v>65</v>
      </c>
      <c r="AC52" s="829"/>
      <c r="AD52" s="816" t="str">
        <f t="array" ref="AD52">IF($J52="","",IF(SUM(IF(ISNUMBER(VALUE(RIGHT($AG52:$DV52,1))),VALUE(RIGHT($AG52:$DV52,1)),0))=$J52,"T","F"))</f>
        <v>T</v>
      </c>
      <c r="AE52" s="831">
        <f t="array" ref="AE52">IF($J52="","",SUM(IF(LEFT($AG52:$DV52,1)="s",1,0))-SUM(IF(RIGHT(LEFT($AG52:$DV52,2))="-",1,0)))</f>
        <v>0</v>
      </c>
      <c r="AF52" s="816">
        <f t="array" ref="AF52">IF($J52="","",SUM(IF(LEFT($AG52:$DV52,1)="X",1,0)))</f>
        <v>11</v>
      </c>
      <c r="AG52" s="891" t="s">
        <v>34</v>
      </c>
      <c r="AH52" s="891" t="s">
        <v>1877</v>
      </c>
      <c r="AI52" s="891" t="s">
        <v>32</v>
      </c>
      <c r="AJ52" s="891" t="s">
        <v>32</v>
      </c>
      <c r="AK52" s="891" t="s">
        <v>3123</v>
      </c>
      <c r="AL52" s="891" t="s">
        <v>32</v>
      </c>
      <c r="AM52" s="891" t="s">
        <v>32</v>
      </c>
      <c r="AN52" s="891" t="s">
        <v>3124</v>
      </c>
      <c r="AO52" s="891" t="s">
        <v>34</v>
      </c>
      <c r="AP52" s="891" t="s">
        <v>32</v>
      </c>
      <c r="AQ52" s="891" t="s">
        <v>34</v>
      </c>
      <c r="AR52" s="891" t="s">
        <v>34</v>
      </c>
      <c r="AS52" s="891" t="s">
        <v>1877</v>
      </c>
      <c r="AT52" s="891" t="s">
        <v>32</v>
      </c>
      <c r="AU52" s="891" t="s">
        <v>1877</v>
      </c>
      <c r="AV52" s="904" t="s">
        <v>34</v>
      </c>
      <c r="AW52" s="891" t="s">
        <v>32</v>
      </c>
      <c r="AX52" s="891" t="s">
        <v>32</v>
      </c>
      <c r="AY52" s="891" t="s">
        <v>32</v>
      </c>
      <c r="AZ52" s="891" t="s">
        <v>1877</v>
      </c>
      <c r="BA52" s="891" t="s">
        <v>34</v>
      </c>
      <c r="BB52" s="891" t="s">
        <v>35</v>
      </c>
      <c r="BC52" s="891" t="s">
        <v>34</v>
      </c>
      <c r="BD52" s="891" t="s">
        <v>34</v>
      </c>
      <c r="BE52" s="891" t="s">
        <v>34</v>
      </c>
      <c r="BF52" s="891" t="s">
        <v>36</v>
      </c>
      <c r="BG52" s="891" t="s">
        <v>1877</v>
      </c>
      <c r="BH52" s="904" t="s">
        <v>3125</v>
      </c>
      <c r="BI52" s="891" t="s">
        <v>36</v>
      </c>
      <c r="BJ52" s="891" t="s">
        <v>32</v>
      </c>
      <c r="BK52" s="891" t="s">
        <v>32</v>
      </c>
      <c r="BL52" s="891" t="s">
        <v>32</v>
      </c>
      <c r="BM52" s="892" t="s">
        <v>32</v>
      </c>
      <c r="BN52" s="896"/>
      <c r="BO52" s="892"/>
      <c r="BP52" s="896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428"/>
      <c r="CE52" s="428"/>
      <c r="CF52" s="428"/>
      <c r="CG52" s="428"/>
    </row>
    <row r="53" spans="1:85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17</v>
      </c>
      <c r="G53" s="879" t="s">
        <v>875</v>
      </c>
      <c r="H53" s="879" t="s">
        <v>18</v>
      </c>
      <c r="I53" s="879" t="s">
        <v>891</v>
      </c>
      <c r="J53" s="846">
        <v>2</v>
      </c>
      <c r="K53" s="846">
        <v>1</v>
      </c>
      <c r="L53" s="816" t="str">
        <f t="shared" si="29"/>
        <v>W</v>
      </c>
      <c r="M53" s="816">
        <f t="shared" si="30"/>
        <v>3</v>
      </c>
      <c r="N53" s="816" t="str">
        <f t="shared" si="31"/>
        <v>O</v>
      </c>
      <c r="O53" s="816">
        <f t="shared" si="20"/>
        <v>0</v>
      </c>
      <c r="P53" s="829">
        <f t="shared" si="22"/>
        <v>1</v>
      </c>
      <c r="Q53" s="830">
        <v>-7.0000000000000007E-2</v>
      </c>
      <c r="R53" s="871">
        <f t="shared" si="23"/>
        <v>1.07</v>
      </c>
      <c r="S53" s="830">
        <v>2.5</v>
      </c>
      <c r="T53" s="871">
        <f t="shared" si="24"/>
        <v>0.5</v>
      </c>
      <c r="U53" s="868">
        <f t="shared" si="25"/>
        <v>1.2150000000000001</v>
      </c>
      <c r="V53" s="868">
        <f t="shared" si="26"/>
        <v>1.2849999999999999</v>
      </c>
      <c r="W53" s="829">
        <v>7</v>
      </c>
      <c r="X53" s="829">
        <v>22</v>
      </c>
      <c r="Y53" s="829">
        <v>3</v>
      </c>
      <c r="Z53" s="829">
        <v>3</v>
      </c>
      <c r="AA53" s="829">
        <v>36</v>
      </c>
      <c r="AB53" s="829">
        <v>64</v>
      </c>
      <c r="AC53" s="829"/>
      <c r="AD53" s="816" t="str">
        <f t="array" ref="AD53">IF($J53="","",IF(SUM(IF(ISNUMBER(VALUE(RIGHT($AG53:$DV53,1))),VALUE(RIGHT($AG53:$DV53,1)),0))=$J53,"T","F"))</f>
        <v>T</v>
      </c>
      <c r="AE53" s="831">
        <f t="array" ref="AE53">IF($J53="","",SUM(IF(LEFT($AG53:$DV53,1)="s",1,0))-SUM(IF(RIGHT(LEFT($AG53:$DV53,2))="-",1,0)))</f>
        <v>0</v>
      </c>
      <c r="AF53" s="816">
        <f t="array" ref="AF53">IF($J53="","",SUM(IF(LEFT($AG53:$DV53,1)="X",1,0)))</f>
        <v>11</v>
      </c>
      <c r="AG53" s="891" t="s">
        <v>3152</v>
      </c>
      <c r="AH53" s="891" t="s">
        <v>1877</v>
      </c>
      <c r="AI53" s="891" t="s">
        <v>32</v>
      </c>
      <c r="AJ53" s="891" t="s">
        <v>32</v>
      </c>
      <c r="AK53" s="891" t="s">
        <v>3161</v>
      </c>
      <c r="AL53" s="891" t="s">
        <v>1877</v>
      </c>
      <c r="AM53" s="891" t="s">
        <v>32</v>
      </c>
      <c r="AN53" s="891" t="s">
        <v>3124</v>
      </c>
      <c r="AO53" s="904" t="s">
        <v>3162</v>
      </c>
      <c r="AP53" s="891" t="s">
        <v>32</v>
      </c>
      <c r="AQ53" s="891" t="s">
        <v>35</v>
      </c>
      <c r="AR53" s="891" t="s">
        <v>34</v>
      </c>
      <c r="AS53" s="891" t="s">
        <v>36</v>
      </c>
      <c r="AT53" s="891" t="s">
        <v>32</v>
      </c>
      <c r="AU53" s="891" t="s">
        <v>1877</v>
      </c>
      <c r="AV53" s="891" t="s">
        <v>34</v>
      </c>
      <c r="AW53" s="891" t="s">
        <v>32</v>
      </c>
      <c r="AX53" s="891" t="s">
        <v>32</v>
      </c>
      <c r="AY53" s="891" t="s">
        <v>32</v>
      </c>
      <c r="AZ53" s="904" t="s">
        <v>36</v>
      </c>
      <c r="BA53" s="891" t="s">
        <v>34</v>
      </c>
      <c r="BB53" s="891" t="s">
        <v>34</v>
      </c>
      <c r="BC53" s="891" t="s">
        <v>34</v>
      </c>
      <c r="BD53" s="891" t="s">
        <v>34</v>
      </c>
      <c r="BE53" s="891" t="s">
        <v>34</v>
      </c>
      <c r="BF53" s="891" t="s">
        <v>1877</v>
      </c>
      <c r="BG53" s="891" t="s">
        <v>1877</v>
      </c>
      <c r="BH53" s="891" t="s">
        <v>3149</v>
      </c>
      <c r="BI53" s="891" t="s">
        <v>3155</v>
      </c>
      <c r="BJ53" s="891" t="s">
        <v>32</v>
      </c>
      <c r="BK53" s="891" t="s">
        <v>32</v>
      </c>
      <c r="BL53" s="891" t="s">
        <v>32</v>
      </c>
      <c r="BM53" s="892"/>
      <c r="BN53" s="896"/>
      <c r="BO53" s="892"/>
      <c r="BP53" s="896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428"/>
      <c r="CE53" s="428"/>
      <c r="CF53" s="428"/>
      <c r="CG53" s="428"/>
    </row>
    <row r="54" spans="1:85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4</v>
      </c>
      <c r="G54" s="879" t="s">
        <v>1084</v>
      </c>
      <c r="H54" s="879" t="s">
        <v>22</v>
      </c>
      <c r="I54" s="879" t="s">
        <v>891</v>
      </c>
      <c r="J54" s="846">
        <v>2</v>
      </c>
      <c r="K54" s="846">
        <v>2</v>
      </c>
      <c r="L54" s="816" t="str">
        <f t="shared" si="29"/>
        <v>D</v>
      </c>
      <c r="M54" s="816">
        <f t="shared" si="30"/>
        <v>4</v>
      </c>
      <c r="N54" s="816" t="str">
        <f t="shared" si="31"/>
        <v>O</v>
      </c>
      <c r="O54" s="816">
        <f t="shared" ref="O54" si="40">IF(Q54="","",IF(SIGN(Q54)&lt;&gt;1,VLOOKUP(ABS(Q54),SUP_HDC,3,TRUE),-VLOOKUP(ABS(Q54),SUP_HDC,3,TRUE)))</f>
        <v>0.5</v>
      </c>
      <c r="P54" s="829">
        <f t="shared" ref="P54" si="41">IF(O54="","",IF((J54-K54+O54)&gt;=0.5,1,IF((J54-K54+O54)=0.25,0.5,IF((J54-K54+O54)&lt;=-0.5,-1,IF((J54-K54+O54)=-0.25,-0.5,0)))))</f>
        <v>1</v>
      </c>
      <c r="Q54" s="830">
        <v>-0.7</v>
      </c>
      <c r="R54" s="871">
        <f t="shared" ref="R54" si="42">IF(ISBLANK(Q54),"",J54-K54-Q54)</f>
        <v>0.7</v>
      </c>
      <c r="S54" s="830">
        <v>2.4300000000000002</v>
      </c>
      <c r="T54" s="871">
        <f t="shared" ref="T54" si="43">IF(ISBLANK(S54),"",J54+K54-S54)</f>
        <v>1.5699999999999998</v>
      </c>
      <c r="U54" s="868">
        <f t="shared" ref="U54" si="44">IF(Q54="","",(Q54+S54)/2)</f>
        <v>0.8650000000000001</v>
      </c>
      <c r="V54" s="868">
        <f t="shared" ref="V54" si="45">IF(Q54="","",S54-U54)</f>
        <v>1.5649999999999999</v>
      </c>
      <c r="W54" s="829">
        <v>12</v>
      </c>
      <c r="X54" s="829">
        <v>15</v>
      </c>
      <c r="Y54" s="829">
        <v>5</v>
      </c>
      <c r="Z54" s="829">
        <v>6</v>
      </c>
      <c r="AA54" s="829">
        <v>55</v>
      </c>
      <c r="AB54" s="829">
        <v>45</v>
      </c>
      <c r="AC54" s="829"/>
      <c r="AD54" s="816" t="str">
        <f t="array" ref="AD54">IF($J54="","",IF(SUM(IF(ISNUMBER(VALUE(RIGHT($AG54:$DV54,1))),VALUE(RIGHT($AG54:$DV54,1)),0))=$J54,"T","F"))</f>
        <v>T</v>
      </c>
      <c r="AE54" s="831">
        <f t="array" ref="AE54">IF($J54="","",SUM(IF(LEFT($AG54:$DV54,1)="s",1,0))-SUM(IF(RIGHT(LEFT($AG54:$DV54,2))="-",1,0)))</f>
        <v>0</v>
      </c>
      <c r="AF54" s="816">
        <f t="array" ref="AF54">IF($J54="","",SUM(IF(LEFT($AG54:$DV54,1)="X",1,0)))</f>
        <v>11</v>
      </c>
      <c r="AG54" s="891" t="s">
        <v>34</v>
      </c>
      <c r="AH54" s="891" t="s">
        <v>1877</v>
      </c>
      <c r="AI54" s="891" t="s">
        <v>32</v>
      </c>
      <c r="AJ54" s="891" t="s">
        <v>32</v>
      </c>
      <c r="AK54" s="891" t="s">
        <v>3124</v>
      </c>
      <c r="AL54" s="891" t="s">
        <v>1877</v>
      </c>
      <c r="AM54" s="891" t="s">
        <v>32</v>
      </c>
      <c r="AN54" s="891" t="s">
        <v>3124</v>
      </c>
      <c r="AO54" s="891" t="s">
        <v>34</v>
      </c>
      <c r="AP54" s="891" t="s">
        <v>32</v>
      </c>
      <c r="AQ54" s="891" t="s">
        <v>34</v>
      </c>
      <c r="AR54" s="891" t="s">
        <v>34</v>
      </c>
      <c r="AS54" s="891" t="s">
        <v>1877</v>
      </c>
      <c r="AT54" s="891" t="s">
        <v>3189</v>
      </c>
      <c r="AU54" s="891" t="s">
        <v>36</v>
      </c>
      <c r="AV54" s="891" t="s">
        <v>3190</v>
      </c>
      <c r="AW54" s="891" t="s">
        <v>32</v>
      </c>
      <c r="AX54" s="891" t="s">
        <v>32</v>
      </c>
      <c r="AY54" s="891" t="s">
        <v>32</v>
      </c>
      <c r="AZ54" s="891" t="s">
        <v>1877</v>
      </c>
      <c r="BA54" s="891" t="s">
        <v>35</v>
      </c>
      <c r="BB54" s="891" t="s">
        <v>34</v>
      </c>
      <c r="BC54" s="891" t="s">
        <v>34</v>
      </c>
      <c r="BD54" s="891" t="s">
        <v>34</v>
      </c>
      <c r="BE54" s="891" t="s">
        <v>3174</v>
      </c>
      <c r="BF54" s="891" t="s">
        <v>32</v>
      </c>
      <c r="BG54" s="891" t="s">
        <v>36</v>
      </c>
      <c r="BH54" s="891" t="s">
        <v>35</v>
      </c>
      <c r="BI54" s="891" t="s">
        <v>1877</v>
      </c>
      <c r="BJ54" s="891"/>
      <c r="BK54" s="891"/>
      <c r="BL54" s="891"/>
      <c r="BM54" s="892"/>
      <c r="BN54" s="896"/>
      <c r="BO54" s="892"/>
      <c r="BP54" s="896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428"/>
      <c r="CE54" s="428"/>
      <c r="CF54" s="428"/>
      <c r="CG54" s="428"/>
    </row>
    <row r="55" spans="1:85" ht="15">
      <c r="A55" s="882">
        <v>6462</v>
      </c>
      <c r="B55" s="884"/>
      <c r="C55" s="884"/>
      <c r="D55" s="884"/>
      <c r="E55" s="884"/>
      <c r="F55" s="884">
        <f ca="1">IF(I55="","",IF(I55=Table!$C$1,VLOOKUP(G55,Table!$B$9:$AE$32,Table!$AE$6-1,FALSE),""))</f>
        <v>21</v>
      </c>
      <c r="G55" s="879" t="s">
        <v>890</v>
      </c>
      <c r="H55" s="879" t="s">
        <v>22</v>
      </c>
      <c r="I55" s="879" t="s">
        <v>891</v>
      </c>
      <c r="J55" s="846">
        <v>0</v>
      </c>
      <c r="K55" s="846">
        <v>0</v>
      </c>
      <c r="L55" s="816" t="str">
        <f t="shared" si="29"/>
        <v>D</v>
      </c>
      <c r="M55" s="816">
        <f t="shared" si="30"/>
        <v>0</v>
      </c>
      <c r="N55" s="816" t="str">
        <f t="shared" si="31"/>
        <v>U</v>
      </c>
      <c r="O55" s="816">
        <f t="shared" ref="O55" si="46">IF(Q55="","",IF(SIGN(Q55)&lt;&gt;1,VLOOKUP(ABS(Q55),SUP_HDC,3,TRUE),-VLOOKUP(ABS(Q55),SUP_HDC,3,TRUE)))</f>
        <v>-0.25</v>
      </c>
      <c r="P55" s="829">
        <f t="shared" ref="P55" si="47">IF(O55="","",IF((J55-K55+O55)&gt;=0.5,1,IF((J55-K55+O55)=0.25,0.5,IF((J55-K55+O55)&lt;=-0.5,-1,IF((J55-K55+O55)=-0.25,-0.5,0)))))</f>
        <v>-0.5</v>
      </c>
      <c r="Q55" s="830">
        <v>0.28000000000000003</v>
      </c>
      <c r="R55" s="871">
        <f t="shared" ref="R55" si="48">IF(ISBLANK(Q55),"",J55-K55-Q55)</f>
        <v>-0.28000000000000003</v>
      </c>
      <c r="S55" s="830">
        <v>2.2000000000000002</v>
      </c>
      <c r="T55" s="871">
        <f t="shared" ref="T55" si="49">IF(ISBLANK(S55),"",J55+K55-S55)</f>
        <v>-2.2000000000000002</v>
      </c>
      <c r="U55" s="868">
        <f t="shared" ref="U55" si="50">IF(Q55="","",(Q55+S55)/2)</f>
        <v>1.2400000000000002</v>
      </c>
      <c r="V55" s="868">
        <f t="shared" ref="V55" si="51">IF(Q55="","",S55-U55)</f>
        <v>0.96</v>
      </c>
      <c r="W55" s="829">
        <v>10</v>
      </c>
      <c r="X55" s="829">
        <v>12</v>
      </c>
      <c r="Y55" s="829">
        <v>4</v>
      </c>
      <c r="Z55" s="829">
        <v>1</v>
      </c>
      <c r="AA55" s="829">
        <v>50</v>
      </c>
      <c r="AB55" s="829">
        <v>50</v>
      </c>
      <c r="AC55" s="829"/>
      <c r="AD55" s="816" t="str">
        <f t="array" ref="AD55">IF($J55="","",IF(SUM(IF(ISNUMBER(VALUE(RIGHT($AG55:$DV55,1))),VALUE(RIGHT($AG55:$DV55,1)),0))=$J55,"T","F"))</f>
        <v>T</v>
      </c>
      <c r="AE55" s="831">
        <f t="array" ref="AE55">IF($J55="","",SUM(IF(LEFT($AG55:$DV55,1)="s",1,0))-SUM(IF(RIGHT(LEFT($AG55:$DV55,2))="-",1,0)))</f>
        <v>0</v>
      </c>
      <c r="AF55" s="816">
        <f t="array" ref="AF55">IF($J55="","",SUM(IF(LEFT($AG55:$DV55,1)="X",1,0)))</f>
        <v>11</v>
      </c>
      <c r="AG55" s="891" t="s">
        <v>34</v>
      </c>
      <c r="AH55" s="891" t="s">
        <v>1877</v>
      </c>
      <c r="AI55" s="891" t="s">
        <v>32</v>
      </c>
      <c r="AJ55" s="891" t="s">
        <v>32</v>
      </c>
      <c r="AK55" s="891" t="s">
        <v>3237</v>
      </c>
      <c r="AL55" s="891" t="s">
        <v>32</v>
      </c>
      <c r="AM55" s="891" t="s">
        <v>1877</v>
      </c>
      <c r="AN55" s="891" t="s">
        <v>3237</v>
      </c>
      <c r="AO55" s="891" t="s">
        <v>34</v>
      </c>
      <c r="AP55" s="891" t="s">
        <v>32</v>
      </c>
      <c r="AQ55" s="891" t="s">
        <v>34</v>
      </c>
      <c r="AR55" s="891" t="s">
        <v>34</v>
      </c>
      <c r="AS55" s="891" t="s">
        <v>1877</v>
      </c>
      <c r="AT55" s="891" t="s">
        <v>32</v>
      </c>
      <c r="AU55" s="891" t="s">
        <v>35</v>
      </c>
      <c r="AV55" s="891" t="s">
        <v>34</v>
      </c>
      <c r="AW55" s="891" t="s">
        <v>32</v>
      </c>
      <c r="AX55" s="891" t="s">
        <v>36</v>
      </c>
      <c r="AY55" s="891" t="s">
        <v>32</v>
      </c>
      <c r="AZ55" s="891" t="s">
        <v>1877</v>
      </c>
      <c r="BA55" s="891" t="s">
        <v>32</v>
      </c>
      <c r="BB55" s="891" t="s">
        <v>34</v>
      </c>
      <c r="BC55" s="891" t="s">
        <v>34</v>
      </c>
      <c r="BD55" s="891" t="s">
        <v>34</v>
      </c>
      <c r="BE55" s="891" t="s">
        <v>34</v>
      </c>
      <c r="BF55" s="891" t="s">
        <v>32</v>
      </c>
      <c r="BG55" s="891" t="s">
        <v>1877</v>
      </c>
      <c r="BH55" s="891" t="s">
        <v>3279</v>
      </c>
      <c r="BI55" s="891" t="s">
        <v>35</v>
      </c>
      <c r="BJ55" s="891" t="s">
        <v>32</v>
      </c>
      <c r="BK55" s="891" t="s">
        <v>32</v>
      </c>
      <c r="BL55" s="891" t="s">
        <v>36</v>
      </c>
      <c r="BM55" s="892"/>
      <c r="BN55" s="896"/>
      <c r="BO55" s="892"/>
      <c r="BP55" s="896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428"/>
      <c r="CE55" s="428"/>
      <c r="CF55" s="428"/>
      <c r="CG55" s="428"/>
    </row>
    <row r="56" spans="1:85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</v>
      </c>
      <c r="G56" s="879" t="s">
        <v>1086</v>
      </c>
      <c r="H56" s="879" t="s">
        <v>18</v>
      </c>
      <c r="I56" s="879" t="s">
        <v>891</v>
      </c>
      <c r="J56" s="846">
        <v>0</v>
      </c>
      <c r="K56" s="846">
        <v>1</v>
      </c>
      <c r="L56" s="816" t="str">
        <f t="shared" si="29"/>
        <v>L</v>
      </c>
      <c r="M56" s="816">
        <f t="shared" si="30"/>
        <v>1</v>
      </c>
      <c r="N56" s="816" t="str">
        <f t="shared" si="31"/>
        <v>U</v>
      </c>
      <c r="O56" s="816">
        <f t="shared" si="20"/>
        <v>0.75</v>
      </c>
      <c r="P56" s="829">
        <f t="shared" si="22"/>
        <v>-0.5</v>
      </c>
      <c r="Q56" s="830">
        <v>-0.85</v>
      </c>
      <c r="R56" s="871">
        <f t="shared" si="23"/>
        <v>-0.15000000000000002</v>
      </c>
      <c r="S56" s="830">
        <v>2.63</v>
      </c>
      <c r="T56" s="871">
        <f t="shared" si="24"/>
        <v>-1.63</v>
      </c>
      <c r="U56" s="868">
        <f t="shared" si="25"/>
        <v>0.8899999999999999</v>
      </c>
      <c r="V56" s="868">
        <f t="shared" si="26"/>
        <v>1.74</v>
      </c>
      <c r="W56" s="829">
        <v>12</v>
      </c>
      <c r="X56" s="829">
        <v>14</v>
      </c>
      <c r="Y56" s="829">
        <v>2</v>
      </c>
      <c r="Z56" s="829">
        <v>1</v>
      </c>
      <c r="AA56" s="829">
        <v>59</v>
      </c>
      <c r="AB56" s="829">
        <v>41</v>
      </c>
      <c r="AC56" s="829"/>
      <c r="AD56" s="816" t="str">
        <f t="array" ref="AD56">IF($J56="","",IF(SUM(IF(ISNUMBER(VALUE(RIGHT($AG56:$DV56,1))),VALUE(RIGHT($AG56:$DV56,1)),0))=$J56,"T","F"))</f>
        <v>T</v>
      </c>
      <c r="AE56" s="831">
        <f t="array" ref="AE56">IF($J56="","",SUM(IF(LEFT($AG56:$DV56,1)="s",1,0))-SUM(IF(RIGHT(LEFT($AG56:$DV56,2))="-",1,0)))</f>
        <v>0</v>
      </c>
      <c r="AF56" s="816">
        <f t="array" ref="AF56">IF($J56="","",SUM(IF(LEFT($AG56:$DV56,1)="X",1,0)))</f>
        <v>11</v>
      </c>
      <c r="AG56" s="891" t="s">
        <v>3270</v>
      </c>
      <c r="AH56" s="891" t="s">
        <v>1877</v>
      </c>
      <c r="AI56" s="891" t="s">
        <v>32</v>
      </c>
      <c r="AJ56" s="891" t="s">
        <v>32</v>
      </c>
      <c r="AK56" s="891" t="s">
        <v>1886</v>
      </c>
      <c r="AL56" s="891" t="s">
        <v>32</v>
      </c>
      <c r="AM56" s="891" t="s">
        <v>36</v>
      </c>
      <c r="AN56" s="891" t="s">
        <v>1886</v>
      </c>
      <c r="AO56" s="891" t="s">
        <v>35</v>
      </c>
      <c r="AP56" s="891" t="s">
        <v>32</v>
      </c>
      <c r="AQ56" s="891" t="s">
        <v>34</v>
      </c>
      <c r="AR56" s="891" t="s">
        <v>34</v>
      </c>
      <c r="AS56" s="891" t="s">
        <v>32</v>
      </c>
      <c r="AT56" s="891" t="s">
        <v>32</v>
      </c>
      <c r="AU56" s="891" t="s">
        <v>36</v>
      </c>
      <c r="AV56" s="891" t="s">
        <v>34</v>
      </c>
      <c r="AW56" s="891" t="s">
        <v>32</v>
      </c>
      <c r="AX56" s="891" t="s">
        <v>1877</v>
      </c>
      <c r="AY56" s="891" t="s">
        <v>32</v>
      </c>
      <c r="AZ56" s="891" t="s">
        <v>35</v>
      </c>
      <c r="BA56" s="907" t="s">
        <v>3271</v>
      </c>
      <c r="BB56" s="891" t="s">
        <v>35</v>
      </c>
      <c r="BC56" s="891" t="s">
        <v>34</v>
      </c>
      <c r="BD56" s="891" t="s">
        <v>34</v>
      </c>
      <c r="BE56" s="891" t="s">
        <v>34</v>
      </c>
      <c r="BF56" s="891" t="s">
        <v>32</v>
      </c>
      <c r="BG56" s="891" t="s">
        <v>1877</v>
      </c>
      <c r="BH56" s="891" t="s">
        <v>3279</v>
      </c>
      <c r="BI56" s="891" t="s">
        <v>34</v>
      </c>
      <c r="BJ56" s="891" t="s">
        <v>32</v>
      </c>
      <c r="BK56" s="891" t="s">
        <v>32</v>
      </c>
      <c r="BL56" s="891" t="s">
        <v>1877</v>
      </c>
      <c r="BM56" s="892"/>
      <c r="BN56" s="896"/>
      <c r="BO56" s="892"/>
      <c r="BP56" s="896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428"/>
      <c r="CE56" s="428"/>
      <c r="CF56" s="428"/>
      <c r="CG56" s="428"/>
    </row>
    <row r="57" spans="1:85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13</v>
      </c>
      <c r="G57" s="879" t="s">
        <v>884</v>
      </c>
      <c r="H57" s="879" t="s">
        <v>18</v>
      </c>
      <c r="I57" s="879" t="s">
        <v>891</v>
      </c>
      <c r="J57" s="846">
        <v>1</v>
      </c>
      <c r="K57" s="846">
        <v>0</v>
      </c>
      <c r="L57" s="816" t="str">
        <f t="shared" si="29"/>
        <v>W</v>
      </c>
      <c r="M57" s="816">
        <f t="shared" si="30"/>
        <v>1</v>
      </c>
      <c r="N57" s="816" t="str">
        <f t="shared" si="31"/>
        <v>U</v>
      </c>
      <c r="O57" s="816">
        <f t="shared" si="20"/>
        <v>0.25</v>
      </c>
      <c r="P57" s="829">
        <f t="shared" si="22"/>
        <v>1</v>
      </c>
      <c r="Q57" s="830">
        <v>-0.32</v>
      </c>
      <c r="R57" s="871">
        <f t="shared" si="23"/>
        <v>1.32</v>
      </c>
      <c r="S57" s="830">
        <v>2.42</v>
      </c>
      <c r="T57" s="871">
        <f t="shared" si="24"/>
        <v>-1.42</v>
      </c>
      <c r="U57" s="868">
        <f t="shared" si="25"/>
        <v>1.05</v>
      </c>
      <c r="V57" s="868">
        <f t="shared" si="26"/>
        <v>1.3699999999999999</v>
      </c>
      <c r="W57" s="829">
        <v>13</v>
      </c>
      <c r="X57" s="829">
        <v>14</v>
      </c>
      <c r="Y57" s="829">
        <v>6</v>
      </c>
      <c r="Z57" s="829">
        <v>5</v>
      </c>
      <c r="AA57" s="829">
        <v>53</v>
      </c>
      <c r="AB57" s="829">
        <v>47</v>
      </c>
      <c r="AC57" s="829"/>
      <c r="AD57" s="816" t="str">
        <f t="array" ref="AD57">IF($J57="","",IF(SUM(IF(ISNUMBER(VALUE(RIGHT($AG57:$DV57,1))),VALUE(RIGHT($AG57:$DV57,1)),0))=$J57,"T","F"))</f>
        <v>T</v>
      </c>
      <c r="AE57" s="831">
        <f t="array" ref="AE57">IF($J57="","",SUM(IF(LEFT($AG57:$DV57,1)="s",1,0))-SUM(IF(RIGHT(LEFT($AG57:$DV57,2))="-",1,0)))</f>
        <v>0</v>
      </c>
      <c r="AF57" s="816">
        <f t="array" ref="AF57">IF($J57="","",SUM(IF(LEFT($AG57:$DV57,1)="X",1,0)))</f>
        <v>11</v>
      </c>
      <c r="AG57" s="891" t="s">
        <v>34</v>
      </c>
      <c r="AH57" s="891" t="s">
        <v>1877</v>
      </c>
      <c r="AI57" s="891" t="s">
        <v>32</v>
      </c>
      <c r="AJ57" s="891" t="s">
        <v>32</v>
      </c>
      <c r="AK57" s="891" t="s">
        <v>1886</v>
      </c>
      <c r="AL57" s="891" t="s">
        <v>3312</v>
      </c>
      <c r="AM57" s="891" t="s">
        <v>1877</v>
      </c>
      <c r="AN57" s="891" t="s">
        <v>1886</v>
      </c>
      <c r="AO57" s="891" t="s">
        <v>36</v>
      </c>
      <c r="AP57" s="891" t="s">
        <v>32</v>
      </c>
      <c r="AQ57" s="891" t="s">
        <v>3311</v>
      </c>
      <c r="AR57" s="891" t="s">
        <v>34</v>
      </c>
      <c r="AS57" s="891" t="s">
        <v>32</v>
      </c>
      <c r="AT57" s="891" t="s">
        <v>32</v>
      </c>
      <c r="AU57" s="904" t="s">
        <v>35</v>
      </c>
      <c r="AV57" s="904" t="s">
        <v>34</v>
      </c>
      <c r="AW57" s="891" t="s">
        <v>1877</v>
      </c>
      <c r="AX57" s="891" t="s">
        <v>32</v>
      </c>
      <c r="AY57" s="891" t="s">
        <v>32</v>
      </c>
      <c r="AZ57" s="891" t="s">
        <v>3309</v>
      </c>
      <c r="BA57" s="891" t="s">
        <v>34</v>
      </c>
      <c r="BB57" s="904" t="s">
        <v>34</v>
      </c>
      <c r="BC57" s="891" t="s">
        <v>35</v>
      </c>
      <c r="BD57" s="891" t="s">
        <v>34</v>
      </c>
      <c r="BE57" s="891" t="s">
        <v>34</v>
      </c>
      <c r="BF57" s="891" t="s">
        <v>32</v>
      </c>
      <c r="BG57" s="891" t="s">
        <v>35</v>
      </c>
      <c r="BH57" s="891" t="s">
        <v>1886</v>
      </c>
      <c r="BI57" s="891" t="s">
        <v>3310</v>
      </c>
      <c r="BJ57" s="891" t="s">
        <v>32</v>
      </c>
      <c r="BK57" s="891" t="s">
        <v>32</v>
      </c>
      <c r="BL57" s="891" t="s">
        <v>1877</v>
      </c>
      <c r="BM57" s="892"/>
      <c r="BN57" s="896"/>
      <c r="BO57" s="892"/>
      <c r="BP57" s="896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428"/>
      <c r="CE57" s="428"/>
      <c r="CF57" s="428"/>
      <c r="CG57" s="428"/>
    </row>
    <row r="58" spans="1:85" ht="15">
      <c r="A58" s="882">
        <v>6483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7</v>
      </c>
      <c r="G58" s="879" t="s">
        <v>888</v>
      </c>
      <c r="H58" s="879" t="s">
        <v>22</v>
      </c>
      <c r="I58" s="879" t="s">
        <v>891</v>
      </c>
      <c r="J58" s="846">
        <v>0</v>
      </c>
      <c r="K58" s="846">
        <v>0</v>
      </c>
      <c r="L58" s="816" t="str">
        <f t="shared" si="29"/>
        <v>D</v>
      </c>
      <c r="M58" s="816">
        <f t="shared" si="30"/>
        <v>0</v>
      </c>
      <c r="N58" s="816" t="str">
        <f t="shared" si="31"/>
        <v>U</v>
      </c>
      <c r="O58" s="816">
        <f t="shared" ref="O58:O65" si="52">IF(Q58="","",IF(SIGN(Q58)&lt;&gt;1,VLOOKUP(ABS(Q58),SUP_HDC,3,TRUE),-VLOOKUP(ABS(Q58),SUP_HDC,3,TRUE)))</f>
        <v>0.5</v>
      </c>
      <c r="P58" s="829">
        <f t="shared" ref="P58:P65" si="53">IF(O58="","",IF((J58-K58+O58)&gt;=0.5,1,IF((J58-K58+O58)=0.25,0.5,IF((J58-K58+O58)&lt;=-0.5,-1,IF((J58-K58+O58)=-0.25,-0.5,0)))))</f>
        <v>1</v>
      </c>
      <c r="Q58" s="830">
        <v>-0.5</v>
      </c>
      <c r="R58" s="871">
        <f t="shared" si="23"/>
        <v>0.5</v>
      </c>
      <c r="S58" s="830">
        <v>2.5499999999999998</v>
      </c>
      <c r="T58" s="871">
        <f t="shared" si="24"/>
        <v>-2.5499999999999998</v>
      </c>
      <c r="U58" s="868">
        <f t="shared" ref="U58:U67" si="54">IF(Q58="","",(Q58+S58)/2)</f>
        <v>1.0249999999999999</v>
      </c>
      <c r="V58" s="868">
        <f t="shared" ref="V58:V67" si="55">IF(Q58="","",S58-U58)</f>
        <v>1.5249999999999999</v>
      </c>
      <c r="W58" s="829">
        <v>9</v>
      </c>
      <c r="X58" s="829">
        <v>25</v>
      </c>
      <c r="Y58" s="829">
        <v>0</v>
      </c>
      <c r="Z58" s="829">
        <v>3</v>
      </c>
      <c r="AA58" s="829">
        <v>42</v>
      </c>
      <c r="AB58" s="829">
        <v>58</v>
      </c>
      <c r="AC58" s="829"/>
      <c r="AD58" s="816" t="str">
        <f t="array" ref="AD58">IF($J58="","",IF(SUM(IF(ISNUMBER(VALUE(RIGHT($AG58:$DV58,1))),VALUE(RIGHT($AG58:$DV58,1)),0))=$J58,"T","F"))</f>
        <v>T</v>
      </c>
      <c r="AE58" s="831">
        <f t="array" ref="AE58">IF($J58="","",SUM(IF(LEFT($AG58:$DV58,1)="s",1,0))-SUM(IF(RIGHT(LEFT($AG58:$DV58,2))="-",1,0)))</f>
        <v>0</v>
      </c>
      <c r="AF58" s="816">
        <f t="array" ref="AF58">IF($J58="","",SUM(IF(LEFT($AG58:$DV58,1)="X",1,0)))</f>
        <v>11</v>
      </c>
      <c r="AG58" s="891" t="s">
        <v>34</v>
      </c>
      <c r="AH58" s="891" t="s">
        <v>1877</v>
      </c>
      <c r="AI58" s="891" t="s">
        <v>32</v>
      </c>
      <c r="AJ58" s="891" t="s">
        <v>32</v>
      </c>
      <c r="AK58" s="891" t="s">
        <v>1886</v>
      </c>
      <c r="AL58" s="891" t="s">
        <v>32</v>
      </c>
      <c r="AM58" s="891" t="s">
        <v>1877</v>
      </c>
      <c r="AN58" s="891" t="s">
        <v>1886</v>
      </c>
      <c r="AO58" s="891" t="s">
        <v>36</v>
      </c>
      <c r="AP58" s="891" t="s">
        <v>32</v>
      </c>
      <c r="AQ58" s="909" t="s">
        <v>34</v>
      </c>
      <c r="AR58" s="891" t="s">
        <v>34</v>
      </c>
      <c r="AS58" s="891" t="s">
        <v>32</v>
      </c>
      <c r="AT58" s="891" t="s">
        <v>32</v>
      </c>
      <c r="AU58" s="891" t="s">
        <v>35</v>
      </c>
      <c r="AV58" s="891" t="s">
        <v>34</v>
      </c>
      <c r="AW58" s="891" t="s">
        <v>1877</v>
      </c>
      <c r="AX58" s="891" t="s">
        <v>32</v>
      </c>
      <c r="AY58" s="891" t="s">
        <v>32</v>
      </c>
      <c r="AZ58" s="891" t="s">
        <v>3358</v>
      </c>
      <c r="BA58" s="891" t="s">
        <v>34</v>
      </c>
      <c r="BB58" s="891" t="s">
        <v>34</v>
      </c>
      <c r="BC58" s="891" t="s">
        <v>35</v>
      </c>
      <c r="BD58" s="891" t="s">
        <v>34</v>
      </c>
      <c r="BE58" s="891" t="s">
        <v>34</v>
      </c>
      <c r="BF58" s="891" t="s">
        <v>36</v>
      </c>
      <c r="BG58" s="891" t="s">
        <v>35</v>
      </c>
      <c r="BH58" s="891" t="s">
        <v>1886</v>
      </c>
      <c r="BI58" s="891" t="s">
        <v>36</v>
      </c>
      <c r="BJ58" s="891" t="s">
        <v>32</v>
      </c>
      <c r="BK58" s="891" t="s">
        <v>1877</v>
      </c>
      <c r="BL58" s="891"/>
      <c r="BM58" s="892"/>
      <c r="BN58" s="896"/>
      <c r="BO58" s="892"/>
      <c r="BP58" s="896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428"/>
      <c r="CE58" s="428"/>
      <c r="CF58" s="428"/>
      <c r="CG58" s="428"/>
    </row>
    <row r="59" spans="1:85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12</v>
      </c>
      <c r="G59" s="879" t="s">
        <v>879</v>
      </c>
      <c r="H59" s="879" t="s">
        <v>22</v>
      </c>
      <c r="I59" s="879" t="s">
        <v>891</v>
      </c>
      <c r="J59" s="846">
        <v>0</v>
      </c>
      <c r="K59" s="846">
        <v>4</v>
      </c>
      <c r="L59" s="816" t="str">
        <f t="shared" si="29"/>
        <v>L</v>
      </c>
      <c r="M59" s="816">
        <f t="shared" si="30"/>
        <v>4</v>
      </c>
      <c r="N59" s="816" t="str">
        <f t="shared" si="31"/>
        <v>O</v>
      </c>
      <c r="O59" s="816">
        <f t="shared" si="52"/>
        <v>0.25</v>
      </c>
      <c r="P59" s="829">
        <f t="shared" si="53"/>
        <v>-1</v>
      </c>
      <c r="Q59" s="830">
        <v>-0.32</v>
      </c>
      <c r="R59" s="871">
        <f t="shared" si="23"/>
        <v>-3.68</v>
      </c>
      <c r="S59" s="830">
        <v>2.44</v>
      </c>
      <c r="T59" s="871">
        <f t="shared" si="24"/>
        <v>1.56</v>
      </c>
      <c r="U59" s="868">
        <f t="shared" si="54"/>
        <v>1.06</v>
      </c>
      <c r="V59" s="868">
        <f t="shared" si="55"/>
        <v>1.38</v>
      </c>
      <c r="W59" s="829">
        <v>9</v>
      </c>
      <c r="X59" s="829">
        <v>18</v>
      </c>
      <c r="Y59" s="829">
        <v>3</v>
      </c>
      <c r="Z59" s="829">
        <v>6</v>
      </c>
      <c r="AA59" s="829">
        <v>63</v>
      </c>
      <c r="AB59" s="829">
        <v>37</v>
      </c>
      <c r="AC59" s="829"/>
      <c r="AD59" s="816" t="str">
        <f t="array" ref="AD59">IF($J59="","",IF(SUM(IF(ISNUMBER(VALUE(RIGHT($AG59:$DV59,1))),VALUE(RIGHT($AG59:$DV59,1)),0))=$J59,"T","F"))</f>
        <v>T</v>
      </c>
      <c r="AE59" s="831">
        <f t="array" ref="AE59">IF($J59="","",SUM(IF(LEFT($AG59:$DV59,1)="s",1,0))-SUM(IF(RIGHT(LEFT($AG59:$DV59,2))="-",1,0)))</f>
        <v>0</v>
      </c>
      <c r="AF59" s="816">
        <f t="array" ref="AF59">IF($J59="","",SUM(IF(LEFT($AG59:$DV59,1)="X",1,0)))</f>
        <v>11</v>
      </c>
      <c r="AG59" s="891" t="s">
        <v>34</v>
      </c>
      <c r="AH59" s="891" t="s">
        <v>1877</v>
      </c>
      <c r="AI59" s="891" t="s">
        <v>32</v>
      </c>
      <c r="AJ59" s="891" t="s">
        <v>35</v>
      </c>
      <c r="AK59" s="891" t="s">
        <v>1886</v>
      </c>
      <c r="AL59" s="891" t="s">
        <v>3392</v>
      </c>
      <c r="AM59" s="891" t="s">
        <v>32</v>
      </c>
      <c r="AN59" s="891" t="s">
        <v>1886</v>
      </c>
      <c r="AO59" s="891" t="s">
        <v>36</v>
      </c>
      <c r="AP59" s="904" t="s">
        <v>35</v>
      </c>
      <c r="AQ59" s="891" t="s">
        <v>3393</v>
      </c>
      <c r="AR59" s="891" t="s">
        <v>34</v>
      </c>
      <c r="AS59" s="891" t="s">
        <v>32</v>
      </c>
      <c r="AT59" s="891" t="s">
        <v>3394</v>
      </c>
      <c r="AU59" s="891" t="s">
        <v>36</v>
      </c>
      <c r="AV59" s="891" t="s">
        <v>34</v>
      </c>
      <c r="AW59" s="891" t="s">
        <v>32</v>
      </c>
      <c r="AX59" s="891" t="s">
        <v>32</v>
      </c>
      <c r="AY59" s="891" t="s">
        <v>32</v>
      </c>
      <c r="AZ59" s="891" t="s">
        <v>1877</v>
      </c>
      <c r="BA59" s="891" t="s">
        <v>34</v>
      </c>
      <c r="BB59" s="891" t="s">
        <v>34</v>
      </c>
      <c r="BC59" s="904" t="s">
        <v>34</v>
      </c>
      <c r="BD59" s="891" t="s">
        <v>34</v>
      </c>
      <c r="BE59" s="891" t="s">
        <v>35</v>
      </c>
      <c r="BF59" s="891" t="s">
        <v>32</v>
      </c>
      <c r="BG59" s="891" t="s">
        <v>1877</v>
      </c>
      <c r="BH59" s="904" t="s">
        <v>36</v>
      </c>
      <c r="BI59" s="891" t="s">
        <v>34</v>
      </c>
      <c r="BJ59" s="891" t="s">
        <v>32</v>
      </c>
      <c r="BK59" s="891" t="s">
        <v>1877</v>
      </c>
      <c r="BL59" s="891"/>
      <c r="BM59" s="892"/>
      <c r="BN59" s="896"/>
      <c r="BO59" s="892"/>
      <c r="BP59" s="896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</row>
    <row r="60" spans="1:85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15</v>
      </c>
      <c r="G60" s="879" t="s">
        <v>881</v>
      </c>
      <c r="H60" s="879" t="s">
        <v>18</v>
      </c>
      <c r="I60" s="879" t="s">
        <v>891</v>
      </c>
      <c r="J60" s="846">
        <v>1</v>
      </c>
      <c r="K60" s="846">
        <v>2</v>
      </c>
      <c r="L60" s="816" t="str">
        <f t="shared" si="29"/>
        <v>L</v>
      </c>
      <c r="M60" s="816">
        <f t="shared" si="30"/>
        <v>3</v>
      </c>
      <c r="N60" s="816" t="str">
        <f t="shared" si="31"/>
        <v>O</v>
      </c>
      <c r="O60" s="816">
        <f t="shared" si="52"/>
        <v>0.25</v>
      </c>
      <c r="P60" s="829">
        <f t="shared" si="53"/>
        <v>-1</v>
      </c>
      <c r="Q60" s="830">
        <v>-0.18</v>
      </c>
      <c r="R60" s="871">
        <f t="shared" si="23"/>
        <v>-0.82000000000000006</v>
      </c>
      <c r="S60" s="830">
        <v>2.5499999999999998</v>
      </c>
      <c r="T60" s="871">
        <f t="shared" si="24"/>
        <v>0.45000000000000018</v>
      </c>
      <c r="U60" s="868">
        <f t="shared" si="54"/>
        <v>1.1849999999999998</v>
      </c>
      <c r="V60" s="868">
        <f t="shared" si="55"/>
        <v>1.365</v>
      </c>
      <c r="W60" s="829">
        <v>6</v>
      </c>
      <c r="X60" s="829">
        <v>12</v>
      </c>
      <c r="Y60" s="829">
        <v>2</v>
      </c>
      <c r="Z60" s="829">
        <v>5</v>
      </c>
      <c r="AA60" s="829">
        <v>54</v>
      </c>
      <c r="AB60" s="829">
        <v>46</v>
      </c>
      <c r="AC60" s="829"/>
      <c r="AD60" s="816" t="str">
        <f t="array" ref="AD60">IF($J60="","",IF(SUM(IF(ISNUMBER(VALUE(RIGHT($AG60:$DV60,1))),VALUE(RIGHT($AG60:$DV60,1)),0))=$J60,"T","F"))</f>
        <v>T</v>
      </c>
      <c r="AE60" s="831">
        <f t="array" ref="AE60">IF($J60="","",SUM(IF(LEFT($AG60:$DV60,1)="s",1,0))-SUM(IF(RIGHT(LEFT($AG60:$DV60,2))="-",1,0)))</f>
        <v>0</v>
      </c>
      <c r="AF60" s="816">
        <f t="array" ref="AF60">IF($J60="","",SUM(IF(LEFT($AG60:$DV60,1)="X",1,0)))</f>
        <v>11</v>
      </c>
      <c r="AG60" s="891" t="s">
        <v>3447</v>
      </c>
      <c r="AH60" s="891" t="s">
        <v>1877</v>
      </c>
      <c r="AI60" s="891" t="s">
        <v>32</v>
      </c>
      <c r="AJ60" s="891" t="s">
        <v>32</v>
      </c>
      <c r="AK60" s="891" t="s">
        <v>1886</v>
      </c>
      <c r="AL60" s="891" t="s">
        <v>3392</v>
      </c>
      <c r="AM60" s="891" t="s">
        <v>32</v>
      </c>
      <c r="AN60" s="891" t="s">
        <v>1886</v>
      </c>
      <c r="AO60" s="891" t="s">
        <v>1877</v>
      </c>
      <c r="AP60" s="891" t="s">
        <v>32</v>
      </c>
      <c r="AQ60" s="891" t="s">
        <v>34</v>
      </c>
      <c r="AR60" s="891" t="s">
        <v>34</v>
      </c>
      <c r="AS60" s="891" t="s">
        <v>32</v>
      </c>
      <c r="AT60" s="891" t="s">
        <v>1877</v>
      </c>
      <c r="AU60" s="891" t="s">
        <v>34</v>
      </c>
      <c r="AV60" s="891" t="s">
        <v>34</v>
      </c>
      <c r="AW60" s="891" t="s">
        <v>36</v>
      </c>
      <c r="AX60" s="891" t="s">
        <v>32</v>
      </c>
      <c r="AY60" s="891" t="s">
        <v>32</v>
      </c>
      <c r="AZ60" s="891" t="s">
        <v>32</v>
      </c>
      <c r="BA60" s="891" t="s">
        <v>35</v>
      </c>
      <c r="BB60" s="891" t="s">
        <v>35</v>
      </c>
      <c r="BC60" s="891" t="s">
        <v>34</v>
      </c>
      <c r="BD60" s="891" t="s">
        <v>34</v>
      </c>
      <c r="BE60" s="891" t="s">
        <v>34</v>
      </c>
      <c r="BF60" s="891" t="s">
        <v>32</v>
      </c>
      <c r="BG60" s="891" t="s">
        <v>36</v>
      </c>
      <c r="BH60" s="891" t="s">
        <v>36</v>
      </c>
      <c r="BI60" s="891" t="s">
        <v>3448</v>
      </c>
      <c r="BJ60" s="891" t="s">
        <v>32</v>
      </c>
      <c r="BK60" s="891" t="s">
        <v>1877</v>
      </c>
      <c r="BL60" s="891"/>
      <c r="BM60" s="892"/>
      <c r="BN60" s="896"/>
      <c r="BO60" s="892"/>
      <c r="BP60" s="896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</row>
    <row r="61" spans="1:85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11</v>
      </c>
      <c r="G61" s="879" t="s">
        <v>874</v>
      </c>
      <c r="H61" s="879" t="s">
        <v>22</v>
      </c>
      <c r="I61" s="879" t="s">
        <v>891</v>
      </c>
      <c r="J61" s="846">
        <v>0</v>
      </c>
      <c r="K61" s="846">
        <v>0</v>
      </c>
      <c r="L61" s="816" t="str">
        <f t="shared" si="29"/>
        <v>D</v>
      </c>
      <c r="M61" s="816">
        <f t="shared" si="30"/>
        <v>0</v>
      </c>
      <c r="N61" s="816" t="str">
        <f t="shared" si="31"/>
        <v>U</v>
      </c>
      <c r="O61" s="816">
        <f t="shared" si="52"/>
        <v>0</v>
      </c>
      <c r="P61" s="829">
        <f t="shared" si="53"/>
        <v>0</v>
      </c>
      <c r="Q61" s="830">
        <v>-0.08</v>
      </c>
      <c r="R61" s="871">
        <f t="shared" si="23"/>
        <v>0.08</v>
      </c>
      <c r="S61" s="830">
        <v>2.35</v>
      </c>
      <c r="T61" s="871">
        <f t="shared" si="24"/>
        <v>-2.35</v>
      </c>
      <c r="U61" s="868">
        <f t="shared" si="54"/>
        <v>1.135</v>
      </c>
      <c r="V61" s="868">
        <f t="shared" si="55"/>
        <v>1.2150000000000001</v>
      </c>
      <c r="W61" s="829">
        <v>9</v>
      </c>
      <c r="X61" s="829">
        <v>7</v>
      </c>
      <c r="Y61" s="829">
        <v>0</v>
      </c>
      <c r="Z61" s="829">
        <v>3</v>
      </c>
      <c r="AA61" s="829">
        <v>52</v>
      </c>
      <c r="AB61" s="829">
        <v>48</v>
      </c>
      <c r="AC61" s="829"/>
      <c r="AD61" s="816" t="str">
        <f t="array" ref="AD61">IF($J61="","",IF(SUM(IF(ISNUMBER(VALUE(RIGHT($AG61:$DV61,1))),VALUE(RIGHT($AG61:$DV61,1)),0))=$J61,"T","F"))</f>
        <v>T</v>
      </c>
      <c r="AE61" s="831">
        <f t="array" ref="AE61">IF($J61="","",SUM(IF(LEFT($AG61:$DV61,1)="s",1,0))-SUM(IF(RIGHT(LEFT($AG61:$DV61,2))="-",1,0)))</f>
        <v>0</v>
      </c>
      <c r="AF61" s="816">
        <f t="array" ref="AF61">IF($J61="","",SUM(IF(LEFT($AG61:$DV61,1)="X",1,0)))</f>
        <v>11</v>
      </c>
      <c r="AG61" s="891" t="s">
        <v>34</v>
      </c>
      <c r="AH61" s="891" t="s">
        <v>1877</v>
      </c>
      <c r="AI61" s="891" t="s">
        <v>32</v>
      </c>
      <c r="AJ61" s="891" t="s">
        <v>32</v>
      </c>
      <c r="AK61" s="891" t="s">
        <v>1886</v>
      </c>
      <c r="AL61" s="891" t="s">
        <v>3392</v>
      </c>
      <c r="AM61" s="891" t="s">
        <v>32</v>
      </c>
      <c r="AN61" s="891" t="s">
        <v>1886</v>
      </c>
      <c r="AO61" s="891" t="s">
        <v>1877</v>
      </c>
      <c r="AP61" s="891" t="s">
        <v>32</v>
      </c>
      <c r="AQ61" s="891" t="s">
        <v>34</v>
      </c>
      <c r="AR61" s="891" t="s">
        <v>34</v>
      </c>
      <c r="AS61" s="891" t="s">
        <v>34</v>
      </c>
      <c r="AT61" s="891" t="s">
        <v>34</v>
      </c>
      <c r="AU61" s="891" t="s">
        <v>1877</v>
      </c>
      <c r="AV61" s="891" t="s">
        <v>34</v>
      </c>
      <c r="AW61" s="891" t="s">
        <v>1877</v>
      </c>
      <c r="AX61" s="891" t="s">
        <v>1877</v>
      </c>
      <c r="AY61" s="891" t="s">
        <v>32</v>
      </c>
      <c r="AZ61" s="891" t="s">
        <v>32</v>
      </c>
      <c r="BA61" s="891" t="s">
        <v>34</v>
      </c>
      <c r="BB61" s="891" t="s">
        <v>32</v>
      </c>
      <c r="BC61" s="891" t="s">
        <v>34</v>
      </c>
      <c r="BD61" s="891" t="s">
        <v>34</v>
      </c>
      <c r="BE61" s="891" t="s">
        <v>32</v>
      </c>
      <c r="BF61" s="891" t="s">
        <v>32</v>
      </c>
      <c r="BG61" s="891" t="s">
        <v>32</v>
      </c>
      <c r="BH61" s="891" t="s">
        <v>34</v>
      </c>
      <c r="BI61" s="891" t="s">
        <v>34</v>
      </c>
      <c r="BJ61" s="891" t="s">
        <v>32</v>
      </c>
      <c r="BK61" s="891" t="s">
        <v>1877</v>
      </c>
      <c r="BL61" s="891" t="s">
        <v>1877</v>
      </c>
      <c r="BM61" s="892"/>
      <c r="BN61" s="896"/>
      <c r="BO61" s="892"/>
      <c r="BP61" s="896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</row>
    <row r="62" spans="1:85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16</v>
      </c>
      <c r="G62" s="879" t="s">
        <v>872</v>
      </c>
      <c r="H62" s="879" t="s">
        <v>18</v>
      </c>
      <c r="I62" s="879" t="s">
        <v>891</v>
      </c>
      <c r="J62" s="846">
        <v>1</v>
      </c>
      <c r="K62" s="846">
        <v>1</v>
      </c>
      <c r="L62" s="816" t="str">
        <f t="shared" si="29"/>
        <v>D</v>
      </c>
      <c r="M62" s="816">
        <f t="shared" si="30"/>
        <v>2</v>
      </c>
      <c r="N62" s="816" t="str">
        <f t="shared" si="31"/>
        <v>U</v>
      </c>
      <c r="O62" s="816">
        <f t="shared" si="52"/>
        <v>0.25</v>
      </c>
      <c r="P62" s="829">
        <f t="shared" si="53"/>
        <v>0.5</v>
      </c>
      <c r="Q62" s="830">
        <v>-0.25</v>
      </c>
      <c r="R62" s="871">
        <f t="shared" si="23"/>
        <v>0.25</v>
      </c>
      <c r="S62" s="830">
        <v>2.5499999999999998</v>
      </c>
      <c r="T62" s="871">
        <f t="shared" si="24"/>
        <v>-0.54999999999999982</v>
      </c>
      <c r="U62" s="868">
        <f t="shared" si="54"/>
        <v>1.1499999999999999</v>
      </c>
      <c r="V62" s="868">
        <f t="shared" si="55"/>
        <v>1.4</v>
      </c>
      <c r="W62" s="829">
        <v>18</v>
      </c>
      <c r="X62" s="829">
        <v>3</v>
      </c>
      <c r="Y62" s="829">
        <v>2</v>
      </c>
      <c r="Z62" s="829">
        <v>1</v>
      </c>
      <c r="AA62" s="829">
        <v>49</v>
      </c>
      <c r="AB62" s="829">
        <v>51</v>
      </c>
      <c r="AC62" s="829"/>
      <c r="AD62" s="816" t="str">
        <f t="array" ref="AD62">IF($J62="","",IF(SUM(IF(ISNUMBER(VALUE(RIGHT($AG62:$DV62,1))),VALUE(RIGHT($AG62:$DV62,1)),0))=$J62,"T","F"))</f>
        <v>T</v>
      </c>
      <c r="AE62" s="831">
        <f t="array" ref="AE62">IF($J62="","",SUM(IF(LEFT($AG62:$DV62,1)="s",1,0))-SUM(IF(RIGHT(LEFT($AG62:$DV62,2))="-",1,0)))</f>
        <v>0</v>
      </c>
      <c r="AF62" s="816">
        <f t="array" ref="AF62">IF($J62="","",SUM(IF(LEFT($AG62:$DV62,1)="X",1,0)))</f>
        <v>11</v>
      </c>
      <c r="AG62" s="891" t="s">
        <v>34</v>
      </c>
      <c r="AH62" s="891" t="s">
        <v>1877</v>
      </c>
      <c r="AI62" s="891" t="s">
        <v>32</v>
      </c>
      <c r="AJ62" s="891" t="s">
        <v>32</v>
      </c>
      <c r="AK62" s="891" t="s">
        <v>32</v>
      </c>
      <c r="AL62" s="891" t="s">
        <v>3501</v>
      </c>
      <c r="AM62" s="891" t="s">
        <v>32</v>
      </c>
      <c r="AN62" s="891" t="s">
        <v>1886</v>
      </c>
      <c r="AO62" s="891" t="s">
        <v>36</v>
      </c>
      <c r="AP62" s="891" t="s">
        <v>32</v>
      </c>
      <c r="AQ62" s="891" t="s">
        <v>35</v>
      </c>
      <c r="AR62" s="891" t="s">
        <v>34</v>
      </c>
      <c r="AS62" s="891" t="s">
        <v>34</v>
      </c>
      <c r="AT62" s="904" t="s">
        <v>34</v>
      </c>
      <c r="AU62" s="891" t="s">
        <v>1877</v>
      </c>
      <c r="AV62" s="891" t="s">
        <v>34</v>
      </c>
      <c r="AW62" s="891" t="s">
        <v>32</v>
      </c>
      <c r="AX62" s="891" t="s">
        <v>1877</v>
      </c>
      <c r="AY62" s="891" t="s">
        <v>32</v>
      </c>
      <c r="AZ62" s="891" t="s">
        <v>32</v>
      </c>
      <c r="BA62" s="891" t="s">
        <v>3502</v>
      </c>
      <c r="BB62" s="891" t="s">
        <v>36</v>
      </c>
      <c r="BC62" s="891" t="s">
        <v>34</v>
      </c>
      <c r="BD62" s="904" t="s">
        <v>34</v>
      </c>
      <c r="BE62" s="891" t="s">
        <v>32</v>
      </c>
      <c r="BF62" s="891" t="s">
        <v>32</v>
      </c>
      <c r="BG62" s="891" t="s">
        <v>32</v>
      </c>
      <c r="BH62" s="904" t="s">
        <v>35</v>
      </c>
      <c r="BI62" s="891" t="s">
        <v>34</v>
      </c>
      <c r="BJ62" s="891" t="s">
        <v>32</v>
      </c>
      <c r="BK62" s="891" t="s">
        <v>1877</v>
      </c>
      <c r="BL62" s="904" t="s">
        <v>36</v>
      </c>
      <c r="BM62" s="893"/>
      <c r="BN62" s="896"/>
      <c r="BO62" s="893"/>
      <c r="BP62" s="896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</row>
    <row r="63" spans="1:85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8</v>
      </c>
      <c r="G63" s="879" t="s">
        <v>880</v>
      </c>
      <c r="H63" s="879" t="s">
        <v>22</v>
      </c>
      <c r="I63" s="879" t="s">
        <v>891</v>
      </c>
      <c r="J63" s="846">
        <v>1</v>
      </c>
      <c r="K63" s="846">
        <v>1</v>
      </c>
      <c r="L63" s="816" t="str">
        <f t="shared" si="29"/>
        <v>D</v>
      </c>
      <c r="M63" s="816">
        <f t="shared" si="30"/>
        <v>2</v>
      </c>
      <c r="N63" s="816" t="str">
        <f t="shared" si="31"/>
        <v>U</v>
      </c>
      <c r="O63" s="816">
        <f t="shared" si="52"/>
        <v>0.75</v>
      </c>
      <c r="P63" s="829">
        <f t="shared" si="53"/>
        <v>1</v>
      </c>
      <c r="Q63" s="830">
        <v>-0.75</v>
      </c>
      <c r="R63" s="871">
        <f t="shared" si="23"/>
        <v>0.75</v>
      </c>
      <c r="S63" s="830">
        <v>2.5499999999999998</v>
      </c>
      <c r="T63" s="871">
        <f t="shared" si="24"/>
        <v>-0.54999999999999982</v>
      </c>
      <c r="U63" s="868">
        <f t="shared" si="54"/>
        <v>0.89999999999999991</v>
      </c>
      <c r="V63" s="868">
        <f t="shared" si="55"/>
        <v>1.65</v>
      </c>
      <c r="W63" s="829">
        <v>17</v>
      </c>
      <c r="X63" s="829">
        <v>12</v>
      </c>
      <c r="Y63" s="829">
        <v>4</v>
      </c>
      <c r="Z63" s="829">
        <v>6</v>
      </c>
      <c r="AA63" s="829">
        <v>45</v>
      </c>
      <c r="AB63" s="829">
        <v>55</v>
      </c>
      <c r="AC63" s="829"/>
      <c r="AD63" s="816" t="str">
        <f t="array" ref="AD63">IF($J63="","",IF(SUM(IF(ISNUMBER(VALUE(RIGHT($AG63:$DV63,1))),VALUE(RIGHT($AG63:$DV63,1)),0))=$J63,"T","F"))</f>
        <v>T</v>
      </c>
      <c r="AE63" s="831">
        <f t="array" ref="AE63">IF($J63="","",SUM(IF(LEFT($AG63:$DV63,1)="s",1,0))-SUM(IF(RIGHT(LEFT($AG63:$DV63,2))="-",1,0)))</f>
        <v>0</v>
      </c>
      <c r="AF63" s="816">
        <f t="array" ref="AF63">IF($J63="","",SUM(IF(LEFT($AG63:$DV63,1)="X",1,0)))</f>
        <v>11</v>
      </c>
      <c r="AG63" s="891" t="s">
        <v>34</v>
      </c>
      <c r="AH63" s="891" t="s">
        <v>1877</v>
      </c>
      <c r="AI63" s="891" t="s">
        <v>32</v>
      </c>
      <c r="AJ63" s="891" t="s">
        <v>32</v>
      </c>
      <c r="AK63" s="891" t="s">
        <v>32</v>
      </c>
      <c r="AL63" s="891" t="s">
        <v>3392</v>
      </c>
      <c r="AM63" s="891" t="s">
        <v>32</v>
      </c>
      <c r="AN63" s="891" t="s">
        <v>1886</v>
      </c>
      <c r="AO63" s="906" t="s">
        <v>3524</v>
      </c>
      <c r="AP63" s="891" t="s">
        <v>32</v>
      </c>
      <c r="AQ63" s="891" t="s">
        <v>35</v>
      </c>
      <c r="AR63" s="891" t="s">
        <v>34</v>
      </c>
      <c r="AS63" s="891" t="s">
        <v>34</v>
      </c>
      <c r="AT63" s="891" t="s">
        <v>1877</v>
      </c>
      <c r="AU63" s="891" t="s">
        <v>1877</v>
      </c>
      <c r="AV63" s="891" t="s">
        <v>34</v>
      </c>
      <c r="AW63" s="891" t="s">
        <v>32</v>
      </c>
      <c r="AX63" s="891" t="s">
        <v>32</v>
      </c>
      <c r="AY63" s="891" t="s">
        <v>32</v>
      </c>
      <c r="AZ63" s="891" t="s">
        <v>34</v>
      </c>
      <c r="BA63" s="891" t="s">
        <v>1877</v>
      </c>
      <c r="BB63" s="891" t="s">
        <v>34</v>
      </c>
      <c r="BC63" s="904" t="s">
        <v>34</v>
      </c>
      <c r="BD63" s="891" t="s">
        <v>34</v>
      </c>
      <c r="BE63" s="891" t="s">
        <v>32</v>
      </c>
      <c r="BF63" s="891" t="s">
        <v>32</v>
      </c>
      <c r="BG63" s="891" t="s">
        <v>32</v>
      </c>
      <c r="BH63" s="891" t="s">
        <v>35</v>
      </c>
      <c r="BI63" s="891" t="s">
        <v>36</v>
      </c>
      <c r="BJ63" s="891" t="s">
        <v>32</v>
      </c>
      <c r="BK63" s="891" t="s">
        <v>3523</v>
      </c>
      <c r="BL63" s="891" t="s">
        <v>1877</v>
      </c>
      <c r="BM63" s="893"/>
      <c r="BN63" s="896"/>
      <c r="BO63" s="893"/>
      <c r="BP63" s="896"/>
      <c r="BQ63" s="896"/>
      <c r="BR63" s="897"/>
      <c r="BS63" s="897"/>
      <c r="BT63" s="897"/>
      <c r="BU63" s="897"/>
      <c r="BV63" s="897"/>
      <c r="BW63" s="896"/>
      <c r="BX63" s="896"/>
      <c r="BY63" s="896"/>
      <c r="BZ63" s="896"/>
      <c r="CA63" s="896"/>
      <c r="CB63" s="896"/>
      <c r="CC63" s="896"/>
    </row>
    <row r="64" spans="1:85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2</v>
      </c>
      <c r="G64" s="879" t="s">
        <v>886</v>
      </c>
      <c r="H64" s="879" t="s">
        <v>18</v>
      </c>
      <c r="I64" s="879" t="s">
        <v>891</v>
      </c>
      <c r="J64" s="846">
        <v>1</v>
      </c>
      <c r="K64" s="846">
        <v>3</v>
      </c>
      <c r="L64" s="816" t="str">
        <f t="shared" si="29"/>
        <v>L</v>
      </c>
      <c r="M64" s="816">
        <f t="shared" si="30"/>
        <v>4</v>
      </c>
      <c r="N64" s="816" t="str">
        <f t="shared" si="31"/>
        <v>O</v>
      </c>
      <c r="O64" s="816">
        <f t="shared" si="52"/>
        <v>0.75</v>
      </c>
      <c r="P64" s="829">
        <f t="shared" si="53"/>
        <v>-1</v>
      </c>
      <c r="Q64" s="830">
        <v>-0.8</v>
      </c>
      <c r="R64" s="871">
        <f t="shared" si="23"/>
        <v>-1.2</v>
      </c>
      <c r="S64" s="830">
        <v>2.35</v>
      </c>
      <c r="T64" s="871">
        <f t="shared" si="24"/>
        <v>1.65</v>
      </c>
      <c r="U64" s="868">
        <f t="shared" si="54"/>
        <v>0.77500000000000002</v>
      </c>
      <c r="V64" s="868">
        <f t="shared" si="55"/>
        <v>1.5750000000000002</v>
      </c>
      <c r="W64" s="829">
        <v>4</v>
      </c>
      <c r="X64" s="829">
        <v>18</v>
      </c>
      <c r="Y64" s="829">
        <v>2</v>
      </c>
      <c r="Z64" s="829">
        <v>6</v>
      </c>
      <c r="AA64" s="829">
        <v>58</v>
      </c>
      <c r="AB64" s="829">
        <v>42</v>
      </c>
      <c r="AC64" s="829"/>
      <c r="AD64" s="816" t="str">
        <f t="array" ref="AD64">IF($J64="","",IF(SUM(IF(ISNUMBER(VALUE(RIGHT($AG64:$DV64,1))),VALUE(RIGHT($AG64:$DV64,1)),0))=$J64,"T","F"))</f>
        <v>T</v>
      </c>
      <c r="AE64" s="831">
        <f t="array" ref="AE64">IF($J64="","",SUM(IF(LEFT($AG64:$DV64,1)="s",1,0))-SUM(IF(RIGHT(LEFT($AG64:$DV64,2))="-",1,0)))</f>
        <v>0</v>
      </c>
      <c r="AF64" s="816">
        <f t="array" ref="AF64">IF($J64="","",SUM(IF(LEFT($AG64:$DV64,1)="X",1,0)))</f>
        <v>11</v>
      </c>
      <c r="AG64" s="891" t="s">
        <v>34</v>
      </c>
      <c r="AH64" s="891" t="s">
        <v>1877</v>
      </c>
      <c r="AI64" s="891" t="s">
        <v>32</v>
      </c>
      <c r="AJ64" s="891" t="s">
        <v>32</v>
      </c>
      <c r="AK64" s="891" t="s">
        <v>32</v>
      </c>
      <c r="AL64" s="906" t="s">
        <v>3558</v>
      </c>
      <c r="AM64" s="891" t="s">
        <v>32</v>
      </c>
      <c r="AN64" s="891" t="s">
        <v>32</v>
      </c>
      <c r="AO64" s="891" t="s">
        <v>35</v>
      </c>
      <c r="AP64" s="891" t="s">
        <v>32</v>
      </c>
      <c r="AQ64" s="891" t="s">
        <v>3556</v>
      </c>
      <c r="AR64" s="904" t="s">
        <v>34</v>
      </c>
      <c r="AS64" s="891" t="s">
        <v>34</v>
      </c>
      <c r="AT64" s="891" t="s">
        <v>32</v>
      </c>
      <c r="AU64" s="891" t="s">
        <v>35</v>
      </c>
      <c r="AV64" s="891" t="s">
        <v>34</v>
      </c>
      <c r="AW64" s="891" t="s">
        <v>32</v>
      </c>
      <c r="AX64" s="891" t="s">
        <v>36</v>
      </c>
      <c r="AY64" s="891" t="s">
        <v>32</v>
      </c>
      <c r="AZ64" s="891" t="s">
        <v>1877</v>
      </c>
      <c r="BA64" s="891" t="s">
        <v>35</v>
      </c>
      <c r="BB64" s="891" t="s">
        <v>34</v>
      </c>
      <c r="BC64" s="891" t="s">
        <v>3555</v>
      </c>
      <c r="BD64" s="891" t="s">
        <v>34</v>
      </c>
      <c r="BE64" s="891" t="s">
        <v>34</v>
      </c>
      <c r="BF64" s="891" t="s">
        <v>32</v>
      </c>
      <c r="BG64" s="891" t="s">
        <v>1877</v>
      </c>
      <c r="BH64" s="891" t="s">
        <v>3557</v>
      </c>
      <c r="BI64" s="891" t="s">
        <v>1877</v>
      </c>
      <c r="BJ64" s="891" t="s">
        <v>32</v>
      </c>
      <c r="BK64" s="891" t="s">
        <v>36</v>
      </c>
      <c r="BL64" s="891"/>
      <c r="BM64" s="893"/>
      <c r="BN64" s="896"/>
      <c r="BO64" s="893"/>
      <c r="BP64" s="896"/>
      <c r="BQ64" s="896"/>
      <c r="BR64" s="897"/>
      <c r="BS64" s="897"/>
      <c r="BT64" s="897"/>
      <c r="BU64" s="897"/>
      <c r="BV64" s="897"/>
      <c r="BW64" s="896"/>
      <c r="BX64" s="896"/>
      <c r="BY64" s="896"/>
      <c r="BZ64" s="896"/>
      <c r="CA64" s="896"/>
      <c r="CB64" s="896"/>
      <c r="CC64" s="896"/>
    </row>
    <row r="65" spans="1:81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3</v>
      </c>
      <c r="G65" s="879" t="s">
        <v>1085</v>
      </c>
      <c r="H65" s="879" t="s">
        <v>22</v>
      </c>
      <c r="I65" s="879" t="s">
        <v>891</v>
      </c>
      <c r="J65" s="846">
        <v>0</v>
      </c>
      <c r="K65" s="846">
        <v>2</v>
      </c>
      <c r="L65" s="816" t="str">
        <f t="shared" si="29"/>
        <v>L</v>
      </c>
      <c r="M65" s="816">
        <f t="shared" si="30"/>
        <v>2</v>
      </c>
      <c r="N65" s="816" t="str">
        <f t="shared" si="31"/>
        <v>U</v>
      </c>
      <c r="O65" s="816">
        <f t="shared" si="52"/>
        <v>0.75</v>
      </c>
      <c r="P65" s="829">
        <f t="shared" si="53"/>
        <v>-1</v>
      </c>
      <c r="Q65" s="830">
        <v>-0.83</v>
      </c>
      <c r="R65" s="871">
        <f t="shared" si="23"/>
        <v>-1.17</v>
      </c>
      <c r="S65" s="830">
        <v>2.98</v>
      </c>
      <c r="T65" s="871">
        <f t="shared" si="24"/>
        <v>-0.98</v>
      </c>
      <c r="U65" s="868">
        <f t="shared" si="54"/>
        <v>1.075</v>
      </c>
      <c r="V65" s="868">
        <f t="shared" si="55"/>
        <v>1.905</v>
      </c>
      <c r="W65" s="829">
        <v>9</v>
      </c>
      <c r="X65" s="829">
        <v>20</v>
      </c>
      <c r="Y65" s="829">
        <v>2</v>
      </c>
      <c r="Z65" s="829">
        <v>9</v>
      </c>
      <c r="AA65" s="829">
        <v>42</v>
      </c>
      <c r="AB65" s="829">
        <v>58</v>
      </c>
      <c r="AC65" s="829"/>
      <c r="AD65" s="816" t="str">
        <f t="array" ref="AD65">IF($J65="","",IF(SUM(IF(ISNUMBER(VALUE(RIGHT($AG65:$CH65,1))),VALUE(RIGHT($AG65:$CH65,1)),0))=$J65,"T","F"))</f>
        <v>T</v>
      </c>
      <c r="AE65" s="831">
        <f t="array" ref="AE65">IF($J65="","",SUM(IF(LEFT($AG65:$DT65,1)="s",1,0))-SUM(IF(RIGHT(LEFT($AG65:$DT65,2))="-",1,0)))</f>
        <v>0</v>
      </c>
      <c r="AF65" s="816">
        <f t="array" ref="AF65">IF($J65="","",SUM(IF(LEFT($AG65:$CZ65,1)="X",1,0)))</f>
        <v>11</v>
      </c>
      <c r="AG65" s="891" t="s">
        <v>34</v>
      </c>
      <c r="AH65" s="891" t="s">
        <v>1877</v>
      </c>
      <c r="AI65" s="891" t="s">
        <v>32</v>
      </c>
      <c r="AJ65" s="891" t="s">
        <v>32</v>
      </c>
      <c r="AK65" s="891" t="s">
        <v>32</v>
      </c>
      <c r="AL65" s="891" t="s">
        <v>34</v>
      </c>
      <c r="AM65" s="891" t="s">
        <v>32</v>
      </c>
      <c r="AN65" s="891" t="s">
        <v>36</v>
      </c>
      <c r="AO65" s="891" t="s">
        <v>32</v>
      </c>
      <c r="AP65" s="891" t="s">
        <v>32</v>
      </c>
      <c r="AQ65" s="891" t="s">
        <v>32</v>
      </c>
      <c r="AR65" s="891" t="s">
        <v>34</v>
      </c>
      <c r="AS65" s="891" t="s">
        <v>34</v>
      </c>
      <c r="AT65" s="891" t="s">
        <v>1877</v>
      </c>
      <c r="AU65" s="904" t="s">
        <v>34</v>
      </c>
      <c r="AV65" s="891" t="s">
        <v>34</v>
      </c>
      <c r="AW65" s="891" t="s">
        <v>32</v>
      </c>
      <c r="AX65" s="891" t="s">
        <v>32</v>
      </c>
      <c r="AY65" s="891" t="s">
        <v>32</v>
      </c>
      <c r="AZ65" s="904" t="s">
        <v>34</v>
      </c>
      <c r="BA65" s="891" t="s">
        <v>32</v>
      </c>
      <c r="BB65" s="891" t="s">
        <v>34</v>
      </c>
      <c r="BC65" s="891" t="s">
        <v>3570</v>
      </c>
      <c r="BD65" s="891" t="s">
        <v>35</v>
      </c>
      <c r="BE65" s="891" t="s">
        <v>32</v>
      </c>
      <c r="BF65" s="891" t="s">
        <v>1877</v>
      </c>
      <c r="BG65" s="891" t="s">
        <v>1877</v>
      </c>
      <c r="BH65" s="891" t="s">
        <v>36</v>
      </c>
      <c r="BI65" s="904" t="s">
        <v>35</v>
      </c>
      <c r="BJ65" s="891" t="s">
        <v>32</v>
      </c>
      <c r="BK65" s="891" t="s">
        <v>35</v>
      </c>
      <c r="BL65" s="891" t="s">
        <v>36</v>
      </c>
      <c r="BM65" s="893"/>
      <c r="BN65" s="896"/>
      <c r="BO65" s="893"/>
      <c r="BP65" s="896"/>
      <c r="BQ65" s="896"/>
      <c r="BR65" s="897"/>
      <c r="BS65" s="897"/>
      <c r="BT65" s="897"/>
      <c r="BU65" s="897"/>
      <c r="BV65" s="897"/>
      <c r="BW65" s="896"/>
      <c r="BX65" s="896"/>
      <c r="BY65" s="896"/>
      <c r="BZ65" s="896"/>
      <c r="CA65" s="896"/>
      <c r="CB65" s="896"/>
      <c r="CC65" s="896"/>
    </row>
    <row r="66" spans="1:81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29"/>
      <c r="U66" s="868" t="str">
        <f t="shared" si="54"/>
        <v/>
      </c>
      <c r="V66" s="868" t="str">
        <f t="shared" si="55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IF($J66="","",IF(SUM(IF(ISNUMBER(VALUE(RIGHT($AG66:$CH66,1))),VALUE(RIGHT($AG66:$CH66,1)),0))=$J66,"T","F"))</f>
        <v/>
      </c>
      <c r="AE66" s="831" t="str">
        <f t="array" ref="AE66">IF($J66="","",SUM(IF(LEFT($AG66:$DT66,1)="s",1,0))-SUM(IF(RIGHT(LEFT($AG66:$DT66,2))="-",1,0)))</f>
        <v/>
      </c>
      <c r="AF66" s="816" t="str">
        <f t="array" ref="AF66">IF($J66="","",SUM(IF(LEFT($AG66:$CZ66,1)="X",1,0)))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3"/>
      <c r="BN66" s="896"/>
      <c r="BO66" s="893"/>
      <c r="BP66" s="896"/>
      <c r="BQ66" s="896"/>
      <c r="BR66" s="897"/>
      <c r="BS66" s="897"/>
      <c r="BT66" s="897"/>
      <c r="BU66" s="897"/>
      <c r="BV66" s="897"/>
      <c r="BW66" s="896"/>
      <c r="BX66" s="896"/>
      <c r="BY66" s="896"/>
      <c r="BZ66" s="896"/>
      <c r="CA66" s="896"/>
      <c r="CB66" s="896"/>
      <c r="CC66" s="896"/>
    </row>
    <row r="67" spans="1:81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29"/>
      <c r="U67" s="868" t="str">
        <f t="shared" si="54"/>
        <v/>
      </c>
      <c r="V67" s="868" t="str">
        <f t="shared" si="55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IF($J67="","",IF(SUM(IF(ISNUMBER(VALUE(RIGHT($AG67:$CH67,1))),VALUE(RIGHT($AG67:$CH67,1)),0))=$J67,"T","F"))</f>
        <v/>
      </c>
      <c r="AE67" s="831" t="str">
        <f t="array" ref="AE67">IF($J67="","",SUM(IF(LEFT($AG67:$DT67,1)="s",1,0))-SUM(IF(RIGHT(LEFT($AG67:$DT67,2))="-",1,0)))</f>
        <v/>
      </c>
      <c r="AF67" s="816" t="str">
        <f t="array" ref="AF67">IF($J67="","",SUM(IF(LEFT($AG67:$CZ67,1)="X",1,0)))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3"/>
      <c r="BN67" s="896"/>
      <c r="BO67" s="893"/>
      <c r="BP67" s="896"/>
      <c r="BQ67" s="896"/>
      <c r="BR67" s="897"/>
      <c r="BS67" s="897"/>
      <c r="BT67" s="897"/>
      <c r="BU67" s="897"/>
      <c r="BV67" s="897"/>
      <c r="BW67" s="896"/>
      <c r="BX67" s="896"/>
      <c r="BY67" s="896"/>
      <c r="BZ67" s="896"/>
      <c r="CA67" s="896"/>
      <c r="CB67" s="896"/>
      <c r="CC67" s="896"/>
    </row>
    <row r="68" spans="1:81" ht="15">
      <c r="A68" s="843"/>
      <c r="E68" s="816"/>
      <c r="G68" s="828"/>
      <c r="H68" s="828"/>
      <c r="I68" s="828"/>
      <c r="J68" s="428"/>
      <c r="K68" s="428"/>
      <c r="T68" s="829"/>
      <c r="U68" s="829"/>
      <c r="V68" s="829"/>
      <c r="W68" s="829"/>
      <c r="X68" s="829"/>
      <c r="Y68" s="829"/>
      <c r="Z68" s="829"/>
      <c r="AA68" s="829"/>
      <c r="AB68" s="829"/>
      <c r="AC68" s="829"/>
      <c r="AE68" s="831"/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3"/>
      <c r="BN68" s="896"/>
      <c r="BO68" s="893"/>
      <c r="BP68" s="896"/>
      <c r="BQ68" s="896"/>
      <c r="BR68" s="897"/>
      <c r="BS68" s="897"/>
      <c r="BT68" s="897"/>
      <c r="BU68" s="897"/>
      <c r="BV68" s="897"/>
      <c r="BW68" s="896"/>
      <c r="BX68" s="896"/>
      <c r="BY68" s="896"/>
      <c r="BZ68" s="896"/>
      <c r="CA68" s="896"/>
      <c r="CB68" s="896"/>
      <c r="CC68" s="896"/>
    </row>
    <row r="69" spans="1:81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3"/>
      <c r="BN69" s="896"/>
      <c r="BO69" s="893"/>
      <c r="BP69" s="896"/>
      <c r="BQ69" s="896"/>
      <c r="BR69" s="897"/>
      <c r="BS69" s="897"/>
      <c r="BT69" s="897"/>
      <c r="BU69" s="897"/>
      <c r="BV69" s="897"/>
      <c r="BW69" s="896"/>
      <c r="BX69" s="896"/>
      <c r="BY69" s="896"/>
      <c r="BZ69" s="896"/>
      <c r="CA69" s="896"/>
      <c r="CB69" s="896"/>
      <c r="CC69" s="896"/>
    </row>
    <row r="70" spans="1:81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6"/>
      <c r="AH70" s="896"/>
      <c r="AI70" s="896"/>
      <c r="AJ70" s="896"/>
      <c r="AK70" s="896"/>
      <c r="AL70" s="896"/>
      <c r="AM70" s="896"/>
      <c r="AN70" s="896"/>
      <c r="AO70" s="896"/>
      <c r="AP70" s="896"/>
      <c r="AQ70" s="896"/>
      <c r="AR70" s="896"/>
      <c r="AT70" s="896"/>
      <c r="AU70" s="896"/>
      <c r="AV70" s="896"/>
      <c r="AW70" s="896"/>
      <c r="AX70" s="896"/>
      <c r="AY70" s="896"/>
      <c r="AZ70" s="896"/>
      <c r="BA70" s="896"/>
      <c r="BB70" s="896"/>
      <c r="BC70" s="896"/>
      <c r="BD70" s="896"/>
      <c r="BE70" s="896"/>
      <c r="BF70" s="896"/>
      <c r="BG70" s="896"/>
      <c r="BH70" s="896"/>
      <c r="BI70" s="896"/>
      <c r="BJ70" s="896"/>
      <c r="BK70" s="896"/>
      <c r="BL70" s="896"/>
      <c r="BM70" s="893"/>
      <c r="BN70" s="896"/>
      <c r="BO70" s="893"/>
      <c r="BP70" s="896"/>
      <c r="BQ70" s="896"/>
      <c r="BR70" s="897"/>
      <c r="BS70" s="897"/>
      <c r="BT70" s="897"/>
      <c r="BU70" s="897"/>
      <c r="BV70" s="897"/>
      <c r="BW70" s="896"/>
      <c r="BX70" s="896"/>
      <c r="BY70" s="896"/>
      <c r="BZ70" s="896"/>
      <c r="CA70" s="896"/>
      <c r="CB70" s="896"/>
      <c r="CC70" s="896"/>
    </row>
    <row r="71" spans="1:81" ht="15">
      <c r="A71" s="843"/>
      <c r="D71" s="816" t="str">
        <f>IF(I71=Table!$C$1,VLOOKUP(G71,Table!$B$38:$AO$61,Table!$AO$35-1,FALSE),"")</f>
        <v/>
      </c>
      <c r="E71" s="816"/>
      <c r="F71" s="816" t="str">
        <f>IF(I71="","",IF(I71=Table!$C$1,VLOOKUP(G71,Table!$B$9:$AE$32,Table!$AE$6-1,FALSE),""))</f>
        <v/>
      </c>
      <c r="G71" s="828"/>
      <c r="H71" s="828"/>
      <c r="I71" s="828"/>
      <c r="J71" s="428"/>
      <c r="K71" s="428"/>
      <c r="L71" s="816" t="str">
        <f t="shared" ref="L71:L128" si="56">IF(J71="","",IF(J71&gt;K71,"W",IF(J71=K71,"D",IF(J71&lt;K71,"L"))))</f>
        <v/>
      </c>
      <c r="M71" s="816" t="str">
        <f t="shared" ref="M71:M128" si="57">IF(J71="","",J71+K71)</f>
        <v/>
      </c>
      <c r="N71" s="816" t="str">
        <f t="shared" ref="N71:N128" si="58">IF($J71="","",IF($M71&gt;N$19,"O",IF($M71&lt;N$19,"U",IF($M71=N$19,"-"))))</f>
        <v/>
      </c>
      <c r="R71" s="816" t="str">
        <f t="shared" ref="R71:R128" si="59">IF(ISBLANK(Q71),"",J71-K71-Q71)</f>
        <v/>
      </c>
      <c r="T71" s="829" t="str">
        <f t="shared" ref="T71:T128" si="60">IF(ISBLANK(S71),"",J71+K71-S71)</f>
        <v/>
      </c>
      <c r="U71" s="829"/>
      <c r="V71" s="829"/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IF($J71="","",IF(SUM(IF(ISNUMBER(VALUE(RIGHT($AG71:$CH71,1))),VALUE(RIGHT($AG71:$CH71,1)),0))=$J71,"T","F"))</f>
        <v/>
      </c>
      <c r="AE71" s="831" t="str">
        <f t="array" ref="AE71">IF($J71="","",SUM(IF(LEFT($AG71:$DT71,1)="s",1,0))-SUM(IF(RIGHT(LEFT($AG71:$DT71,2))="-",1,0)))</f>
        <v/>
      </c>
      <c r="AF71" s="816" t="str">
        <f t="array" ref="AF71">IF($J71="","",SUM(IF(LEFT($AG71:$CZ71,1)="X",1,0)))</f>
        <v/>
      </c>
      <c r="AG71" s="896"/>
      <c r="AH71" s="896"/>
      <c r="AI71" s="896"/>
      <c r="AJ71" s="896"/>
      <c r="AK71" s="896"/>
      <c r="AL71" s="896"/>
      <c r="AM71" s="896"/>
      <c r="AN71" s="896"/>
      <c r="AO71" s="896"/>
      <c r="AP71" s="896"/>
      <c r="AQ71" s="896"/>
      <c r="AR71" s="896"/>
      <c r="AT71" s="896"/>
      <c r="AU71" s="896"/>
      <c r="AV71" s="896"/>
      <c r="AW71" s="896"/>
      <c r="AX71" s="896"/>
      <c r="AY71" s="896"/>
      <c r="AZ71" s="896"/>
      <c r="BA71" s="896"/>
      <c r="BB71" s="896"/>
      <c r="BC71" s="896"/>
      <c r="BD71" s="896"/>
      <c r="BE71" s="896"/>
      <c r="BF71" s="896"/>
      <c r="BG71" s="896"/>
      <c r="BH71" s="896"/>
      <c r="BI71" s="896"/>
      <c r="BJ71" s="896"/>
      <c r="BK71" s="896"/>
      <c r="BL71" s="897"/>
      <c r="BM71" s="893"/>
      <c r="BN71" s="897"/>
      <c r="BO71" s="893"/>
      <c r="BP71" s="897"/>
      <c r="BQ71" s="897"/>
      <c r="BR71" s="897"/>
      <c r="BS71" s="897"/>
      <c r="BT71" s="897"/>
      <c r="BU71" s="897"/>
      <c r="BV71" s="897"/>
      <c r="BW71" s="897"/>
      <c r="BX71" s="897"/>
      <c r="BY71" s="897"/>
      <c r="BZ71" s="897"/>
      <c r="CA71" s="897"/>
      <c r="CB71" s="897"/>
      <c r="CC71" s="897"/>
    </row>
    <row r="72" spans="1:81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si="56"/>
        <v/>
      </c>
      <c r="M72" s="816" t="str">
        <f t="shared" si="57"/>
        <v/>
      </c>
      <c r="N72" s="816" t="str">
        <f t="shared" si="58"/>
        <v/>
      </c>
      <c r="R72" s="816" t="str">
        <f t="shared" si="59"/>
        <v/>
      </c>
      <c r="T72" s="829" t="str">
        <f t="shared" si="60"/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IF($J72="","",IF(SUM(IF(ISNUMBER(VALUE(RIGHT($AG72:$CH72,1))),VALUE(RIGHT($AG72:$CH72,1)),0))=$J72,"T","F"))</f>
        <v/>
      </c>
      <c r="AE72" s="831" t="str">
        <f t="array" ref="AE72">IF($J72="","",SUM(IF(LEFT($AG72:$DT72,1)="s",1,0))-SUM(IF(RIGHT(LEFT($AG72:$DT72,2))="-",1,0)))</f>
        <v/>
      </c>
      <c r="AF72" s="816" t="str">
        <f t="array" ref="AF72">IF($J72="","",SUM(IF(LEFT($AG72:$CZ72,1)="X",1,0)))</f>
        <v/>
      </c>
      <c r="AG72" s="897"/>
      <c r="AH72" s="897"/>
      <c r="AI72" s="897"/>
      <c r="AJ72" s="893"/>
      <c r="AK72" s="897"/>
      <c r="AL72" s="897"/>
      <c r="AM72" s="897"/>
      <c r="AN72" s="893"/>
      <c r="AO72" s="897"/>
      <c r="AP72" s="897"/>
      <c r="AQ72" s="897"/>
      <c r="AR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7"/>
      <c r="BD72" s="897"/>
      <c r="BE72" s="897"/>
      <c r="BF72" s="897"/>
      <c r="BG72" s="893"/>
      <c r="BH72" s="893"/>
      <c r="BI72" s="897"/>
      <c r="BJ72" s="893"/>
      <c r="BK72" s="897"/>
      <c r="BL72" s="897"/>
      <c r="BM72" s="893"/>
      <c r="BN72" s="897"/>
      <c r="BO72" s="893"/>
      <c r="BP72" s="897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</row>
    <row r="73" spans="1:81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56"/>
        <v/>
      </c>
      <c r="M73" s="816" t="str">
        <f t="shared" si="57"/>
        <v/>
      </c>
      <c r="N73" s="816" t="str">
        <f t="shared" si="58"/>
        <v/>
      </c>
      <c r="R73" s="816" t="str">
        <f t="shared" si="59"/>
        <v/>
      </c>
      <c r="T73" s="829" t="str">
        <f t="shared" si="60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IF($J73="","",IF(SUM(IF(ISNUMBER(VALUE(RIGHT($AG73:$CH73,1))),VALUE(RIGHT($AG73:$CH73,1)),0))=$J73,"T","F"))</f>
        <v/>
      </c>
      <c r="AE73" s="831" t="str">
        <f t="array" ref="AE73">IF($J73="","",SUM(IF(LEFT($AG73:$DT73,1)="s",1,0))-SUM(IF(RIGHT(LEFT($AG73:$DT73,2))="-",1,0)))</f>
        <v/>
      </c>
      <c r="AF73" s="816" t="str">
        <f t="array" ref="AF73">IF($J73="","",SUM(IF(LEFT($AG73:$CZ73,1)="X",1,0)))</f>
        <v/>
      </c>
      <c r="AG73" s="897"/>
      <c r="AH73" s="897"/>
      <c r="AI73" s="897"/>
      <c r="AJ73" s="893"/>
      <c r="AK73" s="897"/>
      <c r="AL73" s="897"/>
      <c r="AM73" s="897"/>
      <c r="AN73" s="893"/>
      <c r="AO73" s="897"/>
      <c r="AP73" s="897"/>
      <c r="AQ73" s="897"/>
      <c r="AR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7"/>
      <c r="BE73" s="897"/>
      <c r="BF73" s="897"/>
      <c r="BG73" s="893"/>
      <c r="BH73" s="893"/>
      <c r="BI73" s="897"/>
      <c r="BJ73" s="893"/>
      <c r="BK73" s="897"/>
      <c r="BL73" s="897"/>
      <c r="BM73" s="893"/>
      <c r="BN73" s="897"/>
      <c r="BO73" s="893"/>
      <c r="BP73" s="897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</row>
    <row r="74" spans="1:81" ht="15">
      <c r="A74" s="844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230"/>
      <c r="H74" s="230"/>
      <c r="I74" s="230"/>
      <c r="J74" s="428"/>
      <c r="K74" s="428"/>
      <c r="L74" s="816" t="str">
        <f t="shared" si="56"/>
        <v/>
      </c>
      <c r="M74" s="816" t="str">
        <f t="shared" si="57"/>
        <v/>
      </c>
      <c r="N74" s="816" t="str">
        <f t="shared" si="58"/>
        <v/>
      </c>
      <c r="R74" s="816" t="str">
        <f t="shared" si="59"/>
        <v/>
      </c>
      <c r="T74" s="829" t="str">
        <f t="shared" si="60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IF($J74="","",IF(SUM(IF(ISNUMBER(VALUE(RIGHT($AG74:$CH74,1))),VALUE(RIGHT($AG74:$CH74,1)),0))=$J74,"T","F"))</f>
        <v/>
      </c>
      <c r="AE74" s="831" t="str">
        <f t="array" ref="AE74">IF($J74="","",SUM(IF(LEFT($AG74:$DT74,1)="s",1,0))-SUM(IF(RIGHT(LEFT($AG74:$DT74,2))="-",1,0)))</f>
        <v/>
      </c>
      <c r="AF74" s="816" t="str">
        <f t="array" ref="AF74">IF($J74="","",SUM(IF(LEFT($AG74:$CZ74,1)="X",1,0)))</f>
        <v/>
      </c>
      <c r="AG74" s="897"/>
      <c r="AH74" s="897"/>
      <c r="AI74" s="897"/>
      <c r="AJ74" s="893"/>
      <c r="AK74" s="897"/>
      <c r="AL74" s="897"/>
      <c r="AM74" s="897"/>
      <c r="AN74" s="893"/>
      <c r="AO74" s="897"/>
      <c r="AP74" s="897"/>
      <c r="AQ74" s="897"/>
      <c r="AR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7"/>
      <c r="BE74" s="897"/>
      <c r="BF74" s="897"/>
      <c r="BG74" s="893"/>
      <c r="BH74" s="893"/>
      <c r="BI74" s="897"/>
      <c r="BJ74" s="893"/>
      <c r="BK74" s="897"/>
      <c r="BL74" s="897"/>
      <c r="BM74" s="893"/>
      <c r="BN74" s="897"/>
      <c r="BO74" s="893"/>
      <c r="BP74" s="897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</row>
    <row r="75" spans="1:81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56"/>
        <v/>
      </c>
      <c r="M75" s="816" t="str">
        <f t="shared" si="57"/>
        <v/>
      </c>
      <c r="N75" s="816" t="str">
        <f t="shared" si="58"/>
        <v/>
      </c>
      <c r="R75" s="816" t="str">
        <f t="shared" si="59"/>
        <v/>
      </c>
      <c r="T75" s="829" t="str">
        <f t="shared" si="60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IF($J75="","",IF(SUM(IF(ISNUMBER(VALUE(RIGHT($AG75:$CH75,1))),VALUE(RIGHT($AG75:$CH75,1)),0))=$J75,"T","F"))</f>
        <v/>
      </c>
      <c r="AE75" s="831" t="str">
        <f t="array" ref="AE75">IF($J75="","",SUM(IF(LEFT($AG75:$DT75,1)="s",1,0))-SUM(IF(RIGHT(LEFT($AG75:$DT75,2))="-",1,0)))</f>
        <v/>
      </c>
      <c r="AF75" s="816" t="str">
        <f t="array" ref="AF75">IF($J75="","",SUM(IF(LEFT($AG75:$CZ75,1)="X",1,0)))</f>
        <v/>
      </c>
      <c r="AG75" s="897"/>
      <c r="AH75" s="897"/>
      <c r="AI75" s="897"/>
      <c r="AJ75" s="893"/>
      <c r="AK75" s="897"/>
      <c r="AL75" s="897"/>
      <c r="AM75" s="897"/>
      <c r="AN75" s="893"/>
      <c r="AO75" s="897"/>
      <c r="AP75" s="897"/>
      <c r="AQ75" s="897"/>
      <c r="AR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7"/>
      <c r="BF75" s="897"/>
      <c r="BG75" s="893"/>
      <c r="BH75" s="893"/>
      <c r="BI75" s="897"/>
      <c r="BJ75" s="893"/>
      <c r="BK75" s="897"/>
      <c r="BL75" s="897"/>
      <c r="BM75" s="893"/>
      <c r="BN75" s="897"/>
      <c r="BO75" s="893"/>
      <c r="BP75" s="897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</row>
    <row r="76" spans="1:81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230"/>
      <c r="K76" s="230"/>
      <c r="L76" s="816" t="str">
        <f t="shared" si="56"/>
        <v/>
      </c>
      <c r="M76" s="816" t="str">
        <f t="shared" si="57"/>
        <v/>
      </c>
      <c r="N76" s="816" t="str">
        <f t="shared" si="58"/>
        <v/>
      </c>
      <c r="R76" s="816" t="str">
        <f t="shared" si="59"/>
        <v/>
      </c>
      <c r="T76" s="829" t="str">
        <f t="shared" si="60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IF($J76="","",IF(SUM(IF(ISNUMBER(VALUE(RIGHT($AG76:$CH76,1))),VALUE(RIGHT($AG76:$CH76,1)),0))=$J76,"T","F"))</f>
        <v/>
      </c>
      <c r="AE76" s="831" t="str">
        <f t="array" ref="AE76">IF($J76="","",SUM(IF(LEFT($AG76:$DT76,1)="s",1,0))-SUM(IF(RIGHT(LEFT($AG76:$DT76,2))="-",1,0)))</f>
        <v/>
      </c>
      <c r="AF76" s="816" t="str">
        <f t="array" ref="AF76">IF($J76="","",SUM(IF(LEFT($AG76:$CZ76,1)="X",1,0)))</f>
        <v/>
      </c>
      <c r="AG76" s="897"/>
      <c r="AH76" s="897"/>
      <c r="AI76" s="897"/>
      <c r="AJ76" s="893"/>
      <c r="AK76" s="897"/>
      <c r="AL76" s="897"/>
      <c r="AM76" s="897"/>
      <c r="AN76" s="893"/>
      <c r="AO76" s="897"/>
      <c r="AP76" s="897"/>
      <c r="AQ76" s="897"/>
      <c r="AR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7"/>
      <c r="BG76" s="893"/>
      <c r="BH76" s="893"/>
      <c r="BI76" s="897"/>
      <c r="BJ76" s="893"/>
      <c r="BK76" s="897"/>
      <c r="BL76" s="897"/>
      <c r="BM76" s="893"/>
      <c r="BN76" s="897"/>
      <c r="BO76" s="893"/>
      <c r="BP76" s="897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</row>
    <row r="77" spans="1:81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6"/>
        <v/>
      </c>
      <c r="M77" s="816" t="str">
        <f t="shared" si="57"/>
        <v/>
      </c>
      <c r="N77" s="816" t="str">
        <f t="shared" si="58"/>
        <v/>
      </c>
      <c r="R77" s="816" t="str">
        <f t="shared" si="59"/>
        <v/>
      </c>
      <c r="T77" s="829" t="str">
        <f t="shared" si="60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IF($J77="","",IF(SUM(IF(ISNUMBER(VALUE(RIGHT($AG77:$CH77,1))),VALUE(RIGHT($AG77:$CH77,1)),0))=$J77,"T","F"))</f>
        <v/>
      </c>
      <c r="AE77" s="831" t="str">
        <f t="array" ref="AE77">IF($J77="","",SUM(IF(LEFT($AG77:$DT77,1)="s",1,0))-SUM(IF(RIGHT(LEFT($AG77:$DT77,2))="-",1,0)))</f>
        <v/>
      </c>
      <c r="AF77" s="816" t="str">
        <f t="array" ref="AF77">IF($J77="","",SUM(IF(LEFT($AG77:$CZ77,1)="X",1,0)))</f>
        <v/>
      </c>
      <c r="AG77" s="897"/>
      <c r="AH77" s="897"/>
      <c r="AI77" s="897"/>
      <c r="AJ77" s="893"/>
      <c r="AK77" s="897"/>
      <c r="AL77" s="897"/>
      <c r="AM77" s="897"/>
      <c r="AN77" s="893"/>
      <c r="AO77" s="897"/>
      <c r="AP77" s="897"/>
      <c r="AQ77" s="897"/>
      <c r="AR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7"/>
      <c r="BF77" s="897"/>
      <c r="BG77" s="893"/>
      <c r="BH77" s="893"/>
      <c r="BI77" s="897"/>
      <c r="BJ77" s="893"/>
      <c r="BK77" s="897"/>
      <c r="BL77" s="897"/>
      <c r="BM77" s="893"/>
      <c r="BN77" s="897"/>
      <c r="BO77" s="893"/>
      <c r="BP77" s="897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</row>
    <row r="78" spans="1:81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6"/>
        <v/>
      </c>
      <c r="M78" s="816" t="str">
        <f t="shared" si="57"/>
        <v/>
      </c>
      <c r="N78" s="816" t="str">
        <f t="shared" si="58"/>
        <v/>
      </c>
      <c r="R78" s="816" t="str">
        <f t="shared" si="59"/>
        <v/>
      </c>
      <c r="T78" s="829" t="str">
        <f t="shared" si="60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IF($J78="","",IF(SUM(IF(ISNUMBER(VALUE(RIGHT($AG78:$CH78,1))),VALUE(RIGHT($AG78:$CH78,1)),0))=$J78,"T","F"))</f>
        <v/>
      </c>
      <c r="AE78" s="831" t="str">
        <f t="array" ref="AE78">IF($J78="","",SUM(IF(LEFT($AG78:$DT78,1)="s",1,0))-SUM(IF(RIGHT(LEFT($AG78:$DT78,2))="-",1,0)))</f>
        <v/>
      </c>
      <c r="AF78" s="816" t="str">
        <f t="array" ref="AF78">IF($J78="","",SUM(IF(LEFT($AG78:$CZ78,1)="X",1,0)))</f>
        <v/>
      </c>
      <c r="AG78" s="897"/>
      <c r="AH78" s="897"/>
      <c r="AI78" s="897"/>
      <c r="AJ78" s="893"/>
      <c r="AK78" s="897"/>
      <c r="AL78" s="897"/>
      <c r="AM78" s="897"/>
      <c r="AN78" s="893"/>
      <c r="AO78" s="897"/>
      <c r="AP78" s="897"/>
      <c r="AQ78" s="897"/>
      <c r="AR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7"/>
      <c r="BF78" s="897"/>
      <c r="BG78" s="893"/>
      <c r="BH78" s="893"/>
      <c r="BI78" s="897"/>
      <c r="BJ78" s="893"/>
      <c r="BK78" s="897"/>
      <c r="BL78" s="897"/>
      <c r="BM78" s="893"/>
      <c r="BN78" s="897"/>
      <c r="BO78" s="893"/>
      <c r="BP78" s="897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</row>
    <row r="79" spans="1:81" ht="15">
      <c r="A79" s="844"/>
      <c r="D79" s="816" t="str">
        <f>IF(I79=Table!$C$1,VLOOKUP(G79,Table!$B$38:$AO$61,Table!$AO$35-1,FALSE),"")</f>
        <v/>
      </c>
      <c r="E79" s="816" t="s">
        <v>32</v>
      </c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6"/>
        <v/>
      </c>
      <c r="M79" s="816" t="str">
        <f t="shared" si="57"/>
        <v/>
      </c>
      <c r="N79" s="816" t="str">
        <f t="shared" si="58"/>
        <v/>
      </c>
      <c r="R79" s="816" t="str">
        <f t="shared" si="59"/>
        <v/>
      </c>
      <c r="T79" s="829" t="str">
        <f t="shared" si="60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IF($J79="","",IF(SUM(IF(ISNUMBER(VALUE(RIGHT($AG79:$CH79,1))),VALUE(RIGHT($AG79:$CH79,1)),0))=$J79,"T","F"))</f>
        <v/>
      </c>
      <c r="AE79" s="831" t="str">
        <f t="array" ref="AE79">IF($J79="","",SUM(IF(LEFT($AG79:$DT79,1)="s",1,0))-SUM(IF(RIGHT(LEFT($AG79:$DT79,2))="-",1,0)))</f>
        <v/>
      </c>
      <c r="AF79" s="816" t="str">
        <f t="array" ref="AF79">IF($J79="","",SUM(IF(LEFT($AG79:$CZ79,1)="X",1,0)))</f>
        <v/>
      </c>
      <c r="AG79" s="897"/>
      <c r="AH79" s="897"/>
      <c r="AI79" s="897"/>
      <c r="AJ79" s="893"/>
      <c r="AK79" s="897"/>
      <c r="AL79" s="897"/>
      <c r="AM79" s="897"/>
      <c r="AN79" s="893"/>
      <c r="AO79" s="897"/>
      <c r="AP79" s="897"/>
      <c r="AQ79" s="897"/>
      <c r="AR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7"/>
      <c r="BG79" s="893"/>
      <c r="BH79" s="893"/>
      <c r="BI79" s="897"/>
      <c r="BJ79" s="893"/>
      <c r="BK79" s="897"/>
      <c r="BL79" s="897"/>
      <c r="BM79" s="893"/>
      <c r="BN79" s="897"/>
      <c r="BO79" s="893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</row>
    <row r="80" spans="1:81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6"/>
        <v/>
      </c>
      <c r="M80" s="816" t="str">
        <f t="shared" si="57"/>
        <v/>
      </c>
      <c r="N80" s="816" t="str">
        <f t="shared" si="58"/>
        <v/>
      </c>
      <c r="R80" s="816" t="str">
        <f t="shared" si="59"/>
        <v/>
      </c>
      <c r="T80" s="829" t="str">
        <f t="shared" si="60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IF($J80="","",IF(SUM(IF(ISNUMBER(VALUE(RIGHT($AG80:$CH80,1))),VALUE(RIGHT($AG80:$CH80,1)),0))=$J80,"T","F"))</f>
        <v/>
      </c>
      <c r="AE80" s="831" t="str">
        <f t="array" ref="AE80">IF($J80="","",SUM(IF(LEFT($AG80:$DT80,1)="s",1,0))-SUM(IF(RIGHT(LEFT($AG80:$DT80,2))="-",1,0)))</f>
        <v/>
      </c>
      <c r="AF80" s="816" t="str">
        <f t="array" ref="AF80">IF($J80="","",SUM(IF(LEFT($AG80:$CZ80,1)="X",1,0)))</f>
        <v/>
      </c>
      <c r="AG80" s="897"/>
      <c r="AH80" s="897"/>
      <c r="AI80" s="897"/>
      <c r="AJ80" s="893"/>
      <c r="AK80" s="897"/>
      <c r="AL80" s="897"/>
      <c r="AM80" s="897"/>
      <c r="AN80" s="893"/>
      <c r="AO80" s="897"/>
      <c r="AP80" s="897"/>
      <c r="AQ80" s="897"/>
      <c r="AR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7"/>
      <c r="BG80" s="893"/>
      <c r="BH80" s="893"/>
      <c r="BI80" s="897"/>
      <c r="BJ80" s="893"/>
      <c r="BK80" s="897"/>
      <c r="BL80" s="897"/>
      <c r="BM80" s="893"/>
      <c r="BN80" s="897"/>
      <c r="BO80" s="893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</row>
    <row r="81" spans="1:81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6"/>
        <v/>
      </c>
      <c r="M81" s="816" t="str">
        <f t="shared" si="57"/>
        <v/>
      </c>
      <c r="N81" s="816" t="str">
        <f t="shared" si="58"/>
        <v/>
      </c>
      <c r="R81" s="816" t="str">
        <f t="shared" si="59"/>
        <v/>
      </c>
      <c r="T81" s="829" t="str">
        <f t="shared" si="60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IF($J81="","",IF(SUM(IF(ISNUMBER(VALUE(RIGHT($AG81:$CH81,1))),VALUE(RIGHT($AG81:$CH81,1)),0))=$J81,"T","F"))</f>
        <v/>
      </c>
      <c r="AE81" s="831" t="str">
        <f t="array" ref="AE81">IF($J81="","",SUM(IF(LEFT($AG81:$DT81,1)="s",1,0))-SUM(IF(RIGHT(LEFT($AG81:$DT81,2))="-",1,0)))</f>
        <v/>
      </c>
      <c r="AF81" s="816" t="str">
        <f t="array" ref="AF81">IF($J81="","",SUM(IF(LEFT($AG81:$CZ81,1)="X",1,0)))</f>
        <v/>
      </c>
      <c r="AG81" s="897"/>
      <c r="AH81" s="897"/>
      <c r="AI81" s="897"/>
      <c r="AJ81" s="893"/>
      <c r="AK81" s="897"/>
      <c r="AL81" s="897"/>
      <c r="AM81" s="897"/>
      <c r="AN81" s="893"/>
      <c r="AO81" s="897"/>
      <c r="AP81" s="897"/>
      <c r="AQ81" s="897"/>
      <c r="AR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7"/>
      <c r="BG81" s="893"/>
      <c r="BH81" s="893"/>
      <c r="BI81" s="897"/>
      <c r="BJ81" s="893"/>
      <c r="BK81" s="897"/>
      <c r="BL81" s="897"/>
      <c r="BM81" s="893"/>
      <c r="BN81" s="897"/>
      <c r="BO81" s="893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</row>
    <row r="82" spans="1:81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6"/>
        <v/>
      </c>
      <c r="M82" s="816" t="str">
        <f t="shared" si="57"/>
        <v/>
      </c>
      <c r="N82" s="816" t="str">
        <f t="shared" si="58"/>
        <v/>
      </c>
      <c r="R82" s="816" t="str">
        <f t="shared" si="59"/>
        <v/>
      </c>
      <c r="T82" s="829" t="str">
        <f t="shared" si="60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IF($J82="","",IF(SUM(IF(ISNUMBER(VALUE(RIGHT($AG82:$CH82,1))),VALUE(RIGHT($AG82:$CH82,1)),0))=$J82,"T","F"))</f>
        <v/>
      </c>
      <c r="AE82" s="831" t="str">
        <f t="array" ref="AE82">IF($J82="","",SUM(IF(LEFT($AG82:$DT82,1)="s",1,0))-SUM(IF(RIGHT(LEFT($AG82:$DT82,2))="-",1,0)))</f>
        <v/>
      </c>
      <c r="AF82" s="816" t="str">
        <f t="array" ref="AF82">IF($J82="","",SUM(IF(LEFT($AG82:$CZ82,1)="X",1,0)))</f>
        <v/>
      </c>
      <c r="AG82" s="897"/>
      <c r="AH82" s="897"/>
      <c r="AI82" s="897"/>
      <c r="AJ82" s="893"/>
      <c r="AK82" s="897"/>
      <c r="AL82" s="897"/>
      <c r="AM82" s="897"/>
      <c r="AN82" s="893"/>
      <c r="AO82" s="897"/>
      <c r="AP82" s="897"/>
      <c r="AQ82" s="897"/>
      <c r="AR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7"/>
      <c r="BF82" s="897"/>
      <c r="BG82" s="893"/>
      <c r="BH82" s="893"/>
      <c r="BI82" s="897"/>
      <c r="BJ82" s="893"/>
      <c r="BK82" s="897"/>
      <c r="BL82" s="897"/>
      <c r="BM82" s="893"/>
      <c r="BN82" s="897"/>
      <c r="BO82" s="893"/>
      <c r="BP82" s="897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</row>
    <row r="83" spans="1:81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6"/>
        <v/>
      </c>
      <c r="M83" s="816" t="str">
        <f t="shared" si="57"/>
        <v/>
      </c>
      <c r="N83" s="816" t="str">
        <f t="shared" si="58"/>
        <v/>
      </c>
      <c r="R83" s="816" t="str">
        <f t="shared" si="59"/>
        <v/>
      </c>
      <c r="T83" s="829" t="str">
        <f t="shared" si="60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IF($J83="","",IF(SUM(IF(ISNUMBER(VALUE(RIGHT($AG83:$CH83,1))),VALUE(RIGHT($AG83:$CH83,1)),0))=$J83,"T","F"))</f>
        <v/>
      </c>
      <c r="AE83" s="831" t="str">
        <f t="array" ref="AE83">IF($J83="","",SUM(IF(LEFT($AG83:$DT83,1)="s",1,0))-SUM(IF(RIGHT(LEFT($AG83:$DT83,2))="-",1,0)))</f>
        <v/>
      </c>
      <c r="AF83" s="816" t="str">
        <f t="array" ref="AF83">IF($J83="","",SUM(IF(LEFT($AG83:$CZ83,1)="X",1,0)))</f>
        <v/>
      </c>
      <c r="AG83" s="897"/>
      <c r="AH83" s="897"/>
      <c r="AI83" s="897"/>
      <c r="AJ83" s="893"/>
      <c r="AK83" s="897"/>
      <c r="AL83" s="897"/>
      <c r="AM83" s="897"/>
      <c r="AN83" s="893"/>
      <c r="AO83" s="897"/>
      <c r="AP83" s="897"/>
      <c r="AQ83" s="897"/>
      <c r="AR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7"/>
      <c r="BG83" s="893"/>
      <c r="BH83" s="893"/>
      <c r="BI83" s="897"/>
      <c r="BJ83" s="893"/>
      <c r="BK83" s="897"/>
      <c r="BL83" s="897"/>
      <c r="BM83" s="893"/>
      <c r="BN83" s="897"/>
      <c r="BO83" s="893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</row>
    <row r="84" spans="1:81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787"/>
      <c r="H84" s="833"/>
      <c r="I84" s="833"/>
      <c r="J84" s="833"/>
      <c r="K84" s="833"/>
      <c r="L84" s="816" t="str">
        <f t="shared" si="56"/>
        <v/>
      </c>
      <c r="M84" s="816" t="str">
        <f t="shared" si="57"/>
        <v/>
      </c>
      <c r="N84" s="816" t="str">
        <f t="shared" si="58"/>
        <v/>
      </c>
      <c r="R84" s="816" t="str">
        <f t="shared" si="59"/>
        <v/>
      </c>
      <c r="T84" s="829" t="str">
        <f t="shared" si="60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IF($J84="","",IF(SUM(IF(ISNUMBER(VALUE(RIGHT($AG84:$CH84,1))),VALUE(RIGHT($AG84:$CH84,1)),0))=$J84,"T","F"))</f>
        <v/>
      </c>
      <c r="AE84" s="831" t="str">
        <f t="array" ref="AE84">IF($J84="","",SUM(IF(LEFT($AG84:$DT84,1)="s",1,0))-SUM(IF(RIGHT(LEFT($AG84:$DT84,2))="-",1,0)))</f>
        <v/>
      </c>
      <c r="AF84" s="816" t="str">
        <f t="array" ref="AF84">IF($J84="","",SUM(IF(LEFT($AG84:$CZ84,1)="X",1,0)))</f>
        <v/>
      </c>
      <c r="AG84" s="897"/>
      <c r="AH84" s="897"/>
      <c r="AI84" s="897"/>
      <c r="AJ84" s="893"/>
      <c r="AK84" s="897"/>
      <c r="AL84" s="897"/>
      <c r="AM84" s="897"/>
      <c r="AN84" s="893"/>
      <c r="AO84" s="897"/>
      <c r="AP84" s="897"/>
      <c r="AQ84" s="897"/>
      <c r="AR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7"/>
      <c r="BF84" s="897"/>
      <c r="BG84" s="893"/>
      <c r="BH84" s="893"/>
      <c r="BI84" s="897"/>
      <c r="BJ84" s="893"/>
      <c r="BK84" s="897"/>
      <c r="BL84" s="897"/>
      <c r="BM84" s="893"/>
      <c r="BN84" s="897"/>
      <c r="BO84" s="893"/>
      <c r="BP84" s="897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</row>
    <row r="85" spans="1:81" ht="15">
      <c r="A85" s="845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833"/>
      <c r="H85" s="833"/>
      <c r="I85" s="833"/>
      <c r="J85" s="833"/>
      <c r="K85" s="833"/>
      <c r="L85" s="816" t="str">
        <f t="shared" si="56"/>
        <v/>
      </c>
      <c r="M85" s="816" t="str">
        <f t="shared" si="57"/>
        <v/>
      </c>
      <c r="N85" s="816" t="str">
        <f t="shared" si="58"/>
        <v/>
      </c>
      <c r="R85" s="816" t="str">
        <f t="shared" si="59"/>
        <v/>
      </c>
      <c r="T85" s="829" t="str">
        <f t="shared" si="60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IF($J85="","",IF(SUM(IF(ISNUMBER(VALUE(RIGHT($AG85:$CH85,1))),VALUE(RIGHT($AG85:$CH85,1)),0))=$J85,"T","F"))</f>
        <v/>
      </c>
      <c r="AE85" s="831" t="str">
        <f t="array" ref="AE85">IF($J85="","",SUM(IF(LEFT($AG85:$DT85,1)="s",1,0))-SUM(IF(RIGHT(LEFT($AG85:$DT85,2))="-",1,0)))</f>
        <v/>
      </c>
      <c r="AF85" s="816" t="str">
        <f t="array" ref="AF85">IF($J85="","",SUM(IF(LEFT($AG85:$CZ85,1)="X",1,0)))</f>
        <v/>
      </c>
      <c r="AG85" s="897"/>
      <c r="AH85" s="897"/>
      <c r="AI85" s="897"/>
      <c r="AJ85" s="893"/>
      <c r="AK85" s="897"/>
      <c r="AL85" s="897"/>
      <c r="AM85" s="897"/>
      <c r="AN85" s="893"/>
      <c r="AO85" s="897"/>
      <c r="AP85" s="897"/>
      <c r="AQ85" s="897"/>
      <c r="AR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7"/>
      <c r="BF85" s="897"/>
      <c r="BG85" s="893"/>
      <c r="BH85" s="893"/>
      <c r="BI85" s="897"/>
      <c r="BJ85" s="893"/>
      <c r="BK85" s="897"/>
      <c r="BL85" s="897"/>
      <c r="BM85" s="893"/>
      <c r="BN85" s="897"/>
      <c r="BO85" s="893"/>
      <c r="BP85" s="897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</row>
    <row r="86" spans="1:81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6"/>
        <v/>
      </c>
      <c r="M86" s="816" t="str">
        <f t="shared" si="57"/>
        <v/>
      </c>
      <c r="N86" s="816" t="str">
        <f t="shared" si="58"/>
        <v/>
      </c>
      <c r="R86" s="816" t="str">
        <f t="shared" si="59"/>
        <v/>
      </c>
      <c r="T86" s="829" t="str">
        <f t="shared" si="60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IF($J86="","",IF(SUM(IF(ISNUMBER(VALUE(RIGHT($AG86:$CH86,1))),VALUE(RIGHT($AG86:$CH86,1)),0))=$J86,"T","F"))</f>
        <v/>
      </c>
      <c r="AE86" s="831" t="str">
        <f t="array" ref="AE86">IF($J86="","",SUM(IF(LEFT($AG86:$DT86,1)="s",1,0))-SUM(IF(RIGHT(LEFT($AG86:$DT86,2))="-",1,0)))</f>
        <v/>
      </c>
      <c r="AF86" s="816" t="str">
        <f t="array" ref="AF86">IF($J86="","",SUM(IF(LEFT($AG86:$CZ86,1)="X",1,0)))</f>
        <v/>
      </c>
      <c r="AG86" s="897"/>
      <c r="AH86" s="897"/>
      <c r="AI86" s="897"/>
      <c r="AJ86" s="893"/>
      <c r="AK86" s="897"/>
      <c r="AL86" s="897"/>
      <c r="AM86" s="897"/>
      <c r="AN86" s="893"/>
      <c r="AO86" s="897"/>
      <c r="AP86" s="897"/>
      <c r="AQ86" s="897"/>
      <c r="AR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7"/>
      <c r="BF86" s="897"/>
      <c r="BG86" s="893"/>
      <c r="BH86" s="893"/>
      <c r="BI86" s="897"/>
      <c r="BJ86" s="893"/>
      <c r="BK86" s="897"/>
      <c r="BL86" s="897"/>
      <c r="BM86" s="893"/>
      <c r="BN86" s="897"/>
      <c r="BO86" s="893"/>
      <c r="BP86" s="897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</row>
    <row r="87" spans="1:81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6"/>
        <v/>
      </c>
      <c r="M87" s="816" t="str">
        <f t="shared" si="57"/>
        <v/>
      </c>
      <c r="N87" s="816" t="str">
        <f t="shared" si="58"/>
        <v/>
      </c>
      <c r="R87" s="816" t="str">
        <f t="shared" si="59"/>
        <v/>
      </c>
      <c r="T87" s="829" t="str">
        <f t="shared" si="60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IF($J87="","",IF(SUM(IF(ISNUMBER(VALUE(RIGHT($AG87:$CH87,1))),VALUE(RIGHT($AG87:$CH87,1)),0))=$J87,"T","F"))</f>
        <v/>
      </c>
      <c r="AE87" s="831" t="str">
        <f t="array" ref="AE87">IF($J87="","",SUM(IF(LEFT($AG87:$DT87,1)="s",1,0))-SUM(IF(RIGHT(LEFT($AG87:$DT87,2))="-",1,0)))</f>
        <v/>
      </c>
      <c r="AF87" s="816" t="str">
        <f t="array" ref="AF87">IF($J87="","",SUM(IF(LEFT($AG87:$CZ87,1)="X",1,0)))</f>
        <v/>
      </c>
      <c r="AG87" s="897"/>
      <c r="AH87" s="897"/>
      <c r="AI87" s="897"/>
      <c r="AJ87" s="893"/>
      <c r="AK87" s="897"/>
      <c r="AL87" s="897"/>
      <c r="AM87" s="897"/>
      <c r="AN87" s="893"/>
      <c r="AO87" s="897"/>
      <c r="AP87" s="897"/>
      <c r="AQ87" s="897"/>
      <c r="AR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7"/>
      <c r="BF87" s="897"/>
      <c r="BG87" s="893"/>
      <c r="BH87" s="893"/>
      <c r="BI87" s="897"/>
      <c r="BJ87" s="893"/>
      <c r="BK87" s="897"/>
      <c r="BL87" s="897"/>
      <c r="BM87" s="893"/>
      <c r="BN87" s="897"/>
      <c r="BO87" s="893"/>
      <c r="BP87" s="897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</row>
    <row r="88" spans="1:81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6"/>
        <v/>
      </c>
      <c r="M88" s="816" t="str">
        <f t="shared" si="57"/>
        <v/>
      </c>
      <c r="N88" s="816" t="str">
        <f t="shared" si="58"/>
        <v/>
      </c>
      <c r="R88" s="816" t="str">
        <f t="shared" si="59"/>
        <v/>
      </c>
      <c r="T88" s="829" t="str">
        <f t="shared" si="60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IF($J88="","",IF(SUM(IF(ISNUMBER(VALUE(RIGHT($AG88:$CH88,1))),VALUE(RIGHT($AG88:$CH88,1)),0))=$J88,"T","F"))</f>
        <v/>
      </c>
      <c r="AE88" s="831" t="str">
        <f t="array" ref="AE88">IF($J88="","",SUM(IF(LEFT($AG88:$DT88,1)="s",1,0))-SUM(IF(RIGHT(LEFT($AG88:$DT88,2))="-",1,0)))</f>
        <v/>
      </c>
      <c r="AF88" s="816" t="str">
        <f t="array" ref="AF88">IF($J88="","",SUM(IF(LEFT($AG88:$CZ88,1)="X",1,0)))</f>
        <v/>
      </c>
      <c r="AG88" s="897"/>
      <c r="AH88" s="897"/>
      <c r="AI88" s="897"/>
      <c r="AJ88" s="893"/>
      <c r="AK88" s="897"/>
      <c r="AL88" s="897"/>
      <c r="AM88" s="897"/>
      <c r="AN88" s="893"/>
      <c r="AO88" s="897"/>
      <c r="AP88" s="897"/>
      <c r="AQ88" s="897"/>
      <c r="AR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7"/>
      <c r="BF88" s="897"/>
      <c r="BG88" s="893"/>
      <c r="BH88" s="893"/>
      <c r="BI88" s="897"/>
      <c r="BJ88" s="893"/>
      <c r="BK88" s="897"/>
      <c r="BL88" s="897"/>
      <c r="BM88" s="893"/>
      <c r="BN88" s="897"/>
      <c r="BO88" s="893"/>
      <c r="BP88" s="897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</row>
    <row r="89" spans="1:81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6"/>
        <v/>
      </c>
      <c r="M89" s="816" t="str">
        <f t="shared" si="57"/>
        <v/>
      </c>
      <c r="N89" s="816" t="str">
        <f t="shared" si="58"/>
        <v/>
      </c>
      <c r="R89" s="816" t="str">
        <f t="shared" si="59"/>
        <v/>
      </c>
      <c r="T89" s="829" t="str">
        <f t="shared" si="60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IF($J89="","",IF(SUM(IF(ISNUMBER(VALUE(RIGHT($AG89:$CH89,1))),VALUE(RIGHT($AG89:$CH89,1)),0))=$J89,"T","F"))</f>
        <v/>
      </c>
      <c r="AE89" s="831" t="str">
        <f t="array" ref="AE89">IF($J89="","",SUM(IF(LEFT($AG89:$DT89,1)="s",1,0))-SUM(IF(RIGHT(LEFT($AG89:$DT89,2))="-",1,0)))</f>
        <v/>
      </c>
      <c r="AF89" s="816" t="str">
        <f t="array" ref="AF89">IF($J89="","",SUM(IF(LEFT($AG89:$CZ89,1)="X",1,0)))</f>
        <v/>
      </c>
      <c r="AG89" s="897"/>
      <c r="AH89" s="897"/>
      <c r="AI89" s="897"/>
      <c r="AJ89" s="893"/>
      <c r="AK89" s="897"/>
      <c r="AL89" s="897"/>
      <c r="AM89" s="897"/>
      <c r="AN89" s="893"/>
      <c r="AO89" s="897"/>
      <c r="AP89" s="897"/>
      <c r="AQ89" s="897"/>
      <c r="AR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7"/>
      <c r="BF89" s="897"/>
      <c r="BG89" s="893"/>
      <c r="BH89" s="893"/>
      <c r="BI89" s="897"/>
      <c r="BJ89" s="893"/>
      <c r="BK89" s="897"/>
      <c r="BL89" s="897"/>
      <c r="BM89" s="893"/>
      <c r="BN89" s="897"/>
      <c r="BO89" s="893"/>
      <c r="BP89" s="897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</row>
    <row r="90" spans="1:81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6"/>
        <v/>
      </c>
      <c r="M90" s="816" t="str">
        <f t="shared" si="57"/>
        <v/>
      </c>
      <c r="N90" s="816" t="str">
        <f t="shared" si="58"/>
        <v/>
      </c>
      <c r="R90" s="816" t="str">
        <f t="shared" si="59"/>
        <v/>
      </c>
      <c r="T90" s="829" t="str">
        <f t="shared" si="60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IF($J90="","",IF(SUM(IF(ISNUMBER(VALUE(RIGHT($AG90:$CH90,1))),VALUE(RIGHT($AG90:$CH90,1)),0))=$J90,"T","F"))</f>
        <v/>
      </c>
      <c r="AE90" s="831" t="str">
        <f t="array" ref="AE90">IF($J90="","",SUM(IF(LEFT($AG90:$DT90,1)="s",1,0))-SUM(IF(RIGHT(LEFT($AG90:$DT90,2))="-",1,0)))</f>
        <v/>
      </c>
      <c r="AF90" s="816" t="str">
        <f t="array" ref="AF90">IF($J90="","",SUM(IF(LEFT($AG90:$CZ90,1)="X",1,0)))</f>
        <v/>
      </c>
      <c r="AG90" s="897"/>
      <c r="AH90" s="897"/>
      <c r="AI90" s="897"/>
      <c r="AJ90" s="893"/>
      <c r="AK90" s="897"/>
      <c r="AL90" s="897"/>
      <c r="AM90" s="897"/>
      <c r="AN90" s="893"/>
      <c r="AO90" s="897"/>
      <c r="AP90" s="897"/>
      <c r="AQ90" s="897"/>
      <c r="AR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7"/>
      <c r="BF90" s="897"/>
      <c r="BG90" s="893"/>
      <c r="BH90" s="893"/>
      <c r="BI90" s="897"/>
      <c r="BJ90" s="893"/>
      <c r="BK90" s="897"/>
      <c r="BL90" s="897"/>
      <c r="BM90" s="893"/>
      <c r="BN90" s="897"/>
      <c r="BO90" s="893"/>
      <c r="BP90" s="897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</row>
    <row r="91" spans="1:81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6"/>
        <v/>
      </c>
      <c r="M91" s="816" t="str">
        <f t="shared" si="57"/>
        <v/>
      </c>
      <c r="N91" s="816" t="str">
        <f t="shared" si="58"/>
        <v/>
      </c>
      <c r="R91" s="816" t="str">
        <f t="shared" si="59"/>
        <v/>
      </c>
      <c r="T91" s="829" t="str">
        <f t="shared" si="60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IF($J91="","",IF(SUM(IF(ISNUMBER(VALUE(RIGHT($AG91:$CH91,1))),VALUE(RIGHT($AG91:$CH91,1)),0))=$J91,"T","F"))</f>
        <v/>
      </c>
      <c r="AE91" s="831" t="str">
        <f t="array" ref="AE91">IF($J91="","",SUM(IF(LEFT($AG91:$DT91,1)="s",1,0))-SUM(IF(RIGHT(LEFT($AG91:$DT91,2))="-",1,0)))</f>
        <v/>
      </c>
      <c r="AF91" s="816" t="str">
        <f t="array" ref="AF91">IF($J91="","",SUM(IF(LEFT($AG91:$CZ91,1)="X",1,0)))</f>
        <v/>
      </c>
      <c r="AG91" s="897"/>
      <c r="AH91" s="897"/>
      <c r="AI91" s="897"/>
      <c r="AJ91" s="893"/>
      <c r="AK91" s="897"/>
      <c r="AL91" s="897"/>
      <c r="AM91" s="897"/>
      <c r="AN91" s="893"/>
      <c r="AO91" s="897"/>
      <c r="AP91" s="897"/>
      <c r="AQ91" s="897"/>
      <c r="AR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7"/>
      <c r="BF91" s="897"/>
      <c r="BG91" s="893"/>
      <c r="BH91" s="893"/>
      <c r="BI91" s="897"/>
      <c r="BJ91" s="893"/>
      <c r="BK91" s="897"/>
      <c r="BL91" s="897"/>
      <c r="BM91" s="893"/>
      <c r="BN91" s="897"/>
      <c r="BO91" s="893"/>
      <c r="BP91" s="897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</row>
    <row r="92" spans="1:81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6"/>
        <v/>
      </c>
      <c r="M92" s="816" t="str">
        <f t="shared" si="57"/>
        <v/>
      </c>
      <c r="N92" s="816" t="str">
        <f t="shared" si="58"/>
        <v/>
      </c>
      <c r="R92" s="816" t="str">
        <f t="shared" si="59"/>
        <v/>
      </c>
      <c r="T92" s="829" t="str">
        <f t="shared" si="60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IF($J92="","",IF(SUM(IF(ISNUMBER(VALUE(RIGHT($AG92:$CH92,1))),VALUE(RIGHT($AG92:$CH92,1)),0))=$J92,"T","F"))</f>
        <v/>
      </c>
      <c r="AE92" s="831" t="str">
        <f t="array" ref="AE92">IF($J92="","",SUM(IF(LEFT($AG92:$DT92,1)="s",1,0))-SUM(IF(RIGHT(LEFT($AG92:$DT92,2))="-",1,0)))</f>
        <v/>
      </c>
      <c r="AF92" s="816" t="str">
        <f t="array" ref="AF92">IF($J92="","",SUM(IF(LEFT($AG92:$CZ92,1)="X",1,0)))</f>
        <v/>
      </c>
      <c r="AG92" s="897"/>
      <c r="AH92" s="897"/>
      <c r="AI92" s="897"/>
      <c r="AJ92" s="893"/>
      <c r="AK92" s="897"/>
      <c r="AL92" s="897"/>
      <c r="AM92" s="897"/>
      <c r="AN92" s="893"/>
      <c r="AO92" s="897"/>
      <c r="AP92" s="897"/>
      <c r="AQ92" s="897"/>
      <c r="AR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7"/>
      <c r="BF92" s="897"/>
      <c r="BG92" s="893"/>
      <c r="BH92" s="893"/>
      <c r="BI92" s="897"/>
      <c r="BJ92" s="893"/>
      <c r="BK92" s="897"/>
      <c r="BL92" s="897"/>
      <c r="BM92" s="893"/>
      <c r="BN92" s="897"/>
      <c r="BO92" s="893"/>
      <c r="BP92" s="897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</row>
    <row r="93" spans="1:81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6"/>
        <v/>
      </c>
      <c r="M93" s="816" t="str">
        <f t="shared" si="57"/>
        <v/>
      </c>
      <c r="N93" s="816" t="str">
        <f t="shared" si="58"/>
        <v/>
      </c>
      <c r="R93" s="816" t="str">
        <f t="shared" si="59"/>
        <v/>
      </c>
      <c r="T93" s="829" t="str">
        <f t="shared" si="60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IF($J93="","",IF(SUM(IF(ISNUMBER(VALUE(RIGHT($AG93:$CH93,1))),VALUE(RIGHT($AG93:$CH93,1)),0))=$J93,"T","F"))</f>
        <v/>
      </c>
      <c r="AE93" s="831" t="str">
        <f t="array" ref="AE93">IF($J93="","",SUM(IF(LEFT($AG93:$DT93,1)="s",1,0))-SUM(IF(RIGHT(LEFT($AG93:$DT93,2))="-",1,0)))</f>
        <v/>
      </c>
      <c r="AF93" s="816" t="str">
        <f t="array" ref="AF93">IF($J93="","",SUM(IF(LEFT($AG93:$CZ93,1)="X",1,0)))</f>
        <v/>
      </c>
      <c r="AG93" s="897"/>
      <c r="AH93" s="897"/>
      <c r="AI93" s="897"/>
      <c r="AJ93" s="893"/>
      <c r="AK93" s="897"/>
      <c r="AL93" s="897"/>
      <c r="AM93" s="897"/>
      <c r="AN93" s="893"/>
      <c r="AO93" s="897"/>
      <c r="AP93" s="897"/>
      <c r="AQ93" s="897"/>
      <c r="AR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7"/>
      <c r="BF93" s="897"/>
      <c r="BG93" s="893"/>
      <c r="BH93" s="893"/>
      <c r="BI93" s="897"/>
      <c r="BJ93" s="893"/>
      <c r="BK93" s="897"/>
      <c r="BL93" s="897"/>
      <c r="BM93" s="893"/>
      <c r="BN93" s="897"/>
      <c r="BO93" s="893"/>
      <c r="BP93" s="897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</row>
    <row r="94" spans="1:81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6"/>
        <v/>
      </c>
      <c r="M94" s="816" t="str">
        <f t="shared" si="57"/>
        <v/>
      </c>
      <c r="N94" s="816" t="str">
        <f t="shared" si="58"/>
        <v/>
      </c>
      <c r="R94" s="816" t="str">
        <f t="shared" si="59"/>
        <v/>
      </c>
      <c r="T94" s="829" t="str">
        <f t="shared" si="60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IF($J94="","",IF(SUM(IF(ISNUMBER(VALUE(RIGHT($AG94:$CH94,1))),VALUE(RIGHT($AG94:$CH94,1)),0))=$J94,"T","F"))</f>
        <v/>
      </c>
      <c r="AE94" s="831" t="str">
        <f t="array" ref="AE94">IF($J94="","",SUM(IF(LEFT($AG94:$DT94,1)="s",1,0))-SUM(IF(RIGHT(LEFT($AG94:$DT94,2))="-",1,0)))</f>
        <v/>
      </c>
      <c r="AF94" s="816" t="str">
        <f t="array" ref="AF94">IF($J94="","",SUM(IF(LEFT($AG94:$CZ94,1)="X",1,0)))</f>
        <v/>
      </c>
      <c r="AG94" s="897"/>
      <c r="AH94" s="897"/>
      <c r="AI94" s="897"/>
      <c r="AJ94" s="893"/>
      <c r="AK94" s="897"/>
      <c r="AL94" s="897"/>
      <c r="AM94" s="897"/>
      <c r="AN94" s="893"/>
      <c r="AO94" s="897"/>
      <c r="AP94" s="897"/>
      <c r="AQ94" s="897"/>
      <c r="AR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7"/>
      <c r="BF94" s="897"/>
      <c r="BG94" s="893"/>
      <c r="BH94" s="893"/>
      <c r="BI94" s="897"/>
      <c r="BJ94" s="893"/>
      <c r="BK94" s="897"/>
      <c r="BL94" s="897"/>
      <c r="BM94" s="893"/>
      <c r="BN94" s="897"/>
      <c r="BO94" s="893"/>
      <c r="BP94" s="897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</row>
    <row r="95" spans="1:81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6"/>
        <v/>
      </c>
      <c r="M95" s="816" t="str">
        <f t="shared" si="57"/>
        <v/>
      </c>
      <c r="N95" s="816" t="str">
        <f t="shared" si="58"/>
        <v/>
      </c>
      <c r="R95" s="816" t="str">
        <f t="shared" si="59"/>
        <v/>
      </c>
      <c r="T95" s="829" t="str">
        <f t="shared" si="60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IF($J95="","",IF(SUM(IF(ISNUMBER(VALUE(RIGHT($AG95:$CH95,1))),VALUE(RIGHT($AG95:$CH95,1)),0))=$J95,"T","F"))</f>
        <v/>
      </c>
      <c r="AE95" s="831" t="str">
        <f t="array" ref="AE95">IF($J95="","",SUM(IF(LEFT($AG95:$DT95,1)="s",1,0))-SUM(IF(RIGHT(LEFT($AG95:$DT95,2))="-",1,0)))</f>
        <v/>
      </c>
      <c r="AF95" s="816" t="str">
        <f t="array" ref="AF95">IF($J95="","",SUM(IF(LEFT($AG95:$CZ95,1)="X",1,0)))</f>
        <v/>
      </c>
      <c r="AG95" s="897"/>
      <c r="AH95" s="897"/>
      <c r="AI95" s="897"/>
      <c r="AJ95" s="893"/>
      <c r="AK95" s="897"/>
      <c r="AL95" s="897"/>
      <c r="AM95" s="897"/>
      <c r="AN95" s="893"/>
      <c r="AO95" s="897"/>
      <c r="AP95" s="897"/>
      <c r="AQ95" s="897"/>
      <c r="AR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7"/>
      <c r="BF95" s="897"/>
      <c r="BG95" s="893"/>
      <c r="BH95" s="893"/>
      <c r="BI95" s="897"/>
      <c r="BJ95" s="893"/>
      <c r="BK95" s="897"/>
      <c r="BL95" s="897"/>
      <c r="BM95" s="893"/>
      <c r="BN95" s="897"/>
      <c r="BO95" s="893"/>
      <c r="BP95" s="897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</row>
    <row r="96" spans="1:81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6"/>
        <v/>
      </c>
      <c r="M96" s="816" t="str">
        <f t="shared" si="57"/>
        <v/>
      </c>
      <c r="N96" s="816" t="str">
        <f t="shared" si="58"/>
        <v/>
      </c>
      <c r="R96" s="816" t="str">
        <f t="shared" si="59"/>
        <v/>
      </c>
      <c r="T96" s="829" t="str">
        <f t="shared" si="60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IF($J96="","",IF(SUM(IF(ISNUMBER(VALUE(RIGHT($AG96:$CH96,1))),VALUE(RIGHT($AG96:$CH96,1)),0))=$J96,"T","F"))</f>
        <v/>
      </c>
      <c r="AE96" s="831" t="str">
        <f t="array" ref="AE96">IF($J96="","",SUM(IF(LEFT($AG96:$DT96,1)="s",1,0))-SUM(IF(RIGHT(LEFT($AG96:$DT96,2))="-",1,0)))</f>
        <v/>
      </c>
      <c r="AF96" s="816" t="str">
        <f t="array" ref="AF96">IF($J96="","",SUM(IF(LEFT($AG96:$CZ96,1)="X",1,0)))</f>
        <v/>
      </c>
      <c r="AG96" s="897"/>
      <c r="AH96" s="897"/>
      <c r="AI96" s="897"/>
      <c r="AJ96" s="893"/>
      <c r="AK96" s="897"/>
      <c r="AL96" s="897"/>
      <c r="AM96" s="897"/>
      <c r="AN96" s="893"/>
      <c r="AO96" s="897"/>
      <c r="AP96" s="897"/>
      <c r="AQ96" s="897"/>
      <c r="AR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7"/>
      <c r="BF96" s="897"/>
      <c r="BG96" s="893"/>
      <c r="BH96" s="893"/>
      <c r="BI96" s="897"/>
      <c r="BJ96" s="893"/>
      <c r="BK96" s="897"/>
      <c r="BL96" s="897"/>
      <c r="BM96" s="893"/>
      <c r="BN96" s="897"/>
      <c r="BO96" s="893"/>
      <c r="BP96" s="897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</row>
    <row r="97" spans="1:81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6"/>
        <v/>
      </c>
      <c r="M97" s="816" t="str">
        <f t="shared" si="57"/>
        <v/>
      </c>
      <c r="N97" s="816" t="str">
        <f t="shared" si="58"/>
        <v/>
      </c>
      <c r="R97" s="816" t="str">
        <f t="shared" si="59"/>
        <v/>
      </c>
      <c r="T97" s="829" t="str">
        <f t="shared" si="60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IF($J97="","",IF(SUM(IF(ISNUMBER(VALUE(RIGHT($AG97:$CH97,1))),VALUE(RIGHT($AG97:$CH97,1)),0))=$J97,"T","F"))</f>
        <v/>
      </c>
      <c r="AE97" s="831" t="str">
        <f t="array" ref="AE97">IF($J97="","",SUM(IF(LEFT($AG97:$DT97,1)="s",1,0))-SUM(IF(RIGHT(LEFT($AG97:$DT97,2))="-",1,0)))</f>
        <v/>
      </c>
      <c r="AF97" s="816" t="str">
        <f t="array" ref="AF97">IF($J97="","",SUM(IF(LEFT($AG97:$CZ97,1)="X",1,0)))</f>
        <v/>
      </c>
      <c r="AG97" s="897"/>
      <c r="AH97" s="897"/>
      <c r="AI97" s="897"/>
      <c r="AJ97" s="893"/>
      <c r="AK97" s="897"/>
      <c r="AL97" s="897"/>
      <c r="AM97" s="897"/>
      <c r="AN97" s="893"/>
      <c r="AO97" s="897"/>
      <c r="AP97" s="897"/>
      <c r="AQ97" s="897"/>
      <c r="AR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7"/>
      <c r="BF97" s="897"/>
      <c r="BG97" s="893"/>
      <c r="BH97" s="893"/>
      <c r="BI97" s="897"/>
      <c r="BJ97" s="893"/>
      <c r="BK97" s="897"/>
      <c r="BL97" s="897"/>
      <c r="BM97" s="893"/>
      <c r="BN97" s="897"/>
      <c r="BO97" s="893"/>
      <c r="BP97" s="897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</row>
    <row r="98" spans="1:81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6"/>
        <v/>
      </c>
      <c r="M98" s="816" t="str">
        <f t="shared" si="57"/>
        <v/>
      </c>
      <c r="N98" s="816" t="str">
        <f t="shared" si="58"/>
        <v/>
      </c>
      <c r="R98" s="816" t="str">
        <f t="shared" si="59"/>
        <v/>
      </c>
      <c r="T98" s="829" t="str">
        <f t="shared" si="60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IF($J98="","",IF(SUM(IF(ISNUMBER(VALUE(RIGHT($AG98:$CH98,1))),VALUE(RIGHT($AG98:$CH98,1)),0))=$J98,"T","F"))</f>
        <v/>
      </c>
      <c r="AE98" s="831" t="str">
        <f t="array" ref="AE98">IF($J98="","",SUM(IF(LEFT($AG98:$DT98,1)="s",1,0))-SUM(IF(RIGHT(LEFT($AG98:$DT98,2))="-",1,0)))</f>
        <v/>
      </c>
      <c r="AF98" s="816" t="str">
        <f t="array" ref="AF98">IF($J98="","",SUM(IF(LEFT($AG98:$CZ98,1)="X",1,0)))</f>
        <v/>
      </c>
      <c r="AG98" s="897"/>
      <c r="AH98" s="897"/>
      <c r="AI98" s="897"/>
      <c r="AJ98" s="893"/>
      <c r="AK98" s="897"/>
      <c r="AL98" s="897"/>
      <c r="AM98" s="897"/>
      <c r="AN98" s="893"/>
      <c r="AO98" s="897"/>
      <c r="AP98" s="897"/>
      <c r="AQ98" s="897"/>
      <c r="AR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7"/>
      <c r="BF98" s="897"/>
      <c r="BG98" s="893"/>
      <c r="BH98" s="893"/>
      <c r="BI98" s="897"/>
      <c r="BJ98" s="893"/>
      <c r="BK98" s="897"/>
      <c r="BL98" s="897"/>
      <c r="BM98" s="893"/>
      <c r="BN98" s="897"/>
      <c r="BO98" s="893"/>
      <c r="BP98" s="897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</row>
    <row r="99" spans="1:81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6"/>
        <v/>
      </c>
      <c r="M99" s="816" t="str">
        <f t="shared" si="57"/>
        <v/>
      </c>
      <c r="N99" s="816" t="str">
        <f t="shared" si="58"/>
        <v/>
      </c>
      <c r="R99" s="816" t="str">
        <f t="shared" si="59"/>
        <v/>
      </c>
      <c r="T99" s="829" t="str">
        <f t="shared" si="60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IF($J99="","",IF(SUM(IF(ISNUMBER(VALUE(RIGHT($AG99:$CH99,1))),VALUE(RIGHT($AG99:$CH99,1)),0))=$J99,"T","F"))</f>
        <v/>
      </c>
      <c r="AE99" s="831" t="str">
        <f t="array" ref="AE99">IF($J99="","",SUM(IF(LEFT($AG99:$DT99,1)="s",1,0))-SUM(IF(RIGHT(LEFT($AG99:$DT99,2))="-",1,0)))</f>
        <v/>
      </c>
      <c r="AF99" s="816" t="str">
        <f t="array" ref="AF99">IF($J99="","",SUM(IF(LEFT($AG99:$CZ99,1)="X",1,0)))</f>
        <v/>
      </c>
      <c r="AG99" s="897"/>
      <c r="AH99" s="897"/>
      <c r="AI99" s="897"/>
      <c r="AJ99" s="893"/>
      <c r="AK99" s="897"/>
      <c r="AL99" s="897"/>
      <c r="AM99" s="897"/>
      <c r="AN99" s="893"/>
      <c r="AO99" s="897"/>
      <c r="AP99" s="897"/>
      <c r="AQ99" s="897"/>
      <c r="AR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7"/>
      <c r="BF99" s="897"/>
      <c r="BG99" s="893"/>
      <c r="BH99" s="893"/>
      <c r="BI99" s="897"/>
      <c r="BJ99" s="893"/>
      <c r="BK99" s="897"/>
      <c r="BL99" s="897"/>
      <c r="BM99" s="893"/>
      <c r="BN99" s="897"/>
      <c r="BO99" s="893"/>
      <c r="BP99" s="897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</row>
    <row r="100" spans="1:81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6"/>
        <v/>
      </c>
      <c r="M100" s="816" t="str">
        <f t="shared" si="57"/>
        <v/>
      </c>
      <c r="N100" s="816" t="str">
        <f t="shared" si="58"/>
        <v/>
      </c>
      <c r="R100" s="816" t="str">
        <f t="shared" si="59"/>
        <v/>
      </c>
      <c r="T100" s="829" t="str">
        <f t="shared" si="60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IF($J100="","",IF(SUM(IF(ISNUMBER(VALUE(RIGHT($AG100:$CH100,1))),VALUE(RIGHT($AG100:$CH100,1)),0))=$J100,"T","F"))</f>
        <v/>
      </c>
      <c r="AE100" s="831" t="str">
        <f t="array" ref="AE100">IF($J100="","",SUM(IF(LEFT($AG100:$DT100,1)="s",1,0))-SUM(IF(RIGHT(LEFT($AG100:$DT100,2))="-",1,0)))</f>
        <v/>
      </c>
      <c r="AF100" s="816" t="str">
        <f t="array" ref="AF100">IF($J100="","",SUM(IF(LEFT($AG100:$CZ100,1)="X",1,0)))</f>
        <v/>
      </c>
      <c r="AG100" s="897"/>
      <c r="AH100" s="897"/>
      <c r="AI100" s="897"/>
      <c r="AJ100" s="893"/>
      <c r="AK100" s="897"/>
      <c r="AL100" s="897"/>
      <c r="AM100" s="897"/>
      <c r="AN100" s="893"/>
      <c r="AO100" s="897"/>
      <c r="AP100" s="897"/>
      <c r="AQ100" s="897"/>
      <c r="AR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7"/>
      <c r="BF100" s="897"/>
      <c r="BG100" s="893"/>
      <c r="BH100" s="893"/>
      <c r="BI100" s="897"/>
      <c r="BJ100" s="893"/>
      <c r="BK100" s="897"/>
      <c r="BL100" s="897"/>
      <c r="BM100" s="893"/>
      <c r="BN100" s="897"/>
      <c r="BO100" s="893"/>
      <c r="BP100" s="897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</row>
    <row r="101" spans="1:81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6"/>
        <v/>
      </c>
      <c r="M101" s="816" t="str">
        <f t="shared" si="57"/>
        <v/>
      </c>
      <c r="N101" s="816" t="str">
        <f t="shared" si="58"/>
        <v/>
      </c>
      <c r="R101" s="816" t="str">
        <f t="shared" si="59"/>
        <v/>
      </c>
      <c r="T101" s="829" t="str">
        <f t="shared" si="60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IF($J101="","",IF(SUM(IF(ISNUMBER(VALUE(RIGHT($AG101:$CH101,1))),VALUE(RIGHT($AG101:$CH101,1)),0))=$J101,"T","F"))</f>
        <v/>
      </c>
      <c r="AE101" s="831" t="str">
        <f t="array" ref="AE101">IF($J101="","",SUM(IF(LEFT($AG101:$DT101,1)="s",1,0))-SUM(IF(RIGHT(LEFT($AG101:$DT101,2))="-",1,0)))</f>
        <v/>
      </c>
      <c r="AF101" s="816" t="str">
        <f t="array" ref="AF101">IF($J101="","",SUM(IF(LEFT($AG101:$CZ101,1)="X",1,0)))</f>
        <v/>
      </c>
      <c r="AG101" s="897"/>
      <c r="AH101" s="897"/>
      <c r="AI101" s="897"/>
      <c r="AJ101" s="893"/>
      <c r="AK101" s="897"/>
      <c r="AL101" s="897"/>
      <c r="AM101" s="897"/>
      <c r="AN101" s="893"/>
      <c r="AO101" s="897"/>
      <c r="AP101" s="897"/>
      <c r="AQ101" s="897"/>
      <c r="AR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7"/>
      <c r="BF101" s="897"/>
      <c r="BG101" s="893"/>
      <c r="BH101" s="893"/>
      <c r="BI101" s="897"/>
      <c r="BJ101" s="893"/>
      <c r="BK101" s="897"/>
      <c r="BL101" s="897"/>
      <c r="BM101" s="893"/>
      <c r="BN101" s="897"/>
      <c r="BO101" s="893"/>
      <c r="BP101" s="897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</row>
    <row r="102" spans="1:81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6"/>
        <v/>
      </c>
      <c r="M102" s="816" t="str">
        <f t="shared" si="57"/>
        <v/>
      </c>
      <c r="N102" s="816" t="str">
        <f t="shared" si="58"/>
        <v/>
      </c>
      <c r="R102" s="816" t="str">
        <f t="shared" si="59"/>
        <v/>
      </c>
      <c r="T102" s="829" t="str">
        <f t="shared" si="60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IF($J102="","",IF(SUM(IF(ISNUMBER(VALUE(RIGHT($AG102:$CH102,1))),VALUE(RIGHT($AG102:$CH102,1)),0))=$J102,"T","F"))</f>
        <v/>
      </c>
      <c r="AE102" s="831" t="str">
        <f t="array" ref="AE102">IF($J102="","",SUM(IF(LEFT($AG102:$DT102,1)="s",1,0))-SUM(IF(RIGHT(LEFT($AG102:$DT102,2))="-",1,0)))</f>
        <v/>
      </c>
      <c r="AF102" s="816" t="str">
        <f t="array" ref="AF102">IF($J102="","",SUM(IF(LEFT($AG102:$CZ102,1)="X",1,0)))</f>
        <v/>
      </c>
      <c r="AG102" s="897"/>
      <c r="AH102" s="897"/>
      <c r="AI102" s="897"/>
      <c r="AJ102" s="893"/>
      <c r="AK102" s="897"/>
      <c r="AL102" s="897"/>
      <c r="AM102" s="897"/>
      <c r="AN102" s="893"/>
      <c r="AO102" s="897"/>
      <c r="AP102" s="897"/>
      <c r="AQ102" s="897"/>
      <c r="AR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7"/>
      <c r="BF102" s="897"/>
      <c r="BG102" s="893"/>
      <c r="BH102" s="893"/>
      <c r="BI102" s="897"/>
      <c r="BJ102" s="893"/>
      <c r="BK102" s="897"/>
      <c r="BL102" s="897"/>
      <c r="BM102" s="893"/>
      <c r="BN102" s="897"/>
      <c r="BO102" s="893"/>
      <c r="BP102" s="897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</row>
    <row r="103" spans="1:81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6"/>
        <v/>
      </c>
      <c r="M103" s="816" t="str">
        <f t="shared" si="57"/>
        <v/>
      </c>
      <c r="N103" s="816" t="str">
        <f t="shared" si="58"/>
        <v/>
      </c>
      <c r="R103" s="816" t="str">
        <f t="shared" si="59"/>
        <v/>
      </c>
      <c r="T103" s="829" t="str">
        <f t="shared" si="60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IF($J103="","",IF(SUM(IF(ISNUMBER(VALUE(RIGHT($AG103:$CH103,1))),VALUE(RIGHT($AG103:$CH103,1)),0))=$J103,"T","F"))</f>
        <v/>
      </c>
      <c r="AE103" s="816" t="str">
        <f t="array" ref="AE103">IF($J103="","",SUM(IF(LEFT($AG103:$DT103,1)="s",1,0))-SUM(IF(RIGHT(LEFT($AG103:$DT103,2))="-",1,0)))</f>
        <v/>
      </c>
      <c r="AF103" s="816" t="str">
        <f t="array" ref="AF103">IF($J103="","",SUM(IF(LEFT($AG103:$CZ103,1)="X",1,0)))</f>
        <v/>
      </c>
      <c r="AG103" s="897"/>
      <c r="AH103" s="897"/>
      <c r="AI103" s="897"/>
      <c r="AJ103" s="893"/>
      <c r="AK103" s="897"/>
      <c r="AL103" s="897"/>
      <c r="AM103" s="897"/>
      <c r="AN103" s="893"/>
      <c r="AO103" s="897"/>
      <c r="AP103" s="897"/>
      <c r="AQ103" s="897"/>
      <c r="AR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7"/>
      <c r="BF103" s="897"/>
      <c r="BG103" s="893"/>
      <c r="BH103" s="893"/>
      <c r="BI103" s="897"/>
      <c r="BJ103" s="893"/>
      <c r="BK103" s="897"/>
      <c r="BL103" s="897"/>
      <c r="BM103" s="893"/>
      <c r="BN103" s="897"/>
      <c r="BO103" s="893"/>
      <c r="BP103" s="897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</row>
    <row r="104" spans="1:81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6"/>
        <v/>
      </c>
      <c r="M104" s="816" t="str">
        <f t="shared" si="57"/>
        <v/>
      </c>
      <c r="N104" s="816" t="str">
        <f t="shared" si="58"/>
        <v/>
      </c>
      <c r="R104" s="816" t="str">
        <f t="shared" si="59"/>
        <v/>
      </c>
      <c r="T104" s="829" t="str">
        <f t="shared" si="60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IF($J104="","",IF(SUM(IF(ISNUMBER(VALUE(RIGHT($AG104:$CH104,1))),VALUE(RIGHT($AG104:$CH104,1)),0))=$J104,"T","F"))</f>
        <v/>
      </c>
      <c r="AE104" s="816" t="str">
        <f t="array" ref="AE104">IF($J104="","",SUM(IF(LEFT($AG104:$DT104,1)="s",1,0))-SUM(IF(RIGHT(LEFT($AG104:$DT104,2))="-",1,0)))</f>
        <v/>
      </c>
      <c r="AF104" s="816" t="str">
        <f t="array" ref="AF104">IF($J104="","",SUM(IF(LEFT($AG104:$CZ104,1)="X",1,0)))</f>
        <v/>
      </c>
      <c r="AG104" s="897"/>
      <c r="AH104" s="897"/>
      <c r="AI104" s="897"/>
      <c r="AJ104" s="893"/>
      <c r="AK104" s="897"/>
      <c r="AL104" s="897"/>
      <c r="AM104" s="897"/>
      <c r="AN104" s="893"/>
      <c r="AO104" s="897"/>
      <c r="AP104" s="897"/>
      <c r="AQ104" s="897"/>
      <c r="AR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7"/>
      <c r="BF104" s="897"/>
      <c r="BG104" s="893"/>
      <c r="BH104" s="893"/>
      <c r="BI104" s="897"/>
      <c r="BJ104" s="893"/>
      <c r="BK104" s="897"/>
      <c r="BL104" s="897"/>
      <c r="BM104" s="893"/>
      <c r="BN104" s="897"/>
      <c r="BO104" s="893"/>
      <c r="BP104" s="897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</row>
    <row r="105" spans="1:81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6"/>
        <v/>
      </c>
      <c r="M105" s="816" t="str">
        <f t="shared" si="57"/>
        <v/>
      </c>
      <c r="N105" s="816" t="str">
        <f t="shared" si="58"/>
        <v/>
      </c>
      <c r="R105" s="816" t="str">
        <f t="shared" si="59"/>
        <v/>
      </c>
      <c r="T105" s="829" t="str">
        <f t="shared" si="60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IF($J105="","",IF(SUM(IF(ISNUMBER(VALUE(RIGHT($AG105:$CH105,1))),VALUE(RIGHT($AG105:$CH105,1)),0))=$J105,"T","F"))</f>
        <v/>
      </c>
      <c r="AE105" s="816" t="str">
        <f t="array" ref="AE105">IF($J105="","",SUM(IF(LEFT($AG105:$DT105,1)="s",1,0))-SUM(IF(RIGHT(LEFT($AG105:$DT105,2))="-",1,0)))</f>
        <v/>
      </c>
      <c r="AF105" s="816" t="str">
        <f t="array" ref="AF105">IF($J105="","",SUM(IF(LEFT($AG105:$CZ105,1)="X",1,0)))</f>
        <v/>
      </c>
      <c r="AG105" s="897"/>
      <c r="AH105" s="897"/>
      <c r="AI105" s="897"/>
      <c r="AJ105" s="893"/>
      <c r="AK105" s="897"/>
      <c r="AL105" s="897"/>
      <c r="AM105" s="897"/>
      <c r="AN105" s="893"/>
      <c r="AO105" s="897"/>
      <c r="AP105" s="897"/>
      <c r="AQ105" s="897"/>
      <c r="AR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7"/>
      <c r="BF105" s="897"/>
      <c r="BG105" s="893"/>
      <c r="BH105" s="893"/>
      <c r="BI105" s="897"/>
      <c r="BJ105" s="893"/>
      <c r="BK105" s="897"/>
      <c r="BL105" s="897"/>
      <c r="BM105" s="893"/>
      <c r="BN105" s="897"/>
      <c r="BO105" s="893"/>
      <c r="BP105" s="897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</row>
    <row r="106" spans="1:81" ht="15"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6"/>
        <v/>
      </c>
      <c r="M106" s="816" t="str">
        <f t="shared" si="57"/>
        <v/>
      </c>
      <c r="N106" s="816" t="str">
        <f t="shared" si="58"/>
        <v/>
      </c>
      <c r="R106" s="816" t="str">
        <f t="shared" si="59"/>
        <v/>
      </c>
      <c r="T106" s="829" t="str">
        <f t="shared" si="60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IF($J106="","",IF(SUM(IF(ISNUMBER(VALUE(RIGHT($AG106:$CH106,1))),VALUE(RIGHT($AG106:$CH106,1)),0))=$J106,"T","F"))</f>
        <v/>
      </c>
      <c r="AE106" s="816" t="str">
        <f t="array" ref="AE106">IF($J106="","",SUM(IF(LEFT($AG106:$DT106,1)="s",1,0))-SUM(IF(RIGHT(LEFT($AG106:$DT106,2))="-",1,0)))</f>
        <v/>
      </c>
      <c r="AF106" s="816" t="str">
        <f t="array" ref="AF106">IF($J106="","",SUM(IF(LEFT($AG106:$CZ106,1)="X",1,0)))</f>
        <v/>
      </c>
      <c r="AG106" s="897"/>
      <c r="AH106" s="897"/>
      <c r="AI106" s="897"/>
      <c r="AJ106" s="893"/>
      <c r="AK106" s="897"/>
      <c r="AL106" s="897"/>
      <c r="AM106" s="897"/>
      <c r="AN106" s="893"/>
      <c r="AO106" s="897"/>
      <c r="AP106" s="897"/>
      <c r="AQ106" s="897"/>
      <c r="AR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3"/>
      <c r="BH106" s="893"/>
      <c r="BI106" s="897"/>
      <c r="BJ106" s="893"/>
      <c r="BK106" s="897"/>
      <c r="BL106" s="897"/>
      <c r="BM106" s="893"/>
      <c r="BN106" s="897"/>
      <c r="BO106" s="893"/>
      <c r="BP106" s="897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</row>
    <row r="107" spans="1:81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6"/>
        <v/>
      </c>
      <c r="M107" s="816" t="str">
        <f t="shared" si="57"/>
        <v/>
      </c>
      <c r="N107" s="816" t="str">
        <f t="shared" si="58"/>
        <v/>
      </c>
      <c r="R107" s="816" t="str">
        <f t="shared" si="59"/>
        <v/>
      </c>
      <c r="T107" s="829" t="str">
        <f t="shared" si="60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IF($J107="","",IF(SUM(IF(ISNUMBER(VALUE(RIGHT($AG107:$CH107,1))),VALUE(RIGHT($AG107:$CH107,1)),0))=$J107,"T","F"))</f>
        <v/>
      </c>
      <c r="AE107" s="816" t="str">
        <f t="array" ref="AE107">IF($J107="","",SUM(IF(LEFT($AG107:$DT107,1)="s",1,0))-SUM(IF(RIGHT(LEFT($AG107:$DT107,2))="-",1,0)))</f>
        <v/>
      </c>
      <c r="AF107" s="816" t="str">
        <f t="array" ref="AF107">IF($J107="","",SUM(IF(LEFT($AG107:$CZ107,1)="X",1,0)))</f>
        <v/>
      </c>
      <c r="AG107" s="897"/>
      <c r="AH107" s="897"/>
      <c r="AI107" s="897"/>
      <c r="AJ107" s="893"/>
      <c r="AK107" s="897"/>
      <c r="AL107" s="897"/>
      <c r="AM107" s="897"/>
      <c r="AN107" s="893"/>
      <c r="AO107" s="897"/>
      <c r="AP107" s="897"/>
      <c r="AQ107" s="897"/>
      <c r="AR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3"/>
      <c r="BH107" s="893"/>
      <c r="BI107" s="897"/>
      <c r="BJ107" s="893"/>
      <c r="BK107" s="897"/>
      <c r="BL107" s="897"/>
      <c r="BM107" s="893"/>
      <c r="BN107" s="897"/>
      <c r="BO107" s="893"/>
      <c r="BP107" s="897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</row>
    <row r="108" spans="1:81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6"/>
        <v/>
      </c>
      <c r="M108" s="816" t="str">
        <f t="shared" si="57"/>
        <v/>
      </c>
      <c r="N108" s="816" t="str">
        <f t="shared" si="58"/>
        <v/>
      </c>
      <c r="R108" s="816" t="str">
        <f t="shared" si="59"/>
        <v/>
      </c>
      <c r="T108" s="829" t="str">
        <f t="shared" si="60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IF($J108="","",IF(SUM(IF(ISNUMBER(VALUE(RIGHT($AG108:$CH108,1))),VALUE(RIGHT($AG108:$CH108,1)),0))=$J108,"T","F"))</f>
        <v/>
      </c>
      <c r="AE108" s="816" t="str">
        <f t="array" ref="AE108">IF($J108="","",SUM(IF(LEFT($AG108:$DT108,1)="s",1,0))-SUM(IF(RIGHT(LEFT($AG108:$DT108,2))="-",1,0)))</f>
        <v/>
      </c>
      <c r="AF108" s="816" t="str">
        <f t="array" ref="AF108">IF($J108="","",SUM(IF(LEFT($AG108:$CZ108,1)="X",1,0)))</f>
        <v/>
      </c>
      <c r="AG108" s="897"/>
      <c r="AH108" s="897"/>
      <c r="AI108" s="897"/>
      <c r="AJ108" s="893"/>
      <c r="AK108" s="897"/>
      <c r="AL108" s="897"/>
      <c r="AM108" s="897"/>
      <c r="AN108" s="893"/>
      <c r="AO108" s="897"/>
      <c r="AP108" s="897"/>
      <c r="AQ108" s="897"/>
      <c r="AR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3"/>
      <c r="BH108" s="893"/>
      <c r="BI108" s="897"/>
      <c r="BJ108" s="893"/>
      <c r="BK108" s="897"/>
      <c r="BL108" s="897"/>
      <c r="BM108" s="893"/>
      <c r="BN108" s="897"/>
      <c r="BO108" s="893"/>
      <c r="BP108" s="897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</row>
    <row r="109" spans="1:81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6"/>
        <v/>
      </c>
      <c r="M109" s="816" t="str">
        <f t="shared" si="57"/>
        <v/>
      </c>
      <c r="N109" s="816" t="str">
        <f t="shared" si="58"/>
        <v/>
      </c>
      <c r="R109" s="816" t="str">
        <f t="shared" si="59"/>
        <v/>
      </c>
      <c r="T109" s="829" t="str">
        <f t="shared" si="60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IF($J109="","",IF(SUM(IF(ISNUMBER(VALUE(RIGHT($AG109:$CH109,1))),VALUE(RIGHT($AG109:$CH109,1)),0))=$J109,"T","F"))</f>
        <v/>
      </c>
      <c r="AE109" s="816" t="str">
        <f t="array" ref="AE109">IF($J109="","",SUM(IF(LEFT($AG109:$DT109,1)="s",1,0))-SUM(IF(RIGHT(LEFT($AG109:$DT109,2))="-",1,0)))</f>
        <v/>
      </c>
      <c r="AF109" s="816" t="str">
        <f t="array" ref="AF109">IF($J109="","",SUM(IF(LEFT($AG109:$CZ109,1)="X",1,0)))</f>
        <v/>
      </c>
      <c r="AG109" s="897"/>
      <c r="AH109" s="897"/>
      <c r="AI109" s="897"/>
      <c r="AJ109" s="893"/>
      <c r="AK109" s="897"/>
      <c r="AL109" s="897"/>
      <c r="AM109" s="897"/>
      <c r="AN109" s="893"/>
      <c r="AO109" s="897"/>
      <c r="AP109" s="897"/>
      <c r="AQ109" s="897"/>
      <c r="AR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3"/>
      <c r="BH109" s="893"/>
      <c r="BI109" s="897"/>
      <c r="BJ109" s="893"/>
      <c r="BK109" s="897"/>
      <c r="BL109" s="897"/>
      <c r="BM109" s="893"/>
      <c r="BN109" s="897"/>
      <c r="BO109" s="893"/>
      <c r="BP109" s="897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</row>
    <row r="110" spans="1:81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6"/>
        <v/>
      </c>
      <c r="M110" s="816" t="str">
        <f t="shared" si="57"/>
        <v/>
      </c>
      <c r="N110" s="816" t="str">
        <f t="shared" si="58"/>
        <v/>
      </c>
      <c r="R110" s="816" t="str">
        <f t="shared" si="59"/>
        <v/>
      </c>
      <c r="T110" s="829" t="str">
        <f t="shared" si="60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IF($J110="","",IF(SUM(IF(ISNUMBER(VALUE(RIGHT($AG110:$CH110,1))),VALUE(RIGHT($AG110:$CH110,1)),0))=$J110,"T","F"))</f>
        <v/>
      </c>
      <c r="AE110" s="816" t="str">
        <f t="array" ref="AE110">IF($J110="","",SUM(IF(LEFT($AG110:$DT110,1)="s",1,0))-SUM(IF(RIGHT(LEFT($AG110:$DT110,2))="-",1,0)))</f>
        <v/>
      </c>
      <c r="AF110" s="816" t="str">
        <f t="array" ref="AF110">IF($J110="","",SUM(IF(LEFT($AG110:$CZ110,1)="X",1,0)))</f>
        <v/>
      </c>
      <c r="AG110" s="897"/>
      <c r="AH110" s="897"/>
      <c r="AI110" s="897"/>
      <c r="AJ110" s="893"/>
      <c r="AK110" s="897"/>
      <c r="AL110" s="897"/>
      <c r="AM110" s="897"/>
      <c r="AN110" s="893"/>
      <c r="AO110" s="897"/>
      <c r="AP110" s="897"/>
      <c r="AQ110" s="897"/>
      <c r="AR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3"/>
      <c r="BH110" s="893"/>
      <c r="BI110" s="897"/>
      <c r="BJ110" s="893"/>
      <c r="BK110" s="897"/>
      <c r="BL110" s="897"/>
      <c r="BM110" s="893"/>
      <c r="BN110" s="897"/>
      <c r="BO110" s="893"/>
      <c r="BP110" s="897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</row>
    <row r="111" spans="1:81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6"/>
        <v/>
      </c>
      <c r="M111" s="816" t="str">
        <f t="shared" si="57"/>
        <v/>
      </c>
      <c r="N111" s="816" t="str">
        <f t="shared" si="58"/>
        <v/>
      </c>
      <c r="R111" s="816" t="str">
        <f t="shared" si="59"/>
        <v/>
      </c>
      <c r="T111" s="829" t="str">
        <f t="shared" si="60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IF($J111="","",IF(SUM(IF(ISNUMBER(VALUE(RIGHT($AG111:$CH111,1))),VALUE(RIGHT($AG111:$CH111,1)),0))=$J111,"T","F"))</f>
        <v/>
      </c>
      <c r="AE111" s="816" t="str">
        <f t="array" ref="AE111">IF($J111="","",SUM(IF(LEFT($AG111:$DT111,1)="s",1,0))-SUM(IF(RIGHT(LEFT($AG111:$DT111,2))="-",1,0)))</f>
        <v/>
      </c>
      <c r="AF111" s="816" t="str">
        <f t="array" ref="AF111">IF($J111="","",SUM(IF(LEFT($AG111:$CZ111,1)="X",1,0)))</f>
        <v/>
      </c>
      <c r="AG111" s="897"/>
      <c r="AH111" s="897"/>
      <c r="AI111" s="897"/>
      <c r="AJ111" s="893"/>
      <c r="AK111" s="897"/>
      <c r="AL111" s="897"/>
      <c r="AM111" s="897"/>
      <c r="AN111" s="893"/>
      <c r="AO111" s="897"/>
      <c r="AP111" s="897"/>
      <c r="AQ111" s="897"/>
      <c r="AR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3"/>
      <c r="BH111" s="893"/>
      <c r="BI111" s="897"/>
      <c r="BJ111" s="893"/>
      <c r="BK111" s="897"/>
      <c r="BL111" s="897"/>
      <c r="BM111" s="893"/>
      <c r="BN111" s="897"/>
      <c r="BO111" s="893"/>
      <c r="BP111" s="897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</row>
    <row r="112" spans="1:81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6"/>
        <v/>
      </c>
      <c r="M112" s="816" t="str">
        <f t="shared" si="57"/>
        <v/>
      </c>
      <c r="N112" s="816" t="str">
        <f t="shared" si="58"/>
        <v/>
      </c>
      <c r="R112" s="816" t="str">
        <f t="shared" si="59"/>
        <v/>
      </c>
      <c r="T112" s="829" t="str">
        <f t="shared" si="60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IF($J112="","",IF(SUM(IF(ISNUMBER(VALUE(RIGHT($AG112:$CH112,1))),VALUE(RIGHT($AG112:$CH112,1)),0))=$J112,"T","F"))</f>
        <v/>
      </c>
      <c r="AE112" s="816" t="str">
        <f t="array" ref="AE112">IF($J112="","",SUM(IF(LEFT($AG112:$DT112,1)="s",1,0))-SUM(IF(RIGHT(LEFT($AG112:$DT112,2))="-",1,0)))</f>
        <v/>
      </c>
      <c r="AF112" s="816" t="str">
        <f t="array" ref="AF112">IF($J112="","",SUM(IF(LEFT($AG112:$CZ112,1)="X",1,0)))</f>
        <v/>
      </c>
      <c r="AG112" s="897"/>
      <c r="AH112" s="897"/>
      <c r="AI112" s="897"/>
      <c r="AJ112" s="893"/>
      <c r="AK112" s="897"/>
      <c r="AL112" s="897"/>
      <c r="AM112" s="897"/>
      <c r="AN112" s="893"/>
      <c r="AO112" s="897"/>
      <c r="AP112" s="897"/>
      <c r="AQ112" s="897"/>
      <c r="AR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3"/>
      <c r="BH112" s="893"/>
      <c r="BI112" s="897"/>
      <c r="BJ112" s="893"/>
      <c r="BK112" s="897"/>
      <c r="BL112" s="897"/>
      <c r="BM112" s="893"/>
      <c r="BN112" s="897"/>
      <c r="BO112" s="893"/>
      <c r="BP112" s="897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</row>
    <row r="113" spans="4:81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6"/>
        <v/>
      </c>
      <c r="M113" s="816" t="str">
        <f t="shared" si="57"/>
        <v/>
      </c>
      <c r="N113" s="816" t="str">
        <f t="shared" si="58"/>
        <v/>
      </c>
      <c r="R113" s="816" t="str">
        <f t="shared" si="59"/>
        <v/>
      </c>
      <c r="T113" s="829" t="str">
        <f t="shared" si="60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IF($J113="","",IF(SUM(IF(ISNUMBER(VALUE(RIGHT($AG113:$CH113,1))),VALUE(RIGHT($AG113:$CH113,1)),0))=$J113,"T","F"))</f>
        <v/>
      </c>
      <c r="AE113" s="816" t="str">
        <f t="array" ref="AE113">IF($J113="","",SUM(IF(LEFT($AG113:$DT113,1)="s",1,0))-SUM(IF(RIGHT(LEFT($AG113:$DT113,2))="-",1,0)))</f>
        <v/>
      </c>
      <c r="AF113" s="816" t="str">
        <f t="array" ref="AF113">IF($J113="","",SUM(IF(LEFT($AG113:$CZ113,1)="X",1,0)))</f>
        <v/>
      </c>
      <c r="AG113" s="897"/>
      <c r="AH113" s="897"/>
      <c r="AI113" s="897"/>
      <c r="AJ113" s="893"/>
      <c r="AK113" s="897"/>
      <c r="AL113" s="897"/>
      <c r="AM113" s="897"/>
      <c r="AN113" s="893"/>
      <c r="AO113" s="897"/>
      <c r="AP113" s="897"/>
      <c r="AQ113" s="897"/>
      <c r="AR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3"/>
      <c r="BH113" s="893"/>
      <c r="BI113" s="897"/>
      <c r="BJ113" s="893"/>
      <c r="BK113" s="897"/>
      <c r="BL113" s="897"/>
      <c r="BM113" s="893"/>
      <c r="BN113" s="897"/>
      <c r="BO113" s="893"/>
      <c r="BP113" s="897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</row>
    <row r="114" spans="4:81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6"/>
        <v/>
      </c>
      <c r="M114" s="816" t="str">
        <f t="shared" si="57"/>
        <v/>
      </c>
      <c r="N114" s="816" t="str">
        <f t="shared" si="58"/>
        <v/>
      </c>
      <c r="R114" s="816" t="str">
        <f t="shared" si="59"/>
        <v/>
      </c>
      <c r="T114" s="829" t="str">
        <f t="shared" si="60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IF($J114="","",IF(SUM(IF(ISNUMBER(VALUE(RIGHT($AG114:$CH114,1))),VALUE(RIGHT($AG114:$CH114,1)),0))=$J114,"T","F"))</f>
        <v/>
      </c>
      <c r="AE114" s="816" t="str">
        <f t="array" ref="AE114">IF($J114="","",SUM(IF(LEFT($AG114:$DT114,1)="s",1,0))-SUM(IF(RIGHT(LEFT($AG114:$DT114,2))="-",1,0)))</f>
        <v/>
      </c>
      <c r="AF114" s="816" t="str">
        <f t="array" ref="AF114">IF($J114="","",SUM(IF(LEFT($AG114:$CZ114,1)="X",1,0)))</f>
        <v/>
      </c>
      <c r="AG114" s="897"/>
      <c r="AH114" s="897"/>
      <c r="AI114" s="897"/>
      <c r="AJ114" s="893"/>
      <c r="AK114" s="897"/>
      <c r="AL114" s="897"/>
      <c r="AM114" s="897"/>
      <c r="AN114" s="893"/>
      <c r="AO114" s="897"/>
      <c r="AP114" s="897"/>
      <c r="AQ114" s="897"/>
      <c r="AR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7"/>
      <c r="BF114" s="897"/>
      <c r="BG114" s="893"/>
      <c r="BH114" s="893"/>
      <c r="BI114" s="897"/>
      <c r="BJ114" s="893"/>
      <c r="BK114" s="897"/>
      <c r="BL114" s="897"/>
      <c r="BM114" s="893"/>
      <c r="BN114" s="897"/>
      <c r="BO114" s="893"/>
      <c r="BP114" s="897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</row>
    <row r="115" spans="4:81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6"/>
        <v/>
      </c>
      <c r="M115" s="816" t="str">
        <f t="shared" si="57"/>
        <v/>
      </c>
      <c r="N115" s="816" t="str">
        <f t="shared" si="58"/>
        <v/>
      </c>
      <c r="R115" s="816" t="str">
        <f t="shared" si="59"/>
        <v/>
      </c>
      <c r="T115" s="829" t="str">
        <f t="shared" si="60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IF($J115="","",IF(SUM(IF(ISNUMBER(VALUE(RIGHT($AG115:$CH115,1))),VALUE(RIGHT($AG115:$CH115,1)),0))=$J115,"T","F"))</f>
        <v/>
      </c>
      <c r="AE115" s="816" t="str">
        <f t="array" ref="AE115">IF($J115="","",SUM(IF(LEFT($AG115:$DT115,1)="s",1,0))-SUM(IF(RIGHT(LEFT($AG115:$DT115,2))="-",1,0)))</f>
        <v/>
      </c>
      <c r="AF115" s="816" t="str">
        <f t="array" ref="AF115">IF($J115="","",SUM(IF(LEFT($AG115:$CZ115,1)="X",1,0)))</f>
        <v/>
      </c>
      <c r="AG115" s="897"/>
      <c r="AH115" s="897"/>
      <c r="AI115" s="897"/>
      <c r="AJ115" s="893"/>
      <c r="AK115" s="897"/>
      <c r="AL115" s="897"/>
      <c r="AM115" s="897"/>
      <c r="AN115" s="893"/>
      <c r="AO115" s="897"/>
      <c r="AP115" s="897"/>
      <c r="AQ115" s="897"/>
      <c r="AR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7"/>
      <c r="BF115" s="897"/>
      <c r="BG115" s="893"/>
      <c r="BH115" s="893"/>
      <c r="BI115" s="897"/>
      <c r="BJ115" s="893"/>
      <c r="BK115" s="897"/>
      <c r="BL115" s="897"/>
      <c r="BM115" s="893"/>
      <c r="BN115" s="897"/>
      <c r="BO115" s="893"/>
      <c r="BP115" s="897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</row>
    <row r="116" spans="4:81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6"/>
        <v/>
      </c>
      <c r="M116" s="816" t="str">
        <f t="shared" si="57"/>
        <v/>
      </c>
      <c r="N116" s="816" t="str">
        <f t="shared" si="58"/>
        <v/>
      </c>
      <c r="R116" s="816" t="str">
        <f t="shared" si="59"/>
        <v/>
      </c>
      <c r="T116" s="829" t="str">
        <f t="shared" si="60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IF($J116="","",IF(SUM(IF(ISNUMBER(VALUE(RIGHT($AG116:$CH116,1))),VALUE(RIGHT($AG116:$CH116,1)),0))=$J116,"T","F"))</f>
        <v/>
      </c>
      <c r="AE116" s="816" t="str">
        <f t="array" ref="AE116">IF($J116="","",SUM(IF(LEFT($AG116:$DT116,1)="s",1,0))-SUM(IF(RIGHT(LEFT($AG116:$DT116,2))="-",1,0)))</f>
        <v/>
      </c>
      <c r="AF116" s="816" t="str">
        <f t="array" ref="AF116">IF($J116="","",SUM(IF(LEFT($AG116:$CZ116,1)="X",1,0)))</f>
        <v/>
      </c>
      <c r="AG116" s="897"/>
      <c r="AH116" s="897"/>
      <c r="AI116" s="897"/>
      <c r="AJ116" s="893"/>
      <c r="AK116" s="897"/>
      <c r="AL116" s="897"/>
      <c r="AM116" s="897"/>
      <c r="AN116" s="893"/>
      <c r="AO116" s="897"/>
      <c r="AP116" s="897"/>
      <c r="AQ116" s="897"/>
      <c r="AR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7"/>
      <c r="BF116" s="897"/>
      <c r="BG116" s="893"/>
      <c r="BH116" s="893"/>
      <c r="BI116" s="897"/>
      <c r="BJ116" s="893"/>
      <c r="BK116" s="897"/>
      <c r="BL116" s="897"/>
      <c r="BM116" s="893"/>
      <c r="BN116" s="897"/>
      <c r="BO116" s="893"/>
      <c r="BP116" s="897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</row>
    <row r="117" spans="4:81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6"/>
        <v/>
      </c>
      <c r="M117" s="816" t="str">
        <f t="shared" si="57"/>
        <v/>
      </c>
      <c r="N117" s="816" t="str">
        <f t="shared" si="58"/>
        <v/>
      </c>
      <c r="R117" s="816" t="str">
        <f t="shared" si="59"/>
        <v/>
      </c>
      <c r="T117" s="829" t="str">
        <f t="shared" si="60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IF($J117="","",IF(SUM(IF(ISNUMBER(VALUE(RIGHT($AG117:$CH117,1))),VALUE(RIGHT($AG117:$CH117,1)),0))=$J117,"T","F"))</f>
        <v/>
      </c>
      <c r="AE117" s="816" t="str">
        <f t="array" ref="AE117">IF($J117="","",SUM(IF(LEFT($AG117:$DT117,1)="s",1,0))-SUM(IF(RIGHT(LEFT($AG117:$DT117,2))="-",1,0)))</f>
        <v/>
      </c>
      <c r="AF117" s="816" t="str">
        <f t="array" ref="AF117">IF($J117="","",SUM(IF(LEFT($AG117:$CZ117,1)="X",1,0)))</f>
        <v/>
      </c>
      <c r="AG117" s="897"/>
      <c r="AH117" s="897"/>
      <c r="AI117" s="897"/>
      <c r="AJ117" s="893"/>
      <c r="AK117" s="897"/>
      <c r="AL117" s="897"/>
      <c r="AM117" s="897"/>
      <c r="AN117" s="893"/>
      <c r="AO117" s="897"/>
      <c r="AP117" s="897"/>
      <c r="AQ117" s="897"/>
      <c r="AR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7"/>
      <c r="BF117" s="897"/>
      <c r="BG117" s="893"/>
      <c r="BH117" s="893"/>
      <c r="BI117" s="897"/>
      <c r="BJ117" s="893"/>
      <c r="BK117" s="897"/>
      <c r="BL117" s="897"/>
      <c r="BM117" s="893"/>
      <c r="BN117" s="897"/>
      <c r="BO117" s="893"/>
      <c r="BP117" s="897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</row>
    <row r="118" spans="4:81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6"/>
        <v/>
      </c>
      <c r="M118" s="816" t="str">
        <f t="shared" si="57"/>
        <v/>
      </c>
      <c r="N118" s="816" t="str">
        <f t="shared" si="58"/>
        <v/>
      </c>
      <c r="R118" s="816" t="str">
        <f t="shared" si="59"/>
        <v/>
      </c>
      <c r="T118" s="829" t="str">
        <f t="shared" si="60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IF($J118="","",IF(SUM(IF(ISNUMBER(VALUE(RIGHT($AG118:$CH118,1))),VALUE(RIGHT($AG118:$CH118,1)),0))=$J118,"T","F"))</f>
        <v/>
      </c>
      <c r="AE118" s="816" t="str">
        <f t="array" ref="AE118">IF($J118="","",SUM(IF(LEFT($AG118:$DT118,1)="s",1,0))-SUM(IF(RIGHT(LEFT($AG118:$DT118,2))="-",1,0)))</f>
        <v/>
      </c>
      <c r="AF118" s="816" t="str">
        <f t="array" ref="AF118">IF($J118="","",SUM(IF(LEFT($AG118:$CZ118,1)="X",1,0)))</f>
        <v/>
      </c>
      <c r="AG118" s="897"/>
      <c r="AH118" s="897"/>
      <c r="AI118" s="897"/>
      <c r="AJ118" s="893"/>
      <c r="AK118" s="897"/>
      <c r="AL118" s="897"/>
      <c r="AM118" s="897"/>
      <c r="AN118" s="893"/>
      <c r="AO118" s="897"/>
      <c r="AP118" s="897"/>
      <c r="AQ118" s="897"/>
      <c r="AR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7"/>
      <c r="BF118" s="897"/>
      <c r="BG118" s="893"/>
      <c r="BH118" s="893"/>
      <c r="BI118" s="897"/>
      <c r="BJ118" s="893"/>
      <c r="BK118" s="897"/>
      <c r="BL118" s="897"/>
      <c r="BM118" s="893"/>
      <c r="BN118" s="897"/>
      <c r="BO118" s="893"/>
      <c r="BP118" s="897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</row>
    <row r="119" spans="4:81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6"/>
        <v/>
      </c>
      <c r="M119" s="816" t="str">
        <f t="shared" si="57"/>
        <v/>
      </c>
      <c r="N119" s="816" t="str">
        <f t="shared" si="58"/>
        <v/>
      </c>
      <c r="R119" s="816" t="str">
        <f t="shared" si="59"/>
        <v/>
      </c>
      <c r="T119" s="829" t="str">
        <f t="shared" si="60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IF($J119="","",IF(SUM(IF(ISNUMBER(VALUE(RIGHT($AG119:$CH119,1))),VALUE(RIGHT($AG119:$CH119,1)),0))=$J119,"T","F"))</f>
        <v/>
      </c>
      <c r="AE119" s="816" t="str">
        <f t="array" ref="AE119">IF($J119="","",SUM(IF(LEFT($AG119:$DT119,1)="s",1,0))-SUM(IF(RIGHT(LEFT($AG119:$DT119,2))="-",1,0)))</f>
        <v/>
      </c>
      <c r="AF119" s="816" t="str">
        <f t="array" ref="AF119">IF($J119="","",SUM(IF(LEFT($AG119:$CZ119,1)="X",1,0)))</f>
        <v/>
      </c>
      <c r="AG119" s="897"/>
      <c r="AH119" s="897"/>
      <c r="AI119" s="897"/>
      <c r="AJ119" s="893"/>
      <c r="AK119" s="897"/>
      <c r="AL119" s="897"/>
      <c r="AM119" s="897"/>
      <c r="AN119" s="893"/>
      <c r="AO119" s="897"/>
      <c r="AP119" s="897"/>
      <c r="AQ119" s="897"/>
      <c r="AR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7"/>
      <c r="BF119" s="897"/>
      <c r="BG119" s="893"/>
      <c r="BH119" s="893"/>
      <c r="BI119" s="897"/>
      <c r="BJ119" s="893"/>
      <c r="BK119" s="897"/>
      <c r="BL119" s="897"/>
      <c r="BM119" s="893"/>
      <c r="BN119" s="897"/>
      <c r="BO119" s="893"/>
      <c r="BP119" s="897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</row>
    <row r="120" spans="4:81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6"/>
        <v/>
      </c>
      <c r="M120" s="816" t="str">
        <f t="shared" si="57"/>
        <v/>
      </c>
      <c r="N120" s="816" t="str">
        <f t="shared" si="58"/>
        <v/>
      </c>
      <c r="R120" s="816" t="str">
        <f t="shared" si="59"/>
        <v/>
      </c>
      <c r="T120" s="829" t="str">
        <f t="shared" si="60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IF($J120="","",IF(SUM(IF(ISNUMBER(VALUE(RIGHT($AG120:$CH120,1))),VALUE(RIGHT($AG120:$CH120,1)),0))=$J120,"T","F"))</f>
        <v/>
      </c>
      <c r="AE120" s="816" t="str">
        <f t="array" ref="AE120">IF($J120="","",SUM(IF(LEFT($AG120:$DT120,1)="s",1,0))-SUM(IF(RIGHT(LEFT($AG120:$DT120,2))="-",1,0)))</f>
        <v/>
      </c>
      <c r="AF120" s="816" t="str">
        <f t="array" ref="AF120">IF($J120="","",SUM(IF(LEFT($AG120:$CZ120,1)="X",1,0)))</f>
        <v/>
      </c>
      <c r="AG120" s="897"/>
      <c r="AH120" s="897"/>
      <c r="AI120" s="897"/>
      <c r="AJ120" s="893"/>
      <c r="AK120" s="897"/>
      <c r="AL120" s="897"/>
      <c r="AM120" s="897"/>
      <c r="AN120" s="893"/>
      <c r="AO120" s="897"/>
      <c r="AP120" s="897"/>
      <c r="AQ120" s="897"/>
      <c r="AR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7"/>
      <c r="BF120" s="897"/>
      <c r="BG120" s="893"/>
      <c r="BH120" s="893"/>
      <c r="BI120" s="897"/>
      <c r="BJ120" s="893"/>
      <c r="BK120" s="897"/>
      <c r="BL120" s="897"/>
      <c r="BM120" s="893"/>
      <c r="BN120" s="897"/>
      <c r="BO120" s="893"/>
      <c r="BP120" s="897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</row>
    <row r="121" spans="4:81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6"/>
        <v/>
      </c>
      <c r="M121" s="816" t="str">
        <f t="shared" si="57"/>
        <v/>
      </c>
      <c r="N121" s="816" t="str">
        <f t="shared" si="58"/>
        <v/>
      </c>
      <c r="R121" s="816" t="str">
        <f t="shared" si="59"/>
        <v/>
      </c>
      <c r="T121" s="829" t="str">
        <f t="shared" si="60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IF($J121="","",IF(SUM(IF(ISNUMBER(VALUE(RIGHT($AG121:$CH121,1))),VALUE(RIGHT($AG121:$CH121,1)),0))=$J121,"T","F"))</f>
        <v/>
      </c>
      <c r="AE121" s="816" t="str">
        <f t="array" ref="AE121">IF($J121="","",SUM(IF(LEFT($AG121:$DT121,1)="s",1,0))-SUM(IF(RIGHT(LEFT($AG121:$DT121,2))="-",1,0)))</f>
        <v/>
      </c>
      <c r="AF121" s="816" t="str">
        <f t="array" ref="AF121">IF($J121="","",SUM(IF(LEFT($AG121:$CZ121,1)="X",1,0)))</f>
        <v/>
      </c>
      <c r="AG121" s="897"/>
      <c r="AH121" s="897"/>
      <c r="AI121" s="897"/>
      <c r="AJ121" s="893"/>
      <c r="AK121" s="897"/>
      <c r="AL121" s="897"/>
      <c r="AM121" s="897"/>
      <c r="AN121" s="893"/>
      <c r="AO121" s="897"/>
      <c r="AP121" s="897"/>
      <c r="AQ121" s="897"/>
      <c r="AR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3"/>
      <c r="BH121" s="893"/>
      <c r="BI121" s="897"/>
      <c r="BJ121" s="893"/>
      <c r="BK121" s="897"/>
      <c r="BL121" s="897"/>
      <c r="BM121" s="893"/>
      <c r="BN121" s="897"/>
      <c r="BO121" s="893"/>
      <c r="BP121" s="897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</row>
    <row r="122" spans="4:81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6"/>
        <v/>
      </c>
      <c r="M122" s="816" t="str">
        <f t="shared" si="57"/>
        <v/>
      </c>
      <c r="N122" s="816" t="str">
        <f t="shared" si="58"/>
        <v/>
      </c>
      <c r="R122" s="816" t="str">
        <f t="shared" si="59"/>
        <v/>
      </c>
      <c r="T122" s="829" t="str">
        <f t="shared" si="60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IF($J122="","",IF(SUM(IF(ISNUMBER(VALUE(RIGHT($AG122:$CH122,1))),VALUE(RIGHT($AG122:$CH122,1)),0))=$J122,"T","F"))</f>
        <v/>
      </c>
      <c r="AE122" s="816" t="str">
        <f t="array" ref="AE122">IF($J122="","",SUM(IF(LEFT($AG122:$DT122,1)="s",1,0))-SUM(IF(RIGHT(LEFT($AG122:$DT122,2))="-",1,0)))</f>
        <v/>
      </c>
      <c r="AF122" s="816" t="str">
        <f t="array" ref="AF122">IF($J122="","",SUM(IF(LEFT($AG122:$CZ122,1)="X",1,0)))</f>
        <v/>
      </c>
      <c r="AG122" s="897"/>
      <c r="AH122" s="897"/>
      <c r="AI122" s="897"/>
      <c r="AJ122" s="893"/>
      <c r="AK122" s="897"/>
      <c r="AL122" s="897"/>
      <c r="AM122" s="897"/>
      <c r="AN122" s="893"/>
      <c r="AO122" s="897"/>
      <c r="AP122" s="897"/>
      <c r="AQ122" s="897"/>
      <c r="AR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7"/>
      <c r="BF122" s="897"/>
      <c r="BG122" s="893"/>
      <c r="BH122" s="893"/>
      <c r="BI122" s="897"/>
      <c r="BJ122" s="893"/>
      <c r="BK122" s="897"/>
      <c r="BL122" s="897"/>
      <c r="BM122" s="893"/>
      <c r="BN122" s="897"/>
      <c r="BO122" s="893"/>
      <c r="BP122" s="897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</row>
    <row r="123" spans="4:81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6"/>
        <v/>
      </c>
      <c r="M123" s="816" t="str">
        <f t="shared" si="57"/>
        <v/>
      </c>
      <c r="N123" s="816" t="str">
        <f t="shared" si="58"/>
        <v/>
      </c>
      <c r="R123" s="816" t="str">
        <f t="shared" si="59"/>
        <v/>
      </c>
      <c r="T123" s="829" t="str">
        <f t="shared" si="60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IF($J123="","",IF(SUM(IF(ISNUMBER(VALUE(RIGHT($AG123:$CH123,1))),VALUE(RIGHT($AG123:$CH123,1)),0))=$J123,"T","F"))</f>
        <v/>
      </c>
      <c r="AE123" s="816" t="str">
        <f t="array" ref="AE123">IF($J123="","",SUM(IF(LEFT($AG123:$DT123,1)="s",1,0))-SUM(IF(RIGHT(LEFT($AG123:$DT123,2))="-",1,0)))</f>
        <v/>
      </c>
      <c r="AF123" s="816" t="str">
        <f t="array" ref="AF123">IF($J123="","",SUM(IF(LEFT($AG123:$CZ123,1)="X",1,0)))</f>
        <v/>
      </c>
    </row>
    <row r="124" spans="4:81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6"/>
        <v/>
      </c>
      <c r="M124" s="816" t="str">
        <f t="shared" si="57"/>
        <v/>
      </c>
      <c r="N124" s="816" t="str">
        <f t="shared" si="58"/>
        <v/>
      </c>
      <c r="R124" s="816" t="str">
        <f t="shared" si="59"/>
        <v/>
      </c>
      <c r="T124" s="829" t="str">
        <f t="shared" si="60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IF($J124="","",IF(SUM(IF(ISNUMBER(VALUE(RIGHT($AG124:$CH124,1))),VALUE(RIGHT($AG124:$CH124,1)),0))=$J124,"T","F"))</f>
        <v/>
      </c>
      <c r="AE124" s="816" t="str">
        <f t="array" ref="AE124">IF($J124="","",SUM(IF(LEFT($AG124:$DT124,1)="s",1,0))-SUM(IF(RIGHT(LEFT($AG124:$DT124,2))="-",1,0)))</f>
        <v/>
      </c>
      <c r="AF124" s="816" t="str">
        <f t="array" ref="AF124">IF($J124="","",SUM(IF(LEFT($AG124:$CZ124,1)="X",1,0)))</f>
        <v/>
      </c>
    </row>
    <row r="125" spans="4:81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6"/>
        <v/>
      </c>
      <c r="M125" s="816" t="str">
        <f t="shared" si="57"/>
        <v/>
      </c>
      <c r="N125" s="816" t="str">
        <f t="shared" si="58"/>
        <v/>
      </c>
      <c r="R125" s="816" t="str">
        <f t="shared" si="59"/>
        <v/>
      </c>
      <c r="T125" s="829" t="str">
        <f t="shared" si="60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IF($J125="","",IF(SUM(IF(ISNUMBER(VALUE(RIGHT($AG125:$CH125,1))),VALUE(RIGHT($AG125:$CH125,1)),0))=$J125,"T","F"))</f>
        <v/>
      </c>
      <c r="AE125" s="816" t="str">
        <f t="array" ref="AE125">IF($J125="","",SUM(IF(LEFT($AG125:$DT125,1)="s",1,0))-SUM(IF(RIGHT(LEFT($AG125:$DT125,2))="-",1,0)))</f>
        <v/>
      </c>
      <c r="AF125" s="816" t="str">
        <f t="array" ref="AF125">IF($J125="","",SUM(IF(LEFT($AG125:$CZ125,1)="X",1,0)))</f>
        <v/>
      </c>
    </row>
    <row r="126" spans="4:81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6"/>
        <v/>
      </c>
      <c r="M126" s="816" t="str">
        <f t="shared" si="57"/>
        <v/>
      </c>
      <c r="N126" s="816" t="str">
        <f t="shared" si="58"/>
        <v/>
      </c>
      <c r="R126" s="816" t="str">
        <f t="shared" si="59"/>
        <v/>
      </c>
      <c r="T126" s="829" t="str">
        <f t="shared" si="60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IF($J126="","",IF(SUM(IF(ISNUMBER(VALUE(RIGHT($AG126:$CH126,1))),VALUE(RIGHT($AG126:$CH126,1)),0))=$J126,"T","F"))</f>
        <v/>
      </c>
      <c r="AE126" s="816" t="str">
        <f t="array" ref="AE126">IF($J126="","",SUM(IF(LEFT($AG126:$DT126,1)="s",1,0))-SUM(IF(RIGHT(LEFT($AG126:$DT126,2))="-",1,0)))</f>
        <v/>
      </c>
      <c r="AF126" s="816" t="str">
        <f t="array" ref="AF126">IF($J126="","",SUM(IF(LEFT($AG126:$CZ126,1)="X",1,0)))</f>
        <v/>
      </c>
    </row>
    <row r="127" spans="4:81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6"/>
        <v/>
      </c>
      <c r="M127" s="816" t="str">
        <f t="shared" si="57"/>
        <v/>
      </c>
      <c r="N127" s="816" t="str">
        <f t="shared" si="58"/>
        <v/>
      </c>
      <c r="R127" s="816" t="str">
        <f t="shared" si="59"/>
        <v/>
      </c>
      <c r="T127" s="829" t="str">
        <f t="shared" si="60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IF($J127="","",IF(SUM(IF(ISNUMBER(VALUE(RIGHT($AG127:$CH127,1))),VALUE(RIGHT($AG127:$CH127,1)),0))=$J127,"T","F"))</f>
        <v/>
      </c>
      <c r="AE127" s="816" t="str">
        <f t="array" ref="AE127">IF($J127="","",SUM(IF(LEFT($AG127:$DT127,1)="s",1,0))-SUM(IF(RIGHT(LEFT($AG127:$DT127,2))="-",1,0)))</f>
        <v/>
      </c>
      <c r="AF127" s="816" t="str">
        <f t="array" ref="AF127">IF($J127="","",SUM(IF(LEFT($AG127:$CZ127,1)="X",1,0)))</f>
        <v/>
      </c>
    </row>
    <row r="128" spans="4:81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6"/>
        <v/>
      </c>
      <c r="M128" s="816" t="str">
        <f t="shared" si="57"/>
        <v/>
      </c>
      <c r="N128" s="816" t="str">
        <f t="shared" si="58"/>
        <v/>
      </c>
      <c r="R128" s="816" t="str">
        <f t="shared" si="59"/>
        <v/>
      </c>
      <c r="T128" s="829" t="str">
        <f t="shared" si="60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IF($J128="","",IF(SUM(IF(ISNUMBER(VALUE(RIGHT($AG128:$CH128,1))),VALUE(RIGHT($AG128:$CH128,1)),0))=$J128,"T","F"))</f>
        <v/>
      </c>
      <c r="AE128" s="816" t="str">
        <f t="array" ref="AE128">IF($J128="","",SUM(IF(LEFT($AG128:$DT128,1)="s",1,0))-SUM(IF(RIGHT(LEFT($AG128:$DT128,2))="-",1,0)))</f>
        <v/>
      </c>
      <c r="AF128" s="816" t="str">
        <f t="array" ref="AF128">IF($J128="","",SUM(IF(LEFT($AG128:$CZ128,1)="X",1,0)))</f>
        <v/>
      </c>
    </row>
    <row r="129" spans="7:29">
      <c r="G129" s="833"/>
      <c r="H129" s="833"/>
      <c r="I129" s="833"/>
      <c r="J129" s="833"/>
      <c r="K129" s="833"/>
      <c r="T129" s="829"/>
      <c r="U129" s="829"/>
      <c r="V129" s="829"/>
      <c r="W129" s="829"/>
      <c r="X129" s="829"/>
      <c r="Y129" s="829"/>
      <c r="Z129" s="829"/>
      <c r="AA129" s="829"/>
      <c r="AB129" s="829"/>
      <c r="AC129" s="829"/>
    </row>
    <row r="130" spans="7:29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7:29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7:29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7:29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7:29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7:29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7:29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7:29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7:29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7:29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7:29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7:29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7:29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7:29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7:29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</sheetData>
  <autoFilter ref="A22:DF75"/>
  <mergeCells count="3">
    <mergeCell ref="W19:X19"/>
    <mergeCell ref="Y19:Z19"/>
    <mergeCell ref="AA19:AB19"/>
  </mergeCells>
  <phoneticPr fontId="21" type="noConversion"/>
  <conditionalFormatting sqref="AD23:AD305">
    <cfRule type="cellIs" dxfId="1314" priority="124" operator="equal">
      <formula>"T"</formula>
    </cfRule>
  </conditionalFormatting>
  <conditionalFormatting sqref="N23:N305">
    <cfRule type="cellIs" dxfId="1313" priority="131" stopIfTrue="1" operator="equal">
      <formula>"U"</formula>
    </cfRule>
    <cfRule type="cellIs" dxfId="1312" priority="132" stopIfTrue="1" operator="equal">
      <formula>"O"</formula>
    </cfRule>
  </conditionalFormatting>
  <conditionalFormatting sqref="L23:L305">
    <cfRule type="cellIs" dxfId="1311" priority="129" stopIfTrue="1" operator="equal">
      <formula>"W"</formula>
    </cfRule>
    <cfRule type="cellIs" dxfId="1310" priority="130" stopIfTrue="1" operator="equal">
      <formula>"D"</formula>
    </cfRule>
  </conditionalFormatting>
  <conditionalFormatting sqref="AF23:AF305">
    <cfRule type="cellIs" dxfId="1309" priority="127" stopIfTrue="1" operator="notEqual">
      <formula>11</formula>
    </cfRule>
    <cfRule type="cellIs" dxfId="1308" priority="128" stopIfTrue="1" operator="between">
      <formula>0</formula>
      <formula>20</formula>
    </cfRule>
  </conditionalFormatting>
  <conditionalFormatting sqref="AE23:AE305">
    <cfRule type="cellIs" dxfId="1307" priority="125" stopIfTrue="1" operator="notEqual">
      <formula>0</formula>
    </cfRule>
    <cfRule type="cellIs" dxfId="1306" priority="126" stopIfTrue="1" operator="between">
      <formula>0</formula>
      <formula>20</formula>
    </cfRule>
  </conditionalFormatting>
  <conditionalFormatting sqref="CE19:CV19">
    <cfRule type="expression" dxfId="1305" priority="120">
      <formula>CE19="G"</formula>
    </cfRule>
    <cfRule type="expression" dxfId="1304" priority="121">
      <formula>CE19="M"</formula>
    </cfRule>
    <cfRule type="expression" dxfId="1303" priority="122">
      <formula>CE19="D"</formula>
    </cfRule>
    <cfRule type="expression" dxfId="1302" priority="123">
      <formula>CE19="A"</formula>
    </cfRule>
  </conditionalFormatting>
  <conditionalFormatting sqref="BO19:CD19 AJ19:AO19 AT19:BL19 AQ19">
    <cfRule type="expression" dxfId="1301" priority="116">
      <formula>AJ19="G"</formula>
    </cfRule>
    <cfRule type="expression" dxfId="1300" priority="117">
      <formula>OR(AJ19="M",AJ19="CM",AJ19="LM",AJ19="RM",AJ19="DM",AJ19="AM")</formula>
    </cfRule>
    <cfRule type="expression" dxfId="1299" priority="118">
      <formula>OR(AJ19="D",AJ19="CB",AJ19="LB",AJ19="RB")</formula>
    </cfRule>
    <cfRule type="expression" dxfId="1298" priority="119">
      <formula>OR(AJ19="A",AJ19="CF",AJ19="SS",AJ19="ST",AJ19="RW",AJ19="LW")</formula>
    </cfRule>
  </conditionalFormatting>
  <conditionalFormatting sqref="BO23:BU25 AL23:AO28 BM26:BU49 AT32:AW32 AL29:AP35 AM36:AP40 AL41:AP49 AG65:AP69 AR68:AR69 AY32:BD32 AT23:BD31 BE23:BL49 BE68:BK71 BE60:BL69 AQ23:AQ71 AO50:AP63 AT33:BD71 BE50:BU65 AM61:AM63 AM64:AP64 AG62:AL64 AL50:AM60 AG23:AJ61 AL61">
    <cfRule type="expression" dxfId="1297" priority="114">
      <formula>IF(ISNUMBER(VALUE(RIGHT(AG23,1))),1,0)</formula>
    </cfRule>
  </conditionalFormatting>
  <conditionalFormatting sqref="BW16:CC16 AG16:BR16">
    <cfRule type="top10" dxfId="1296" priority="133" stopIfTrue="1" rank="5"/>
  </conditionalFormatting>
  <conditionalFormatting sqref="BW15:CC15 AG15:BR15">
    <cfRule type="top10" dxfId="1295" priority="134" rank="11"/>
  </conditionalFormatting>
  <conditionalFormatting sqref="BW17:CC17 AG17:BR17">
    <cfRule type="top10" dxfId="1294" priority="135" stopIfTrue="1" rank="5"/>
  </conditionalFormatting>
  <conditionalFormatting sqref="BW14:CC14 AG14:BR14">
    <cfRule type="top10" dxfId="1293" priority="136" rank="11"/>
  </conditionalFormatting>
  <conditionalFormatting sqref="AG66:AP66 AG68:AP71 AR68:AR71">
    <cfRule type="expression" dxfId="1292" priority="105">
      <formula>IF(ISNUMBER(VALUE(RIGHT(AG66,1))),1,0)</formula>
    </cfRule>
  </conditionalFormatting>
  <conditionalFormatting sqref="AG67:AP67">
    <cfRule type="expression" dxfId="1291" priority="104">
      <formula>IF(ISNUMBER(VALUE(RIGHT(AG67,1))),1,0)</formula>
    </cfRule>
  </conditionalFormatting>
  <conditionalFormatting sqref="AG19:AO19 AT19:BL19 AQ19">
    <cfRule type="cellIs" dxfId="1290" priority="103" operator="equal">
      <formula>"M"</formula>
    </cfRule>
  </conditionalFormatting>
  <conditionalFormatting sqref="AG19:AO19 AT19:BL19 AQ19">
    <cfRule type="cellIs" dxfId="1289" priority="102" operator="equal">
      <formula>"D"</formula>
    </cfRule>
  </conditionalFormatting>
  <conditionalFormatting sqref="AG19:AO19 AT19:BL19 AQ19">
    <cfRule type="cellIs" dxfId="1288" priority="100" operator="equal">
      <formula>"G"</formula>
    </cfRule>
    <cfRule type="cellIs" dxfId="1287" priority="101" operator="equal">
      <formula>"A"</formula>
    </cfRule>
  </conditionalFormatting>
  <conditionalFormatting sqref="AG19:AO19 AT19:BL19 AQ19">
    <cfRule type="containsText" dxfId="1286" priority="97" operator="containsText" text="FW">
      <formula>NOT(ISERROR(SEARCH("FW",AG19)))</formula>
    </cfRule>
    <cfRule type="containsText" dxfId="1285" priority="98" operator="containsText" text="MF">
      <formula>NOT(ISERROR(SEARCH("MF",AG19)))</formula>
    </cfRule>
    <cfRule type="containsText" dxfId="1284" priority="99" operator="containsText" text="DF">
      <formula>NOT(ISERROR(SEARCH("DF",AG19)))</formula>
    </cfRule>
  </conditionalFormatting>
  <conditionalFormatting sqref="AP19">
    <cfRule type="expression" dxfId="1283" priority="59">
      <formula>AP19="G"</formula>
    </cfRule>
    <cfRule type="expression" dxfId="1282" priority="60">
      <formula>OR(AP19="M",AP19="CM",AP19="LM",AP19="RM",AP19="DM",AP19="AM")</formula>
    </cfRule>
    <cfRule type="expression" dxfId="1281" priority="61">
      <formula>OR(AP19="D",AP19="CB",AP19="LB",AP19="RB")</formula>
    </cfRule>
    <cfRule type="expression" dxfId="1280" priority="62">
      <formula>OR(AP19="A",AP19="CF",AP19="SS",AP19="ST",AP19="RW",AP19="LW")</formula>
    </cfRule>
  </conditionalFormatting>
  <conditionalFormatting sqref="AP19">
    <cfRule type="cellIs" dxfId="1279" priority="58" operator="equal">
      <formula>"M"</formula>
    </cfRule>
  </conditionalFormatting>
  <conditionalFormatting sqref="AP19">
    <cfRule type="cellIs" dxfId="1278" priority="57" operator="equal">
      <formula>"D"</formula>
    </cfRule>
  </conditionalFormatting>
  <conditionalFormatting sqref="AP19">
    <cfRule type="cellIs" dxfId="1277" priority="55" operator="equal">
      <formula>"G"</formula>
    </cfRule>
    <cfRule type="cellIs" dxfId="1276" priority="56" operator="equal">
      <formula>"A"</formula>
    </cfRule>
  </conditionalFormatting>
  <conditionalFormatting sqref="AP19">
    <cfRule type="containsText" dxfId="1275" priority="52" operator="containsText" text="FW">
      <formula>NOT(ISERROR(SEARCH("FW",AP19)))</formula>
    </cfRule>
    <cfRule type="containsText" dxfId="1274" priority="53" operator="containsText" text="MF">
      <formula>NOT(ISERROR(SEARCH("MF",AP19)))</formula>
    </cfRule>
    <cfRule type="containsText" dxfId="1273" priority="54" operator="containsText" text="DF">
      <formula>NOT(ISERROR(SEARCH("DF",AP19)))</formula>
    </cfRule>
  </conditionalFormatting>
  <conditionalFormatting sqref="AP23:AP28">
    <cfRule type="expression" dxfId="1272" priority="51">
      <formula>IF(ISNUMBER(VALUE(RIGHT(AP23,1))),1,0)</formula>
    </cfRule>
  </conditionalFormatting>
  <conditionalFormatting sqref="AK23:AK32 AK35 AK41:AK53 AK55:AK57">
    <cfRule type="expression" dxfId="1271" priority="50">
      <formula>IF(ISNUMBER(VALUE(RIGHT(AK23,1))),1,0)</formula>
    </cfRule>
  </conditionalFormatting>
  <conditionalFormatting sqref="AX32">
    <cfRule type="expression" dxfId="1270" priority="49">
      <formula>IF(ISNUMBER(VALUE(RIGHT(AX32,1))),1,0)</formula>
    </cfRule>
  </conditionalFormatting>
  <conditionalFormatting sqref="AK33:AK34">
    <cfRule type="expression" dxfId="1269" priority="48">
      <formula>IF(ISNUMBER(VALUE(RIGHT(AK33,1))),1,0)</formula>
    </cfRule>
  </conditionalFormatting>
  <conditionalFormatting sqref="AL36:AL39">
    <cfRule type="expression" dxfId="1268" priority="47">
      <formula>IF(ISNUMBER(VALUE(RIGHT(AL36,1))),1,0)</formula>
    </cfRule>
  </conditionalFormatting>
  <conditionalFormatting sqref="AK36:AK39">
    <cfRule type="expression" dxfId="1267" priority="46">
      <formula>IF(ISNUMBER(VALUE(RIGHT(AK36,1))),1,0)</formula>
    </cfRule>
  </conditionalFormatting>
  <conditionalFormatting sqref="AL40">
    <cfRule type="expression" dxfId="1266" priority="45">
      <formula>IF(ISNUMBER(VALUE(RIGHT(AL40,1))),1,0)</formula>
    </cfRule>
  </conditionalFormatting>
  <conditionalFormatting sqref="AK40">
    <cfRule type="expression" dxfId="1265" priority="44">
      <formula>IF(ISNUMBER(VALUE(RIGHT(AK40,1))),1,0)</formula>
    </cfRule>
  </conditionalFormatting>
  <conditionalFormatting sqref="AR19">
    <cfRule type="expression" dxfId="1264" priority="40">
      <formula>AR19="G"</formula>
    </cfRule>
    <cfRule type="expression" dxfId="1263" priority="41">
      <formula>OR(AR19="M",AR19="CM",AR19="LM",AR19="RM",AR19="DM",AR19="AM")</formula>
    </cfRule>
    <cfRule type="expression" dxfId="1262" priority="42">
      <formula>OR(AR19="D",AR19="CB",AR19="LB",AR19="RB")</formula>
    </cfRule>
    <cfRule type="expression" dxfId="1261" priority="43">
      <formula>OR(AR19="A",AR19="CF",AR19="SS",AR19="ST",AR19="RW",AR19="LW")</formula>
    </cfRule>
  </conditionalFormatting>
  <conditionalFormatting sqref="AR19">
    <cfRule type="cellIs" dxfId="1260" priority="39" operator="equal">
      <formula>"M"</formula>
    </cfRule>
  </conditionalFormatting>
  <conditionalFormatting sqref="AR19">
    <cfRule type="cellIs" dxfId="1259" priority="38" operator="equal">
      <formula>"D"</formula>
    </cfRule>
  </conditionalFormatting>
  <conditionalFormatting sqref="AR19">
    <cfRule type="cellIs" dxfId="1258" priority="36" operator="equal">
      <formula>"G"</formula>
    </cfRule>
    <cfRule type="cellIs" dxfId="1257" priority="37" operator="equal">
      <formula>"A"</formula>
    </cfRule>
  </conditionalFormatting>
  <conditionalFormatting sqref="AR19">
    <cfRule type="containsText" dxfId="1256" priority="33" operator="containsText" text="FW">
      <formula>NOT(ISERROR(SEARCH("FW",AR19)))</formula>
    </cfRule>
    <cfRule type="containsText" dxfId="1255" priority="34" operator="containsText" text="MF">
      <formula>NOT(ISERROR(SEARCH("MF",AR19)))</formula>
    </cfRule>
    <cfRule type="containsText" dxfId="1254" priority="35" operator="containsText" text="DF">
      <formula>NOT(ISERROR(SEARCH("DF",AR19)))</formula>
    </cfRule>
  </conditionalFormatting>
  <conditionalFormatting sqref="AR48:AR67">
    <cfRule type="expression" dxfId="1253" priority="32">
      <formula>IF(ISNUMBER(VALUE(RIGHT(AR48,1))),1,0)</formula>
    </cfRule>
  </conditionalFormatting>
  <conditionalFormatting sqref="AS19">
    <cfRule type="expression" dxfId="1252" priority="17">
      <formula>AS19="G"</formula>
    </cfRule>
    <cfRule type="expression" dxfId="1251" priority="18">
      <formula>OR(AS19="M",AS19="CM",AS19="LM",AS19="RM",AS19="DM",AS19="AM")</formula>
    </cfRule>
    <cfRule type="expression" dxfId="1250" priority="19">
      <formula>OR(AS19="D",AS19="CB",AS19="LB",AS19="RB")</formula>
    </cfRule>
    <cfRule type="expression" dxfId="1249" priority="20">
      <formula>OR(AS19="A",AS19="CF",AS19="SS",AS19="ST",AS19="RW",AS19="LW")</formula>
    </cfRule>
  </conditionalFormatting>
  <conditionalFormatting sqref="AS19">
    <cfRule type="cellIs" dxfId="1248" priority="16" operator="equal">
      <formula>"M"</formula>
    </cfRule>
  </conditionalFormatting>
  <conditionalFormatting sqref="AS19">
    <cfRule type="cellIs" dxfId="1247" priority="15" operator="equal">
      <formula>"D"</formula>
    </cfRule>
  </conditionalFormatting>
  <conditionalFormatting sqref="AS19">
    <cfRule type="cellIs" dxfId="1246" priority="13" operator="equal">
      <formula>"G"</formula>
    </cfRule>
    <cfRule type="cellIs" dxfId="1245" priority="14" operator="equal">
      <formula>"A"</formula>
    </cfRule>
  </conditionalFormatting>
  <conditionalFormatting sqref="AS19">
    <cfRule type="containsText" dxfId="1244" priority="10" operator="containsText" text="FW">
      <formula>NOT(ISERROR(SEARCH("FW",AS19)))</formula>
    </cfRule>
    <cfRule type="containsText" dxfId="1243" priority="11" operator="containsText" text="MF">
      <formula>NOT(ISERROR(SEARCH("MF",AS19)))</formula>
    </cfRule>
    <cfRule type="containsText" dxfId="1242" priority="12" operator="containsText" text="DF">
      <formula>NOT(ISERROR(SEARCH("DF",AS19)))</formula>
    </cfRule>
  </conditionalFormatting>
  <conditionalFormatting sqref="AN50:AN53 AN55:AN63">
    <cfRule type="expression" dxfId="1241" priority="9">
      <formula>IF(ISNUMBER(VALUE(RIGHT(AN50,1))),1,0)</formula>
    </cfRule>
  </conditionalFormatting>
  <conditionalFormatting sqref="AS52">
    <cfRule type="expression" dxfId="1240" priority="8">
      <formula>IF(ISNUMBER(VALUE(RIGHT(AS52,1))),1,0)</formula>
    </cfRule>
  </conditionalFormatting>
  <conditionalFormatting sqref="AS53:AS67">
    <cfRule type="expression" dxfId="1239" priority="4">
      <formula>IF(ISNUMBER(VALUE(RIGHT(AS53,1))),1,0)</formula>
    </cfRule>
  </conditionalFormatting>
  <conditionalFormatting sqref="AN54">
    <cfRule type="expression" dxfId="1238" priority="3">
      <formula>IF(ISNUMBER(VALUE(RIGHT(AN54,1))),1,0)</formula>
    </cfRule>
  </conditionalFormatting>
  <conditionalFormatting sqref="AK54">
    <cfRule type="expression" dxfId="1237" priority="2">
      <formula>IF(ISNUMBER(VALUE(RIGHT(AK54,1))),1,0)</formula>
    </cfRule>
  </conditionalFormatting>
  <conditionalFormatting sqref="AK58:AK61">
    <cfRule type="expression" dxfId="1236" priority="1">
      <formula>IF(ISNUMBER(VALUE(RIGHT(AK58,1))),1,0)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$I23:$I237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DP236"/>
  <sheetViews>
    <sheetView zoomScale="85" zoomScaleNormal="85" workbookViewId="0">
      <pane xSplit="32" ySplit="22" topLeftCell="AG62" activePane="bottomRight" state="frozen"/>
      <selection activeCell="AB20" sqref="AB20"/>
      <selection pane="topRight" activeCell="AB20" sqref="AB20"/>
      <selection pane="bottomLeft" activeCell="AB20" sqref="AB20"/>
      <selection pane="bottomRight" activeCell="AA65" sqref="AA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3" width="3.75" style="230" customWidth="1"/>
    <col min="44" max="44" width="3.75" bestFit="1" customWidth="1"/>
    <col min="45" max="51" width="3.75" style="230" customWidth="1"/>
    <col min="52" max="52" width="3.75" bestFit="1" customWidth="1"/>
    <col min="53" max="58" width="3.75" style="230" customWidth="1"/>
    <col min="59" max="59" width="4.25" bestFit="1" customWidth="1"/>
    <col min="60" max="63" width="3.75" style="230" customWidth="1"/>
    <col min="64" max="64" width="3.75" bestFit="1" customWidth="1"/>
    <col min="65" max="65" width="3.75" style="230" customWidth="1"/>
    <col min="66" max="66" width="3.75" customWidth="1"/>
    <col min="67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K1" s="814" t="str">
        <f>AG20</f>
        <v>Takanori Sugeno</v>
      </c>
      <c r="AL1" s="814" t="str">
        <f>AH20</f>
        <v>Keisuke Shimizu</v>
      </c>
      <c r="AM1" s="814"/>
      <c r="AN1" s="814"/>
      <c r="AO1" s="814" t="str">
        <f>AK20</f>
        <v>Masato Yuzawa</v>
      </c>
      <c r="AP1" s="814" t="str">
        <f>AL20</f>
        <v>Yuji Takahashi</v>
      </c>
      <c r="AQ1" s="814"/>
      <c r="AS1" s="814" t="str">
        <f>AO20</f>
        <v>Yuta Someya</v>
      </c>
      <c r="AT1" s="814" t="str">
        <f>AP20</f>
        <v>Yusuke Muta</v>
      </c>
      <c r="AU1" s="814" t="str">
        <f>AQ20</f>
        <v>Kyohei Uchida</v>
      </c>
      <c r="AV1" s="814"/>
      <c r="AW1" s="814" t="str">
        <f>AY20</f>
        <v>Keiya Sento</v>
      </c>
      <c r="AX1" s="814" t="str">
        <f>AS20</f>
        <v>Shogo Shimohata</v>
      </c>
      <c r="AY1" s="814" t="str">
        <f>AT20</f>
        <v>Yosuke Ishibitsu</v>
      </c>
      <c r="BA1" s="814">
        <f>BS20</f>
        <v>0</v>
      </c>
      <c r="BB1" s="814"/>
      <c r="BC1" s="814" t="e">
        <f>#REF!</f>
        <v>#REF!</v>
      </c>
      <c r="BD1" s="814"/>
      <c r="BE1" s="814" t="str">
        <f>BA20</f>
        <v>Shun Ito</v>
      </c>
      <c r="BF1" s="814" t="str">
        <f>BB20</f>
        <v>Tomoya Koyamatsu</v>
      </c>
      <c r="BH1" s="814"/>
      <c r="BI1" s="814"/>
      <c r="BJ1" s="814"/>
      <c r="BK1" s="814"/>
      <c r="BM1" s="814" t="str">
        <f>BH20</f>
        <v>Masashi Oguro</v>
      </c>
      <c r="BO1" s="814">
        <f>BO20</f>
        <v>0</v>
      </c>
      <c r="BQ1" s="814">
        <f>BQ20</f>
        <v>0</v>
      </c>
      <c r="BR1" s="814">
        <f>BR20</f>
        <v>0</v>
      </c>
      <c r="BS1" s="814" t="e">
        <f>#REF!</f>
        <v>#REF!</v>
      </c>
      <c r="BT1" s="814"/>
      <c r="BU1" s="814"/>
      <c r="BV1" s="814"/>
      <c r="BW1" s="814"/>
      <c r="BX1" s="814">
        <f t="shared" ref="BX1:CD1" si="0">BX20</f>
        <v>0</v>
      </c>
      <c r="BY1" s="814">
        <f t="shared" si="0"/>
        <v>0</v>
      </c>
      <c r="BZ1" s="814">
        <f t="shared" si="0"/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si="0"/>
        <v>0</v>
      </c>
      <c r="CE1" s="814">
        <f t="shared" ref="CE1:CK1" si="1">CE20</f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  <c r="CK1" s="814">
        <f t="shared" si="1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SUM(IF(L$23:L$238="",0,1)*IF(ISBLANK($T$1),1,IF($I$23:$I$238=$T$1,1,0)))</f>
        <v>43</v>
      </c>
      <c r="AG2" s="874">
        <f t="array" ref="AG2">SUM(IF(ISBLANK(AG$23:AG$238),0,IF(AG$23:AG$238="susp",0,1))*IF(ISBLANK($T$1),1,IF($I$23:$I$238=$T$1,1,0)))</f>
        <v>43</v>
      </c>
      <c r="AH2" s="874">
        <f t="array" ref="AH2">SUM(IF(ISBLANK(AH$23:AH$238),0,IF(AH$23:AH$238="susp",0,1))*IF(ISBLANK($T$1),1,IF($I$23:$I$238=$T$1,1,0)))</f>
        <v>43</v>
      </c>
      <c r="AI2" s="874">
        <f t="array" ref="AI2">SUM(IF(ISBLANK(AI$23:AI$238),0,IF(AI$23:AI$238="susp",0,1))*IF(ISBLANK($T$1),1,IF($I$23:$I$238=$T$1,1,0)))</f>
        <v>42</v>
      </c>
      <c r="AK2" s="874">
        <f t="array" ref="AK2">SUM(IF(ISBLANK(AK$23:AK$238),0,IF(AK$23:AK$238="susp",0,1))*IF(ISBLANK($T$1),1,IF($I$23:$I$238=$T$1,1,0)))</f>
        <v>43</v>
      </c>
      <c r="AL2" s="874">
        <f t="array" ref="AL2">SUM(IF(ISBLANK(AL$23:AL$238),0,IF(AL$23:AL$238="susp",0,1))*IF(ISBLANK($T$1),1,IF($I$23:$I$238=$T$1,1,0)))</f>
        <v>43</v>
      </c>
      <c r="AO2" s="874">
        <f t="array" ref="AO2">SUM(IF(ISBLANK(AO$23:AO$238),0,IF(AO$23:AO$238="susp",0,1))*IF(ISBLANK($T$1),1,IF($I$23:$I$238=$T$1,1,0)))</f>
        <v>42</v>
      </c>
      <c r="AP2" s="874">
        <f t="array" ref="AP2">SUM(IF(ISBLANK(AP$23:AP$238),0,IF(AP$23:AP$238="susp",0,1))*IF(ISBLANK($T$1),1,IF($I$23:$I$238=$T$1,1,0)))</f>
        <v>42</v>
      </c>
      <c r="AS2" s="874">
        <f t="array" ref="AS2">SUM(IF(ISBLANK(AS$23:AS$238),0,IF(AS$23:AS$238="susp",0,1))*IF(ISBLANK($T$1),1,IF($I$23:$I$238=$T$1,1,0)))</f>
        <v>43</v>
      </c>
      <c r="AT2" s="874">
        <f t="array" ref="AT2">SUM(IF(ISBLANK(AT$23:AT$238),0,IF(AT$23:AT$238="susp",0,1))*IF(ISBLANK($T$1),1,IF($I$23:$I$238=$T$1,1,0)))</f>
        <v>43</v>
      </c>
      <c r="AU2" s="874">
        <f t="array" ref="AU2">SUM(IF(ISBLANK(AU$23:AU$238),0,IF(AU$23:AU$238="susp",0,1))*IF(ISBLANK($T$1),1,IF($I$23:$I$238=$T$1,1,0)))</f>
        <v>43</v>
      </c>
      <c r="AW2" s="874">
        <f t="array" ref="AW2">SUM(IF(ISBLANK(AW$23:AW$238),0,IF(AW$23:AW$238="susp",0,1))*IF(ISBLANK($T$1),1,IF($I$23:$I$238=$T$1,1,0)))</f>
        <v>42</v>
      </c>
      <c r="AX2" s="874">
        <f t="array" ref="AX2">SUM(IF(ISBLANK(AX$23:AX$238),0,IF(AX$23:AX$238="susp",0,1))*IF(ISBLANK($T$1),1,IF($I$23:$I$238=$T$1,1,0)))</f>
        <v>43</v>
      </c>
      <c r="AY2" s="874">
        <f t="array" ref="AY2">SUM(IF(ISBLANK(AY$23:AY$238),0,IF(AY$23:AY$238="susp",0,1))*IF(ISBLANK($T$1),1,IF($I$23:$I$238=$T$1,1,0)))</f>
        <v>43</v>
      </c>
      <c r="BA2" s="874">
        <f t="array" ref="BA2">SUM(IF(ISBLANK(BA$23:BA$238),0,IF(BA$23:BA$238="susp",0,1))*IF(ISBLANK($T$1),1,IF($I$23:$I$238=$T$1,1,0)))</f>
        <v>43</v>
      </c>
      <c r="BC2" s="874">
        <f t="array" ref="BC2">SUM(IF(ISBLANK(BC$26:BC$238),0,IF(BC$26:BC$238="susp",0,1))*IF(ISBLANK($T$1),1,IF($I$23:$I$238=$T$1,1,0)))</f>
        <v>40</v>
      </c>
      <c r="BE2" s="874">
        <f t="array" ref="BE2">SUM(IF(ISBLANK(BE$23:BE$238),0,IF(BE$23:BE$238="susp",0,1))*IF(ISBLANK($T$1),1,IF($I$23:$I$238=$T$1,1,0)))</f>
        <v>43</v>
      </c>
      <c r="BF2" s="874">
        <f t="array" ref="BF2">SUM(IF(ISBLANK(BF$23:BF$238),0,IF(BF$23:BF$238="susp",0,1))*IF(ISBLANK($T$1),1,IF($I$23:$I$238=$T$1,1,0)))</f>
        <v>43</v>
      </c>
      <c r="BM2" s="874">
        <f t="array" ref="BM2">SUM(IF(ISBLANK(BM$23:BM$238),0,IF(BM$23:BM$238="susp",0,1))*IF(ISBLANK($T$1),1,IF($I$23:$I$238=$T$1,1,0)))</f>
        <v>0</v>
      </c>
      <c r="BO2" s="874">
        <f t="array" ref="BO2">SUM(IF(ISBLANK(BO$23:BO$238),0,IF(BO$23:BO$238="susp",0,1))*IF(ISBLANK($T$1),1,IF($I$23:$I$238=$T$1,1,0)))</f>
        <v>0</v>
      </c>
      <c r="BQ2" s="874">
        <f t="array" ref="BQ2">SUM(IF(ISBLANK(BQ$23:BQ$238),0,IF(BQ$23:BQ$238="susp",0,1))*IF(ISBLANK($T$1),1,IF($I$23:$I$238=$T$1,1,0)))</f>
        <v>1</v>
      </c>
      <c r="BR2" s="874">
        <f t="array" ref="BR2">SUM(IF(ISBLANK(BR$23:BR$238),0,IF(BR$23:BR$238="susp",0,1))*IF(ISBLANK($T$1),1,IF($I$23:$I$238=$T$1,1,0)))</f>
        <v>1</v>
      </c>
      <c r="BS2" s="874">
        <f t="array" ref="BS2">SUM(IF(ISBLANK(BS$40:BS$238),0,IF(BS$40:BS$238="susp",0,1))*IF(ISBLANK($T$1),1,IF($I$23:$I$238=$T$1,1,0)))</f>
        <v>1</v>
      </c>
      <c r="BX2" s="874">
        <f t="array" ref="BX2">SUM(IF(ISBLANK(BX$23:BX$238),0,IF(BX$23:BX$238="susp",0,1))*IF(ISBLANK($T$1),1,IF($I$23:$I$238=$T$1,1,0)))</f>
        <v>1</v>
      </c>
      <c r="BY2" s="874">
        <f t="array" ref="BY2">SUM(IF(ISBLANK(BY$23:BY$238),0,IF(BY$23:BY$238="susp",0,1))*IF(ISBLANK($T$1),1,IF($I$23:$I$238=$T$1,1,0)))</f>
        <v>0</v>
      </c>
      <c r="BZ2" s="874">
        <f t="array" ref="BZ2">SUM(IF(ISBLANK(BZ$23:BZ$238),0,IF(BZ$23:BZ$238="susp",0,1))*IF(ISBLANK($T$1),1,IF($I$23:$I$238=$T$1,1,0)))</f>
        <v>0</v>
      </c>
      <c r="CA2" s="874">
        <f t="array" ref="CA2">SUM(IF(ISBLANK(CA$23:CA$238),0,IF(CA$23:CA$238="susp",0,1))*IF(ISBLANK($T$1),1,IF($I$23:$I$238=$T$1,1,0)))</f>
        <v>0</v>
      </c>
      <c r="CB2" s="874">
        <f t="array" ref="CB2">SUM(IF(ISBLANK(CB$23:CB$238),0,IF(CB$23:CB$238="susp",0,1))*IF(ISBLANK($T$1),1,IF($I$23:$I$238=$T$1,1,0)))</f>
        <v>0</v>
      </c>
      <c r="CC2" s="874">
        <f t="array" ref="CC2">SUM(IF(ISBLANK(CC$23:CC$238),0,IF(CC$23:CC$238="susp",0,1))*IF(ISBLANK($T$1),1,IF($I$23:$I$238=$T$1,1,0)))</f>
        <v>0</v>
      </c>
      <c r="CD2" s="874">
        <f t="array" ref="CD2">SUM(IF(ISBLANK(CD$23:CD$238),0,IF(CD$23:CD$238="susp",0,1))*IF(ISBLANK($T$1),1,IF($I$23:$I$238=$T$1,1,0)))</f>
        <v>0</v>
      </c>
      <c r="CE2" s="874">
        <f t="array" ref="CE2">SUM(IF(ISBLANK(CE$23:CE$238),0,IF(CE$23:CE$238="susp",0,1))*IF(ISBLANK($T$1),1,IF($I$23:$I$238=$T$1,1,0)))</f>
        <v>0</v>
      </c>
      <c r="CF2" s="874">
        <f t="array" ref="CF2">SUM(IF(ISBLANK(CF$23:CF$238),0,IF(CF$23:CF$238="susp",0,1))*IF(ISBLANK($T$1),1,IF($I$23:$I$238=$T$1,1,0)))</f>
        <v>0</v>
      </c>
      <c r="CG2" s="874">
        <f t="array" ref="CG2">SUM(IF(ISBLANK(CG$23:CG$238),0,IF(CG$23:CG$238="susp",0,1))*IF(ISBLANK($T$1),1,IF($I$23:$I$238=$T$1,1,0)))</f>
        <v>0</v>
      </c>
      <c r="CH2" s="874">
        <f t="array" ref="CH2">SUM(IF(ISBLANK(CH$23:CH$238),0,IF(CH$23:CH$238="susp",0,1))*IF(ISBLANK($T$1),1,IF($I$23:$I$238=$T$1,1,0)))</f>
        <v>0</v>
      </c>
      <c r="CI2" s="874">
        <f t="array" ref="CI2">SUM(IF(ISBLANK(CI$23:CI$238),0,IF(CI$23:CI$238="susp",0,1))*IF(ISBLANK($T$1),1,IF($I$23:$I$238=$T$1,1,0)))</f>
        <v>16</v>
      </c>
      <c r="CJ2" s="874">
        <f t="array" ref="CJ2">SUM(IF(ISBLANK(CJ$23:CJ$238),0,IF(CJ$23:CJ$238="susp",0,1))*IF(ISBLANK($T$1),1,IF($I$23:$I$238=$T$1,1,0)))</f>
        <v>16</v>
      </c>
      <c r="CK2" s="874">
        <f t="array" ref="CK2">SUM(IF(ISBLANK(CK$23:CK$238),0,IF(CK$23:CK$238="susp",0,1))*IF(ISBLANK($T$1),1,IF($I$23:$I$238=$T$1,1,0)))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SUM(IF(L$23:L$238="W",1,0)*IF(ISBLANK($T$1),1,IF($I$23:$I$238=$T$1,1,0)))</f>
        <v>14</v>
      </c>
      <c r="AG3" s="874">
        <f t="array" ref="AG3">SUM(IF(ISTEXT(AG$23:AG$238),1,0)*IF(($L$23:$L$238)="W",1,0)*IF(ISBLANK($T$1),1,IF($I$23:$I$238=$T$1,1,0)))</f>
        <v>14</v>
      </c>
      <c r="AH3" s="874">
        <f t="array" ref="AH3">SUM(IF(ISTEXT(AH$23:AH$238),1,0)*IF(($L$23:$L$238)="W",1,0)*IF(ISBLANK($T$1),1,IF($I$23:$I$238=$T$1,1,0)))</f>
        <v>14</v>
      </c>
      <c r="AI3" s="874">
        <f t="array" ref="AI3">SUM(IF(ISTEXT(AI$23:AI$238),1,0)*IF(($L$23:$L$238)="W",1,0)*IF(ISBLANK($T$1),1,IF($I$23:$I$238=$T$1,1,0)))</f>
        <v>13</v>
      </c>
      <c r="AK3" s="874">
        <f t="array" ref="AK3">SUM(IF(ISTEXT(AK$23:AK$238),1,0)*IF(($L$23:$L$238)="W",1,0)*IF(ISBLANK($T$1),1,IF($I$23:$I$238=$T$1,1,0)))</f>
        <v>14</v>
      </c>
      <c r="AL3" s="874">
        <f t="array" ref="AL3">SUM(IF(ISTEXT(AL$23:AL$238),1,0)*IF(($L$23:$L$238)="W",1,0)*IF(ISBLANK($T$1),1,IF($I$23:$I$238=$T$1,1,0)))</f>
        <v>14</v>
      </c>
      <c r="AO3" s="874">
        <f t="array" ref="AO3">SUM(IF(ISTEXT(AO$23:AO$238),1,0)*IF(($L$23:$L$238)="W",1,0)*IF(ISBLANK($T$1),1,IF($I$23:$I$238=$T$1,1,0)))</f>
        <v>13</v>
      </c>
      <c r="AP3" s="874">
        <f t="array" ref="AP3">SUM(IF(ISTEXT(AP$23:AP$238),1,0)*IF(($L$23:$L$238)="W",1,0)*IF(ISBLANK($T$1),1,IF($I$23:$I$238=$T$1,1,0)))</f>
        <v>13</v>
      </c>
      <c r="AS3" s="874">
        <f t="array" ref="AS3">SUM(IF(ISTEXT(AS$23:AS$238),1,0)*IF(($L$23:$L$238)="W",1,0)*IF(ISBLANK($T$1),1,IF($I$23:$I$238=$T$1,1,0)))</f>
        <v>14</v>
      </c>
      <c r="AT3" s="874">
        <f t="array" ref="AT3">SUM(IF(ISTEXT(AT$23:AT$238),1,0)*IF(($L$23:$L$238)="W",1,0)*IF(ISBLANK($T$1),1,IF($I$23:$I$238=$T$1,1,0)))</f>
        <v>14</v>
      </c>
      <c r="AU3" s="874">
        <f t="array" ref="AU3">SUM(IF(ISTEXT(AU$23:AU$238),1,0)*IF(($L$23:$L$238)="W",1,0)*IF(ISBLANK($T$1),1,IF($I$23:$I$238=$T$1,1,0)))</f>
        <v>14</v>
      </c>
      <c r="AW3" s="874">
        <f t="array" ref="AW3">SUM(IF(ISTEXT(AW$23:AW$238),1,0)*IF(($L$23:$L$238)="W",1,0)*IF(ISBLANK($T$1),1,IF($I$23:$I$238=$T$1,1,0)))</f>
        <v>13</v>
      </c>
      <c r="AX3" s="874">
        <f t="array" ref="AX3">SUM(IF(ISTEXT(AX$23:AX$238),1,0)*IF(($L$23:$L$238)="W",1,0)*IF(ISBLANK($T$1),1,IF($I$23:$I$238=$T$1,1,0)))</f>
        <v>14</v>
      </c>
      <c r="AY3" s="874">
        <f t="array" ref="AY3">SUM(IF(ISTEXT(AY$23:AY$238),1,0)*IF(($L$23:$L$238)="W",1,0)*IF(ISBLANK($T$1),1,IF($I$23:$I$238=$T$1,1,0)))</f>
        <v>14</v>
      </c>
      <c r="BA3" s="874">
        <f t="array" ref="BA3">SUM(IF(ISTEXT(BA$23:BA$238),1,0)*IF(($L$23:$L$238)="W",1,0)*IF(ISBLANK($T$1),1,IF($I$23:$I$238=$T$1,1,0)))</f>
        <v>14</v>
      </c>
      <c r="BC3" s="874" t="e">
        <f t="array" ref="BC3">SUM(IF(ISTEXT(BC$26:BC$238),1,0)*IF(($L$23:$L$238)="W",1,0)*IF(ISBLANK($T$1),1,IF($I$23:$I$238=$T$1,1,0)))</f>
        <v>#N/A</v>
      </c>
      <c r="BE3" s="874">
        <f t="array" ref="BE3">SUM(IF(ISTEXT(BE$23:BE$238),1,0)*IF(($L$23:$L$238)="W",1,0)*IF(ISBLANK($T$1),1,IF($I$23:$I$238=$T$1,1,0)))</f>
        <v>14</v>
      </c>
      <c r="BF3" s="874">
        <f t="array" ref="BF3">SUM(IF(ISTEXT(BF$23:BF$238),1,0)*IF(($L$23:$L$238)="W",1,0)*IF(ISBLANK($T$1),1,IF($I$23:$I$238=$T$1,1,0)))</f>
        <v>14</v>
      </c>
      <c r="BM3" s="874">
        <f t="array" ref="BM3">SUM(IF(ISTEXT(BM$23:BM$238),1,0)*IF(($L$23:$L$238)="W",1,0)*IF(ISBLANK($T$1),1,IF($I$23:$I$238=$T$1,1,0)))</f>
        <v>0</v>
      </c>
      <c r="BO3" s="874">
        <f t="array" ref="BO3">SUM(IF(ISTEXT(BO$23:BO$238),1,0)*IF(($L$23:$L$238)="W",1,0)*IF(ISBLANK($T$1),1,IF($I$23:$I$238=$T$1,1,0)))</f>
        <v>0</v>
      </c>
      <c r="BQ3" s="874">
        <f t="array" ref="BQ3">SUM(IF(ISTEXT(BQ$23:BQ$238),1,0)*IF(($L$23:$L$238)="W",1,0)*IF(ISBLANK($T$1),1,IF($I$23:$I$238=$T$1,1,0)))</f>
        <v>1</v>
      </c>
      <c r="BR3" s="874">
        <f t="array" ref="BR3">SUM(IF(ISTEXT(BR$23:BR$238),1,0)*IF(($L$23:$L$238)="W",1,0)*IF(ISBLANK($T$1),1,IF($I$23:$I$238=$T$1,1,0)))</f>
        <v>1</v>
      </c>
      <c r="BS3" s="874" t="e">
        <f t="array" ref="BS3">SUM(IF(ISTEXT(BS$40:BS$238),1,0)*IF(($L$23:$L$238)="W",1,0)*IF(ISBLANK($T$1),1,IF($I$23:$I$238=$T$1,1,0)))</f>
        <v>#N/A</v>
      </c>
      <c r="BX3" s="874">
        <f t="array" ref="BX3">SUM(IF(ISTEXT(BX$23:BX$238),1,0)*IF(($L$23:$L$238)="W",1,0)*IF(ISBLANK($T$1),1,IF($I$23:$I$238=$T$1,1,0)))</f>
        <v>1</v>
      </c>
      <c r="BY3" s="874">
        <f t="array" ref="BY3">SUM(IF(ISTEXT(BY$23:BY$238),1,0)*IF(($L$23:$L$238)="W",1,0)*IF(ISBLANK($T$1),1,IF($I$23:$I$238=$T$1,1,0)))</f>
        <v>0</v>
      </c>
      <c r="BZ3" s="874">
        <f t="array" ref="BZ3">SUM(IF(ISTEXT(BZ$23:BZ$238),1,0)*IF(($L$23:$L$238)="W",1,0)*IF(ISBLANK($T$1),1,IF($I$23:$I$238=$T$1,1,0)))</f>
        <v>0</v>
      </c>
      <c r="CA3" s="874">
        <f t="array" ref="CA3">SUM(IF(ISTEXT(CA$23:CA$238),1,0)*IF(($L$23:$L$238)="W",1,0)*IF(ISBLANK($T$1),1,IF($I$23:$I$238=$T$1,1,0)))</f>
        <v>0</v>
      </c>
      <c r="CB3" s="874">
        <f t="array" ref="CB3">SUM(IF(ISTEXT(CB$23:CB$238),1,0)*IF(($L$23:$L$238)="W",1,0)*IF(ISBLANK($T$1),1,IF($I$23:$I$238=$T$1,1,0)))</f>
        <v>0</v>
      </c>
      <c r="CC3" s="874">
        <f t="array" ref="CC3">SUM(IF(ISTEXT(CC$23:CC$238),1,0)*IF(($L$23:$L$238)="W",1,0)*IF(ISBLANK($T$1),1,IF($I$23:$I$238=$T$1,1,0)))</f>
        <v>0</v>
      </c>
      <c r="CD3" s="874">
        <f t="array" ref="CD3">SUM(IF(ISTEXT(CD$23:CD$238),1,0)*IF(($L$23:$L$238)="W",1,0)*IF(ISBLANK($T$1),1,IF($I$23:$I$238=$T$1,1,0)))</f>
        <v>0</v>
      </c>
      <c r="CE3" s="874">
        <f t="array" ref="CE3">SUM(IF(ISTEXT(CE$23:CE$238),1,0)*IF(($L$23:$L$238)="W",1,0)*IF(ISBLANK($T$1),1,IF($I$23:$I$238=$T$1,1,0)))</f>
        <v>0</v>
      </c>
      <c r="CF3" s="874">
        <f t="array" ref="CF3">SUM(IF(ISTEXT(CF$23:CF$238),1,0)*IF(($L$23:$L$238)="W",1,0)*IF(ISBLANK($T$1),1,IF($I$23:$I$238=$T$1,1,0)))</f>
        <v>0</v>
      </c>
      <c r="CG3" s="874">
        <f t="array" ref="CG3">SUM(IF(ISTEXT(CG$23:CG$238),1,0)*IF(($L$23:$L$238)="W",1,0)*IF(ISBLANK($T$1),1,IF($I$23:$I$238=$T$1,1,0)))</f>
        <v>0</v>
      </c>
      <c r="CH3" s="874">
        <f t="array" ref="CH3">SUM(IF(ISTEXT(CH$23:CH$238),1,0)*IF(($L$23:$L$238)="W",1,0)*IF(ISBLANK($T$1),1,IF($I$23:$I$238=$T$1,1,0)))</f>
        <v>0</v>
      </c>
      <c r="CI3" s="874">
        <f t="array" ref="CI3">SUM(IF(ISTEXT(CI$23:CI$238),1,0)*IF(($L$23:$L$238)="W",1,0)*IF(ISBLANK($T$1),1,IF($I$23:$I$238=$T$1,1,0)))</f>
        <v>5</v>
      </c>
      <c r="CJ3" s="874">
        <f t="array" ref="CJ3">SUM(IF(ISTEXT(CJ$23:CJ$238),1,0)*IF(($L$23:$L$238)="W",1,0)*IF(ISBLANK($T$1),1,IF($I$23:$I$238=$T$1,1,0)))</f>
        <v>5</v>
      </c>
      <c r="CK3" s="874">
        <f t="array" ref="CK3">SUM(IF(ISTEXT(CK$23:CK$238),1,0)*IF(($L$23:$L$238)="W",1,0)*IF(ISBLANK($T$1),1,IF($I$23:$I$238=$T$1,1,0)))</f>
        <v>5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SUM(IF(L$23:L$238="D",1,0)*IF(ISBLANK($T$1),1,IF($I$23:$I$238=$T$1,1,0)))</f>
        <v>15</v>
      </c>
      <c r="AG4" s="874">
        <f t="array" ref="AG4">SUM(IF(ISTEXT(AG$23:AG$238),1,0)*IF(($L$23:$L$238)="D",1,0)*IF(ISBLANK($T$1),1,IF($I$23:$I$238=$T$1,1,0)))</f>
        <v>15</v>
      </c>
      <c r="AH4" s="874">
        <f t="array" ref="AH4">SUM(IF(ISTEXT(AH$23:AH$238),1,0)*IF(($L$23:$L$238)="D",1,0)*IF(ISBLANK($T$1),1,IF($I$23:$I$238=$T$1,1,0)))</f>
        <v>15</v>
      </c>
      <c r="AI4" s="874">
        <f t="array" ref="AI4">SUM(IF(ISTEXT(AI$23:AI$238),1,0)*IF(($L$23:$L$238)="D",1,0)*IF(ISBLANK($T$1),1,IF($I$23:$I$238=$T$1,1,0)))</f>
        <v>15</v>
      </c>
      <c r="AK4" s="874">
        <f t="array" ref="AK4">SUM(IF(ISTEXT(AK$23:AK$238),1,0)*IF(($L$23:$L$238)="D",1,0)*IF(ISBLANK($T$1),1,IF($I$23:$I$238=$T$1,1,0)))</f>
        <v>15</v>
      </c>
      <c r="AL4" s="874">
        <f t="array" ref="AL4">SUM(IF(ISTEXT(AL$23:AL$238),1,0)*IF(($L$23:$L$238)="D",1,0)*IF(ISBLANK($T$1),1,IF($I$23:$I$238=$T$1,1,0)))</f>
        <v>15</v>
      </c>
      <c r="AO4" s="874">
        <f t="array" ref="AO4">SUM(IF(ISTEXT(AO$23:AO$238),1,0)*IF(($L$23:$L$238)="D",1,0)*IF(ISBLANK($T$1),1,IF($I$23:$I$238=$T$1,1,0)))</f>
        <v>15</v>
      </c>
      <c r="AP4" s="874">
        <f t="array" ref="AP4">SUM(IF(ISTEXT(AP$23:AP$238),1,0)*IF(($L$23:$L$238)="D",1,0)*IF(ISBLANK($T$1),1,IF($I$23:$I$238=$T$1,1,0)))</f>
        <v>15</v>
      </c>
      <c r="AS4" s="874">
        <f t="array" ref="AS4">SUM(IF(ISTEXT(AS$23:AS$238),1,0)*IF(($L$23:$L$238)="D",1,0)*IF(ISBLANK($T$1),1,IF($I$23:$I$238=$T$1,1,0)))</f>
        <v>15</v>
      </c>
      <c r="AT4" s="874">
        <f t="array" ref="AT4">SUM(IF(ISTEXT(AT$23:AT$238),1,0)*IF(($L$23:$L$238)="D",1,0)*IF(ISBLANK($T$1),1,IF($I$23:$I$238=$T$1,1,0)))</f>
        <v>15</v>
      </c>
      <c r="AU4" s="874">
        <f t="array" ref="AU4">SUM(IF(ISTEXT(AU$23:AU$238),1,0)*IF(($L$23:$L$238)="D",1,0)*IF(ISBLANK($T$1),1,IF($I$23:$I$238=$T$1,1,0)))</f>
        <v>15</v>
      </c>
      <c r="AW4" s="874">
        <f t="array" ref="AW4">SUM(IF(ISTEXT(AW$23:AW$238),1,0)*IF(($L$23:$L$238)="D",1,0)*IF(ISBLANK($T$1),1,IF($I$23:$I$238=$T$1,1,0)))</f>
        <v>15</v>
      </c>
      <c r="AX4" s="874">
        <f t="array" ref="AX4">SUM(IF(ISTEXT(AX$23:AX$238),1,0)*IF(($L$23:$L$238)="D",1,0)*IF(ISBLANK($T$1),1,IF($I$23:$I$238=$T$1,1,0)))</f>
        <v>15</v>
      </c>
      <c r="AY4" s="874">
        <f t="array" ref="AY4">SUM(IF(ISTEXT(AY$23:AY$238),1,0)*IF(($L$23:$L$238)="D",1,0)*IF(ISBLANK($T$1),1,IF($I$23:$I$238=$T$1,1,0)))</f>
        <v>15</v>
      </c>
      <c r="BA4" s="874">
        <f t="array" ref="BA4">SUM(IF(ISTEXT(BA$23:BA$238),1,0)*IF(($L$23:$L$238)="D",1,0)*IF(ISBLANK($T$1),1,IF($I$23:$I$238=$T$1,1,0)))</f>
        <v>15</v>
      </c>
      <c r="BC4" s="874" t="e">
        <f t="array" ref="BC4">SUM(IF(ISTEXT(BC$26:BC$238),1,0)*IF(($L$23:$L$238)="D",1,0)*IF(ISBLANK($T$1),1,IF($I$23:$I$238=$T$1,1,0)))</f>
        <v>#N/A</v>
      </c>
      <c r="BE4" s="874">
        <f t="array" ref="BE4">SUM(IF(ISTEXT(BE$23:BE$238),1,0)*IF(($L$23:$L$238)="D",1,0)*IF(ISBLANK($T$1),1,IF($I$23:$I$238=$T$1,1,0)))</f>
        <v>15</v>
      </c>
      <c r="BF4" s="874">
        <f t="array" ref="BF4">SUM(IF(ISTEXT(BF$23:BF$238),1,0)*IF(($L$23:$L$238)="D",1,0)*IF(ISBLANK($T$1),1,IF($I$23:$I$238=$T$1,1,0)))</f>
        <v>15</v>
      </c>
      <c r="BM4" s="874">
        <f t="array" ref="BM4">SUM(IF(ISTEXT(BM$23:BM$238),1,0)*IF(($L$23:$L$238)="D",1,0)*IF(ISBLANK($T$1),1,IF($I$23:$I$238=$T$1,1,0)))</f>
        <v>0</v>
      </c>
      <c r="BO4" s="874">
        <f t="array" ref="BO4">SUM(IF(ISTEXT(BO$23:BO$238),1,0)*IF(($L$23:$L$238)="D",1,0)*IF(ISBLANK($T$1),1,IF($I$23:$I$238=$T$1,1,0)))</f>
        <v>0</v>
      </c>
      <c r="BQ4" s="874">
        <f t="array" ref="BQ4">SUM(IF(ISTEXT(BQ$23:BQ$238),1,0)*IF(($L$23:$L$238)="D",1,0)*IF(ISBLANK($T$1),1,IF($I$23:$I$238=$T$1,1,0)))</f>
        <v>0</v>
      </c>
      <c r="BR4" s="874">
        <f t="array" ref="BR4">SUM(IF(ISTEXT(BR$23:BR$238),1,0)*IF(($L$23:$L$238)="D",1,0)*IF(ISBLANK($T$1),1,IF($I$23:$I$238=$T$1,1,0)))</f>
        <v>0</v>
      </c>
      <c r="BS4" s="874" t="e">
        <f t="array" ref="BS4">SUM(IF(ISTEXT(BS$40:BS$238),1,0)*IF(($L$23:$L$238)="D",1,0)*IF(ISBLANK($T$1),1,IF($I$23:$I$238=$T$1,1,0)))</f>
        <v>#N/A</v>
      </c>
      <c r="BX4" s="874">
        <f t="array" ref="BX4">SUM(IF(ISTEXT(BX$23:BX$238),1,0)*IF(($L$23:$L$238)="D",1,0)*IF(ISBLANK($T$1),1,IF($I$23:$I$238=$T$1,1,0)))</f>
        <v>0</v>
      </c>
      <c r="BY4" s="874">
        <f t="array" ref="BY4">SUM(IF(ISTEXT(BY$23:BY$238),1,0)*IF(($L$23:$L$238)="D",1,0)*IF(ISBLANK($T$1),1,IF($I$23:$I$238=$T$1,1,0)))</f>
        <v>0</v>
      </c>
      <c r="BZ4" s="874">
        <f t="array" ref="BZ4">SUM(IF(ISTEXT(BZ$23:BZ$238),1,0)*IF(($L$23:$L$238)="D",1,0)*IF(ISBLANK($T$1),1,IF($I$23:$I$238=$T$1,1,0)))</f>
        <v>0</v>
      </c>
      <c r="CA4" s="874">
        <f t="array" ref="CA4">SUM(IF(ISTEXT(CA$23:CA$238),1,0)*IF(($L$23:$L$238)="D",1,0)*IF(ISBLANK($T$1),1,IF($I$23:$I$238=$T$1,1,0)))</f>
        <v>0</v>
      </c>
      <c r="CB4" s="874">
        <f t="array" ref="CB4">SUM(IF(ISTEXT(CB$23:CB$238),1,0)*IF(($L$23:$L$238)="D",1,0)*IF(ISBLANK($T$1),1,IF($I$23:$I$238=$T$1,1,0)))</f>
        <v>0</v>
      </c>
      <c r="CC4" s="874">
        <f t="array" ref="CC4">SUM(IF(ISTEXT(CC$23:CC$238),1,0)*IF(($L$23:$L$238)="D",1,0)*IF(ISBLANK($T$1),1,IF($I$23:$I$238=$T$1,1,0)))</f>
        <v>0</v>
      </c>
      <c r="CD4" s="874">
        <f t="array" ref="CD4">SUM(IF(ISTEXT(CD$23:CD$238),1,0)*IF(($L$23:$L$238)="D",1,0)*IF(ISBLANK($T$1),1,IF($I$23:$I$238=$T$1,1,0)))</f>
        <v>0</v>
      </c>
      <c r="CE4" s="874">
        <f t="array" ref="CE4">SUM(IF(ISTEXT(CE$23:CE$238),1,0)*IF(($L$23:$L$238)="D",1,0)*IF(ISBLANK($T$1),1,IF($I$23:$I$238=$T$1,1,0)))</f>
        <v>0</v>
      </c>
      <c r="CF4" s="874">
        <f t="array" ref="CF4">SUM(IF(ISTEXT(CF$23:CF$238),1,0)*IF(($L$23:$L$238)="D",1,0)*IF(ISBLANK($T$1),1,IF($I$23:$I$238=$T$1,1,0)))</f>
        <v>0</v>
      </c>
      <c r="CG4" s="874">
        <f t="array" ref="CG4">SUM(IF(ISTEXT(CG$23:CG$238),1,0)*IF(($L$23:$L$238)="D",1,0)*IF(ISBLANK($T$1),1,IF($I$23:$I$238=$T$1,1,0)))</f>
        <v>0</v>
      </c>
      <c r="CH4" s="874">
        <f t="array" ref="CH4">SUM(IF(ISTEXT(CH$23:CH$238),1,0)*IF(($L$23:$L$238)="D",1,0)*IF(ISBLANK($T$1),1,IF($I$23:$I$238=$T$1,1,0)))</f>
        <v>0</v>
      </c>
      <c r="CI4" s="874">
        <f t="array" ref="CI4">SUM(IF(ISTEXT(CI$23:CI$238),1,0)*IF(($L$23:$L$238)="D",1,0)*IF(ISBLANK($T$1),1,IF($I$23:$I$238=$T$1,1,0)))</f>
        <v>4</v>
      </c>
      <c r="CJ4" s="874">
        <f t="array" ref="CJ4">SUM(IF(ISTEXT(CJ$23:CJ$238),1,0)*IF(($L$23:$L$238)="D",1,0)*IF(ISBLANK($T$1),1,IF($I$23:$I$238=$T$1,1,0)))</f>
        <v>4</v>
      </c>
      <c r="CK4" s="874">
        <f t="array" ref="CK4">SUM(IF(ISTEXT(CK$23:CK$238),1,0)*IF(($L$23:$L$238)="D",1,0)*IF(ISBLANK($T$1),1,IF($I$23:$I$238=$T$1,1,0)))</f>
        <v>3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SUM(IF(L$23:L$238="L",1,0)*IF(ISBLANK($T$1),1,IF($I$23:$I$238=$T$1,1,0)))</f>
        <v>14</v>
      </c>
      <c r="AG5" s="874">
        <f t="array" ref="AG5">SUM(IF(ISTEXT(AG$23:AG$238),1,0)*IF(($L$23:$L$238)="L",1,0)*IF(ISBLANK($T$1),1,IF($I$23:$I$238=$T$1,1,0)))</f>
        <v>14</v>
      </c>
      <c r="AH5" s="874">
        <f t="array" ref="AH5">SUM(IF(ISTEXT(AH$23:AH$238),1,0)*IF(($L$23:$L$238)="L",1,0)*IF(ISBLANK($T$1),1,IF($I$23:$I$238=$T$1,1,0)))</f>
        <v>14</v>
      </c>
      <c r="AI5" s="874">
        <f t="array" ref="AI5">SUM(IF(ISTEXT(AI$23:AI$238),1,0)*IF(($L$23:$L$238)="L",1,0)*IF(ISBLANK($T$1),1,IF($I$23:$I$238=$T$1,1,0)))</f>
        <v>14</v>
      </c>
      <c r="AK5" s="874">
        <f t="array" ref="AK5">SUM(IF(ISTEXT(AK$23:AK$238),1,0)*IF(($L$23:$L$238)="L",1,0)*IF(ISBLANK($T$1),1,IF($I$23:$I$238=$T$1,1,0)))</f>
        <v>14</v>
      </c>
      <c r="AL5" s="874">
        <f t="array" ref="AL5">SUM(IF(ISTEXT(AL$23:AL$238),1,0)*IF(($L$23:$L$238)="L",1,0)*IF(ISBLANK($T$1),1,IF($I$23:$I$238=$T$1,1,0)))</f>
        <v>14</v>
      </c>
      <c r="AO5" s="874">
        <f t="array" ref="AO5">SUM(IF(ISTEXT(AO$23:AO$238),1,0)*IF(($L$23:$L$238)="L",1,0)*IF(ISBLANK($T$1),1,IF($I$23:$I$238=$T$1,1,0)))</f>
        <v>14</v>
      </c>
      <c r="AP5" s="874">
        <f t="array" ref="AP5">SUM(IF(ISTEXT(AP$23:AP$238),1,0)*IF(($L$23:$L$238)="L",1,0)*IF(ISBLANK($T$1),1,IF($I$23:$I$238=$T$1,1,0)))</f>
        <v>14</v>
      </c>
      <c r="AS5" s="874">
        <f t="array" ref="AS5">SUM(IF(ISTEXT(AS$23:AS$238),1,0)*IF(($L$23:$L$238)="L",1,0)*IF(ISBLANK($T$1),1,IF($I$23:$I$238=$T$1,1,0)))</f>
        <v>14</v>
      </c>
      <c r="AT5" s="874">
        <f t="array" ref="AT5">SUM(IF(ISTEXT(AT$23:AT$238),1,0)*IF(($L$23:$L$238)="L",1,0)*IF(ISBLANK($T$1),1,IF($I$23:$I$238=$T$1,1,0)))</f>
        <v>14</v>
      </c>
      <c r="AU5" s="874">
        <f t="array" ref="AU5">SUM(IF(ISTEXT(AU$23:AU$238),1,0)*IF(($L$23:$L$238)="L",1,0)*IF(ISBLANK($T$1),1,IF($I$23:$I$238=$T$1,1,0)))</f>
        <v>14</v>
      </c>
      <c r="AW5" s="874">
        <f t="array" ref="AW5">SUM(IF(ISTEXT(AW$23:AW$238),1,0)*IF(($L$23:$L$238)="L",1,0)*IF(ISBLANK($T$1),1,IF($I$23:$I$238=$T$1,1,0)))</f>
        <v>14</v>
      </c>
      <c r="AX5" s="874">
        <f t="array" ref="AX5">SUM(IF(ISTEXT(AX$23:AX$238),1,0)*IF(($L$23:$L$238)="L",1,0)*IF(ISBLANK($T$1),1,IF($I$23:$I$238=$T$1,1,0)))</f>
        <v>14</v>
      </c>
      <c r="AY5" s="874">
        <f t="array" ref="AY5">SUM(IF(ISTEXT(AY$23:AY$238),1,0)*IF(($L$23:$L$238)="L",1,0)*IF(ISBLANK($T$1),1,IF($I$23:$I$238=$T$1,1,0)))</f>
        <v>14</v>
      </c>
      <c r="BA5" s="874">
        <f t="array" ref="BA5">SUM(IF(ISTEXT(BA$23:BA$238),1,0)*IF(($L$23:$L$238)="L",1,0)*IF(ISBLANK($T$1),1,IF($I$23:$I$238=$T$1,1,0)))</f>
        <v>14</v>
      </c>
      <c r="BC5" s="874" t="e">
        <f t="array" ref="BC5">SUM(IF(ISTEXT(BC$26:BC$238),1,0)*IF(($L$23:$L$238)="L",1,0)*IF(ISBLANK($T$1),1,IF($I$23:$I$238=$T$1,1,0)))</f>
        <v>#N/A</v>
      </c>
      <c r="BE5" s="874">
        <f t="array" ref="BE5">SUM(IF(ISTEXT(BE$23:BE$238),1,0)*IF(($L$23:$L$238)="L",1,0)*IF(ISBLANK($T$1),1,IF($I$23:$I$238=$T$1,1,0)))</f>
        <v>14</v>
      </c>
      <c r="BF5" s="874">
        <f t="array" ref="BF5">SUM(IF(ISTEXT(BF$23:BF$238),1,0)*IF(($L$23:$L$238)="L",1,0)*IF(ISBLANK($T$1),1,IF($I$23:$I$238=$T$1,1,0)))</f>
        <v>14</v>
      </c>
      <c r="BM5" s="874">
        <f t="array" ref="BM5">SUM(IF(ISTEXT(BM$23:BM$238),1,0)*IF(($L$23:$L$238)="L",1,0)*IF(ISBLANK($T$1),1,IF($I$23:$I$238=$T$1,1,0)))</f>
        <v>0</v>
      </c>
      <c r="BO5" s="874">
        <f t="array" ref="BO5">SUM(IF(ISTEXT(BO$23:BO$238),1,0)*IF(($L$23:$L$238)="L",1,0)*IF(ISBLANK($T$1),1,IF($I$23:$I$238=$T$1,1,0)))</f>
        <v>0</v>
      </c>
      <c r="BQ5" s="874">
        <f t="array" ref="BQ5">SUM(IF(ISTEXT(BQ$23:BQ$238),1,0)*IF(($L$23:$L$238)="L",1,0)*IF(ISBLANK($T$1),1,IF($I$23:$I$238=$T$1,1,0)))</f>
        <v>0</v>
      </c>
      <c r="BR5" s="874">
        <f t="array" ref="BR5">SUM(IF(ISTEXT(BR$23:BR$238),1,0)*IF(($L$23:$L$238)="L",1,0)*IF(ISBLANK($T$1),1,IF($I$23:$I$238=$T$1,1,0)))</f>
        <v>0</v>
      </c>
      <c r="BS5" s="874" t="e">
        <f t="array" ref="BS5">SUM(IF(ISTEXT(BS$40:BS$238),1,0)*IF(($L$23:$L$238)="L",1,0)*IF(ISBLANK($T$1),1,IF($I$23:$I$238=$T$1,1,0)))</f>
        <v>#N/A</v>
      </c>
      <c r="BX5" s="874">
        <f t="array" ref="BX5">SUM(IF(ISTEXT(BX$23:BX$238),1,0)*IF(($L$23:$L$238)="L",1,0)*IF(ISBLANK($T$1),1,IF($I$23:$I$238=$T$1,1,0)))</f>
        <v>0</v>
      </c>
      <c r="BY5" s="874">
        <f t="array" ref="BY5">SUM(IF(ISTEXT(BY$23:BY$238),1,0)*IF(($L$23:$L$238)="L",1,0)*IF(ISBLANK($T$1),1,IF($I$23:$I$238=$T$1,1,0)))</f>
        <v>0</v>
      </c>
      <c r="BZ5" s="874">
        <f t="array" ref="BZ5">SUM(IF(ISTEXT(BZ$23:BZ$238),1,0)*IF(($L$23:$L$238)="L",1,0)*IF(ISBLANK($T$1),1,IF($I$23:$I$238=$T$1,1,0)))</f>
        <v>0</v>
      </c>
      <c r="CA5" s="874">
        <f t="array" ref="CA5">SUM(IF(ISTEXT(CA$23:CA$238),1,0)*IF(($L$23:$L$238)="L",1,0)*IF(ISBLANK($T$1),1,IF($I$23:$I$238=$T$1,1,0)))</f>
        <v>0</v>
      </c>
      <c r="CB5" s="874">
        <f t="array" ref="CB5">SUM(IF(ISTEXT(CB$23:CB$238),1,0)*IF(($L$23:$L$238)="L",1,0)*IF(ISBLANK($T$1),1,IF($I$23:$I$238=$T$1,1,0)))</f>
        <v>0</v>
      </c>
      <c r="CC5" s="874">
        <f t="array" ref="CC5">SUM(IF(ISTEXT(CC$23:CC$238),1,0)*IF(($L$23:$L$238)="L",1,0)*IF(ISBLANK($T$1),1,IF($I$23:$I$238=$T$1,1,0)))</f>
        <v>0</v>
      </c>
      <c r="CD5" s="874">
        <f t="array" ref="CD5">SUM(IF(ISTEXT(CD$23:CD$238),1,0)*IF(($L$23:$L$238)="L",1,0)*IF(ISBLANK($T$1),1,IF($I$23:$I$238=$T$1,1,0)))</f>
        <v>0</v>
      </c>
      <c r="CE5" s="874">
        <f t="array" ref="CE5">SUM(IF(ISTEXT(CE$23:CE$238),1,0)*IF(($L$23:$L$238)="L",1,0)*IF(ISBLANK($T$1),1,IF($I$23:$I$238=$T$1,1,0)))</f>
        <v>0</v>
      </c>
      <c r="CF5" s="874">
        <f t="array" ref="CF5">SUM(IF(ISTEXT(CF$23:CF$238),1,0)*IF(($L$23:$L$238)="L",1,0)*IF(ISBLANK($T$1),1,IF($I$23:$I$238=$T$1,1,0)))</f>
        <v>0</v>
      </c>
      <c r="CG5" s="874">
        <f t="array" ref="CG5">SUM(IF(ISTEXT(CG$23:CG$238),1,0)*IF(($L$23:$L$238)="L",1,0)*IF(ISBLANK($T$1),1,IF($I$23:$I$238=$T$1,1,0)))</f>
        <v>0</v>
      </c>
      <c r="CH5" s="874">
        <f t="array" ref="CH5">SUM(IF(ISTEXT(CH$23:CH$238),1,0)*IF(($L$23:$L$238)="L",1,0)*IF(ISBLANK($T$1),1,IF($I$23:$I$238=$T$1,1,0)))</f>
        <v>0</v>
      </c>
      <c r="CI5" s="874">
        <f t="array" ref="CI5">SUM(IF(ISTEXT(CI$23:CI$238),1,0)*IF(($L$23:$L$238)="L",1,0)*IF(ISBLANK($T$1),1,IF($I$23:$I$238=$T$1,1,0)))</f>
        <v>7</v>
      </c>
      <c r="CJ5" s="874">
        <f t="array" ref="CJ5">SUM(IF(ISTEXT(CJ$23:CJ$238),1,0)*IF(($L$23:$L$238)="L",1,0)*IF(ISBLANK($T$1),1,IF($I$23:$I$238=$T$1,1,0)))</f>
        <v>7</v>
      </c>
      <c r="CK5" s="874">
        <f t="array" ref="CK5">SUM(IF(ISTEXT(CK$23:CK$238),1,0)*IF(($L$23:$L$238)="L",1,0)*IF(ISBLANK($T$1),1,IF($I$23:$I$238=$T$1,1,0)))</f>
        <v>7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57</v>
      </c>
      <c r="AG6" s="874">
        <f t="shared" ref="AG6:CK6" si="2">AG$3*3+AG$4</f>
        <v>57</v>
      </c>
      <c r="AH6" s="874">
        <f t="shared" si="2"/>
        <v>57</v>
      </c>
      <c r="AI6" s="874">
        <f t="shared" si="2"/>
        <v>54</v>
      </c>
      <c r="AK6" s="874">
        <f t="shared" si="2"/>
        <v>57</v>
      </c>
      <c r="AL6" s="874">
        <f t="shared" si="2"/>
        <v>57</v>
      </c>
      <c r="AO6" s="874">
        <f>AO$3*3+AO$4</f>
        <v>54</v>
      </c>
      <c r="AP6" s="874">
        <f t="shared" si="2"/>
        <v>54</v>
      </c>
      <c r="AS6" s="874">
        <f>AS$3*3+AS$4</f>
        <v>57</v>
      </c>
      <c r="AT6" s="874">
        <f>AT$3*3+AT$4</f>
        <v>57</v>
      </c>
      <c r="AU6" s="874">
        <f t="shared" si="2"/>
        <v>57</v>
      </c>
      <c r="AW6" s="874">
        <f t="shared" si="2"/>
        <v>54</v>
      </c>
      <c r="AX6" s="874">
        <f>AX$3*3+AX$4</f>
        <v>57</v>
      </c>
      <c r="AY6" s="874">
        <f>AY$3*3+AY$4</f>
        <v>57</v>
      </c>
      <c r="BA6" s="874">
        <f>BA$3*3+BA$4</f>
        <v>57</v>
      </c>
      <c r="BC6" s="874" t="e">
        <f>BC$3*3+BC$4</f>
        <v>#N/A</v>
      </c>
      <c r="BE6" s="874">
        <f>BE$3*3+BE$4</f>
        <v>57</v>
      </c>
      <c r="BF6" s="874">
        <f>BF$3*3+BF$4</f>
        <v>57</v>
      </c>
      <c r="BM6" s="874">
        <f>BM$3*3+BM$4</f>
        <v>0</v>
      </c>
      <c r="BO6" s="874">
        <f>BO$3*3+BO$4</f>
        <v>0</v>
      </c>
      <c r="BQ6" s="874">
        <f>BQ$3*3+BQ$4</f>
        <v>3</v>
      </c>
      <c r="BR6" s="874">
        <f>BR$3*3+BR$4</f>
        <v>3</v>
      </c>
      <c r="BS6" s="874" t="e">
        <f t="shared" si="2"/>
        <v>#N/A</v>
      </c>
      <c r="BX6" s="874">
        <f t="shared" ref="BX6:CD6" si="3">BX$3*3+BX$4</f>
        <v>3</v>
      </c>
      <c r="BY6" s="874">
        <f t="shared" si="3"/>
        <v>0</v>
      </c>
      <c r="BZ6" s="874">
        <f t="shared" si="3"/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19</v>
      </c>
      <c r="CJ6" s="874">
        <f t="shared" si="2"/>
        <v>19</v>
      </c>
      <c r="CK6" s="874">
        <f t="shared" si="2"/>
        <v>18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4">AF6/AF2</f>
        <v>1.3255813953488371</v>
      </c>
      <c r="AG7" s="874">
        <f t="shared" si="4"/>
        <v>1.3255813953488371</v>
      </c>
      <c r="AH7" s="874">
        <f t="shared" si="4"/>
        <v>1.3255813953488371</v>
      </c>
      <c r="AI7" s="874">
        <f t="shared" si="4"/>
        <v>1.2857142857142858</v>
      </c>
      <c r="AK7" s="874">
        <f t="shared" si="4"/>
        <v>1.3255813953488371</v>
      </c>
      <c r="AL7" s="874">
        <f t="shared" si="4"/>
        <v>1.3255813953488371</v>
      </c>
      <c r="AO7" s="874">
        <f>AO6/AO2</f>
        <v>1.2857142857142858</v>
      </c>
      <c r="AP7" s="874">
        <f t="shared" si="4"/>
        <v>1.2857142857142858</v>
      </c>
      <c r="AS7" s="874">
        <f>AS6/AS2</f>
        <v>1.3255813953488371</v>
      </c>
      <c r="AT7" s="874">
        <f>AT6/AT2</f>
        <v>1.3255813953488371</v>
      </c>
      <c r="AU7" s="874">
        <f t="shared" ref="AU7" si="5">AU6/AU2</f>
        <v>1.3255813953488371</v>
      </c>
      <c r="AW7" s="874">
        <f t="shared" si="4"/>
        <v>1.2857142857142858</v>
      </c>
      <c r="AX7" s="874">
        <f>AX6/AX2</f>
        <v>1.3255813953488371</v>
      </c>
      <c r="AY7" s="874">
        <f>AY6/AY2</f>
        <v>1.3255813953488371</v>
      </c>
      <c r="BA7" s="874">
        <f>BA6/BA2</f>
        <v>1.3255813953488371</v>
      </c>
      <c r="BC7" s="874" t="e">
        <f>BC6/BC2</f>
        <v>#N/A</v>
      </c>
      <c r="BE7" s="874">
        <f>BE6/BE2</f>
        <v>1.3255813953488371</v>
      </c>
      <c r="BF7" s="874">
        <f>BF6/BF2</f>
        <v>1.3255813953488371</v>
      </c>
      <c r="BM7" s="874" t="e">
        <f>BM6/BM2</f>
        <v>#DIV/0!</v>
      </c>
      <c r="BO7" s="874" t="e">
        <f>BO6/BO2</f>
        <v>#DIV/0!</v>
      </c>
      <c r="BQ7" s="874">
        <f>BQ6/BQ2</f>
        <v>3</v>
      </c>
      <c r="BR7" s="874">
        <f>BR6/BR2</f>
        <v>3</v>
      </c>
      <c r="BS7" s="874" t="e">
        <f t="shared" si="4"/>
        <v>#N/A</v>
      </c>
      <c r="BX7" s="874">
        <f t="shared" ref="BX7:CD7" si="6">BX6/BX2</f>
        <v>3</v>
      </c>
      <c r="BY7" s="874" t="e">
        <f t="shared" si="6"/>
        <v>#DIV/0!</v>
      </c>
      <c r="BZ7" s="874" t="e">
        <f t="shared" si="6"/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4"/>
        <v>#DIV/0!</v>
      </c>
      <c r="CF7" s="874" t="e">
        <f t="shared" si="4"/>
        <v>#DIV/0!</v>
      </c>
      <c r="CG7" s="874" t="e">
        <f t="shared" si="4"/>
        <v>#DIV/0!</v>
      </c>
      <c r="CH7" s="874" t="e">
        <f t="shared" si="4"/>
        <v>#DIV/0!</v>
      </c>
      <c r="CI7" s="874">
        <f t="shared" si="4"/>
        <v>1.1875</v>
      </c>
      <c r="CJ7" s="874">
        <f t="shared" si="4"/>
        <v>1.1875</v>
      </c>
      <c r="CK7" s="874">
        <f t="shared" si="4"/>
        <v>1.2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SUM(IF(($T$23:$T$238)="",0,$T$23:$T$238)*IF(ISBLANK($T$1),1,IF($I$23:$I$238=$T$1,1,0)))</f>
        <v>-0.22000000000000286</v>
      </c>
      <c r="AG8" s="874">
        <f t="array" ref="AG8">SUM(IF(ISTEXT(AG$23:AG$238),1,0)*IF(($T$23:$T$238)="",0,$T$23:$T$238)*IF(ISBLANK($T$1),1,IF($I$23:$I$238=$T$1,1,0)))</f>
        <v>-0.22000000000000286</v>
      </c>
      <c r="AH8" s="874">
        <f t="array" ref="AH8">SUM(IF(ISTEXT(AH$23:AH$238),1,0)*IF(($T$23:$T$238)="",0,$T$23:$T$238)*IF(ISBLANK($T$1),1,IF($I$23:$I$238=$T$1,1,0)))</f>
        <v>-0.22000000000000286</v>
      </c>
      <c r="AI8" s="874">
        <f t="array" ref="AI8">SUM(IF(ISTEXT(AI$23:AI$238),1,0)*IF(($T$23:$T$238)="",0,$T$23:$T$238)*IF(ISBLANK($T$1),1,IF($I$23:$I$238=$T$1,1,0)))</f>
        <v>-1.9400000000000013</v>
      </c>
      <c r="AK8" s="874">
        <f t="array" ref="AK8">SUM(IF(ISTEXT(AK$23:AK$238),1,0)*IF(($T$23:$T$238)="",0,$T$23:$T$238)*IF(ISBLANK($T$1),1,IF($I$23:$I$238=$T$1,1,0)))</f>
        <v>-0.22000000000000286</v>
      </c>
      <c r="AL8" s="874">
        <f t="array" ref="AL8">SUM(IF(ISTEXT(AL$23:AL$238),1,0)*IF(($T$23:$T$238)="",0,$T$23:$T$238)*IF(ISBLANK($T$1),1,IF($I$23:$I$238=$T$1,1,0)))</f>
        <v>-0.22000000000000286</v>
      </c>
      <c r="AO8" s="874">
        <f t="array" ref="AO8">SUM(IF(ISTEXT(AO$23:AO$238),1,0)*IF(($T$23:$T$238)="",0,$T$23:$T$238)*IF(ISBLANK($T$1),1,IF($I$23:$I$238=$T$1,1,0)))</f>
        <v>-1.9400000000000013</v>
      </c>
      <c r="AP8" s="874">
        <f t="array" ref="AP8">SUM(IF(ISTEXT(AP$23:AP$238),1,0)*IF(($T$23:$T$238)="",0,$T$23:$T$238)*IF(ISBLANK($T$1),1,IF($I$23:$I$238=$T$1,1,0)))</f>
        <v>-1.9400000000000013</v>
      </c>
      <c r="AS8" s="874">
        <f t="array" ref="AS8">SUM(IF(ISTEXT(AS$23:AS$238),1,0)*IF(($T$23:$T$238)="",0,$T$23:$T$238)*IF(ISBLANK($T$1),1,IF($I$23:$I$238=$T$1,1,0)))</f>
        <v>-0.22000000000000286</v>
      </c>
      <c r="AT8" s="874">
        <f t="array" ref="AT8">SUM(IF(ISTEXT(AT$23:AT$238),1,0)*IF(($T$23:$T$238)="",0,$T$23:$T$238)*IF(ISBLANK($T$1),1,IF($I$23:$I$238=$T$1,1,0)))</f>
        <v>-0.22000000000000286</v>
      </c>
      <c r="AU8" s="874">
        <f t="array" ref="AU8">SUM(IF(ISTEXT(AU$23:AU$238),1,0)*IF(($T$23:$T$238)="",0,$T$23:$T$238)*IF(ISBLANK($T$1),1,IF($I$23:$I$238=$T$1,1,0)))</f>
        <v>-0.22000000000000286</v>
      </c>
      <c r="AW8" s="874">
        <f t="array" ref="AW8">SUM(IF(ISTEXT(AW$23:AW$238),1,0)*IF(($T$23:$T$238)="",0,$T$23:$T$238)*IF(ISBLANK($T$1),1,IF($I$23:$I$238=$T$1,1,0)))</f>
        <v>-1.9400000000000013</v>
      </c>
      <c r="AX8" s="874">
        <f t="array" ref="AX8">SUM(IF(ISTEXT(AX$23:AX$238),1,0)*IF(($T$23:$T$238)="",0,$T$23:$T$238)*IF(ISBLANK($T$1),1,IF($I$23:$I$238=$T$1,1,0)))</f>
        <v>-0.22000000000000286</v>
      </c>
      <c r="AY8" s="874">
        <f t="array" ref="AY8">SUM(IF(ISTEXT(AY$23:AY$238),1,0)*IF(($T$23:$T$238)="",0,$T$23:$T$238)*IF(ISBLANK($T$1),1,IF($I$23:$I$238=$T$1,1,0)))</f>
        <v>-0.22000000000000286</v>
      </c>
      <c r="BA8" s="874">
        <f t="array" ref="BA8">SUM(IF(ISTEXT(BA$23:BA$238),1,0)*IF(($T$23:$T$238)="",0,$T$23:$T$238)*IF(ISBLANK($T$1),1,IF($I$23:$I$238=$T$1,1,0)))</f>
        <v>-0.22000000000000286</v>
      </c>
      <c r="BC8" s="874" t="e">
        <f t="array" ref="BC8">SUM(IF(ISTEXT(BC$26:BC$238),1,0)*IF(($T$23:$T$238)="",0,$T$23:$T$238)*IF(ISBLANK($T$1),1,IF($I$23:$I$238=$T$1,1,0)))</f>
        <v>#N/A</v>
      </c>
      <c r="BE8" s="874">
        <f t="array" ref="BE8">SUM(IF(ISTEXT(BE$23:BE$238),1,0)*IF(($T$23:$T$238)="",0,$T$23:$T$238)*IF(ISBLANK($T$1),1,IF($I$23:$I$238=$T$1,1,0)))</f>
        <v>-0.22000000000000286</v>
      </c>
      <c r="BF8" s="874">
        <f t="array" ref="BF8">SUM(IF(ISTEXT(BF$23:BF$238),1,0)*IF(($T$23:$T$238)="",0,$T$23:$T$238)*IF(ISBLANK($T$1),1,IF($I$23:$I$238=$T$1,1,0)))</f>
        <v>-0.22000000000000286</v>
      </c>
      <c r="BM8" s="874">
        <f t="array" ref="BM8">SUM(IF(ISTEXT(BM$23:BM$238),1,0)*IF(($T$23:$T$238)="",0,$T$23:$T$238)*IF(ISBLANK($T$1),1,IF($I$23:$I$238=$T$1,1,0)))</f>
        <v>0</v>
      </c>
      <c r="BO8" s="874">
        <f t="array" ref="BO8">SUM(IF(ISTEXT(BO$23:BO$238),1,0)*IF(($T$23:$T$238)="",0,$T$23:$T$238)*IF(ISBLANK($T$1),1,IF($I$23:$I$238=$T$1,1,0)))</f>
        <v>0</v>
      </c>
      <c r="BQ8" s="874">
        <f t="array" ref="BQ8">SUM(IF(ISTEXT(BQ$23:BQ$238),1,0)*IF(($T$23:$T$238)="",0,$T$23:$T$238)*IF(ISBLANK($T$1),1,IF($I$23:$I$238=$T$1,1,0)))</f>
        <v>-0.31999999999999984</v>
      </c>
      <c r="BR8" s="874">
        <f t="array" ref="BR8">SUM(IF(ISTEXT(BR$23:BR$238),1,0)*IF(($T$23:$T$238)="",0,$T$23:$T$238)*IF(ISBLANK($T$1),1,IF($I$23:$I$238=$T$1,1,0)))</f>
        <v>-0.31999999999999984</v>
      </c>
      <c r="BS8" s="874" t="e">
        <f t="array" ref="BS8">SUM(IF(ISTEXT(BS$40:BS$238),1,0)*IF(($T$23:$T$238)="",0,$T$23:$T$238)*IF(ISBLANK($T$1),1,IF($I$23:$I$238=$T$1,1,0)))</f>
        <v>#N/A</v>
      </c>
      <c r="BX8" s="874">
        <f t="array" ref="BX8">SUM(IF(ISTEXT(BX$23:BX$238),1,0)*IF(($T$23:$T$238)="",0,$T$23:$T$238)*IF(ISBLANK($T$1),1,IF($I$23:$I$238=$T$1,1,0)))</f>
        <v>-0.31999999999999984</v>
      </c>
      <c r="BY8" s="874">
        <f t="array" ref="BY8">SUM(IF(ISTEXT(BY$23:BY$238),1,0)*IF(($T$23:$T$238)="",0,$T$23:$T$238)*IF(ISBLANK($T$1),1,IF($I$23:$I$238=$T$1,1,0)))</f>
        <v>0</v>
      </c>
      <c r="BZ8" s="874">
        <f t="array" ref="BZ8">SUM(IF(ISTEXT(BZ$23:BZ$238),1,0)*IF(($T$23:$T$238)="",0,$T$23:$T$238)*IF(ISBLANK($T$1),1,IF($I$23:$I$238=$T$1,1,0)))</f>
        <v>0</v>
      </c>
      <c r="CA8" s="874">
        <f t="array" ref="CA8">SUM(IF(ISTEXT(CA$23:CA$238),1,0)*IF(($T$23:$T$238)="",0,$T$23:$T$238)*IF(ISBLANK($T$1),1,IF($I$23:$I$238=$T$1,1,0)))</f>
        <v>0</v>
      </c>
      <c r="CB8" s="874">
        <f t="array" ref="CB8">SUM(IF(ISTEXT(CB$23:CB$238),1,0)*IF(($T$23:$T$238)="",0,$T$23:$T$238)*IF(ISBLANK($T$1),1,IF($I$23:$I$238=$T$1,1,0)))</f>
        <v>0</v>
      </c>
      <c r="CC8" s="874">
        <f t="array" ref="CC8">SUM(IF(ISTEXT(CC$23:CC$238),1,0)*IF(($T$23:$T$238)="",0,$T$23:$T$238)*IF(ISBLANK($T$1),1,IF($I$23:$I$238=$T$1,1,0)))</f>
        <v>0</v>
      </c>
      <c r="CD8" s="874">
        <f t="array" ref="CD8">SUM(IF(ISTEXT(CD$23:CD$238),1,0)*IF(($T$23:$T$238)="",0,$T$23:$T$238)*IF(ISBLANK($T$1),1,IF($I$23:$I$238=$T$1,1,0)))</f>
        <v>0</v>
      </c>
      <c r="CE8" s="874">
        <f t="array" ref="CE8">SUM(IF(ISTEXT(CE$23:CE$238),1,0)*IF(($T$23:$T$238)="",0,$T$23:$T$238)*IF(ISBLANK($T$1),1,IF($I$23:$I$238=$T$1,1,0)))</f>
        <v>0</v>
      </c>
      <c r="CF8" s="874">
        <f t="array" ref="CF8">SUM(IF(ISTEXT(CF$23:CF$238),1,0)*IF(($T$23:$T$238)="",0,$T$23:$T$238)*IF(ISBLANK($T$1),1,IF($I$23:$I$238=$T$1,1,0)))</f>
        <v>0</v>
      </c>
      <c r="CG8" s="874">
        <f t="array" ref="CG8">SUM(IF(ISTEXT(CG$23:CG$238),1,0)*IF(($T$23:$T$238)="",0,$T$23:$T$238)*IF(ISBLANK($T$1),1,IF($I$23:$I$238=$T$1,1,0)))</f>
        <v>0</v>
      </c>
      <c r="CH8" s="874">
        <f t="array" ref="CH8">SUM(IF(ISTEXT(CH$23:CH$238),1,0)*IF(($T$23:$T$238)="",0,$T$23:$T$238)*IF(ISBLANK($T$1),1,IF($I$23:$I$238=$T$1,1,0)))</f>
        <v>0</v>
      </c>
      <c r="CI8" s="874">
        <f t="array" ref="CI8">SUM(IF(ISTEXT(CI$23:CI$238),1,0)*IF(($T$23:$T$238)="",0,$T$23:$T$238)*IF(ISBLANK($T$1),1,IF($I$23:$I$238=$T$1,1,0)))</f>
        <v>8.09</v>
      </c>
      <c r="CJ8" s="874">
        <f t="array" ref="CJ8">SUM(IF(ISTEXT(CJ$23:CJ$238),1,0)*IF(($T$23:$T$238)="",0,$T$23:$T$238)*IF(ISBLANK($T$1),1,IF($I$23:$I$238=$T$1,1,0)))</f>
        <v>8.09</v>
      </c>
      <c r="CK8" s="874">
        <f t="array" ref="CK8">SUM(IF(ISTEXT(CK$23:CK$238),1,0)*IF(($T$23:$T$238)="",0,$T$23:$T$238)*IF(ISBLANK($T$1),1,IF($I$23:$I$238=$T$1,1,0)))</f>
        <v>6.4399999999999995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7">AF8/AF2</f>
        <v>-5.1162790697675082E-3</v>
      </c>
      <c r="AG9" s="874">
        <f t="shared" si="7"/>
        <v>-5.1162790697675082E-3</v>
      </c>
      <c r="AH9" s="874">
        <f t="shared" si="7"/>
        <v>-5.1162790697675082E-3</v>
      </c>
      <c r="AI9" s="874">
        <f t="shared" si="7"/>
        <v>-4.6190476190476219E-2</v>
      </c>
      <c r="AK9" s="874">
        <f t="shared" si="7"/>
        <v>-5.1162790697675082E-3</v>
      </c>
      <c r="AL9" s="874">
        <f t="shared" si="7"/>
        <v>-5.1162790697675082E-3</v>
      </c>
      <c r="AO9" s="874">
        <f>AO8/AO2</f>
        <v>-4.6190476190476219E-2</v>
      </c>
      <c r="AP9" s="874">
        <f t="shared" si="7"/>
        <v>-4.6190476190476219E-2</v>
      </c>
      <c r="AS9" s="874">
        <f>AS8/AS2</f>
        <v>-5.1162790697675082E-3</v>
      </c>
      <c r="AT9" s="874">
        <f>AT8/AT2</f>
        <v>-5.1162790697675082E-3</v>
      </c>
      <c r="AU9" s="874">
        <f t="shared" ref="AU9" si="8">AU8/AU2</f>
        <v>-5.1162790697675082E-3</v>
      </c>
      <c r="AW9" s="874">
        <f t="shared" si="7"/>
        <v>-4.6190476190476219E-2</v>
      </c>
      <c r="AX9" s="874">
        <f>AX8/AX2</f>
        <v>-5.1162790697675082E-3</v>
      </c>
      <c r="AY9" s="874">
        <f>AY8/AY2</f>
        <v>-5.1162790697675082E-3</v>
      </c>
      <c r="BA9" s="874">
        <f>BA8/BA2</f>
        <v>-5.1162790697675082E-3</v>
      </c>
      <c r="BC9" s="874" t="e">
        <f>BC8/BC2</f>
        <v>#N/A</v>
      </c>
      <c r="BE9" s="874">
        <f>BE8/BE2</f>
        <v>-5.1162790697675082E-3</v>
      </c>
      <c r="BF9" s="874">
        <f>BF8/BF2</f>
        <v>-5.1162790697675082E-3</v>
      </c>
      <c r="BM9" s="874" t="e">
        <f>BM8/BM2</f>
        <v>#DIV/0!</v>
      </c>
      <c r="BO9" s="874" t="e">
        <f>BO8/BO2</f>
        <v>#DIV/0!</v>
      </c>
      <c r="BQ9" s="874">
        <f>BQ8/BQ2</f>
        <v>-0.31999999999999984</v>
      </c>
      <c r="BR9" s="874">
        <f>BR8/BR2</f>
        <v>-0.31999999999999984</v>
      </c>
      <c r="BS9" s="874" t="e">
        <f t="shared" si="7"/>
        <v>#N/A</v>
      </c>
      <c r="BX9" s="874">
        <f t="shared" ref="BX9:CD9" si="9">BX8/BX2</f>
        <v>-0.31999999999999984</v>
      </c>
      <c r="BY9" s="874" t="e">
        <f t="shared" si="9"/>
        <v>#DIV/0!</v>
      </c>
      <c r="BZ9" s="874" t="e">
        <f t="shared" si="9"/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7"/>
        <v>#DIV/0!</v>
      </c>
      <c r="CF9" s="874" t="e">
        <f t="shared" si="7"/>
        <v>#DIV/0!</v>
      </c>
      <c r="CG9" s="874" t="e">
        <f t="shared" si="7"/>
        <v>#DIV/0!</v>
      </c>
      <c r="CH9" s="874" t="e">
        <f t="shared" si="7"/>
        <v>#DIV/0!</v>
      </c>
      <c r="CI9" s="874">
        <f t="shared" si="7"/>
        <v>0.50562499999999999</v>
      </c>
      <c r="CJ9" s="874">
        <f t="shared" si="7"/>
        <v>0.50562499999999999</v>
      </c>
      <c r="CK9" s="874">
        <f t="shared" si="7"/>
        <v>0.42933333333333329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SUM(IF(ISBLANK($T$1),$J$23:$J$238,IF($I$23:$I$238=$T$1,$J$23:$J$238,0)))</f>
        <v>55</v>
      </c>
      <c r="AG10" s="874">
        <f t="array" ref="AG10">SUM(IF(ISBLANK(AG$23:AG$238),0,IF(ISNUMBER(VALUE(RIGHT(AG$23:AG$238,1))),RIGHT(AG$23:AG$238,1),0)*IF(ISBLANK($T$1),1,IF($I$23:$I$238=$T$1,1,0))))</f>
        <v>0</v>
      </c>
      <c r="AH10" s="874">
        <f t="array" ref="AH10">SUM(IF(ISBLANK(AH$23:AH$238),0,IF(ISNUMBER(VALUE(RIGHT(AH$23:AH$238,1))),RIGHT(AH$23:AH$238,1),0)*IF(ISBLANK($T$1),1,IF($I$23:$I$238=$T$1,1,0))))</f>
        <v>0</v>
      </c>
      <c r="AI10" s="874">
        <f t="array" ref="AI10">SUM(IF(ISBLANK(AI$23:AI$238),0,IF(ISNUMBER(VALUE(RIGHT(AI$23:AI$238,1))),RIGHT(AI$23:AI$238,1),0)*IF(ISBLANK($T$1),1,IF($I$23:$I$238=$T$1,1,0))))</f>
        <v>0</v>
      </c>
      <c r="AK10" s="874">
        <f t="array" ref="AK10">SUM(IF(ISBLANK(AK$23:AK$238),0,IF(ISNUMBER(VALUE(RIGHT(AK$23:AK$238,1))),RIGHT(AK$23:AK$238,1),0)*IF(ISBLANK($T$1),1,IF($I$23:$I$238=$T$1,1,0))))</f>
        <v>0</v>
      </c>
      <c r="AL10" s="874">
        <f t="array" ref="AL10">SUM(IF(ISBLANK(AL$23:AL$238),0,IF(ISNUMBER(VALUE(RIGHT(AL$23:AL$238,1))),RIGHT(AL$23:AL$238,1),0)*IF(ISBLANK($T$1),1,IF($I$23:$I$238=$T$1,1,0))))</f>
        <v>0</v>
      </c>
      <c r="AO10" s="874">
        <f t="array" ref="AO10">SUM(IF(ISBLANK(AO$23:AO$238),0,IF(ISNUMBER(VALUE(RIGHT(AO$23:AO$238,1))),RIGHT(AO$23:AO$238,1),0)*IF(ISBLANK($T$1),1,IF($I$23:$I$238=$T$1,1,0))))</f>
        <v>0</v>
      </c>
      <c r="AP10" s="874">
        <f t="array" ref="AP10">SUM(IF(ISBLANK(AP$23:AP$238),0,IF(ISNUMBER(VALUE(RIGHT(AP$23:AP$238,1))),RIGHT(AP$23:AP$238,1),0)*IF(ISBLANK($T$1),1,IF($I$23:$I$238=$T$1,1,0))))</f>
        <v>0</v>
      </c>
      <c r="AS10" s="874">
        <f t="array" ref="AS10">SUM(IF(ISBLANK(AS$23:AS$238),0,IF(ISNUMBER(VALUE(RIGHT(AS$23:AS$238,1))),RIGHT(AS$23:AS$238,1),0)*IF(ISBLANK($T$1),1,IF($I$23:$I$238=$T$1,1,0))))</f>
        <v>0</v>
      </c>
      <c r="AT10" s="874">
        <f t="array" ref="AT10">SUM(IF(ISBLANK(AT$23:AT$238),0,IF(ISNUMBER(VALUE(RIGHT(AT$23:AT$238,1))),RIGHT(AT$23:AT$238,1),0)*IF(ISBLANK($T$1),1,IF($I$23:$I$238=$T$1,1,0))))</f>
        <v>1</v>
      </c>
      <c r="AU10" s="874">
        <f t="array" ref="AU10">SUM(IF(ISBLANK(AU$23:AU$238),0,IF(ISNUMBER(VALUE(RIGHT(AU$23:AU$238,1))),RIGHT(AU$23:AU$238,1),0)*IF(ISBLANK($T$1),1,IF($I$23:$I$238=$T$1,1,0))))</f>
        <v>1</v>
      </c>
      <c r="AW10" s="874">
        <f t="array" ref="AW10">SUM(IF(ISBLANK(AW$23:AW$238),0,IF(ISNUMBER(VALUE(RIGHT(AW$23:AW$238,1))),RIGHT(AW$23:AW$238,1),0)*IF(ISBLANK($T$1),1,IF($I$23:$I$238=$T$1,1,0))))</f>
        <v>0</v>
      </c>
      <c r="AX10" s="874">
        <f t="array" ref="AX10">SUM(IF(ISBLANK(AX$23:AX$238),0,IF(ISNUMBER(VALUE(RIGHT(AX$23:AX$238,1))),RIGHT(AX$23:AX$238,1),0)*IF(ISBLANK($T$1),1,IF($I$23:$I$238=$T$1,1,0))))</f>
        <v>0</v>
      </c>
      <c r="AY10" s="874">
        <f t="array" ref="AY10">SUM(IF(ISBLANK(AY$23:AY$238),0,IF(ISNUMBER(VALUE(RIGHT(AY$23:AY$238,1))),RIGHT(AY$23:AY$238,1),0)*IF(ISBLANK($T$1),1,IF($I$23:$I$238=$T$1,1,0))))</f>
        <v>5</v>
      </c>
      <c r="BA10" s="874">
        <f t="array" ref="BA10">SUM(IF(ISBLANK(BA$23:BA$238),0,IF(ISNUMBER(VALUE(RIGHT(BA$23:BA$238,1))),RIGHT(BA$23:BA$238,1),0)*IF(ISBLANK($T$1),1,IF($I$23:$I$238=$T$1,1,0))))</f>
        <v>1</v>
      </c>
      <c r="BC10" s="874">
        <f t="array" ref="BC10">SUM(IF(ISBLANK(BC$26:BC$238),0,IF(ISNUMBER(VALUE(RIGHT(BC$26:BC$238,1))),RIGHT(BC$26:BC$238,1),0)*IF(ISBLANK($T$1),1,IF($I$23:$I$238=$T$1,1,0))))</f>
        <v>5</v>
      </c>
      <c r="BE10" s="874">
        <f t="array" ref="BE10">SUM(IF(ISBLANK(BE$23:BE$238),0,IF(ISNUMBER(VALUE(RIGHT(BE$23:BE$238,1))),RIGHT(BE$23:BE$238,1),0)*IF(ISBLANK($T$1),1,IF($I$23:$I$238=$T$1,1,0))))</f>
        <v>2</v>
      </c>
      <c r="BF10" s="874">
        <f t="array" ref="BF10">SUM(IF(ISBLANK(BF$23:BF$238),0,IF(ISNUMBER(VALUE(RIGHT(BF$23:BF$238,1))),RIGHT(BF$23:BF$238,1),0)*IF(ISBLANK($T$1),1,IF($I$23:$I$238=$T$1,1,0))))</f>
        <v>4</v>
      </c>
      <c r="BM10" s="874">
        <f t="array" ref="BM10">SUM(IF(ISBLANK(BM$23:BM$238),0,IF(ISNUMBER(VALUE(RIGHT(BM$23:BM$238,1))),RIGHT(BM$23:BM$238,1),0)*IF(ISBLANK($T$1),1,IF($I$23:$I$238=$T$1,1,0))))</f>
        <v>0</v>
      </c>
      <c r="BO10" s="874">
        <f t="array" ref="BO10">SUM(IF(ISBLANK(BO$23:BO$238),0,IF(ISNUMBER(VALUE(RIGHT(BO$23:BO$238,1))),RIGHT(BO$23:BO$238,1),0)*IF(ISBLANK($T$1),1,IF($I$23:$I$238=$T$1,1,0))))</f>
        <v>0</v>
      </c>
      <c r="BQ10" s="874">
        <f t="array" ref="BQ10">SUM(IF(ISBLANK(BQ$23:BQ$238),0,IF(ISNUMBER(VALUE(RIGHT(BQ$23:BQ$238,1))),RIGHT(BQ$23:BQ$238,1),0)*IF(ISBLANK($T$1),1,IF($I$23:$I$238=$T$1,1,0))))</f>
        <v>0</v>
      </c>
      <c r="BR10" s="874">
        <f t="array" ref="BR10">SUM(IF(ISBLANK(BR$23:BR$238),0,IF(ISNUMBER(VALUE(RIGHT(BR$23:BR$238,1))),RIGHT(BR$23:BR$238,1),0)*IF(ISBLANK($T$1),1,IF($I$23:$I$238=$T$1,1,0))))</f>
        <v>0</v>
      </c>
      <c r="BS10" s="874">
        <f t="array" ref="BS10">SUM(IF(ISBLANK(BS$40:BS$238),0,IF(ISNUMBER(VALUE(RIGHT(BS$40:BS$238,1))),RIGHT(BS$40:BS$238,1),0)*IF(ISBLANK($T$1),1,IF($I$23:$I$238=$T$1,1,0))))</f>
        <v>0</v>
      </c>
      <c r="BX10" s="874">
        <f t="array" ref="BX10">SUM(IF(ISBLANK(BX$23:BX$238),0,IF(ISNUMBER(VALUE(RIGHT(BX$23:BX$238,1))),RIGHT(BX$23:BX$238,1),0)*IF(ISBLANK($T$1),1,IF($I$23:$I$238=$T$1,1,0))))</f>
        <v>0</v>
      </c>
      <c r="BY10" s="874">
        <f t="array" ref="BY10">SUM(IF(ISBLANK(BY$23:BY$238),0,IF(ISNUMBER(VALUE(RIGHT(BY$23:BY$238,1))),RIGHT(BY$23:BY$238,1),0)*IF(ISBLANK($T$1),1,IF($I$23:$I$238=$T$1,1,0))))</f>
        <v>0</v>
      </c>
      <c r="BZ10" s="874">
        <f t="array" ref="BZ10">SUM(IF(ISBLANK(BZ$23:BZ$238),0,IF(ISNUMBER(VALUE(RIGHT(BZ$23:BZ$238,1))),RIGHT(BZ$23:BZ$238,1),0)*IF(ISBLANK($T$1),1,IF($I$23:$I$238=$T$1,1,0))))</f>
        <v>0</v>
      </c>
      <c r="CA10" s="874">
        <f t="array" ref="CA10">SUM(IF(ISBLANK(CA$23:CA$238),0,IF(ISNUMBER(VALUE(RIGHT(CA$23:CA$238,1))),RIGHT(CA$23:CA$238,1),0)*IF(ISBLANK($T$1),1,IF($I$23:$I$238=$T$1,1,0))))</f>
        <v>0</v>
      </c>
      <c r="CB10" s="874">
        <f t="array" ref="CB10">SUM(IF(ISBLANK(CB$23:CB$238),0,IF(ISNUMBER(VALUE(RIGHT(CB$23:CB$238,1))),RIGHT(CB$23:CB$238,1),0)*IF(ISBLANK($T$1),1,IF($I$23:$I$238=$T$1,1,0))))</f>
        <v>0</v>
      </c>
      <c r="CC10" s="874">
        <f t="array" ref="CC10">SUM(IF(ISBLANK(CC$23:CC$238),0,IF(ISNUMBER(VALUE(RIGHT(CC$23:CC$238,1))),RIGHT(CC$23:CC$238,1),0)*IF(ISBLANK($T$1),1,IF($I$23:$I$238=$T$1,1,0))))</f>
        <v>0</v>
      </c>
      <c r="CD10" s="874">
        <f t="array" ref="CD10">SUM(IF(ISBLANK(CD$23:CD$238),0,IF(ISNUMBER(VALUE(RIGHT(CD$23:CD$238,1))),RIGHT(CD$23:CD$238,1),0)*IF(ISBLANK($T$1),1,IF($I$23:$I$238=$T$1,1,0))))</f>
        <v>0</v>
      </c>
      <c r="CE10" s="874">
        <f t="array" ref="CE10">SUM(IF(ISBLANK(CE$23:CE$238),0,IF(ISNUMBER(VALUE(RIGHT(CE$23:CE$238,1))),RIGHT(CE$23:CE$238,1),0)*IF(ISBLANK($T$1),1,IF($I$23:$I$238=$T$1,1,0))))</f>
        <v>0</v>
      </c>
      <c r="CF10" s="874">
        <f t="array" ref="CF10">SUM(IF(ISBLANK(CF$23:CF$238),0,IF(ISNUMBER(VALUE(RIGHT(CF$23:CF$238,1))),RIGHT(CF$23:CF$238,1),0)*IF(ISBLANK($T$1),1,IF($I$23:$I$238=$T$1,1,0))))</f>
        <v>0</v>
      </c>
      <c r="CG10" s="874">
        <f t="array" ref="CG10">SUM(IF(ISBLANK(CG$23:CG$238),0,IF(ISNUMBER(VALUE(RIGHT(CG$23:CG$238,1))),RIGHT(CG$23:CG$238,1),0)*IF(ISBLANK($T$1),1,IF($I$23:$I$238=$T$1,1,0))))</f>
        <v>0</v>
      </c>
      <c r="CH10" s="874">
        <f t="array" ref="CH10">SUM(IF(ISBLANK(CH$23:CH$238),0,IF(ISNUMBER(VALUE(RIGHT(CH$23:CH$238,1))),RIGHT(CH$23:CH$238,1),0)*IF(ISBLANK($T$1),1,IF($I$23:$I$238=$T$1,1,0))))</f>
        <v>0</v>
      </c>
      <c r="CI10" s="874">
        <f t="array" ref="CI10">SUM(IF(ISBLANK(CI$23:CI$238),0,IF(ISNUMBER(VALUE(RIGHT(CI$23:CI$238,1))),RIGHT(CI$23:CI$238,1),0)*IF(ISBLANK($T$1),1,IF($I$23:$I$238=$T$1,1,0))))</f>
        <v>0</v>
      </c>
      <c r="CJ10" s="874">
        <f t="array" ref="CJ10">SUM(IF(ISBLANK(CJ$23:CJ$238),0,IF(ISNUMBER(VALUE(RIGHT(CJ$23:CJ$238,1))),RIGHT(CJ$23:CJ$238,1),0)*IF(ISBLANK($T$1),1,IF($I$23:$I$238=$T$1,1,0))))</f>
        <v>0</v>
      </c>
      <c r="CK10" s="874">
        <f t="array" ref="CK10">SUM(IF(ISBLANK(CK$23:CK$238),0,IF(ISNUMBER(VALUE(RIGHT(CK$23:CK$238,1))),RIGHT(CK$23:CK$238,1),0)*IF(ISBLANK($T$1),1,IF($I$23:$I$238=$T$1,1,0))))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0">AF10/AF2</f>
        <v>1.2790697674418605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K11" s="874">
        <f t="shared" si="10"/>
        <v>0</v>
      </c>
      <c r="AL11" s="874">
        <f t="shared" si="10"/>
        <v>0</v>
      </c>
      <c r="AO11" s="874">
        <f>AO10/AO2</f>
        <v>0</v>
      </c>
      <c r="AP11" s="874">
        <f t="shared" si="10"/>
        <v>0</v>
      </c>
      <c r="AS11" s="874">
        <f>AS10/AS2</f>
        <v>0</v>
      </c>
      <c r="AT11" s="874">
        <f>AT10/AT2</f>
        <v>2.3255813953488372E-2</v>
      </c>
      <c r="AU11" s="874">
        <f t="shared" ref="AU11" si="11">AU10/AU2</f>
        <v>2.3255813953488372E-2</v>
      </c>
      <c r="AW11" s="874">
        <f t="shared" si="10"/>
        <v>0</v>
      </c>
      <c r="AX11" s="874">
        <f>AX10/AX2</f>
        <v>0</v>
      </c>
      <c r="AY11" s="874">
        <f>AY10/AY2</f>
        <v>0.11627906976744186</v>
      </c>
      <c r="BA11" s="874">
        <f>BA10/BA2</f>
        <v>2.3255813953488372E-2</v>
      </c>
      <c r="BC11" s="874">
        <f>BC10/BC2</f>
        <v>0.125</v>
      </c>
      <c r="BE11" s="874">
        <f>BE10/BE2</f>
        <v>4.6511627906976744E-2</v>
      </c>
      <c r="BF11" s="874">
        <f>BF10/BF2</f>
        <v>9.3023255813953487E-2</v>
      </c>
      <c r="BM11" s="874" t="e">
        <f>BM10/BM2</f>
        <v>#DIV/0!</v>
      </c>
      <c r="BO11" s="874" t="e">
        <f>BO10/BO2</f>
        <v>#DIV/0!</v>
      </c>
      <c r="BQ11" s="874">
        <f>BQ10/BQ2</f>
        <v>0</v>
      </c>
      <c r="BR11" s="874">
        <f>BR10/BR2</f>
        <v>0</v>
      </c>
      <c r="BS11" s="874">
        <f t="shared" si="10"/>
        <v>0</v>
      </c>
      <c r="BX11" s="874">
        <f t="shared" ref="BX11:CD11" si="12">BX10/BX2</f>
        <v>0</v>
      </c>
      <c r="BY11" s="874" t="e">
        <f t="shared" si="12"/>
        <v>#DIV/0!</v>
      </c>
      <c r="BZ11" s="874" t="e">
        <f t="shared" si="12"/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0"/>
        <v>#DIV/0!</v>
      </c>
      <c r="CF11" s="874" t="e">
        <f t="shared" si="10"/>
        <v>#DIV/0!</v>
      </c>
      <c r="CG11" s="874" t="e">
        <f t="shared" si="10"/>
        <v>#DIV/0!</v>
      </c>
      <c r="CH11" s="874" t="e">
        <f t="shared" si="10"/>
        <v>#DIV/0!</v>
      </c>
      <c r="CI11" s="874">
        <f t="shared" si="10"/>
        <v>0</v>
      </c>
      <c r="CJ11" s="874">
        <f t="shared" si="10"/>
        <v>0</v>
      </c>
      <c r="CK11" s="874">
        <f t="shared" si="10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SUM(IF(ISBLANK($T$1),$K$23:$K$238,IF($I$23:$I$238=$T$1,$K$23:$K$238,0)))</f>
        <v>48</v>
      </c>
      <c r="AG12" s="874">
        <f t="array" ref="AG12">SUM(IF(ISBLANK(AG$23:AG$238),0,$K23:$K238)*IF(ISBLANK($T$1),1,IF($I$23:$I$238=$T$1,1,0)))</f>
        <v>48</v>
      </c>
      <c r="AH12" s="874">
        <f t="array" ref="AH12">SUM(IF(ISBLANK(AH$23:AH$238),0,$K23:$K238)*IF(ISBLANK($T$1),1,IF($I$23:$I$238=$T$1,1,0)))</f>
        <v>48</v>
      </c>
      <c r="AI12" s="874">
        <f t="array" ref="AI12">SUM(IF(ISBLANK(AI$23:AI$238),0,$K23:$K238)*IF(ISBLANK($T$1),1,IF($I$23:$I$238=$T$1,1,0)))</f>
        <v>47</v>
      </c>
      <c r="AK12" s="874">
        <f t="array" ref="AK12">SUM(IF(ISBLANK(AK$23:AK$238),0,$K23:$K238)*IF(ISBLANK($T$1),1,IF($I$23:$I$238=$T$1,1,0)))</f>
        <v>48</v>
      </c>
      <c r="AL12" s="874">
        <f t="array" ref="AL12">SUM(IF(ISBLANK(AL$23:AL$238),0,$K23:$K238)*IF(ISBLANK($T$1),1,IF($I$23:$I$238=$T$1,1,0)))</f>
        <v>48</v>
      </c>
      <c r="AO12" s="874">
        <f t="array" ref="AO12">SUM(IF(ISBLANK(AO$23:AO$238),0,$K23:$K238)*IF(ISBLANK($T$1),1,IF($I$23:$I$238=$T$1,1,0)))</f>
        <v>47</v>
      </c>
      <c r="AP12" s="874">
        <f t="array" ref="AP12">SUM(IF(ISBLANK(AP$23:AP$238),0,$K23:$K238)*IF(ISBLANK($T$1),1,IF($I$23:$I$238=$T$1,1,0)))</f>
        <v>47</v>
      </c>
      <c r="AS12" s="874">
        <f t="array" ref="AS12">SUM(IF(ISBLANK(AS$23:AS$238),0,$K23:$K238)*IF(ISBLANK($T$1),1,IF($I$23:$I$238=$T$1,1,0)))</f>
        <v>48</v>
      </c>
      <c r="AT12" s="874">
        <f t="array" ref="AT12">SUM(IF(ISBLANK(AT$23:AT$238),0,$K23:$K238)*IF(ISBLANK($T$1),1,IF($I$23:$I$238=$T$1,1,0)))</f>
        <v>48</v>
      </c>
      <c r="AU12" s="874">
        <f t="array" ref="AU12">SUM(IF(ISBLANK(AU$23:AU$238),0,$K23:$K238)*IF(ISBLANK($T$1),1,IF($I$23:$I$238=$T$1,1,0)))</f>
        <v>48</v>
      </c>
      <c r="AW12" s="874">
        <f t="array" ref="AW12">SUM(IF(ISBLANK(AW$23:AW$238),0,$K23:$K238)*IF(ISBLANK($T$1),1,IF($I$23:$I$238=$T$1,1,0)))</f>
        <v>47</v>
      </c>
      <c r="AX12" s="874">
        <f t="array" ref="AX12">SUM(IF(ISBLANK(AX$23:AX$238),0,$K23:$K238)*IF(ISBLANK($T$1),1,IF($I$23:$I$238=$T$1,1,0)))</f>
        <v>48</v>
      </c>
      <c r="AY12" s="874">
        <f t="array" ref="AY12">SUM(IF(ISBLANK(AY$23:AY$238),0,$K23:$K238)*IF(ISBLANK($T$1),1,IF($I$23:$I$238=$T$1,1,0)))</f>
        <v>48</v>
      </c>
      <c r="BA12" s="874">
        <f t="array" ref="BA12">SUM(IF(ISBLANK(BA$23:BA$238),0,$K23:$K238)*IF(ISBLANK($T$1),1,IF($I$23:$I$238=$T$1,1,0)))</f>
        <v>48</v>
      </c>
      <c r="BC12" s="874" t="e">
        <f t="array" ref="BC12">SUM(IF(ISBLANK(BC$26:BC$238),0,$K23:$K238)*IF(ISBLANK($T$1),1,IF($I$23:$I$238=$T$1,1,0)))</f>
        <v>#N/A</v>
      </c>
      <c r="BE12" s="874">
        <f t="array" ref="BE12">SUM(IF(ISBLANK(BE$23:BE$238),0,$K23:$K238)*IF(ISBLANK($T$1),1,IF($I$23:$I$238=$T$1,1,0)))</f>
        <v>48</v>
      </c>
      <c r="BF12" s="874">
        <f t="array" ref="BF12">SUM(IF(ISBLANK(BF$23:BF$238),0,$K23:$K238)*IF(ISBLANK($T$1),1,IF($I$23:$I$238=$T$1,1,0)))</f>
        <v>48</v>
      </c>
      <c r="BM12" s="874">
        <f t="array" ref="BM12">SUM(IF(ISBLANK(BM$23:BM$238),0,$K23:$K238)*IF(ISBLANK($T$1),1,IF($I$23:$I$238=$T$1,1,0)))</f>
        <v>0</v>
      </c>
      <c r="BO12" s="874">
        <f t="array" ref="BO12">SUM(IF(ISBLANK(BO$23:BO$238),0,$K23:$K238)*IF(ISBLANK($T$1),1,IF($I$23:$I$238=$T$1,1,0)))</f>
        <v>0</v>
      </c>
      <c r="BQ12" s="874">
        <f t="array" ref="BQ12">SUM(IF(ISBLANK(BQ$23:BQ$238),0,$K23:$K238)*IF(ISBLANK($T$1),1,IF($I$23:$I$238=$T$1,1,0)))</f>
        <v>0</v>
      </c>
      <c r="BR12" s="874">
        <f t="array" ref="BR12">SUM(IF(ISBLANK(BR$23:BR$238),0,$K23:$K238)*IF(ISBLANK($T$1),1,IF($I$23:$I$238=$T$1,1,0)))</f>
        <v>0</v>
      </c>
      <c r="BS12" s="874" t="e">
        <f t="array" ref="BS12">SUM(IF(ISBLANK(BS$40:BS$238),0,$K23:$K238)*IF(ISBLANK($T$1),1,IF($I$23:$I$238=$T$1,1,0)))</f>
        <v>#N/A</v>
      </c>
      <c r="BX12" s="874">
        <f t="array" ref="BX12">SUM(IF(ISBLANK(BX$23:BX$238),0,$K23:$K238)*IF(ISBLANK($T$1),1,IF($I$23:$I$238=$T$1,1,0)))</f>
        <v>0</v>
      </c>
      <c r="BY12" s="874">
        <f t="array" ref="BY12">SUM(IF(ISBLANK(BY$23:BY$238),0,$K23:$K238)*IF(ISBLANK($T$1),1,IF($I$23:$I$238=$T$1,1,0)))</f>
        <v>0</v>
      </c>
      <c r="BZ12" s="874">
        <f t="array" ref="BZ12">SUM(IF(ISBLANK(BZ$23:BZ$238),0,$K23:$K238)*IF(ISBLANK($T$1),1,IF($I$23:$I$238=$T$1,1,0)))</f>
        <v>0</v>
      </c>
      <c r="CA12" s="874">
        <f t="array" ref="CA12">SUM(IF(ISBLANK(CA$23:CA$238),0,$K23:$K238)*IF(ISBLANK($T$1),1,IF($I$23:$I$238=$T$1,1,0)))</f>
        <v>0</v>
      </c>
      <c r="CB12" s="874">
        <f t="array" ref="CB12">SUM(IF(ISBLANK(CB$23:CB$238),0,$K23:$K238)*IF(ISBLANK($T$1),1,IF($I$23:$I$238=$T$1,1,0)))</f>
        <v>0</v>
      </c>
      <c r="CC12" s="874">
        <f t="array" ref="CC12">SUM(IF(ISBLANK(CC$23:CC$238),0,$K23:$K238)*IF(ISBLANK($T$1),1,IF($I$23:$I$238=$T$1,1,0)))</f>
        <v>0</v>
      </c>
      <c r="CD12" s="874">
        <f t="array" ref="CD12">SUM(IF(ISBLANK(CD$23:CD$238),0,$K23:$K238)*IF(ISBLANK($T$1),1,IF($I$23:$I$238=$T$1,1,0)))</f>
        <v>0</v>
      </c>
      <c r="CE12" s="874">
        <f t="array" ref="CE12">SUM(IF(ISBLANK(CE$23:CE$238),0,$K23:$K238)*IF(ISBLANK($T$1),1,IF($I$23:$I$238=$T$1,1,0)))</f>
        <v>0</v>
      </c>
      <c r="CF12" s="874">
        <f t="array" ref="CF12">SUM(IF(ISBLANK(CF$23:CF$238),0,$K23:$K238)*IF(ISBLANK($T$1),1,IF($I$23:$I$238=$T$1,1,0)))</f>
        <v>0</v>
      </c>
      <c r="CG12" s="874">
        <f t="array" ref="CG12">SUM(IF(ISBLANK(CG$23:CG$238),0,$K23:$K238)*IF(ISBLANK($T$1),1,IF($I$23:$I$238=$T$1,1,0)))</f>
        <v>0</v>
      </c>
      <c r="CH12" s="874">
        <f t="array" ref="CH12">SUM(IF(ISBLANK(CH$23:CH$238),0,$K23:$K238)*IF(ISBLANK($T$1),1,IF($I$23:$I$238=$T$1,1,0)))</f>
        <v>0</v>
      </c>
      <c r="CI12" s="874">
        <f t="array" ref="CI12">SUM(IF(ISBLANK(CI$23:CI$238),0,$K23:$K238)*IF(ISBLANK($T$1),1,IF($I$23:$I$238=$T$1,1,0)))</f>
        <v>23</v>
      </c>
      <c r="CJ12" s="874">
        <f t="array" ref="CJ12">SUM(IF(ISBLANK(CJ$23:CJ$238),0,$K23:$K238)*IF(ISBLANK($T$1),1,IF($I$23:$I$238=$T$1,1,0)))</f>
        <v>23</v>
      </c>
      <c r="CK12" s="874">
        <f t="array" ref="CK12">SUM(IF(ISBLANK(CK$23:CK$238),0,$K23:$K238)*IF(ISBLANK($T$1),1,IF($I$23:$I$238=$T$1,1,0)))</f>
        <v>21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3">AF12/AF2</f>
        <v>1.1162790697674418</v>
      </c>
      <c r="AG13" s="874">
        <f t="shared" si="13"/>
        <v>1.1162790697674418</v>
      </c>
      <c r="AH13" s="874">
        <f t="shared" si="13"/>
        <v>1.1162790697674418</v>
      </c>
      <c r="AI13" s="874">
        <f t="shared" si="13"/>
        <v>1.1190476190476191</v>
      </c>
      <c r="AK13" s="874">
        <f t="shared" si="13"/>
        <v>1.1162790697674418</v>
      </c>
      <c r="AL13" s="874">
        <f t="shared" si="13"/>
        <v>1.1162790697674418</v>
      </c>
      <c r="AO13" s="874">
        <f>AO12/AO2</f>
        <v>1.1190476190476191</v>
      </c>
      <c r="AP13" s="874">
        <f t="shared" si="13"/>
        <v>1.1190476190476191</v>
      </c>
      <c r="AS13" s="874">
        <f>AS12/AS2</f>
        <v>1.1162790697674418</v>
      </c>
      <c r="AT13" s="874">
        <f>AT12/AT2</f>
        <v>1.1162790697674418</v>
      </c>
      <c r="AU13" s="874">
        <f t="shared" ref="AU13" si="14">AU12/AU2</f>
        <v>1.1162790697674418</v>
      </c>
      <c r="AW13" s="874">
        <f t="shared" si="13"/>
        <v>1.1190476190476191</v>
      </c>
      <c r="AX13" s="874">
        <f>AX12/AX2</f>
        <v>1.1162790697674418</v>
      </c>
      <c r="AY13" s="874">
        <f>AY12/AY2</f>
        <v>1.1162790697674418</v>
      </c>
      <c r="BA13" s="874">
        <f>BA12/BA2</f>
        <v>1.1162790697674418</v>
      </c>
      <c r="BC13" s="874" t="e">
        <f>BC12/BC2</f>
        <v>#N/A</v>
      </c>
      <c r="BE13" s="874">
        <f>BE12/BE2</f>
        <v>1.1162790697674418</v>
      </c>
      <c r="BF13" s="874">
        <f>BF12/BF2</f>
        <v>1.1162790697674418</v>
      </c>
      <c r="BM13" s="874" t="e">
        <f>BM12/BM2</f>
        <v>#DIV/0!</v>
      </c>
      <c r="BO13" s="874" t="e">
        <f>BO12/BO2</f>
        <v>#DIV/0!</v>
      </c>
      <c r="BQ13" s="874">
        <f>BQ12/BQ2</f>
        <v>0</v>
      </c>
      <c r="BR13" s="874">
        <f>BR12/BR2</f>
        <v>0</v>
      </c>
      <c r="BS13" s="874" t="e">
        <f t="shared" si="13"/>
        <v>#N/A</v>
      </c>
      <c r="BX13" s="874">
        <f t="shared" ref="BX13:CD13" si="15">BX12/BX2</f>
        <v>0</v>
      </c>
      <c r="BY13" s="874" t="e">
        <f t="shared" si="15"/>
        <v>#DIV/0!</v>
      </c>
      <c r="BZ13" s="874" t="e">
        <f t="shared" si="15"/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3"/>
        <v>#DIV/0!</v>
      </c>
      <c r="CF13" s="874" t="e">
        <f t="shared" si="13"/>
        <v>#DIV/0!</v>
      </c>
      <c r="CG13" s="874" t="e">
        <f t="shared" si="13"/>
        <v>#DIV/0!</v>
      </c>
      <c r="CH13" s="874" t="e">
        <f t="shared" si="13"/>
        <v>#DIV/0!</v>
      </c>
      <c r="CI13" s="874">
        <f t="shared" si="13"/>
        <v>1.4375</v>
      </c>
      <c r="CJ13" s="874">
        <f t="shared" si="13"/>
        <v>1.4375</v>
      </c>
      <c r="CK13" s="874">
        <f t="shared" si="13"/>
        <v>1.4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16">AG15+AG16</f>
        <v>32</v>
      </c>
      <c r="AH14" s="902">
        <f t="shared" ref="AH14:BD14" si="17">AH15+AH16</f>
        <v>11</v>
      </c>
      <c r="AI14" s="902">
        <f t="shared" si="17"/>
        <v>0</v>
      </c>
      <c r="AJ14" s="902">
        <f t="shared" si="17"/>
        <v>0</v>
      </c>
      <c r="AK14" s="902">
        <f t="shared" si="17"/>
        <v>9</v>
      </c>
      <c r="AL14" s="902">
        <f t="shared" si="17"/>
        <v>24</v>
      </c>
      <c r="AM14" s="902">
        <f t="shared" si="17"/>
        <v>31</v>
      </c>
      <c r="AN14" s="902">
        <f t="shared" si="17"/>
        <v>39</v>
      </c>
      <c r="AO14" s="902">
        <f t="shared" si="17"/>
        <v>32</v>
      </c>
      <c r="AP14" s="902">
        <f t="shared" si="17"/>
        <v>6</v>
      </c>
      <c r="AQ14" s="902">
        <f t="shared" si="17"/>
        <v>9</v>
      </c>
      <c r="AR14" s="902">
        <f t="shared" si="17"/>
        <v>5</v>
      </c>
      <c r="AS14" s="902">
        <f t="shared" si="17"/>
        <v>21</v>
      </c>
      <c r="AT14" s="902">
        <f t="shared" si="17"/>
        <v>41</v>
      </c>
      <c r="AU14" s="902">
        <f t="shared" si="17"/>
        <v>35</v>
      </c>
      <c r="AV14" s="902">
        <f t="shared" si="17"/>
        <v>6</v>
      </c>
      <c r="AW14" s="902">
        <f t="shared" si="17"/>
        <v>0</v>
      </c>
      <c r="AX14" s="902">
        <f t="shared" si="17"/>
        <v>25</v>
      </c>
      <c r="AY14" s="902">
        <f t="shared" si="17"/>
        <v>24</v>
      </c>
      <c r="AZ14" s="902">
        <f t="shared" si="17"/>
        <v>19</v>
      </c>
      <c r="BA14" s="902">
        <f t="shared" si="17"/>
        <v>17</v>
      </c>
      <c r="BB14" s="902">
        <f t="shared" si="17"/>
        <v>39</v>
      </c>
      <c r="BC14" s="902">
        <f t="shared" si="17"/>
        <v>28</v>
      </c>
      <c r="BD14" s="902">
        <f t="shared" si="17"/>
        <v>22</v>
      </c>
      <c r="BE14" s="902">
        <f t="shared" ref="BE14:BI14" si="18">BE15+BE16</f>
        <v>36</v>
      </c>
      <c r="BF14" s="902">
        <f t="shared" si="18"/>
        <v>30</v>
      </c>
      <c r="BG14" s="902">
        <f t="shared" si="18"/>
        <v>8</v>
      </c>
      <c r="BH14" s="902">
        <f t="shared" si="18"/>
        <v>29</v>
      </c>
      <c r="BI14" s="902">
        <f t="shared" si="18"/>
        <v>10</v>
      </c>
      <c r="BJ14" s="889"/>
      <c r="BK14" s="889"/>
      <c r="BL14" s="889"/>
      <c r="BM14" s="889"/>
      <c r="BN14" s="889"/>
      <c r="BO14" s="889"/>
      <c r="BP14" s="889"/>
      <c r="BQ14" s="889"/>
      <c r="BR14" s="889"/>
      <c r="BS14" s="889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AVERAGEIFS($Q$23:$Q$205,$H$23:$H$205,"H",$I$23:$I$205,Table!$C$1)</f>
        <v>0.19761904761904764</v>
      </c>
      <c r="S15" s="858">
        <f>AVERAGEIFS($Q$23:$Q$205,$H$23:$H$205,"A",$I$23:$I$205,Table!$C$1)</f>
        <v>-6.238095238095237E-2</v>
      </c>
      <c r="AF15" s="848" t="s">
        <v>821</v>
      </c>
      <c r="AG15" s="850">
        <f t="array" ref="AG15">SUM(IF(LEFT(AG23:AG159,1)="X",1,0))</f>
        <v>32</v>
      </c>
      <c r="AH15" s="903">
        <f t="array" ref="AH15">SUM(IF(LEFT(AH23:AH159,1)="X",1,0))</f>
        <v>11</v>
      </c>
      <c r="AI15" s="903">
        <f t="array" ref="AI15">SUM(IF(LEFT(AI23:AI159,1)="X",1,0))</f>
        <v>0</v>
      </c>
      <c r="AJ15" s="903">
        <f t="array" ref="AJ15">SUM(IF(LEFT(AJ23:AJ159,1)="X",1,0))</f>
        <v>0</v>
      </c>
      <c r="AK15" s="903">
        <f t="array" ref="AK15">SUM(IF(LEFT(AK23:AK159,1)="X",1,0))</f>
        <v>8</v>
      </c>
      <c r="AL15" s="903">
        <f t="array" ref="AL15">SUM(IF(LEFT(AL23:AL159,1)="X",1,0))</f>
        <v>23</v>
      </c>
      <c r="AM15" s="903">
        <f t="array" ref="AM15">SUM(IF(LEFT(AM23:AM159,1)="X",1,0))</f>
        <v>26</v>
      </c>
      <c r="AN15" s="903">
        <f t="array" ref="AN15">SUM(IF(LEFT(AN23:AN159,1)="X",1,0))</f>
        <v>39</v>
      </c>
      <c r="AO15" s="903">
        <f t="array" ref="AO15">SUM(IF(LEFT(AO23:AO159,1)="X",1,0))</f>
        <v>29</v>
      </c>
      <c r="AP15" s="903">
        <f t="array" ref="AP15">SUM(IF(LEFT(AP23:AP159,1)="X",1,0))</f>
        <v>4</v>
      </c>
      <c r="AQ15" s="903">
        <f t="array" ref="AQ15">SUM(IF(LEFT(AQ23:AQ159,1)="X",1,0))</f>
        <v>5</v>
      </c>
      <c r="AR15" s="903">
        <f t="array" ref="AR15">SUM(IF(LEFT(AR23:AR159,1)="X",1,0))</f>
        <v>1</v>
      </c>
      <c r="AS15" s="903">
        <f t="array" ref="AS15">SUM(IF(LEFT(AS23:AS159,1)="X",1,0))</f>
        <v>21</v>
      </c>
      <c r="AT15" s="903">
        <f t="array" ref="AT15">SUM(IF(LEFT(AT23:AT159,1)="X",1,0))</f>
        <v>41</v>
      </c>
      <c r="AU15" s="903">
        <f t="array" ref="AU15">SUM(IF(LEFT(AU23:AU159,1)="X",1,0))</f>
        <v>35</v>
      </c>
      <c r="AV15" s="903">
        <f t="array" ref="AV15">SUM(IF(LEFT(AV23:AV159,1)="X",1,0))</f>
        <v>4</v>
      </c>
      <c r="AW15" s="903">
        <f t="array" ref="AW15">SUM(IF(LEFT(AW23:AW159,1)="X",1,0))</f>
        <v>0</v>
      </c>
      <c r="AX15" s="903">
        <f t="array" ref="AX15">SUM(IF(LEFT(AX23:AX159,1)="X",1,0))</f>
        <v>20</v>
      </c>
      <c r="AY15" s="903">
        <f t="array" ref="AY15">SUM(IF(LEFT(AY23:AY159,1)="X",1,0))</f>
        <v>16</v>
      </c>
      <c r="AZ15" s="903">
        <f t="array" ref="AZ15">SUM(IF(LEFT(AZ23:AZ159,1)="X",1,0))</f>
        <v>19</v>
      </c>
      <c r="BA15" s="903">
        <f t="array" ref="BA15">SUM(IF(LEFT(BA23:BA159,1)="X",1,0))</f>
        <v>3</v>
      </c>
      <c r="BB15" s="903">
        <f t="array" ref="BB15">SUM(IF(LEFT(BB23:BB159,1)="X",1,0))</f>
        <v>33</v>
      </c>
      <c r="BC15" s="903">
        <f t="array" ref="BC15">SUM(IF(LEFT(BC23:BC159,1)="X",1,0))</f>
        <v>22</v>
      </c>
      <c r="BD15" s="903">
        <f t="array" ref="BD15">SUM(IF(LEFT(BD23:BD159,1)="X",1,0))</f>
        <v>19</v>
      </c>
      <c r="BE15" s="903">
        <f t="array" ref="BE15">SUM(IF(LEFT(BE23:BE159,1)="X",1,0))</f>
        <v>27</v>
      </c>
      <c r="BF15" s="903">
        <f t="array" ref="BF15">SUM(IF(LEFT(BF23:BF159,1)="X",1,0))</f>
        <v>17</v>
      </c>
      <c r="BG15" s="903">
        <f t="array" ref="BG15">SUM(IF(LEFT(BG23:BG159,1)="X",1,0))</f>
        <v>6</v>
      </c>
      <c r="BH15" s="903">
        <f t="array" ref="BH15">SUM(IF(LEFT(BH23:BH159,1)="X",1,0))</f>
        <v>8</v>
      </c>
      <c r="BI15" s="903">
        <f t="array" ref="BI15">SUM(IF(LEFT(BI23:BI159,1)="X",1,0))</f>
        <v>4</v>
      </c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AVERAGEIF($H$23:$H$202,"=H",$J$23:$J$202)</f>
        <v>1.1818181818181819</v>
      </c>
      <c r="J16" s="858">
        <f>AVERAGEIF($H$23:$H$206,"=H",$K$23:$K$206)</f>
        <v>1.1363636363636365</v>
      </c>
      <c r="K16" s="858">
        <f>I16-J16</f>
        <v>4.5454545454545414E-2</v>
      </c>
      <c r="L16" s="857">
        <f>COUNTIFS($L$23:$L$202,"=W",$H$23:$H$202,"=H")</f>
        <v>7</v>
      </c>
      <c r="M16" s="857">
        <f>COUNTIFS($L$23:$L$202,"=D",$H$23:$H$202,"=H")</f>
        <v>8</v>
      </c>
      <c r="N16" s="863">
        <f>COUNTIFS($L$23:$L$202,"=L",$H$23:$H$202,"=H")</f>
        <v>7</v>
      </c>
      <c r="O16" s="858">
        <f>SUM(I16:J16)</f>
        <v>2.3181818181818183</v>
      </c>
      <c r="Q16" s="861" t="s">
        <v>212</v>
      </c>
      <c r="R16" s="858">
        <f>AVERAGEIFS($S$23:$S$203,$H$23:$H$203,"H",$I$23:$I$203,Table!$C$1)</f>
        <v>2.4333333333333336</v>
      </c>
      <c r="S16" s="858">
        <f>AVERAGEIFS($S$23:$S$203,$H$23:$H$203,"A",$I$23:$I$203,Table!$C$1)</f>
        <v>2.4342857142857151</v>
      </c>
      <c r="AF16" s="848" t="s">
        <v>724</v>
      </c>
      <c r="AG16" s="850">
        <f t="array" ref="AG16">SUM(IF(LEFT(AG23:AG160,1)="s",1,0))</f>
        <v>0</v>
      </c>
      <c r="AH16" s="903">
        <f t="array" ref="AH16">SUM(IF(LEFT(AH23:AH160,1)="s",1,0))</f>
        <v>0</v>
      </c>
      <c r="AI16" s="903">
        <f t="array" ref="AI16">SUM(IF(LEFT(AI23:AI160,1)="s",1,0))</f>
        <v>0</v>
      </c>
      <c r="AJ16" s="903">
        <f t="array" ref="AJ16">SUM(IF(LEFT(AJ23:AJ160,1)="s",1,0))</f>
        <v>0</v>
      </c>
      <c r="AK16" s="903">
        <f t="array" ref="AK16">SUM(IF(LEFT(AK23:AK160,1)="s",1,0))</f>
        <v>1</v>
      </c>
      <c r="AL16" s="903">
        <f t="array" ref="AL16">SUM(IF(LEFT(AL23:AL160,1)="s",1,0))</f>
        <v>1</v>
      </c>
      <c r="AM16" s="903">
        <f t="array" ref="AM16">SUM(IF(LEFT(AM23:AM160,1)="s",1,0))</f>
        <v>5</v>
      </c>
      <c r="AN16" s="903">
        <f t="array" ref="AN16">SUM(IF(LEFT(AN23:AN160,1)="s",1,0))</f>
        <v>0</v>
      </c>
      <c r="AO16" s="903">
        <f t="array" ref="AO16">SUM(IF(LEFT(AO23:AO160,1)="s",1,0))</f>
        <v>3</v>
      </c>
      <c r="AP16" s="903">
        <f t="array" ref="AP16">SUM(IF(LEFT(AP23:AP160,1)="s",1,0))</f>
        <v>2</v>
      </c>
      <c r="AQ16" s="903">
        <f t="array" ref="AQ16">SUM(IF(LEFT(AQ23:AQ160,1)="s",1,0))</f>
        <v>4</v>
      </c>
      <c r="AR16" s="903">
        <f t="array" ref="AR16">SUM(IF(LEFT(AR23:AR160,1)="s",1,0))</f>
        <v>4</v>
      </c>
      <c r="AS16" s="903">
        <f t="array" ref="AS16">SUM(IF(LEFT(AS23:AS160,1)="s",1,0))</f>
        <v>0</v>
      </c>
      <c r="AT16" s="903">
        <f t="array" ref="AT16">SUM(IF(LEFT(AT23:AT160,1)="s",1,0))</f>
        <v>0</v>
      </c>
      <c r="AU16" s="903">
        <f t="array" ref="AU16">SUM(IF(LEFT(AU23:AU160,1)="s",1,0))</f>
        <v>0</v>
      </c>
      <c r="AV16" s="903">
        <f t="array" ref="AV16">SUM(IF(LEFT(AV23:AV160,1)="s",1,0))</f>
        <v>2</v>
      </c>
      <c r="AW16" s="903">
        <f t="array" ref="AW16">SUM(IF(LEFT(AW23:AW160,1)="s",1,0))</f>
        <v>0</v>
      </c>
      <c r="AX16" s="903">
        <f t="array" ref="AX16">SUM(IF(LEFT(AX23:AX160,1)="s",1,0))</f>
        <v>5</v>
      </c>
      <c r="AY16" s="903">
        <f t="array" ref="AY16">SUM(IF(LEFT(AY23:AY160,1)="s",1,0))</f>
        <v>8</v>
      </c>
      <c r="AZ16" s="903">
        <f t="array" ref="AZ16">SUM(IF(LEFT(AZ23:AZ160,1)="s",1,0))</f>
        <v>0</v>
      </c>
      <c r="BA16" s="903">
        <f t="array" ref="BA16">SUM(IF(LEFT(BA23:BA160,1)="s",1,0))</f>
        <v>14</v>
      </c>
      <c r="BB16" s="903">
        <f t="array" ref="BB16">SUM(IF(LEFT(BB23:BB160,1)="s",1,0))</f>
        <v>6</v>
      </c>
      <c r="BC16" s="903">
        <f t="array" ref="BC16">SUM(IF(LEFT(BC23:BC160,1)="s",1,0))</f>
        <v>6</v>
      </c>
      <c r="BD16" s="903">
        <f t="array" ref="BD16">SUM(IF(LEFT(BD23:BD160,1)="s",1,0))</f>
        <v>3</v>
      </c>
      <c r="BE16" s="903">
        <f t="array" ref="BE16">SUM(IF(LEFT(BE23:BE160,1)="s",1,0))</f>
        <v>9</v>
      </c>
      <c r="BF16" s="903">
        <f t="array" ref="BF16">SUM(IF(LEFT(BF23:BF160,1)="s",1,0))</f>
        <v>13</v>
      </c>
      <c r="BG16" s="903">
        <f t="array" ref="BG16">SUM(IF(LEFT(BG23:BG160,1)="s",1,0))</f>
        <v>2</v>
      </c>
      <c r="BH16" s="903">
        <f t="array" ref="BH16">SUM(IF(LEFT(BH23:BH160,1)="s",1,0))</f>
        <v>21</v>
      </c>
      <c r="BI16" s="903">
        <f t="array" ref="BI16">SUM(IF(LEFT(BI23:BI160,1)="s",1,0))</f>
        <v>6</v>
      </c>
      <c r="BJ16" s="889"/>
      <c r="BK16" s="889"/>
      <c r="BL16" s="889"/>
      <c r="BM16" s="889"/>
      <c r="BN16" s="889"/>
      <c r="BO16" s="889"/>
      <c r="BP16" s="889"/>
      <c r="BQ16" s="889"/>
      <c r="BR16" s="889"/>
      <c r="BS16" s="889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AVERAGEIF($H$23:$H$202,"=A",$J$23:$J$202)</f>
        <v>1.3809523809523809</v>
      </c>
      <c r="J17" s="860">
        <f>AVERAGEIF($H$23:$H$206,"=A",$K$23:$K$206)</f>
        <v>1.0952380952380953</v>
      </c>
      <c r="K17" s="858">
        <f>I17-J17</f>
        <v>0.28571428571428559</v>
      </c>
      <c r="L17" s="857">
        <f>COUNTIFS($L$23:$L$202,"=W",$H$23:$H$202,"=A")</f>
        <v>7</v>
      </c>
      <c r="M17" s="857">
        <f>COUNTIFS($L$23:$L$202,"=D",$H$23:$H$202,"=A")</f>
        <v>7</v>
      </c>
      <c r="N17" s="863">
        <f>COUNTIFS($L$23:$L$202,"=L",$H$23:$H$202,"=A")</f>
        <v>7</v>
      </c>
      <c r="O17" s="858">
        <f>SUM(I17:J17)</f>
        <v>2.4761904761904763</v>
      </c>
      <c r="Q17" s="848"/>
      <c r="R17" s="859"/>
      <c r="S17" s="855"/>
      <c r="AF17" s="848" t="s">
        <v>718</v>
      </c>
      <c r="AG17" s="850">
        <f t="array" ref="AG17">SUM(IF(ISNUMBER(VALUE(RIGHT(AG23:AG168,1))),VALUE(RIGHT(AG23:AG168,1)),0))</f>
        <v>0</v>
      </c>
      <c r="AH17" s="903">
        <f t="array" ref="AH17">SUM(IF(ISNUMBER(VALUE(RIGHT(AH23:AH168,1))),VALUE(RIGHT(AH23:AH168,1)),0))</f>
        <v>0</v>
      </c>
      <c r="AI17" s="903">
        <f t="array" ref="AI17">SUM(IF(ISNUMBER(VALUE(RIGHT(AI23:AI168,1))),VALUE(RIGHT(AI23:AI168,1)),0))</f>
        <v>0</v>
      </c>
      <c r="AJ17" s="903">
        <f t="array" ref="AJ17">SUM(IF(ISNUMBER(VALUE(RIGHT(AJ23:AJ168,1))),VALUE(RIGHT(AJ23:AJ168,1)),0))</f>
        <v>0</v>
      </c>
      <c r="AK17" s="903">
        <f t="array" ref="AK17">SUM(IF(ISNUMBER(VALUE(RIGHT(AK23:AK168,1))),VALUE(RIGHT(AK23:AK168,1)),0))</f>
        <v>0</v>
      </c>
      <c r="AL17" s="903">
        <f t="array" ref="AL17">SUM(IF(ISNUMBER(VALUE(RIGHT(AL23:AL168,1))),VALUE(RIGHT(AL23:AL168,1)),0))</f>
        <v>0</v>
      </c>
      <c r="AM17" s="903">
        <f t="array" ref="AM17">SUM(IF(ISNUMBER(VALUE(RIGHT(AM23:AM168,1))),VALUE(RIGHT(AM23:AM168,1)),0))</f>
        <v>15</v>
      </c>
      <c r="AN17" s="903">
        <f t="array" ref="AN17">SUM(IF(ISNUMBER(VALUE(RIGHT(AN23:AN168,1))),VALUE(RIGHT(AN23:AN168,1)),0))</f>
        <v>2</v>
      </c>
      <c r="AO17" s="903">
        <f t="array" ref="AO17">SUM(IF(ISNUMBER(VALUE(RIGHT(AO23:AO168,1))),VALUE(RIGHT(AO23:AO168,1)),0))</f>
        <v>0</v>
      </c>
      <c r="AP17" s="903">
        <f t="array" ref="AP17">SUM(IF(ISNUMBER(VALUE(RIGHT(AP23:AP168,1))),VALUE(RIGHT(AP23:AP168,1)),0))</f>
        <v>0</v>
      </c>
      <c r="AQ17" s="903">
        <f t="array" ref="AQ17">SUM(IF(ISNUMBER(VALUE(RIGHT(AQ23:AQ168,1))),VALUE(RIGHT(AQ23:AQ168,1)),0))</f>
        <v>0</v>
      </c>
      <c r="AR17" s="903">
        <f t="array" ref="AR17">SUM(IF(ISNUMBER(VALUE(RIGHT(AR23:AR168,1))),VALUE(RIGHT(AR23:AR168,1)),0))</f>
        <v>0</v>
      </c>
      <c r="AS17" s="903">
        <f t="array" ref="AS17">SUM(IF(ISNUMBER(VALUE(RIGHT(AS23:AS168,1))),VALUE(RIGHT(AS23:AS168,1)),0))</f>
        <v>0</v>
      </c>
      <c r="AT17" s="903">
        <f t="array" ref="AT17">SUM(IF(ISNUMBER(VALUE(RIGHT(AT23:AT168,1))),VALUE(RIGHT(AT23:AT168,1)),0))</f>
        <v>1</v>
      </c>
      <c r="AU17" s="903">
        <f t="array" ref="AU17">SUM(IF(ISNUMBER(VALUE(RIGHT(AU23:AU168,1))),VALUE(RIGHT(AU23:AU168,1)),0))</f>
        <v>1</v>
      </c>
      <c r="AV17" s="903">
        <f t="array" ref="AV17">SUM(IF(ISNUMBER(VALUE(RIGHT(AV23:AV168,1))),VALUE(RIGHT(AV23:AV168,1)),0))</f>
        <v>0</v>
      </c>
      <c r="AW17" s="903">
        <f t="array" ref="AW17">SUM(IF(ISNUMBER(VALUE(RIGHT(AW23:AW168,1))),VALUE(RIGHT(AW23:AW168,1)),0))</f>
        <v>0</v>
      </c>
      <c r="AX17" s="903">
        <f t="array" ref="AX17">SUM(IF(ISNUMBER(VALUE(RIGHT(AX23:AX168,1))),VALUE(RIGHT(AX23:AX168,1)),0))</f>
        <v>0</v>
      </c>
      <c r="AY17" s="903">
        <f t="array" ref="AY17">SUM(IF(ISNUMBER(VALUE(RIGHT(AY23:AY168,1))),VALUE(RIGHT(AY23:AY168,1)),0))</f>
        <v>5</v>
      </c>
      <c r="AZ17" s="903">
        <f t="array" ref="AZ17">SUM(IF(ISNUMBER(VALUE(RIGHT(AZ23:AZ168,1))),VALUE(RIGHT(AZ23:AZ168,1)),0))</f>
        <v>1</v>
      </c>
      <c r="BA17" s="903">
        <f t="array" ref="BA17">SUM(IF(ISNUMBER(VALUE(RIGHT(BA23:BA168,1))),VALUE(RIGHT(BA23:BA168,1)),0))</f>
        <v>1</v>
      </c>
      <c r="BB17" s="903">
        <f t="array" ref="BB17">SUM(IF(ISNUMBER(VALUE(RIGHT(BB23:BB168,1))),VALUE(RIGHT(BB23:BB168,1)),0))</f>
        <v>8</v>
      </c>
      <c r="BC17" s="903">
        <f t="array" ref="BC17">SUM(IF(ISNUMBER(VALUE(RIGHT(BC23:BC168,1))),VALUE(RIGHT(BC23:BC168,1)),0))</f>
        <v>6</v>
      </c>
      <c r="BD17" s="903">
        <f t="array" ref="BD17">SUM(IF(ISNUMBER(VALUE(RIGHT(BD23:BD168,1))),VALUE(RIGHT(BD23:BD168,1)),0))</f>
        <v>0</v>
      </c>
      <c r="BE17" s="903">
        <f t="array" ref="BE17">SUM(IF(ISNUMBER(VALUE(RIGHT(BE23:BE168,1))),VALUE(RIGHT(BE23:BE168,1)),0))</f>
        <v>2</v>
      </c>
      <c r="BF17" s="903">
        <f t="array" ref="BF17">SUM(IF(ISNUMBER(VALUE(RIGHT(BF23:BF168,1))),VALUE(RIGHT(BF23:BF168,1)),0))</f>
        <v>4</v>
      </c>
      <c r="BG17" s="903">
        <f t="array" ref="BG17">SUM(IF(ISNUMBER(VALUE(RIGHT(BG23:BG168,1))),VALUE(RIGHT(BG23:BG168,1)),0))</f>
        <v>1</v>
      </c>
      <c r="BH17" s="903">
        <f t="array" ref="BH17">SUM(IF(ISNUMBER(VALUE(RIGHT(BH23:BH168,1))),VALUE(RIGHT(BH23:BH168,1)),0))</f>
        <v>6</v>
      </c>
      <c r="BI17" s="903">
        <f t="array" ref="BI17">SUM(IF(ISNUMBER(VALUE(RIGHT(BI23:BI168,1))),VALUE(RIGHT(BI23:BI168,1)),0))</f>
        <v>1</v>
      </c>
      <c r="BJ17" s="889"/>
      <c r="BK17" s="889"/>
      <c r="BL17" s="889"/>
      <c r="BM17" s="889"/>
      <c r="BN17" s="889"/>
      <c r="BO17" s="889"/>
      <c r="BP17" s="889"/>
      <c r="BQ17" s="889"/>
      <c r="BR17" s="889"/>
      <c r="BS17" s="889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AVERAGEIFS($Y$23:$Y$205,$H$23:$H$205,"H",$I$23:$I$205,Table!$C$1)</f>
        <v>3.6666666666666665</v>
      </c>
      <c r="S18" s="858">
        <f>AVERAGEIFS($Y$23:$Y$205,$H$23:$H$205,"A",$I$23:$I$205,Table!$C$1)</f>
        <v>4.333333333333333</v>
      </c>
      <c r="AG18" s="876">
        <v>1</v>
      </c>
      <c r="AH18" s="876">
        <v>21</v>
      </c>
      <c r="AI18" s="876">
        <v>29</v>
      </c>
      <c r="AJ18" s="876">
        <v>34</v>
      </c>
      <c r="AK18" s="876">
        <v>2</v>
      </c>
      <c r="AL18" s="876">
        <v>3</v>
      </c>
      <c r="AM18" s="876">
        <v>4</v>
      </c>
      <c r="AN18" s="876">
        <v>6</v>
      </c>
      <c r="AO18" s="876">
        <v>15</v>
      </c>
      <c r="AP18" s="876">
        <v>17</v>
      </c>
      <c r="AQ18" s="876">
        <v>24</v>
      </c>
      <c r="AR18" s="876">
        <v>25</v>
      </c>
      <c r="AS18" s="876">
        <v>26</v>
      </c>
      <c r="AT18" s="876">
        <v>30</v>
      </c>
      <c r="AU18" s="876">
        <v>5</v>
      </c>
      <c r="AV18" s="874">
        <v>41</v>
      </c>
      <c r="AW18" s="876">
        <v>23</v>
      </c>
      <c r="AX18" s="876">
        <v>8</v>
      </c>
      <c r="AY18" s="876">
        <v>14</v>
      </c>
      <c r="AZ18" s="876">
        <v>18</v>
      </c>
      <c r="BA18" s="876">
        <v>20</v>
      </c>
      <c r="BB18" s="876">
        <v>22</v>
      </c>
      <c r="BC18" s="876">
        <v>9</v>
      </c>
      <c r="BD18" s="876">
        <v>10</v>
      </c>
      <c r="BE18" s="876">
        <v>13</v>
      </c>
      <c r="BF18" s="876">
        <v>16</v>
      </c>
      <c r="BG18" s="876">
        <v>19</v>
      </c>
      <c r="BH18" s="876">
        <v>31</v>
      </c>
      <c r="BI18" s="876">
        <v>7</v>
      </c>
      <c r="BN18" s="876"/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AVERAGEIFS($Z$23:$Z$203,$H$23:$H$203,"H",$I$23:$I$203,Table!$C$1)</f>
        <v>3.1904761904761907</v>
      </c>
      <c r="S19" s="858">
        <f>AVERAGEIFS($Z$23:$Z$203,$H$23:$H$203,"A",$I$23:$I$203,Table!$C$1)</f>
        <v>4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2033</v>
      </c>
      <c r="AL19" s="901" t="s">
        <v>2032</v>
      </c>
      <c r="AM19" s="901" t="s">
        <v>1984</v>
      </c>
      <c r="AN19" s="901" t="s">
        <v>2018</v>
      </c>
      <c r="AO19" s="901" t="s">
        <v>2032</v>
      </c>
      <c r="AP19" s="901" t="s">
        <v>2032</v>
      </c>
      <c r="AQ19" s="901" t="s">
        <v>2018</v>
      </c>
      <c r="AR19" s="901" t="s">
        <v>2028</v>
      </c>
      <c r="AS19" s="901" t="s">
        <v>2033</v>
      </c>
      <c r="AT19" s="901" t="s">
        <v>2033</v>
      </c>
      <c r="AU19" s="901" t="s">
        <v>2032</v>
      </c>
      <c r="AV19" s="901" t="s">
        <v>1984</v>
      </c>
      <c r="AW19" s="901" t="s">
        <v>2029</v>
      </c>
      <c r="AX19" s="901" t="s">
        <v>2021</v>
      </c>
      <c r="AY19" s="901" t="s">
        <v>2029</v>
      </c>
      <c r="AZ19" s="901" t="s">
        <v>2021</v>
      </c>
      <c r="BA19" s="901" t="s">
        <v>2035</v>
      </c>
      <c r="BB19" s="901" t="s">
        <v>2022</v>
      </c>
      <c r="BC19" s="901" t="s">
        <v>2025</v>
      </c>
      <c r="BD19" s="901" t="s">
        <v>2034</v>
      </c>
      <c r="BE19" s="901" t="s">
        <v>2025</v>
      </c>
      <c r="BF19" s="901" t="s">
        <v>2035</v>
      </c>
      <c r="BG19" s="901" t="s">
        <v>2030</v>
      </c>
      <c r="BH19" s="901" t="s">
        <v>2025</v>
      </c>
      <c r="BI19" s="901" t="s">
        <v>2034</v>
      </c>
      <c r="BN19" s="877"/>
      <c r="BO19" s="877"/>
      <c r="BP19" s="877"/>
      <c r="BQ19" s="877"/>
      <c r="BR19" s="877"/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12</v>
      </c>
      <c r="G20" s="822" t="str">
        <f ca="1">MID(CELL("filename",A1),FIND("]",CELL("filename",A1))+1,LEN(CELL("filename",A1))-FIND("]",CELL("filename",A1)))</f>
        <v>Kyoto Sanga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1460</v>
      </c>
      <c r="AH20" s="887" t="s">
        <v>1461</v>
      </c>
      <c r="AI20" s="887" t="s">
        <v>1462</v>
      </c>
      <c r="AJ20" s="887" t="s">
        <v>1982</v>
      </c>
      <c r="AK20" s="887" t="s">
        <v>1463</v>
      </c>
      <c r="AL20" s="887" t="s">
        <v>2979</v>
      </c>
      <c r="AM20" s="887" t="s">
        <v>3104</v>
      </c>
      <c r="AN20" s="887" t="s">
        <v>1464</v>
      </c>
      <c r="AO20" s="887" t="s">
        <v>3105</v>
      </c>
      <c r="AP20" s="887" t="s">
        <v>1465</v>
      </c>
      <c r="AQ20" s="887" t="s">
        <v>1466</v>
      </c>
      <c r="AR20" s="887" t="s">
        <v>1903</v>
      </c>
      <c r="AS20" s="887" t="s">
        <v>2820</v>
      </c>
      <c r="AT20" s="887" t="s">
        <v>3056</v>
      </c>
      <c r="AU20" s="887" t="s">
        <v>3106</v>
      </c>
      <c r="AV20" s="887" t="s">
        <v>3051</v>
      </c>
      <c r="AW20" s="887" t="s">
        <v>1904</v>
      </c>
      <c r="AX20" s="887" t="s">
        <v>3515</v>
      </c>
      <c r="AY20" s="887" t="s">
        <v>1981</v>
      </c>
      <c r="AZ20" s="887" t="s">
        <v>1468</v>
      </c>
      <c r="BA20" s="887" t="s">
        <v>1469</v>
      </c>
      <c r="BB20" s="887" t="s">
        <v>1470</v>
      </c>
      <c r="BC20" s="887" t="s">
        <v>1471</v>
      </c>
      <c r="BD20" s="887" t="s">
        <v>2151</v>
      </c>
      <c r="BE20" s="887" t="s">
        <v>2453</v>
      </c>
      <c r="BF20" s="887" t="s">
        <v>1472</v>
      </c>
      <c r="BG20" s="887" t="s">
        <v>1983</v>
      </c>
      <c r="BH20" s="887" t="s">
        <v>1473</v>
      </c>
      <c r="BI20" s="887" t="s">
        <v>1467</v>
      </c>
      <c r="BN20" s="887"/>
      <c r="BO20" s="864"/>
      <c r="BP20" s="864"/>
      <c r="BQ20" s="864"/>
      <c r="BR20" s="864"/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1232</v>
      </c>
      <c r="AH21" s="886" t="s">
        <v>945</v>
      </c>
      <c r="AI21" s="886" t="s">
        <v>1002</v>
      </c>
      <c r="AJ21" s="886" t="s">
        <v>1233</v>
      </c>
      <c r="AK21" s="886" t="s">
        <v>1234</v>
      </c>
      <c r="AL21" s="886" t="s">
        <v>949</v>
      </c>
      <c r="AM21" s="886" t="s">
        <v>1710</v>
      </c>
      <c r="AN21" s="886" t="s">
        <v>1235</v>
      </c>
      <c r="AO21" s="886" t="s">
        <v>1236</v>
      </c>
      <c r="AP21" s="886" t="s">
        <v>948</v>
      </c>
      <c r="AQ21" s="886" t="s">
        <v>950</v>
      </c>
      <c r="AR21" s="886" t="s">
        <v>1237</v>
      </c>
      <c r="AS21" s="886" t="s">
        <v>951</v>
      </c>
      <c r="AT21" s="886" t="s">
        <v>1238</v>
      </c>
      <c r="AU21" s="886" t="s">
        <v>2785</v>
      </c>
      <c r="AV21" s="886" t="s">
        <v>3052</v>
      </c>
      <c r="AW21" s="886" t="s">
        <v>1243</v>
      </c>
      <c r="AX21" s="886" t="s">
        <v>1240</v>
      </c>
      <c r="AY21" s="886" t="s">
        <v>1241</v>
      </c>
      <c r="AZ21" s="886" t="s">
        <v>999</v>
      </c>
      <c r="BA21" s="886" t="s">
        <v>1711</v>
      </c>
      <c r="BB21" s="886" t="s">
        <v>1242</v>
      </c>
      <c r="BC21" s="886" t="s">
        <v>1712</v>
      </c>
      <c r="BD21" s="886" t="s">
        <v>1713</v>
      </c>
      <c r="BE21" s="886" t="s">
        <v>1244</v>
      </c>
      <c r="BF21" s="886" t="s">
        <v>955</v>
      </c>
      <c r="BG21" s="886" t="s">
        <v>1714</v>
      </c>
      <c r="BH21" s="886" t="s">
        <v>1245</v>
      </c>
      <c r="BI21" s="886" t="s">
        <v>1239</v>
      </c>
      <c r="BJ21" s="886" t="s">
        <v>3494</v>
      </c>
      <c r="BN21" s="886"/>
      <c r="BO21" s="864"/>
      <c r="BP21" s="864"/>
      <c r="BQ21" s="864"/>
      <c r="BR21" s="864"/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11</v>
      </c>
      <c r="G23" s="879" t="s">
        <v>874</v>
      </c>
      <c r="H23" s="879" t="s">
        <v>22</v>
      </c>
      <c r="I23" s="879" t="s">
        <v>891</v>
      </c>
      <c r="J23" s="846">
        <v>1</v>
      </c>
      <c r="K23" s="846">
        <v>2</v>
      </c>
      <c r="L23" s="816" t="str">
        <f>IF(J23="","",IF(J23&gt;K23,"W",IF(J23=K23,"D",IF(J23&lt;K23,"L"))))</f>
        <v>L</v>
      </c>
      <c r="M23" s="816">
        <f>IF(J23="","",J23+K23)</f>
        <v>3</v>
      </c>
      <c r="N23" s="816" t="str">
        <f>IF($J23="","",IF($M23&gt;N$19,"O",IF($M23&lt;N$19,"U",IF($M23=N$19,"-"))))</f>
        <v>O</v>
      </c>
      <c r="O23" s="816">
        <f t="shared" ref="O23:O56" si="19">IF(Q23="","",IF(SIGN(Q23)&lt;&gt;1,VLOOKUP(ABS(Q23),SUP_HDC,3,TRUE),-VLOOKUP(ABS(Q23),SUP_HDC,3,TRUE)))</f>
        <v>-0.25</v>
      </c>
      <c r="P23" s="829">
        <f>IF(O23="","",IF((J23-K23+O23)&gt;=0.5,1,IF((J23-K23+O23)=0.25,0.5,IF((J23-K23+O23)&lt;=-0.5,-1,IF((J23-K23+O23)=-0.25,-0.5,0)))))</f>
        <v>-1</v>
      </c>
      <c r="Q23" s="830">
        <v>0.27</v>
      </c>
      <c r="R23" s="871">
        <f>IF(ISBLANK(Q23),"",J23-K23-Q23)</f>
        <v>-1.27</v>
      </c>
      <c r="S23" s="830">
        <v>2.2000000000000002</v>
      </c>
      <c r="T23" s="871">
        <f>IF(ISBLANK(S23),"",J23+K23-S23)</f>
        <v>0.79999999999999982</v>
      </c>
      <c r="U23" s="868">
        <f>IF(Q23="","",(Q23+S23)/2)</f>
        <v>1.2350000000000001</v>
      </c>
      <c r="V23" s="868">
        <f>IF(Q23="","",S23-U23)</f>
        <v>0.96500000000000008</v>
      </c>
      <c r="W23" s="816">
        <v>7</v>
      </c>
      <c r="X23" s="816">
        <v>7</v>
      </c>
      <c r="Y23" s="829">
        <v>1</v>
      </c>
      <c r="Z23" s="829">
        <v>3</v>
      </c>
      <c r="AA23" s="829">
        <v>57</v>
      </c>
      <c r="AB23" s="829">
        <v>43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34</v>
      </c>
      <c r="AH23" s="891" t="s">
        <v>1877</v>
      </c>
      <c r="AI23" s="891" t="s">
        <v>32</v>
      </c>
      <c r="AJ23" s="891" t="s">
        <v>32</v>
      </c>
      <c r="AK23" s="891" t="s">
        <v>34</v>
      </c>
      <c r="AL23" s="891" t="s">
        <v>32</v>
      </c>
      <c r="AM23" s="904" t="s">
        <v>34</v>
      </c>
      <c r="AN23" s="891" t="s">
        <v>34</v>
      </c>
      <c r="AO23" s="891" t="s">
        <v>34</v>
      </c>
      <c r="AP23" s="891" t="s">
        <v>1877</v>
      </c>
      <c r="AQ23" s="891" t="s">
        <v>32</v>
      </c>
      <c r="AR23" s="891" t="s">
        <v>32</v>
      </c>
      <c r="AS23" s="891" t="s">
        <v>32</v>
      </c>
      <c r="AT23" s="891" t="s">
        <v>34</v>
      </c>
      <c r="AU23" s="891" t="s">
        <v>34</v>
      </c>
      <c r="AV23" s="915"/>
      <c r="AW23" s="891" t="s">
        <v>32</v>
      </c>
      <c r="AX23" s="891" t="s">
        <v>35</v>
      </c>
      <c r="AY23" s="891" t="s">
        <v>36</v>
      </c>
      <c r="AZ23" s="891" t="s">
        <v>1877</v>
      </c>
      <c r="BA23" s="891" t="s">
        <v>32</v>
      </c>
      <c r="BB23" s="891" t="s">
        <v>1877</v>
      </c>
      <c r="BC23" s="891" t="s">
        <v>1883</v>
      </c>
      <c r="BD23" s="891" t="s">
        <v>34</v>
      </c>
      <c r="BE23" s="891" t="s">
        <v>36</v>
      </c>
      <c r="BF23" s="891" t="s">
        <v>35</v>
      </c>
      <c r="BG23" s="891" t="s">
        <v>32</v>
      </c>
      <c r="BH23" s="891" t="s">
        <v>35</v>
      </c>
      <c r="BI23" s="891"/>
      <c r="BK23" s="891"/>
      <c r="BL23" s="891"/>
      <c r="BM23" s="891"/>
      <c r="BN23" s="891"/>
      <c r="BO23" s="891"/>
      <c r="BP23" s="891"/>
      <c r="BQ23" s="891"/>
      <c r="BR23" s="891"/>
      <c r="BS23" s="896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428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7</v>
      </c>
      <c r="G24" s="879" t="s">
        <v>888</v>
      </c>
      <c r="H24" s="879" t="s">
        <v>22</v>
      </c>
      <c r="I24" s="879" t="s">
        <v>891</v>
      </c>
      <c r="J24" s="846">
        <v>1</v>
      </c>
      <c r="K24" s="846">
        <v>0</v>
      </c>
      <c r="L24" s="816" t="str">
        <f>IF(J24="","",IF(J24&gt;K24,"W",IF(J24=K24,"D",IF(J24&lt;K24,"L"))))</f>
        <v>W</v>
      </c>
      <c r="M24" s="816">
        <f>IF(J24="","",J24+K24)</f>
        <v>1</v>
      </c>
      <c r="N24" s="816" t="str">
        <f t="shared" ref="N24:N29" si="20">IF($J24="","",IF($M24&gt;N$19,"O",IF($M24&lt;N$19,"U",IF($M24=N$19,"-"))))</f>
        <v>U</v>
      </c>
      <c r="O24" s="816">
        <f t="shared" si="19"/>
        <v>-0.25</v>
      </c>
      <c r="P24" s="829">
        <f t="shared" ref="P24:P56" si="21">IF(O24="","",IF((J24-K24+O24)&gt;=0.5,1,IF((J24-K24+O24)=0.25,0.5,IF((J24-K24+O24)&lt;=-0.5,-1,IF((J24-K24+O24)=-0.25,-0.5,0)))))</f>
        <v>1</v>
      </c>
      <c r="Q24" s="830">
        <v>0.26</v>
      </c>
      <c r="R24" s="871">
        <f t="shared" ref="R24:R65" si="22">IF(ISBLANK(Q24),"",J24-K24-Q24)</f>
        <v>0.74</v>
      </c>
      <c r="S24" s="830">
        <v>2.1</v>
      </c>
      <c r="T24" s="871">
        <f t="shared" ref="T24:T67" si="23">IF(ISBLANK(S24),"",J24+K24-S24)</f>
        <v>-1.1000000000000001</v>
      </c>
      <c r="U24" s="868">
        <f t="shared" ref="U24:U56" si="24">IF(Q24="","",(Q24+S24)/2)</f>
        <v>1.1800000000000002</v>
      </c>
      <c r="V24" s="868">
        <f t="shared" ref="V24:V56" si="25">IF(Q24="","",S24-U24)</f>
        <v>0.91999999999999993</v>
      </c>
      <c r="W24" s="829">
        <v>8</v>
      </c>
      <c r="X24" s="829">
        <v>11</v>
      </c>
      <c r="Y24" s="829">
        <v>2</v>
      </c>
      <c r="Z24" s="829">
        <v>3</v>
      </c>
      <c r="AA24" s="829">
        <v>37</v>
      </c>
      <c r="AB24" s="829">
        <v>63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34</v>
      </c>
      <c r="AH24" s="891" t="s">
        <v>1877</v>
      </c>
      <c r="AI24" s="891" t="s">
        <v>32</v>
      </c>
      <c r="AJ24" s="891" t="s">
        <v>32</v>
      </c>
      <c r="AK24" s="891" t="s">
        <v>35</v>
      </c>
      <c r="AL24" s="891" t="s">
        <v>32</v>
      </c>
      <c r="AM24" s="891" t="s">
        <v>1948</v>
      </c>
      <c r="AN24" s="891" t="s">
        <v>34</v>
      </c>
      <c r="AO24" s="891" t="s">
        <v>34</v>
      </c>
      <c r="AP24" s="891" t="s">
        <v>1877</v>
      </c>
      <c r="AQ24" s="891" t="s">
        <v>36</v>
      </c>
      <c r="AR24" s="891" t="s">
        <v>32</v>
      </c>
      <c r="AS24" s="891" t="s">
        <v>32</v>
      </c>
      <c r="AT24" s="891" t="s">
        <v>34</v>
      </c>
      <c r="AU24" s="891" t="s">
        <v>34</v>
      </c>
      <c r="AV24" s="915"/>
      <c r="AW24" s="891" t="s">
        <v>32</v>
      </c>
      <c r="AX24" s="891" t="s">
        <v>32</v>
      </c>
      <c r="AY24" s="891" t="s">
        <v>34</v>
      </c>
      <c r="AZ24" s="891" t="s">
        <v>1877</v>
      </c>
      <c r="BA24" s="891" t="s">
        <v>32</v>
      </c>
      <c r="BB24" s="891" t="s">
        <v>1877</v>
      </c>
      <c r="BC24" s="891" t="s">
        <v>36</v>
      </c>
      <c r="BD24" s="904" t="s">
        <v>34</v>
      </c>
      <c r="BE24" s="891" t="s">
        <v>36</v>
      </c>
      <c r="BF24" s="891" t="s">
        <v>35</v>
      </c>
      <c r="BG24" s="891" t="s">
        <v>32</v>
      </c>
      <c r="BH24" s="891" t="s">
        <v>35</v>
      </c>
      <c r="BI24" s="891"/>
      <c r="BK24" s="891"/>
      <c r="BL24" s="891"/>
      <c r="BM24" s="891"/>
      <c r="BN24" s="891"/>
      <c r="BO24" s="891"/>
      <c r="BP24" s="891"/>
      <c r="BQ24" s="891"/>
      <c r="BR24" s="891"/>
      <c r="BS24" s="896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428"/>
      <c r="CE24" s="428"/>
      <c r="CF24" s="428"/>
      <c r="CG24" s="428"/>
      <c r="CH24" s="428"/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</row>
    <row r="25" spans="1:115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4</v>
      </c>
      <c r="G25" s="879" t="s">
        <v>1084</v>
      </c>
      <c r="H25" s="879" t="s">
        <v>18</v>
      </c>
      <c r="I25" s="879" t="s">
        <v>891</v>
      </c>
      <c r="J25" s="846">
        <v>1</v>
      </c>
      <c r="K25" s="846">
        <v>2</v>
      </c>
      <c r="L25" s="816" t="str">
        <f>IF(J25="","",IF(J25&gt;K25,"W",IF(J25=K25,"D",IF(J25&lt;K25,"L"))))</f>
        <v>L</v>
      </c>
      <c r="M25" s="816">
        <f>IF(J25="","",J25+K25)</f>
        <v>3</v>
      </c>
      <c r="N25" s="816" t="str">
        <f t="shared" si="20"/>
        <v>O</v>
      </c>
      <c r="O25" s="816">
        <f t="shared" si="19"/>
        <v>0.25</v>
      </c>
      <c r="P25" s="829">
        <f t="shared" si="21"/>
        <v>-1</v>
      </c>
      <c r="Q25" s="830">
        <v>-0.25</v>
      </c>
      <c r="R25" s="871">
        <f t="shared" si="22"/>
        <v>-0.75</v>
      </c>
      <c r="S25" s="830">
        <v>2.37</v>
      </c>
      <c r="T25" s="871">
        <f t="shared" si="23"/>
        <v>0.62999999999999989</v>
      </c>
      <c r="U25" s="868">
        <f t="shared" si="24"/>
        <v>1.06</v>
      </c>
      <c r="V25" s="868">
        <f t="shared" si="25"/>
        <v>1.31</v>
      </c>
      <c r="W25" s="829">
        <v>8</v>
      </c>
      <c r="X25" s="829">
        <v>18</v>
      </c>
      <c r="Y25" s="829">
        <v>1</v>
      </c>
      <c r="Z25" s="829">
        <v>6</v>
      </c>
      <c r="AA25" s="829">
        <v>59</v>
      </c>
      <c r="AB25" s="829">
        <v>41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34</v>
      </c>
      <c r="AH25" s="891" t="s">
        <v>1877</v>
      </c>
      <c r="AI25" s="891" t="s">
        <v>32</v>
      </c>
      <c r="AJ25" s="891" t="s">
        <v>32</v>
      </c>
      <c r="AK25" s="891" t="s">
        <v>1877</v>
      </c>
      <c r="AL25" s="891" t="s">
        <v>1877</v>
      </c>
      <c r="AM25" s="891" t="s">
        <v>32</v>
      </c>
      <c r="AN25" s="891" t="s">
        <v>34</v>
      </c>
      <c r="AO25" s="891" t="s">
        <v>34</v>
      </c>
      <c r="AP25" s="891" t="s">
        <v>34</v>
      </c>
      <c r="AQ25" s="891" t="s">
        <v>34</v>
      </c>
      <c r="AR25" s="891" t="s">
        <v>32</v>
      </c>
      <c r="AS25" s="891" t="s">
        <v>32</v>
      </c>
      <c r="AT25" s="891" t="s">
        <v>34</v>
      </c>
      <c r="AU25" s="904" t="s">
        <v>34</v>
      </c>
      <c r="AV25" s="915"/>
      <c r="AW25" s="891" t="s">
        <v>32</v>
      </c>
      <c r="AX25" s="891" t="s">
        <v>32</v>
      </c>
      <c r="AY25" s="904" t="s">
        <v>1964</v>
      </c>
      <c r="AZ25" s="891" t="s">
        <v>1877</v>
      </c>
      <c r="BA25" s="891" t="s">
        <v>32</v>
      </c>
      <c r="BB25" s="891" t="s">
        <v>35</v>
      </c>
      <c r="BC25" s="891" t="s">
        <v>32</v>
      </c>
      <c r="BD25" s="891" t="s">
        <v>35</v>
      </c>
      <c r="BE25" s="891" t="s">
        <v>36</v>
      </c>
      <c r="BF25" s="891" t="s">
        <v>36</v>
      </c>
      <c r="BG25" s="891" t="s">
        <v>36</v>
      </c>
      <c r="BH25" s="891" t="s">
        <v>35</v>
      </c>
      <c r="BI25" s="891"/>
      <c r="BK25" s="891"/>
      <c r="BL25" s="891"/>
      <c r="BM25" s="891"/>
      <c r="BN25" s="891"/>
      <c r="BO25" s="891"/>
      <c r="BP25" s="891"/>
      <c r="BQ25" s="891"/>
      <c r="BR25" s="891"/>
      <c r="BS25" s="896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428"/>
      <c r="CE25" s="428"/>
      <c r="CF25" s="428"/>
      <c r="CG25" s="428"/>
      <c r="CH25" s="428"/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13</v>
      </c>
      <c r="G26" s="879" t="s">
        <v>884</v>
      </c>
      <c r="H26" s="879" t="s">
        <v>18</v>
      </c>
      <c r="I26" s="879" t="s">
        <v>891</v>
      </c>
      <c r="J26" s="846">
        <v>1</v>
      </c>
      <c r="K26" s="846">
        <v>2</v>
      </c>
      <c r="L26" s="816" t="str">
        <f t="shared" ref="L26:L29" si="26">IF(J26="","",IF(J26&gt;K26,"W",IF(J26=K26,"D",IF(J26&lt;K26,"L"))))</f>
        <v>L</v>
      </c>
      <c r="M26" s="816">
        <f t="shared" ref="M26:M29" si="27">IF(J26="","",J26+K26)</f>
        <v>3</v>
      </c>
      <c r="N26" s="816" t="str">
        <f t="shared" si="20"/>
        <v>O</v>
      </c>
      <c r="O26" s="816">
        <f t="shared" si="19"/>
        <v>0</v>
      </c>
      <c r="P26" s="829">
        <f t="shared" si="21"/>
        <v>-1</v>
      </c>
      <c r="Q26" s="830">
        <v>-0.01</v>
      </c>
      <c r="R26" s="871">
        <f t="shared" si="22"/>
        <v>-0.99</v>
      </c>
      <c r="S26" s="830">
        <v>2.16</v>
      </c>
      <c r="T26" s="871">
        <f t="shared" si="23"/>
        <v>0.83999999999999986</v>
      </c>
      <c r="U26" s="868">
        <f t="shared" si="24"/>
        <v>1.0750000000000002</v>
      </c>
      <c r="V26" s="868">
        <f t="shared" si="25"/>
        <v>1.085</v>
      </c>
      <c r="W26" s="829">
        <v>9</v>
      </c>
      <c r="X26" s="829">
        <v>12</v>
      </c>
      <c r="Y26" s="829">
        <v>2</v>
      </c>
      <c r="Z26" s="829">
        <v>2</v>
      </c>
      <c r="AA26" s="829">
        <v>50</v>
      </c>
      <c r="AB26" s="829">
        <v>50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34</v>
      </c>
      <c r="AH26" s="891" t="s">
        <v>1877</v>
      </c>
      <c r="AI26" s="891" t="s">
        <v>32</v>
      </c>
      <c r="AJ26" s="891" t="s">
        <v>32</v>
      </c>
      <c r="AK26" s="891" t="s">
        <v>1877</v>
      </c>
      <c r="AL26" s="904" t="s">
        <v>34</v>
      </c>
      <c r="AM26" s="891" t="s">
        <v>36</v>
      </c>
      <c r="AN26" s="891" t="s">
        <v>34</v>
      </c>
      <c r="AO26" s="891" t="s">
        <v>35</v>
      </c>
      <c r="AP26" s="891" t="s">
        <v>34</v>
      </c>
      <c r="AQ26" s="891" t="s">
        <v>1877</v>
      </c>
      <c r="AR26" s="891" t="s">
        <v>32</v>
      </c>
      <c r="AS26" s="891" t="s">
        <v>32</v>
      </c>
      <c r="AT26" s="891" t="s">
        <v>34</v>
      </c>
      <c r="AU26" s="891" t="s">
        <v>34</v>
      </c>
      <c r="AV26" s="915"/>
      <c r="AW26" s="891" t="s">
        <v>32</v>
      </c>
      <c r="AX26" s="891" t="s">
        <v>32</v>
      </c>
      <c r="AY26" s="891" t="s">
        <v>1877</v>
      </c>
      <c r="AZ26" s="891" t="s">
        <v>2097</v>
      </c>
      <c r="BA26" s="891" t="s">
        <v>32</v>
      </c>
      <c r="BB26" s="891" t="s">
        <v>34</v>
      </c>
      <c r="BC26" s="891" t="s">
        <v>32</v>
      </c>
      <c r="BD26" s="891" t="s">
        <v>32</v>
      </c>
      <c r="BE26" s="891" t="s">
        <v>36</v>
      </c>
      <c r="BF26" s="891" t="s">
        <v>35</v>
      </c>
      <c r="BG26" s="891" t="s">
        <v>35</v>
      </c>
      <c r="BH26" s="891" t="s">
        <v>36</v>
      </c>
      <c r="BI26" s="891"/>
      <c r="BJ26" s="891"/>
      <c r="BK26" s="891"/>
      <c r="BL26" s="891"/>
      <c r="BM26" s="891"/>
      <c r="BN26" s="891"/>
      <c r="BO26" s="891"/>
      <c r="BP26" s="891"/>
      <c r="BQ26" s="891"/>
      <c r="BR26" s="891"/>
      <c r="BS26" s="896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4"/>
      <c r="CE26" s="4"/>
      <c r="CF26" s="4"/>
      <c r="CG26" s="4"/>
      <c r="CH26" s="4"/>
      <c r="CI26" s="4" t="s">
        <v>32</v>
      </c>
      <c r="CJ26" s="4" t="s">
        <v>32</v>
      </c>
      <c r="CK26" s="4" t="s">
        <v>32</v>
      </c>
      <c r="CL26" s="6" t="s">
        <v>32</v>
      </c>
      <c r="CM26" s="6" t="s">
        <v>32</v>
      </c>
      <c r="CN26" s="6" t="s">
        <v>32</v>
      </c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0"/>
    </row>
    <row r="27" spans="1:115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2</v>
      </c>
      <c r="G27" s="879" t="s">
        <v>886</v>
      </c>
      <c r="H27" s="879" t="s">
        <v>22</v>
      </c>
      <c r="I27" s="879" t="s">
        <v>891</v>
      </c>
      <c r="J27" s="846">
        <v>0</v>
      </c>
      <c r="K27" s="846">
        <v>1</v>
      </c>
      <c r="L27" s="816" t="str">
        <f t="shared" si="26"/>
        <v>L</v>
      </c>
      <c r="M27" s="816">
        <f t="shared" si="27"/>
        <v>1</v>
      </c>
      <c r="N27" s="816" t="str">
        <f t="shared" si="20"/>
        <v>U</v>
      </c>
      <c r="O27" s="816">
        <f t="shared" si="19"/>
        <v>-0.25</v>
      </c>
      <c r="P27" s="829">
        <f t="shared" si="21"/>
        <v>-1</v>
      </c>
      <c r="Q27" s="830">
        <v>0.18</v>
      </c>
      <c r="R27" s="871">
        <f t="shared" si="22"/>
        <v>-1.18</v>
      </c>
      <c r="S27" s="830">
        <v>2.13</v>
      </c>
      <c r="T27" s="871">
        <f t="shared" si="23"/>
        <v>-1.1299999999999999</v>
      </c>
      <c r="U27" s="868">
        <f t="shared" si="24"/>
        <v>1.155</v>
      </c>
      <c r="V27" s="868">
        <f t="shared" si="25"/>
        <v>0.97499999999999987</v>
      </c>
      <c r="W27" s="829">
        <v>10</v>
      </c>
      <c r="X27" s="829">
        <v>15</v>
      </c>
      <c r="Y27" s="829">
        <v>1</v>
      </c>
      <c r="Z27" s="829">
        <v>3</v>
      </c>
      <c r="AA27" s="829">
        <v>60</v>
      </c>
      <c r="AB27" s="829">
        <v>40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 t="s">
        <v>34</v>
      </c>
      <c r="AH27" s="891" t="s">
        <v>1877</v>
      </c>
      <c r="AI27" s="891" t="s">
        <v>32</v>
      </c>
      <c r="AJ27" s="891" t="s">
        <v>32</v>
      </c>
      <c r="AK27" s="891" t="s">
        <v>1877</v>
      </c>
      <c r="AL27" s="891" t="s">
        <v>34</v>
      </c>
      <c r="AM27" s="891" t="s">
        <v>32</v>
      </c>
      <c r="AN27" s="891" t="s">
        <v>34</v>
      </c>
      <c r="AO27" s="904" t="s">
        <v>34</v>
      </c>
      <c r="AP27" s="891" t="s">
        <v>34</v>
      </c>
      <c r="AQ27" s="891" t="s">
        <v>1877</v>
      </c>
      <c r="AR27" s="891" t="s">
        <v>32</v>
      </c>
      <c r="AS27" s="891" t="s">
        <v>1877</v>
      </c>
      <c r="AT27" s="891" t="s">
        <v>34</v>
      </c>
      <c r="AU27" s="891" t="s">
        <v>34</v>
      </c>
      <c r="AV27" s="915"/>
      <c r="AW27" s="891" t="s">
        <v>32</v>
      </c>
      <c r="AX27" s="891" t="s">
        <v>36</v>
      </c>
      <c r="AY27" s="891" t="s">
        <v>36</v>
      </c>
      <c r="AZ27" s="891" t="s">
        <v>35</v>
      </c>
      <c r="BA27" s="891" t="s">
        <v>32</v>
      </c>
      <c r="BB27" s="891" t="s">
        <v>35</v>
      </c>
      <c r="BC27" s="891" t="s">
        <v>32</v>
      </c>
      <c r="BD27" s="891" t="s">
        <v>32</v>
      </c>
      <c r="BE27" s="891" t="s">
        <v>2141</v>
      </c>
      <c r="BF27" s="904" t="s">
        <v>34</v>
      </c>
      <c r="BG27" s="904" t="s">
        <v>34</v>
      </c>
      <c r="BH27" s="891" t="s">
        <v>1877</v>
      </c>
      <c r="BI27" s="891"/>
      <c r="BJ27" s="891"/>
      <c r="BK27" s="891"/>
      <c r="BL27" s="891"/>
      <c r="BM27" s="891"/>
      <c r="BN27" s="891"/>
      <c r="BO27" s="891"/>
      <c r="BP27" s="891"/>
      <c r="BQ27" s="891"/>
      <c r="BR27" s="891"/>
      <c r="BS27" s="896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65"/>
      <c r="CE27" s="865"/>
      <c r="CF27" s="865"/>
      <c r="CG27" s="865"/>
      <c r="CH27" s="865"/>
      <c r="CI27" s="865" t="s">
        <v>32</v>
      </c>
      <c r="CJ27" s="865" t="s">
        <v>32</v>
      </c>
      <c r="CK27" s="865" t="s">
        <v>32</v>
      </c>
      <c r="CL27" s="4" t="s">
        <v>32</v>
      </c>
      <c r="CM27" s="6" t="s">
        <v>32</v>
      </c>
      <c r="CN27" s="6" t="s">
        <v>32</v>
      </c>
      <c r="CO27" s="6" t="s">
        <v>32</v>
      </c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5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6</v>
      </c>
      <c r="G28" s="879" t="s">
        <v>876</v>
      </c>
      <c r="H28" s="879" t="s">
        <v>18</v>
      </c>
      <c r="I28" s="879" t="s">
        <v>891</v>
      </c>
      <c r="J28" s="846">
        <v>2</v>
      </c>
      <c r="K28" s="846">
        <v>2</v>
      </c>
      <c r="L28" s="816" t="str">
        <f t="shared" si="26"/>
        <v>D</v>
      </c>
      <c r="M28" s="816">
        <f t="shared" si="27"/>
        <v>4</v>
      </c>
      <c r="N28" s="816" t="str">
        <f t="shared" si="20"/>
        <v>O</v>
      </c>
      <c r="O28" s="816">
        <f t="shared" si="19"/>
        <v>0.5</v>
      </c>
      <c r="P28" s="829">
        <f t="shared" si="21"/>
        <v>1</v>
      </c>
      <c r="Q28" s="830">
        <v>-0.45</v>
      </c>
      <c r="R28" s="871">
        <f t="shared" si="22"/>
        <v>0.45</v>
      </c>
      <c r="S28" s="830">
        <v>2.2400000000000002</v>
      </c>
      <c r="T28" s="871">
        <f t="shared" si="23"/>
        <v>1.7599999999999998</v>
      </c>
      <c r="U28" s="868">
        <f t="shared" si="24"/>
        <v>0.89500000000000013</v>
      </c>
      <c r="V28" s="868">
        <f t="shared" si="25"/>
        <v>1.3450000000000002</v>
      </c>
      <c r="W28" s="829">
        <v>12</v>
      </c>
      <c r="X28" s="829">
        <v>16</v>
      </c>
      <c r="Y28" s="829">
        <v>5</v>
      </c>
      <c r="Z28" s="829">
        <v>8</v>
      </c>
      <c r="AA28" s="829">
        <v>33</v>
      </c>
      <c r="AB28" s="829">
        <v>67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34</v>
      </c>
      <c r="AH28" s="891" t="s">
        <v>1877</v>
      </c>
      <c r="AI28" s="891" t="s">
        <v>32</v>
      </c>
      <c r="AJ28" s="891" t="s">
        <v>32</v>
      </c>
      <c r="AK28" s="891" t="s">
        <v>34</v>
      </c>
      <c r="AL28" s="891" t="s">
        <v>34</v>
      </c>
      <c r="AM28" s="891" t="s">
        <v>32</v>
      </c>
      <c r="AN28" s="891" t="s">
        <v>34</v>
      </c>
      <c r="AO28" s="891" t="s">
        <v>34</v>
      </c>
      <c r="AP28" s="891" t="s">
        <v>1877</v>
      </c>
      <c r="AQ28" s="891" t="s">
        <v>1877</v>
      </c>
      <c r="AR28" s="891" t="s">
        <v>32</v>
      </c>
      <c r="AS28" s="891" t="s">
        <v>1877</v>
      </c>
      <c r="AT28" s="891" t="s">
        <v>34</v>
      </c>
      <c r="AU28" s="891" t="s">
        <v>32</v>
      </c>
      <c r="AV28" s="915"/>
      <c r="AW28" s="891" t="s">
        <v>32</v>
      </c>
      <c r="AX28" s="891" t="s">
        <v>32</v>
      </c>
      <c r="AY28" s="891" t="s">
        <v>2158</v>
      </c>
      <c r="AZ28" s="891" t="s">
        <v>34</v>
      </c>
      <c r="BA28" s="891" t="s">
        <v>32</v>
      </c>
      <c r="BB28" s="891" t="s">
        <v>2161</v>
      </c>
      <c r="BC28" s="891" t="s">
        <v>32</v>
      </c>
      <c r="BD28" s="891" t="s">
        <v>32</v>
      </c>
      <c r="BE28" s="891" t="s">
        <v>36</v>
      </c>
      <c r="BF28" s="891" t="s">
        <v>34</v>
      </c>
      <c r="BG28" s="891" t="s">
        <v>35</v>
      </c>
      <c r="BH28" s="891" t="s">
        <v>1877</v>
      </c>
      <c r="BI28" s="891" t="s">
        <v>36</v>
      </c>
      <c r="BJ28" s="891"/>
      <c r="BK28" s="891"/>
      <c r="BL28" s="891"/>
      <c r="BM28" s="891"/>
      <c r="BN28" s="891"/>
      <c r="BO28" s="891"/>
      <c r="BP28" s="891"/>
      <c r="BQ28" s="891"/>
      <c r="BR28" s="891"/>
      <c r="BS28" s="896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428"/>
      <c r="CE28" s="4"/>
      <c r="CF28" s="4"/>
      <c r="CG28" s="4"/>
      <c r="CH28" s="4"/>
      <c r="CI28" s="4" t="s">
        <v>32</v>
      </c>
      <c r="CJ28" s="4" t="s">
        <v>32</v>
      </c>
      <c r="CK28" s="4" t="s">
        <v>32</v>
      </c>
      <c r="CL28" s="4" t="s">
        <v>32</v>
      </c>
      <c r="CM28" s="6" t="s">
        <v>32</v>
      </c>
      <c r="CN28" s="6" t="s">
        <v>32</v>
      </c>
      <c r="CO28" s="6" t="s">
        <v>32</v>
      </c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</row>
    <row r="29" spans="1:115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10</v>
      </c>
      <c r="G29" s="879" t="s">
        <v>883</v>
      </c>
      <c r="H29" s="879" t="s">
        <v>18</v>
      </c>
      <c r="I29" s="879" t="s">
        <v>891</v>
      </c>
      <c r="J29" s="846">
        <v>0</v>
      </c>
      <c r="K29" s="846">
        <v>2</v>
      </c>
      <c r="L29" s="816" t="str">
        <f t="shared" si="26"/>
        <v>L</v>
      </c>
      <c r="M29" s="816">
        <f t="shared" si="27"/>
        <v>2</v>
      </c>
      <c r="N29" s="816" t="str">
        <f t="shared" si="20"/>
        <v>U</v>
      </c>
      <c r="O29" s="816">
        <f t="shared" si="19"/>
        <v>0</v>
      </c>
      <c r="P29" s="829">
        <f t="shared" si="21"/>
        <v>-1</v>
      </c>
      <c r="Q29" s="830">
        <v>-0.08</v>
      </c>
      <c r="R29" s="871">
        <f t="shared" si="22"/>
        <v>-1.92</v>
      </c>
      <c r="S29" s="830">
        <v>2.2000000000000002</v>
      </c>
      <c r="T29" s="871">
        <f t="shared" si="23"/>
        <v>-0.20000000000000018</v>
      </c>
      <c r="U29" s="868">
        <f t="shared" si="24"/>
        <v>1.06</v>
      </c>
      <c r="V29" s="868">
        <f t="shared" si="25"/>
        <v>1.1400000000000001</v>
      </c>
      <c r="W29" s="829">
        <v>14</v>
      </c>
      <c r="X29" s="829">
        <v>14</v>
      </c>
      <c r="Y29" s="829">
        <v>3</v>
      </c>
      <c r="Z29" s="829">
        <v>2</v>
      </c>
      <c r="AA29" s="829">
        <v>46</v>
      </c>
      <c r="AB29" s="829">
        <v>54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34</v>
      </c>
      <c r="AH29" s="891" t="s">
        <v>1877</v>
      </c>
      <c r="AI29" s="891" t="s">
        <v>32</v>
      </c>
      <c r="AJ29" s="891" t="s">
        <v>32</v>
      </c>
      <c r="AK29" s="904" t="s">
        <v>34</v>
      </c>
      <c r="AL29" s="891" t="s">
        <v>32</v>
      </c>
      <c r="AM29" s="891" t="s">
        <v>32</v>
      </c>
      <c r="AN29" s="891" t="s">
        <v>34</v>
      </c>
      <c r="AO29" s="904" t="s">
        <v>34</v>
      </c>
      <c r="AP29" s="891" t="s">
        <v>34</v>
      </c>
      <c r="AQ29" s="891" t="s">
        <v>1877</v>
      </c>
      <c r="AR29" s="891" t="s">
        <v>32</v>
      </c>
      <c r="AS29" s="891" t="s">
        <v>1877</v>
      </c>
      <c r="AT29" s="891" t="s">
        <v>34</v>
      </c>
      <c r="AU29" s="891" t="s">
        <v>32</v>
      </c>
      <c r="AV29" s="915"/>
      <c r="AW29" s="891" t="s">
        <v>32</v>
      </c>
      <c r="AX29" s="891" t="s">
        <v>32</v>
      </c>
      <c r="AY29" s="904" t="s">
        <v>35</v>
      </c>
      <c r="AZ29" s="891" t="s">
        <v>34</v>
      </c>
      <c r="BA29" s="891" t="s">
        <v>32</v>
      </c>
      <c r="BB29" s="891" t="s">
        <v>35</v>
      </c>
      <c r="BC29" s="904" t="s">
        <v>36</v>
      </c>
      <c r="BD29" s="891" t="s">
        <v>36</v>
      </c>
      <c r="BE29" s="891" t="s">
        <v>34</v>
      </c>
      <c r="BF29" s="891" t="s">
        <v>35</v>
      </c>
      <c r="BG29" s="891" t="s">
        <v>1877</v>
      </c>
      <c r="BH29" s="891" t="s">
        <v>36</v>
      </c>
      <c r="BI29" s="891"/>
      <c r="BJ29" s="891"/>
      <c r="BK29" s="891"/>
      <c r="BL29" s="891"/>
      <c r="BM29" s="891"/>
      <c r="BN29" s="891"/>
      <c r="BO29" s="891"/>
      <c r="BP29" s="891"/>
      <c r="BQ29" s="891"/>
      <c r="BR29" s="891"/>
      <c r="BS29" s="896"/>
      <c r="BT29" s="896"/>
      <c r="BU29" s="896"/>
      <c r="BV29" s="896"/>
      <c r="BW29" s="896"/>
      <c r="BX29" s="896"/>
      <c r="BY29" s="896"/>
      <c r="BZ29" s="896"/>
      <c r="CA29" s="896"/>
      <c r="CB29" s="896"/>
      <c r="CC29" s="891"/>
      <c r="CD29" s="428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15</v>
      </c>
      <c r="G30" s="879" t="s">
        <v>881</v>
      </c>
      <c r="H30" s="879" t="s">
        <v>22</v>
      </c>
      <c r="I30" s="879" t="s">
        <v>891</v>
      </c>
      <c r="J30" s="846">
        <v>3</v>
      </c>
      <c r="K30" s="846">
        <v>2</v>
      </c>
      <c r="L30" s="816" t="str">
        <f>IF(J30="","",IF(J30&gt;K30,"W",IF(J30=K30,"D",IF(J30&lt;K30,"L"))))</f>
        <v>W</v>
      </c>
      <c r="M30" s="816">
        <f>IF(J30="","",J30+K30)</f>
        <v>5</v>
      </c>
      <c r="N30" s="816" t="str">
        <f>IF($J30="","",IF($M30&gt;N$19,"O",IF($M30&lt;N$19,"U",IF($M30=N$19,"-"))))</f>
        <v>O</v>
      </c>
      <c r="O30" s="816">
        <f t="shared" si="19"/>
        <v>0</v>
      </c>
      <c r="P30" s="829">
        <f t="shared" si="21"/>
        <v>1</v>
      </c>
      <c r="Q30" s="830">
        <v>0.13</v>
      </c>
      <c r="R30" s="871">
        <f t="shared" si="22"/>
        <v>0.87</v>
      </c>
      <c r="S30" s="830">
        <v>2.1</v>
      </c>
      <c r="T30" s="871">
        <f t="shared" si="23"/>
        <v>2.9</v>
      </c>
      <c r="U30" s="868">
        <f t="shared" si="24"/>
        <v>1.115</v>
      </c>
      <c r="V30" s="868">
        <f t="shared" si="25"/>
        <v>0.9850000000000001</v>
      </c>
      <c r="W30" s="829">
        <v>16</v>
      </c>
      <c r="X30" s="829">
        <v>14</v>
      </c>
      <c r="Y30" s="829">
        <v>4</v>
      </c>
      <c r="Z30" s="829">
        <v>7</v>
      </c>
      <c r="AA30" s="829">
        <v>46</v>
      </c>
      <c r="AB30" s="829">
        <v>54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904" t="s">
        <v>34</v>
      </c>
      <c r="AH30" s="891" t="s">
        <v>1877</v>
      </c>
      <c r="AI30" s="891" t="s">
        <v>32</v>
      </c>
      <c r="AJ30" s="891" t="s">
        <v>32</v>
      </c>
      <c r="AK30" s="891" t="s">
        <v>34</v>
      </c>
      <c r="AL30" s="891" t="s">
        <v>34</v>
      </c>
      <c r="AM30" s="904" t="s">
        <v>2239</v>
      </c>
      <c r="AN30" s="891" t="s">
        <v>1877</v>
      </c>
      <c r="AO30" s="891" t="s">
        <v>34</v>
      </c>
      <c r="AP30" s="891" t="s">
        <v>32</v>
      </c>
      <c r="AQ30" s="891" t="s">
        <v>32</v>
      </c>
      <c r="AR30" s="891" t="s">
        <v>32</v>
      </c>
      <c r="AS30" s="891" t="s">
        <v>1877</v>
      </c>
      <c r="AT30" s="904" t="s">
        <v>34</v>
      </c>
      <c r="AU30" s="891" t="s">
        <v>35</v>
      </c>
      <c r="AV30" s="915"/>
      <c r="AW30" s="891" t="s">
        <v>32</v>
      </c>
      <c r="AX30" s="891" t="s">
        <v>34</v>
      </c>
      <c r="AY30" s="891" t="s">
        <v>36</v>
      </c>
      <c r="AZ30" s="891" t="s">
        <v>32</v>
      </c>
      <c r="BA30" s="891" t="s">
        <v>32</v>
      </c>
      <c r="BB30" s="891" t="s">
        <v>36</v>
      </c>
      <c r="BC30" s="891" t="s">
        <v>34</v>
      </c>
      <c r="BD30" s="891" t="s">
        <v>35</v>
      </c>
      <c r="BE30" s="891" t="s">
        <v>34</v>
      </c>
      <c r="BF30" s="891" t="s">
        <v>1877</v>
      </c>
      <c r="BG30" s="891" t="s">
        <v>32</v>
      </c>
      <c r="BH30" s="891" t="s">
        <v>1877</v>
      </c>
      <c r="BI30" s="891"/>
      <c r="BJ30" s="891"/>
      <c r="BK30" s="891"/>
      <c r="BL30" s="891"/>
      <c r="BM30" s="891"/>
      <c r="BN30" s="891"/>
      <c r="BO30" s="891"/>
      <c r="BP30" s="891"/>
      <c r="BQ30" s="891"/>
      <c r="BR30" s="891"/>
      <c r="BS30" s="896"/>
      <c r="BT30" s="896"/>
      <c r="BU30" s="896"/>
      <c r="BV30" s="896"/>
      <c r="BW30" s="896"/>
      <c r="BX30" s="896"/>
      <c r="BY30" s="896"/>
      <c r="BZ30" s="896"/>
      <c r="CA30" s="896"/>
      <c r="CB30" s="896"/>
      <c r="CC30" s="896"/>
      <c r="CD30" s="428"/>
      <c r="CE30" s="428"/>
      <c r="CF30" s="428"/>
      <c r="CG30" s="428"/>
      <c r="CH30" s="428"/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8</v>
      </c>
      <c r="G31" s="879" t="s">
        <v>880</v>
      </c>
      <c r="H31" s="879" t="s">
        <v>22</v>
      </c>
      <c r="I31" s="879" t="s">
        <v>891</v>
      </c>
      <c r="J31" s="846">
        <v>1</v>
      </c>
      <c r="K31" s="846">
        <v>1</v>
      </c>
      <c r="L31" s="816" t="str">
        <f>IF(J31="","",IF(J31&gt;K31,"W",IF(J31=K31,"D",IF(J31&lt;K31,"L"))))</f>
        <v>D</v>
      </c>
      <c r="M31" s="816">
        <f>IF(J31="","",J31+K31)</f>
        <v>2</v>
      </c>
      <c r="N31" s="816" t="str">
        <f>IF($J31="","",IF($M31&gt;N$19,"O",IF($M31&lt;N$19,"U",IF($M31=N$19,"-"))))</f>
        <v>U</v>
      </c>
      <c r="O31" s="816">
        <f t="shared" si="19"/>
        <v>0.25</v>
      </c>
      <c r="P31" s="829">
        <f t="shared" si="21"/>
        <v>0.5</v>
      </c>
      <c r="Q31" s="830">
        <v>-0.31</v>
      </c>
      <c r="R31" s="871">
        <f t="shared" si="22"/>
        <v>0.31</v>
      </c>
      <c r="S31" s="830">
        <v>2.19</v>
      </c>
      <c r="T31" s="871">
        <f t="shared" si="23"/>
        <v>-0.18999999999999995</v>
      </c>
      <c r="U31" s="868">
        <f t="shared" si="24"/>
        <v>0.94</v>
      </c>
      <c r="V31" s="868">
        <f t="shared" si="25"/>
        <v>1.25</v>
      </c>
      <c r="W31" s="829">
        <v>25</v>
      </c>
      <c r="X31" s="829">
        <v>11</v>
      </c>
      <c r="Y31" s="829">
        <v>4</v>
      </c>
      <c r="Z31" s="829">
        <v>2</v>
      </c>
      <c r="AA31" s="829">
        <v>50</v>
      </c>
      <c r="AB31" s="829">
        <v>50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34</v>
      </c>
      <c r="AH31" s="891" t="s">
        <v>1877</v>
      </c>
      <c r="AI31" s="891" t="s">
        <v>32</v>
      </c>
      <c r="AJ31" s="891" t="s">
        <v>32</v>
      </c>
      <c r="AK31" s="891" t="s">
        <v>1877</v>
      </c>
      <c r="AL31" s="891" t="s">
        <v>34</v>
      </c>
      <c r="AM31" s="891" t="s">
        <v>2308</v>
      </c>
      <c r="AN31" s="891" t="s">
        <v>34</v>
      </c>
      <c r="AO31" s="891" t="s">
        <v>34</v>
      </c>
      <c r="AP31" s="891" t="s">
        <v>32</v>
      </c>
      <c r="AQ31" s="891" t="s">
        <v>32</v>
      </c>
      <c r="AR31" s="891" t="s">
        <v>32</v>
      </c>
      <c r="AS31" s="891" t="s">
        <v>1877</v>
      </c>
      <c r="AT31" s="891" t="s">
        <v>34</v>
      </c>
      <c r="AU31" s="891" t="s">
        <v>34</v>
      </c>
      <c r="AV31" s="915"/>
      <c r="AW31" s="891" t="s">
        <v>32</v>
      </c>
      <c r="AX31" s="891" t="s">
        <v>34</v>
      </c>
      <c r="AY31" s="891" t="s">
        <v>1877</v>
      </c>
      <c r="AZ31" s="891" t="s">
        <v>32</v>
      </c>
      <c r="BA31" s="891" t="s">
        <v>1877</v>
      </c>
      <c r="BB31" s="891" t="s">
        <v>35</v>
      </c>
      <c r="BC31" s="891" t="s">
        <v>34</v>
      </c>
      <c r="BD31" s="891" t="s">
        <v>32</v>
      </c>
      <c r="BE31" s="891" t="s">
        <v>34</v>
      </c>
      <c r="BF31" s="891" t="s">
        <v>32</v>
      </c>
      <c r="BG31" s="891" t="s">
        <v>1877</v>
      </c>
      <c r="BH31" s="891" t="s">
        <v>36</v>
      </c>
      <c r="BI31" s="891"/>
      <c r="BJ31" s="891"/>
      <c r="BK31" s="891"/>
      <c r="BL31" s="891"/>
      <c r="BM31" s="891"/>
      <c r="BN31" s="891"/>
      <c r="BO31" s="891"/>
      <c r="BP31" s="896"/>
      <c r="BQ31" s="896"/>
      <c r="BR31" s="891"/>
      <c r="BS31" s="896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428"/>
      <c r="CE31" s="428"/>
      <c r="CF31" s="428"/>
      <c r="CG31" s="428"/>
      <c r="CH31" s="428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9</v>
      </c>
      <c r="G32" s="879" t="s">
        <v>1083</v>
      </c>
      <c r="H32" s="879" t="s">
        <v>18</v>
      </c>
      <c r="I32" s="879" t="s">
        <v>891</v>
      </c>
      <c r="J32" s="846">
        <v>3</v>
      </c>
      <c r="K32" s="846">
        <v>1</v>
      </c>
      <c r="L32" s="816" t="str">
        <f t="shared" ref="L32:L65" si="28">IF(J32="","",IF(J32&gt;K32,"W",IF(J32=K32,"D",IF(J32&lt;K32,"L"))))</f>
        <v>W</v>
      </c>
      <c r="M32" s="816">
        <f t="shared" ref="M32:M65" si="29">IF(J32="","",J32+K32)</f>
        <v>4</v>
      </c>
      <c r="N32" s="816" t="str">
        <f t="shared" ref="N32:N65" si="30">IF($J32="","",IF($M32&gt;N$19,"O",IF($M32&lt;N$19,"U",IF($M32=N$19,"-"))))</f>
        <v>O</v>
      </c>
      <c r="O32" s="816">
        <f t="shared" si="19"/>
        <v>0.25</v>
      </c>
      <c r="P32" s="829">
        <f t="shared" si="21"/>
        <v>1</v>
      </c>
      <c r="Q32" s="830">
        <v>-0.33</v>
      </c>
      <c r="R32" s="871">
        <f t="shared" si="22"/>
        <v>2.33</v>
      </c>
      <c r="S32" s="830">
        <v>2.2799999999999998</v>
      </c>
      <c r="T32" s="871">
        <f t="shared" si="23"/>
        <v>1.7200000000000002</v>
      </c>
      <c r="U32" s="868">
        <f t="shared" si="24"/>
        <v>0.97499999999999987</v>
      </c>
      <c r="V32" s="868">
        <f t="shared" si="25"/>
        <v>1.3049999999999999</v>
      </c>
      <c r="W32" s="829">
        <v>15</v>
      </c>
      <c r="X32" s="829">
        <v>9</v>
      </c>
      <c r="Y32" s="829">
        <v>4</v>
      </c>
      <c r="Z32" s="829">
        <v>2</v>
      </c>
      <c r="AA32" s="829">
        <v>38</v>
      </c>
      <c r="AB32" s="829">
        <v>62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 t="s">
        <v>34</v>
      </c>
      <c r="AH32" s="891" t="s">
        <v>2374</v>
      </c>
      <c r="AI32" s="891"/>
      <c r="AJ32" s="891"/>
      <c r="AK32" s="891" t="s">
        <v>2351</v>
      </c>
      <c r="AL32" s="891" t="s">
        <v>34</v>
      </c>
      <c r="AM32" s="891" t="s">
        <v>2375</v>
      </c>
      <c r="AN32" s="891" t="s">
        <v>34</v>
      </c>
      <c r="AO32" s="891"/>
      <c r="AP32" s="891"/>
      <c r="AQ32" s="891"/>
      <c r="AR32" s="891" t="s">
        <v>2351</v>
      </c>
      <c r="AS32" s="891" t="s">
        <v>34</v>
      </c>
      <c r="AT32" s="891" t="s">
        <v>34</v>
      </c>
      <c r="AU32" s="904" t="s">
        <v>34</v>
      </c>
      <c r="AV32" s="915"/>
      <c r="AW32" s="891"/>
      <c r="AX32" s="904" t="s">
        <v>34</v>
      </c>
      <c r="AY32" s="891" t="s">
        <v>2350</v>
      </c>
      <c r="AZ32" s="891"/>
      <c r="BA32" s="891" t="s">
        <v>2350</v>
      </c>
      <c r="BB32" s="891" t="s">
        <v>2376</v>
      </c>
      <c r="BC32" s="891" t="s">
        <v>2359</v>
      </c>
      <c r="BD32" s="891"/>
      <c r="BE32" s="891" t="s">
        <v>2377</v>
      </c>
      <c r="BF32" s="891" t="s">
        <v>2351</v>
      </c>
      <c r="BG32" s="891"/>
      <c r="BH32" s="891" t="s">
        <v>2350</v>
      </c>
      <c r="BI32" s="891"/>
      <c r="BJ32" s="891"/>
      <c r="BK32" s="891"/>
      <c r="BL32" s="891"/>
      <c r="BM32" s="891"/>
      <c r="BN32" s="891"/>
      <c r="BO32" s="891"/>
      <c r="BP32" s="896"/>
      <c r="BQ32" s="896"/>
      <c r="BR32" s="896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428"/>
      <c r="CE32" s="428"/>
      <c r="CF32" s="428"/>
      <c r="CG32" s="428"/>
      <c r="CH32" s="428"/>
      <c r="CI32" s="230" t="s">
        <v>32</v>
      </c>
      <c r="CJ32" s="230" t="s">
        <v>32</v>
      </c>
      <c r="CK32" s="230" t="s">
        <v>32</v>
      </c>
      <c r="CL32" s="230" t="s">
        <v>32</v>
      </c>
      <c r="CM32" s="230" t="s">
        <v>32</v>
      </c>
      <c r="CN32" s="230" t="s">
        <v>32</v>
      </c>
      <c r="CO32" s="230" t="s">
        <v>32</v>
      </c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3</v>
      </c>
      <c r="G33" s="879" t="s">
        <v>1085</v>
      </c>
      <c r="H33" s="879" t="s">
        <v>18</v>
      </c>
      <c r="I33" s="879" t="s">
        <v>891</v>
      </c>
      <c r="J33" s="846">
        <v>1</v>
      </c>
      <c r="K33" s="846">
        <v>1</v>
      </c>
      <c r="L33" s="816" t="str">
        <f t="shared" si="28"/>
        <v>D</v>
      </c>
      <c r="M33" s="816">
        <f t="shared" si="29"/>
        <v>2</v>
      </c>
      <c r="N33" s="816" t="str">
        <f t="shared" si="30"/>
        <v>U</v>
      </c>
      <c r="O33" s="816">
        <f t="shared" si="19"/>
        <v>0.25</v>
      </c>
      <c r="P33" s="829">
        <f t="shared" si="21"/>
        <v>0.5</v>
      </c>
      <c r="Q33" s="830">
        <v>-0.2</v>
      </c>
      <c r="R33" s="871">
        <f t="shared" si="22"/>
        <v>0.2</v>
      </c>
      <c r="S33" s="830">
        <v>2.65</v>
      </c>
      <c r="T33" s="871">
        <f t="shared" si="23"/>
        <v>-0.64999999999999991</v>
      </c>
      <c r="U33" s="868">
        <f t="shared" si="24"/>
        <v>1.2249999999999999</v>
      </c>
      <c r="V33" s="868">
        <f t="shared" si="25"/>
        <v>1.425</v>
      </c>
      <c r="W33" s="829">
        <v>16</v>
      </c>
      <c r="X33" s="829">
        <v>10</v>
      </c>
      <c r="Y33" s="829">
        <v>4</v>
      </c>
      <c r="Z33" s="829">
        <v>5</v>
      </c>
      <c r="AA33" s="829">
        <v>36</v>
      </c>
      <c r="AB33" s="829">
        <v>64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34</v>
      </c>
      <c r="AH33" s="891" t="s">
        <v>1877</v>
      </c>
      <c r="AI33" s="891" t="s">
        <v>32</v>
      </c>
      <c r="AJ33" s="891" t="s">
        <v>32</v>
      </c>
      <c r="AK33" s="891" t="s">
        <v>1877</v>
      </c>
      <c r="AL33" s="891" t="s">
        <v>34</v>
      </c>
      <c r="AM33" s="891" t="s">
        <v>34</v>
      </c>
      <c r="AN33" s="891" t="s">
        <v>34</v>
      </c>
      <c r="AO33" s="891" t="s">
        <v>32</v>
      </c>
      <c r="AP33" s="891" t="s">
        <v>32</v>
      </c>
      <c r="AQ33" s="891" t="s">
        <v>32</v>
      </c>
      <c r="AR33" s="891" t="s">
        <v>1877</v>
      </c>
      <c r="AS33" s="891" t="s">
        <v>34</v>
      </c>
      <c r="AT33" s="891" t="s">
        <v>34</v>
      </c>
      <c r="AU33" s="891" t="s">
        <v>34</v>
      </c>
      <c r="AV33" s="915"/>
      <c r="AW33" s="891" t="s">
        <v>32</v>
      </c>
      <c r="AX33" s="891" t="s">
        <v>35</v>
      </c>
      <c r="AY33" s="891" t="s">
        <v>32</v>
      </c>
      <c r="AZ33" s="891" t="s">
        <v>1877</v>
      </c>
      <c r="BA33" s="906" t="s">
        <v>2424</v>
      </c>
      <c r="BB33" s="891" t="s">
        <v>34</v>
      </c>
      <c r="BC33" s="891" t="s">
        <v>2425</v>
      </c>
      <c r="BD33" s="891" t="s">
        <v>32</v>
      </c>
      <c r="BE33" s="891" t="s">
        <v>34</v>
      </c>
      <c r="BF33" s="891" t="s">
        <v>36</v>
      </c>
      <c r="BG33" s="891" t="s">
        <v>32</v>
      </c>
      <c r="BH33" s="891" t="s">
        <v>1877</v>
      </c>
      <c r="BI33" s="891"/>
      <c r="BJ33" s="891"/>
      <c r="BK33" s="891"/>
      <c r="BL33" s="891"/>
      <c r="BM33" s="891"/>
      <c r="BN33" s="891"/>
      <c r="BO33" s="891"/>
      <c r="BP33" s="896"/>
      <c r="BQ33" s="896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428"/>
      <c r="CE33" s="428"/>
      <c r="CF33" s="428"/>
      <c r="CG33" s="428"/>
      <c r="CH33" s="428"/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19</v>
      </c>
      <c r="G34" s="879" t="s">
        <v>885</v>
      </c>
      <c r="H34" s="879" t="s">
        <v>22</v>
      </c>
      <c r="I34" s="879" t="s">
        <v>891</v>
      </c>
      <c r="J34" s="908">
        <v>1</v>
      </c>
      <c r="K34" s="846">
        <v>0</v>
      </c>
      <c r="L34" s="816" t="str">
        <f t="shared" si="28"/>
        <v>W</v>
      </c>
      <c r="M34" s="816">
        <f t="shared" si="29"/>
        <v>1</v>
      </c>
      <c r="N34" s="816" t="str">
        <f t="shared" si="30"/>
        <v>U</v>
      </c>
      <c r="O34" s="816">
        <f t="shared" si="19"/>
        <v>-0.75</v>
      </c>
      <c r="P34" s="829">
        <f t="shared" si="21"/>
        <v>0.5</v>
      </c>
      <c r="Q34" s="830">
        <v>0.78</v>
      </c>
      <c r="R34" s="871">
        <f t="shared" si="22"/>
        <v>0.21999999999999997</v>
      </c>
      <c r="S34" s="830">
        <v>2.41</v>
      </c>
      <c r="T34" s="871">
        <f t="shared" si="23"/>
        <v>-1.4100000000000001</v>
      </c>
      <c r="U34" s="868">
        <f t="shared" si="24"/>
        <v>1.5950000000000002</v>
      </c>
      <c r="V34" s="868">
        <f t="shared" si="25"/>
        <v>0.81499999999999995</v>
      </c>
      <c r="W34" s="829">
        <v>9</v>
      </c>
      <c r="X34" s="829">
        <v>10</v>
      </c>
      <c r="Y34" s="829">
        <v>5</v>
      </c>
      <c r="Z34" s="829">
        <v>1</v>
      </c>
      <c r="AA34" s="829">
        <v>55</v>
      </c>
      <c r="AB34" s="829">
        <v>45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34</v>
      </c>
      <c r="AH34" s="891" t="s">
        <v>1877</v>
      </c>
      <c r="AI34" s="891" t="s">
        <v>32</v>
      </c>
      <c r="AJ34" s="891" t="s">
        <v>32</v>
      </c>
      <c r="AK34" s="891" t="s">
        <v>36</v>
      </c>
      <c r="AL34" s="891" t="s">
        <v>34</v>
      </c>
      <c r="AM34" s="891" t="s">
        <v>2444</v>
      </c>
      <c r="AN34" s="891" t="s">
        <v>34</v>
      </c>
      <c r="AO34" s="891" t="s">
        <v>32</v>
      </c>
      <c r="AP34" s="891" t="s">
        <v>32</v>
      </c>
      <c r="AQ34" s="891" t="s">
        <v>1877</v>
      </c>
      <c r="AR34" s="891" t="s">
        <v>36</v>
      </c>
      <c r="AS34" s="891" t="s">
        <v>34</v>
      </c>
      <c r="AT34" s="891" t="s">
        <v>35</v>
      </c>
      <c r="AU34" s="891" t="s">
        <v>34</v>
      </c>
      <c r="AV34" s="915"/>
      <c r="AW34" s="891" t="s">
        <v>32</v>
      </c>
      <c r="AX34" s="891" t="s">
        <v>2452</v>
      </c>
      <c r="AY34" s="891" t="s">
        <v>32</v>
      </c>
      <c r="AZ34" s="904" t="s">
        <v>35</v>
      </c>
      <c r="BA34" s="891" t="s">
        <v>36</v>
      </c>
      <c r="BB34" s="904" t="s">
        <v>35</v>
      </c>
      <c r="BC34" s="909" t="s">
        <v>34</v>
      </c>
      <c r="BD34" s="891" t="s">
        <v>32</v>
      </c>
      <c r="BE34" s="891" t="s">
        <v>34</v>
      </c>
      <c r="BF34" s="891" t="s">
        <v>32</v>
      </c>
      <c r="BG34" s="891" t="s">
        <v>1877</v>
      </c>
      <c r="BH34" s="891" t="s">
        <v>1877</v>
      </c>
      <c r="BI34" s="891"/>
      <c r="BJ34" s="891"/>
      <c r="BK34" s="891"/>
      <c r="BL34" s="891"/>
      <c r="BM34" s="891"/>
      <c r="BN34" s="891"/>
      <c r="BO34" s="891"/>
      <c r="BP34" s="891"/>
      <c r="BQ34" s="891"/>
      <c r="BR34" s="891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428"/>
      <c r="CE34" s="428"/>
      <c r="CF34" s="428"/>
      <c r="CG34" s="428"/>
      <c r="CH34" s="428"/>
      <c r="CL34" s="4" t="s">
        <v>32</v>
      </c>
      <c r="CM34" s="6" t="s">
        <v>32</v>
      </c>
      <c r="CN34" s="6" t="s">
        <v>32</v>
      </c>
      <c r="CO34" s="6" t="s">
        <v>32</v>
      </c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20</v>
      </c>
      <c r="G35" s="879" t="s">
        <v>882</v>
      </c>
      <c r="H35" s="879" t="s">
        <v>18</v>
      </c>
      <c r="I35" s="879" t="s">
        <v>891</v>
      </c>
      <c r="J35" s="846">
        <v>1</v>
      </c>
      <c r="K35" s="846">
        <v>1</v>
      </c>
      <c r="L35" s="816" t="str">
        <f t="shared" si="28"/>
        <v>D</v>
      </c>
      <c r="M35" s="816">
        <f t="shared" si="29"/>
        <v>2</v>
      </c>
      <c r="N35" s="816" t="str">
        <f t="shared" si="30"/>
        <v>U</v>
      </c>
      <c r="O35" s="816">
        <f t="shared" si="19"/>
        <v>0</v>
      </c>
      <c r="P35" s="829">
        <f t="shared" si="21"/>
        <v>0</v>
      </c>
      <c r="Q35" s="830">
        <v>0.13</v>
      </c>
      <c r="R35" s="871">
        <f t="shared" si="22"/>
        <v>-0.13</v>
      </c>
      <c r="S35" s="830">
        <v>2.4500000000000002</v>
      </c>
      <c r="T35" s="871">
        <f t="shared" si="23"/>
        <v>-0.45000000000000018</v>
      </c>
      <c r="U35" s="868">
        <f t="shared" si="24"/>
        <v>1.29</v>
      </c>
      <c r="V35" s="868">
        <f t="shared" si="25"/>
        <v>1.1600000000000001</v>
      </c>
      <c r="W35" s="829">
        <v>15</v>
      </c>
      <c r="X35" s="829">
        <v>13</v>
      </c>
      <c r="Y35" s="829">
        <v>5</v>
      </c>
      <c r="Z35" s="829">
        <v>4</v>
      </c>
      <c r="AA35" s="829">
        <v>48</v>
      </c>
      <c r="AB35" s="829">
        <v>52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34</v>
      </c>
      <c r="AH35" s="891" t="s">
        <v>1877</v>
      </c>
      <c r="AI35" s="891" t="s">
        <v>32</v>
      </c>
      <c r="AJ35" s="891" t="s">
        <v>32</v>
      </c>
      <c r="AK35" s="891" t="s">
        <v>1877</v>
      </c>
      <c r="AL35" s="891" t="s">
        <v>34</v>
      </c>
      <c r="AM35" s="891" t="s">
        <v>34</v>
      </c>
      <c r="AN35" s="891" t="s">
        <v>34</v>
      </c>
      <c r="AO35" s="904" t="s">
        <v>36</v>
      </c>
      <c r="AP35" s="891" t="s">
        <v>32</v>
      </c>
      <c r="AQ35" s="891" t="s">
        <v>32</v>
      </c>
      <c r="AR35" s="891" t="s">
        <v>1877</v>
      </c>
      <c r="AS35" s="891" t="s">
        <v>34</v>
      </c>
      <c r="AT35" s="904" t="s">
        <v>34</v>
      </c>
      <c r="AU35" s="904" t="s">
        <v>34</v>
      </c>
      <c r="AV35" s="915"/>
      <c r="AW35" s="891" t="s">
        <v>32</v>
      </c>
      <c r="AX35" s="891" t="s">
        <v>32</v>
      </c>
      <c r="AY35" s="891" t="s">
        <v>36</v>
      </c>
      <c r="AZ35" s="904" t="s">
        <v>35</v>
      </c>
      <c r="BA35" s="891" t="s">
        <v>34</v>
      </c>
      <c r="BB35" s="891" t="s">
        <v>2459</v>
      </c>
      <c r="BC35" s="891" t="s">
        <v>2458</v>
      </c>
      <c r="BD35" s="891" t="s">
        <v>32</v>
      </c>
      <c r="BE35" s="891" t="s">
        <v>2125</v>
      </c>
      <c r="BF35" s="891" t="s">
        <v>35</v>
      </c>
      <c r="BG35" s="891" t="s">
        <v>1877</v>
      </c>
      <c r="BH35" s="891" t="s">
        <v>36</v>
      </c>
      <c r="BI35" s="891"/>
      <c r="BJ35" s="891"/>
      <c r="BK35" s="891"/>
      <c r="BL35" s="891"/>
      <c r="BM35" s="891"/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6"/>
      <c r="CB35" s="896"/>
      <c r="CC35" s="896"/>
      <c r="CD35" s="428"/>
      <c r="CE35" s="428"/>
      <c r="CF35" s="428"/>
      <c r="CG35" s="428"/>
      <c r="CH35" s="428"/>
      <c r="CI35" s="230" t="s">
        <v>32</v>
      </c>
      <c r="CJ35" s="230" t="s">
        <v>32</v>
      </c>
      <c r="CK35" s="230" t="s">
        <v>32</v>
      </c>
      <c r="CL35" s="230" t="s">
        <v>32</v>
      </c>
      <c r="CM35" s="230" t="s">
        <v>32</v>
      </c>
      <c r="CN35" s="230" t="s">
        <v>32</v>
      </c>
      <c r="CO35" s="230" t="s">
        <v>32</v>
      </c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14</v>
      </c>
      <c r="G36" s="879" t="s">
        <v>873</v>
      </c>
      <c r="H36" s="879" t="s">
        <v>22</v>
      </c>
      <c r="I36" s="879" t="s">
        <v>891</v>
      </c>
      <c r="J36" s="846">
        <v>1</v>
      </c>
      <c r="K36" s="846">
        <v>1</v>
      </c>
      <c r="L36" s="816" t="str">
        <f t="shared" si="28"/>
        <v>D</v>
      </c>
      <c r="M36" s="816">
        <f t="shared" si="29"/>
        <v>2</v>
      </c>
      <c r="N36" s="816" t="str">
        <f t="shared" si="30"/>
        <v>U</v>
      </c>
      <c r="O36" s="816">
        <f t="shared" si="19"/>
        <v>-0.25</v>
      </c>
      <c r="P36" s="829">
        <f t="shared" si="21"/>
        <v>-0.5</v>
      </c>
      <c r="Q36" s="830">
        <v>0.26</v>
      </c>
      <c r="R36" s="871">
        <f t="shared" si="22"/>
        <v>-0.26</v>
      </c>
      <c r="S36" s="830">
        <v>2.17</v>
      </c>
      <c r="T36" s="871">
        <f t="shared" si="23"/>
        <v>-0.16999999999999993</v>
      </c>
      <c r="U36" s="868">
        <f t="shared" si="24"/>
        <v>1.2149999999999999</v>
      </c>
      <c r="V36" s="868">
        <f t="shared" si="25"/>
        <v>0.95500000000000007</v>
      </c>
      <c r="W36" s="829">
        <v>21</v>
      </c>
      <c r="X36" s="829">
        <v>9</v>
      </c>
      <c r="Y36" s="829">
        <v>4</v>
      </c>
      <c r="Z36" s="829">
        <v>2</v>
      </c>
      <c r="AA36" s="829">
        <v>55</v>
      </c>
      <c r="AB36" s="829">
        <v>45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34</v>
      </c>
      <c r="AH36" s="891" t="s">
        <v>1877</v>
      </c>
      <c r="AI36" s="891" t="s">
        <v>32</v>
      </c>
      <c r="AJ36" s="891" t="s">
        <v>32</v>
      </c>
      <c r="AK36" s="891" t="s">
        <v>35</v>
      </c>
      <c r="AL36" s="891" t="s">
        <v>34</v>
      </c>
      <c r="AM36" s="891" t="s">
        <v>34</v>
      </c>
      <c r="AN36" s="891" t="s">
        <v>34</v>
      </c>
      <c r="AO36" s="891" t="s">
        <v>1877</v>
      </c>
      <c r="AP36" s="891" t="s">
        <v>32</v>
      </c>
      <c r="AQ36" s="891" t="s">
        <v>1877</v>
      </c>
      <c r="AR36" s="891" t="s">
        <v>1877</v>
      </c>
      <c r="AS36" s="891" t="s">
        <v>34</v>
      </c>
      <c r="AT36" s="891" t="s">
        <v>34</v>
      </c>
      <c r="AU36" s="891" t="s">
        <v>34</v>
      </c>
      <c r="AV36" s="915"/>
      <c r="AW36" s="891" t="s">
        <v>32</v>
      </c>
      <c r="AX36" s="891" t="s">
        <v>2494</v>
      </c>
      <c r="AY36" s="891" t="s">
        <v>1877</v>
      </c>
      <c r="AZ36" s="891" t="s">
        <v>34</v>
      </c>
      <c r="BA36" s="891" t="s">
        <v>36</v>
      </c>
      <c r="BB36" s="891" t="s">
        <v>34</v>
      </c>
      <c r="BC36" s="891" t="s">
        <v>2096</v>
      </c>
      <c r="BD36" s="891" t="s">
        <v>32</v>
      </c>
      <c r="BE36" s="891" t="s">
        <v>2125</v>
      </c>
      <c r="BF36" s="891" t="s">
        <v>35</v>
      </c>
      <c r="BG36" s="891" t="s">
        <v>32</v>
      </c>
      <c r="BH36" s="891" t="s">
        <v>2495</v>
      </c>
      <c r="BI36" s="891"/>
      <c r="BJ36" s="891"/>
      <c r="BK36" s="891"/>
      <c r="BL36" s="891"/>
      <c r="BM36" s="891"/>
      <c r="BN36" s="891"/>
      <c r="BO36" s="891"/>
      <c r="BP36" s="891"/>
      <c r="BQ36" s="891"/>
      <c r="BR36" s="896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428"/>
      <c r="CE36" s="428"/>
      <c r="CF36" s="428"/>
      <c r="CG36" s="428"/>
      <c r="CH36" s="428"/>
      <c r="CM36" s="4" t="s">
        <v>32</v>
      </c>
      <c r="CN36" s="4" t="s">
        <v>32</v>
      </c>
      <c r="CO36" s="4" t="s">
        <v>32</v>
      </c>
      <c r="CP36" s="4" t="s">
        <v>32</v>
      </c>
      <c r="CQ36" s="4" t="s">
        <v>32</v>
      </c>
      <c r="CR36" s="4" t="s">
        <v>32</v>
      </c>
      <c r="CS36" s="6" t="s">
        <v>32</v>
      </c>
      <c r="CT36" s="6" t="s">
        <v>32</v>
      </c>
      <c r="CU36" s="6" t="s">
        <v>32</v>
      </c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5</v>
      </c>
      <c r="G37" s="879" t="s">
        <v>889</v>
      </c>
      <c r="H37" s="879" t="s">
        <v>18</v>
      </c>
      <c r="I37" s="879" t="s">
        <v>891</v>
      </c>
      <c r="J37" s="846">
        <v>2</v>
      </c>
      <c r="K37" s="846">
        <v>1</v>
      </c>
      <c r="L37" s="816" t="str">
        <f t="shared" si="28"/>
        <v>W</v>
      </c>
      <c r="M37" s="816">
        <f t="shared" si="29"/>
        <v>3</v>
      </c>
      <c r="N37" s="816" t="str">
        <f t="shared" si="30"/>
        <v>O</v>
      </c>
      <c r="O37" s="816">
        <f t="shared" si="19"/>
        <v>0</v>
      </c>
      <c r="P37" s="829">
        <f t="shared" si="21"/>
        <v>1</v>
      </c>
      <c r="Q37" s="830">
        <v>0.02</v>
      </c>
      <c r="R37" s="871">
        <f t="shared" si="22"/>
        <v>0.98</v>
      </c>
      <c r="S37" s="830">
        <v>2.41</v>
      </c>
      <c r="T37" s="871">
        <f t="shared" si="23"/>
        <v>0.58999999999999986</v>
      </c>
      <c r="U37" s="868">
        <f t="shared" si="24"/>
        <v>1.2150000000000001</v>
      </c>
      <c r="V37" s="868">
        <f t="shared" si="25"/>
        <v>1.1950000000000001</v>
      </c>
      <c r="W37" s="829">
        <v>17</v>
      </c>
      <c r="X37" s="829">
        <v>13</v>
      </c>
      <c r="Y37" s="829">
        <v>10</v>
      </c>
      <c r="Z37" s="829">
        <v>3</v>
      </c>
      <c r="AA37" s="829">
        <v>34</v>
      </c>
      <c r="AB37" s="829">
        <v>66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34</v>
      </c>
      <c r="AH37" s="891" t="s">
        <v>1877</v>
      </c>
      <c r="AI37" s="891" t="s">
        <v>32</v>
      </c>
      <c r="AJ37" s="891" t="s">
        <v>32</v>
      </c>
      <c r="AK37" s="891" t="s">
        <v>1877</v>
      </c>
      <c r="AL37" s="904" t="s">
        <v>34</v>
      </c>
      <c r="AM37" s="904" t="s">
        <v>34</v>
      </c>
      <c r="AN37" s="891" t="s">
        <v>2505</v>
      </c>
      <c r="AO37" s="891" t="s">
        <v>36</v>
      </c>
      <c r="AP37" s="891" t="s">
        <v>32</v>
      </c>
      <c r="AQ37" s="891" t="s">
        <v>32</v>
      </c>
      <c r="AR37" s="891" t="s">
        <v>1877</v>
      </c>
      <c r="AS37" s="891" t="s">
        <v>34</v>
      </c>
      <c r="AT37" s="891" t="s">
        <v>34</v>
      </c>
      <c r="AU37" s="891" t="s">
        <v>34</v>
      </c>
      <c r="AV37" s="915"/>
      <c r="AW37" s="891" t="s">
        <v>32</v>
      </c>
      <c r="AX37" s="891" t="s">
        <v>32</v>
      </c>
      <c r="AY37" s="891" t="s">
        <v>32</v>
      </c>
      <c r="AZ37" s="891" t="s">
        <v>35</v>
      </c>
      <c r="BA37" s="904" t="s">
        <v>36</v>
      </c>
      <c r="BB37" s="891" t="s">
        <v>34</v>
      </c>
      <c r="BC37" s="891" t="s">
        <v>2505</v>
      </c>
      <c r="BD37" s="891" t="s">
        <v>32</v>
      </c>
      <c r="BE37" s="891" t="s">
        <v>2526</v>
      </c>
      <c r="BF37" s="891" t="s">
        <v>1877</v>
      </c>
      <c r="BG37" s="891" t="s">
        <v>32</v>
      </c>
      <c r="BH37" s="891" t="s">
        <v>1877</v>
      </c>
      <c r="BI37" s="891" t="s">
        <v>35</v>
      </c>
      <c r="BJ37" s="891"/>
      <c r="BK37" s="891"/>
      <c r="BL37" s="891"/>
      <c r="BM37" s="891"/>
      <c r="BN37" s="891"/>
      <c r="BO37" s="891"/>
      <c r="BP37" s="891"/>
      <c r="BQ37" s="891"/>
      <c r="BR37" s="891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428"/>
      <c r="CE37" s="428"/>
      <c r="CF37" s="428"/>
      <c r="CG37" s="428"/>
      <c r="CH37" s="428"/>
      <c r="CI37" s="230" t="s">
        <v>32</v>
      </c>
      <c r="CJ37" s="230" t="s">
        <v>32</v>
      </c>
      <c r="CK37" s="230" t="s">
        <v>32</v>
      </c>
      <c r="CL37" s="230" t="s">
        <v>32</v>
      </c>
      <c r="CM37" s="230" t="s">
        <v>32</v>
      </c>
      <c r="CN37" s="230" t="s">
        <v>32</v>
      </c>
      <c r="CO37" s="230" t="s">
        <v>32</v>
      </c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18</v>
      </c>
      <c r="G38" s="879" t="s">
        <v>887</v>
      </c>
      <c r="H38" s="879" t="s">
        <v>22</v>
      </c>
      <c r="I38" s="879" t="s">
        <v>891</v>
      </c>
      <c r="J38" s="846">
        <v>1</v>
      </c>
      <c r="K38" s="846">
        <v>1</v>
      </c>
      <c r="L38" s="816" t="str">
        <f t="shared" si="28"/>
        <v>D</v>
      </c>
      <c r="M38" s="816">
        <f t="shared" si="29"/>
        <v>2</v>
      </c>
      <c r="N38" s="816" t="str">
        <f t="shared" si="30"/>
        <v>U</v>
      </c>
      <c r="O38" s="816">
        <f t="shared" si="19"/>
        <v>-0.25</v>
      </c>
      <c r="P38" s="829">
        <f t="shared" si="21"/>
        <v>-0.5</v>
      </c>
      <c r="Q38" s="830">
        <v>0.25</v>
      </c>
      <c r="R38" s="871">
        <f t="shared" si="22"/>
        <v>-0.25</v>
      </c>
      <c r="S38" s="830">
        <v>2.48</v>
      </c>
      <c r="T38" s="871">
        <f t="shared" si="23"/>
        <v>-0.48</v>
      </c>
      <c r="U38" s="868">
        <f t="shared" si="24"/>
        <v>1.365</v>
      </c>
      <c r="V38" s="868">
        <f t="shared" si="25"/>
        <v>1.115</v>
      </c>
      <c r="W38" s="829">
        <v>13</v>
      </c>
      <c r="X38" s="829">
        <v>6</v>
      </c>
      <c r="Y38" s="829">
        <v>3</v>
      </c>
      <c r="Z38" s="829">
        <v>1</v>
      </c>
      <c r="AA38" s="829">
        <v>35</v>
      </c>
      <c r="AB38" s="829">
        <v>65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34</v>
      </c>
      <c r="AH38" s="891" t="s">
        <v>1877</v>
      </c>
      <c r="AI38" s="891" t="s">
        <v>32</v>
      </c>
      <c r="AJ38" s="891" t="s">
        <v>32</v>
      </c>
      <c r="AK38" s="891" t="s">
        <v>1877</v>
      </c>
      <c r="AL38" s="891" t="s">
        <v>34</v>
      </c>
      <c r="AM38" s="891" t="s">
        <v>36</v>
      </c>
      <c r="AN38" s="891" t="s">
        <v>34</v>
      </c>
      <c r="AO38" s="891" t="s">
        <v>32</v>
      </c>
      <c r="AP38" s="891" t="s">
        <v>1877</v>
      </c>
      <c r="AQ38" s="891" t="s">
        <v>35</v>
      </c>
      <c r="AR38" s="891" t="s">
        <v>2535</v>
      </c>
      <c r="AS38" s="904" t="s">
        <v>34</v>
      </c>
      <c r="AT38" s="891" t="s">
        <v>34</v>
      </c>
      <c r="AU38" s="891" t="s">
        <v>34</v>
      </c>
      <c r="AV38" s="915"/>
      <c r="AW38" s="891" t="s">
        <v>32</v>
      </c>
      <c r="AX38" s="891" t="s">
        <v>36</v>
      </c>
      <c r="AY38" s="891" t="s">
        <v>1877</v>
      </c>
      <c r="AZ38" s="891" t="s">
        <v>35</v>
      </c>
      <c r="BA38" s="891" t="s">
        <v>2536</v>
      </c>
      <c r="BB38" s="891" t="s">
        <v>34</v>
      </c>
      <c r="BC38" s="891" t="s">
        <v>34</v>
      </c>
      <c r="BD38" s="891" t="s">
        <v>32</v>
      </c>
      <c r="BE38" s="891" t="s">
        <v>2125</v>
      </c>
      <c r="BF38" s="891" t="s">
        <v>35</v>
      </c>
      <c r="BG38" s="891"/>
      <c r="BH38" s="891"/>
      <c r="BI38" s="891"/>
      <c r="BJ38" s="891"/>
      <c r="BK38" s="891"/>
      <c r="BL38" s="891"/>
      <c r="BM38" s="891"/>
      <c r="BN38" s="891"/>
      <c r="BO38" s="891"/>
      <c r="BP38" s="896"/>
      <c r="BQ38" s="896"/>
      <c r="BR38" s="896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428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6366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21</v>
      </c>
      <c r="G39" s="879" t="s">
        <v>890</v>
      </c>
      <c r="H39" s="879" t="s">
        <v>18</v>
      </c>
      <c r="I39" s="879" t="s">
        <v>891</v>
      </c>
      <c r="J39" s="846">
        <v>3</v>
      </c>
      <c r="K39" s="846">
        <v>0</v>
      </c>
      <c r="L39" s="816" t="str">
        <f t="shared" si="28"/>
        <v>W</v>
      </c>
      <c r="M39" s="816">
        <f t="shared" si="29"/>
        <v>3</v>
      </c>
      <c r="N39" s="816" t="str">
        <f t="shared" si="30"/>
        <v>O</v>
      </c>
      <c r="O39" s="816">
        <f t="shared" si="19"/>
        <v>-0.25</v>
      </c>
      <c r="P39" s="829">
        <f t="shared" si="21"/>
        <v>1</v>
      </c>
      <c r="Q39" s="830">
        <v>0.36</v>
      </c>
      <c r="R39" s="871">
        <f t="shared" si="22"/>
        <v>2.64</v>
      </c>
      <c r="S39" s="830">
        <v>2.4900000000000002</v>
      </c>
      <c r="T39" s="871">
        <f t="shared" si="23"/>
        <v>0.50999999999999979</v>
      </c>
      <c r="U39" s="868">
        <f t="shared" si="24"/>
        <v>1.425</v>
      </c>
      <c r="V39" s="868">
        <f t="shared" si="25"/>
        <v>1.0650000000000002</v>
      </c>
      <c r="W39" s="829">
        <v>20</v>
      </c>
      <c r="X39" s="829">
        <v>13</v>
      </c>
      <c r="Y39" s="829">
        <v>6</v>
      </c>
      <c r="Z39" s="829">
        <v>2</v>
      </c>
      <c r="AA39" s="829">
        <v>47</v>
      </c>
      <c r="AB39" s="829">
        <v>53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34</v>
      </c>
      <c r="AH39" s="891" t="s">
        <v>1877</v>
      </c>
      <c r="AI39" s="891" t="s">
        <v>32</v>
      </c>
      <c r="AJ39" s="891" t="s">
        <v>32</v>
      </c>
      <c r="AK39" s="891" t="s">
        <v>32</v>
      </c>
      <c r="AL39" s="904" t="s">
        <v>34</v>
      </c>
      <c r="AM39" s="891" t="s">
        <v>34</v>
      </c>
      <c r="AN39" s="891" t="s">
        <v>34</v>
      </c>
      <c r="AO39" s="891" t="s">
        <v>32</v>
      </c>
      <c r="AP39" s="891" t="s">
        <v>36</v>
      </c>
      <c r="AQ39" s="891" t="s">
        <v>1877</v>
      </c>
      <c r="AR39" s="891" t="s">
        <v>32</v>
      </c>
      <c r="AS39" s="891" t="s">
        <v>34</v>
      </c>
      <c r="AT39" s="891" t="s">
        <v>34</v>
      </c>
      <c r="AU39" s="891" t="s">
        <v>34</v>
      </c>
      <c r="AV39" s="915"/>
      <c r="AW39" s="891" t="s">
        <v>32</v>
      </c>
      <c r="AX39" s="891" t="s">
        <v>32</v>
      </c>
      <c r="AY39" s="891" t="s">
        <v>1877</v>
      </c>
      <c r="AZ39" s="891" t="s">
        <v>35</v>
      </c>
      <c r="BA39" s="891" t="s">
        <v>35</v>
      </c>
      <c r="BB39" s="891" t="s">
        <v>2573</v>
      </c>
      <c r="BC39" s="904" t="s">
        <v>2572</v>
      </c>
      <c r="BD39" s="891" t="s">
        <v>32</v>
      </c>
      <c r="BE39" s="891" t="s">
        <v>36</v>
      </c>
      <c r="BF39" s="891" t="s">
        <v>1877</v>
      </c>
      <c r="BG39" s="891" t="s">
        <v>32</v>
      </c>
      <c r="BH39" s="891" t="s">
        <v>1877</v>
      </c>
      <c r="BI39" s="891"/>
      <c r="BJ39" s="891"/>
      <c r="BK39" s="891"/>
      <c r="BL39" s="891"/>
      <c r="BM39" s="891"/>
      <c r="BN39" s="891"/>
      <c r="BO39" s="891"/>
      <c r="BP39" s="896"/>
      <c r="BQ39" s="891"/>
      <c r="BR39" s="891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428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16</v>
      </c>
      <c r="G40" s="879" t="s">
        <v>872</v>
      </c>
      <c r="H40" s="879" t="s">
        <v>22</v>
      </c>
      <c r="I40" s="879" t="s">
        <v>891</v>
      </c>
      <c r="J40" s="846">
        <v>2</v>
      </c>
      <c r="K40" s="846">
        <v>2</v>
      </c>
      <c r="L40" s="816" t="str">
        <f t="shared" si="28"/>
        <v>D</v>
      </c>
      <c r="M40" s="816">
        <f t="shared" si="29"/>
        <v>4</v>
      </c>
      <c r="N40" s="816" t="str">
        <f t="shared" si="30"/>
        <v>O</v>
      </c>
      <c r="O40" s="816">
        <f t="shared" si="19"/>
        <v>-0.25</v>
      </c>
      <c r="P40" s="829">
        <f t="shared" si="21"/>
        <v>-0.5</v>
      </c>
      <c r="Q40" s="830">
        <v>0.3</v>
      </c>
      <c r="R40" s="871">
        <f t="shared" si="22"/>
        <v>-0.3</v>
      </c>
      <c r="S40" s="830">
        <v>2.35</v>
      </c>
      <c r="T40" s="871">
        <f t="shared" si="23"/>
        <v>1.65</v>
      </c>
      <c r="U40" s="868">
        <f t="shared" si="24"/>
        <v>1.325</v>
      </c>
      <c r="V40" s="868">
        <f t="shared" si="25"/>
        <v>1.0250000000000001</v>
      </c>
      <c r="W40" s="829">
        <v>10</v>
      </c>
      <c r="X40" s="829">
        <v>14</v>
      </c>
      <c r="Y40" s="829">
        <v>4</v>
      </c>
      <c r="Z40" s="816">
        <v>4</v>
      </c>
      <c r="AA40" s="829">
        <v>47</v>
      </c>
      <c r="AB40" s="829">
        <v>53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34</v>
      </c>
      <c r="AH40" s="891" t="s">
        <v>1877</v>
      </c>
      <c r="AI40" s="891" t="s">
        <v>32</v>
      </c>
      <c r="AJ40" s="891" t="s">
        <v>32</v>
      </c>
      <c r="AK40" s="891" t="s">
        <v>35</v>
      </c>
      <c r="AL40" s="891" t="s">
        <v>34</v>
      </c>
      <c r="AM40" s="891" t="s">
        <v>2588</v>
      </c>
      <c r="AN40" s="891" t="s">
        <v>32</v>
      </c>
      <c r="AO40" s="891" t="s">
        <v>34</v>
      </c>
      <c r="AP40" s="891" t="s">
        <v>1877</v>
      </c>
      <c r="AQ40" s="891" t="s">
        <v>36</v>
      </c>
      <c r="AR40" s="891" t="s">
        <v>1877</v>
      </c>
      <c r="AS40" s="891" t="s">
        <v>34</v>
      </c>
      <c r="AT40" s="891" t="s">
        <v>34</v>
      </c>
      <c r="AU40" s="891" t="s">
        <v>2588</v>
      </c>
      <c r="AV40" s="915"/>
      <c r="AW40" s="891" t="s">
        <v>1877</v>
      </c>
      <c r="AX40" s="891" t="s">
        <v>32</v>
      </c>
      <c r="AY40" s="891" t="s">
        <v>32</v>
      </c>
      <c r="AZ40" s="891" t="s">
        <v>32</v>
      </c>
      <c r="BA40" s="891" t="s">
        <v>32</v>
      </c>
      <c r="BB40" s="891" t="s">
        <v>34</v>
      </c>
      <c r="BC40" s="891" t="s">
        <v>34</v>
      </c>
      <c r="BD40" s="891" t="s">
        <v>32</v>
      </c>
      <c r="BE40" s="904" t="s">
        <v>34</v>
      </c>
      <c r="BF40" s="891" t="s">
        <v>1877</v>
      </c>
      <c r="BG40" s="891" t="s">
        <v>32</v>
      </c>
      <c r="BH40" s="891" t="s">
        <v>1877</v>
      </c>
      <c r="BI40" s="891"/>
      <c r="BJ40" s="891"/>
      <c r="BK40" s="891"/>
      <c r="BL40" s="891"/>
      <c r="BM40" s="891"/>
      <c r="BN40" s="891"/>
      <c r="BO40" s="891"/>
      <c r="BP40" s="896"/>
      <c r="BQ40" s="891"/>
      <c r="BR40" s="896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4"/>
      <c r="CE40" s="4"/>
      <c r="CF40" s="4"/>
      <c r="CG40" s="4"/>
      <c r="CH40" s="4"/>
      <c r="CI40" s="6" t="s">
        <v>32</v>
      </c>
      <c r="CJ40" s="6" t="s">
        <v>32</v>
      </c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</v>
      </c>
      <c r="G41" s="879" t="s">
        <v>1086</v>
      </c>
      <c r="H41" s="879" t="s">
        <v>18</v>
      </c>
      <c r="I41" s="879" t="s">
        <v>891</v>
      </c>
      <c r="J41" s="846">
        <v>0</v>
      </c>
      <c r="K41" s="846">
        <v>1</v>
      </c>
      <c r="L41" s="816" t="str">
        <f t="shared" si="28"/>
        <v>L</v>
      </c>
      <c r="M41" s="816">
        <f t="shared" si="29"/>
        <v>1</v>
      </c>
      <c r="N41" s="816" t="str">
        <f t="shared" si="30"/>
        <v>U</v>
      </c>
      <c r="O41" s="816">
        <f t="shared" si="19"/>
        <v>0.25</v>
      </c>
      <c r="P41" s="829">
        <f t="shared" si="21"/>
        <v>-1</v>
      </c>
      <c r="Q41" s="830">
        <v>-0.41</v>
      </c>
      <c r="R41" s="871">
        <f t="shared" si="22"/>
        <v>-0.59000000000000008</v>
      </c>
      <c r="S41" s="830">
        <v>2.42</v>
      </c>
      <c r="T41" s="871">
        <f t="shared" si="23"/>
        <v>-1.42</v>
      </c>
      <c r="U41" s="868">
        <f t="shared" si="24"/>
        <v>1.0049999999999999</v>
      </c>
      <c r="V41" s="868">
        <f t="shared" si="25"/>
        <v>1.415</v>
      </c>
      <c r="W41" s="829">
        <v>11</v>
      </c>
      <c r="X41" s="829">
        <v>17</v>
      </c>
      <c r="Y41" s="829">
        <v>2</v>
      </c>
      <c r="Z41" s="829">
        <v>5</v>
      </c>
      <c r="AA41" s="829">
        <v>49</v>
      </c>
      <c r="AB41" s="829">
        <v>51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34</v>
      </c>
      <c r="AH41" s="891" t="s">
        <v>1877</v>
      </c>
      <c r="AI41" s="891" t="s">
        <v>32</v>
      </c>
      <c r="AJ41" s="891" t="s">
        <v>32</v>
      </c>
      <c r="AK41" s="891" t="s">
        <v>1877</v>
      </c>
      <c r="AL41" s="891" t="s">
        <v>34</v>
      </c>
      <c r="AM41" s="891" t="s">
        <v>32</v>
      </c>
      <c r="AN41" s="891" t="s">
        <v>34</v>
      </c>
      <c r="AO41" s="891" t="s">
        <v>35</v>
      </c>
      <c r="AP41" s="891" t="s">
        <v>36</v>
      </c>
      <c r="AQ41" s="891" t="s">
        <v>1877</v>
      </c>
      <c r="AR41" s="891" t="s">
        <v>32</v>
      </c>
      <c r="AS41" s="891" t="s">
        <v>35</v>
      </c>
      <c r="AT41" s="891" t="s">
        <v>34</v>
      </c>
      <c r="AU41" s="891" t="s">
        <v>34</v>
      </c>
      <c r="AV41" s="915"/>
      <c r="AW41" s="891" t="s">
        <v>32</v>
      </c>
      <c r="AX41" s="891" t="s">
        <v>32</v>
      </c>
      <c r="AY41" s="891" t="s">
        <v>32</v>
      </c>
      <c r="AZ41" s="891" t="s">
        <v>32</v>
      </c>
      <c r="BA41" s="891" t="s">
        <v>1877</v>
      </c>
      <c r="BB41" s="891" t="s">
        <v>34</v>
      </c>
      <c r="BC41" s="891" t="s">
        <v>35</v>
      </c>
      <c r="BD41" s="891" t="s">
        <v>36</v>
      </c>
      <c r="BE41" s="891" t="s">
        <v>34</v>
      </c>
      <c r="BF41" s="891" t="s">
        <v>36</v>
      </c>
      <c r="BG41" s="891" t="s">
        <v>32</v>
      </c>
      <c r="BH41" s="891" t="s">
        <v>34</v>
      </c>
      <c r="BI41" s="891"/>
      <c r="BJ41" s="891"/>
      <c r="BK41" s="891"/>
      <c r="BL41" s="891"/>
      <c r="BM41" s="891"/>
      <c r="BN41" s="891"/>
      <c r="BO41" s="891"/>
      <c r="BP41" s="896"/>
      <c r="BQ41" s="896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428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2657</v>
      </c>
      <c r="H42" s="828" t="s">
        <v>22</v>
      </c>
      <c r="I42" s="828" t="s">
        <v>2649</v>
      </c>
      <c r="J42" s="895">
        <v>0</v>
      </c>
      <c r="K42" s="895">
        <v>1</v>
      </c>
      <c r="L42" s="816" t="str">
        <f>IF(J42="","",IF(J42&gt;K42,"W",IF(J42=K42,"D",IF(J42&lt;K42,"L"))))</f>
        <v>L</v>
      </c>
      <c r="M42" s="816">
        <f>IF(J42="","",J42+K42)</f>
        <v>1</v>
      </c>
      <c r="N42" s="816" t="str">
        <f>IF($J42="","",IF($M42&gt;N$19,"O",IF($M42&lt;N$19,"U",IF($M42=N$19,"-"))))</f>
        <v>U</v>
      </c>
      <c r="O42" s="816" t="str">
        <f>IF(Q42="","",IF(SIGN(Q42)&lt;&gt;1,VLOOKUP(ABS(Q42),SUP_HDC,3,TRUE),-VLOOKUP(ABS(Q42),SUP_HDC,3,TRUE)))</f>
        <v/>
      </c>
      <c r="P42" s="829" t="str">
        <f>IF(O42="","",IF((J42-K42+O42)&gt;=0.5,1,IF((J42-K42+O42)=0.25,0.5,IF((J42-K42+O42)&lt;=-0.5,-1,IF((J42-K42+O42)=-0.25,-0.5,0)))))</f>
        <v/>
      </c>
      <c r="Q42" s="830"/>
      <c r="R42" s="871" t="str">
        <f t="shared" ref="R42" si="31">IF(ISBLANK(Q42),"",J42-K42-Q42)</f>
        <v/>
      </c>
      <c r="S42" s="830"/>
      <c r="T42" s="871" t="str">
        <f>IF(ISBLANK(S42),"",J42+K42-S42)</f>
        <v/>
      </c>
      <c r="U42" s="868" t="str">
        <f>IF(Q42="","",(Q42+S42)/2)</f>
        <v/>
      </c>
      <c r="V42" s="868" t="str">
        <f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1877</v>
      </c>
      <c r="AH42" s="891" t="s">
        <v>34</v>
      </c>
      <c r="AI42" s="891" t="s">
        <v>32</v>
      </c>
      <c r="AJ42" s="891" t="s">
        <v>32</v>
      </c>
      <c r="AK42" s="891" t="s">
        <v>32</v>
      </c>
      <c r="AL42" s="891" t="s">
        <v>34</v>
      </c>
      <c r="AM42" s="891" t="s">
        <v>32</v>
      </c>
      <c r="AN42" s="891" t="s">
        <v>34</v>
      </c>
      <c r="AO42" s="891" t="s">
        <v>34</v>
      </c>
      <c r="AP42" s="891" t="s">
        <v>32</v>
      </c>
      <c r="AQ42" s="891" t="s">
        <v>32</v>
      </c>
      <c r="AR42" s="891" t="s">
        <v>36</v>
      </c>
      <c r="AS42" s="891" t="s">
        <v>35</v>
      </c>
      <c r="AT42" s="891" t="s">
        <v>34</v>
      </c>
      <c r="AU42" s="891" t="s">
        <v>34</v>
      </c>
      <c r="AV42" s="915"/>
      <c r="AW42" s="891" t="s">
        <v>1877</v>
      </c>
      <c r="AX42" s="891" t="s">
        <v>1877</v>
      </c>
      <c r="AY42" s="891" t="s">
        <v>32</v>
      </c>
      <c r="AZ42" s="891" t="s">
        <v>32</v>
      </c>
      <c r="BA42" s="891" t="s">
        <v>35</v>
      </c>
      <c r="BB42" s="891" t="s">
        <v>36</v>
      </c>
      <c r="BC42" s="891" t="s">
        <v>34</v>
      </c>
      <c r="BD42" s="891" t="s">
        <v>36</v>
      </c>
      <c r="BE42" s="891" t="s">
        <v>34</v>
      </c>
      <c r="BF42" s="891" t="s">
        <v>1877</v>
      </c>
      <c r="BG42" s="891" t="s">
        <v>32</v>
      </c>
      <c r="BH42" s="891" t="s">
        <v>35</v>
      </c>
      <c r="BI42" s="891"/>
      <c r="BJ42" s="891"/>
      <c r="BK42" s="891"/>
      <c r="BL42" s="891"/>
      <c r="BM42" s="891"/>
      <c r="BN42" s="891"/>
      <c r="BO42" s="891"/>
      <c r="BP42" s="896"/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428"/>
      <c r="CE42" s="428"/>
      <c r="CF42" s="428"/>
      <c r="CG42" s="428"/>
      <c r="CH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17</v>
      </c>
      <c r="G43" s="879" t="s">
        <v>875</v>
      </c>
      <c r="H43" s="879" t="s">
        <v>22</v>
      </c>
      <c r="I43" s="879" t="s">
        <v>891</v>
      </c>
      <c r="J43" s="846">
        <v>1</v>
      </c>
      <c r="K43" s="846">
        <v>3</v>
      </c>
      <c r="L43" s="816" t="str">
        <f>IF(J43="","",IF(J43&gt;K43,"W",IF(J43=K43,"D",IF(J43&lt;K43,"L"))))</f>
        <v>L</v>
      </c>
      <c r="M43" s="816">
        <f>IF(J43="","",J43+K43)</f>
        <v>4</v>
      </c>
      <c r="N43" s="816" t="str">
        <f>IF($J43="","",IF($M43&gt;N$19,"O",IF($M43&lt;N$19,"U",IF($M43=N$19,"-"))))</f>
        <v>O</v>
      </c>
      <c r="O43" s="816">
        <f>IF(Q43="","",IF(SIGN(Q43)&lt;&gt;1,VLOOKUP(ABS(Q43),SUP_HDC,3,TRUE),-VLOOKUP(ABS(Q43),SUP_HDC,3,TRUE)))</f>
        <v>-0.75</v>
      </c>
      <c r="P43" s="829">
        <f>IF(O43="","",IF((J43-K43+O43)&gt;=0.5,1,IF((J43-K43+O43)=0.25,0.5,IF((J43-K43+O43)&lt;=-0.5,-1,IF((J43-K43+O43)=-0.25,-0.5,0)))))</f>
        <v>-1</v>
      </c>
      <c r="Q43" s="830">
        <v>0.75</v>
      </c>
      <c r="R43" s="871">
        <f t="shared" si="22"/>
        <v>-2.75</v>
      </c>
      <c r="S43" s="830">
        <v>2.5299999999999998</v>
      </c>
      <c r="T43" s="871">
        <f>IF(ISBLANK(S43),"",J43+K43-S43)</f>
        <v>1.4700000000000002</v>
      </c>
      <c r="U43" s="868">
        <f>IF(Q43="","",(Q43+S43)/2)</f>
        <v>1.64</v>
      </c>
      <c r="V43" s="868">
        <f>IF(Q43="","",S43-U43)</f>
        <v>0.8899999999999999</v>
      </c>
      <c r="W43" s="829">
        <v>22</v>
      </c>
      <c r="X43" s="829">
        <v>10</v>
      </c>
      <c r="Y43" s="829">
        <v>6</v>
      </c>
      <c r="Z43" s="829">
        <v>5</v>
      </c>
      <c r="AA43" s="829">
        <v>51</v>
      </c>
      <c r="AB43" s="829">
        <v>49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34</v>
      </c>
      <c r="AH43" s="891" t="s">
        <v>1877</v>
      </c>
      <c r="AI43" s="891" t="s">
        <v>32</v>
      </c>
      <c r="AJ43" s="891" t="s">
        <v>32</v>
      </c>
      <c r="AK43" s="891" t="s">
        <v>32</v>
      </c>
      <c r="AL43" s="891" t="s">
        <v>34</v>
      </c>
      <c r="AM43" s="891" t="s">
        <v>1877</v>
      </c>
      <c r="AN43" s="891" t="s">
        <v>34</v>
      </c>
      <c r="AO43" s="891" t="s">
        <v>36</v>
      </c>
      <c r="AP43" s="891" t="s">
        <v>32</v>
      </c>
      <c r="AQ43" s="891" t="s">
        <v>1877</v>
      </c>
      <c r="AR43" s="891" t="s">
        <v>35</v>
      </c>
      <c r="AS43" s="891" t="s">
        <v>2758</v>
      </c>
      <c r="AT43" s="904" t="s">
        <v>34</v>
      </c>
      <c r="AU43" s="891" t="s">
        <v>34</v>
      </c>
      <c r="AV43" s="915"/>
      <c r="AW43" s="891" t="s">
        <v>32</v>
      </c>
      <c r="AX43" s="891" t="s">
        <v>35</v>
      </c>
      <c r="AY43" s="891" t="s">
        <v>36</v>
      </c>
      <c r="AZ43" s="891" t="s">
        <v>32</v>
      </c>
      <c r="BA43" s="891" t="s">
        <v>32</v>
      </c>
      <c r="BB43" s="891" t="s">
        <v>34</v>
      </c>
      <c r="BC43" s="891" t="s">
        <v>34</v>
      </c>
      <c r="BD43" s="891" t="s">
        <v>34</v>
      </c>
      <c r="BE43" s="891" t="s">
        <v>35</v>
      </c>
      <c r="BF43" s="891" t="s">
        <v>2737</v>
      </c>
      <c r="BG43" s="891" t="s">
        <v>32</v>
      </c>
      <c r="BH43" s="891" t="s">
        <v>1877</v>
      </c>
      <c r="BI43" s="891"/>
      <c r="BJ43" s="891"/>
      <c r="BK43" s="891"/>
      <c r="BL43" s="891"/>
      <c r="BM43" s="891"/>
      <c r="BN43" s="891"/>
      <c r="BO43" s="891"/>
      <c r="BP43" s="891"/>
      <c r="BQ43" s="891"/>
      <c r="BR43" s="891"/>
      <c r="BS43" s="896"/>
      <c r="BT43" s="896"/>
      <c r="BU43" s="896"/>
      <c r="BV43" s="896"/>
      <c r="BW43" s="891"/>
      <c r="BX43" s="891"/>
      <c r="BY43" s="891"/>
      <c r="BZ43" s="891"/>
      <c r="CA43" s="891"/>
      <c r="CB43" s="891"/>
      <c r="CC43" s="891"/>
      <c r="CD43" s="428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22</v>
      </c>
      <c r="G44" s="879" t="s">
        <v>2818</v>
      </c>
      <c r="H44" s="879" t="s">
        <v>22</v>
      </c>
      <c r="I44" s="879" t="s">
        <v>891</v>
      </c>
      <c r="J44" s="846">
        <v>1</v>
      </c>
      <c r="K44" s="846">
        <v>0</v>
      </c>
      <c r="L44" s="816" t="str">
        <f t="shared" si="28"/>
        <v>W</v>
      </c>
      <c r="M44" s="816">
        <f t="shared" si="29"/>
        <v>1</v>
      </c>
      <c r="N44" s="816" t="str">
        <f t="shared" si="30"/>
        <v>U</v>
      </c>
      <c r="O44" s="816">
        <f t="shared" si="19"/>
        <v>-1</v>
      </c>
      <c r="P44" s="829">
        <f t="shared" si="21"/>
        <v>0</v>
      </c>
      <c r="Q44" s="830">
        <v>0.98</v>
      </c>
      <c r="R44" s="871">
        <f t="shared" si="22"/>
        <v>2.0000000000000018E-2</v>
      </c>
      <c r="S44" s="830">
        <v>2.8</v>
      </c>
      <c r="T44" s="871">
        <f t="shared" si="23"/>
        <v>-1.7999999999999998</v>
      </c>
      <c r="U44" s="868">
        <f t="shared" si="24"/>
        <v>1.89</v>
      </c>
      <c r="V44" s="868">
        <f t="shared" si="25"/>
        <v>0.90999999999999992</v>
      </c>
      <c r="W44" s="829">
        <v>12</v>
      </c>
      <c r="X44" s="829">
        <v>10</v>
      </c>
      <c r="Y44" s="829">
        <v>3</v>
      </c>
      <c r="Z44" s="829">
        <v>1</v>
      </c>
      <c r="AA44" s="829">
        <v>51</v>
      </c>
      <c r="AB44" s="829">
        <v>49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34</v>
      </c>
      <c r="AH44" s="891" t="s">
        <v>1877</v>
      </c>
      <c r="AI44" s="891" t="s">
        <v>32</v>
      </c>
      <c r="AJ44" s="891" t="s">
        <v>32</v>
      </c>
      <c r="AK44" s="891" t="s">
        <v>1877</v>
      </c>
      <c r="AL44" s="891" t="s">
        <v>34</v>
      </c>
      <c r="AM44" s="891" t="s">
        <v>34</v>
      </c>
      <c r="AN44" s="891" t="s">
        <v>34</v>
      </c>
      <c r="AO44" s="891" t="s">
        <v>34</v>
      </c>
      <c r="AP44" s="891" t="s">
        <v>32</v>
      </c>
      <c r="AQ44" s="891" t="s">
        <v>32</v>
      </c>
      <c r="AR44" s="891" t="s">
        <v>1877</v>
      </c>
      <c r="AS44" s="891" t="s">
        <v>2271</v>
      </c>
      <c r="AT44" s="891" t="s">
        <v>34</v>
      </c>
      <c r="AU44" s="891" t="s">
        <v>2747</v>
      </c>
      <c r="AV44" s="915"/>
      <c r="AW44" s="891" t="s">
        <v>32</v>
      </c>
      <c r="AX44" s="904" t="s">
        <v>34</v>
      </c>
      <c r="AY44" s="891" t="s">
        <v>32</v>
      </c>
      <c r="AZ44" s="891" t="s">
        <v>35</v>
      </c>
      <c r="BA44" s="891" t="s">
        <v>1877</v>
      </c>
      <c r="BB44" s="891" t="s">
        <v>2795</v>
      </c>
      <c r="BC44" s="891" t="s">
        <v>35</v>
      </c>
      <c r="BD44" s="891" t="s">
        <v>34</v>
      </c>
      <c r="BE44" s="891" t="s">
        <v>36</v>
      </c>
      <c r="BF44" s="891" t="s">
        <v>36</v>
      </c>
      <c r="BG44" s="891" t="s">
        <v>32</v>
      </c>
      <c r="BH44" s="891" t="s">
        <v>1877</v>
      </c>
      <c r="BI44" s="891"/>
      <c r="BJ44" s="891"/>
      <c r="BK44" s="891"/>
      <c r="BL44" s="891"/>
      <c r="BM44" s="891"/>
      <c r="BN44" s="891"/>
      <c r="BO44" s="891"/>
      <c r="BP44" s="896"/>
      <c r="BQ44" s="896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428"/>
      <c r="CE44" s="428"/>
      <c r="CF44" s="428"/>
      <c r="CG44" s="428"/>
      <c r="CH44" s="428"/>
    </row>
    <row r="45" spans="1:120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18</v>
      </c>
      <c r="G45" s="879" t="s">
        <v>887</v>
      </c>
      <c r="H45" s="879" t="s">
        <v>18</v>
      </c>
      <c r="I45" s="879" t="s">
        <v>891</v>
      </c>
      <c r="J45" s="846">
        <v>2</v>
      </c>
      <c r="K45" s="846">
        <v>3</v>
      </c>
      <c r="L45" s="816" t="str">
        <f t="shared" si="28"/>
        <v>L</v>
      </c>
      <c r="M45" s="816">
        <f t="shared" si="29"/>
        <v>5</v>
      </c>
      <c r="N45" s="816" t="str">
        <f t="shared" si="30"/>
        <v>O</v>
      </c>
      <c r="O45" s="816">
        <f t="shared" si="19"/>
        <v>0</v>
      </c>
      <c r="P45" s="829">
        <f t="shared" si="21"/>
        <v>-1</v>
      </c>
      <c r="Q45" s="830">
        <v>7.0000000000000007E-2</v>
      </c>
      <c r="R45" s="871">
        <f t="shared" si="22"/>
        <v>-1.07</v>
      </c>
      <c r="S45" s="830">
        <v>2.62</v>
      </c>
      <c r="T45" s="871">
        <f t="shared" si="23"/>
        <v>2.38</v>
      </c>
      <c r="U45" s="868">
        <f t="shared" si="24"/>
        <v>1.345</v>
      </c>
      <c r="V45" s="868">
        <f t="shared" si="25"/>
        <v>1.2750000000000001</v>
      </c>
      <c r="W45" s="829">
        <v>6</v>
      </c>
      <c r="X45" s="829">
        <v>9</v>
      </c>
      <c r="Y45" s="829">
        <v>3</v>
      </c>
      <c r="Z45" s="829">
        <v>3</v>
      </c>
      <c r="AA45" s="829">
        <v>36</v>
      </c>
      <c r="AB45" s="829">
        <v>64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34</v>
      </c>
      <c r="AH45" s="891" t="s">
        <v>1877</v>
      </c>
      <c r="AI45" s="891" t="s">
        <v>32</v>
      </c>
      <c r="AJ45" s="891" t="s">
        <v>32</v>
      </c>
      <c r="AK45" s="891" t="s">
        <v>1877</v>
      </c>
      <c r="AL45" s="891" t="s">
        <v>34</v>
      </c>
      <c r="AM45" s="891" t="s">
        <v>2846</v>
      </c>
      <c r="AN45" s="904" t="s">
        <v>34</v>
      </c>
      <c r="AO45" s="891" t="s">
        <v>34</v>
      </c>
      <c r="AP45" s="891" t="s">
        <v>32</v>
      </c>
      <c r="AQ45" s="891" t="s">
        <v>32</v>
      </c>
      <c r="AR45" s="891" t="s">
        <v>1877</v>
      </c>
      <c r="AS45" s="891" t="s">
        <v>1886</v>
      </c>
      <c r="AT45" s="891" t="s">
        <v>34</v>
      </c>
      <c r="AU45" s="891" t="s">
        <v>2096</v>
      </c>
      <c r="AV45" s="915"/>
      <c r="AW45" s="891" t="s">
        <v>32</v>
      </c>
      <c r="AX45" s="891" t="s">
        <v>34</v>
      </c>
      <c r="AY45" s="891" t="s">
        <v>32</v>
      </c>
      <c r="AZ45" s="891" t="s">
        <v>35</v>
      </c>
      <c r="BA45" s="891" t="s">
        <v>36</v>
      </c>
      <c r="BB45" s="891" t="s">
        <v>2832</v>
      </c>
      <c r="BC45" s="891" t="s">
        <v>35</v>
      </c>
      <c r="BD45" s="891" t="s">
        <v>34</v>
      </c>
      <c r="BE45" s="891" t="s">
        <v>36</v>
      </c>
      <c r="BF45" s="904" t="s">
        <v>36</v>
      </c>
      <c r="BG45" s="891" t="s">
        <v>32</v>
      </c>
      <c r="BH45" s="891" t="s">
        <v>1877</v>
      </c>
      <c r="BI45" s="891"/>
      <c r="BJ45" s="891"/>
      <c r="BK45" s="891"/>
      <c r="BL45" s="891"/>
      <c r="BM45" s="891"/>
      <c r="BN45" s="891"/>
      <c r="BO45" s="891"/>
      <c r="BP45" s="896"/>
      <c r="BQ45" s="891"/>
      <c r="BR45" s="896"/>
      <c r="BS45" s="896"/>
      <c r="BT45" s="896"/>
      <c r="BU45" s="896"/>
      <c r="BV45" s="896"/>
      <c r="BW45" s="891"/>
      <c r="BX45" s="891"/>
      <c r="BY45" s="891"/>
      <c r="BZ45" s="891"/>
      <c r="CA45" s="891"/>
      <c r="CB45" s="891"/>
      <c r="CC45" s="891"/>
      <c r="CD45" s="428"/>
      <c r="CE45" s="428"/>
      <c r="CF45" s="428"/>
      <c r="CG45" s="428"/>
      <c r="CH45" s="428"/>
    </row>
    <row r="46" spans="1:120" ht="15">
      <c r="A46" s="882">
        <v>6407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7</v>
      </c>
      <c r="G46" s="879" t="s">
        <v>888</v>
      </c>
      <c r="H46" s="879" t="s">
        <v>18</v>
      </c>
      <c r="I46" s="879" t="s">
        <v>891</v>
      </c>
      <c r="J46" s="846">
        <v>1</v>
      </c>
      <c r="K46" s="846">
        <v>1</v>
      </c>
      <c r="L46" s="816" t="str">
        <f t="shared" si="28"/>
        <v>D</v>
      </c>
      <c r="M46" s="816">
        <f t="shared" si="29"/>
        <v>2</v>
      </c>
      <c r="N46" s="816" t="str">
        <f t="shared" si="30"/>
        <v>U</v>
      </c>
      <c r="O46" s="816">
        <f t="shared" si="19"/>
        <v>0.5</v>
      </c>
      <c r="P46" s="829">
        <f t="shared" si="21"/>
        <v>1</v>
      </c>
      <c r="Q46" s="830">
        <v>-0.45</v>
      </c>
      <c r="R46" s="871">
        <f t="shared" si="22"/>
        <v>0.45</v>
      </c>
      <c r="S46" s="830">
        <v>2.74</v>
      </c>
      <c r="T46" s="871">
        <f t="shared" si="23"/>
        <v>-0.74000000000000021</v>
      </c>
      <c r="U46" s="868">
        <f t="shared" si="24"/>
        <v>1.145</v>
      </c>
      <c r="V46" s="868">
        <f t="shared" si="25"/>
        <v>1.5950000000000002</v>
      </c>
      <c r="W46" s="829">
        <v>22</v>
      </c>
      <c r="X46" s="829">
        <v>14</v>
      </c>
      <c r="Y46" s="829">
        <v>7</v>
      </c>
      <c r="Z46" s="829">
        <v>3</v>
      </c>
      <c r="AA46" s="829">
        <v>48</v>
      </c>
      <c r="AB46" s="829">
        <v>52</v>
      </c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34</v>
      </c>
      <c r="AH46" s="891" t="s">
        <v>1877</v>
      </c>
      <c r="AI46" s="891" t="s">
        <v>32</v>
      </c>
      <c r="AJ46" s="891" t="s">
        <v>32</v>
      </c>
      <c r="AK46" s="891" t="s">
        <v>1877</v>
      </c>
      <c r="AL46" s="891" t="s">
        <v>34</v>
      </c>
      <c r="AM46" s="891" t="s">
        <v>2883</v>
      </c>
      <c r="AN46" s="891" t="s">
        <v>34</v>
      </c>
      <c r="AO46" s="891" t="s">
        <v>35</v>
      </c>
      <c r="AP46" s="891" t="s">
        <v>32</v>
      </c>
      <c r="AQ46" s="891" t="s">
        <v>32</v>
      </c>
      <c r="AR46" s="891" t="s">
        <v>36</v>
      </c>
      <c r="AS46" s="891" t="s">
        <v>1886</v>
      </c>
      <c r="AT46" s="891" t="s">
        <v>34</v>
      </c>
      <c r="AU46" s="891" t="s">
        <v>2096</v>
      </c>
      <c r="AV46" s="915"/>
      <c r="AW46" s="891" t="s">
        <v>32</v>
      </c>
      <c r="AX46" s="891" t="s">
        <v>34</v>
      </c>
      <c r="AY46" s="891" t="s">
        <v>1877</v>
      </c>
      <c r="AZ46" s="891" t="s">
        <v>1877</v>
      </c>
      <c r="BA46" s="891" t="s">
        <v>32</v>
      </c>
      <c r="BB46" s="891" t="s">
        <v>35</v>
      </c>
      <c r="BC46" s="891" t="s">
        <v>35</v>
      </c>
      <c r="BD46" s="904" t="s">
        <v>34</v>
      </c>
      <c r="BE46" s="891" t="s">
        <v>34</v>
      </c>
      <c r="BF46" s="891" t="s">
        <v>36</v>
      </c>
      <c r="BG46" s="891" t="s">
        <v>32</v>
      </c>
      <c r="BH46" s="891" t="s">
        <v>36</v>
      </c>
      <c r="BI46" s="891"/>
      <c r="BJ46" s="891"/>
      <c r="BK46" s="891"/>
      <c r="BL46" s="891"/>
      <c r="BM46" s="891"/>
      <c r="BN46" s="891"/>
      <c r="BO46" s="891"/>
      <c r="BP46" s="896"/>
      <c r="BQ46" s="896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428"/>
      <c r="CE46" s="428"/>
      <c r="CF46" s="428"/>
      <c r="CG46" s="428"/>
      <c r="CH46" s="428"/>
    </row>
    <row r="47" spans="1:120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3</v>
      </c>
      <c r="G47" s="879" t="s">
        <v>1085</v>
      </c>
      <c r="H47" s="879" t="s">
        <v>22</v>
      </c>
      <c r="I47" s="879" t="s">
        <v>891</v>
      </c>
      <c r="J47" s="846">
        <v>3</v>
      </c>
      <c r="K47" s="846">
        <v>1</v>
      </c>
      <c r="L47" s="816" t="str">
        <f t="shared" si="28"/>
        <v>W</v>
      </c>
      <c r="M47" s="816">
        <f t="shared" si="29"/>
        <v>4</v>
      </c>
      <c r="N47" s="816" t="str">
        <f t="shared" si="30"/>
        <v>O</v>
      </c>
      <c r="O47" s="816">
        <f t="shared" si="19"/>
        <v>-0.25</v>
      </c>
      <c r="P47" s="829">
        <f t="shared" si="21"/>
        <v>1</v>
      </c>
      <c r="Q47" s="830">
        <v>0.14000000000000001</v>
      </c>
      <c r="R47" s="871">
        <f t="shared" si="22"/>
        <v>1.8599999999999999</v>
      </c>
      <c r="S47" s="830">
        <v>2.76</v>
      </c>
      <c r="T47" s="871">
        <f t="shared" si="23"/>
        <v>1.2400000000000002</v>
      </c>
      <c r="U47" s="868">
        <f t="shared" si="24"/>
        <v>1.45</v>
      </c>
      <c r="V47" s="868">
        <f t="shared" si="25"/>
        <v>1.3099999999999998</v>
      </c>
      <c r="W47" s="829">
        <v>13</v>
      </c>
      <c r="X47" s="829">
        <v>11</v>
      </c>
      <c r="Y47" s="829">
        <v>7</v>
      </c>
      <c r="Z47" s="829">
        <v>3</v>
      </c>
      <c r="AA47" s="829">
        <v>35</v>
      </c>
      <c r="AB47" s="829">
        <v>65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34</v>
      </c>
      <c r="AH47" s="891" t="s">
        <v>1877</v>
      </c>
      <c r="AI47" s="891" t="s">
        <v>32</v>
      </c>
      <c r="AJ47" s="891" t="s">
        <v>32</v>
      </c>
      <c r="AK47" s="891" t="s">
        <v>1877</v>
      </c>
      <c r="AL47" s="891" t="s">
        <v>34</v>
      </c>
      <c r="AM47" s="891" t="s">
        <v>2904</v>
      </c>
      <c r="AN47" s="904" t="s">
        <v>34</v>
      </c>
      <c r="AO47" s="891" t="s">
        <v>32</v>
      </c>
      <c r="AP47" s="891" t="s">
        <v>1877</v>
      </c>
      <c r="AQ47" s="891" t="s">
        <v>32</v>
      </c>
      <c r="AR47" s="891" t="s">
        <v>32</v>
      </c>
      <c r="AS47" s="891" t="s">
        <v>34</v>
      </c>
      <c r="AT47" s="891" t="s">
        <v>34</v>
      </c>
      <c r="AU47" s="891" t="s">
        <v>34</v>
      </c>
      <c r="AV47" s="915"/>
      <c r="AW47" s="891" t="s">
        <v>32</v>
      </c>
      <c r="AX47" s="891" t="s">
        <v>36</v>
      </c>
      <c r="AY47" s="891" t="s">
        <v>32</v>
      </c>
      <c r="AZ47" s="891" t="s">
        <v>1877</v>
      </c>
      <c r="BA47" s="891" t="s">
        <v>32</v>
      </c>
      <c r="BB47" s="891" t="s">
        <v>2906</v>
      </c>
      <c r="BC47" s="891" t="s">
        <v>35</v>
      </c>
      <c r="BD47" s="904" t="s">
        <v>35</v>
      </c>
      <c r="BE47" s="891" t="s">
        <v>34</v>
      </c>
      <c r="BF47" s="891" t="s">
        <v>36</v>
      </c>
      <c r="BG47" s="891" t="s">
        <v>32</v>
      </c>
      <c r="BH47" s="891" t="s">
        <v>36</v>
      </c>
      <c r="BI47" s="891"/>
      <c r="BJ47" s="891"/>
      <c r="BK47" s="891"/>
      <c r="BL47" s="891"/>
      <c r="BM47" s="891"/>
      <c r="BN47" s="891"/>
      <c r="BO47" s="891"/>
      <c r="BP47" s="896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428"/>
      <c r="CE47" s="428"/>
      <c r="CF47" s="428"/>
      <c r="CG47" s="428"/>
      <c r="CH47" s="428"/>
    </row>
    <row r="48" spans="1:120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16</v>
      </c>
      <c r="G48" s="879" t="s">
        <v>872</v>
      </c>
      <c r="H48" s="879" t="s">
        <v>18</v>
      </c>
      <c r="I48" s="879" t="s">
        <v>891</v>
      </c>
      <c r="J48" s="846">
        <v>2</v>
      </c>
      <c r="K48" s="846">
        <v>0</v>
      </c>
      <c r="L48" s="816" t="str">
        <f t="shared" si="28"/>
        <v>W</v>
      </c>
      <c r="M48" s="816">
        <f t="shared" si="29"/>
        <v>2</v>
      </c>
      <c r="N48" s="816" t="str">
        <f t="shared" si="30"/>
        <v>U</v>
      </c>
      <c r="O48" s="816">
        <f t="shared" si="19"/>
        <v>-0.25</v>
      </c>
      <c r="P48" s="829">
        <f t="shared" si="21"/>
        <v>1</v>
      </c>
      <c r="Q48" s="830">
        <v>0.15</v>
      </c>
      <c r="R48" s="871">
        <f t="shared" si="22"/>
        <v>1.85</v>
      </c>
      <c r="S48" s="830">
        <v>2.3199999999999998</v>
      </c>
      <c r="T48" s="871">
        <f t="shared" si="23"/>
        <v>-0.31999999999999984</v>
      </c>
      <c r="U48" s="868">
        <f t="shared" si="24"/>
        <v>1.2349999999999999</v>
      </c>
      <c r="V48" s="868">
        <f t="shared" si="25"/>
        <v>1.085</v>
      </c>
      <c r="W48" s="829">
        <v>11</v>
      </c>
      <c r="X48" s="829">
        <v>14</v>
      </c>
      <c r="Y48" s="829">
        <v>5</v>
      </c>
      <c r="Z48" s="829">
        <v>2</v>
      </c>
      <c r="AA48" s="829">
        <v>53</v>
      </c>
      <c r="AB48" s="829">
        <v>47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34</v>
      </c>
      <c r="AH48" s="891" t="s">
        <v>1877</v>
      </c>
      <c r="AI48" s="891" t="s">
        <v>32</v>
      </c>
      <c r="AJ48" s="891" t="s">
        <v>32</v>
      </c>
      <c r="AK48" s="891" t="s">
        <v>1877</v>
      </c>
      <c r="AL48" s="904" t="s">
        <v>34</v>
      </c>
      <c r="AM48" s="891" t="s">
        <v>34</v>
      </c>
      <c r="AN48" s="891" t="s">
        <v>34</v>
      </c>
      <c r="AO48" s="891" t="s">
        <v>32</v>
      </c>
      <c r="AP48" s="891" t="s">
        <v>32</v>
      </c>
      <c r="AQ48" s="891" t="s">
        <v>1877</v>
      </c>
      <c r="AR48" s="891" t="s">
        <v>1877</v>
      </c>
      <c r="AS48" s="891" t="s">
        <v>34</v>
      </c>
      <c r="AT48" s="891" t="s">
        <v>34</v>
      </c>
      <c r="AU48" s="891" t="s">
        <v>34</v>
      </c>
      <c r="AV48" s="915"/>
      <c r="AW48" s="891" t="s">
        <v>32</v>
      </c>
      <c r="AX48" s="891" t="s">
        <v>36</v>
      </c>
      <c r="AY48" s="891" t="s">
        <v>32</v>
      </c>
      <c r="AZ48" s="891" t="s">
        <v>32</v>
      </c>
      <c r="BA48" s="891" t="s">
        <v>32</v>
      </c>
      <c r="BB48" s="891" t="s">
        <v>35</v>
      </c>
      <c r="BC48" s="904" t="s">
        <v>35</v>
      </c>
      <c r="BD48" s="891" t="s">
        <v>35</v>
      </c>
      <c r="BE48" s="891" t="s">
        <v>34</v>
      </c>
      <c r="BF48" s="891" t="s">
        <v>36</v>
      </c>
      <c r="BG48" s="891" t="s">
        <v>32</v>
      </c>
      <c r="BH48" s="891" t="s">
        <v>2956</v>
      </c>
      <c r="BI48" s="891"/>
      <c r="BJ48" s="891"/>
      <c r="BK48" s="891"/>
      <c r="BL48" s="891"/>
      <c r="BM48" s="891"/>
      <c r="BN48" s="891"/>
      <c r="BO48" s="891"/>
      <c r="BP48" s="896" t="s">
        <v>32</v>
      </c>
      <c r="BQ48" s="896" t="s">
        <v>32</v>
      </c>
      <c r="BR48" s="896" t="s">
        <v>32</v>
      </c>
      <c r="BS48" s="896" t="s">
        <v>32</v>
      </c>
      <c r="BT48" s="896" t="s">
        <v>32</v>
      </c>
      <c r="BU48" s="896" t="s">
        <v>32</v>
      </c>
      <c r="BV48" s="896" t="s">
        <v>32</v>
      </c>
      <c r="BW48" s="896" t="s">
        <v>32</v>
      </c>
      <c r="BX48" s="896" t="s">
        <v>32</v>
      </c>
      <c r="BY48" s="896"/>
      <c r="BZ48" s="896"/>
      <c r="CA48" s="896"/>
      <c r="CB48" s="896"/>
      <c r="CC48" s="896"/>
      <c r="CD48" s="428"/>
      <c r="CE48" s="428"/>
      <c r="CF48" s="428"/>
      <c r="CG48" s="428"/>
      <c r="CH48" s="428"/>
    </row>
    <row r="49" spans="1:86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13</v>
      </c>
      <c r="G49" s="879" t="s">
        <v>884</v>
      </c>
      <c r="H49" s="879" t="s">
        <v>22</v>
      </c>
      <c r="I49" s="879" t="s">
        <v>891</v>
      </c>
      <c r="J49" s="846">
        <v>1</v>
      </c>
      <c r="K49" s="846">
        <v>1</v>
      </c>
      <c r="L49" s="816" t="str">
        <f t="shared" si="28"/>
        <v>D</v>
      </c>
      <c r="M49" s="816">
        <f t="shared" si="29"/>
        <v>2</v>
      </c>
      <c r="N49" s="816" t="str">
        <f t="shared" si="30"/>
        <v>U</v>
      </c>
      <c r="O49" s="816">
        <f t="shared" si="19"/>
        <v>-0.25</v>
      </c>
      <c r="P49" s="829">
        <f t="shared" si="21"/>
        <v>-0.5</v>
      </c>
      <c r="Q49" s="830">
        <v>0.28000000000000003</v>
      </c>
      <c r="R49" s="871">
        <f t="shared" si="22"/>
        <v>-0.28000000000000003</v>
      </c>
      <c r="S49" s="830">
        <v>2.4300000000000002</v>
      </c>
      <c r="T49" s="871">
        <f t="shared" si="23"/>
        <v>-0.43000000000000016</v>
      </c>
      <c r="U49" s="868">
        <f t="shared" si="24"/>
        <v>1.355</v>
      </c>
      <c r="V49" s="868">
        <f t="shared" si="25"/>
        <v>1.0750000000000002</v>
      </c>
      <c r="W49" s="829">
        <v>11</v>
      </c>
      <c r="X49" s="829">
        <v>11</v>
      </c>
      <c r="Y49" s="829">
        <v>3</v>
      </c>
      <c r="Z49" s="829">
        <v>5</v>
      </c>
      <c r="AA49" s="829">
        <v>54</v>
      </c>
      <c r="AB49" s="829">
        <v>46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34</v>
      </c>
      <c r="AH49" s="891" t="s">
        <v>1877</v>
      </c>
      <c r="AI49" s="891" t="s">
        <v>32</v>
      </c>
      <c r="AJ49" s="891" t="s">
        <v>32</v>
      </c>
      <c r="AK49" s="891" t="s">
        <v>32</v>
      </c>
      <c r="AL49" s="891" t="s">
        <v>3026</v>
      </c>
      <c r="AM49" s="891" t="s">
        <v>34</v>
      </c>
      <c r="AN49" s="891" t="s">
        <v>34</v>
      </c>
      <c r="AO49" s="891" t="s">
        <v>34</v>
      </c>
      <c r="AP49" s="891" t="s">
        <v>32</v>
      </c>
      <c r="AQ49" s="891" t="s">
        <v>1877</v>
      </c>
      <c r="AR49" s="891" t="s">
        <v>1877</v>
      </c>
      <c r="AS49" s="891" t="s">
        <v>34</v>
      </c>
      <c r="AT49" s="904" t="s">
        <v>34</v>
      </c>
      <c r="AU49" s="904" t="s">
        <v>35</v>
      </c>
      <c r="AV49" s="915"/>
      <c r="AW49" s="891" t="s">
        <v>32</v>
      </c>
      <c r="AX49" s="891" t="s">
        <v>36</v>
      </c>
      <c r="AY49" s="891" t="s">
        <v>1877</v>
      </c>
      <c r="AZ49" s="891" t="s">
        <v>32</v>
      </c>
      <c r="BA49" s="891" t="s">
        <v>32</v>
      </c>
      <c r="BB49" s="891" t="s">
        <v>35</v>
      </c>
      <c r="BC49" s="891" t="s">
        <v>3029</v>
      </c>
      <c r="BD49" s="891" t="s">
        <v>34</v>
      </c>
      <c r="BE49" s="891" t="s">
        <v>34</v>
      </c>
      <c r="BF49" s="891" t="s">
        <v>36</v>
      </c>
      <c r="BG49" s="891" t="s">
        <v>32</v>
      </c>
      <c r="BH49" s="891" t="s">
        <v>35</v>
      </c>
      <c r="BI49" s="891" t="s">
        <v>32</v>
      </c>
      <c r="BJ49" s="891"/>
      <c r="BK49" s="891"/>
      <c r="BL49" s="891"/>
      <c r="BM49" s="891"/>
      <c r="BN49" s="891"/>
      <c r="BO49" s="891"/>
      <c r="BP49" s="896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428"/>
      <c r="CE49" s="428"/>
      <c r="CF49" s="428"/>
      <c r="CG49" s="428"/>
      <c r="CH49" s="428"/>
    </row>
    <row r="50" spans="1:86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4</v>
      </c>
      <c r="G50" s="879" t="s">
        <v>1084</v>
      </c>
      <c r="H50" s="879" t="s">
        <v>22</v>
      </c>
      <c r="I50" s="879" t="s">
        <v>891</v>
      </c>
      <c r="J50" s="846">
        <v>0</v>
      </c>
      <c r="K50" s="846">
        <v>1</v>
      </c>
      <c r="L50" s="816" t="str">
        <f t="shared" si="28"/>
        <v>L</v>
      </c>
      <c r="M50" s="816">
        <f t="shared" si="29"/>
        <v>1</v>
      </c>
      <c r="N50" s="816" t="str">
        <f t="shared" si="30"/>
        <v>U</v>
      </c>
      <c r="O50" s="816">
        <f t="shared" si="19"/>
        <v>0.5</v>
      </c>
      <c r="P50" s="829">
        <f t="shared" si="21"/>
        <v>-1</v>
      </c>
      <c r="Q50" s="830">
        <v>-0.43</v>
      </c>
      <c r="R50" s="871">
        <f t="shared" si="22"/>
        <v>-0.57000000000000006</v>
      </c>
      <c r="S50" s="830">
        <v>2.4500000000000002</v>
      </c>
      <c r="T50" s="871">
        <f t="shared" si="23"/>
        <v>-1.4500000000000002</v>
      </c>
      <c r="U50" s="868">
        <f t="shared" si="24"/>
        <v>1.01</v>
      </c>
      <c r="V50" s="868">
        <f t="shared" si="25"/>
        <v>1.4400000000000002</v>
      </c>
      <c r="W50" s="829">
        <v>8</v>
      </c>
      <c r="X50" s="829">
        <v>16</v>
      </c>
      <c r="Y50" s="829">
        <v>1</v>
      </c>
      <c r="Z50" s="829">
        <v>2</v>
      </c>
      <c r="AA50" s="829">
        <v>46</v>
      </c>
      <c r="AB50" s="829">
        <v>54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34</v>
      </c>
      <c r="AH50" s="891" t="s">
        <v>1877</v>
      </c>
      <c r="AI50" s="891" t="s">
        <v>32</v>
      </c>
      <c r="AJ50" s="891" t="s">
        <v>32</v>
      </c>
      <c r="AK50" s="891" t="s">
        <v>32</v>
      </c>
      <c r="AL50" s="891" t="s">
        <v>32</v>
      </c>
      <c r="AM50" s="891" t="s">
        <v>36</v>
      </c>
      <c r="AN50" s="891" t="s">
        <v>34</v>
      </c>
      <c r="AO50" s="891" t="s">
        <v>34</v>
      </c>
      <c r="AP50" s="891" t="s">
        <v>32</v>
      </c>
      <c r="AQ50" s="891" t="s">
        <v>35</v>
      </c>
      <c r="AR50" s="891" t="s">
        <v>1877</v>
      </c>
      <c r="AS50" s="891" t="s">
        <v>34</v>
      </c>
      <c r="AT50" s="891" t="s">
        <v>2096</v>
      </c>
      <c r="AU50" s="891" t="s">
        <v>2096</v>
      </c>
      <c r="AV50" s="904" t="s">
        <v>36</v>
      </c>
      <c r="AW50" s="891" t="s">
        <v>32</v>
      </c>
      <c r="AX50" s="904" t="s">
        <v>34</v>
      </c>
      <c r="AY50" s="904" t="s">
        <v>35</v>
      </c>
      <c r="AZ50" s="891" t="s">
        <v>32</v>
      </c>
      <c r="BA50" s="891" t="s">
        <v>1877</v>
      </c>
      <c r="BB50" s="891" t="s">
        <v>32</v>
      </c>
      <c r="BC50" s="904" t="s">
        <v>34</v>
      </c>
      <c r="BD50" s="891" t="s">
        <v>34</v>
      </c>
      <c r="BE50" s="891" t="s">
        <v>34</v>
      </c>
      <c r="BF50" s="891" t="s">
        <v>36</v>
      </c>
      <c r="BG50" s="891" t="s">
        <v>32</v>
      </c>
      <c r="BH50" s="891" t="s">
        <v>35</v>
      </c>
      <c r="BI50" s="891" t="s">
        <v>1877</v>
      </c>
      <c r="BJ50" s="891"/>
      <c r="BK50" s="891"/>
      <c r="BL50" s="891"/>
      <c r="BM50" s="891"/>
      <c r="BN50" s="891"/>
      <c r="BO50" s="891"/>
      <c r="BP50" s="896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428"/>
      <c r="CE50" s="428"/>
      <c r="CF50" s="428"/>
      <c r="CG50" s="428"/>
      <c r="CH50" s="428"/>
    </row>
    <row r="51" spans="1:86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14</v>
      </c>
      <c r="G51" s="879" t="s">
        <v>873</v>
      </c>
      <c r="H51" s="879" t="s">
        <v>18</v>
      </c>
      <c r="I51" s="879" t="s">
        <v>891</v>
      </c>
      <c r="J51" s="908">
        <v>0</v>
      </c>
      <c r="K51" s="846">
        <v>2</v>
      </c>
      <c r="L51" s="816" t="str">
        <f t="shared" si="28"/>
        <v>L</v>
      </c>
      <c r="M51" s="816">
        <f t="shared" si="29"/>
        <v>2</v>
      </c>
      <c r="N51" s="816" t="str">
        <f t="shared" si="30"/>
        <v>U</v>
      </c>
      <c r="O51" s="816">
        <f t="shared" si="19"/>
        <v>0</v>
      </c>
      <c r="P51" s="829">
        <f t="shared" si="21"/>
        <v>-1</v>
      </c>
      <c r="Q51" s="830">
        <v>0.08</v>
      </c>
      <c r="R51" s="871">
        <f t="shared" si="22"/>
        <v>-2.08</v>
      </c>
      <c r="S51" s="830">
        <v>2.1800000000000002</v>
      </c>
      <c r="T51" s="871">
        <f t="shared" si="23"/>
        <v>-0.18000000000000016</v>
      </c>
      <c r="U51" s="868">
        <f t="shared" si="24"/>
        <v>1.1300000000000001</v>
      </c>
      <c r="V51" s="868">
        <f t="shared" si="25"/>
        <v>1.05</v>
      </c>
      <c r="W51" s="816">
        <v>15</v>
      </c>
      <c r="X51" s="816">
        <v>19</v>
      </c>
      <c r="Y51" s="816">
        <v>7</v>
      </c>
      <c r="Z51" s="816">
        <v>9</v>
      </c>
      <c r="AA51" s="816">
        <v>55</v>
      </c>
      <c r="AB51" s="816">
        <v>45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 t="s">
        <v>34</v>
      </c>
      <c r="AH51" s="891" t="s">
        <v>1877</v>
      </c>
      <c r="AI51" s="891" t="s">
        <v>32</v>
      </c>
      <c r="AJ51" s="891" t="s">
        <v>32</v>
      </c>
      <c r="AK51" s="891" t="s">
        <v>3085</v>
      </c>
      <c r="AL51" s="891" t="s">
        <v>32</v>
      </c>
      <c r="AM51" s="904" t="s">
        <v>34</v>
      </c>
      <c r="AN51" s="891" t="s">
        <v>34</v>
      </c>
      <c r="AO51" s="904" t="s">
        <v>35</v>
      </c>
      <c r="AP51" s="891" t="s">
        <v>32</v>
      </c>
      <c r="AQ51" s="891" t="s">
        <v>1877</v>
      </c>
      <c r="AR51" s="891" t="s">
        <v>1877</v>
      </c>
      <c r="AS51" s="891" t="s">
        <v>34</v>
      </c>
      <c r="AT51" s="891" t="s">
        <v>34</v>
      </c>
      <c r="AU51" s="909" t="s">
        <v>34</v>
      </c>
      <c r="AV51" s="891" t="s">
        <v>36</v>
      </c>
      <c r="AW51" s="891" t="s">
        <v>32</v>
      </c>
      <c r="AX51" s="909" t="s">
        <v>34</v>
      </c>
      <c r="AY51" s="891" t="s">
        <v>36</v>
      </c>
      <c r="AZ51" s="891" t="s">
        <v>32</v>
      </c>
      <c r="BA51" s="891" t="s">
        <v>32</v>
      </c>
      <c r="BB51" s="891" t="s">
        <v>36</v>
      </c>
      <c r="BC51" s="891" t="s">
        <v>32</v>
      </c>
      <c r="BD51" s="891" t="s">
        <v>35</v>
      </c>
      <c r="BE51" s="891" t="s">
        <v>34</v>
      </c>
      <c r="BF51" s="891" t="s">
        <v>1877</v>
      </c>
      <c r="BG51" s="891" t="s">
        <v>32</v>
      </c>
      <c r="BH51" s="891" t="s">
        <v>35</v>
      </c>
      <c r="BI51" s="891" t="s">
        <v>32</v>
      </c>
      <c r="BJ51" s="891"/>
      <c r="BK51" s="891"/>
      <c r="BL51" s="891"/>
      <c r="BM51" s="891"/>
      <c r="BN51" s="891"/>
      <c r="BO51" s="891"/>
      <c r="BP51" s="896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428"/>
      <c r="CE51" s="428"/>
      <c r="CF51" s="428"/>
      <c r="CG51" s="428"/>
      <c r="CH51" s="428"/>
    </row>
    <row r="52" spans="1:86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9</v>
      </c>
      <c r="G52" s="879" t="s">
        <v>1083</v>
      </c>
      <c r="H52" s="879" t="s">
        <v>22</v>
      </c>
      <c r="I52" s="879" t="s">
        <v>891</v>
      </c>
      <c r="J52" s="846">
        <v>2</v>
      </c>
      <c r="K52" s="846">
        <v>2</v>
      </c>
      <c r="L52" s="816" t="str">
        <f t="shared" si="28"/>
        <v>D</v>
      </c>
      <c r="M52" s="816">
        <f t="shared" si="29"/>
        <v>4</v>
      </c>
      <c r="N52" s="816" t="str">
        <f t="shared" si="30"/>
        <v>O</v>
      </c>
      <c r="O52" s="816">
        <f t="shared" si="19"/>
        <v>0</v>
      </c>
      <c r="P52" s="829">
        <f t="shared" si="21"/>
        <v>0</v>
      </c>
      <c r="Q52" s="830">
        <v>0.05</v>
      </c>
      <c r="R52" s="871">
        <f t="shared" si="22"/>
        <v>-0.05</v>
      </c>
      <c r="S52" s="830">
        <v>2.35</v>
      </c>
      <c r="T52" s="871">
        <f t="shared" si="23"/>
        <v>1.65</v>
      </c>
      <c r="U52" s="868">
        <f t="shared" si="24"/>
        <v>1.2</v>
      </c>
      <c r="V52" s="868">
        <f t="shared" si="25"/>
        <v>1.1500000000000001</v>
      </c>
      <c r="W52" s="829">
        <v>17</v>
      </c>
      <c r="X52" s="829">
        <v>11</v>
      </c>
      <c r="Y52" s="829">
        <v>8</v>
      </c>
      <c r="Z52" s="829">
        <v>2</v>
      </c>
      <c r="AA52" s="829">
        <v>47</v>
      </c>
      <c r="AB52" s="829">
        <v>53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 t="s">
        <v>34</v>
      </c>
      <c r="AH52" s="891" t="s">
        <v>1877</v>
      </c>
      <c r="AI52" s="891" t="s">
        <v>32</v>
      </c>
      <c r="AJ52" s="891" t="s">
        <v>32</v>
      </c>
      <c r="AK52" s="891" t="s">
        <v>3085</v>
      </c>
      <c r="AL52" s="891" t="s">
        <v>32</v>
      </c>
      <c r="AM52" s="891" t="s">
        <v>3119</v>
      </c>
      <c r="AN52" s="891" t="s">
        <v>34</v>
      </c>
      <c r="AO52" s="891" t="s">
        <v>3119</v>
      </c>
      <c r="AP52" s="891" t="s">
        <v>32</v>
      </c>
      <c r="AQ52" s="891" t="s">
        <v>36</v>
      </c>
      <c r="AR52" s="891" t="s">
        <v>1877</v>
      </c>
      <c r="AS52" s="891" t="s">
        <v>34</v>
      </c>
      <c r="AT52" s="891" t="s">
        <v>34</v>
      </c>
      <c r="AU52" s="891" t="s">
        <v>3120</v>
      </c>
      <c r="AV52" s="904" t="s">
        <v>34</v>
      </c>
      <c r="AW52" s="891" t="s">
        <v>32</v>
      </c>
      <c r="AX52" s="891" t="s">
        <v>3119</v>
      </c>
      <c r="AY52" s="891" t="s">
        <v>36</v>
      </c>
      <c r="AZ52" s="891" t="s">
        <v>35</v>
      </c>
      <c r="BA52" s="891" t="s">
        <v>1877</v>
      </c>
      <c r="BB52" s="891" t="s">
        <v>35</v>
      </c>
      <c r="BC52" s="891" t="s">
        <v>34</v>
      </c>
      <c r="BD52" s="891" t="s">
        <v>34</v>
      </c>
      <c r="BE52" s="891" t="s">
        <v>34</v>
      </c>
      <c r="BF52" s="904" t="s">
        <v>3121</v>
      </c>
      <c r="BG52" s="891" t="s">
        <v>32</v>
      </c>
      <c r="BH52" s="891" t="s">
        <v>3122</v>
      </c>
      <c r="BI52" s="891" t="s">
        <v>1877</v>
      </c>
      <c r="BJ52" s="891" t="s">
        <v>32</v>
      </c>
      <c r="BK52" s="891"/>
      <c r="BL52" s="891"/>
      <c r="BM52" s="891"/>
      <c r="BN52" s="891"/>
      <c r="BO52" s="891"/>
      <c r="BP52" s="896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428"/>
      <c r="CE52" s="428"/>
      <c r="CF52" s="428"/>
      <c r="CG52" s="428"/>
      <c r="CH52" s="428"/>
    </row>
    <row r="53" spans="1:86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2</v>
      </c>
      <c r="G53" s="879" t="s">
        <v>886</v>
      </c>
      <c r="H53" s="879" t="s">
        <v>18</v>
      </c>
      <c r="I53" s="879" t="s">
        <v>891</v>
      </c>
      <c r="J53" s="846">
        <v>0</v>
      </c>
      <c r="K53" s="846">
        <v>1</v>
      </c>
      <c r="L53" s="816" t="str">
        <f t="shared" si="28"/>
        <v>L</v>
      </c>
      <c r="M53" s="816">
        <f t="shared" si="29"/>
        <v>1</v>
      </c>
      <c r="N53" s="816" t="str">
        <f t="shared" si="30"/>
        <v>U</v>
      </c>
      <c r="O53" s="816">
        <f t="shared" si="19"/>
        <v>0</v>
      </c>
      <c r="P53" s="829">
        <f t="shared" si="21"/>
        <v>-1</v>
      </c>
      <c r="Q53" s="830">
        <v>0.04</v>
      </c>
      <c r="R53" s="871">
        <f t="shared" si="22"/>
        <v>-1.04</v>
      </c>
      <c r="S53" s="830">
        <v>2.2000000000000002</v>
      </c>
      <c r="T53" s="871">
        <f t="shared" si="23"/>
        <v>-1.2000000000000002</v>
      </c>
      <c r="U53" s="868">
        <f t="shared" si="24"/>
        <v>1.1200000000000001</v>
      </c>
      <c r="V53" s="868">
        <f t="shared" si="25"/>
        <v>1.08</v>
      </c>
      <c r="W53" s="829">
        <v>16</v>
      </c>
      <c r="X53" s="829">
        <v>18</v>
      </c>
      <c r="Y53" s="829">
        <v>1</v>
      </c>
      <c r="Z53" s="829">
        <v>5</v>
      </c>
      <c r="AA53" s="829">
        <v>55</v>
      </c>
      <c r="AB53" s="829">
        <v>45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3160</v>
      </c>
      <c r="AH53" s="891" t="s">
        <v>1877</v>
      </c>
      <c r="AI53" s="891" t="s">
        <v>32</v>
      </c>
      <c r="AJ53" s="891" t="s">
        <v>32</v>
      </c>
      <c r="AK53" s="891" t="s">
        <v>3085</v>
      </c>
      <c r="AL53" s="891" t="s">
        <v>32</v>
      </c>
      <c r="AM53" s="891" t="s">
        <v>34</v>
      </c>
      <c r="AN53" s="891" t="s">
        <v>34</v>
      </c>
      <c r="AO53" s="904" t="s">
        <v>34</v>
      </c>
      <c r="AP53" s="891" t="s">
        <v>32</v>
      </c>
      <c r="AQ53" s="891" t="s">
        <v>1877</v>
      </c>
      <c r="AR53" s="891" t="s">
        <v>1877</v>
      </c>
      <c r="AS53" s="891" t="s">
        <v>1877</v>
      </c>
      <c r="AT53" s="891" t="s">
        <v>34</v>
      </c>
      <c r="AU53" s="891" t="s">
        <v>34</v>
      </c>
      <c r="AV53" s="891" t="s">
        <v>34</v>
      </c>
      <c r="AW53" s="891" t="s">
        <v>32</v>
      </c>
      <c r="AX53" s="891" t="s">
        <v>3157</v>
      </c>
      <c r="AY53" s="891" t="s">
        <v>1877</v>
      </c>
      <c r="AZ53" s="891" t="s">
        <v>32</v>
      </c>
      <c r="BA53" s="891" t="s">
        <v>32</v>
      </c>
      <c r="BB53" s="891" t="s">
        <v>35</v>
      </c>
      <c r="BC53" s="891" t="s">
        <v>35</v>
      </c>
      <c r="BD53" s="891" t="s">
        <v>34</v>
      </c>
      <c r="BE53" s="891" t="s">
        <v>34</v>
      </c>
      <c r="BF53" s="904" t="s">
        <v>36</v>
      </c>
      <c r="BG53" s="891" t="s">
        <v>32</v>
      </c>
      <c r="BH53" s="891" t="s">
        <v>36</v>
      </c>
      <c r="BI53" s="891" t="s">
        <v>32</v>
      </c>
      <c r="BJ53" s="891"/>
      <c r="BK53" s="891"/>
      <c r="BL53" s="891"/>
      <c r="BM53" s="891"/>
      <c r="BN53" s="891"/>
      <c r="BO53" s="891"/>
      <c r="BP53" s="896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428"/>
      <c r="CE53" s="428"/>
      <c r="CF53" s="428"/>
      <c r="CG53" s="428"/>
      <c r="CH53" s="428"/>
    </row>
    <row r="54" spans="1:86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20</v>
      </c>
      <c r="G54" s="879" t="s">
        <v>882</v>
      </c>
      <c r="H54" s="879" t="s">
        <v>22</v>
      </c>
      <c r="I54" s="879" t="s">
        <v>891</v>
      </c>
      <c r="J54" s="846">
        <v>1</v>
      </c>
      <c r="K54" s="846">
        <v>2</v>
      </c>
      <c r="L54" s="816" t="str">
        <f t="shared" si="28"/>
        <v>L</v>
      </c>
      <c r="M54" s="816">
        <f t="shared" si="29"/>
        <v>3</v>
      </c>
      <c r="N54" s="816" t="str">
        <f t="shared" si="30"/>
        <v>O</v>
      </c>
      <c r="O54" s="816">
        <f t="shared" ref="O54" si="32">IF(Q54="","",IF(SIGN(Q54)&lt;&gt;1,VLOOKUP(ABS(Q54),SUP_HDC,3,TRUE),-VLOOKUP(ABS(Q54),SUP_HDC,3,TRUE)))</f>
        <v>-0.5</v>
      </c>
      <c r="P54" s="829">
        <f t="shared" ref="P54" si="33">IF(O54="","",IF((J54-K54+O54)&gt;=0.5,1,IF((J54-K54+O54)=0.25,0.5,IF((J54-K54+O54)&lt;=-0.5,-1,IF((J54-K54+O54)=-0.25,-0.5,0)))))</f>
        <v>-1</v>
      </c>
      <c r="Q54" s="830">
        <v>0.53</v>
      </c>
      <c r="R54" s="871">
        <f t="shared" ref="R54" si="34">IF(ISBLANK(Q54),"",J54-K54-Q54)</f>
        <v>-1.53</v>
      </c>
      <c r="S54" s="830">
        <v>2.6</v>
      </c>
      <c r="T54" s="871">
        <f t="shared" ref="T54" si="35">IF(ISBLANK(S54),"",J54+K54-S54)</f>
        <v>0.39999999999999991</v>
      </c>
      <c r="U54" s="868">
        <f t="shared" ref="U54" si="36">IF(Q54="","",(Q54+S54)/2)</f>
        <v>1.5649999999999999</v>
      </c>
      <c r="V54" s="868">
        <f t="shared" ref="V54" si="37">IF(Q54="","",S54-U54)</f>
        <v>1.0350000000000001</v>
      </c>
      <c r="W54" s="829">
        <v>27</v>
      </c>
      <c r="X54" s="829">
        <v>10</v>
      </c>
      <c r="Y54" s="829">
        <v>8</v>
      </c>
      <c r="Z54" s="829">
        <v>4</v>
      </c>
      <c r="AA54" s="829">
        <v>62</v>
      </c>
      <c r="AB54" s="829">
        <v>38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34</v>
      </c>
      <c r="AH54" s="891" t="s">
        <v>1877</v>
      </c>
      <c r="AI54" s="891" t="s">
        <v>32</v>
      </c>
      <c r="AJ54" s="891" t="s">
        <v>32</v>
      </c>
      <c r="AK54" s="891" t="s">
        <v>3085</v>
      </c>
      <c r="AL54" s="891" t="s">
        <v>32</v>
      </c>
      <c r="AM54" s="891" t="s">
        <v>34</v>
      </c>
      <c r="AN54" s="891" t="s">
        <v>34</v>
      </c>
      <c r="AO54" s="891" t="s">
        <v>1877</v>
      </c>
      <c r="AP54" s="891" t="s">
        <v>32</v>
      </c>
      <c r="AQ54" s="891" t="s">
        <v>32</v>
      </c>
      <c r="AR54" s="891" t="s">
        <v>1877</v>
      </c>
      <c r="AS54" s="904" t="s">
        <v>34</v>
      </c>
      <c r="AT54" s="904" t="s">
        <v>34</v>
      </c>
      <c r="AU54" s="904" t="s">
        <v>35</v>
      </c>
      <c r="AV54" s="891" t="s">
        <v>34</v>
      </c>
      <c r="AW54" s="891" t="s">
        <v>32</v>
      </c>
      <c r="AX54" s="891" t="s">
        <v>3139</v>
      </c>
      <c r="AY54" s="891" t="s">
        <v>34</v>
      </c>
      <c r="AZ54" s="891" t="s">
        <v>1877</v>
      </c>
      <c r="BA54" s="891" t="s">
        <v>32</v>
      </c>
      <c r="BB54" s="891" t="s">
        <v>35</v>
      </c>
      <c r="BC54" s="891" t="s">
        <v>34</v>
      </c>
      <c r="BD54" s="891" t="s">
        <v>35</v>
      </c>
      <c r="BE54" s="891" t="s">
        <v>3183</v>
      </c>
      <c r="BF54" s="891" t="s">
        <v>32</v>
      </c>
      <c r="BG54" s="891" t="s">
        <v>32</v>
      </c>
      <c r="BH54" s="891" t="s">
        <v>36</v>
      </c>
      <c r="BI54" s="891" t="s">
        <v>36</v>
      </c>
      <c r="BJ54" s="891"/>
      <c r="BK54" s="891"/>
      <c r="BL54" s="891"/>
      <c r="BM54" s="891"/>
      <c r="BN54" s="891"/>
      <c r="BO54" s="891"/>
      <c r="BP54" s="896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428"/>
      <c r="CE54" s="428"/>
      <c r="CF54" s="428"/>
      <c r="CG54" s="428"/>
      <c r="CH54" s="428"/>
    </row>
    <row r="55" spans="1:86" ht="15">
      <c r="A55" s="882">
        <v>6462</v>
      </c>
      <c r="B55" s="884"/>
      <c r="C55" s="884"/>
      <c r="D55" s="884"/>
      <c r="E55" s="884"/>
      <c r="F55" s="884">
        <f ca="1">IF(I55="","",IF(I55=Table!$C$1,VLOOKUP(G55,Table!$B$9:$AE$32,Table!$AE$6-1,FALSE),""))</f>
        <v>11</v>
      </c>
      <c r="G55" s="879" t="s">
        <v>874</v>
      </c>
      <c r="H55" s="879" t="s">
        <v>18</v>
      </c>
      <c r="I55" s="879" t="s">
        <v>891</v>
      </c>
      <c r="J55" s="846">
        <v>2</v>
      </c>
      <c r="K55" s="846">
        <v>2</v>
      </c>
      <c r="L55" s="816" t="str">
        <f t="shared" si="28"/>
        <v>D</v>
      </c>
      <c r="M55" s="816">
        <f t="shared" si="29"/>
        <v>4</v>
      </c>
      <c r="N55" s="816" t="str">
        <f t="shared" si="30"/>
        <v>O</v>
      </c>
      <c r="O55" s="816">
        <f t="shared" ref="O55" si="38">IF(Q55="","",IF(SIGN(Q55)&lt;&gt;1,VLOOKUP(ABS(Q55),SUP_HDC,3,TRUE),-VLOOKUP(ABS(Q55),SUP_HDC,3,TRUE)))</f>
        <v>0</v>
      </c>
      <c r="P55" s="829">
        <f t="shared" ref="P55" si="39">IF(O55="","",IF((J55-K55+O55)&gt;=0.5,1,IF((J55-K55+O55)=0.25,0.5,IF((J55-K55+O55)&lt;=-0.5,-1,IF((J55-K55+O55)=-0.25,-0.5,0)))))</f>
        <v>0</v>
      </c>
      <c r="Q55" s="830">
        <v>-0.1</v>
      </c>
      <c r="R55" s="871">
        <f t="shared" ref="R55" si="40">IF(ISBLANK(Q55),"",J55-K55-Q55)</f>
        <v>0.1</v>
      </c>
      <c r="S55" s="830">
        <v>2.2000000000000002</v>
      </c>
      <c r="T55" s="871">
        <f t="shared" ref="T55" si="41">IF(ISBLANK(S55),"",J55+K55-S55)</f>
        <v>1.7999999999999998</v>
      </c>
      <c r="U55" s="868">
        <f t="shared" ref="U55" si="42">IF(Q55="","",(Q55+S55)/2)</f>
        <v>1.05</v>
      </c>
      <c r="V55" s="868">
        <f t="shared" ref="V55" si="43">IF(Q55="","",S55-U55)</f>
        <v>1.1500000000000001</v>
      </c>
      <c r="W55" s="829">
        <v>14</v>
      </c>
      <c r="X55" s="829">
        <v>9</v>
      </c>
      <c r="Y55" s="829">
        <v>5</v>
      </c>
      <c r="Z55" s="829">
        <v>5</v>
      </c>
      <c r="AA55" s="829">
        <v>46</v>
      </c>
      <c r="AB55" s="829">
        <v>54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 t="s">
        <v>34</v>
      </c>
      <c r="AH55" s="891" t="s">
        <v>1877</v>
      </c>
      <c r="AI55" s="891" t="s">
        <v>32</v>
      </c>
      <c r="AJ55" s="891" t="s">
        <v>32</v>
      </c>
      <c r="AK55" s="891" t="s">
        <v>3085</v>
      </c>
      <c r="AL55" s="891" t="s">
        <v>32</v>
      </c>
      <c r="AM55" s="904" t="s">
        <v>3225</v>
      </c>
      <c r="AN55" s="891" t="s">
        <v>34</v>
      </c>
      <c r="AO55" s="891" t="s">
        <v>34</v>
      </c>
      <c r="AP55" s="891" t="s">
        <v>32</v>
      </c>
      <c r="AQ55" s="891" t="s">
        <v>32</v>
      </c>
      <c r="AR55" s="891" t="s">
        <v>1877</v>
      </c>
      <c r="AS55" s="891" t="s">
        <v>1877</v>
      </c>
      <c r="AT55" s="904" t="s">
        <v>34</v>
      </c>
      <c r="AU55" s="891" t="s">
        <v>34</v>
      </c>
      <c r="AV55" s="891" t="s">
        <v>35</v>
      </c>
      <c r="AW55" s="891" t="s">
        <v>32</v>
      </c>
      <c r="AX55" s="891" t="s">
        <v>3224</v>
      </c>
      <c r="AY55" s="891" t="s">
        <v>3222</v>
      </c>
      <c r="AZ55" s="891" t="s">
        <v>32</v>
      </c>
      <c r="BA55" s="891" t="s">
        <v>32</v>
      </c>
      <c r="BB55" s="891" t="s">
        <v>36</v>
      </c>
      <c r="BC55" s="891" t="s">
        <v>35</v>
      </c>
      <c r="BD55" s="891" t="s">
        <v>35</v>
      </c>
      <c r="BE55" s="891" t="s">
        <v>34</v>
      </c>
      <c r="BF55" s="891" t="s">
        <v>36</v>
      </c>
      <c r="BG55" s="891" t="s">
        <v>32</v>
      </c>
      <c r="BH55" s="891" t="s">
        <v>36</v>
      </c>
      <c r="BI55" s="891" t="s">
        <v>1877</v>
      </c>
      <c r="BJ55" s="891"/>
      <c r="BK55" s="891"/>
      <c r="BL55" s="891"/>
      <c r="BM55" s="891"/>
      <c r="BN55" s="891"/>
      <c r="BO55" s="891"/>
      <c r="BP55" s="896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428"/>
      <c r="CE55" s="428"/>
      <c r="CF55" s="428"/>
      <c r="CG55" s="428"/>
      <c r="CH55" s="428"/>
    </row>
    <row r="56" spans="1:86" ht="15">
      <c r="A56" s="882">
        <v>6476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</v>
      </c>
      <c r="G56" s="879" t="s">
        <v>1086</v>
      </c>
      <c r="H56" s="879" t="s">
        <v>22</v>
      </c>
      <c r="I56" s="879" t="s">
        <v>891</v>
      </c>
      <c r="J56" s="846">
        <v>0</v>
      </c>
      <c r="K56" s="846">
        <v>0</v>
      </c>
      <c r="L56" s="816" t="str">
        <f t="shared" si="28"/>
        <v>D</v>
      </c>
      <c r="M56" s="816">
        <f t="shared" si="29"/>
        <v>0</v>
      </c>
      <c r="N56" s="816" t="str">
        <f t="shared" si="30"/>
        <v>U</v>
      </c>
      <c r="O56" s="816">
        <f t="shared" si="19"/>
        <v>0.25</v>
      </c>
      <c r="P56" s="829">
        <f t="shared" si="21"/>
        <v>0.5</v>
      </c>
      <c r="Q56" s="830">
        <v>-0.19</v>
      </c>
      <c r="R56" s="871">
        <f t="shared" si="22"/>
        <v>0.19</v>
      </c>
      <c r="S56" s="830">
        <v>2.4500000000000002</v>
      </c>
      <c r="T56" s="871">
        <f t="shared" si="23"/>
        <v>-2.4500000000000002</v>
      </c>
      <c r="U56" s="868">
        <f t="shared" si="24"/>
        <v>1.1300000000000001</v>
      </c>
      <c r="V56" s="868">
        <f t="shared" si="25"/>
        <v>1.32</v>
      </c>
      <c r="W56" s="829">
        <v>25</v>
      </c>
      <c r="X56" s="829">
        <v>4</v>
      </c>
      <c r="Y56" s="829">
        <v>3</v>
      </c>
      <c r="Z56" s="829">
        <v>1</v>
      </c>
      <c r="AA56" s="829">
        <v>47</v>
      </c>
      <c r="AB56" s="829">
        <v>53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1877</v>
      </c>
      <c r="AH56" s="891" t="s">
        <v>34</v>
      </c>
      <c r="AI56" s="891" t="s">
        <v>32</v>
      </c>
      <c r="AJ56" s="891" t="s">
        <v>32</v>
      </c>
      <c r="AK56" s="891" t="s">
        <v>3085</v>
      </c>
      <c r="AL56" s="891" t="s">
        <v>32</v>
      </c>
      <c r="AM56" s="891" t="s">
        <v>34</v>
      </c>
      <c r="AN56" s="891" t="s">
        <v>34</v>
      </c>
      <c r="AO56" s="891" t="s">
        <v>34</v>
      </c>
      <c r="AP56" s="891" t="s">
        <v>32</v>
      </c>
      <c r="AQ56" s="891" t="s">
        <v>32</v>
      </c>
      <c r="AR56" s="891" t="s">
        <v>32</v>
      </c>
      <c r="AS56" s="891" t="s">
        <v>1877</v>
      </c>
      <c r="AT56" s="891" t="s">
        <v>34</v>
      </c>
      <c r="AU56" s="891" t="s">
        <v>34</v>
      </c>
      <c r="AV56" s="891" t="s">
        <v>1877</v>
      </c>
      <c r="AW56" s="891" t="s">
        <v>32</v>
      </c>
      <c r="AX56" s="891" t="s">
        <v>34</v>
      </c>
      <c r="AY56" s="891" t="s">
        <v>35</v>
      </c>
      <c r="AZ56" s="891" t="s">
        <v>32</v>
      </c>
      <c r="BA56" s="891" t="s">
        <v>32</v>
      </c>
      <c r="BB56" s="891" t="s">
        <v>36</v>
      </c>
      <c r="BC56" s="891" t="s">
        <v>1877</v>
      </c>
      <c r="BD56" s="891" t="s">
        <v>34</v>
      </c>
      <c r="BE56" s="891" t="s">
        <v>34</v>
      </c>
      <c r="BF56" s="891" t="s">
        <v>35</v>
      </c>
      <c r="BG56" s="891" t="s">
        <v>32</v>
      </c>
      <c r="BH56" s="891" t="s">
        <v>36</v>
      </c>
      <c r="BI56" s="891" t="s">
        <v>1877</v>
      </c>
      <c r="BJ56" s="891"/>
      <c r="BK56" s="891"/>
      <c r="BL56" s="891"/>
      <c r="BM56" s="891"/>
      <c r="BN56" s="891"/>
      <c r="BO56" s="891"/>
      <c r="BP56" s="896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428"/>
      <c r="CE56" s="428"/>
      <c r="CF56" s="428"/>
      <c r="CG56" s="428"/>
      <c r="CH56" s="428"/>
    </row>
    <row r="57" spans="1:86" ht="15">
      <c r="A57" s="882">
        <v>6483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6</v>
      </c>
      <c r="G57" s="879" t="s">
        <v>876</v>
      </c>
      <c r="H57" s="879" t="s">
        <v>22</v>
      </c>
      <c r="I57" s="879" t="s">
        <v>891</v>
      </c>
      <c r="J57" s="846">
        <v>2</v>
      </c>
      <c r="K57" s="846">
        <v>0</v>
      </c>
      <c r="L57" s="816" t="str">
        <f t="shared" si="28"/>
        <v>W</v>
      </c>
      <c r="M57" s="816">
        <f t="shared" si="29"/>
        <v>2</v>
      </c>
      <c r="N57" s="816" t="str">
        <f t="shared" si="30"/>
        <v>U</v>
      </c>
      <c r="O57" s="816">
        <f t="shared" ref="O57:O65" si="44">IF(Q57="","",IF(SIGN(Q57)&lt;&gt;1,VLOOKUP(ABS(Q57),SUP_HDC,3,TRUE),-VLOOKUP(ABS(Q57),SUP_HDC,3,TRUE)))</f>
        <v>0</v>
      </c>
      <c r="P57" s="829">
        <f t="shared" ref="P57:P65" si="45">IF(O57="","",IF((J57-K57+O57)&gt;=0.5,1,IF((J57-K57+O57)=0.25,0.5,IF((J57-K57+O57)&lt;=-0.5,-1,IF((J57-K57+O57)=-0.25,-0.5,0)))))</f>
        <v>1</v>
      </c>
      <c r="Q57" s="830">
        <v>-0.05</v>
      </c>
      <c r="R57" s="871">
        <f t="shared" si="22"/>
        <v>2.0499999999999998</v>
      </c>
      <c r="S57" s="830">
        <v>2.73</v>
      </c>
      <c r="T57" s="871">
        <f t="shared" si="23"/>
        <v>-0.73</v>
      </c>
      <c r="U57" s="868">
        <f t="shared" ref="U57:U67" si="46">IF(Q57="","",(Q57+S57)/2)</f>
        <v>1.34</v>
      </c>
      <c r="V57" s="868">
        <f t="shared" ref="V57:V67" si="47">IF(Q57="","",S57-U57)</f>
        <v>1.39</v>
      </c>
      <c r="W57" s="829">
        <v>11</v>
      </c>
      <c r="X57" s="829">
        <v>18</v>
      </c>
      <c r="Y57" s="829">
        <v>3</v>
      </c>
      <c r="Z57" s="829">
        <v>2</v>
      </c>
      <c r="AA57" s="829">
        <v>42</v>
      </c>
      <c r="AB57" s="829">
        <v>58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1877</v>
      </c>
      <c r="AH57" s="891" t="s">
        <v>34</v>
      </c>
      <c r="AI57" s="891" t="s">
        <v>32</v>
      </c>
      <c r="AJ57" s="891" t="s">
        <v>32</v>
      </c>
      <c r="AK57" s="891" t="s">
        <v>3085</v>
      </c>
      <c r="AL57" s="891" t="s">
        <v>32</v>
      </c>
      <c r="AM57" s="891" t="s">
        <v>34</v>
      </c>
      <c r="AN57" s="904" t="s">
        <v>34</v>
      </c>
      <c r="AO57" s="891" t="s">
        <v>34</v>
      </c>
      <c r="AP57" s="891" t="s">
        <v>32</v>
      </c>
      <c r="AQ57" s="891" t="s">
        <v>1877</v>
      </c>
      <c r="AR57" s="891" t="s">
        <v>32</v>
      </c>
      <c r="AS57" s="891" t="s">
        <v>1877</v>
      </c>
      <c r="AT57" s="904" t="s">
        <v>34</v>
      </c>
      <c r="AU57" s="891" t="s">
        <v>34</v>
      </c>
      <c r="AV57" s="891" t="s">
        <v>1877</v>
      </c>
      <c r="AW57" s="891" t="s">
        <v>32</v>
      </c>
      <c r="AX57" s="891" t="s">
        <v>35</v>
      </c>
      <c r="AY57" s="891" t="s">
        <v>3356</v>
      </c>
      <c r="AZ57" s="891" t="s">
        <v>32</v>
      </c>
      <c r="BA57" s="891" t="s">
        <v>32</v>
      </c>
      <c r="BB57" s="891" t="s">
        <v>36</v>
      </c>
      <c r="BC57" s="891" t="s">
        <v>32</v>
      </c>
      <c r="BD57" s="891" t="s">
        <v>35</v>
      </c>
      <c r="BE57" s="891" t="s">
        <v>34</v>
      </c>
      <c r="BF57" s="891" t="s">
        <v>35</v>
      </c>
      <c r="BG57" s="891" t="s">
        <v>32</v>
      </c>
      <c r="BH57" s="891" t="s">
        <v>36</v>
      </c>
      <c r="BI57" s="891" t="s">
        <v>3359</v>
      </c>
      <c r="BJ57" s="891"/>
      <c r="BK57" s="891"/>
      <c r="BL57" s="891"/>
      <c r="BM57" s="891"/>
      <c r="BN57" s="891"/>
      <c r="BO57" s="891"/>
      <c r="BP57" s="896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428"/>
      <c r="CE57" s="428"/>
      <c r="CF57" s="428"/>
      <c r="CG57" s="428"/>
      <c r="CH57" s="428"/>
    </row>
    <row r="58" spans="1:86" ht="15">
      <c r="A58" s="882">
        <v>6490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19</v>
      </c>
      <c r="G58" s="879" t="s">
        <v>885</v>
      </c>
      <c r="H58" s="879" t="s">
        <v>18</v>
      </c>
      <c r="I58" s="879" t="s">
        <v>891</v>
      </c>
      <c r="J58" s="846">
        <v>4</v>
      </c>
      <c r="K58" s="846">
        <v>0</v>
      </c>
      <c r="L58" s="816" t="str">
        <f t="shared" si="28"/>
        <v>W</v>
      </c>
      <c r="M58" s="816">
        <f t="shared" si="29"/>
        <v>4</v>
      </c>
      <c r="N58" s="816" t="str">
        <f t="shared" si="30"/>
        <v>O</v>
      </c>
      <c r="O58" s="816">
        <f t="shared" si="44"/>
        <v>-0.25</v>
      </c>
      <c r="P58" s="829">
        <f t="shared" si="45"/>
        <v>1</v>
      </c>
      <c r="Q58" s="830">
        <v>0.32</v>
      </c>
      <c r="R58" s="871">
        <f t="shared" si="22"/>
        <v>3.68</v>
      </c>
      <c r="S58" s="830">
        <v>2.44</v>
      </c>
      <c r="T58" s="871">
        <f t="shared" si="23"/>
        <v>1.56</v>
      </c>
      <c r="U58" s="868">
        <f t="shared" si="46"/>
        <v>1.38</v>
      </c>
      <c r="V58" s="868">
        <f t="shared" si="47"/>
        <v>1.06</v>
      </c>
      <c r="W58" s="829">
        <v>18</v>
      </c>
      <c r="X58" s="829">
        <v>9</v>
      </c>
      <c r="Y58" s="829">
        <v>6</v>
      </c>
      <c r="Z58" s="829">
        <v>3</v>
      </c>
      <c r="AA58" s="829">
        <v>37</v>
      </c>
      <c r="AB58" s="829">
        <v>63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1877</v>
      </c>
      <c r="AH58" s="891" t="s">
        <v>34</v>
      </c>
      <c r="AI58" s="891" t="s">
        <v>32</v>
      </c>
      <c r="AJ58" s="891" t="s">
        <v>32</v>
      </c>
      <c r="AK58" s="891" t="s">
        <v>2331</v>
      </c>
      <c r="AL58" s="891" t="s">
        <v>32</v>
      </c>
      <c r="AM58" s="891" t="s">
        <v>3398</v>
      </c>
      <c r="AN58" s="904" t="s">
        <v>34</v>
      </c>
      <c r="AO58" s="891" t="s">
        <v>34</v>
      </c>
      <c r="AP58" s="891" t="s">
        <v>32</v>
      </c>
      <c r="AQ58" s="891" t="s">
        <v>1877</v>
      </c>
      <c r="AR58" s="891" t="s">
        <v>32</v>
      </c>
      <c r="AS58" s="891" t="s">
        <v>1877</v>
      </c>
      <c r="AT58" s="891" t="s">
        <v>34</v>
      </c>
      <c r="AU58" s="891" t="s">
        <v>34</v>
      </c>
      <c r="AV58" s="891" t="s">
        <v>1877</v>
      </c>
      <c r="AW58" s="891" t="s">
        <v>32</v>
      </c>
      <c r="AX58" s="891" t="s">
        <v>34</v>
      </c>
      <c r="AY58" s="904" t="s">
        <v>35</v>
      </c>
      <c r="AZ58" s="904" t="s">
        <v>35</v>
      </c>
      <c r="BA58" s="891" t="s">
        <v>36</v>
      </c>
      <c r="BB58" s="904" t="s">
        <v>3397</v>
      </c>
      <c r="BC58" s="891" t="s">
        <v>32</v>
      </c>
      <c r="BD58" s="891" t="s">
        <v>3395</v>
      </c>
      <c r="BE58" s="891" t="s">
        <v>32</v>
      </c>
      <c r="BF58" s="891" t="s">
        <v>3399</v>
      </c>
      <c r="BG58" s="891" t="s">
        <v>32</v>
      </c>
      <c r="BH58" s="891" t="s">
        <v>36</v>
      </c>
      <c r="BI58" s="891" t="s">
        <v>36</v>
      </c>
      <c r="BJ58" s="891"/>
      <c r="BK58" s="891"/>
      <c r="BL58" s="891"/>
      <c r="BM58" s="891"/>
      <c r="BN58" s="891"/>
      <c r="BO58" s="891"/>
      <c r="BP58" s="896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428"/>
    </row>
    <row r="59" spans="1:86" ht="15">
      <c r="A59" s="882">
        <v>6497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21</v>
      </c>
      <c r="G59" s="879" t="s">
        <v>890</v>
      </c>
      <c r="H59" s="879" t="s">
        <v>22</v>
      </c>
      <c r="I59" s="879" t="s">
        <v>891</v>
      </c>
      <c r="J59" s="846">
        <v>2</v>
      </c>
      <c r="K59" s="846">
        <v>1</v>
      </c>
      <c r="L59" s="816" t="str">
        <f t="shared" si="28"/>
        <v>W</v>
      </c>
      <c r="M59" s="816">
        <f t="shared" si="29"/>
        <v>3</v>
      </c>
      <c r="N59" s="816" t="str">
        <f t="shared" si="30"/>
        <v>O</v>
      </c>
      <c r="O59" s="816">
        <f t="shared" si="44"/>
        <v>-0.5</v>
      </c>
      <c r="P59" s="829">
        <f t="shared" si="45"/>
        <v>1</v>
      </c>
      <c r="Q59" s="830">
        <v>0.53</v>
      </c>
      <c r="R59" s="871">
        <f t="shared" si="22"/>
        <v>0.47</v>
      </c>
      <c r="S59" s="830">
        <v>2.42</v>
      </c>
      <c r="T59" s="871">
        <f t="shared" si="23"/>
        <v>0.58000000000000007</v>
      </c>
      <c r="U59" s="868">
        <f t="shared" si="46"/>
        <v>1.4750000000000001</v>
      </c>
      <c r="V59" s="868">
        <f t="shared" si="47"/>
        <v>0.94499999999999984</v>
      </c>
      <c r="W59" s="829">
        <v>26</v>
      </c>
      <c r="X59" s="829">
        <v>9</v>
      </c>
      <c r="Y59" s="829">
        <v>3</v>
      </c>
      <c r="Z59" s="829">
        <v>2</v>
      </c>
      <c r="AA59" s="829">
        <v>50</v>
      </c>
      <c r="AB59" s="829">
        <v>50</v>
      </c>
      <c r="AC59" s="829"/>
      <c r="AD59" s="816" t="str">
        <f t="array" ref="AD59">IF($J59="","",IF(SUM(IF(ISNUMBER(VALUE(RIGHT($AG59:$DW59,1))),VALUE(RIGHT($AG59:$DW59,1)),0))=$J59,"T","F"))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IF($J59="","",SUM(IF(LEFT($AG59:$DW59,1)="X",1,0)))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32</v>
      </c>
      <c r="AK59" s="891" t="s">
        <v>1877</v>
      </c>
      <c r="AL59" s="891" t="s">
        <v>32</v>
      </c>
      <c r="AM59" s="891" t="s">
        <v>3439</v>
      </c>
      <c r="AN59" s="891" t="s">
        <v>3435</v>
      </c>
      <c r="AO59" s="891" t="s">
        <v>34</v>
      </c>
      <c r="AP59" s="891" t="s">
        <v>32</v>
      </c>
      <c r="AQ59" s="891" t="s">
        <v>34</v>
      </c>
      <c r="AR59" s="891" t="s">
        <v>32</v>
      </c>
      <c r="AS59" s="891" t="s">
        <v>1877</v>
      </c>
      <c r="AT59" s="891" t="s">
        <v>3429</v>
      </c>
      <c r="AU59" s="891" t="s">
        <v>34</v>
      </c>
      <c r="AV59" s="891" t="s">
        <v>1877</v>
      </c>
      <c r="AW59" s="891" t="s">
        <v>32</v>
      </c>
      <c r="AX59" s="891" t="s">
        <v>34</v>
      </c>
      <c r="AY59" s="891" t="s">
        <v>3435</v>
      </c>
      <c r="AZ59" s="891" t="s">
        <v>34</v>
      </c>
      <c r="BA59" s="891" t="s">
        <v>36</v>
      </c>
      <c r="BB59" s="891" t="s">
        <v>34</v>
      </c>
      <c r="BC59" s="891" t="s">
        <v>36</v>
      </c>
      <c r="BD59" s="891" t="s">
        <v>3438</v>
      </c>
      <c r="BE59" s="891" t="s">
        <v>32</v>
      </c>
      <c r="BF59" s="891" t="s">
        <v>35</v>
      </c>
      <c r="BG59" s="891" t="s">
        <v>32</v>
      </c>
      <c r="BH59" s="891" t="s">
        <v>36</v>
      </c>
      <c r="BI59" s="891" t="s">
        <v>35</v>
      </c>
      <c r="BJ59" s="891"/>
      <c r="BK59" s="891"/>
      <c r="BL59" s="891"/>
      <c r="BM59" s="891"/>
      <c r="BN59" s="891"/>
      <c r="BO59" s="891"/>
      <c r="BP59" s="896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428"/>
    </row>
    <row r="60" spans="1:86" ht="15">
      <c r="A60" s="882">
        <v>6504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17</v>
      </c>
      <c r="G60" s="879" t="s">
        <v>875</v>
      </c>
      <c r="H60" s="879" t="s">
        <v>18</v>
      </c>
      <c r="I60" s="879" t="s">
        <v>891</v>
      </c>
      <c r="J60" s="846">
        <v>0</v>
      </c>
      <c r="K60" s="846">
        <v>0</v>
      </c>
      <c r="L60" s="816" t="str">
        <f t="shared" si="28"/>
        <v>D</v>
      </c>
      <c r="M60" s="816">
        <f t="shared" si="29"/>
        <v>0</v>
      </c>
      <c r="N60" s="816" t="str">
        <f t="shared" si="30"/>
        <v>U</v>
      </c>
      <c r="O60" s="816">
        <f t="shared" si="44"/>
        <v>0</v>
      </c>
      <c r="P60" s="829">
        <f t="shared" si="45"/>
        <v>0</v>
      </c>
      <c r="Q60" s="830">
        <v>0.1</v>
      </c>
      <c r="R60" s="871">
        <f t="shared" si="22"/>
        <v>-0.1</v>
      </c>
      <c r="S60" s="830">
        <v>2.7</v>
      </c>
      <c r="T60" s="871">
        <f t="shared" si="23"/>
        <v>-2.7</v>
      </c>
      <c r="U60" s="868">
        <f t="shared" si="46"/>
        <v>1.4000000000000001</v>
      </c>
      <c r="V60" s="868">
        <f t="shared" si="47"/>
        <v>1.3</v>
      </c>
      <c r="W60" s="829">
        <v>10</v>
      </c>
      <c r="X60" s="829">
        <v>9</v>
      </c>
      <c r="Y60" s="829">
        <v>3</v>
      </c>
      <c r="Z60" s="829">
        <v>2</v>
      </c>
      <c r="AA60" s="829">
        <v>55</v>
      </c>
      <c r="AB60" s="829">
        <v>45</v>
      </c>
      <c r="AC60" s="829"/>
      <c r="AD60" s="816" t="str">
        <f t="array" ref="AD60">IF($J60="","",IF(SUM(IF(ISNUMBER(VALUE(RIGHT($AG60:$DW60,1))),VALUE(RIGHT($AG60:$DW60,1)),0))=$J60,"T","F"))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IF($J60="","",SUM(IF(LEFT($AG60:$DW60,1)="X",1,0)))</f>
        <v>11</v>
      </c>
      <c r="AG60" s="891" t="s">
        <v>1877</v>
      </c>
      <c r="AH60" s="891" t="s">
        <v>34</v>
      </c>
      <c r="AI60" s="891" t="s">
        <v>32</v>
      </c>
      <c r="AJ60" s="891" t="s">
        <v>32</v>
      </c>
      <c r="AK60" s="891" t="s">
        <v>32</v>
      </c>
      <c r="AL60" s="891" t="s">
        <v>32</v>
      </c>
      <c r="AM60" s="891" t="s">
        <v>32</v>
      </c>
      <c r="AN60" s="891" t="s">
        <v>34</v>
      </c>
      <c r="AO60" s="904" t="s">
        <v>34</v>
      </c>
      <c r="AP60" s="891" t="s">
        <v>32</v>
      </c>
      <c r="AQ60" s="891" t="s">
        <v>1877</v>
      </c>
      <c r="AR60" s="891" t="s">
        <v>32</v>
      </c>
      <c r="AS60" s="891" t="s">
        <v>32</v>
      </c>
      <c r="AT60" s="891" t="s">
        <v>34</v>
      </c>
      <c r="AU60" s="891" t="s">
        <v>34</v>
      </c>
      <c r="AV60" s="891" t="s">
        <v>1877</v>
      </c>
      <c r="AW60" s="891" t="s">
        <v>32</v>
      </c>
      <c r="AX60" s="891" t="s">
        <v>34</v>
      </c>
      <c r="AY60" s="891" t="s">
        <v>35</v>
      </c>
      <c r="AZ60" s="904" t="s">
        <v>34</v>
      </c>
      <c r="BA60" s="891" t="s">
        <v>1877</v>
      </c>
      <c r="BB60" s="891" t="s">
        <v>34</v>
      </c>
      <c r="BC60" s="891" t="s">
        <v>36</v>
      </c>
      <c r="BD60" s="891" t="s">
        <v>3392</v>
      </c>
      <c r="BE60" s="891" t="s">
        <v>35</v>
      </c>
      <c r="BF60" s="891" t="s">
        <v>35</v>
      </c>
      <c r="BG60" s="891" t="s">
        <v>32</v>
      </c>
      <c r="BH60" s="891" t="s">
        <v>36</v>
      </c>
      <c r="BI60" s="891" t="s">
        <v>36</v>
      </c>
      <c r="BJ60" s="891"/>
      <c r="BK60" s="891"/>
      <c r="BL60" s="891"/>
      <c r="BM60" s="891"/>
      <c r="BN60" s="891"/>
      <c r="BO60" s="891"/>
      <c r="BP60" s="896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428"/>
    </row>
    <row r="61" spans="1:86" ht="15">
      <c r="A61" s="882">
        <v>6512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10</v>
      </c>
      <c r="G61" s="879" t="s">
        <v>883</v>
      </c>
      <c r="H61" s="879" t="s">
        <v>22</v>
      </c>
      <c r="I61" s="879" t="s">
        <v>891</v>
      </c>
      <c r="J61" s="908">
        <v>2</v>
      </c>
      <c r="K61" s="846">
        <v>2</v>
      </c>
      <c r="L61" s="816" t="str">
        <f t="shared" si="28"/>
        <v>D</v>
      </c>
      <c r="M61" s="816">
        <f t="shared" si="29"/>
        <v>4</v>
      </c>
      <c r="N61" s="816" t="str">
        <f t="shared" si="30"/>
        <v>O</v>
      </c>
      <c r="O61" s="816">
        <f t="shared" si="44"/>
        <v>0</v>
      </c>
      <c r="P61" s="829">
        <f t="shared" si="45"/>
        <v>0</v>
      </c>
      <c r="Q61" s="830">
        <v>-0.08</v>
      </c>
      <c r="R61" s="871">
        <f t="shared" si="22"/>
        <v>0.08</v>
      </c>
      <c r="S61" s="830">
        <v>2.65</v>
      </c>
      <c r="T61" s="871">
        <f t="shared" si="23"/>
        <v>1.35</v>
      </c>
      <c r="U61" s="868">
        <f t="shared" si="46"/>
        <v>1.2849999999999999</v>
      </c>
      <c r="V61" s="868">
        <f t="shared" si="47"/>
        <v>1.365</v>
      </c>
      <c r="W61" s="829">
        <v>7</v>
      </c>
      <c r="X61" s="829">
        <v>18</v>
      </c>
      <c r="Y61" s="829">
        <v>1</v>
      </c>
      <c r="Z61" s="829">
        <v>8</v>
      </c>
      <c r="AA61" s="829">
        <v>35</v>
      </c>
      <c r="AB61" s="829">
        <v>65</v>
      </c>
      <c r="AC61" s="829"/>
      <c r="AD61" s="816" t="str">
        <f t="array" ref="AD61">IF($J61="","",IF(SUM(IF(ISNUMBER(VALUE(RIGHT($AG61:$DW61,1))),VALUE(RIGHT($AG61:$DW61,1)),0))=$J61,"T","F"))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IF($J61="","",SUM(IF(LEFT($AG61:$DW61,1)="X",1,0)))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32</v>
      </c>
      <c r="AK61" s="891" t="s">
        <v>32</v>
      </c>
      <c r="AL61" s="891" t="s">
        <v>1877</v>
      </c>
      <c r="AM61" s="891" t="s">
        <v>3490</v>
      </c>
      <c r="AN61" s="904" t="s">
        <v>34</v>
      </c>
      <c r="AO61" s="891" t="s">
        <v>34</v>
      </c>
      <c r="AP61" s="891" t="s">
        <v>32</v>
      </c>
      <c r="AQ61" s="891" t="s">
        <v>36</v>
      </c>
      <c r="AR61" s="891" t="s">
        <v>32</v>
      </c>
      <c r="AS61" s="891" t="s">
        <v>35</v>
      </c>
      <c r="AT61" s="891" t="s">
        <v>34</v>
      </c>
      <c r="AU61" s="891" t="s">
        <v>34</v>
      </c>
      <c r="AV61" s="891" t="s">
        <v>32</v>
      </c>
      <c r="AW61" s="891" t="s">
        <v>32</v>
      </c>
      <c r="AX61" s="909" t="s">
        <v>34</v>
      </c>
      <c r="AY61" s="891" t="s">
        <v>3484</v>
      </c>
      <c r="AZ61" s="891" t="s">
        <v>3485</v>
      </c>
      <c r="BA61" s="891" t="s">
        <v>36</v>
      </c>
      <c r="BB61" s="891" t="s">
        <v>35</v>
      </c>
      <c r="BC61" s="891" t="s">
        <v>1877</v>
      </c>
      <c r="BD61" s="891" t="s">
        <v>3490</v>
      </c>
      <c r="BE61" s="891" t="s">
        <v>34</v>
      </c>
      <c r="BF61" s="891" t="s">
        <v>35</v>
      </c>
      <c r="BG61" s="891" t="s">
        <v>32</v>
      </c>
      <c r="BH61" s="891" t="s">
        <v>1877</v>
      </c>
      <c r="BI61" s="891" t="s">
        <v>36</v>
      </c>
      <c r="BJ61" s="891">
        <v>1</v>
      </c>
      <c r="BK61" s="891"/>
      <c r="BL61" s="891"/>
      <c r="BM61" s="891"/>
      <c r="BN61" s="891"/>
      <c r="BO61" s="891"/>
      <c r="BP61" s="896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428"/>
    </row>
    <row r="62" spans="1:86" ht="15">
      <c r="A62" s="882">
        <v>6519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22</v>
      </c>
      <c r="G62" s="879" t="s">
        <v>1087</v>
      </c>
      <c r="H62" s="879" t="s">
        <v>18</v>
      </c>
      <c r="I62" s="879" t="s">
        <v>891</v>
      </c>
      <c r="J62" s="846">
        <v>1</v>
      </c>
      <c r="K62" s="846">
        <v>1</v>
      </c>
      <c r="L62" s="816" t="str">
        <f t="shared" si="28"/>
        <v>D</v>
      </c>
      <c r="M62" s="816">
        <f t="shared" si="29"/>
        <v>2</v>
      </c>
      <c r="N62" s="816" t="str">
        <f t="shared" si="30"/>
        <v>U</v>
      </c>
      <c r="O62" s="816">
        <f t="shared" si="44"/>
        <v>-0.5</v>
      </c>
      <c r="P62" s="829">
        <f t="shared" si="45"/>
        <v>-1</v>
      </c>
      <c r="Q62" s="830">
        <v>0.6</v>
      </c>
      <c r="R62" s="871">
        <f t="shared" si="22"/>
        <v>-0.6</v>
      </c>
      <c r="S62" s="830">
        <v>2.7</v>
      </c>
      <c r="T62" s="871">
        <f t="shared" si="23"/>
        <v>-0.70000000000000018</v>
      </c>
      <c r="U62" s="868">
        <f t="shared" si="46"/>
        <v>1.6500000000000001</v>
      </c>
      <c r="V62" s="868">
        <f t="shared" si="47"/>
        <v>1.05</v>
      </c>
      <c r="W62" s="829">
        <v>14</v>
      </c>
      <c r="X62" s="829">
        <v>11</v>
      </c>
      <c r="Y62" s="829">
        <v>3</v>
      </c>
      <c r="Z62" s="829">
        <v>1</v>
      </c>
      <c r="AA62" s="829">
        <v>50</v>
      </c>
      <c r="AB62" s="829">
        <v>50</v>
      </c>
      <c r="AC62" s="829"/>
      <c r="AD62" s="816" t="str">
        <f t="array" ref="AD62">IF($J62="","",IF(SUM(IF(ISNUMBER(VALUE(RIGHT($AG62:$DW62,1))),VALUE(RIGHT($AG62:$DW62,1)),0))=$J62,"T","F"))</f>
        <v>T</v>
      </c>
      <c r="AE62" s="831">
        <f t="array" ref="AE62">IF($J62="","",SUM(IF(LEFT($AG62:$DW62,1)="s",1,0))-SUM(IF(RIGHT(LEFT($AG62:$DW62,2))="-",1,0)))</f>
        <v>0</v>
      </c>
      <c r="AF62" s="816">
        <f t="array" ref="AF62">IF($J62="","",SUM(IF(LEFT($AG62:$DW62,1)="X",1,0)))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32</v>
      </c>
      <c r="AK62" s="891" t="s">
        <v>32</v>
      </c>
      <c r="AL62" s="891" t="s">
        <v>1877</v>
      </c>
      <c r="AM62" s="891" t="s">
        <v>32</v>
      </c>
      <c r="AN62" s="891" t="s">
        <v>34</v>
      </c>
      <c r="AO62" s="891" t="s">
        <v>34</v>
      </c>
      <c r="AP62" s="891" t="s">
        <v>32</v>
      </c>
      <c r="AQ62" s="891" t="s">
        <v>1877</v>
      </c>
      <c r="AR62" s="891" t="s">
        <v>32</v>
      </c>
      <c r="AS62" s="891" t="s">
        <v>35</v>
      </c>
      <c r="AT62" s="891" t="s">
        <v>34</v>
      </c>
      <c r="AU62" s="904" t="s">
        <v>34</v>
      </c>
      <c r="AV62" s="891" t="s">
        <v>32</v>
      </c>
      <c r="AW62" s="891" t="s">
        <v>32</v>
      </c>
      <c r="AX62" s="891" t="s">
        <v>3518</v>
      </c>
      <c r="AY62" s="891" t="s">
        <v>34</v>
      </c>
      <c r="AZ62" s="891" t="s">
        <v>35</v>
      </c>
      <c r="BA62" s="891" t="s">
        <v>36</v>
      </c>
      <c r="BB62" s="891" t="s">
        <v>34</v>
      </c>
      <c r="BC62" s="891" t="s">
        <v>32</v>
      </c>
      <c r="BD62" s="891" t="s">
        <v>32</v>
      </c>
      <c r="BE62" s="891" t="s">
        <v>34</v>
      </c>
      <c r="BF62" s="891" t="s">
        <v>35</v>
      </c>
      <c r="BG62" s="891" t="s">
        <v>36</v>
      </c>
      <c r="BH62" s="891" t="s">
        <v>3531</v>
      </c>
      <c r="BI62" s="891" t="s">
        <v>1877</v>
      </c>
      <c r="BJ62" s="891"/>
      <c r="BK62" s="891"/>
      <c r="BL62" s="891"/>
      <c r="BM62" s="891"/>
      <c r="BN62" s="891"/>
      <c r="BO62" s="891"/>
      <c r="BP62" s="896"/>
      <c r="BQ62" s="896"/>
      <c r="BR62" s="897"/>
      <c r="BS62" s="897"/>
      <c r="BT62" s="897"/>
      <c r="BU62" s="897"/>
      <c r="BV62" s="897"/>
      <c r="BW62" s="896"/>
      <c r="BX62" s="896"/>
      <c r="BY62" s="896"/>
      <c r="BZ62" s="896"/>
      <c r="CA62" s="896"/>
      <c r="CB62" s="896"/>
      <c r="CC62" s="896"/>
      <c r="CD62" s="428"/>
    </row>
    <row r="63" spans="1:86" ht="15">
      <c r="A63" s="921">
        <v>6522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15</v>
      </c>
      <c r="G63" s="879" t="s">
        <v>881</v>
      </c>
      <c r="H63" s="879" t="s">
        <v>18</v>
      </c>
      <c r="I63" s="879" t="s">
        <v>891</v>
      </c>
      <c r="J63" s="846">
        <v>2</v>
      </c>
      <c r="K63" s="846">
        <v>0</v>
      </c>
      <c r="L63" s="816" t="str">
        <f>IF(J63="","",IF(J63&gt;K63,"W",IF(J63=K63,"D",IF(J63&lt;K63,"L"))))</f>
        <v>W</v>
      </c>
      <c r="M63" s="816">
        <f>IF(J63="","",J63+K63)</f>
        <v>2</v>
      </c>
      <c r="N63" s="816" t="str">
        <f>IF($J63="","",IF($M63&gt;N$19,"O",IF($M63&lt;N$19,"U",IF($M63=N$19,"-"))))</f>
        <v>U</v>
      </c>
      <c r="O63" s="816">
        <f>IF(Q63="","",IF(SIGN(Q63)&lt;&gt;1,VLOOKUP(ABS(Q63),SUP_HDC,3,TRUE),-VLOOKUP(ABS(Q63),SUP_HDC,3,TRUE)))</f>
        <v>0</v>
      </c>
      <c r="P63" s="829">
        <f>IF(O63="","",IF((J63-K63+O63)&gt;=0.5,1,IF((J63-K63+O63)=0.25,0.5,IF((J63-K63+O63)&lt;=-0.5,-1,IF((J63-K63+O63)=-0.25,-0.5,0)))))</f>
        <v>1</v>
      </c>
      <c r="Q63" s="830">
        <v>-0.05</v>
      </c>
      <c r="R63" s="871">
        <f>IF(ISBLANK(Q63),"",J63-K63-Q63)</f>
        <v>2.0499999999999998</v>
      </c>
      <c r="S63" s="830">
        <v>2.6</v>
      </c>
      <c r="T63" s="871">
        <f>IF(ISBLANK(S63),"",J63+K63-S63)</f>
        <v>-0.60000000000000009</v>
      </c>
      <c r="U63" s="868">
        <f>IF(Q63="","",(Q63+S63)/2)</f>
        <v>1.2750000000000001</v>
      </c>
      <c r="V63" s="868">
        <f>IF(Q63="","",S63-U63)</f>
        <v>1.325</v>
      </c>
      <c r="W63" s="829">
        <v>9</v>
      </c>
      <c r="X63" s="829">
        <v>15</v>
      </c>
      <c r="Y63" s="829">
        <v>4</v>
      </c>
      <c r="Z63" s="829">
        <v>7</v>
      </c>
      <c r="AA63" s="829">
        <v>45</v>
      </c>
      <c r="AB63" s="829">
        <v>55</v>
      </c>
      <c r="AC63" s="829"/>
      <c r="AD63" s="816" t="str">
        <f t="array" ref="AD63">IF($J63="","",IF(SUM(IF(ISNUMBER(VALUE(RIGHT($AG63:$DW63,1))),VALUE(RIGHT($AG63:$DW63,1)),0))=$J63,"T","F"))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IF($J63="","",SUM(IF(LEFT($AG63:$DW63,1)="X",1,0)))</f>
        <v>11</v>
      </c>
      <c r="AG63" s="891" t="s">
        <v>1877</v>
      </c>
      <c r="AH63" s="891" t="s">
        <v>34</v>
      </c>
      <c r="AI63" s="891" t="s">
        <v>32</v>
      </c>
      <c r="AJ63" s="891" t="s">
        <v>32</v>
      </c>
      <c r="AK63" s="904" t="s">
        <v>34</v>
      </c>
      <c r="AL63" s="891" t="s">
        <v>34</v>
      </c>
      <c r="AM63" s="891" t="s">
        <v>32</v>
      </c>
      <c r="AN63" s="891" t="s">
        <v>32</v>
      </c>
      <c r="AO63" s="891" t="s">
        <v>32</v>
      </c>
      <c r="AP63" s="891" t="s">
        <v>32</v>
      </c>
      <c r="AQ63" s="891" t="s">
        <v>35</v>
      </c>
      <c r="AR63" s="891" t="s">
        <v>36</v>
      </c>
      <c r="AS63" s="891" t="s">
        <v>34</v>
      </c>
      <c r="AT63" s="891" t="s">
        <v>32</v>
      </c>
      <c r="AU63" s="891" t="s">
        <v>32</v>
      </c>
      <c r="AV63" s="891" t="s">
        <v>32</v>
      </c>
      <c r="AW63" s="891" t="s">
        <v>1877</v>
      </c>
      <c r="AX63" s="891" t="s">
        <v>35</v>
      </c>
      <c r="AY63" s="891" t="s">
        <v>34</v>
      </c>
      <c r="AZ63" s="891" t="s">
        <v>34</v>
      </c>
      <c r="BA63" s="891" t="s">
        <v>36</v>
      </c>
      <c r="BB63" s="891" t="s">
        <v>32</v>
      </c>
      <c r="BC63" s="891" t="s">
        <v>1877</v>
      </c>
      <c r="BD63" s="891" t="s">
        <v>32</v>
      </c>
      <c r="BE63" s="891" t="s">
        <v>34</v>
      </c>
      <c r="BF63" s="891" t="s">
        <v>32</v>
      </c>
      <c r="BG63" s="891" t="s">
        <v>3540</v>
      </c>
      <c r="BH63" s="891" t="s">
        <v>3541</v>
      </c>
      <c r="BI63" s="891" t="s">
        <v>35</v>
      </c>
      <c r="BJ63" s="891"/>
      <c r="BK63" s="891"/>
      <c r="BL63" s="891"/>
      <c r="BM63" s="891"/>
      <c r="BN63" s="891"/>
      <c r="BO63" s="891"/>
      <c r="BP63" s="896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428"/>
      <c r="CE63" s="428"/>
      <c r="CF63" s="428"/>
      <c r="CG63" s="428"/>
      <c r="CH63" s="428"/>
    </row>
    <row r="64" spans="1:86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5</v>
      </c>
      <c r="G64" s="879" t="s">
        <v>889</v>
      </c>
      <c r="H64" s="879" t="s">
        <v>22</v>
      </c>
      <c r="I64" s="879" t="s">
        <v>891</v>
      </c>
      <c r="J64" s="846">
        <v>0</v>
      </c>
      <c r="K64" s="846">
        <v>1</v>
      </c>
      <c r="L64" s="816" t="str">
        <f t="shared" si="28"/>
        <v>L</v>
      </c>
      <c r="M64" s="816">
        <f t="shared" si="29"/>
        <v>1</v>
      </c>
      <c r="N64" s="816" t="str">
        <f t="shared" si="30"/>
        <v>U</v>
      </c>
      <c r="O64" s="816">
        <f t="shared" si="44"/>
        <v>0.5</v>
      </c>
      <c r="P64" s="829">
        <f t="shared" si="45"/>
        <v>-1</v>
      </c>
      <c r="Q64" s="830">
        <v>-0.48</v>
      </c>
      <c r="R64" s="871">
        <f t="shared" si="22"/>
        <v>-0.52</v>
      </c>
      <c r="S64" s="830">
        <v>2.8</v>
      </c>
      <c r="T64" s="871">
        <f t="shared" si="23"/>
        <v>-1.7999999999999998</v>
      </c>
      <c r="U64" s="868">
        <f t="shared" si="46"/>
        <v>1.1599999999999999</v>
      </c>
      <c r="V64" s="868">
        <f t="shared" si="47"/>
        <v>1.64</v>
      </c>
      <c r="W64" s="829">
        <v>16</v>
      </c>
      <c r="X64" s="829">
        <v>13</v>
      </c>
      <c r="Y64" s="829">
        <v>3</v>
      </c>
      <c r="Z64" s="829">
        <v>6</v>
      </c>
      <c r="AA64" s="829">
        <v>56</v>
      </c>
      <c r="AB64" s="829">
        <v>44</v>
      </c>
      <c r="AC64" s="829"/>
      <c r="AD64" s="816" t="str">
        <f t="array" ref="AD64">IF($J64="","",IF(SUM(IF(ISNUMBER(VALUE(RIGHT($AG64:$DW64,1))),VALUE(RIGHT($AG64:$DW64,1)),0))=$J64,"T","F"))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IF($J64="","",SUM(IF(LEFT($AG64:$DW64,1)="X",1,0)))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32</v>
      </c>
      <c r="AK64" s="891" t="s">
        <v>32</v>
      </c>
      <c r="AL64" s="891" t="s">
        <v>1877</v>
      </c>
      <c r="AM64" s="891" t="s">
        <v>36</v>
      </c>
      <c r="AN64" s="891" t="s">
        <v>34</v>
      </c>
      <c r="AO64" s="904" t="s">
        <v>34</v>
      </c>
      <c r="AP64" s="891" t="s">
        <v>32</v>
      </c>
      <c r="AQ64" s="891" t="s">
        <v>1877</v>
      </c>
      <c r="AR64" s="891" t="s">
        <v>32</v>
      </c>
      <c r="AS64" s="891" t="s">
        <v>32</v>
      </c>
      <c r="AT64" s="891" t="s">
        <v>34</v>
      </c>
      <c r="AU64" s="891" t="s">
        <v>34</v>
      </c>
      <c r="AV64" s="891" t="s">
        <v>32</v>
      </c>
      <c r="AW64" s="891" t="s">
        <v>32</v>
      </c>
      <c r="AX64" s="904" t="s">
        <v>34</v>
      </c>
      <c r="AY64" s="891" t="s">
        <v>34</v>
      </c>
      <c r="AZ64" s="891" t="s">
        <v>32</v>
      </c>
      <c r="BA64" s="891" t="s">
        <v>36</v>
      </c>
      <c r="BB64" s="891" t="s">
        <v>35</v>
      </c>
      <c r="BC64" s="891" t="s">
        <v>32</v>
      </c>
      <c r="BD64" s="891" t="s">
        <v>32</v>
      </c>
      <c r="BE64" s="891" t="s">
        <v>34</v>
      </c>
      <c r="BF64" s="891" t="s">
        <v>1877</v>
      </c>
      <c r="BG64" s="891" t="s">
        <v>35</v>
      </c>
      <c r="BH64" s="891" t="s">
        <v>36</v>
      </c>
      <c r="BI64" s="904" t="s">
        <v>35</v>
      </c>
      <c r="BJ64" s="891"/>
      <c r="BK64" s="891"/>
      <c r="BL64" s="891"/>
      <c r="BM64" s="891"/>
      <c r="BN64" s="891"/>
      <c r="BO64" s="891"/>
      <c r="BP64" s="896"/>
      <c r="BQ64" s="896"/>
      <c r="BR64" s="897"/>
      <c r="BS64" s="897"/>
      <c r="BT64" s="897"/>
      <c r="BU64" s="897"/>
      <c r="BV64" s="897"/>
      <c r="BW64" s="896"/>
      <c r="BX64" s="896"/>
      <c r="BY64" s="896"/>
      <c r="BZ64" s="896"/>
      <c r="CA64" s="896"/>
      <c r="CB64" s="896"/>
      <c r="CC64" s="896"/>
      <c r="CD64" s="428"/>
    </row>
    <row r="65" spans="1:82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8</v>
      </c>
      <c r="G65" s="879" t="s">
        <v>880</v>
      </c>
      <c r="H65" s="879" t="s">
        <v>18</v>
      </c>
      <c r="I65" s="879" t="s">
        <v>891</v>
      </c>
      <c r="J65" s="846">
        <v>1</v>
      </c>
      <c r="K65" s="846">
        <v>0</v>
      </c>
      <c r="L65" s="816" t="str">
        <f t="shared" si="28"/>
        <v>W</v>
      </c>
      <c r="M65" s="816">
        <f t="shared" si="29"/>
        <v>1</v>
      </c>
      <c r="N65" s="816" t="str">
        <f t="shared" si="30"/>
        <v>U</v>
      </c>
      <c r="O65" s="816">
        <f t="shared" si="44"/>
        <v>0.75</v>
      </c>
      <c r="P65" s="829">
        <f t="shared" si="45"/>
        <v>1</v>
      </c>
      <c r="Q65" s="830">
        <v>-0.85</v>
      </c>
      <c r="R65" s="871">
        <f t="shared" si="22"/>
        <v>1.85</v>
      </c>
      <c r="S65" s="830">
        <v>2.75</v>
      </c>
      <c r="T65" s="871">
        <f t="shared" si="23"/>
        <v>-1.75</v>
      </c>
      <c r="U65" s="868">
        <f t="shared" si="46"/>
        <v>0.95</v>
      </c>
      <c r="V65" s="868">
        <f t="shared" si="47"/>
        <v>1.8</v>
      </c>
      <c r="W65" s="829">
        <v>14</v>
      </c>
      <c r="X65" s="829">
        <v>23</v>
      </c>
      <c r="Y65" s="829">
        <v>5</v>
      </c>
      <c r="Z65" s="829">
        <v>5</v>
      </c>
      <c r="AA65" s="829">
        <v>46</v>
      </c>
      <c r="AB65" s="829">
        <v>54</v>
      </c>
      <c r="AC65" s="829"/>
      <c r="AD65" s="816" t="str">
        <f t="array" ref="AD65">IF($J65="","",IF(SUM(IF(ISNUMBER(VALUE(RIGHT($AG65:$DW65,1))),VALUE(RIGHT($AG65:$DW65,1)),0))=$J65,"T","F"))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IF($J65="","",SUM(IF(LEFT($AG65:$DW65,1)="X",1,0)))</f>
        <v>11</v>
      </c>
      <c r="AG65" s="891" t="s">
        <v>1877</v>
      </c>
      <c r="AH65" s="904" t="s">
        <v>34</v>
      </c>
      <c r="AI65" s="891" t="s">
        <v>32</v>
      </c>
      <c r="AJ65" s="891" t="s">
        <v>32</v>
      </c>
      <c r="AK65" s="891" t="s">
        <v>32</v>
      </c>
      <c r="AL65" s="891" t="s">
        <v>36</v>
      </c>
      <c r="AM65" s="891" t="s">
        <v>36</v>
      </c>
      <c r="AN65" s="891" t="s">
        <v>3571</v>
      </c>
      <c r="AO65" s="891" t="s">
        <v>34</v>
      </c>
      <c r="AP65" s="891" t="s">
        <v>32</v>
      </c>
      <c r="AQ65" s="891" t="s">
        <v>1877</v>
      </c>
      <c r="AR65" s="891" t="s">
        <v>32</v>
      </c>
      <c r="AS65" s="891" t="s">
        <v>32</v>
      </c>
      <c r="AT65" s="891" t="s">
        <v>34</v>
      </c>
      <c r="AU65" s="891" t="s">
        <v>34</v>
      </c>
      <c r="AV65" s="891" t="s">
        <v>32</v>
      </c>
      <c r="AW65" s="891" t="s">
        <v>32</v>
      </c>
      <c r="AX65" s="891" t="s">
        <v>35</v>
      </c>
      <c r="AY65" s="891" t="s">
        <v>34</v>
      </c>
      <c r="AZ65" s="891" t="s">
        <v>35</v>
      </c>
      <c r="BA65" s="891" t="s">
        <v>36</v>
      </c>
      <c r="BB65" s="891" t="s">
        <v>34</v>
      </c>
      <c r="BC65" s="891" t="s">
        <v>32</v>
      </c>
      <c r="BD65" s="891" t="s">
        <v>32</v>
      </c>
      <c r="BE65" s="891" t="s">
        <v>34</v>
      </c>
      <c r="BF65" s="891" t="s">
        <v>32</v>
      </c>
      <c r="BG65" s="891" t="s">
        <v>35</v>
      </c>
      <c r="BH65" s="891" t="s">
        <v>1877</v>
      </c>
      <c r="BI65" s="891" t="s">
        <v>1877</v>
      </c>
      <c r="BJ65" s="891"/>
      <c r="BK65" s="891"/>
      <c r="BL65" s="891"/>
      <c r="BM65" s="891"/>
      <c r="BN65" s="891"/>
      <c r="BO65" s="891"/>
      <c r="BP65" s="896"/>
      <c r="BQ65" s="896"/>
      <c r="BR65" s="897"/>
      <c r="BS65" s="897"/>
      <c r="BT65" s="897"/>
      <c r="BU65" s="897"/>
      <c r="BV65" s="897"/>
      <c r="BW65" s="896"/>
      <c r="BX65" s="896"/>
      <c r="BY65" s="896"/>
      <c r="BZ65" s="896"/>
      <c r="CA65" s="896"/>
      <c r="CB65" s="896"/>
      <c r="CC65" s="896"/>
      <c r="CD65" s="428"/>
    </row>
    <row r="66" spans="1:82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23"/>
        <v/>
      </c>
      <c r="U66" s="868" t="str">
        <f t="shared" si="46"/>
        <v/>
      </c>
      <c r="V66" s="868" t="str">
        <f t="shared" si="47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IF($J66="","",IF(SUM(IF(ISNUMBER(VALUE(RIGHT($AG66:$CI66,1))),VALUE(RIGHT($AG66:$CI66,1)),0))=$J66,"T","F"))</f>
        <v/>
      </c>
      <c r="AE66" s="831" t="str">
        <f t="array" ref="AE66">IF($J66="","",SUM(IF(LEFT($AG66:$DU66,1)="s",1,0))-SUM(IF(RIGHT(LEFT($AG66:$DU66,2))="-",1,0)))</f>
        <v/>
      </c>
      <c r="AF66" s="816" t="str">
        <f t="array" ref="AF66">IF($J66="","",SUM(IF(LEFT($AG66:$DA66,1)="X",1,0)))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6"/>
      <c r="BQ66" s="896"/>
      <c r="BR66" s="897"/>
      <c r="BS66" s="897"/>
      <c r="BT66" s="897"/>
      <c r="BU66" s="897"/>
      <c r="BV66" s="897"/>
      <c r="BW66" s="896"/>
      <c r="BX66" s="896"/>
      <c r="BY66" s="896"/>
      <c r="BZ66" s="896"/>
      <c r="CA66" s="896"/>
      <c r="CB66" s="896"/>
      <c r="CC66" s="896"/>
      <c r="CD66" s="428"/>
    </row>
    <row r="67" spans="1:82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3"/>
        <v/>
      </c>
      <c r="U67" s="868" t="str">
        <f t="shared" si="46"/>
        <v/>
      </c>
      <c r="V67" s="868" t="str">
        <f t="shared" si="47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IF($J67="","",IF(SUM(IF(ISNUMBER(VALUE(RIGHT($AG67:$CI67,1))),VALUE(RIGHT($AG67:$CI67,1)),0))=$J67,"T","F"))</f>
        <v/>
      </c>
      <c r="AE67" s="831" t="str">
        <f t="array" ref="AE67">IF($J67="","",SUM(IF(LEFT($AG67:$DU67,1)="s",1,0))-SUM(IF(RIGHT(LEFT($AG67:$DU67,2))="-",1,0)))</f>
        <v/>
      </c>
      <c r="AF67" s="816" t="str">
        <f t="array" ref="AF67">IF($J67="","",SUM(IF(LEFT($AG67:$DA67,1)="X",1,0)))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6"/>
      <c r="BQ67" s="896"/>
      <c r="BR67" s="897"/>
      <c r="BS67" s="897"/>
      <c r="BT67" s="897"/>
      <c r="BU67" s="897"/>
      <c r="BV67" s="897"/>
      <c r="BW67" s="896"/>
      <c r="BX67" s="896"/>
      <c r="BY67" s="896"/>
      <c r="BZ67" s="896"/>
      <c r="CA67" s="896"/>
      <c r="CB67" s="896"/>
      <c r="CC67" s="896"/>
      <c r="CD67" s="428"/>
    </row>
    <row r="68" spans="1:82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ref="T68" si="48">IF(ISBLANK(S68),"",J68+K68-S68)</f>
        <v/>
      </c>
      <c r="U68" s="868" t="str">
        <f t="shared" ref="U68" si="49">IF(Q68="","",(Q68+S68)/2)</f>
        <v/>
      </c>
      <c r="V68" s="868" t="str">
        <f t="shared" ref="V68" si="50">IF(Q68="","",S68-U68)</f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IF($J68="","",IF(SUM(IF(ISNUMBER(VALUE(RIGHT($AG68:$CI68,1))),VALUE(RIGHT($AG68:$CI68,1)),0))=$J68,"T","F"))</f>
        <v/>
      </c>
      <c r="AE68" s="831" t="str">
        <f t="array" ref="AE68">IF($J68="","",SUM(IF(LEFT($AG68:$DU68,1)="s",1,0))-SUM(IF(RIGHT(LEFT($AG68:$DU68,2))="-",1,0)))</f>
        <v/>
      </c>
      <c r="AF68" s="816" t="str">
        <f t="array" ref="AF68">IF($J68="","",SUM(IF(LEFT($AG68:$DA68,1)="X",1,0)))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6"/>
      <c r="BQ68" s="896"/>
      <c r="BR68" s="897"/>
      <c r="BS68" s="897"/>
      <c r="BT68" s="897"/>
      <c r="BU68" s="897"/>
      <c r="BV68" s="897"/>
      <c r="BW68" s="896"/>
      <c r="BX68" s="896"/>
      <c r="BY68" s="896"/>
      <c r="BZ68" s="896"/>
      <c r="CA68" s="896"/>
      <c r="CB68" s="896"/>
      <c r="CC68" s="896"/>
      <c r="CD68" s="428"/>
    </row>
    <row r="69" spans="1:82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6"/>
      <c r="BQ69" s="896"/>
      <c r="BR69" s="897"/>
      <c r="BS69" s="897"/>
      <c r="BT69" s="897"/>
      <c r="BU69" s="897"/>
      <c r="BV69" s="897"/>
      <c r="BW69" s="896"/>
      <c r="BX69" s="896"/>
      <c r="BY69" s="896"/>
      <c r="BZ69" s="896"/>
      <c r="CA69" s="896"/>
      <c r="CB69" s="896"/>
      <c r="CC69" s="896"/>
    </row>
    <row r="70" spans="1:82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6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6"/>
      <c r="BQ70" s="896"/>
      <c r="BR70" s="897"/>
      <c r="BS70" s="897"/>
      <c r="BT70" s="897"/>
      <c r="BU70" s="897"/>
      <c r="BV70" s="897"/>
      <c r="BW70" s="896"/>
      <c r="BX70" s="896"/>
      <c r="BY70" s="896"/>
      <c r="BZ70" s="896"/>
      <c r="CA70" s="896"/>
      <c r="CB70" s="896"/>
      <c r="CC70" s="896"/>
    </row>
    <row r="71" spans="1:82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3"/>
      <c r="AK71" s="896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6"/>
      <c r="BC71" s="896"/>
      <c r="BD71" s="893"/>
      <c r="BE71" s="893"/>
      <c r="BF71" s="893"/>
      <c r="BG71" s="893"/>
      <c r="BH71" s="896"/>
      <c r="BI71" s="896"/>
      <c r="BJ71" s="896"/>
      <c r="BK71" s="893"/>
      <c r="BL71" s="896"/>
      <c r="BM71" s="896"/>
      <c r="BN71" s="896"/>
      <c r="BO71" s="893"/>
      <c r="BP71" s="896"/>
      <c r="BQ71" s="896"/>
      <c r="BR71" s="897"/>
      <c r="BS71" s="897"/>
      <c r="BT71" s="897"/>
      <c r="BU71" s="897"/>
      <c r="BV71" s="897"/>
      <c r="BW71" s="896"/>
      <c r="BX71" s="896"/>
      <c r="BY71" s="896"/>
      <c r="BZ71" s="896"/>
      <c r="CA71" s="896"/>
      <c r="CB71" s="896"/>
      <c r="CC71" s="896"/>
    </row>
    <row r="72" spans="1:82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ref="L72:L129" si="51">IF(J72="","",IF(J72&gt;K72,"W",IF(J72=K72,"D",IF(J72&lt;K72,"L"))))</f>
        <v/>
      </c>
      <c r="M72" s="816" t="str">
        <f t="shared" ref="M72:M129" si="52">IF(J72="","",J72+K72)</f>
        <v/>
      </c>
      <c r="N72" s="816" t="str">
        <f t="shared" ref="N72:N129" si="53">IF($J72="","",IF($M72&gt;N$19,"O",IF($M72&lt;N$19,"U",IF($M72=N$19,"-"))))</f>
        <v/>
      </c>
      <c r="R72" s="816" t="str">
        <f t="shared" ref="R72:R129" si="54">IF(ISBLANK(Q72),"",J72-K72-Q72)</f>
        <v/>
      </c>
      <c r="T72" s="829" t="str">
        <f t="shared" ref="T72:T129" si="55">IF(ISBLANK(S72),"",J72+K72-S72)</f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IF($J72="","",IF(SUM(IF(ISNUMBER(VALUE(RIGHT($AG72:$CI72,1))),VALUE(RIGHT($AG72:$CI72,1)),0))=$J72,"T","F"))</f>
        <v/>
      </c>
      <c r="AE72" s="831" t="str">
        <f t="array" ref="AE72">IF($J72="","",SUM(IF(LEFT($AG72:$DU72,1)="s",1,0))-SUM(IF(RIGHT(LEFT($AG72:$DU72,2))="-",1,0)))</f>
        <v/>
      </c>
      <c r="AF72" s="816" t="str">
        <f t="array" ref="AF72">IF($J72="","",SUM(IF(LEFT($AG72:$DA72,1)="X",1,0)))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7"/>
      <c r="BD72" s="893"/>
      <c r="BE72" s="893"/>
      <c r="BF72" s="893"/>
      <c r="BG72" s="893"/>
      <c r="BH72" s="897"/>
      <c r="BI72" s="897"/>
      <c r="BJ72" s="897"/>
      <c r="BK72" s="893"/>
      <c r="BL72" s="897"/>
      <c r="BM72" s="897"/>
      <c r="BN72" s="897"/>
      <c r="BO72" s="893"/>
      <c r="BP72" s="897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</row>
    <row r="73" spans="1:82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51"/>
        <v/>
      </c>
      <c r="M73" s="816" t="str">
        <f t="shared" si="52"/>
        <v/>
      </c>
      <c r="N73" s="816" t="str">
        <f t="shared" si="53"/>
        <v/>
      </c>
      <c r="R73" s="816" t="str">
        <f t="shared" si="54"/>
        <v/>
      </c>
      <c r="T73" s="829" t="str">
        <f t="shared" si="55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IF($J73="","",IF(SUM(IF(ISNUMBER(VALUE(RIGHT($AG73:$CI73,1))),VALUE(RIGHT($AG73:$CI73,1)),0))=$J73,"T","F"))</f>
        <v/>
      </c>
      <c r="AE73" s="831" t="str">
        <f t="array" ref="AE73">IF($J73="","",SUM(IF(LEFT($AG73:$DU73,1)="s",1,0))-SUM(IF(RIGHT(LEFT($AG73:$DU73,2))="-",1,0)))</f>
        <v/>
      </c>
      <c r="AF73" s="816" t="str">
        <f t="array" ref="AF73">IF($J73="","",SUM(IF(LEFT($AG73:$DA73,1)="X",1,0)))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3"/>
      <c r="BE73" s="893"/>
      <c r="BF73" s="893"/>
      <c r="BG73" s="893"/>
      <c r="BH73" s="897"/>
      <c r="BI73" s="897"/>
      <c r="BJ73" s="897"/>
      <c r="BK73" s="893"/>
      <c r="BL73" s="897"/>
      <c r="BM73" s="897"/>
      <c r="BN73" s="897"/>
      <c r="BO73" s="893"/>
      <c r="BP73" s="897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</row>
    <row r="74" spans="1:82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51"/>
        <v/>
      </c>
      <c r="M74" s="816" t="str">
        <f t="shared" si="52"/>
        <v/>
      </c>
      <c r="N74" s="816" t="str">
        <f t="shared" si="53"/>
        <v/>
      </c>
      <c r="R74" s="816" t="str">
        <f t="shared" si="54"/>
        <v/>
      </c>
      <c r="T74" s="829" t="str">
        <f t="shared" si="55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IF($J74="","",IF(SUM(IF(ISNUMBER(VALUE(RIGHT($AG74:$CI74,1))),VALUE(RIGHT($AG74:$CI74,1)),0))=$J74,"T","F"))</f>
        <v/>
      </c>
      <c r="AE74" s="831" t="str">
        <f t="array" ref="AE74">IF($J74="","",SUM(IF(LEFT($AG74:$DU74,1)="s",1,0))-SUM(IF(RIGHT(LEFT($AG74:$DU74,2))="-",1,0)))</f>
        <v/>
      </c>
      <c r="AF74" s="816" t="str">
        <f t="array" ref="AF74">IF($J74="","",SUM(IF(LEFT($AG74:$DA74,1)="X",1,0)))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3"/>
      <c r="BE74" s="893"/>
      <c r="BF74" s="893"/>
      <c r="BG74" s="893"/>
      <c r="BH74" s="897"/>
      <c r="BI74" s="897"/>
      <c r="BJ74" s="897"/>
      <c r="BK74" s="893"/>
      <c r="BL74" s="897"/>
      <c r="BM74" s="897"/>
      <c r="BN74" s="897"/>
      <c r="BO74" s="893"/>
      <c r="BP74" s="897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</row>
    <row r="75" spans="1:82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51"/>
        <v/>
      </c>
      <c r="M75" s="816" t="str">
        <f t="shared" si="52"/>
        <v/>
      </c>
      <c r="N75" s="816" t="str">
        <f t="shared" si="53"/>
        <v/>
      </c>
      <c r="R75" s="816" t="str">
        <f t="shared" si="54"/>
        <v/>
      </c>
      <c r="T75" s="829" t="str">
        <f t="shared" si="55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3"/>
      <c r="BE75" s="893"/>
      <c r="BF75" s="893"/>
      <c r="BG75" s="893"/>
      <c r="BH75" s="897"/>
      <c r="BI75" s="897"/>
      <c r="BJ75" s="897"/>
      <c r="BK75" s="893"/>
      <c r="BL75" s="897"/>
      <c r="BM75" s="897"/>
      <c r="BN75" s="897"/>
      <c r="BO75" s="893"/>
      <c r="BP75" s="897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</row>
    <row r="76" spans="1:82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51"/>
        <v/>
      </c>
      <c r="M76" s="816" t="str">
        <f t="shared" si="52"/>
        <v/>
      </c>
      <c r="N76" s="816" t="str">
        <f t="shared" si="53"/>
        <v/>
      </c>
      <c r="R76" s="816" t="str">
        <f t="shared" si="54"/>
        <v/>
      </c>
      <c r="T76" s="829" t="str">
        <f t="shared" si="55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3"/>
      <c r="BE76" s="893"/>
      <c r="BF76" s="893"/>
      <c r="BG76" s="893"/>
      <c r="BH76" s="897"/>
      <c r="BI76" s="897"/>
      <c r="BJ76" s="897"/>
      <c r="BK76" s="893"/>
      <c r="BL76" s="897"/>
      <c r="BM76" s="897"/>
      <c r="BN76" s="897"/>
      <c r="BO76" s="893"/>
      <c r="BP76" s="897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</row>
    <row r="77" spans="1:82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1"/>
        <v/>
      </c>
      <c r="M77" s="816" t="str">
        <f t="shared" si="52"/>
        <v/>
      </c>
      <c r="N77" s="816" t="str">
        <f t="shared" si="53"/>
        <v/>
      </c>
      <c r="R77" s="816" t="str">
        <f t="shared" si="54"/>
        <v/>
      </c>
      <c r="T77" s="829" t="str">
        <f t="shared" si="55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3"/>
      <c r="BE77" s="893"/>
      <c r="BF77" s="893"/>
      <c r="BG77" s="893"/>
      <c r="BH77" s="897"/>
      <c r="BI77" s="897"/>
      <c r="BJ77" s="897"/>
      <c r="BK77" s="893"/>
      <c r="BL77" s="897"/>
      <c r="BM77" s="897"/>
      <c r="BN77" s="897"/>
      <c r="BO77" s="893"/>
      <c r="BP77" s="897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1"/>
        <v/>
      </c>
      <c r="M78" s="816" t="str">
        <f t="shared" si="52"/>
        <v/>
      </c>
      <c r="N78" s="816" t="str">
        <f t="shared" si="53"/>
        <v/>
      </c>
      <c r="R78" s="816" t="str">
        <f t="shared" si="54"/>
        <v/>
      </c>
      <c r="T78" s="829" t="str">
        <f t="shared" si="55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3"/>
      <c r="BE78" s="893"/>
      <c r="BF78" s="893"/>
      <c r="BG78" s="893"/>
      <c r="BH78" s="897"/>
      <c r="BI78" s="897"/>
      <c r="BJ78" s="897"/>
      <c r="BK78" s="893"/>
      <c r="BL78" s="897"/>
      <c r="BM78" s="897"/>
      <c r="BN78" s="897"/>
      <c r="BO78" s="893"/>
      <c r="BP78" s="897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1"/>
        <v/>
      </c>
      <c r="M79" s="816" t="str">
        <f t="shared" si="52"/>
        <v/>
      </c>
      <c r="N79" s="816" t="str">
        <f t="shared" si="53"/>
        <v/>
      </c>
      <c r="R79" s="816" t="str">
        <f t="shared" si="54"/>
        <v/>
      </c>
      <c r="T79" s="829" t="str">
        <f t="shared" si="55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3"/>
      <c r="BE79" s="893"/>
      <c r="BF79" s="893"/>
      <c r="BG79" s="893"/>
      <c r="BH79" s="897"/>
      <c r="BI79" s="897"/>
      <c r="BJ79" s="897"/>
      <c r="BK79" s="893"/>
      <c r="BL79" s="897"/>
      <c r="BM79" s="897"/>
      <c r="BN79" s="897"/>
      <c r="BO79" s="893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</row>
    <row r="80" spans="1:82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1"/>
        <v/>
      </c>
      <c r="M80" s="816" t="str">
        <f t="shared" si="52"/>
        <v/>
      </c>
      <c r="N80" s="816" t="str">
        <f t="shared" si="53"/>
        <v/>
      </c>
      <c r="R80" s="816" t="str">
        <f t="shared" si="54"/>
        <v/>
      </c>
      <c r="T80" s="829" t="str">
        <f t="shared" si="55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3"/>
      <c r="BE80" s="893"/>
      <c r="BF80" s="893"/>
      <c r="BG80" s="893"/>
      <c r="BH80" s="897"/>
      <c r="BI80" s="897"/>
      <c r="BJ80" s="897"/>
      <c r="BK80" s="893"/>
      <c r="BL80" s="897"/>
      <c r="BM80" s="897"/>
      <c r="BN80" s="897"/>
      <c r="BO80" s="893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</row>
    <row r="81" spans="1:81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1"/>
        <v/>
      </c>
      <c r="M81" s="816" t="str">
        <f t="shared" si="52"/>
        <v/>
      </c>
      <c r="N81" s="816" t="str">
        <f t="shared" si="53"/>
        <v/>
      </c>
      <c r="R81" s="816" t="str">
        <f t="shared" si="54"/>
        <v/>
      </c>
      <c r="T81" s="829" t="str">
        <f t="shared" si="55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3"/>
      <c r="BE81" s="893"/>
      <c r="BF81" s="893"/>
      <c r="BG81" s="893"/>
      <c r="BH81" s="897"/>
      <c r="BI81" s="897"/>
      <c r="BJ81" s="897"/>
      <c r="BK81" s="893"/>
      <c r="BL81" s="897"/>
      <c r="BM81" s="897"/>
      <c r="BN81" s="897"/>
      <c r="BO81" s="893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</row>
    <row r="82" spans="1:81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1"/>
        <v/>
      </c>
      <c r="M82" s="816" t="str">
        <f t="shared" si="52"/>
        <v/>
      </c>
      <c r="N82" s="816" t="str">
        <f t="shared" si="53"/>
        <v/>
      </c>
      <c r="R82" s="816" t="str">
        <f t="shared" si="54"/>
        <v/>
      </c>
      <c r="T82" s="829" t="str">
        <f t="shared" si="55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3"/>
      <c r="BE82" s="893"/>
      <c r="BF82" s="893"/>
      <c r="BG82" s="893"/>
      <c r="BH82" s="897"/>
      <c r="BI82" s="897"/>
      <c r="BJ82" s="897"/>
      <c r="BK82" s="893"/>
      <c r="BL82" s="897"/>
      <c r="BM82" s="897"/>
      <c r="BN82" s="897"/>
      <c r="BO82" s="893"/>
      <c r="BP82" s="897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</row>
    <row r="83" spans="1:81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1"/>
        <v/>
      </c>
      <c r="M83" s="816" t="str">
        <f t="shared" si="52"/>
        <v/>
      </c>
      <c r="N83" s="816" t="str">
        <f t="shared" si="53"/>
        <v/>
      </c>
      <c r="R83" s="816" t="str">
        <f t="shared" si="54"/>
        <v/>
      </c>
      <c r="T83" s="829" t="str">
        <f t="shared" si="55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3"/>
      <c r="BE83" s="893"/>
      <c r="BF83" s="893"/>
      <c r="BG83" s="893"/>
      <c r="BH83" s="897"/>
      <c r="BI83" s="897"/>
      <c r="BJ83" s="897"/>
      <c r="BK83" s="893"/>
      <c r="BL83" s="897"/>
      <c r="BM83" s="897"/>
      <c r="BN83" s="897"/>
      <c r="BO83" s="893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</row>
    <row r="84" spans="1:81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51"/>
        <v/>
      </c>
      <c r="M84" s="816" t="str">
        <f t="shared" si="52"/>
        <v/>
      </c>
      <c r="N84" s="816" t="str">
        <f t="shared" si="53"/>
        <v/>
      </c>
      <c r="R84" s="816" t="str">
        <f t="shared" si="54"/>
        <v/>
      </c>
      <c r="T84" s="829" t="str">
        <f t="shared" si="55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3"/>
      <c r="BE84" s="893"/>
      <c r="BF84" s="893"/>
      <c r="BG84" s="893"/>
      <c r="BH84" s="897"/>
      <c r="BI84" s="897"/>
      <c r="BJ84" s="897"/>
      <c r="BK84" s="893"/>
      <c r="BL84" s="897"/>
      <c r="BM84" s="897"/>
      <c r="BN84" s="897"/>
      <c r="BO84" s="893"/>
      <c r="BP84" s="897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</row>
    <row r="85" spans="1:81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787"/>
      <c r="H85" s="833"/>
      <c r="I85" s="833"/>
      <c r="J85" s="833"/>
      <c r="K85" s="833"/>
      <c r="L85" s="816" t="str">
        <f t="shared" si="51"/>
        <v/>
      </c>
      <c r="M85" s="816" t="str">
        <f t="shared" si="52"/>
        <v/>
      </c>
      <c r="N85" s="816" t="str">
        <f t="shared" si="53"/>
        <v/>
      </c>
      <c r="R85" s="816" t="str">
        <f t="shared" si="54"/>
        <v/>
      </c>
      <c r="T85" s="829" t="str">
        <f t="shared" si="55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3"/>
      <c r="BE85" s="893"/>
      <c r="BF85" s="893"/>
      <c r="BG85" s="893"/>
      <c r="BH85" s="897"/>
      <c r="BI85" s="897"/>
      <c r="BJ85" s="897"/>
      <c r="BK85" s="893"/>
      <c r="BL85" s="897"/>
      <c r="BM85" s="897"/>
      <c r="BN85" s="897"/>
      <c r="BO85" s="893"/>
      <c r="BP85" s="897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</row>
    <row r="86" spans="1:81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1"/>
        <v/>
      </c>
      <c r="M86" s="816" t="str">
        <f t="shared" si="52"/>
        <v/>
      </c>
      <c r="N86" s="816" t="str">
        <f t="shared" si="53"/>
        <v/>
      </c>
      <c r="R86" s="816" t="str">
        <f t="shared" si="54"/>
        <v/>
      </c>
      <c r="T86" s="829" t="str">
        <f t="shared" si="55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3"/>
      <c r="BE86" s="893"/>
      <c r="BF86" s="893"/>
      <c r="BG86" s="893"/>
      <c r="BH86" s="897"/>
      <c r="BI86" s="897"/>
      <c r="BJ86" s="897"/>
      <c r="BK86" s="893"/>
      <c r="BL86" s="897"/>
      <c r="BM86" s="897"/>
      <c r="BN86" s="897"/>
      <c r="BO86" s="893"/>
      <c r="BP86" s="897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</row>
    <row r="87" spans="1:81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1"/>
        <v/>
      </c>
      <c r="M87" s="816" t="str">
        <f t="shared" si="52"/>
        <v/>
      </c>
      <c r="N87" s="816" t="str">
        <f t="shared" si="53"/>
        <v/>
      </c>
      <c r="R87" s="816" t="str">
        <f t="shared" si="54"/>
        <v/>
      </c>
      <c r="T87" s="829" t="str">
        <f t="shared" si="55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3"/>
      <c r="BE87" s="893"/>
      <c r="BF87" s="893"/>
      <c r="BG87" s="893"/>
      <c r="BH87" s="897"/>
      <c r="BI87" s="897"/>
      <c r="BJ87" s="897"/>
      <c r="BK87" s="893"/>
      <c r="BL87" s="897"/>
      <c r="BM87" s="897"/>
      <c r="BN87" s="897"/>
      <c r="BO87" s="893"/>
      <c r="BP87" s="897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</row>
    <row r="88" spans="1:81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1"/>
        <v/>
      </c>
      <c r="M88" s="816" t="str">
        <f t="shared" si="52"/>
        <v/>
      </c>
      <c r="N88" s="816" t="str">
        <f t="shared" si="53"/>
        <v/>
      </c>
      <c r="R88" s="816" t="str">
        <f t="shared" si="54"/>
        <v/>
      </c>
      <c r="T88" s="829" t="str">
        <f t="shared" si="55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3"/>
      <c r="BE88" s="893"/>
      <c r="BF88" s="893"/>
      <c r="BG88" s="893"/>
      <c r="BH88" s="897"/>
      <c r="BI88" s="897"/>
      <c r="BJ88" s="897"/>
      <c r="BK88" s="893"/>
      <c r="BL88" s="897"/>
      <c r="BM88" s="897"/>
      <c r="BN88" s="897"/>
      <c r="BO88" s="893"/>
      <c r="BP88" s="897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</row>
    <row r="89" spans="1:81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1"/>
        <v/>
      </c>
      <c r="M89" s="816" t="str">
        <f t="shared" si="52"/>
        <v/>
      </c>
      <c r="N89" s="816" t="str">
        <f t="shared" si="53"/>
        <v/>
      </c>
      <c r="R89" s="816" t="str">
        <f t="shared" si="54"/>
        <v/>
      </c>
      <c r="T89" s="829" t="str">
        <f t="shared" si="55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3"/>
      <c r="BE89" s="893"/>
      <c r="BF89" s="893"/>
      <c r="BG89" s="893"/>
      <c r="BH89" s="897"/>
      <c r="BI89" s="897"/>
      <c r="BJ89" s="897"/>
      <c r="BK89" s="893"/>
      <c r="BL89" s="897"/>
      <c r="BM89" s="897"/>
      <c r="BN89" s="897"/>
      <c r="BO89" s="893"/>
      <c r="BP89" s="897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</row>
    <row r="90" spans="1:81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1"/>
        <v/>
      </c>
      <c r="M90" s="816" t="str">
        <f t="shared" si="52"/>
        <v/>
      </c>
      <c r="N90" s="816" t="str">
        <f t="shared" si="53"/>
        <v/>
      </c>
      <c r="R90" s="816" t="str">
        <f t="shared" si="54"/>
        <v/>
      </c>
      <c r="T90" s="829" t="str">
        <f t="shared" si="55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3"/>
      <c r="BE90" s="893"/>
      <c r="BF90" s="893"/>
      <c r="BG90" s="893"/>
      <c r="BH90" s="897"/>
      <c r="BI90" s="897"/>
      <c r="BJ90" s="897"/>
      <c r="BK90" s="893"/>
      <c r="BL90" s="897"/>
      <c r="BM90" s="897"/>
      <c r="BN90" s="897"/>
      <c r="BO90" s="893"/>
      <c r="BP90" s="897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</row>
    <row r="91" spans="1:81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1"/>
        <v/>
      </c>
      <c r="M91" s="816" t="str">
        <f t="shared" si="52"/>
        <v/>
      </c>
      <c r="N91" s="816" t="str">
        <f t="shared" si="53"/>
        <v/>
      </c>
      <c r="R91" s="816" t="str">
        <f t="shared" si="54"/>
        <v/>
      </c>
      <c r="T91" s="829" t="str">
        <f t="shared" si="55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3"/>
      <c r="BE91" s="893"/>
      <c r="BF91" s="893"/>
      <c r="BG91" s="893"/>
      <c r="BH91" s="897"/>
      <c r="BI91" s="897"/>
      <c r="BJ91" s="897"/>
      <c r="BK91" s="893"/>
      <c r="BL91" s="897"/>
      <c r="BM91" s="897"/>
      <c r="BN91" s="897"/>
      <c r="BO91" s="893"/>
      <c r="BP91" s="897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</row>
    <row r="92" spans="1:81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1"/>
        <v/>
      </c>
      <c r="M92" s="816" t="str">
        <f t="shared" si="52"/>
        <v/>
      </c>
      <c r="N92" s="816" t="str">
        <f t="shared" si="53"/>
        <v/>
      </c>
      <c r="R92" s="816" t="str">
        <f t="shared" si="54"/>
        <v/>
      </c>
      <c r="T92" s="829" t="str">
        <f t="shared" si="55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3"/>
      <c r="BE92" s="893"/>
      <c r="BF92" s="893"/>
      <c r="BG92" s="893"/>
      <c r="BH92" s="897"/>
      <c r="BI92" s="897"/>
      <c r="BJ92" s="897"/>
      <c r="BK92" s="893"/>
      <c r="BL92" s="897"/>
      <c r="BM92" s="897"/>
      <c r="BN92" s="897"/>
      <c r="BO92" s="893"/>
      <c r="BP92" s="897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</row>
    <row r="93" spans="1:81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1"/>
        <v/>
      </c>
      <c r="M93" s="816" t="str">
        <f t="shared" si="52"/>
        <v/>
      </c>
      <c r="N93" s="816" t="str">
        <f t="shared" si="53"/>
        <v/>
      </c>
      <c r="R93" s="816" t="str">
        <f t="shared" si="54"/>
        <v/>
      </c>
      <c r="T93" s="829" t="str">
        <f t="shared" si="55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3"/>
      <c r="BE93" s="893"/>
      <c r="BF93" s="893"/>
      <c r="BG93" s="893"/>
      <c r="BH93" s="897"/>
      <c r="BI93" s="897"/>
      <c r="BJ93" s="897"/>
      <c r="BK93" s="893"/>
      <c r="BL93" s="897"/>
      <c r="BM93" s="897"/>
      <c r="BN93" s="897"/>
      <c r="BO93" s="893"/>
      <c r="BP93" s="897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</row>
    <row r="94" spans="1:81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1"/>
        <v/>
      </c>
      <c r="M94" s="816" t="str">
        <f t="shared" si="52"/>
        <v/>
      </c>
      <c r="N94" s="816" t="str">
        <f t="shared" si="53"/>
        <v/>
      </c>
      <c r="R94" s="816" t="str">
        <f t="shared" si="54"/>
        <v/>
      </c>
      <c r="T94" s="829" t="str">
        <f t="shared" si="55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3"/>
      <c r="BE94" s="893"/>
      <c r="BF94" s="893"/>
      <c r="BG94" s="893"/>
      <c r="BH94" s="897"/>
      <c r="BI94" s="897"/>
      <c r="BJ94" s="897"/>
      <c r="BK94" s="893"/>
      <c r="BL94" s="897"/>
      <c r="BM94" s="897"/>
      <c r="BN94" s="897"/>
      <c r="BO94" s="893"/>
      <c r="BP94" s="897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</row>
    <row r="95" spans="1:81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1"/>
        <v/>
      </c>
      <c r="M95" s="816" t="str">
        <f t="shared" si="52"/>
        <v/>
      </c>
      <c r="N95" s="816" t="str">
        <f t="shared" si="53"/>
        <v/>
      </c>
      <c r="R95" s="816" t="str">
        <f t="shared" si="54"/>
        <v/>
      </c>
      <c r="T95" s="829" t="str">
        <f t="shared" si="55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3"/>
      <c r="BE95" s="893"/>
      <c r="BF95" s="893"/>
      <c r="BG95" s="893"/>
      <c r="BH95" s="897"/>
      <c r="BI95" s="897"/>
      <c r="BJ95" s="897"/>
      <c r="BK95" s="893"/>
      <c r="BL95" s="897"/>
      <c r="BM95" s="897"/>
      <c r="BN95" s="897"/>
      <c r="BO95" s="893"/>
      <c r="BP95" s="897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</row>
    <row r="96" spans="1:81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1"/>
        <v/>
      </c>
      <c r="M96" s="816" t="str">
        <f t="shared" si="52"/>
        <v/>
      </c>
      <c r="N96" s="816" t="str">
        <f t="shared" si="53"/>
        <v/>
      </c>
      <c r="R96" s="816" t="str">
        <f t="shared" si="54"/>
        <v/>
      </c>
      <c r="T96" s="829" t="str">
        <f t="shared" si="55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3"/>
      <c r="BE96" s="893"/>
      <c r="BF96" s="893"/>
      <c r="BG96" s="893"/>
      <c r="BH96" s="897"/>
      <c r="BI96" s="897"/>
      <c r="BJ96" s="897"/>
      <c r="BK96" s="893"/>
      <c r="BL96" s="897"/>
      <c r="BM96" s="897"/>
      <c r="BN96" s="897"/>
      <c r="BO96" s="893"/>
      <c r="BP96" s="897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</row>
    <row r="97" spans="1:81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1"/>
        <v/>
      </c>
      <c r="M97" s="816" t="str">
        <f t="shared" si="52"/>
        <v/>
      </c>
      <c r="N97" s="816" t="str">
        <f t="shared" si="53"/>
        <v/>
      </c>
      <c r="R97" s="816" t="str">
        <f t="shared" si="54"/>
        <v/>
      </c>
      <c r="T97" s="829" t="str">
        <f t="shared" si="55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3"/>
      <c r="BE97" s="893"/>
      <c r="BF97" s="893"/>
      <c r="BG97" s="893"/>
      <c r="BH97" s="897"/>
      <c r="BI97" s="897"/>
      <c r="BJ97" s="897"/>
      <c r="BK97" s="893"/>
      <c r="BL97" s="897"/>
      <c r="BM97" s="897"/>
      <c r="BN97" s="897"/>
      <c r="BO97" s="893"/>
      <c r="BP97" s="897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</row>
    <row r="98" spans="1:81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1"/>
        <v/>
      </c>
      <c r="M98" s="816" t="str">
        <f t="shared" si="52"/>
        <v/>
      </c>
      <c r="N98" s="816" t="str">
        <f t="shared" si="53"/>
        <v/>
      </c>
      <c r="R98" s="816" t="str">
        <f t="shared" si="54"/>
        <v/>
      </c>
      <c r="T98" s="829" t="str">
        <f t="shared" si="55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3"/>
      <c r="BE98" s="893"/>
      <c r="BF98" s="893"/>
      <c r="BG98" s="893"/>
      <c r="BH98" s="897"/>
      <c r="BI98" s="897"/>
      <c r="BJ98" s="897"/>
      <c r="BK98" s="893"/>
      <c r="BL98" s="897"/>
      <c r="BM98" s="897"/>
      <c r="BN98" s="897"/>
      <c r="BO98" s="893"/>
      <c r="BP98" s="897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</row>
    <row r="99" spans="1:81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1"/>
        <v/>
      </c>
      <c r="M99" s="816" t="str">
        <f t="shared" si="52"/>
        <v/>
      </c>
      <c r="N99" s="816" t="str">
        <f t="shared" si="53"/>
        <v/>
      </c>
      <c r="R99" s="816" t="str">
        <f t="shared" si="54"/>
        <v/>
      </c>
      <c r="T99" s="829" t="str">
        <f t="shared" si="55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3"/>
      <c r="BE99" s="893"/>
      <c r="BF99" s="893"/>
      <c r="BG99" s="893"/>
      <c r="BH99" s="897"/>
      <c r="BI99" s="897"/>
      <c r="BJ99" s="897"/>
      <c r="BK99" s="893"/>
      <c r="BL99" s="897"/>
      <c r="BM99" s="897"/>
      <c r="BN99" s="897"/>
      <c r="BO99" s="893"/>
      <c r="BP99" s="897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</row>
    <row r="100" spans="1:81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1"/>
        <v/>
      </c>
      <c r="M100" s="816" t="str">
        <f t="shared" si="52"/>
        <v/>
      </c>
      <c r="N100" s="816" t="str">
        <f t="shared" si="53"/>
        <v/>
      </c>
      <c r="R100" s="816" t="str">
        <f t="shared" si="54"/>
        <v/>
      </c>
      <c r="T100" s="829" t="str">
        <f t="shared" si="55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3"/>
      <c r="BE100" s="893"/>
      <c r="BF100" s="893"/>
      <c r="BG100" s="893"/>
      <c r="BH100" s="897"/>
      <c r="BI100" s="897"/>
      <c r="BJ100" s="897"/>
      <c r="BK100" s="893"/>
      <c r="BL100" s="897"/>
      <c r="BM100" s="897"/>
      <c r="BN100" s="897"/>
      <c r="BO100" s="893"/>
      <c r="BP100" s="897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</row>
    <row r="101" spans="1:81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1"/>
        <v/>
      </c>
      <c r="M101" s="816" t="str">
        <f t="shared" si="52"/>
        <v/>
      </c>
      <c r="N101" s="816" t="str">
        <f t="shared" si="53"/>
        <v/>
      </c>
      <c r="R101" s="816" t="str">
        <f t="shared" si="54"/>
        <v/>
      </c>
      <c r="T101" s="829" t="str">
        <f t="shared" si="55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3"/>
      <c r="BE101" s="893"/>
      <c r="BF101" s="893"/>
      <c r="BG101" s="893"/>
      <c r="BH101" s="897"/>
      <c r="BI101" s="897"/>
      <c r="BJ101" s="897"/>
      <c r="BK101" s="893"/>
      <c r="BL101" s="897"/>
      <c r="BM101" s="897"/>
      <c r="BN101" s="897"/>
      <c r="BO101" s="893"/>
      <c r="BP101" s="897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</row>
    <row r="102" spans="1:81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1"/>
        <v/>
      </c>
      <c r="M102" s="816" t="str">
        <f t="shared" si="52"/>
        <v/>
      </c>
      <c r="N102" s="816" t="str">
        <f t="shared" si="53"/>
        <v/>
      </c>
      <c r="R102" s="816" t="str">
        <f t="shared" si="54"/>
        <v/>
      </c>
      <c r="T102" s="829" t="str">
        <f t="shared" si="55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3"/>
      <c r="BE102" s="893"/>
      <c r="BF102" s="893"/>
      <c r="BG102" s="893"/>
      <c r="BH102" s="897"/>
      <c r="BI102" s="897"/>
      <c r="BJ102" s="897"/>
      <c r="BK102" s="893"/>
      <c r="BL102" s="897"/>
      <c r="BM102" s="897"/>
      <c r="BN102" s="897"/>
      <c r="BO102" s="893"/>
      <c r="BP102" s="897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</row>
    <row r="103" spans="1:81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1"/>
        <v/>
      </c>
      <c r="M103" s="816" t="str">
        <f t="shared" si="52"/>
        <v/>
      </c>
      <c r="N103" s="816" t="str">
        <f t="shared" si="53"/>
        <v/>
      </c>
      <c r="R103" s="816" t="str">
        <f t="shared" si="54"/>
        <v/>
      </c>
      <c r="T103" s="829" t="str">
        <f t="shared" si="55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3"/>
      <c r="BE103" s="893"/>
      <c r="BF103" s="893"/>
      <c r="BG103" s="893"/>
      <c r="BH103" s="897"/>
      <c r="BI103" s="897"/>
      <c r="BJ103" s="897"/>
      <c r="BK103" s="893"/>
      <c r="BL103" s="897"/>
      <c r="BM103" s="897"/>
      <c r="BN103" s="897"/>
      <c r="BO103" s="893"/>
      <c r="BP103" s="897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</row>
    <row r="104" spans="1:81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1"/>
        <v/>
      </c>
      <c r="M104" s="816" t="str">
        <f t="shared" si="52"/>
        <v/>
      </c>
      <c r="N104" s="816" t="str">
        <f t="shared" si="53"/>
        <v/>
      </c>
      <c r="R104" s="816" t="str">
        <f t="shared" si="54"/>
        <v/>
      </c>
      <c r="T104" s="829" t="str">
        <f t="shared" si="55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16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3"/>
      <c r="BE104" s="893"/>
      <c r="BF104" s="893"/>
      <c r="BG104" s="893"/>
      <c r="BH104" s="897"/>
      <c r="BI104" s="897"/>
      <c r="BJ104" s="897"/>
      <c r="BK104" s="893"/>
      <c r="BL104" s="897"/>
      <c r="BM104" s="897"/>
      <c r="BN104" s="897"/>
      <c r="BO104" s="893"/>
      <c r="BP104" s="897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</row>
    <row r="105" spans="1:81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1"/>
        <v/>
      </c>
      <c r="M105" s="816" t="str">
        <f t="shared" si="52"/>
        <v/>
      </c>
      <c r="N105" s="816" t="str">
        <f t="shared" si="53"/>
        <v/>
      </c>
      <c r="R105" s="816" t="str">
        <f t="shared" si="54"/>
        <v/>
      </c>
      <c r="T105" s="829" t="str">
        <f t="shared" si="55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16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3"/>
      <c r="BE105" s="893"/>
      <c r="BF105" s="893"/>
      <c r="BG105" s="893"/>
      <c r="BH105" s="897"/>
      <c r="BI105" s="897"/>
      <c r="BJ105" s="897"/>
      <c r="BK105" s="893"/>
      <c r="BL105" s="897"/>
      <c r="BM105" s="897"/>
      <c r="BN105" s="897"/>
      <c r="BO105" s="893"/>
      <c r="BP105" s="897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</row>
    <row r="106" spans="1:81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1"/>
        <v/>
      </c>
      <c r="M106" s="816" t="str">
        <f t="shared" si="52"/>
        <v/>
      </c>
      <c r="N106" s="816" t="str">
        <f t="shared" si="53"/>
        <v/>
      </c>
      <c r="R106" s="816" t="str">
        <f t="shared" si="54"/>
        <v/>
      </c>
      <c r="T106" s="829" t="str">
        <f t="shared" si="55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16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3"/>
      <c r="BE106" s="893"/>
      <c r="BF106" s="893"/>
      <c r="BG106" s="893"/>
      <c r="BH106" s="897"/>
      <c r="BI106" s="897"/>
      <c r="BJ106" s="897"/>
      <c r="BK106" s="893"/>
      <c r="BL106" s="897"/>
      <c r="BM106" s="897"/>
      <c r="BN106" s="897"/>
      <c r="BO106" s="893"/>
      <c r="BP106" s="897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</row>
    <row r="107" spans="1:81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1"/>
        <v/>
      </c>
      <c r="M107" s="816" t="str">
        <f t="shared" si="52"/>
        <v/>
      </c>
      <c r="N107" s="816" t="str">
        <f t="shared" si="53"/>
        <v/>
      </c>
      <c r="R107" s="816" t="str">
        <f t="shared" si="54"/>
        <v/>
      </c>
      <c r="T107" s="829" t="str">
        <f t="shared" si="55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3"/>
      <c r="BE107" s="893"/>
      <c r="BF107" s="893"/>
      <c r="BG107" s="893"/>
      <c r="BH107" s="897"/>
      <c r="BI107" s="897"/>
      <c r="BJ107" s="897"/>
      <c r="BK107" s="893"/>
      <c r="BL107" s="897"/>
      <c r="BM107" s="897"/>
      <c r="BN107" s="897"/>
      <c r="BO107" s="893"/>
      <c r="BP107" s="897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</row>
    <row r="108" spans="1:81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1"/>
        <v/>
      </c>
      <c r="M108" s="816" t="str">
        <f t="shared" si="52"/>
        <v/>
      </c>
      <c r="N108" s="816" t="str">
        <f t="shared" si="53"/>
        <v/>
      </c>
      <c r="R108" s="816" t="str">
        <f t="shared" si="54"/>
        <v/>
      </c>
      <c r="T108" s="829" t="str">
        <f t="shared" si="55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3"/>
      <c r="BE108" s="893"/>
      <c r="BF108" s="893"/>
      <c r="BG108" s="893"/>
      <c r="BH108" s="897"/>
      <c r="BI108" s="897"/>
      <c r="BJ108" s="897"/>
      <c r="BK108" s="893"/>
      <c r="BL108" s="897"/>
      <c r="BM108" s="897"/>
      <c r="BN108" s="897"/>
      <c r="BO108" s="893"/>
      <c r="BP108" s="897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</row>
    <row r="109" spans="1:81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1"/>
        <v/>
      </c>
      <c r="M109" s="816" t="str">
        <f t="shared" si="52"/>
        <v/>
      </c>
      <c r="N109" s="816" t="str">
        <f t="shared" si="53"/>
        <v/>
      </c>
      <c r="R109" s="816" t="str">
        <f t="shared" si="54"/>
        <v/>
      </c>
      <c r="T109" s="829" t="str">
        <f t="shared" si="55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3"/>
      <c r="BE109" s="893"/>
      <c r="BF109" s="893"/>
      <c r="BG109" s="893"/>
      <c r="BH109" s="897"/>
      <c r="BI109" s="897"/>
      <c r="BJ109" s="897"/>
      <c r="BK109" s="893"/>
      <c r="BL109" s="897"/>
      <c r="BM109" s="897"/>
      <c r="BN109" s="897"/>
      <c r="BO109" s="893"/>
      <c r="BP109" s="897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</row>
    <row r="110" spans="1:81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1"/>
        <v/>
      </c>
      <c r="M110" s="816" t="str">
        <f t="shared" si="52"/>
        <v/>
      </c>
      <c r="N110" s="816" t="str">
        <f t="shared" si="53"/>
        <v/>
      </c>
      <c r="R110" s="816" t="str">
        <f t="shared" si="54"/>
        <v/>
      </c>
      <c r="T110" s="829" t="str">
        <f t="shared" si="55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3"/>
      <c r="BE110" s="893"/>
      <c r="BF110" s="893"/>
      <c r="BG110" s="893"/>
      <c r="BH110" s="897"/>
      <c r="BI110" s="897"/>
      <c r="BJ110" s="897"/>
      <c r="BK110" s="893"/>
      <c r="BL110" s="897"/>
      <c r="BM110" s="897"/>
      <c r="BN110" s="897"/>
      <c r="BO110" s="893"/>
      <c r="BP110" s="897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</row>
    <row r="111" spans="1:81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1"/>
        <v/>
      </c>
      <c r="M111" s="816" t="str">
        <f t="shared" si="52"/>
        <v/>
      </c>
      <c r="N111" s="816" t="str">
        <f t="shared" si="53"/>
        <v/>
      </c>
      <c r="R111" s="816" t="str">
        <f t="shared" si="54"/>
        <v/>
      </c>
      <c r="T111" s="829" t="str">
        <f t="shared" si="55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3"/>
      <c r="BE111" s="893"/>
      <c r="BF111" s="893"/>
      <c r="BG111" s="893"/>
      <c r="BH111" s="897"/>
      <c r="BI111" s="897"/>
      <c r="BJ111" s="897"/>
      <c r="BK111" s="893"/>
      <c r="BL111" s="897"/>
      <c r="BM111" s="897"/>
      <c r="BN111" s="897"/>
      <c r="BO111" s="893"/>
      <c r="BP111" s="897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</row>
    <row r="112" spans="1:81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1"/>
        <v/>
      </c>
      <c r="M112" s="816" t="str">
        <f t="shared" si="52"/>
        <v/>
      </c>
      <c r="N112" s="816" t="str">
        <f t="shared" si="53"/>
        <v/>
      </c>
      <c r="R112" s="816" t="str">
        <f t="shared" si="54"/>
        <v/>
      </c>
      <c r="T112" s="829" t="str">
        <f t="shared" si="55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3"/>
      <c r="BE112" s="893"/>
      <c r="BF112" s="893"/>
      <c r="BG112" s="893"/>
      <c r="BH112" s="897"/>
      <c r="BI112" s="897"/>
      <c r="BJ112" s="897"/>
      <c r="BK112" s="893"/>
      <c r="BL112" s="897"/>
      <c r="BM112" s="897"/>
      <c r="BN112" s="897"/>
      <c r="BO112" s="893"/>
      <c r="BP112" s="897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</row>
    <row r="113" spans="4:81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1"/>
        <v/>
      </c>
      <c r="M113" s="816" t="str">
        <f t="shared" si="52"/>
        <v/>
      </c>
      <c r="N113" s="816" t="str">
        <f t="shared" si="53"/>
        <v/>
      </c>
      <c r="R113" s="816" t="str">
        <f t="shared" si="54"/>
        <v/>
      </c>
      <c r="T113" s="829" t="str">
        <f t="shared" si="55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3"/>
      <c r="BE113" s="893"/>
      <c r="BF113" s="893"/>
      <c r="BG113" s="893"/>
      <c r="BH113" s="897"/>
      <c r="BI113" s="897"/>
      <c r="BJ113" s="897"/>
      <c r="BK113" s="893"/>
      <c r="BL113" s="897"/>
      <c r="BM113" s="897"/>
      <c r="BN113" s="897"/>
      <c r="BO113" s="893"/>
      <c r="BP113" s="897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</row>
    <row r="114" spans="4:81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1"/>
        <v/>
      </c>
      <c r="M114" s="816" t="str">
        <f t="shared" si="52"/>
        <v/>
      </c>
      <c r="N114" s="816" t="str">
        <f t="shared" si="53"/>
        <v/>
      </c>
      <c r="R114" s="816" t="str">
        <f t="shared" si="54"/>
        <v/>
      </c>
      <c r="T114" s="829" t="str">
        <f t="shared" si="55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3"/>
      <c r="BE114" s="893"/>
      <c r="BF114" s="893"/>
      <c r="BG114" s="893"/>
      <c r="BH114" s="897"/>
      <c r="BI114" s="897"/>
      <c r="BJ114" s="897"/>
      <c r="BK114" s="893"/>
      <c r="BL114" s="897"/>
      <c r="BM114" s="897"/>
      <c r="BN114" s="897"/>
      <c r="BO114" s="893"/>
      <c r="BP114" s="897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</row>
    <row r="115" spans="4:81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1"/>
        <v/>
      </c>
      <c r="M115" s="816" t="str">
        <f t="shared" si="52"/>
        <v/>
      </c>
      <c r="N115" s="816" t="str">
        <f t="shared" si="53"/>
        <v/>
      </c>
      <c r="R115" s="816" t="str">
        <f t="shared" si="54"/>
        <v/>
      </c>
      <c r="T115" s="829" t="str">
        <f t="shared" si="55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3"/>
      <c r="BE115" s="893"/>
      <c r="BF115" s="893"/>
      <c r="BG115" s="893"/>
      <c r="BH115" s="897"/>
      <c r="BI115" s="897"/>
      <c r="BJ115" s="897"/>
      <c r="BK115" s="893"/>
      <c r="BL115" s="897"/>
      <c r="BM115" s="897"/>
      <c r="BN115" s="897"/>
      <c r="BO115" s="893"/>
      <c r="BP115" s="897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</row>
    <row r="116" spans="4:81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1"/>
        <v/>
      </c>
      <c r="M116" s="816" t="str">
        <f t="shared" si="52"/>
        <v/>
      </c>
      <c r="N116" s="816" t="str">
        <f t="shared" si="53"/>
        <v/>
      </c>
      <c r="R116" s="816" t="str">
        <f t="shared" si="54"/>
        <v/>
      </c>
      <c r="T116" s="829" t="str">
        <f t="shared" si="55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3"/>
      <c r="BE116" s="893"/>
      <c r="BF116" s="893"/>
      <c r="BG116" s="893"/>
      <c r="BH116" s="897"/>
      <c r="BI116" s="897"/>
      <c r="BJ116" s="897"/>
      <c r="BK116" s="893"/>
      <c r="BL116" s="897"/>
      <c r="BM116" s="897"/>
      <c r="BN116" s="897"/>
      <c r="BO116" s="893"/>
      <c r="BP116" s="897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</row>
    <row r="117" spans="4:81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1"/>
        <v/>
      </c>
      <c r="M117" s="816" t="str">
        <f t="shared" si="52"/>
        <v/>
      </c>
      <c r="N117" s="816" t="str">
        <f t="shared" si="53"/>
        <v/>
      </c>
      <c r="R117" s="816" t="str">
        <f t="shared" si="54"/>
        <v/>
      </c>
      <c r="T117" s="829" t="str">
        <f t="shared" si="55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3"/>
      <c r="BE117" s="893"/>
      <c r="BF117" s="893"/>
      <c r="BG117" s="893"/>
      <c r="BH117" s="897"/>
      <c r="BI117" s="897"/>
      <c r="BJ117" s="897"/>
      <c r="BK117" s="893"/>
      <c r="BL117" s="897"/>
      <c r="BM117" s="897"/>
      <c r="BN117" s="897"/>
      <c r="BO117" s="893"/>
      <c r="BP117" s="897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</row>
    <row r="118" spans="4:81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1"/>
        <v/>
      </c>
      <c r="M118" s="816" t="str">
        <f t="shared" si="52"/>
        <v/>
      </c>
      <c r="N118" s="816" t="str">
        <f t="shared" si="53"/>
        <v/>
      </c>
      <c r="R118" s="816" t="str">
        <f t="shared" si="54"/>
        <v/>
      </c>
      <c r="T118" s="829" t="str">
        <f t="shared" si="55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3"/>
      <c r="BE118" s="893"/>
      <c r="BF118" s="893"/>
      <c r="BG118" s="893"/>
      <c r="BH118" s="897"/>
      <c r="BI118" s="897"/>
      <c r="BJ118" s="897"/>
      <c r="BK118" s="893"/>
      <c r="BL118" s="897"/>
      <c r="BM118" s="897"/>
      <c r="BN118" s="897"/>
      <c r="BO118" s="893"/>
      <c r="BP118" s="897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</row>
    <row r="119" spans="4:81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1"/>
        <v/>
      </c>
      <c r="M119" s="816" t="str">
        <f t="shared" si="52"/>
        <v/>
      </c>
      <c r="N119" s="816" t="str">
        <f t="shared" si="53"/>
        <v/>
      </c>
      <c r="R119" s="816" t="str">
        <f t="shared" si="54"/>
        <v/>
      </c>
      <c r="T119" s="829" t="str">
        <f t="shared" si="55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3"/>
      <c r="BE119" s="893"/>
      <c r="BF119" s="893"/>
      <c r="BG119" s="893"/>
      <c r="BH119" s="897"/>
      <c r="BI119" s="897"/>
      <c r="BJ119" s="897"/>
      <c r="BK119" s="893"/>
      <c r="BL119" s="897"/>
      <c r="BM119" s="897"/>
      <c r="BN119" s="897"/>
      <c r="BO119" s="893"/>
      <c r="BP119" s="897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</row>
    <row r="120" spans="4:81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1"/>
        <v/>
      </c>
      <c r="M120" s="816" t="str">
        <f t="shared" si="52"/>
        <v/>
      </c>
      <c r="N120" s="816" t="str">
        <f t="shared" si="53"/>
        <v/>
      </c>
      <c r="R120" s="816" t="str">
        <f t="shared" si="54"/>
        <v/>
      </c>
      <c r="T120" s="829" t="str">
        <f t="shared" si="55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3"/>
      <c r="BE120" s="893"/>
      <c r="BF120" s="893"/>
      <c r="BG120" s="893"/>
      <c r="BH120" s="897"/>
      <c r="BI120" s="897"/>
      <c r="BJ120" s="897"/>
      <c r="BK120" s="893"/>
      <c r="BL120" s="897"/>
      <c r="BM120" s="897"/>
      <c r="BN120" s="897"/>
      <c r="BO120" s="893"/>
      <c r="BP120" s="897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</row>
    <row r="121" spans="4:81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1"/>
        <v/>
      </c>
      <c r="M121" s="816" t="str">
        <f t="shared" si="52"/>
        <v/>
      </c>
      <c r="N121" s="816" t="str">
        <f t="shared" si="53"/>
        <v/>
      </c>
      <c r="R121" s="816" t="str">
        <f t="shared" si="54"/>
        <v/>
      </c>
      <c r="T121" s="829" t="str">
        <f t="shared" si="55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3"/>
      <c r="BE121" s="893"/>
      <c r="BF121" s="893"/>
      <c r="BG121" s="893"/>
      <c r="BH121" s="897"/>
      <c r="BI121" s="897"/>
      <c r="BJ121" s="897"/>
      <c r="BK121" s="893"/>
      <c r="BL121" s="897"/>
      <c r="BM121" s="897"/>
      <c r="BN121" s="897"/>
      <c r="BO121" s="893"/>
      <c r="BP121" s="897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</row>
    <row r="122" spans="4:81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1"/>
        <v/>
      </c>
      <c r="M122" s="816" t="str">
        <f t="shared" si="52"/>
        <v/>
      </c>
      <c r="N122" s="816" t="str">
        <f t="shared" si="53"/>
        <v/>
      </c>
      <c r="R122" s="816" t="str">
        <f t="shared" si="54"/>
        <v/>
      </c>
      <c r="T122" s="829" t="str">
        <f t="shared" si="55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3"/>
      <c r="BE122" s="893"/>
      <c r="BF122" s="893"/>
      <c r="BG122" s="893"/>
      <c r="BH122" s="897"/>
      <c r="BI122" s="897"/>
      <c r="BJ122" s="897"/>
      <c r="BK122" s="893"/>
      <c r="BL122" s="897"/>
      <c r="BM122" s="897"/>
      <c r="BN122" s="897"/>
      <c r="BO122" s="893"/>
      <c r="BP122" s="897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</row>
    <row r="123" spans="4:81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1"/>
        <v/>
      </c>
      <c r="M123" s="816" t="str">
        <f t="shared" si="52"/>
        <v/>
      </c>
      <c r="N123" s="816" t="str">
        <f t="shared" si="53"/>
        <v/>
      </c>
      <c r="R123" s="816" t="str">
        <f t="shared" si="54"/>
        <v/>
      </c>
      <c r="T123" s="829" t="str">
        <f t="shared" si="55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W123" s="897"/>
      <c r="AX123" s="897"/>
      <c r="AY123" s="897"/>
      <c r="AZ123" s="897"/>
      <c r="BA123" s="897"/>
      <c r="BB123" s="897"/>
      <c r="BC123" s="897"/>
      <c r="BD123" s="893"/>
      <c r="BE123" s="893"/>
      <c r="BF123" s="893"/>
      <c r="BG123" s="893"/>
      <c r="BH123" s="897"/>
      <c r="BI123" s="897"/>
      <c r="BJ123" s="897"/>
      <c r="BK123" s="893"/>
      <c r="BL123" s="897"/>
      <c r="BM123" s="897"/>
      <c r="BN123" s="897"/>
      <c r="BO123" s="893"/>
      <c r="BP123" s="897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</row>
    <row r="124" spans="4:81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1"/>
        <v/>
      </c>
      <c r="M124" s="816" t="str">
        <f t="shared" si="52"/>
        <v/>
      </c>
      <c r="N124" s="816" t="str">
        <f t="shared" si="53"/>
        <v/>
      </c>
      <c r="R124" s="816" t="str">
        <f t="shared" si="54"/>
        <v/>
      </c>
      <c r="T124" s="829" t="str">
        <f t="shared" si="55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</row>
    <row r="125" spans="4:81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1"/>
        <v/>
      </c>
      <c r="M125" s="816" t="str">
        <f t="shared" si="52"/>
        <v/>
      </c>
      <c r="N125" s="816" t="str">
        <f t="shared" si="53"/>
        <v/>
      </c>
      <c r="R125" s="816" t="str">
        <f t="shared" si="54"/>
        <v/>
      </c>
      <c r="T125" s="829" t="str">
        <f t="shared" si="55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</row>
    <row r="126" spans="4:81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1"/>
        <v/>
      </c>
      <c r="M126" s="816" t="str">
        <f t="shared" si="52"/>
        <v/>
      </c>
      <c r="N126" s="816" t="str">
        <f t="shared" si="53"/>
        <v/>
      </c>
      <c r="R126" s="816" t="str">
        <f t="shared" si="54"/>
        <v/>
      </c>
      <c r="T126" s="829" t="str">
        <f t="shared" si="55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</row>
    <row r="127" spans="4:81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1"/>
        <v/>
      </c>
      <c r="M127" s="816" t="str">
        <f t="shared" si="52"/>
        <v/>
      </c>
      <c r="N127" s="816" t="str">
        <f t="shared" si="53"/>
        <v/>
      </c>
      <c r="R127" s="816" t="str">
        <f t="shared" si="54"/>
        <v/>
      </c>
      <c r="T127" s="829" t="str">
        <f t="shared" si="55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1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1"/>
        <v/>
      </c>
      <c r="M128" s="816" t="str">
        <f t="shared" si="52"/>
        <v/>
      </c>
      <c r="N128" s="816" t="str">
        <f t="shared" si="53"/>
        <v/>
      </c>
      <c r="R128" s="816" t="str">
        <f t="shared" si="54"/>
        <v/>
      </c>
      <c r="T128" s="829" t="str">
        <f t="shared" si="55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51"/>
        <v/>
      </c>
      <c r="M129" s="816" t="str">
        <f t="shared" si="52"/>
        <v/>
      </c>
      <c r="N129" s="816" t="str">
        <f t="shared" si="53"/>
        <v/>
      </c>
      <c r="R129" s="816" t="str">
        <f t="shared" si="54"/>
        <v/>
      </c>
      <c r="T129" s="829" t="str">
        <f t="shared" si="55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</sheetData>
  <autoFilter ref="A22:DG76"/>
  <mergeCells count="3">
    <mergeCell ref="W19:X19"/>
    <mergeCell ref="Y19:Z19"/>
    <mergeCell ref="AA19:AB19"/>
  </mergeCells>
  <phoneticPr fontId="21" type="noConversion"/>
  <conditionalFormatting sqref="AD23:AD306">
    <cfRule type="cellIs" dxfId="1235" priority="61" operator="equal">
      <formula>"T"</formula>
    </cfRule>
  </conditionalFormatting>
  <conditionalFormatting sqref="N23:N306">
    <cfRule type="cellIs" dxfId="1234" priority="68" stopIfTrue="1" operator="equal">
      <formula>"U"</formula>
    </cfRule>
    <cfRule type="cellIs" dxfId="1233" priority="69" stopIfTrue="1" operator="equal">
      <formula>"O"</formula>
    </cfRule>
  </conditionalFormatting>
  <conditionalFormatting sqref="L23:L306">
    <cfRule type="cellIs" dxfId="1232" priority="66" stopIfTrue="1" operator="equal">
      <formula>"W"</formula>
    </cfRule>
    <cfRule type="cellIs" dxfId="1231" priority="67" stopIfTrue="1" operator="equal">
      <formula>"D"</formula>
    </cfRule>
  </conditionalFormatting>
  <conditionalFormatting sqref="AF23:AF306">
    <cfRule type="cellIs" dxfId="1230" priority="64" stopIfTrue="1" operator="notEqual">
      <formula>11</formula>
    </cfRule>
    <cfRule type="cellIs" dxfId="1229" priority="65" stopIfTrue="1" operator="between">
      <formula>0</formula>
      <formula>20</formula>
    </cfRule>
  </conditionalFormatting>
  <conditionalFormatting sqref="AE23:AE306">
    <cfRule type="cellIs" dxfId="1228" priority="62" stopIfTrue="1" operator="notEqual">
      <formula>0</formula>
    </cfRule>
    <cfRule type="cellIs" dxfId="1227" priority="63" stopIfTrue="1" operator="between">
      <formula>0</formula>
      <formula>20</formula>
    </cfRule>
  </conditionalFormatting>
  <conditionalFormatting sqref="CF19:CW19">
    <cfRule type="expression" dxfId="1226" priority="57">
      <formula>CF19="G"</formula>
    </cfRule>
    <cfRule type="expression" dxfId="1225" priority="58">
      <formula>CF19="M"</formula>
    </cfRule>
    <cfRule type="expression" dxfId="1224" priority="59">
      <formula>CF19="D"</formula>
    </cfRule>
    <cfRule type="expression" dxfId="1223" priority="60">
      <formula>CF19="A"</formula>
    </cfRule>
  </conditionalFormatting>
  <conditionalFormatting sqref="BN19:CE19 AK19:AU19 AW19:BI19">
    <cfRule type="expression" dxfId="1222" priority="53">
      <formula>AK19="G"</formula>
    </cfRule>
    <cfRule type="expression" dxfId="1221" priority="54">
      <formula>OR(AK19="M",AK19="CM",AK19="LM",AK19="RM",AK19="DM",AK19="AM")</formula>
    </cfRule>
    <cfRule type="expression" dxfId="1220" priority="55">
      <formula>OR(AK19="D",AK19="CB",AK19="LB",AK19="RB")</formula>
    </cfRule>
    <cfRule type="expression" dxfId="1219" priority="56">
      <formula>OR(AK19="A",AK19="CF",AK19="SS",AK19="ST",AK19="RW",AK19="LW")</formula>
    </cfRule>
  </conditionalFormatting>
  <conditionalFormatting sqref="BK23:BU25 AW23:BI25 AW64:BO70 AG23:AU70 AW26:BU65">
    <cfRule type="expression" dxfId="1218" priority="51">
      <formula>IF(ISNUMBER(VALUE(RIGHT(AG23,1))),1,0)</formula>
    </cfRule>
  </conditionalFormatting>
  <conditionalFormatting sqref="BX16:CD16 BO16:BS16 AG16:BI16">
    <cfRule type="top10" dxfId="1217" priority="70" stopIfTrue="1" rank="5"/>
  </conditionalFormatting>
  <conditionalFormatting sqref="BX15:CD15 BO15:BS15 AG15:BI15">
    <cfRule type="top10" dxfId="1216" priority="71" rank="11"/>
  </conditionalFormatting>
  <conditionalFormatting sqref="BX17:CD17 BO17:BS17 AG17:BI17">
    <cfRule type="top10" dxfId="1215" priority="72" stopIfTrue="1" rank="5"/>
  </conditionalFormatting>
  <conditionalFormatting sqref="BX14:CD14 BO14:BS14 AG14:BI14">
    <cfRule type="top10" dxfId="1214" priority="73" rank="11"/>
  </conditionalFormatting>
  <conditionalFormatting sqref="AG67:AU68 AW67:BK68">
    <cfRule type="expression" dxfId="1213" priority="50">
      <formula>IF(ISNUMBER(VALUE(RIGHT(AG67,1))),1,0)</formula>
    </cfRule>
  </conditionalFormatting>
  <conditionalFormatting sqref="AG19:AU19 AW19:BI19">
    <cfRule type="cellIs" dxfId="1212" priority="49" operator="equal">
      <formula>"M"</formula>
    </cfRule>
  </conditionalFormatting>
  <conditionalFormatting sqref="AG19:AU19 AW19:BI19">
    <cfRule type="cellIs" dxfId="1211" priority="48" operator="equal">
      <formula>"D"</formula>
    </cfRule>
  </conditionalFormatting>
  <conditionalFormatting sqref="AG19:AU19 AW19:BI19">
    <cfRule type="cellIs" dxfId="1210" priority="46" operator="equal">
      <formula>"G"</formula>
    </cfRule>
    <cfRule type="cellIs" dxfId="1209" priority="47" operator="equal">
      <formula>"A"</formula>
    </cfRule>
  </conditionalFormatting>
  <conditionalFormatting sqref="AG19:AU19 AW19:BI19">
    <cfRule type="containsText" dxfId="1208" priority="43" operator="containsText" text="FW">
      <formula>NOT(ISERROR(SEARCH("FW",AG19)))</formula>
    </cfRule>
    <cfRule type="containsText" dxfId="1207" priority="44" operator="containsText" text="MF">
      <formula>NOT(ISERROR(SEARCH("MF",AG19)))</formula>
    </cfRule>
    <cfRule type="containsText" dxfId="1206" priority="45" operator="containsText" text="DF">
      <formula>NOT(ISERROR(SEARCH("DF",AG19)))</formula>
    </cfRule>
  </conditionalFormatting>
  <conditionalFormatting sqref="BN14:BN17">
    <cfRule type="top10" dxfId="1205" priority="42" rank="11"/>
  </conditionalFormatting>
  <conditionalFormatting sqref="BJ14:BM17">
    <cfRule type="top10" dxfId="1204" priority="41" rank="11"/>
  </conditionalFormatting>
  <conditionalFormatting sqref="AV19">
    <cfRule type="expression" dxfId="1203" priority="8">
      <formula>AV19="G"</formula>
    </cfRule>
    <cfRule type="expression" dxfId="1202" priority="9">
      <formula>OR(AV19="M",AV19="CM",AV19="LM",AV19="RM",AV19="DM",AV19="AM")</formula>
    </cfRule>
    <cfRule type="expression" dxfId="1201" priority="10">
      <formula>OR(AV19="D",AV19="CB",AV19="LB",AV19="RB")</formula>
    </cfRule>
    <cfRule type="expression" dxfId="1200" priority="11">
      <formula>OR(AV19="A",AV19="CF",AV19="SS",AV19="ST",AV19="RW",AV19="LW")</formula>
    </cfRule>
  </conditionalFormatting>
  <conditionalFormatting sqref="AV19">
    <cfRule type="cellIs" dxfId="1199" priority="7" operator="equal">
      <formula>"M"</formula>
    </cfRule>
  </conditionalFormatting>
  <conditionalFormatting sqref="AV19">
    <cfRule type="cellIs" dxfId="1198" priority="6" operator="equal">
      <formula>"D"</formula>
    </cfRule>
  </conditionalFormatting>
  <conditionalFormatting sqref="AV19">
    <cfRule type="cellIs" dxfId="1197" priority="4" operator="equal">
      <formula>"G"</formula>
    </cfRule>
    <cfRule type="cellIs" dxfId="1196" priority="5" operator="equal">
      <formula>"A"</formula>
    </cfRule>
  </conditionalFormatting>
  <conditionalFormatting sqref="AV19">
    <cfRule type="containsText" dxfId="1195" priority="1" operator="containsText" text="FW">
      <formula>NOT(ISERROR(SEARCH("FW",AV19)))</formula>
    </cfRule>
    <cfRule type="containsText" dxfId="1194" priority="2" operator="containsText" text="MF">
      <formula>NOT(ISERROR(SEARCH("MF",AV19)))</formula>
    </cfRule>
    <cfRule type="containsText" dxfId="1193" priority="3" operator="containsText" text="DF">
      <formula>NOT(ISERROR(SEARCH("DF",AV19)))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$I23:$I238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33879A7F-8BFA-436D-8817-F99B794404D5}">
            <xm:f>IF(ISNUMBER(VALUE(RIGHT('Kamatamare Sanuki'!AW57,1))),1,0)</xm:f>
            <x14:dxf>
              <font>
                <b/>
                <i val="0"/>
                <color rgb="FF00B0F0"/>
              </font>
            </x14:dxf>
          </x14:cfRule>
          <xm:sqref>AV56:AV62</xm:sqref>
        </x14:conditionalFormatting>
        <x14:conditionalFormatting xmlns:xm="http://schemas.microsoft.com/office/excel/2006/main">
          <x14:cfRule type="expression" priority="1074" id="{33879A7F-8BFA-436D-8817-F99B794404D5}">
            <xm:f>IF(ISNUMBER(VALUE(RIGHT('Kamatamare Sanuki'!AW50,1))),1,0)</xm:f>
            <x14:dxf>
              <font>
                <b/>
                <i val="0"/>
                <color rgb="FF00B0F0"/>
              </font>
            </x14:dxf>
          </x14:cfRule>
          <xm:sqref>AV64:AV71 AV50:AV55</xm:sqref>
        </x14:conditionalFormatting>
        <x14:conditionalFormatting xmlns:xm="http://schemas.microsoft.com/office/excel/2006/main">
          <x14:cfRule type="expression" priority="1118" id="{33879A7F-8BFA-436D-8817-F99B794404D5}">
            <xm:f>IF(ISNUMBER(VALUE(RIGHT('Kamatamare Sanuki'!AW56,1))),1,0)</xm:f>
            <x14:dxf>
              <font>
                <b/>
                <i val="0"/>
                <color rgb="FF00B0F0"/>
              </font>
            </x14:dxf>
          </x14:cfRule>
          <xm:sqref>AV63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P234"/>
  <sheetViews>
    <sheetView zoomScale="85" zoomScaleNormal="85" workbookViewId="0">
      <pane xSplit="32" ySplit="22" topLeftCell="AG50" activePane="bottomRight" state="frozen"/>
      <selection activeCell="AB20" sqref="AB20"/>
      <selection pane="topRight" activeCell="AB20" sqref="AB20"/>
      <selection pane="bottomLeft" activeCell="AB20" sqref="AB20"/>
      <selection pane="bottomRight" activeCell="Q46" sqref="Q4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56" width="3.75" style="230" customWidth="1"/>
    <col min="57" max="57" width="3.75" bestFit="1" customWidth="1"/>
    <col min="58" max="58" width="3.75" customWidth="1"/>
    <col min="59" max="62" width="3.75" style="230" customWidth="1"/>
    <col min="63" max="64" width="3.75" bestFit="1" customWidth="1"/>
    <col min="65" max="65" width="3.75" style="230" customWidth="1"/>
    <col min="66" max="66" width="3.75" customWidth="1"/>
    <col min="67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K1" s="814" t="e">
        <f>#REF!</f>
        <v>#REF!</v>
      </c>
      <c r="AL1" s="814" t="e">
        <f>#REF!</f>
        <v>#REF!</v>
      </c>
      <c r="AM1" s="814"/>
      <c r="AN1" s="814" t="e">
        <f>#REF!</f>
        <v>#REF!</v>
      </c>
      <c r="AO1" s="814" t="e">
        <f>#REF!</f>
        <v>#REF!</v>
      </c>
      <c r="AP1" s="814" t="e">
        <f>#REF!</f>
        <v>#REF!</v>
      </c>
      <c r="AQ1" s="814"/>
      <c r="AR1" s="814"/>
      <c r="AS1" s="814"/>
      <c r="AT1" s="814"/>
      <c r="AU1" s="814" t="str">
        <f>AI20</f>
        <v>Kenta Watanabe</v>
      </c>
      <c r="AV1" s="814" t="str">
        <f>AJ20</f>
        <v>Kodai Fujii</v>
      </c>
      <c r="AW1" s="814" t="str">
        <f>AK20</f>
        <v>Boris Tatar</v>
      </c>
      <c r="AX1" s="814" t="str">
        <f>AL20</f>
        <v>Kota Fukatsu</v>
      </c>
      <c r="AY1" s="814" t="str">
        <f>BF20</f>
        <v>Yuki Nakashima</v>
      </c>
      <c r="AZ1" s="814" t="str">
        <f>AN20</f>
        <v>Ryota Matsumoto</v>
      </c>
      <c r="BA1" s="814"/>
      <c r="BB1" s="814" t="e">
        <f>#REF!</f>
        <v>#REF!</v>
      </c>
      <c r="BC1" s="814" t="str">
        <f>AP20</f>
        <v>Song-Gi Kim</v>
      </c>
      <c r="BD1" s="814" t="str">
        <f>AR20</f>
        <v>Naoki Otani</v>
      </c>
      <c r="BG1" s="814"/>
      <c r="BH1" s="814"/>
      <c r="BI1" s="814"/>
      <c r="BJ1" s="814"/>
      <c r="BM1" s="814" t="str">
        <f>AV20</f>
        <v>Hiroki Todaka</v>
      </c>
      <c r="BO1" s="814" t="e">
        <f>#REF!</f>
        <v>#REF!</v>
      </c>
      <c r="BQ1" s="814" t="str">
        <f>BD20</f>
        <v>Junki Endo</v>
      </c>
      <c r="BR1" s="814" t="str">
        <f>BE20</f>
        <v>Akira Toshima</v>
      </c>
      <c r="BS1" s="814" t="e">
        <f>#REF!</f>
        <v>#REF!</v>
      </c>
      <c r="BT1" s="814"/>
      <c r="BU1" s="814"/>
      <c r="BV1" s="814"/>
      <c r="BW1" s="814"/>
      <c r="BX1" s="814">
        <f t="shared" ref="BX1:CD1" si="0">BX20</f>
        <v>0</v>
      </c>
      <c r="BY1" s="814">
        <f t="shared" si="0"/>
        <v>0</v>
      </c>
      <c r="BZ1" s="814">
        <f t="shared" si="0"/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si="0"/>
        <v>0</v>
      </c>
      <c r="CE1" s="814">
        <f t="shared" ref="CE1:CK1" si="1">CE20</f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  <c r="CK1" s="814">
        <f t="shared" si="1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SUM(IF(L$23:L$236="",0,1)*IF(ISBLANK($T$1),1,IF($I$23:$I$236=$T$1,1,0)))</f>
        <v>43</v>
      </c>
      <c r="AG2" s="874">
        <f t="array" ref="AG2">SUM(IF(ISBLANK(AG$23:AG$236),0,IF(AG$23:AG$236="susp",0,1))*IF(ISBLANK($T$1),1,IF($I$23:$I$236=$T$1,1,0)))</f>
        <v>42</v>
      </c>
      <c r="AH2" s="874">
        <f t="array" ref="AH2">SUM(IF(ISBLANK(AH$23:AH$236),0,IF(AH$23:AH$236="susp",0,1))*IF(ISBLANK($T$1),1,IF($I$23:$I$236=$T$1,1,0)))</f>
        <v>43</v>
      </c>
      <c r="AI2" s="874">
        <f t="array" ref="AI2">SUM(IF(ISBLANK(AI$23:AI$236),0,IF(AI$23:AI$236="susp",0,1))*IF(ISBLANK($T$1),1,IF($I$23:$I$236=$T$1,1,0)))</f>
        <v>40</v>
      </c>
      <c r="AK2" s="874">
        <f t="array" ref="AK2">SUM(IF(ISBLANK(AK$23:AK$236),0,IF(AK$23:AK$236="susp",0,1))*IF(ISBLANK($T$1),1,IF($I$23:$I$236=$T$1,1,0)))</f>
        <v>41</v>
      </c>
      <c r="AL2" s="874">
        <f t="array" ref="AL2">SUM(IF(ISBLANK(AL$23:AL$236),0,IF(AL$23:AL$236="susp",0,1))*IF(ISBLANK($T$1),1,IF($I$23:$I$236=$T$1,1,0)))</f>
        <v>43</v>
      </c>
      <c r="AN2" s="874">
        <f t="array" ref="AN2">SUM(IF(ISBLANK(AN$23:AN$236),0,IF(AN$23:AN$236="susp",0,1))*IF(ISBLANK($T$1),1,IF($I$23:$I$236=$T$1,1,0)))</f>
        <v>43</v>
      </c>
      <c r="AO2" s="874">
        <f t="array" ref="AO2">SUM(IF(ISBLANK(AO$23:AO$236),0,IF(AO$23:AO$236="susp",0,1))*IF(ISBLANK($T$1),1,IF($I$23:$I$236=$T$1,1,0)))</f>
        <v>40</v>
      </c>
      <c r="AP2" s="874">
        <f t="array" ref="AP2">SUM(IF(ISBLANK(AP$23:AP$236),0,IF(AP$23:AP$236="susp",0,1))*IF(ISBLANK($T$1),1,IF($I$23:$I$236=$T$1,1,0)))</f>
        <v>42</v>
      </c>
      <c r="AU2" s="874">
        <f t="array" ref="AU2">SUM(IF(ISBLANK(AU$26:AU$236),0,IF(AU$26:AU$236="susp",0,1))*IF(ISBLANK($T$1),1,IF($I$23:$I$236=$T$1,1,0)))</f>
        <v>39</v>
      </c>
      <c r="AV2" s="874">
        <f t="array" ref="AV2">SUM(IF(ISBLANK(AV$23:AV$236),0,IF(AV$23:AV$236="susp",0,1))*IF(ISBLANK($T$1),1,IF($I$23:$I$236=$T$1,1,0)))</f>
        <v>39</v>
      </c>
      <c r="AW2" s="874">
        <f t="array" ref="AW2">SUM(IF(ISBLANK(AW$23:AW$236),0,IF(AW$23:AW$236="susp",0,1))*IF(ISBLANK($T$1),1,IF($I$23:$I$236=$T$1,1,0)))</f>
        <v>43</v>
      </c>
      <c r="AX2" s="874">
        <f t="array" ref="AX2">SUM(IF(ISBLANK(AX$23:AX$236),0,IF(AX$23:AX$236="susp",0,1))*IF(ISBLANK($T$1),1,IF($I$23:$I$236=$T$1,1,0)))</f>
        <v>43</v>
      </c>
      <c r="AY2" s="874">
        <f t="array" ref="AY2">SUM(IF(ISBLANK(AY$23:AY$236),0,IF(AY$23:AY$236="susp",0,1))*IF(ISBLANK($T$1),1,IF($I$23:$I$236=$T$1,1,0)))</f>
        <v>42</v>
      </c>
      <c r="AZ2" s="874">
        <f t="array" ref="AZ2">SUM(IF(ISBLANK(AZ$23:AZ$236),0,IF(AZ$23:AZ$236="susp",0,1))*IF(ISBLANK($T$1),1,IF($I$23:$I$236=$T$1,1,0)))</f>
        <v>42</v>
      </c>
      <c r="BB2" s="874">
        <f t="array" ref="BB2">SUM(IF(ISBLANK(BB$30:BB$236),0,IF(BB$30:BB$236="susp",0,1))*IF(ISBLANK($T$1),1,IF($I$23:$I$236=$T$1,1,0)))</f>
        <v>35</v>
      </c>
      <c r="BC2" s="874">
        <f t="array" ref="BC2">SUM(IF(ISBLANK(BC$23:BC$236),0,IF(BC$23:BC$236="susp",0,1))*IF(ISBLANK($T$1),1,IF($I$23:$I$236=$T$1,1,0)))</f>
        <v>42</v>
      </c>
      <c r="BD2" s="874">
        <f t="array" ref="BD2">SUM(IF(ISBLANK(BD$23:BD$236),0,IF(BD$23:BD$236="susp",0,1))*IF(ISBLANK($T$1),1,IF($I$23:$I$236=$T$1,1,0)))</f>
        <v>42</v>
      </c>
      <c r="BM2" s="874">
        <f t="array" ref="BM2">SUM(IF(ISBLANK(BM$23:BM$236),0,IF(BM$23:BM$236="susp",0,1))*IF(ISBLANK($T$1),1,IF($I$23:$I$236=$T$1,1,0)))</f>
        <v>0</v>
      </c>
      <c r="BO2" s="874">
        <f t="array" ref="BO2">SUM(IF(ISBLANK(BO$67:BO$236),0,IF(BO$67:BO$236="susp",0,1))*IF(ISBLANK($T$1),1,IF($I$23:$I$236=$T$1,1,0)))</f>
        <v>0</v>
      </c>
      <c r="BQ2" s="874">
        <f t="array" ref="BQ2">SUM(IF(ISBLANK(BQ$23:BQ$236),0,IF(BQ$23:BQ$236="susp",0,1))*IF(ISBLANK($T$1),1,IF($I$23:$I$236=$T$1,1,0)))</f>
        <v>0</v>
      </c>
      <c r="BR2" s="874">
        <f t="array" ref="BR2">SUM(IF(ISBLANK(BR$23:BR$236),0,IF(BR$23:BR$236="susp",0,1))*IF(ISBLANK($T$1),1,IF($I$23:$I$236=$T$1,1,0)))</f>
        <v>1</v>
      </c>
      <c r="BS2" s="874">
        <f t="array" ref="BS2">SUM(IF(ISBLANK(BS$41:BS$236),0,IF(BS$41:BS$236="susp",0,1))*IF(ISBLANK($T$1),1,IF($I$23:$I$236=$T$1,1,0)))</f>
        <v>1</v>
      </c>
      <c r="BX2" s="874">
        <f t="array" ref="BX2">SUM(IF(ISBLANK(BX$23:BX$236),0,IF(BX$23:BX$236="susp",0,1))*IF(ISBLANK($T$1),1,IF($I$23:$I$236=$T$1,1,0)))</f>
        <v>1</v>
      </c>
      <c r="BY2" s="874">
        <f t="array" ref="BY2">SUM(IF(ISBLANK(BY$23:BY$236),0,IF(BY$23:BY$236="susp",0,1))*IF(ISBLANK($T$1),1,IF($I$23:$I$236=$T$1,1,0)))</f>
        <v>1</v>
      </c>
      <c r="BZ2" s="874">
        <f t="array" ref="BZ2">SUM(IF(ISBLANK(BZ$23:BZ$236),0,IF(BZ$23:BZ$236="susp",0,1))*IF(ISBLANK($T$1),1,IF($I$23:$I$236=$T$1,1,0)))</f>
        <v>0</v>
      </c>
      <c r="CA2" s="874">
        <f t="array" ref="CA2">SUM(IF(ISBLANK(CA$23:CA$236),0,IF(CA$23:CA$236="susp",0,1))*IF(ISBLANK($T$1),1,IF($I$23:$I$236=$T$1,1,0)))</f>
        <v>0</v>
      </c>
      <c r="CB2" s="874">
        <f t="array" ref="CB2">SUM(IF(ISBLANK(CB$23:CB$236),0,IF(CB$23:CB$236="susp",0,1))*IF(ISBLANK($T$1),1,IF($I$23:$I$236=$T$1,1,0)))</f>
        <v>0</v>
      </c>
      <c r="CC2" s="874">
        <f t="array" ref="CC2">SUM(IF(ISBLANK(CC$23:CC$236),0,IF(CC$23:CC$236="susp",0,1))*IF(ISBLANK($T$1),1,IF($I$23:$I$236=$T$1,1,0)))</f>
        <v>0</v>
      </c>
      <c r="CD2" s="874">
        <f t="array" ref="CD2">SUM(IF(ISBLANK(CD$23:CD$236),0,IF(CD$23:CD$236="susp",0,1))*IF(ISBLANK($T$1),1,IF($I$23:$I$236=$T$1,1,0)))</f>
        <v>0</v>
      </c>
      <c r="CE2" s="874">
        <f t="array" ref="CE2">SUM(IF(ISBLANK(CE$23:CE$236),0,IF(CE$23:CE$236="susp",0,1))*IF(ISBLANK($T$1),1,IF($I$23:$I$236=$T$1,1,0)))</f>
        <v>0</v>
      </c>
      <c r="CF2" s="874">
        <f t="array" ref="CF2">SUM(IF(ISBLANK(CF$23:CF$236),0,IF(CF$23:CF$236="susp",0,1))*IF(ISBLANK($T$1),1,IF($I$23:$I$236=$T$1,1,0)))</f>
        <v>0</v>
      </c>
      <c r="CG2" s="874">
        <f t="array" ref="CG2">SUM(IF(ISBLANK(CG$23:CG$236),0,IF(CG$23:CG$236="susp",0,1))*IF(ISBLANK($T$1),1,IF($I$23:$I$236=$T$1,1,0)))</f>
        <v>0</v>
      </c>
      <c r="CH2" s="874">
        <f t="array" ref="CH2">SUM(IF(ISBLANK(CH$23:CH$236),0,IF(CH$23:CH$236="susp",0,1))*IF(ISBLANK($T$1),1,IF($I$23:$I$236=$T$1,1,0)))</f>
        <v>0</v>
      </c>
      <c r="CI2" s="874">
        <f t="array" ref="CI2">SUM(IF(ISBLANK(CI$23:CI$236),0,IF(CI$23:CI$236="susp",0,1))*IF(ISBLANK($T$1),1,IF($I$23:$I$236=$T$1,1,0)))</f>
        <v>16</v>
      </c>
      <c r="CJ2" s="874">
        <f t="array" ref="CJ2">SUM(IF(ISBLANK(CJ$23:CJ$236),0,IF(CJ$23:CJ$236="susp",0,1))*IF(ISBLANK($T$1),1,IF($I$23:$I$236=$T$1,1,0)))</f>
        <v>16</v>
      </c>
      <c r="CK2" s="874">
        <f t="array" ref="CK2">SUM(IF(ISBLANK(CK$23:CK$236),0,IF(CK$23:CK$236="susp",0,1))*IF(ISBLANK($T$1),1,IF($I$23:$I$236=$T$1,1,0)))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SUM(IF(L$23:L$236="W",1,0)*IF(ISBLANK($T$1),1,IF($I$23:$I$236=$T$1,1,0)))</f>
        <v>11</v>
      </c>
      <c r="AG3" s="874">
        <f t="array" ref="AG3">SUM(IF(ISTEXT(AG$23:AG$236),1,0)*IF(($L$23:$L$236)="W",1,0)*IF(ISBLANK($T$1),1,IF($I$23:$I$236=$T$1,1,0)))</f>
        <v>11</v>
      </c>
      <c r="AH3" s="874">
        <f t="array" ref="AH3">SUM(IF(ISTEXT(AH$23:AH$236),1,0)*IF(($L$23:$L$236)="W",1,0)*IF(ISBLANK($T$1),1,IF($I$23:$I$236=$T$1,1,0)))</f>
        <v>11</v>
      </c>
      <c r="AI3" s="874">
        <f t="array" ref="AI3">SUM(IF(ISTEXT(AI$23:AI$236),1,0)*IF(($L$23:$L$236)="W",1,0)*IF(ISBLANK($T$1),1,IF($I$23:$I$236=$T$1,1,0)))</f>
        <v>11</v>
      </c>
      <c r="AK3" s="874">
        <f t="array" ref="AK3">SUM(IF(ISTEXT(AK$23:AK$236),1,0)*IF(($L$23:$L$236)="W",1,0)*IF(ISBLANK($T$1),1,IF($I$23:$I$236=$T$1,1,0)))</f>
        <v>11</v>
      </c>
      <c r="AL3" s="874">
        <f t="array" ref="AL3">SUM(IF(ISTEXT(AL$23:AL$236),1,0)*IF(($L$23:$L$236)="W",1,0)*IF(ISBLANK($T$1),1,IF($I$23:$I$236=$T$1,1,0)))</f>
        <v>11</v>
      </c>
      <c r="AN3" s="874">
        <f t="array" ref="AN3">SUM(IF(ISTEXT(AN$23:AN$236),1,0)*IF(($L$23:$L$236)="W",1,0)*IF(ISBLANK($T$1),1,IF($I$23:$I$236=$T$1,1,0)))</f>
        <v>11</v>
      </c>
      <c r="AO3" s="874">
        <f t="array" ref="AO3">SUM(IF(ISTEXT(AO$23:AO$236),1,0)*IF(($L$23:$L$236)="W",1,0)*IF(ISBLANK($T$1),1,IF($I$23:$I$236=$T$1,1,0)))</f>
        <v>11</v>
      </c>
      <c r="AP3" s="874">
        <f t="array" ref="AP3">SUM(IF(ISTEXT(AP$23:AP$236),1,0)*IF(($L$23:$L$236)="W",1,0)*IF(ISBLANK($T$1),1,IF($I$23:$I$236=$T$1,1,0)))</f>
        <v>11</v>
      </c>
      <c r="AU3" s="874" t="e">
        <f t="array" ref="AU3">SUM(IF(ISTEXT(AU$26:AU$236),1,0)*IF(($L$23:$L$236)="W",1,0)*IF(ISBLANK($T$1),1,IF($I$23:$I$236=$T$1,1,0)))</f>
        <v>#N/A</v>
      </c>
      <c r="AV3" s="874">
        <f t="array" ref="AV3">SUM(IF(ISTEXT(AV$23:AV$236),1,0)*IF(($L$23:$L$236)="W",1,0)*IF(ISBLANK($T$1),1,IF($I$23:$I$236=$T$1,1,0)))</f>
        <v>11</v>
      </c>
      <c r="AW3" s="874">
        <f t="array" ref="AW3">SUM(IF(ISTEXT(AW$23:AW$236),1,0)*IF(($L$23:$L$236)="W",1,0)*IF(ISBLANK($T$1),1,IF($I$23:$I$236=$T$1,1,0)))</f>
        <v>11</v>
      </c>
      <c r="AX3" s="874">
        <f t="array" ref="AX3">SUM(IF(ISTEXT(AX$23:AX$236),1,0)*IF(($L$23:$L$236)="W",1,0)*IF(ISBLANK($T$1),1,IF($I$23:$I$236=$T$1,1,0)))</f>
        <v>11</v>
      </c>
      <c r="AY3" s="874">
        <f t="array" ref="AY3">SUM(IF(ISTEXT(AY$23:AY$236),1,0)*IF(($L$23:$L$236)="W",1,0)*IF(ISBLANK($T$1),1,IF($I$23:$I$236=$T$1,1,0)))</f>
        <v>11</v>
      </c>
      <c r="AZ3" s="874">
        <f t="array" ref="AZ3">SUM(IF(ISTEXT(AZ$23:AZ$236),1,0)*IF(($L$23:$L$236)="W",1,0)*IF(ISBLANK($T$1),1,IF($I$23:$I$236=$T$1,1,0)))</f>
        <v>11</v>
      </c>
      <c r="BB3" s="874" t="e">
        <f t="array" ref="BB3">SUM(IF(ISTEXT(BB$30:BB$236),1,0)*IF(($L$23:$L$236)="W",1,0)*IF(ISBLANK($T$1),1,IF($I$23:$I$236=$T$1,1,0)))</f>
        <v>#N/A</v>
      </c>
      <c r="BC3" s="874">
        <f t="array" ref="BC3">SUM(IF(ISTEXT(BC$23:BC$236),1,0)*IF(($L$23:$L$236)="W",1,0)*IF(ISBLANK($T$1),1,IF($I$23:$I$236=$T$1,1,0)))</f>
        <v>11</v>
      </c>
      <c r="BD3" s="874">
        <f t="array" ref="BD3">SUM(IF(ISTEXT(BD$23:BD$236),1,0)*IF(($L$23:$L$236)="W",1,0)*IF(ISBLANK($T$1),1,IF($I$23:$I$236=$T$1,1,0)))</f>
        <v>11</v>
      </c>
      <c r="BM3" s="874">
        <f t="array" ref="BM3">SUM(IF(ISTEXT(BM$23:BM$236),1,0)*IF(($L$23:$L$236)="W",1,0)*IF(ISBLANK($T$1),1,IF($I$23:$I$236=$T$1,1,0)))</f>
        <v>0</v>
      </c>
      <c r="BO3" s="874" t="e">
        <f t="array" ref="BO3">SUM(IF(ISTEXT(BO$67:BO$236),1,0)*IF(($L$23:$L$236)="W",1,0)*IF(ISBLANK($T$1),1,IF($I$23:$I$236=$T$1,1,0)))</f>
        <v>#N/A</v>
      </c>
      <c r="BQ3" s="874">
        <f t="array" ref="BQ3">SUM(IF(ISTEXT(BQ$23:BQ$236),1,0)*IF(($L$23:$L$236)="W",1,0)*IF(ISBLANK($T$1),1,IF($I$23:$I$236=$T$1,1,0)))</f>
        <v>0</v>
      </c>
      <c r="BR3" s="874">
        <f t="array" ref="BR3">SUM(IF(ISTEXT(BR$23:BR$236),1,0)*IF(($L$23:$L$236)="W",1,0)*IF(ISBLANK($T$1),1,IF($I$23:$I$236=$T$1,1,0)))</f>
        <v>0</v>
      </c>
      <c r="BS3" s="874" t="e">
        <f t="array" ref="BS3">SUM(IF(ISTEXT(BS$41:BS$236),1,0)*IF(($L$23:$L$236)="W",1,0)*IF(ISBLANK($T$1),1,IF($I$23:$I$236=$T$1,1,0)))</f>
        <v>#N/A</v>
      </c>
      <c r="BX3" s="874">
        <f t="array" ref="BX3">SUM(IF(ISTEXT(BX$23:BX$236),1,0)*IF(($L$23:$L$236)="W",1,0)*IF(ISBLANK($T$1),1,IF($I$23:$I$236=$T$1,1,0)))</f>
        <v>0</v>
      </c>
      <c r="BY3" s="874">
        <f t="array" ref="BY3">SUM(IF(ISTEXT(BY$23:BY$236),1,0)*IF(($L$23:$L$236)="W",1,0)*IF(ISBLANK($T$1),1,IF($I$23:$I$236=$T$1,1,0)))</f>
        <v>0</v>
      </c>
      <c r="BZ3" s="874">
        <f t="array" ref="BZ3">SUM(IF(ISTEXT(BZ$23:BZ$236),1,0)*IF(($L$23:$L$236)="W",1,0)*IF(ISBLANK($T$1),1,IF($I$23:$I$236=$T$1,1,0)))</f>
        <v>0</v>
      </c>
      <c r="CA3" s="874">
        <f t="array" ref="CA3">SUM(IF(ISTEXT(CA$23:CA$236),1,0)*IF(($L$23:$L$236)="W",1,0)*IF(ISBLANK($T$1),1,IF($I$23:$I$236=$T$1,1,0)))</f>
        <v>0</v>
      </c>
      <c r="CB3" s="874">
        <f t="array" ref="CB3">SUM(IF(ISTEXT(CB$23:CB$236),1,0)*IF(($L$23:$L$236)="W",1,0)*IF(ISBLANK($T$1),1,IF($I$23:$I$236=$T$1,1,0)))</f>
        <v>0</v>
      </c>
      <c r="CC3" s="874">
        <f t="array" ref="CC3">SUM(IF(ISTEXT(CC$23:CC$236),1,0)*IF(($L$23:$L$236)="W",1,0)*IF(ISBLANK($T$1),1,IF($I$23:$I$236=$T$1,1,0)))</f>
        <v>0</v>
      </c>
      <c r="CD3" s="874">
        <f t="array" ref="CD3">SUM(IF(ISTEXT(CD$23:CD$236),1,0)*IF(($L$23:$L$236)="W",1,0)*IF(ISBLANK($T$1),1,IF($I$23:$I$236=$T$1,1,0)))</f>
        <v>0</v>
      </c>
      <c r="CE3" s="874">
        <f t="array" ref="CE3">SUM(IF(ISTEXT(CE$23:CE$236),1,0)*IF(($L$23:$L$236)="W",1,0)*IF(ISBLANK($T$1),1,IF($I$23:$I$236=$T$1,1,0)))</f>
        <v>0</v>
      </c>
      <c r="CF3" s="874">
        <f t="array" ref="CF3">SUM(IF(ISTEXT(CF$23:CF$236),1,0)*IF(($L$23:$L$236)="W",1,0)*IF(ISBLANK($T$1),1,IF($I$23:$I$236=$T$1,1,0)))</f>
        <v>0</v>
      </c>
      <c r="CG3" s="874">
        <f t="array" ref="CG3">SUM(IF(ISTEXT(CG$23:CG$236),1,0)*IF(($L$23:$L$236)="W",1,0)*IF(ISBLANK($T$1),1,IF($I$23:$I$236=$T$1,1,0)))</f>
        <v>0</v>
      </c>
      <c r="CH3" s="874">
        <f t="array" ref="CH3">SUM(IF(ISTEXT(CH$23:CH$236),1,0)*IF(($L$23:$L$236)="W",1,0)*IF(ISBLANK($T$1),1,IF($I$23:$I$236=$T$1,1,0)))</f>
        <v>0</v>
      </c>
      <c r="CI3" s="874">
        <f t="array" ref="CI3">SUM(IF(ISTEXT(CI$23:CI$236),1,0)*IF(($L$23:$L$236)="W",1,0)*IF(ISBLANK($T$1),1,IF($I$23:$I$236=$T$1,1,0)))</f>
        <v>5</v>
      </c>
      <c r="CJ3" s="874">
        <f t="array" ref="CJ3">SUM(IF(ISTEXT(CJ$23:CJ$236),1,0)*IF(($L$23:$L$236)="W",1,0)*IF(ISBLANK($T$1),1,IF($I$23:$I$236=$T$1,1,0)))</f>
        <v>5</v>
      </c>
      <c r="CK3" s="874">
        <f t="array" ref="CK3">SUM(IF(ISTEXT(CK$23:CK$236),1,0)*IF(($L$23:$L$236)="W",1,0)*IF(ISBLANK($T$1),1,IF($I$23:$I$236=$T$1,1,0)))</f>
        <v>5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SUM(IF(L$23:L$236="D",1,0)*IF(ISBLANK($T$1),1,IF($I$23:$I$236=$T$1,1,0)))</f>
        <v>17</v>
      </c>
      <c r="AG4" s="874">
        <f t="array" ref="AG4">SUM(IF(ISTEXT(AG$23:AG$236),1,0)*IF(($L$23:$L$236)="D",1,0)*IF(ISBLANK($T$1),1,IF($I$23:$I$236=$T$1,1,0)))</f>
        <v>17</v>
      </c>
      <c r="AH4" s="874">
        <f t="array" ref="AH4">SUM(IF(ISTEXT(AH$23:AH$236),1,0)*IF(($L$23:$L$236)="D",1,0)*IF(ISBLANK($T$1),1,IF($I$23:$I$236=$T$1,1,0)))</f>
        <v>17</v>
      </c>
      <c r="AI4" s="874">
        <f t="array" ref="AI4">SUM(IF(ISTEXT(AI$23:AI$236),1,0)*IF(($L$23:$L$236)="D",1,0)*IF(ISBLANK($T$1),1,IF($I$23:$I$236=$T$1,1,0)))</f>
        <v>15</v>
      </c>
      <c r="AK4" s="874">
        <f t="array" ref="AK4">SUM(IF(ISTEXT(AK$23:AK$236),1,0)*IF(($L$23:$L$236)="D",1,0)*IF(ISBLANK($T$1),1,IF($I$23:$I$236=$T$1,1,0)))</f>
        <v>16</v>
      </c>
      <c r="AL4" s="874">
        <f t="array" ref="AL4">SUM(IF(ISTEXT(AL$23:AL$236),1,0)*IF(($L$23:$L$236)="D",1,0)*IF(ISBLANK($T$1),1,IF($I$23:$I$236=$T$1,1,0)))</f>
        <v>17</v>
      </c>
      <c r="AN4" s="874">
        <f t="array" ref="AN4">SUM(IF(ISTEXT(AN$23:AN$236),1,0)*IF(($L$23:$L$236)="D",1,0)*IF(ISBLANK($T$1),1,IF($I$23:$I$236=$T$1,1,0)))</f>
        <v>17</v>
      </c>
      <c r="AO4" s="874">
        <f t="array" ref="AO4">SUM(IF(ISTEXT(AO$23:AO$236),1,0)*IF(($L$23:$L$236)="D",1,0)*IF(ISBLANK($T$1),1,IF($I$23:$I$236=$T$1,1,0)))</f>
        <v>15</v>
      </c>
      <c r="AP4" s="874">
        <f t="array" ref="AP4">SUM(IF(ISTEXT(AP$23:AP$236),1,0)*IF(($L$23:$L$236)="D",1,0)*IF(ISBLANK($T$1),1,IF($I$23:$I$236=$T$1,1,0)))</f>
        <v>16</v>
      </c>
      <c r="AU4" s="874" t="e">
        <f t="array" ref="AU4">SUM(IF(ISTEXT(AU$26:AU$236),1,0)*IF(($L$23:$L$236)="D",1,0)*IF(ISBLANK($T$1),1,IF($I$23:$I$236=$T$1,1,0)))</f>
        <v>#N/A</v>
      </c>
      <c r="AV4" s="874">
        <f t="array" ref="AV4">SUM(IF(ISTEXT(AV$23:AV$236),1,0)*IF(($L$23:$L$236)="D",1,0)*IF(ISBLANK($T$1),1,IF($I$23:$I$236=$T$1,1,0)))</f>
        <v>15</v>
      </c>
      <c r="AW4" s="874">
        <f t="array" ref="AW4">SUM(IF(ISTEXT(AW$23:AW$236),1,0)*IF(($L$23:$L$236)="D",1,0)*IF(ISBLANK($T$1),1,IF($I$23:$I$236=$T$1,1,0)))</f>
        <v>17</v>
      </c>
      <c r="AX4" s="874">
        <f t="array" ref="AX4">SUM(IF(ISTEXT(AX$23:AX$236),1,0)*IF(($L$23:$L$236)="D",1,0)*IF(ISBLANK($T$1),1,IF($I$23:$I$236=$T$1,1,0)))</f>
        <v>17</v>
      </c>
      <c r="AY4" s="874">
        <f t="array" ref="AY4">SUM(IF(ISTEXT(AY$23:AY$236),1,0)*IF(($L$23:$L$236)="D",1,0)*IF(ISBLANK($T$1),1,IF($I$23:$I$236=$T$1,1,0)))</f>
        <v>16</v>
      </c>
      <c r="AZ4" s="874">
        <f t="array" ref="AZ4">SUM(IF(ISTEXT(AZ$23:AZ$236),1,0)*IF(($L$23:$L$236)="D",1,0)*IF(ISBLANK($T$1),1,IF($I$23:$I$236=$T$1,1,0)))</f>
        <v>16</v>
      </c>
      <c r="BB4" s="874" t="e">
        <f t="array" ref="BB4">SUM(IF(ISTEXT(BB$30:BB$236),1,0)*IF(($L$23:$L$236)="D",1,0)*IF(ISBLANK($T$1),1,IF($I$23:$I$236=$T$1,1,0)))</f>
        <v>#N/A</v>
      </c>
      <c r="BC4" s="874">
        <f t="array" ref="BC4">SUM(IF(ISTEXT(BC$23:BC$236),1,0)*IF(($L$23:$L$236)="D",1,0)*IF(ISBLANK($T$1),1,IF($I$23:$I$236=$T$1,1,0)))</f>
        <v>16</v>
      </c>
      <c r="BD4" s="874">
        <f t="array" ref="BD4">SUM(IF(ISTEXT(BD$23:BD$236),1,0)*IF(($L$23:$L$236)="D",1,0)*IF(ISBLANK($T$1),1,IF($I$23:$I$236=$T$1,1,0)))</f>
        <v>16</v>
      </c>
      <c r="BM4" s="874">
        <f t="array" ref="BM4">SUM(IF(ISTEXT(BM$23:BM$236),1,0)*IF(($L$23:$L$236)="D",1,0)*IF(ISBLANK($T$1),1,IF($I$23:$I$236=$T$1,1,0)))</f>
        <v>0</v>
      </c>
      <c r="BO4" s="874" t="e">
        <f t="array" ref="BO4">SUM(IF(ISTEXT(BO$67:BO$236),1,0)*IF(($L$23:$L$236)="D",1,0)*IF(ISBLANK($T$1),1,IF($I$23:$I$236=$T$1,1,0)))</f>
        <v>#N/A</v>
      </c>
      <c r="BQ4" s="874">
        <f t="array" ref="BQ4">SUM(IF(ISTEXT(BQ$23:BQ$236),1,0)*IF(($L$23:$L$236)="D",1,0)*IF(ISBLANK($T$1),1,IF($I$23:$I$236=$T$1,1,0)))</f>
        <v>0</v>
      </c>
      <c r="BR4" s="874">
        <f t="array" ref="BR4">SUM(IF(ISTEXT(BR$23:BR$236),1,0)*IF(($L$23:$L$236)="D",1,0)*IF(ISBLANK($T$1),1,IF($I$23:$I$236=$T$1,1,0)))</f>
        <v>0</v>
      </c>
      <c r="BS4" s="874" t="e">
        <f t="array" ref="BS4">SUM(IF(ISTEXT(BS$41:BS$236),1,0)*IF(($L$23:$L$236)="D",1,0)*IF(ISBLANK($T$1),1,IF($I$23:$I$236=$T$1,1,0)))</f>
        <v>#N/A</v>
      </c>
      <c r="BX4" s="874">
        <f t="array" ref="BX4">SUM(IF(ISTEXT(BX$23:BX$236),1,0)*IF(($L$23:$L$236)="D",1,0)*IF(ISBLANK($T$1),1,IF($I$23:$I$236=$T$1,1,0)))</f>
        <v>0</v>
      </c>
      <c r="BY4" s="874">
        <f t="array" ref="BY4">SUM(IF(ISTEXT(BY$23:BY$236),1,0)*IF(($L$23:$L$236)="D",1,0)*IF(ISBLANK($T$1),1,IF($I$23:$I$236=$T$1,1,0)))</f>
        <v>0</v>
      </c>
      <c r="BZ4" s="874">
        <f t="array" ref="BZ4">SUM(IF(ISTEXT(BZ$23:BZ$236),1,0)*IF(($L$23:$L$236)="D",1,0)*IF(ISBLANK($T$1),1,IF($I$23:$I$236=$T$1,1,0)))</f>
        <v>0</v>
      </c>
      <c r="CA4" s="874">
        <f t="array" ref="CA4">SUM(IF(ISTEXT(CA$23:CA$236),1,0)*IF(($L$23:$L$236)="D",1,0)*IF(ISBLANK($T$1),1,IF($I$23:$I$236=$T$1,1,0)))</f>
        <v>0</v>
      </c>
      <c r="CB4" s="874">
        <f t="array" ref="CB4">SUM(IF(ISTEXT(CB$23:CB$236),1,0)*IF(($L$23:$L$236)="D",1,0)*IF(ISBLANK($T$1),1,IF($I$23:$I$236=$T$1,1,0)))</f>
        <v>0</v>
      </c>
      <c r="CC4" s="874">
        <f t="array" ref="CC4">SUM(IF(ISTEXT(CC$23:CC$236),1,0)*IF(($L$23:$L$236)="D",1,0)*IF(ISBLANK($T$1),1,IF($I$23:$I$236=$T$1,1,0)))</f>
        <v>0</v>
      </c>
      <c r="CD4" s="874">
        <f t="array" ref="CD4">SUM(IF(ISTEXT(CD$23:CD$236),1,0)*IF(($L$23:$L$236)="D",1,0)*IF(ISBLANK($T$1),1,IF($I$23:$I$236=$T$1,1,0)))</f>
        <v>0</v>
      </c>
      <c r="CE4" s="874">
        <f t="array" ref="CE4">SUM(IF(ISTEXT(CE$23:CE$236),1,0)*IF(($L$23:$L$236)="D",1,0)*IF(ISBLANK($T$1),1,IF($I$23:$I$236=$T$1,1,0)))</f>
        <v>0</v>
      </c>
      <c r="CF4" s="874">
        <f t="array" ref="CF4">SUM(IF(ISTEXT(CF$23:CF$236),1,0)*IF(($L$23:$L$236)="D",1,0)*IF(ISBLANK($T$1),1,IF($I$23:$I$236=$T$1,1,0)))</f>
        <v>0</v>
      </c>
      <c r="CG4" s="874">
        <f t="array" ref="CG4">SUM(IF(ISTEXT(CG$23:CG$236),1,0)*IF(($L$23:$L$236)="D",1,0)*IF(ISBLANK($T$1),1,IF($I$23:$I$236=$T$1,1,0)))</f>
        <v>0</v>
      </c>
      <c r="CH4" s="874">
        <f t="array" ref="CH4">SUM(IF(ISTEXT(CH$23:CH$236),1,0)*IF(($L$23:$L$236)="D",1,0)*IF(ISBLANK($T$1),1,IF($I$23:$I$236=$T$1,1,0)))</f>
        <v>0</v>
      </c>
      <c r="CI4" s="874">
        <f t="array" ref="CI4">SUM(IF(ISTEXT(CI$23:CI$236),1,0)*IF(($L$23:$L$236)="D",1,0)*IF(ISBLANK($T$1),1,IF($I$23:$I$236=$T$1,1,0)))</f>
        <v>5</v>
      </c>
      <c r="CJ4" s="874">
        <f t="array" ref="CJ4">SUM(IF(ISTEXT(CJ$23:CJ$236),1,0)*IF(($L$23:$L$236)="D",1,0)*IF(ISBLANK($T$1),1,IF($I$23:$I$236=$T$1,1,0)))</f>
        <v>5</v>
      </c>
      <c r="CK4" s="874">
        <f t="array" ref="CK4">SUM(IF(ISTEXT(CK$23:CK$236),1,0)*IF(($L$23:$L$236)="D",1,0)*IF(ISBLANK($T$1),1,IF($I$23:$I$236=$T$1,1,0)))</f>
        <v>4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SUM(IF(L$23:L$236="L",1,0)*IF(ISBLANK($T$1),1,IF($I$23:$I$236=$T$1,1,0)))</f>
        <v>15</v>
      </c>
      <c r="AG5" s="874">
        <f t="array" ref="AG5">SUM(IF(ISTEXT(AG$23:AG$236),1,0)*IF(($L$23:$L$236)="L",1,0)*IF(ISBLANK($T$1),1,IF($I$23:$I$236=$T$1,1,0)))</f>
        <v>14</v>
      </c>
      <c r="AH5" s="874">
        <f t="array" ref="AH5">SUM(IF(ISTEXT(AH$23:AH$236),1,0)*IF(($L$23:$L$236)="L",1,0)*IF(ISBLANK($T$1),1,IF($I$23:$I$236=$T$1,1,0)))</f>
        <v>15</v>
      </c>
      <c r="AI5" s="874">
        <f t="array" ref="AI5">SUM(IF(ISTEXT(AI$23:AI$236),1,0)*IF(($L$23:$L$236)="L",1,0)*IF(ISBLANK($T$1),1,IF($I$23:$I$236=$T$1,1,0)))</f>
        <v>14</v>
      </c>
      <c r="AK5" s="874">
        <f t="array" ref="AK5">SUM(IF(ISTEXT(AK$23:AK$236),1,0)*IF(($L$23:$L$236)="L",1,0)*IF(ISBLANK($T$1),1,IF($I$23:$I$236=$T$1,1,0)))</f>
        <v>14</v>
      </c>
      <c r="AL5" s="874">
        <f t="array" ref="AL5">SUM(IF(ISTEXT(AL$23:AL$236),1,0)*IF(($L$23:$L$236)="L",1,0)*IF(ISBLANK($T$1),1,IF($I$23:$I$236=$T$1,1,0)))</f>
        <v>15</v>
      </c>
      <c r="AN5" s="874">
        <f t="array" ref="AN5">SUM(IF(ISTEXT(AN$23:AN$236),1,0)*IF(($L$23:$L$236)="L",1,0)*IF(ISBLANK($T$1),1,IF($I$23:$I$236=$T$1,1,0)))</f>
        <v>15</v>
      </c>
      <c r="AO5" s="874">
        <f t="array" ref="AO5">SUM(IF(ISTEXT(AO$23:AO$236),1,0)*IF(($L$23:$L$236)="L",1,0)*IF(ISBLANK($T$1),1,IF($I$23:$I$236=$T$1,1,0)))</f>
        <v>14</v>
      </c>
      <c r="AP5" s="874">
        <f t="array" ref="AP5">SUM(IF(ISTEXT(AP$23:AP$236),1,0)*IF(($L$23:$L$236)="L",1,0)*IF(ISBLANK($T$1),1,IF($I$23:$I$236=$T$1,1,0)))</f>
        <v>15</v>
      </c>
      <c r="AU5" s="874" t="e">
        <f t="array" ref="AU5">SUM(IF(ISTEXT(AU$26:AU$236),1,0)*IF(($L$23:$L$236)="L",1,0)*IF(ISBLANK($T$1),1,IF($I$23:$I$236=$T$1,1,0)))</f>
        <v>#N/A</v>
      </c>
      <c r="AV5" s="874">
        <f t="array" ref="AV5">SUM(IF(ISTEXT(AV$23:AV$236),1,0)*IF(($L$23:$L$236)="L",1,0)*IF(ISBLANK($T$1),1,IF($I$23:$I$236=$T$1,1,0)))</f>
        <v>13</v>
      </c>
      <c r="AW5" s="874">
        <f t="array" ref="AW5">SUM(IF(ISTEXT(AW$23:AW$236),1,0)*IF(($L$23:$L$236)="L",1,0)*IF(ISBLANK($T$1),1,IF($I$23:$I$236=$T$1,1,0)))</f>
        <v>15</v>
      </c>
      <c r="AX5" s="874">
        <f t="array" ref="AX5">SUM(IF(ISTEXT(AX$23:AX$236),1,0)*IF(($L$23:$L$236)="L",1,0)*IF(ISBLANK($T$1),1,IF($I$23:$I$236=$T$1,1,0)))</f>
        <v>15</v>
      </c>
      <c r="AY5" s="874">
        <f t="array" ref="AY5">SUM(IF(ISTEXT(AY$23:AY$236),1,0)*IF(($L$23:$L$236)="L",1,0)*IF(ISBLANK($T$1),1,IF($I$23:$I$236=$T$1,1,0)))</f>
        <v>15</v>
      </c>
      <c r="AZ5" s="874">
        <f t="array" ref="AZ5">SUM(IF(ISTEXT(AZ$23:AZ$236),1,0)*IF(($L$23:$L$236)="L",1,0)*IF(ISBLANK($T$1),1,IF($I$23:$I$236=$T$1,1,0)))</f>
        <v>15</v>
      </c>
      <c r="BB5" s="874" t="e">
        <f t="array" ref="BB5">SUM(IF(ISTEXT(BB$30:BB$236),1,0)*IF(($L$23:$L$236)="L",1,0)*IF(ISBLANK($T$1),1,IF($I$23:$I$236=$T$1,1,0)))</f>
        <v>#N/A</v>
      </c>
      <c r="BC5" s="874">
        <f t="array" ref="BC5">SUM(IF(ISTEXT(BC$23:BC$236),1,0)*IF(($L$23:$L$236)="L",1,0)*IF(ISBLANK($T$1),1,IF($I$23:$I$236=$T$1,1,0)))</f>
        <v>15</v>
      </c>
      <c r="BD5" s="874">
        <f t="array" ref="BD5">SUM(IF(ISTEXT(BD$23:BD$236),1,0)*IF(($L$23:$L$236)="L",1,0)*IF(ISBLANK($T$1),1,IF($I$23:$I$236=$T$1,1,0)))</f>
        <v>15</v>
      </c>
      <c r="BM5" s="874">
        <f t="array" ref="BM5">SUM(IF(ISTEXT(BM$23:BM$236),1,0)*IF(($L$23:$L$236)="L",1,0)*IF(ISBLANK($T$1),1,IF($I$23:$I$236=$T$1,1,0)))</f>
        <v>0</v>
      </c>
      <c r="BO5" s="874" t="e">
        <f t="array" ref="BO5">SUM(IF(ISTEXT(BO$67:BO$236),1,0)*IF(($L$23:$L$236)="L",1,0)*IF(ISBLANK($T$1),1,IF($I$23:$I$236=$T$1,1,0)))</f>
        <v>#N/A</v>
      </c>
      <c r="BQ5" s="874">
        <f t="array" ref="BQ5">SUM(IF(ISTEXT(BQ$23:BQ$236),1,0)*IF(($L$23:$L$236)="L",1,0)*IF(ISBLANK($T$1),1,IF($I$23:$I$236=$T$1,1,0)))</f>
        <v>0</v>
      </c>
      <c r="BR5" s="874">
        <f t="array" ref="BR5">SUM(IF(ISTEXT(BR$23:BR$236),1,0)*IF(($L$23:$L$236)="L",1,0)*IF(ISBLANK($T$1),1,IF($I$23:$I$236=$T$1,1,0)))</f>
        <v>1</v>
      </c>
      <c r="BS5" s="874" t="e">
        <f t="array" ref="BS5">SUM(IF(ISTEXT(BS$41:BS$236),1,0)*IF(($L$23:$L$236)="L",1,0)*IF(ISBLANK($T$1),1,IF($I$23:$I$236=$T$1,1,0)))</f>
        <v>#N/A</v>
      </c>
      <c r="BX5" s="874">
        <f t="array" ref="BX5">SUM(IF(ISTEXT(BX$23:BX$236),1,0)*IF(($L$23:$L$236)="L",1,0)*IF(ISBLANK($T$1),1,IF($I$23:$I$236=$T$1,1,0)))</f>
        <v>1</v>
      </c>
      <c r="BY5" s="874">
        <f t="array" ref="BY5">SUM(IF(ISTEXT(BY$23:BY$236),1,0)*IF(($L$23:$L$236)="L",1,0)*IF(ISBLANK($T$1),1,IF($I$23:$I$236=$T$1,1,0)))</f>
        <v>1</v>
      </c>
      <c r="BZ5" s="874">
        <f t="array" ref="BZ5">SUM(IF(ISTEXT(BZ$23:BZ$236),1,0)*IF(($L$23:$L$236)="L",1,0)*IF(ISBLANK($T$1),1,IF($I$23:$I$236=$T$1,1,0)))</f>
        <v>0</v>
      </c>
      <c r="CA5" s="874">
        <f t="array" ref="CA5">SUM(IF(ISTEXT(CA$23:CA$236),1,0)*IF(($L$23:$L$236)="L",1,0)*IF(ISBLANK($T$1),1,IF($I$23:$I$236=$T$1,1,0)))</f>
        <v>0</v>
      </c>
      <c r="CB5" s="874">
        <f t="array" ref="CB5">SUM(IF(ISTEXT(CB$23:CB$236),1,0)*IF(($L$23:$L$236)="L",1,0)*IF(ISBLANK($T$1),1,IF($I$23:$I$236=$T$1,1,0)))</f>
        <v>0</v>
      </c>
      <c r="CC5" s="874">
        <f t="array" ref="CC5">SUM(IF(ISTEXT(CC$23:CC$236),1,0)*IF(($L$23:$L$236)="L",1,0)*IF(ISBLANK($T$1),1,IF($I$23:$I$236=$T$1,1,0)))</f>
        <v>0</v>
      </c>
      <c r="CD5" s="874">
        <f t="array" ref="CD5">SUM(IF(ISTEXT(CD$23:CD$236),1,0)*IF(($L$23:$L$236)="L",1,0)*IF(ISBLANK($T$1),1,IF($I$23:$I$236=$T$1,1,0)))</f>
        <v>0</v>
      </c>
      <c r="CE5" s="874">
        <f t="array" ref="CE5">SUM(IF(ISTEXT(CE$23:CE$236),1,0)*IF(($L$23:$L$236)="L",1,0)*IF(ISBLANK($T$1),1,IF($I$23:$I$236=$T$1,1,0)))</f>
        <v>0</v>
      </c>
      <c r="CF5" s="874">
        <f t="array" ref="CF5">SUM(IF(ISTEXT(CF$23:CF$236),1,0)*IF(($L$23:$L$236)="L",1,0)*IF(ISBLANK($T$1),1,IF($I$23:$I$236=$T$1,1,0)))</f>
        <v>0</v>
      </c>
      <c r="CG5" s="874">
        <f t="array" ref="CG5">SUM(IF(ISTEXT(CG$23:CG$236),1,0)*IF(($L$23:$L$236)="L",1,0)*IF(ISBLANK($T$1),1,IF($I$23:$I$236=$T$1,1,0)))</f>
        <v>0</v>
      </c>
      <c r="CH5" s="874">
        <f t="array" ref="CH5">SUM(IF(ISTEXT(CH$23:CH$236),1,0)*IF(($L$23:$L$236)="L",1,0)*IF(ISBLANK($T$1),1,IF($I$23:$I$236=$T$1,1,0)))</f>
        <v>0</v>
      </c>
      <c r="CI5" s="874">
        <f t="array" ref="CI5">SUM(IF(ISTEXT(CI$23:CI$236),1,0)*IF(($L$23:$L$236)="L",1,0)*IF(ISBLANK($T$1),1,IF($I$23:$I$236=$T$1,1,0)))</f>
        <v>6</v>
      </c>
      <c r="CJ5" s="874">
        <f t="array" ref="CJ5">SUM(IF(ISTEXT(CJ$23:CJ$236),1,0)*IF(($L$23:$L$236)="L",1,0)*IF(ISBLANK($T$1),1,IF($I$23:$I$236=$T$1,1,0)))</f>
        <v>6</v>
      </c>
      <c r="CK5" s="874">
        <f t="array" ref="CK5">SUM(IF(ISTEXT(CK$23:CK$236),1,0)*IF(($L$23:$L$236)="L",1,0)*IF(ISBLANK($T$1),1,IF($I$23:$I$236=$T$1,1,0)))</f>
        <v>6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50</v>
      </c>
      <c r="AG6" s="874">
        <f t="shared" ref="AG6:CK6" si="2">AG$3*3+AG$4</f>
        <v>50</v>
      </c>
      <c r="AH6" s="874">
        <f t="shared" si="2"/>
        <v>50</v>
      </c>
      <c r="AI6" s="874">
        <f t="shared" si="2"/>
        <v>48</v>
      </c>
      <c r="AK6" s="874">
        <f t="shared" si="2"/>
        <v>49</v>
      </c>
      <c r="AL6" s="874">
        <f t="shared" si="2"/>
        <v>50</v>
      </c>
      <c r="AN6" s="874">
        <f>AN$3*3+AN$4</f>
        <v>50</v>
      </c>
      <c r="AO6" s="874">
        <f t="shared" si="2"/>
        <v>48</v>
      </c>
      <c r="AP6" s="874">
        <f>AP$3*3+AP$4</f>
        <v>49</v>
      </c>
      <c r="AU6" s="874" t="e">
        <f>AU$3*3+AU$4</f>
        <v>#N/A</v>
      </c>
      <c r="AV6" s="874">
        <f>AV$3*3+AV$4</f>
        <v>48</v>
      </c>
      <c r="AW6" s="874">
        <f>AW$3*3+AW$4</f>
        <v>50</v>
      </c>
      <c r="AX6" s="874">
        <f t="shared" ref="AX6:BD6" si="3">AX$3*3+AX$4</f>
        <v>50</v>
      </c>
      <c r="AY6" s="874">
        <f t="shared" si="3"/>
        <v>49</v>
      </c>
      <c r="AZ6" s="874">
        <f t="shared" si="3"/>
        <v>49</v>
      </c>
      <c r="BB6" s="874" t="e">
        <f t="shared" si="3"/>
        <v>#N/A</v>
      </c>
      <c r="BC6" s="874">
        <f t="shared" si="3"/>
        <v>49</v>
      </c>
      <c r="BD6" s="874">
        <f t="shared" si="3"/>
        <v>49</v>
      </c>
      <c r="BM6" s="874">
        <f>BM$3*3+BM$4</f>
        <v>0</v>
      </c>
      <c r="BO6" s="874" t="e">
        <f>BO$3*3+BO$4</f>
        <v>#N/A</v>
      </c>
      <c r="BQ6" s="874">
        <f>BQ$3*3+BQ$4</f>
        <v>0</v>
      </c>
      <c r="BR6" s="874">
        <f>BR$3*3+BR$4</f>
        <v>0</v>
      </c>
      <c r="BS6" s="874" t="e">
        <f t="shared" si="2"/>
        <v>#N/A</v>
      </c>
      <c r="BX6" s="874">
        <f t="shared" ref="BX6:CD6" si="4">BX$3*3+BX$4</f>
        <v>0</v>
      </c>
      <c r="BY6" s="874">
        <f t="shared" si="4"/>
        <v>0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20</v>
      </c>
      <c r="CJ6" s="874">
        <f t="shared" si="2"/>
        <v>20</v>
      </c>
      <c r="CK6" s="874">
        <f t="shared" si="2"/>
        <v>19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5">AF6/AF2</f>
        <v>1.1627906976744187</v>
      </c>
      <c r="AG7" s="874">
        <f t="shared" si="5"/>
        <v>1.1904761904761905</v>
      </c>
      <c r="AH7" s="874">
        <f t="shared" si="5"/>
        <v>1.1627906976744187</v>
      </c>
      <c r="AI7" s="874">
        <f t="shared" si="5"/>
        <v>1.2</v>
      </c>
      <c r="AK7" s="874">
        <f t="shared" si="5"/>
        <v>1.1951219512195121</v>
      </c>
      <c r="AL7" s="874">
        <f t="shared" si="5"/>
        <v>1.1627906976744187</v>
      </c>
      <c r="AN7" s="874">
        <f>AN6/AN2</f>
        <v>1.1627906976744187</v>
      </c>
      <c r="AO7" s="874">
        <f t="shared" si="5"/>
        <v>1.2</v>
      </c>
      <c r="AP7" s="874">
        <f>AP6/AP2</f>
        <v>1.1666666666666667</v>
      </c>
      <c r="AU7" s="874" t="e">
        <f>AU6/AU2</f>
        <v>#N/A</v>
      </c>
      <c r="AV7" s="874">
        <f>AV6/AV2</f>
        <v>1.2307692307692308</v>
      </c>
      <c r="AW7" s="874">
        <f>AW6/AW2</f>
        <v>1.1627906976744187</v>
      </c>
      <c r="AX7" s="874">
        <f>AX6/AX2</f>
        <v>1.1627906976744187</v>
      </c>
      <c r="AY7" s="874">
        <f>AY6/AY2</f>
        <v>1.1666666666666667</v>
      </c>
      <c r="AZ7" s="874">
        <f t="shared" ref="AZ7" si="6">AZ6/AZ2</f>
        <v>1.1666666666666667</v>
      </c>
      <c r="BB7" s="874" t="e">
        <f>BB6/BB2</f>
        <v>#N/A</v>
      </c>
      <c r="BC7" s="874">
        <f>BC6/BC2</f>
        <v>1.1666666666666667</v>
      </c>
      <c r="BD7" s="874">
        <f>BD6/BD2</f>
        <v>1.1666666666666667</v>
      </c>
      <c r="BM7" s="874" t="e">
        <f>BM6/BM2</f>
        <v>#DIV/0!</v>
      </c>
      <c r="BO7" s="874" t="e">
        <f>BO6/BO2</f>
        <v>#N/A</v>
      </c>
      <c r="BQ7" s="874" t="e">
        <f>BQ6/BQ2</f>
        <v>#DIV/0!</v>
      </c>
      <c r="BR7" s="874">
        <f>BR6/BR2</f>
        <v>0</v>
      </c>
      <c r="BS7" s="874" t="e">
        <f t="shared" si="5"/>
        <v>#N/A</v>
      </c>
      <c r="BX7" s="874">
        <f t="shared" ref="BX7:CD7" si="7">BX6/BX2</f>
        <v>0</v>
      </c>
      <c r="BY7" s="874">
        <f t="shared" si="7"/>
        <v>0</v>
      </c>
      <c r="BZ7" s="874" t="e">
        <f t="shared" si="7"/>
        <v>#DIV/0!</v>
      </c>
      <c r="CA7" s="874" t="e">
        <f t="shared" si="7"/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5"/>
        <v>#DIV/0!</v>
      </c>
      <c r="CF7" s="874" t="e">
        <f t="shared" si="5"/>
        <v>#DIV/0!</v>
      </c>
      <c r="CG7" s="874" t="e">
        <f t="shared" si="5"/>
        <v>#DIV/0!</v>
      </c>
      <c r="CH7" s="874" t="e">
        <f t="shared" si="5"/>
        <v>#DIV/0!</v>
      </c>
      <c r="CI7" s="874">
        <f t="shared" si="5"/>
        <v>1.25</v>
      </c>
      <c r="CJ7" s="874">
        <f t="shared" si="5"/>
        <v>1.25</v>
      </c>
      <c r="CK7" s="874">
        <f t="shared" si="5"/>
        <v>1.2666666666666666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SUM(IF(($T$23:$T$236)="",0,$T$23:$T$236)*IF(ISBLANK($T$1),1,IF($I$23:$I$236=$T$1,1,0)))</f>
        <v>2.69</v>
      </c>
      <c r="AG8" s="874">
        <f t="array" ref="AG8">SUM(IF(ISTEXT(AG$23:AG$236),1,0)*IF(($T$23:$T$236)="",0,$T$23:$T$236)*IF(ISBLANK($T$1),1,IF($I$23:$I$236=$T$1,1,0)))</f>
        <v>-3.0000000000000249E-2</v>
      </c>
      <c r="AH8" s="874">
        <f t="array" ref="AH8">SUM(IF(ISTEXT(AH$23:AH$236),1,0)*IF(($T$23:$T$236)="",0,$T$23:$T$236)*IF(ISBLANK($T$1),1,IF($I$23:$I$236=$T$1,1,0)))</f>
        <v>2.69</v>
      </c>
      <c r="AI8" s="874">
        <f t="array" ref="AI8">SUM(IF(ISTEXT(AI$23:AI$236),1,0)*IF(($T$23:$T$236)="",0,$T$23:$T$236)*IF(ISBLANK($T$1),1,IF($I$23:$I$236=$T$1,1,0)))</f>
        <v>-1.0400000000000009</v>
      </c>
      <c r="AK8" s="874">
        <f t="array" ref="AK8">SUM(IF(ISTEXT(AK$23:AK$236),1,0)*IF(($T$23:$T$236)="",0,$T$23:$T$236)*IF(ISBLANK($T$1),1,IF($I$23:$I$236=$T$1,1,0)))</f>
        <v>0.19999999999999929</v>
      </c>
      <c r="AL8" s="874">
        <f t="array" ref="AL8">SUM(IF(ISTEXT(AL$23:AL$236),1,0)*IF(($T$23:$T$236)="",0,$T$23:$T$236)*IF(ISBLANK($T$1),1,IF($I$23:$I$236=$T$1,1,0)))</f>
        <v>2.69</v>
      </c>
      <c r="AN8" s="874">
        <f t="array" ref="AN8">SUM(IF(ISTEXT(AN$23:AN$236),1,0)*IF(($T$23:$T$236)="",0,$T$23:$T$236)*IF(ISBLANK($T$1),1,IF($I$23:$I$236=$T$1,1,0)))</f>
        <v>2.69</v>
      </c>
      <c r="AO8" s="874">
        <f t="array" ref="AO8">SUM(IF(ISTEXT(AO$23:AO$236),1,0)*IF(($T$23:$T$236)="",0,$T$23:$T$236)*IF(ISBLANK($T$1),1,IF($I$23:$I$236=$T$1,1,0)))</f>
        <v>-1.0400000000000009</v>
      </c>
      <c r="AP8" s="874">
        <f t="array" ref="AP8">SUM(IF(ISTEXT(AP$23:AP$236),1,0)*IF(($T$23:$T$236)="",0,$T$23:$T$236)*IF(ISBLANK($T$1),1,IF($I$23:$I$236=$T$1,1,0)))</f>
        <v>1.4499999999999997</v>
      </c>
      <c r="AU8" s="874" t="e">
        <f t="array" ref="AU8">SUM(IF(ISTEXT(AU$26:AU$236),1,0)*IF(($T$23:$T$236)="",0,$T$23:$T$236)*IF(ISBLANK($T$1),1,IF($I$23:$I$236=$T$1,1,0)))</f>
        <v>#N/A</v>
      </c>
      <c r="AV8" s="874">
        <f t="array" ref="AV8">SUM(IF(ISTEXT(AV$23:AV$236),1,0)*IF(($T$23:$T$236)="",0,$T$23:$T$236)*IF(ISBLANK($T$1),1,IF($I$23:$I$236=$T$1,1,0)))</f>
        <v>-0.41000000000000014</v>
      </c>
      <c r="AW8" s="874">
        <f t="array" ref="AW8">SUM(IF(ISTEXT(AW$23:AW$236),1,0)*IF(($T$23:$T$236)="",0,$T$23:$T$236)*IF(ISBLANK($T$1),1,IF($I$23:$I$236=$T$1,1,0)))</f>
        <v>2.69</v>
      </c>
      <c r="AX8" s="874">
        <f t="array" ref="AX8">SUM(IF(ISTEXT(AX$23:AX$236),1,0)*IF(($T$23:$T$236)="",0,$T$23:$T$236)*IF(ISBLANK($T$1),1,IF($I$23:$I$236=$T$1,1,0)))</f>
        <v>2.69</v>
      </c>
      <c r="AY8" s="874">
        <f t="array" ref="AY8">SUM(IF(ISTEXT(AY$23:AY$236),1,0)*IF(($T$23:$T$236)="",0,$T$23:$T$236)*IF(ISBLANK($T$1),1,IF($I$23:$I$236=$T$1,1,0)))</f>
        <v>2.9200000000000004</v>
      </c>
      <c r="AZ8" s="874">
        <f t="array" ref="AZ8">SUM(IF(ISTEXT(AZ$23:AZ$236),1,0)*IF(($T$23:$T$236)="",0,$T$23:$T$236)*IF(ISBLANK($T$1),1,IF($I$23:$I$236=$T$1,1,0)))</f>
        <v>2.9200000000000004</v>
      </c>
      <c r="BB8" s="874" t="e">
        <f t="array" ref="BB8">SUM(IF(ISTEXT(BB$30:BB$236),1,0)*IF(($T$23:$T$236)="",0,$T$23:$T$236)*IF(ISBLANK($T$1),1,IF($I$23:$I$236=$T$1,1,0)))</f>
        <v>#N/A</v>
      </c>
      <c r="BC8" s="874">
        <f t="array" ref="BC8">SUM(IF(ISTEXT(BC$23:BC$236),1,0)*IF(($T$23:$T$236)="",0,$T$23:$T$236)*IF(ISBLANK($T$1),1,IF($I$23:$I$236=$T$1,1,0)))</f>
        <v>1.4499999999999997</v>
      </c>
      <c r="BD8" s="874">
        <f t="array" ref="BD8">SUM(IF(ISTEXT(BD$23:BD$236),1,0)*IF(($T$23:$T$236)="",0,$T$23:$T$236)*IF(ISBLANK($T$1),1,IF($I$23:$I$236=$T$1,1,0)))</f>
        <v>2.9200000000000004</v>
      </c>
      <c r="BM8" s="874">
        <f t="array" ref="BM8">SUM(IF(ISTEXT(BM$23:BM$236),1,0)*IF(($T$23:$T$236)="",0,$T$23:$T$236)*IF(ISBLANK($T$1),1,IF($I$23:$I$236=$T$1,1,0)))</f>
        <v>0</v>
      </c>
      <c r="BO8" s="874" t="e">
        <f t="array" ref="BO8">SUM(IF(ISTEXT(BO$67:BO$236),1,0)*IF(($T$23:$T$236)="",0,$T$23:$T$236)*IF(ISBLANK($T$1),1,IF($I$23:$I$236=$T$1,1,0)))</f>
        <v>#N/A</v>
      </c>
      <c r="BQ8" s="874">
        <f t="array" ref="BQ8">SUM(IF(ISTEXT(BQ$23:BQ$236),1,0)*IF(($T$23:$T$236)="",0,$T$23:$T$236)*IF(ISBLANK($T$1),1,IF($I$23:$I$236=$T$1,1,0)))</f>
        <v>0</v>
      </c>
      <c r="BR8" s="874">
        <f t="array" ref="BR8">SUM(IF(ISTEXT(BR$23:BR$236),1,0)*IF(($T$23:$T$236)="",0,$T$23:$T$236)*IF(ISBLANK($T$1),1,IF($I$23:$I$236=$T$1,1,0)))</f>
        <v>-0.31999999999999984</v>
      </c>
      <c r="BS8" s="874" t="e">
        <f t="array" ref="BS8">SUM(IF(ISTEXT(BS$41:BS$236),1,0)*IF(($T$23:$T$236)="",0,$T$23:$T$236)*IF(ISBLANK($T$1),1,IF($I$23:$I$236=$T$1,1,0)))</f>
        <v>#N/A</v>
      </c>
      <c r="BX8" s="874">
        <f t="array" ref="BX8">SUM(IF(ISTEXT(BX$23:BX$236),1,0)*IF(($T$23:$T$236)="",0,$T$23:$T$236)*IF(ISBLANK($T$1),1,IF($I$23:$I$236=$T$1,1,0)))</f>
        <v>-0.31999999999999984</v>
      </c>
      <c r="BY8" s="874">
        <f t="array" ref="BY8">SUM(IF(ISTEXT(BY$23:BY$236),1,0)*IF(($T$23:$T$236)="",0,$T$23:$T$236)*IF(ISBLANK($T$1),1,IF($I$23:$I$236=$T$1,1,0)))</f>
        <v>-0.31999999999999984</v>
      </c>
      <c r="BZ8" s="874">
        <f t="array" ref="BZ8">SUM(IF(ISTEXT(BZ$23:BZ$236),1,0)*IF(($T$23:$T$236)="",0,$T$23:$T$236)*IF(ISBLANK($T$1),1,IF($I$23:$I$236=$T$1,1,0)))</f>
        <v>0</v>
      </c>
      <c r="CA8" s="874">
        <f t="array" ref="CA8">SUM(IF(ISTEXT(CA$23:CA$236),1,0)*IF(($T$23:$T$236)="",0,$T$23:$T$236)*IF(ISBLANK($T$1),1,IF($I$23:$I$236=$T$1,1,0)))</f>
        <v>0</v>
      </c>
      <c r="CB8" s="874">
        <f t="array" ref="CB8">SUM(IF(ISTEXT(CB$23:CB$236),1,0)*IF(($T$23:$T$236)="",0,$T$23:$T$236)*IF(ISBLANK($T$1),1,IF($I$23:$I$236=$T$1,1,0)))</f>
        <v>0</v>
      </c>
      <c r="CC8" s="874">
        <f t="array" ref="CC8">SUM(IF(ISTEXT(CC$23:CC$236),1,0)*IF(($T$23:$T$236)="",0,$T$23:$T$236)*IF(ISBLANK($T$1),1,IF($I$23:$I$236=$T$1,1,0)))</f>
        <v>0</v>
      </c>
      <c r="CD8" s="874">
        <f t="array" ref="CD8">SUM(IF(ISTEXT(CD$23:CD$236),1,0)*IF(($T$23:$T$236)="",0,$T$23:$T$236)*IF(ISBLANK($T$1),1,IF($I$23:$I$236=$T$1,1,0)))</f>
        <v>0</v>
      </c>
      <c r="CE8" s="874">
        <f t="array" ref="CE8">SUM(IF(ISTEXT(CE$23:CE$236),1,0)*IF(($T$23:$T$236)="",0,$T$23:$T$236)*IF(ISBLANK($T$1),1,IF($I$23:$I$236=$T$1,1,0)))</f>
        <v>0</v>
      </c>
      <c r="CF8" s="874">
        <f t="array" ref="CF8">SUM(IF(ISTEXT(CF$23:CF$236),1,0)*IF(($T$23:$T$236)="",0,$T$23:$T$236)*IF(ISBLANK($T$1),1,IF($I$23:$I$236=$T$1,1,0)))</f>
        <v>0</v>
      </c>
      <c r="CG8" s="874">
        <f t="array" ref="CG8">SUM(IF(ISTEXT(CG$23:CG$236),1,0)*IF(($T$23:$T$236)="",0,$T$23:$T$236)*IF(ISBLANK($T$1),1,IF($I$23:$I$236=$T$1,1,0)))</f>
        <v>0</v>
      </c>
      <c r="CH8" s="874">
        <f t="array" ref="CH8">SUM(IF(ISTEXT(CH$23:CH$236),1,0)*IF(($T$23:$T$236)="",0,$T$23:$T$236)*IF(ISBLANK($T$1),1,IF($I$23:$I$236=$T$1,1,0)))</f>
        <v>0</v>
      </c>
      <c r="CI8" s="874">
        <f t="array" ref="CI8">SUM(IF(ISTEXT(CI$23:CI$236),1,0)*IF(($T$23:$T$236)="",0,$T$23:$T$236)*IF(ISBLANK($T$1),1,IF($I$23:$I$236=$T$1,1,0)))</f>
        <v>1.5799999999999996</v>
      </c>
      <c r="CJ8" s="874">
        <f t="array" ref="CJ8">SUM(IF(ISTEXT(CJ$23:CJ$236),1,0)*IF(($T$23:$T$236)="",0,$T$23:$T$236)*IF(ISBLANK($T$1),1,IF($I$23:$I$236=$T$1,1,0)))</f>
        <v>1.5799999999999996</v>
      </c>
      <c r="CK8" s="874">
        <f t="array" ref="CK8">SUM(IF(ISTEXT(CK$23:CK$236),1,0)*IF(($T$23:$T$236)="",0,$T$23:$T$236)*IF(ISBLANK($T$1),1,IF($I$23:$I$236=$T$1,1,0)))</f>
        <v>3.8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8">AF8/AF2</f>
        <v>6.2558139534883719E-2</v>
      </c>
      <c r="AG9" s="874">
        <f t="shared" si="8"/>
        <v>-7.1428571428572025E-4</v>
      </c>
      <c r="AH9" s="874">
        <f t="shared" si="8"/>
        <v>6.2558139534883719E-2</v>
      </c>
      <c r="AI9" s="874">
        <f t="shared" si="8"/>
        <v>-2.6000000000000023E-2</v>
      </c>
      <c r="AK9" s="874">
        <f t="shared" si="8"/>
        <v>4.8780487804877875E-3</v>
      </c>
      <c r="AL9" s="874">
        <f t="shared" si="8"/>
        <v>6.2558139534883719E-2</v>
      </c>
      <c r="AN9" s="874">
        <f>AN8/AN2</f>
        <v>6.2558139534883719E-2</v>
      </c>
      <c r="AO9" s="874">
        <f t="shared" si="8"/>
        <v>-2.6000000000000023E-2</v>
      </c>
      <c r="AP9" s="874">
        <f>AP8/AP2</f>
        <v>3.4523809523809519E-2</v>
      </c>
      <c r="AU9" s="874" t="e">
        <f>AU8/AU2</f>
        <v>#N/A</v>
      </c>
      <c r="AV9" s="874">
        <f>AV8/AV2</f>
        <v>-1.0512820512820516E-2</v>
      </c>
      <c r="AW9" s="874">
        <f>AW8/AW2</f>
        <v>6.2558139534883719E-2</v>
      </c>
      <c r="AX9" s="874">
        <f>AX8/AX2</f>
        <v>6.2558139534883719E-2</v>
      </c>
      <c r="AY9" s="874">
        <f>AY8/AY2</f>
        <v>6.9523809523809529E-2</v>
      </c>
      <c r="AZ9" s="874">
        <f t="shared" ref="AZ9" si="9">AZ8/AZ2</f>
        <v>6.9523809523809529E-2</v>
      </c>
      <c r="BB9" s="874" t="e">
        <f>BB8/BB2</f>
        <v>#N/A</v>
      </c>
      <c r="BC9" s="874">
        <f>BC8/BC2</f>
        <v>3.4523809523809519E-2</v>
      </c>
      <c r="BD9" s="874">
        <f>BD8/BD2</f>
        <v>6.9523809523809529E-2</v>
      </c>
      <c r="BM9" s="874" t="e">
        <f>BM8/BM2</f>
        <v>#DIV/0!</v>
      </c>
      <c r="BO9" s="874" t="e">
        <f>BO8/BO2</f>
        <v>#N/A</v>
      </c>
      <c r="BQ9" s="874" t="e">
        <f>BQ8/BQ2</f>
        <v>#DIV/0!</v>
      </c>
      <c r="BR9" s="874">
        <f>BR8/BR2</f>
        <v>-0.31999999999999984</v>
      </c>
      <c r="BS9" s="874" t="e">
        <f t="shared" si="8"/>
        <v>#N/A</v>
      </c>
      <c r="BX9" s="874">
        <f t="shared" ref="BX9:CD9" si="10">BX8/BX2</f>
        <v>-0.31999999999999984</v>
      </c>
      <c r="BY9" s="874">
        <f t="shared" si="10"/>
        <v>-0.31999999999999984</v>
      </c>
      <c r="BZ9" s="874" t="e">
        <f t="shared" si="10"/>
        <v>#DIV/0!</v>
      </c>
      <c r="CA9" s="874" t="e">
        <f t="shared" si="10"/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8"/>
        <v>#DIV/0!</v>
      </c>
      <c r="CF9" s="874" t="e">
        <f t="shared" si="8"/>
        <v>#DIV/0!</v>
      </c>
      <c r="CG9" s="874" t="e">
        <f t="shared" si="8"/>
        <v>#DIV/0!</v>
      </c>
      <c r="CH9" s="874" t="e">
        <f t="shared" si="8"/>
        <v>#DIV/0!</v>
      </c>
      <c r="CI9" s="874">
        <f t="shared" si="8"/>
        <v>9.8749999999999977E-2</v>
      </c>
      <c r="CJ9" s="874">
        <f t="shared" si="8"/>
        <v>9.8749999999999977E-2</v>
      </c>
      <c r="CK9" s="874">
        <f t="shared" si="8"/>
        <v>0.2533333333333333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SUM(IF(ISBLANK($T$1),$J$23:$J$236,IF($I$23:$I$236=$T$1,$J$23:$J$236,0)))</f>
        <v>55</v>
      </c>
      <c r="AG10" s="874">
        <f t="array" ref="AG10">SUM(IF(ISBLANK(AG$23:AG$236),0,IF(ISNUMBER(VALUE(RIGHT(AG$23:AG$236,1))),RIGHT(AG$23:AG$236,1),0)*IF(ISBLANK($T$1),1,IF($I$23:$I$236=$T$1,1,0))))</f>
        <v>0</v>
      </c>
      <c r="AH10" s="874">
        <f t="array" ref="AH10">SUM(IF(ISBLANK(AH$23:AH$236),0,IF(ISNUMBER(VALUE(RIGHT(AH$23:AH$236,1))),RIGHT(AH$23:AH$236,1),0)*IF(ISBLANK($T$1),1,IF($I$23:$I$236=$T$1,1,0))))</f>
        <v>0</v>
      </c>
      <c r="AI10" s="874">
        <f t="array" ref="AI10">SUM(IF(ISBLANK(AI$23:AI$236),0,IF(ISNUMBER(VALUE(RIGHT(AI$23:AI$236,1))),RIGHT(AI$23:AI$236,1),0)*IF(ISBLANK($T$1),1,IF($I$23:$I$236=$T$1,1,0))))</f>
        <v>0</v>
      </c>
      <c r="AK10" s="874">
        <f t="array" ref="AK10">SUM(IF(ISBLANK(AK$23:AK$236),0,IF(ISNUMBER(VALUE(RIGHT(AK$23:AK$236,1))),RIGHT(AK$23:AK$236,1),0)*IF(ISBLANK($T$1),1,IF($I$23:$I$236=$T$1,1,0))))</f>
        <v>0</v>
      </c>
      <c r="AL10" s="874">
        <f t="array" ref="AL10">SUM(IF(ISBLANK(AL$23:AL$236),0,IF(ISNUMBER(VALUE(RIGHT(AL$23:AL$236,1))),RIGHT(AL$23:AL$236,1),0)*IF(ISBLANK($T$1),1,IF($I$23:$I$236=$T$1,1,0))))</f>
        <v>0</v>
      </c>
      <c r="AN10" s="874">
        <f t="array" ref="AN10">SUM(IF(ISBLANK(AN$23:AN$236),0,IF(ISNUMBER(VALUE(RIGHT(AN$23:AN$236,1))),RIGHT(AN$23:AN$236,1),0)*IF(ISBLANK($T$1),1,IF($I$23:$I$236=$T$1,1,0))))</f>
        <v>1</v>
      </c>
      <c r="AO10" s="874">
        <f t="array" ref="AO10">SUM(IF(ISBLANK(AO$23:AO$236),0,IF(ISNUMBER(VALUE(RIGHT(AO$23:AO$236,1))),RIGHT(AO$23:AO$236,1),0)*IF(ISBLANK($T$1),1,IF($I$23:$I$236=$T$1,1,0))))</f>
        <v>0</v>
      </c>
      <c r="AP10" s="874">
        <f t="array" ref="AP10">SUM(IF(ISBLANK(AP$23:AP$236),0,IF(ISNUMBER(VALUE(RIGHT(AP$23:AP$236,1))),RIGHT(AP$23:AP$236,1),0)*IF(ISBLANK($T$1),1,IF($I$23:$I$236=$T$1,1,0))))</f>
        <v>2</v>
      </c>
      <c r="AU10" s="874">
        <f t="array" ref="AU10">SUM(IF(ISBLANK(AU$26:AU$236),0,IF(ISNUMBER(VALUE(RIGHT(AU$26:AU$236,1))),RIGHT(AU$26:AU$236,1),0)*IF(ISBLANK($T$1),1,IF($I$23:$I$236=$T$1,1,0))))</f>
        <v>1</v>
      </c>
      <c r="AV10" s="874">
        <f t="array" ref="AV10">SUM(IF(ISBLANK(AV$23:AV$236),0,IF(ISNUMBER(VALUE(RIGHT(AV$23:AV$236,1))),RIGHT(AV$23:AV$236,1),0)*IF(ISBLANK($T$1),1,IF($I$23:$I$236=$T$1,1,0))))</f>
        <v>7</v>
      </c>
      <c r="AW10" s="874">
        <f t="array" ref="AW10">SUM(IF(ISBLANK(AW$23:AW$236),0,IF(ISNUMBER(VALUE(RIGHT(AW$23:AW$236,1))),RIGHT(AW$23:AW$236,1),0)*IF(ISBLANK($T$1),1,IF($I$23:$I$236=$T$1,1,0))))</f>
        <v>0</v>
      </c>
      <c r="AX10" s="874">
        <f t="array" ref="AX10">SUM(IF(ISBLANK(AX$23:AX$236),0,IF(ISNUMBER(VALUE(RIGHT(AX$23:AX$236,1))),RIGHT(AX$23:AX$236,1),0)*IF(ISBLANK($T$1),1,IF($I$23:$I$236=$T$1,1,0))))</f>
        <v>4</v>
      </c>
      <c r="AY10" s="874">
        <f t="array" ref="AY10">SUM(IF(ISBLANK(AY$23:AY$236),0,IF(ISNUMBER(VALUE(RIGHT(AY$23:AY$236,1))),RIGHT(AY$23:AY$236,1),0)*IF(ISBLANK($T$1),1,IF($I$23:$I$236=$T$1,1,0))))</f>
        <v>3</v>
      </c>
      <c r="AZ10" s="874">
        <f t="array" ref="AZ10">SUM(IF(ISBLANK(AZ$23:AZ$236),0,IF(ISNUMBER(VALUE(RIGHT(AZ$23:AZ$236,1))),RIGHT(AZ$23:AZ$236,1),0)*IF(ISBLANK($T$1),1,IF($I$23:$I$236=$T$1,1,0))))</f>
        <v>2</v>
      </c>
      <c r="BB10" s="874">
        <f t="array" ref="BB10">SUM(IF(ISBLANK(BB$30:BB$236),0,IF(ISNUMBER(VALUE(RIGHT(BB$30:BB$236,1))),RIGHT(BB$30:BB$236,1),0)*IF(ISBLANK($T$1),1,IF($I$23:$I$236=$T$1,1,0))))</f>
        <v>2</v>
      </c>
      <c r="BC10" s="874">
        <f t="array" ref="BC10">SUM(IF(ISBLANK(BC$23:BC$236),0,IF(ISNUMBER(VALUE(RIGHT(BC$23:BC$236,1))),RIGHT(BC$23:BC$236,1),0)*IF(ISBLANK($T$1),1,IF($I$23:$I$236=$T$1,1,0))))</f>
        <v>0</v>
      </c>
      <c r="BD10" s="874">
        <f t="array" ref="BD10">SUM(IF(ISBLANK(BD$23:BD$236),0,IF(ISNUMBER(VALUE(RIGHT(BD$23:BD$236,1))),RIGHT(BD$23:BD$236,1),0)*IF(ISBLANK($T$1),1,IF($I$23:$I$236=$T$1,1,0))))</f>
        <v>1</v>
      </c>
      <c r="BM10" s="874">
        <f t="array" ref="BM10">SUM(IF(ISBLANK(BM$23:BM$236),0,IF(ISNUMBER(VALUE(RIGHT(BM$23:BM$236,1))),RIGHT(BM$23:BM$236,1),0)*IF(ISBLANK($T$1),1,IF($I$23:$I$236=$T$1,1,0))))</f>
        <v>0</v>
      </c>
      <c r="BO10" s="874">
        <f t="array" ref="BO10">SUM(IF(ISBLANK(BO$67:BO$236),0,IF(ISNUMBER(VALUE(RIGHT(BO$67:BO$236,1))),RIGHT(BO$67:BO$236,1),0)*IF(ISBLANK($T$1),1,IF($I$23:$I$236=$T$1,1,0))))</f>
        <v>0</v>
      </c>
      <c r="BQ10" s="874">
        <f t="array" ref="BQ10">SUM(IF(ISBLANK(BQ$23:BQ$236),0,IF(ISNUMBER(VALUE(RIGHT(BQ$23:BQ$236,1))),RIGHT(BQ$23:BQ$236,1),0)*IF(ISBLANK($T$1),1,IF($I$23:$I$236=$T$1,1,0))))</f>
        <v>0</v>
      </c>
      <c r="BR10" s="874">
        <f t="array" ref="BR10">SUM(IF(ISBLANK(BR$23:BR$236),0,IF(ISNUMBER(VALUE(RIGHT(BR$23:BR$236,1))),RIGHT(BR$23:BR$236,1),0)*IF(ISBLANK($T$1),1,IF($I$23:$I$236=$T$1,1,0))))</f>
        <v>0</v>
      </c>
      <c r="BS10" s="874">
        <f t="array" ref="BS10">SUM(IF(ISBLANK(BS$41:BS$236),0,IF(ISNUMBER(VALUE(RIGHT(BS$41:BS$236,1))),RIGHT(BS$41:BS$236,1),0)*IF(ISBLANK($T$1),1,IF($I$23:$I$236=$T$1,1,0))))</f>
        <v>0</v>
      </c>
      <c r="BX10" s="874">
        <f t="array" ref="BX10">SUM(IF(ISBLANK(BX$23:BX$236),0,IF(ISNUMBER(VALUE(RIGHT(BX$23:BX$236,1))),RIGHT(BX$23:BX$236,1),0)*IF(ISBLANK($T$1),1,IF($I$23:$I$236=$T$1,1,0))))</f>
        <v>0</v>
      </c>
      <c r="BY10" s="874">
        <f t="array" ref="BY10">SUM(IF(ISBLANK(BY$23:BY$236),0,IF(ISNUMBER(VALUE(RIGHT(BY$23:BY$236,1))),RIGHT(BY$23:BY$236,1),0)*IF(ISBLANK($T$1),1,IF($I$23:$I$236=$T$1,1,0))))</f>
        <v>0</v>
      </c>
      <c r="BZ10" s="874">
        <f t="array" ref="BZ10">SUM(IF(ISBLANK(BZ$23:BZ$236),0,IF(ISNUMBER(VALUE(RIGHT(BZ$23:BZ$236,1))),RIGHT(BZ$23:BZ$236,1),0)*IF(ISBLANK($T$1),1,IF($I$23:$I$236=$T$1,1,0))))</f>
        <v>0</v>
      </c>
      <c r="CA10" s="874">
        <f t="array" ref="CA10">SUM(IF(ISBLANK(CA$23:CA$236),0,IF(ISNUMBER(VALUE(RIGHT(CA$23:CA$236,1))),RIGHT(CA$23:CA$236,1),0)*IF(ISBLANK($T$1),1,IF($I$23:$I$236=$T$1,1,0))))</f>
        <v>0</v>
      </c>
      <c r="CB10" s="874">
        <f t="array" ref="CB10">SUM(IF(ISBLANK(CB$23:CB$236),0,IF(ISNUMBER(VALUE(RIGHT(CB$23:CB$236,1))),RIGHT(CB$23:CB$236,1),0)*IF(ISBLANK($T$1),1,IF($I$23:$I$236=$T$1,1,0))))</f>
        <v>0</v>
      </c>
      <c r="CC10" s="874">
        <f t="array" ref="CC10">SUM(IF(ISBLANK(CC$23:CC$236),0,IF(ISNUMBER(VALUE(RIGHT(CC$23:CC$236,1))),RIGHT(CC$23:CC$236,1),0)*IF(ISBLANK($T$1),1,IF($I$23:$I$236=$T$1,1,0))))</f>
        <v>0</v>
      </c>
      <c r="CD10" s="874">
        <f t="array" ref="CD10">SUM(IF(ISBLANK(CD$23:CD$236),0,IF(ISNUMBER(VALUE(RIGHT(CD$23:CD$236,1))),RIGHT(CD$23:CD$236,1),0)*IF(ISBLANK($T$1),1,IF($I$23:$I$236=$T$1,1,0))))</f>
        <v>0</v>
      </c>
      <c r="CE10" s="874">
        <f t="array" ref="CE10">SUM(IF(ISBLANK(CE$23:CE$236),0,IF(ISNUMBER(VALUE(RIGHT(CE$23:CE$236,1))),RIGHT(CE$23:CE$236,1),0)*IF(ISBLANK($T$1),1,IF($I$23:$I$236=$T$1,1,0))))</f>
        <v>0</v>
      </c>
      <c r="CF10" s="874">
        <f t="array" ref="CF10">SUM(IF(ISBLANK(CF$23:CF$236),0,IF(ISNUMBER(VALUE(RIGHT(CF$23:CF$236,1))),RIGHT(CF$23:CF$236,1),0)*IF(ISBLANK($T$1),1,IF($I$23:$I$236=$T$1,1,0))))</f>
        <v>0</v>
      </c>
      <c r="CG10" s="874">
        <f t="array" ref="CG10">SUM(IF(ISBLANK(CG$23:CG$236),0,IF(ISNUMBER(VALUE(RIGHT(CG$23:CG$236,1))),RIGHT(CG$23:CG$236,1),0)*IF(ISBLANK($T$1),1,IF($I$23:$I$236=$T$1,1,0))))</f>
        <v>0</v>
      </c>
      <c r="CH10" s="874">
        <f t="array" ref="CH10">SUM(IF(ISBLANK(CH$23:CH$236),0,IF(ISNUMBER(VALUE(RIGHT(CH$23:CH$236,1))),RIGHT(CH$23:CH$236,1),0)*IF(ISBLANK($T$1),1,IF($I$23:$I$236=$T$1,1,0))))</f>
        <v>0</v>
      </c>
      <c r="CI10" s="874">
        <f t="array" ref="CI10">SUM(IF(ISBLANK(CI$23:CI$236),0,IF(ISNUMBER(VALUE(RIGHT(CI$23:CI$236,1))),RIGHT(CI$23:CI$236,1),0)*IF(ISBLANK($T$1),1,IF($I$23:$I$236=$T$1,1,0))))</f>
        <v>0</v>
      </c>
      <c r="CJ10" s="874">
        <f t="array" ref="CJ10">SUM(IF(ISBLANK(CJ$23:CJ$236),0,IF(ISNUMBER(VALUE(RIGHT(CJ$23:CJ$236,1))),RIGHT(CJ$23:CJ$236,1),0)*IF(ISBLANK($T$1),1,IF($I$23:$I$236=$T$1,1,0))))</f>
        <v>0</v>
      </c>
      <c r="CK10" s="874">
        <f t="array" ref="CK10">SUM(IF(ISBLANK(CK$23:CK$236),0,IF(ISNUMBER(VALUE(RIGHT(CK$23:CK$236,1))),RIGHT(CK$23:CK$236,1),0)*IF(ISBLANK($T$1),1,IF($I$23:$I$236=$T$1,1,0))))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1">AF10/AF2</f>
        <v>1.2790697674418605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K11" s="874">
        <f t="shared" si="11"/>
        <v>0</v>
      </c>
      <c r="AL11" s="874">
        <f t="shared" si="11"/>
        <v>0</v>
      </c>
      <c r="AN11" s="874">
        <f>AN10/AN2</f>
        <v>2.3255813953488372E-2</v>
      </c>
      <c r="AO11" s="874">
        <f t="shared" si="11"/>
        <v>0</v>
      </c>
      <c r="AP11" s="874">
        <f>AP10/AP2</f>
        <v>4.7619047619047616E-2</v>
      </c>
      <c r="AU11" s="874">
        <f>AU10/AU2</f>
        <v>2.564102564102564E-2</v>
      </c>
      <c r="AV11" s="874">
        <f>AV10/AV2</f>
        <v>0.17948717948717949</v>
      </c>
      <c r="AW11" s="874">
        <f>AW10/AW2</f>
        <v>0</v>
      </c>
      <c r="AX11" s="874">
        <f>AX10/AX2</f>
        <v>9.3023255813953487E-2</v>
      </c>
      <c r="AY11" s="874">
        <f>AY10/AY2</f>
        <v>7.1428571428571425E-2</v>
      </c>
      <c r="AZ11" s="874">
        <f t="shared" ref="AZ11" si="12">AZ10/AZ2</f>
        <v>4.7619047619047616E-2</v>
      </c>
      <c r="BB11" s="874">
        <f>BB10/BB2</f>
        <v>5.7142857142857141E-2</v>
      </c>
      <c r="BC11" s="874">
        <f>BC10/BC2</f>
        <v>0</v>
      </c>
      <c r="BD11" s="874">
        <f>BD10/BD2</f>
        <v>2.3809523809523808E-2</v>
      </c>
      <c r="BM11" s="874" t="e">
        <f>BM10/BM2</f>
        <v>#DIV/0!</v>
      </c>
      <c r="BO11" s="874" t="e">
        <f>BO10/BO2</f>
        <v>#DIV/0!</v>
      </c>
      <c r="BQ11" s="874" t="e">
        <f>BQ10/BQ2</f>
        <v>#DIV/0!</v>
      </c>
      <c r="BR11" s="874">
        <f>BR10/BR2</f>
        <v>0</v>
      </c>
      <c r="BS11" s="874">
        <f t="shared" si="11"/>
        <v>0</v>
      </c>
      <c r="BX11" s="874">
        <f t="shared" ref="BX11:CD11" si="13">BX10/BX2</f>
        <v>0</v>
      </c>
      <c r="BY11" s="874">
        <f t="shared" si="13"/>
        <v>0</v>
      </c>
      <c r="BZ11" s="874" t="e">
        <f t="shared" si="13"/>
        <v>#DIV/0!</v>
      </c>
      <c r="CA11" s="874" t="e">
        <f t="shared" si="13"/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1"/>
        <v>#DIV/0!</v>
      </c>
      <c r="CF11" s="874" t="e">
        <f t="shared" si="11"/>
        <v>#DIV/0!</v>
      </c>
      <c r="CG11" s="874" t="e">
        <f t="shared" si="11"/>
        <v>#DIV/0!</v>
      </c>
      <c r="CH11" s="874" t="e">
        <f t="shared" si="11"/>
        <v>#DIV/0!</v>
      </c>
      <c r="CI11" s="874">
        <f t="shared" si="11"/>
        <v>0</v>
      </c>
      <c r="CJ11" s="874">
        <f t="shared" si="11"/>
        <v>0</v>
      </c>
      <c r="CK11" s="874">
        <f t="shared" si="11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SUM(IF(ISBLANK($T$1),$K$23:$K$236,IF($I$23:$I$236=$T$1,$K$23:$K$236,0)))</f>
        <v>57</v>
      </c>
      <c r="AG12" s="874">
        <f t="array" ref="AG12">SUM(IF(ISBLANK(AG$23:AG$236),0,$K23:$K236)*IF(ISBLANK($T$1),1,IF($I$23:$I$236=$T$1,1,0)))</f>
        <v>54</v>
      </c>
      <c r="AH12" s="874">
        <f t="array" ref="AH12">SUM(IF(ISBLANK(AH$23:AH$236),0,$K23:$K236)*IF(ISBLANK($T$1),1,IF($I$23:$I$236=$T$1,1,0)))</f>
        <v>57</v>
      </c>
      <c r="AI12" s="874">
        <f t="array" ref="AI12">SUM(IF(ISBLANK(AI$23:AI$236),0,$K23:$K236)*IF(ISBLANK($T$1),1,IF($I$23:$I$236=$T$1,1,0)))</f>
        <v>51</v>
      </c>
      <c r="AK12" s="874">
        <f t="array" ref="AK12">SUM(IF(ISBLANK(AK$23:AK$236),0,$K23:$K236)*IF(ISBLANK($T$1),1,IF($I$23:$I$236=$T$1,1,0)))</f>
        <v>53</v>
      </c>
      <c r="AL12" s="874">
        <f t="array" ref="AL12">SUM(IF(ISBLANK(AL$23:AL$236),0,$K23:$K236)*IF(ISBLANK($T$1),1,IF($I$23:$I$236=$T$1,1,0)))</f>
        <v>57</v>
      </c>
      <c r="AN12" s="874">
        <f t="array" ref="AN12">SUM(IF(ISBLANK(AN$23:AN$236),0,$K23:$K236)*IF(ISBLANK($T$1),1,IF($I$23:$I$236=$T$1,1,0)))</f>
        <v>57</v>
      </c>
      <c r="AO12" s="874">
        <f t="array" ref="AO12">SUM(IF(ISBLANK(AO$23:AO$236),0,$K23:$K236)*IF(ISBLANK($T$1),1,IF($I$23:$I$236=$T$1,1,0)))</f>
        <v>51</v>
      </c>
      <c r="AP12" s="874">
        <f t="array" ref="AP12">SUM(IF(ISBLANK(AP$23:AP$236),0,$K23:$K236)*IF(ISBLANK($T$1),1,IF($I$23:$I$236=$T$1,1,0)))</f>
        <v>55</v>
      </c>
      <c r="AU12" s="874" t="e">
        <f t="array" ref="AU12">SUM(IF(ISBLANK(AU$26:AU$236),0,$K23:$K236)*IF(ISBLANK($T$1),1,IF($I$23:$I$236=$T$1,1,0)))</f>
        <v>#N/A</v>
      </c>
      <c r="AV12" s="874">
        <f t="array" ref="AV12">SUM(IF(ISBLANK(AV$23:AV$236),0,$K23:$K236)*IF(ISBLANK($T$1),1,IF($I$23:$I$236=$T$1,1,0)))</f>
        <v>50</v>
      </c>
      <c r="AW12" s="874">
        <f t="array" ref="AW12">SUM(IF(ISBLANK(AW$23:AW$236),0,$K23:$K236)*IF(ISBLANK($T$1),1,IF($I$23:$I$236=$T$1,1,0)))</f>
        <v>57</v>
      </c>
      <c r="AX12" s="874">
        <f t="array" ref="AX12">SUM(IF(ISBLANK(AX$23:AX$236),0,$K23:$K236)*IF(ISBLANK($T$1),1,IF($I$23:$I$236=$T$1,1,0)))</f>
        <v>57</v>
      </c>
      <c r="AY12" s="874">
        <f t="array" ref="AY12">SUM(IF(ISBLANK(AY$23:AY$236),0,$K23:$K236)*IF(ISBLANK($T$1),1,IF($I$23:$I$236=$T$1,1,0)))</f>
        <v>56</v>
      </c>
      <c r="AZ12" s="874">
        <f t="array" ref="AZ12">SUM(IF(ISBLANK(AZ$23:AZ$236),0,$K23:$K236)*IF(ISBLANK($T$1),1,IF($I$23:$I$236=$T$1,1,0)))</f>
        <v>56</v>
      </c>
      <c r="BB12" s="874" t="e">
        <f t="array" ref="BB12">SUM(IF(ISBLANK(BB$30:BB$236),0,$K23:$K236)*IF(ISBLANK($T$1),1,IF($I$23:$I$236=$T$1,1,0)))</f>
        <v>#N/A</v>
      </c>
      <c r="BC12" s="874">
        <f t="array" ref="BC12">SUM(IF(ISBLANK(BC$23:BC$236),0,$K23:$K236)*IF(ISBLANK($T$1),1,IF($I$23:$I$236=$T$1,1,0)))</f>
        <v>55</v>
      </c>
      <c r="BD12" s="874">
        <f t="array" ref="BD12">SUM(IF(ISBLANK(BD$23:BD$236),0,$K23:$K236)*IF(ISBLANK($T$1),1,IF($I$23:$I$236=$T$1,1,0)))</f>
        <v>56</v>
      </c>
      <c r="BM12" s="874">
        <f t="array" ref="BM12">SUM(IF(ISBLANK(BM$23:BM$236),0,$K23:$K236)*IF(ISBLANK($T$1),1,IF($I$23:$I$236=$T$1,1,0)))</f>
        <v>0</v>
      </c>
      <c r="BO12" s="874" t="e">
        <f t="array" ref="BO12">SUM(IF(ISBLANK(BO$67:BO$236),0,$K23:$K236)*IF(ISBLANK($T$1),1,IF($I$23:$I$236=$T$1,1,0)))</f>
        <v>#N/A</v>
      </c>
      <c r="BQ12" s="874">
        <f t="array" ref="BQ12">SUM(IF(ISBLANK(BQ$23:BQ$236),0,$K23:$K236)*IF(ISBLANK($T$1),1,IF($I$23:$I$236=$T$1,1,0)))</f>
        <v>0</v>
      </c>
      <c r="BR12" s="874">
        <f t="array" ref="BR12">SUM(IF(ISBLANK(BR$23:BR$236),0,$K23:$K236)*IF(ISBLANK($T$1),1,IF($I$23:$I$236=$T$1,1,0)))</f>
        <v>2</v>
      </c>
      <c r="BS12" s="874" t="e">
        <f t="array" ref="BS12">SUM(IF(ISBLANK(BS$41:BS$236),0,$K23:$K236)*IF(ISBLANK($T$1),1,IF($I$23:$I$236=$T$1,1,0)))</f>
        <v>#N/A</v>
      </c>
      <c r="BX12" s="874">
        <f t="array" ref="BX12">SUM(IF(ISBLANK(BX$23:BX$236),0,$K23:$K236)*IF(ISBLANK($T$1),1,IF($I$23:$I$236=$T$1,1,0)))</f>
        <v>2</v>
      </c>
      <c r="BY12" s="874">
        <f t="array" ref="BY12">SUM(IF(ISBLANK(BY$23:BY$236),0,$K23:$K236)*IF(ISBLANK($T$1),1,IF($I$23:$I$236=$T$1,1,0)))</f>
        <v>2</v>
      </c>
      <c r="BZ12" s="874">
        <f t="array" ref="BZ12">SUM(IF(ISBLANK(BZ$23:BZ$236),0,$K23:$K236)*IF(ISBLANK($T$1),1,IF($I$23:$I$236=$T$1,1,0)))</f>
        <v>0</v>
      </c>
      <c r="CA12" s="874">
        <f t="array" ref="CA12">SUM(IF(ISBLANK(CA$23:CA$236),0,$K23:$K236)*IF(ISBLANK($T$1),1,IF($I$23:$I$236=$T$1,1,0)))</f>
        <v>0</v>
      </c>
      <c r="CB12" s="874">
        <f t="array" ref="CB12">SUM(IF(ISBLANK(CB$23:CB$236),0,$K23:$K236)*IF(ISBLANK($T$1),1,IF($I$23:$I$236=$T$1,1,0)))</f>
        <v>0</v>
      </c>
      <c r="CC12" s="874">
        <f t="array" ref="CC12">SUM(IF(ISBLANK(CC$23:CC$236),0,$K23:$K236)*IF(ISBLANK($T$1),1,IF($I$23:$I$236=$T$1,1,0)))</f>
        <v>0</v>
      </c>
      <c r="CD12" s="874">
        <f t="array" ref="CD12">SUM(IF(ISBLANK(CD$23:CD$236),0,$K23:$K236)*IF(ISBLANK($T$1),1,IF($I$23:$I$236=$T$1,1,0)))</f>
        <v>0</v>
      </c>
      <c r="CE12" s="874">
        <f t="array" ref="CE12">SUM(IF(ISBLANK(CE$23:CE$236),0,$K23:$K236)*IF(ISBLANK($T$1),1,IF($I$23:$I$236=$T$1,1,0)))</f>
        <v>0</v>
      </c>
      <c r="CF12" s="874">
        <f t="array" ref="CF12">SUM(IF(ISBLANK(CF$23:CF$236),0,$K23:$K236)*IF(ISBLANK($T$1),1,IF($I$23:$I$236=$T$1,1,0)))</f>
        <v>0</v>
      </c>
      <c r="CG12" s="874">
        <f t="array" ref="CG12">SUM(IF(ISBLANK(CG$23:CG$236),0,$K23:$K236)*IF(ISBLANK($T$1),1,IF($I$23:$I$236=$T$1,1,0)))</f>
        <v>0</v>
      </c>
      <c r="CH12" s="874">
        <f t="array" ref="CH12">SUM(IF(ISBLANK(CH$23:CH$236),0,$K23:$K236)*IF(ISBLANK($T$1),1,IF($I$23:$I$236=$T$1,1,0)))</f>
        <v>0</v>
      </c>
      <c r="CI12" s="874">
        <f t="array" ref="CI12">SUM(IF(ISBLANK(CI$23:CI$236),0,$K23:$K236)*IF(ISBLANK($T$1),1,IF($I$23:$I$236=$T$1,1,0)))</f>
        <v>20</v>
      </c>
      <c r="CJ12" s="874">
        <f t="array" ref="CJ12">SUM(IF(ISBLANK(CJ$23:CJ$236),0,$K23:$K236)*IF(ISBLANK($T$1),1,IF($I$23:$I$236=$T$1,1,0)))</f>
        <v>20</v>
      </c>
      <c r="CK12" s="874">
        <f t="array" ref="CK12">SUM(IF(ISBLANK(CK$23:CK$236),0,$K23:$K236)*IF(ISBLANK($T$1),1,IF($I$23:$I$236=$T$1,1,0)))</f>
        <v>20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4">AF12/AF2</f>
        <v>1.3255813953488371</v>
      </c>
      <c r="AG13" s="874">
        <f t="shared" si="14"/>
        <v>1.2857142857142858</v>
      </c>
      <c r="AH13" s="874">
        <f t="shared" si="14"/>
        <v>1.3255813953488371</v>
      </c>
      <c r="AI13" s="874">
        <f t="shared" si="14"/>
        <v>1.2749999999999999</v>
      </c>
      <c r="AK13" s="874">
        <f t="shared" si="14"/>
        <v>1.2926829268292683</v>
      </c>
      <c r="AL13" s="874">
        <f t="shared" si="14"/>
        <v>1.3255813953488371</v>
      </c>
      <c r="AN13" s="874">
        <f>AN12/AN2</f>
        <v>1.3255813953488371</v>
      </c>
      <c r="AO13" s="874">
        <f t="shared" si="14"/>
        <v>1.2749999999999999</v>
      </c>
      <c r="AP13" s="874">
        <f>AP12/AP2</f>
        <v>1.3095238095238095</v>
      </c>
      <c r="AU13" s="874" t="e">
        <f>AU12/AU2</f>
        <v>#N/A</v>
      </c>
      <c r="AV13" s="874">
        <f>AV12/AV2</f>
        <v>1.2820512820512822</v>
      </c>
      <c r="AW13" s="874">
        <f>AW12/AW2</f>
        <v>1.3255813953488371</v>
      </c>
      <c r="AX13" s="874">
        <f>AX12/AX2</f>
        <v>1.3255813953488371</v>
      </c>
      <c r="AY13" s="874">
        <f>AY12/AY2</f>
        <v>1.3333333333333333</v>
      </c>
      <c r="AZ13" s="874">
        <f t="shared" ref="AZ13" si="15">AZ12/AZ2</f>
        <v>1.3333333333333333</v>
      </c>
      <c r="BB13" s="874" t="e">
        <f>BB12/BB2</f>
        <v>#N/A</v>
      </c>
      <c r="BC13" s="874">
        <f>BC12/BC2</f>
        <v>1.3095238095238095</v>
      </c>
      <c r="BD13" s="874">
        <f>BD12/BD2</f>
        <v>1.3333333333333333</v>
      </c>
      <c r="BM13" s="874" t="e">
        <f>BM12/BM2</f>
        <v>#DIV/0!</v>
      </c>
      <c r="BO13" s="874" t="e">
        <f>BO12/BO2</f>
        <v>#N/A</v>
      </c>
      <c r="BQ13" s="874" t="e">
        <f>BQ12/BQ2</f>
        <v>#DIV/0!</v>
      </c>
      <c r="BR13" s="874">
        <f>BR12/BR2</f>
        <v>2</v>
      </c>
      <c r="BS13" s="874" t="e">
        <f t="shared" si="14"/>
        <v>#N/A</v>
      </c>
      <c r="BX13" s="874">
        <f t="shared" ref="BX13:CD13" si="16">BX12/BX2</f>
        <v>2</v>
      </c>
      <c r="BY13" s="874">
        <f t="shared" si="16"/>
        <v>2</v>
      </c>
      <c r="BZ13" s="874" t="e">
        <f t="shared" si="16"/>
        <v>#DIV/0!</v>
      </c>
      <c r="CA13" s="874" t="e">
        <f t="shared" si="16"/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4"/>
        <v>#DIV/0!</v>
      </c>
      <c r="CF13" s="874" t="e">
        <f t="shared" si="14"/>
        <v>#DIV/0!</v>
      </c>
      <c r="CG13" s="874" t="e">
        <f t="shared" si="14"/>
        <v>#DIV/0!</v>
      </c>
      <c r="CH13" s="874" t="e">
        <f t="shared" si="14"/>
        <v>#DIV/0!</v>
      </c>
      <c r="CI13" s="874">
        <f t="shared" si="14"/>
        <v>1.25</v>
      </c>
      <c r="CJ13" s="874">
        <f t="shared" si="14"/>
        <v>1.25</v>
      </c>
      <c r="CK13" s="874">
        <f t="shared" si="14"/>
        <v>1.3333333333333333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" si="17">AG15+AG16</f>
        <v>0</v>
      </c>
      <c r="AH14" s="902">
        <f t="shared" ref="AH14:AX14" si="18">AH15+AH16</f>
        <v>43</v>
      </c>
      <c r="AI14" s="902">
        <f t="shared" si="18"/>
        <v>0</v>
      </c>
      <c r="AJ14" s="902">
        <f t="shared" si="18"/>
        <v>19</v>
      </c>
      <c r="AK14" s="902">
        <f t="shared" si="18"/>
        <v>0</v>
      </c>
      <c r="AL14" s="902">
        <f t="shared" si="18"/>
        <v>31</v>
      </c>
      <c r="AM14" s="902">
        <f t="shared" si="18"/>
        <v>0</v>
      </c>
      <c r="AN14" s="902">
        <f t="shared" si="18"/>
        <v>34</v>
      </c>
      <c r="AO14" s="902">
        <f t="shared" si="18"/>
        <v>2</v>
      </c>
      <c r="AP14" s="902">
        <f t="shared" si="18"/>
        <v>17</v>
      </c>
      <c r="AQ14" s="902">
        <f t="shared" ref="AQ14:AR14" si="19">AQ15+AQ16</f>
        <v>27</v>
      </c>
      <c r="AR14" s="902">
        <f t="shared" si="19"/>
        <v>26</v>
      </c>
      <c r="AS14" s="902">
        <f t="shared" si="18"/>
        <v>12</v>
      </c>
      <c r="AT14" s="902">
        <f t="shared" si="18"/>
        <v>26</v>
      </c>
      <c r="AU14" s="902">
        <f t="shared" si="18"/>
        <v>22</v>
      </c>
      <c r="AV14" s="902">
        <f t="shared" si="18"/>
        <v>27</v>
      </c>
      <c r="AW14" s="902">
        <f t="shared" si="18"/>
        <v>22</v>
      </c>
      <c r="AX14" s="902">
        <f t="shared" si="18"/>
        <v>40</v>
      </c>
      <c r="AY14" s="902">
        <f t="shared" ref="AY14:BI14" si="20">AY15+AY16</f>
        <v>27</v>
      </c>
      <c r="AZ14" s="902">
        <f t="shared" si="20"/>
        <v>37</v>
      </c>
      <c r="BA14" s="902">
        <f>BA15+BA16</f>
        <v>29</v>
      </c>
      <c r="BB14" s="902">
        <f t="shared" si="20"/>
        <v>12</v>
      </c>
      <c r="BC14" s="902">
        <f t="shared" si="20"/>
        <v>8</v>
      </c>
      <c r="BD14" s="902">
        <f t="shared" si="20"/>
        <v>9</v>
      </c>
      <c r="BE14" s="902">
        <f t="shared" si="20"/>
        <v>33</v>
      </c>
      <c r="BF14" s="902">
        <f t="shared" si="20"/>
        <v>41</v>
      </c>
      <c r="BG14" s="902">
        <f t="shared" si="20"/>
        <v>24</v>
      </c>
      <c r="BH14" s="902">
        <f t="shared" si="20"/>
        <v>1</v>
      </c>
      <c r="BI14" s="902">
        <f t="shared" si="20"/>
        <v>29</v>
      </c>
      <c r="BJ14" s="890"/>
      <c r="BK14" s="890"/>
      <c r="BL14" s="890"/>
      <c r="BM14" s="890"/>
      <c r="BN14" s="890"/>
      <c r="BO14" s="890"/>
      <c r="BP14" s="890"/>
      <c r="BQ14" s="890"/>
      <c r="BR14" s="890"/>
      <c r="BS14" s="890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AVERAGEIFS($Q$23:$Q$203,$H$23:$H$203,"H",$I$23:$I$203,Table!$C$1)</f>
        <v>7.8571428571428584E-2</v>
      </c>
      <c r="S15" s="858">
        <f>AVERAGEIFS($Q$23:$Q$203,$H$23:$H$203,"A",$I$23:$I$203,Table!$C$1)</f>
        <v>-0.1680952380952381</v>
      </c>
      <c r="AF15" s="848" t="s">
        <v>821</v>
      </c>
      <c r="AG15" s="903">
        <f t="array" ref="AG15">SUM(IF(LEFT(AG23:AG157,1)="X",1,0))</f>
        <v>0</v>
      </c>
      <c r="AH15" s="903">
        <f t="array" ref="AH15">SUM(IF(LEFT(AH23:AH157,1)="X",1,0))</f>
        <v>43</v>
      </c>
      <c r="AI15" s="903">
        <f t="array" ref="AI15">SUM(IF(LEFT(AI23:AI157,1)="X",1,0))</f>
        <v>0</v>
      </c>
      <c r="AJ15" s="903">
        <f t="array" ref="AJ15">SUM(IF(LEFT(AJ23:AJ157,1)="X",1,0))</f>
        <v>16</v>
      </c>
      <c r="AK15" s="903">
        <f t="array" ref="AK15">SUM(IF(LEFT(AK23:AK157,1)="X",1,0))</f>
        <v>0</v>
      </c>
      <c r="AL15" s="903">
        <f t="array" ref="AL15">SUM(IF(LEFT(AL23:AL157,1)="X",1,0))</f>
        <v>31</v>
      </c>
      <c r="AM15" s="903">
        <f t="array" ref="AM15">SUM(IF(LEFT(AM23:AM157,1)="X",1,0))</f>
        <v>0</v>
      </c>
      <c r="AN15" s="903">
        <f t="array" ref="AN15">SUM(IF(LEFT(AN23:AN157,1)="X",1,0))</f>
        <v>33</v>
      </c>
      <c r="AO15" s="903">
        <f t="array" ref="AO15">SUM(IF(LEFT(AO23:AO157,1)="X",1,0))</f>
        <v>1</v>
      </c>
      <c r="AP15" s="903">
        <f t="array" ref="AP15">SUM(IF(LEFT(AP23:AP157,1)="X",1,0))</f>
        <v>15</v>
      </c>
      <c r="AQ15" s="903">
        <f t="array" ref="AQ15">SUM(IF(LEFT(AQ23:AQ157,1)="X",1,0))</f>
        <v>22</v>
      </c>
      <c r="AR15" s="903">
        <f t="array" ref="AR15">SUM(IF(LEFT(AR23:AR157,1)="X",1,0))</f>
        <v>24</v>
      </c>
      <c r="AS15" s="903">
        <f t="array" ref="AS15">SUM(IF(LEFT(AS23:AS157,1)="X",1,0))</f>
        <v>10</v>
      </c>
      <c r="AT15" s="903">
        <f t="array" ref="AT15">SUM(IF(LEFT(AT23:AT157,1)="X",1,0))</f>
        <v>22</v>
      </c>
      <c r="AU15" s="903">
        <f t="array" ref="AU15">SUM(IF(LEFT(AU23:AU157,1)="X",1,0))</f>
        <v>18</v>
      </c>
      <c r="AV15" s="903">
        <f t="array" ref="AV15">SUM(IF(LEFT(AV23:AV157,1)="X",1,0))</f>
        <v>17</v>
      </c>
      <c r="AW15" s="903">
        <f t="array" ref="AW15">SUM(IF(LEFT(AW23:AW157,1)="X",1,0))</f>
        <v>4</v>
      </c>
      <c r="AX15" s="903">
        <f t="array" ref="AX15">SUM(IF(LEFT(AX23:AX157,1)="X",1,0))</f>
        <v>38</v>
      </c>
      <c r="AY15" s="903">
        <f t="array" ref="AY15">SUM(IF(LEFT(AY23:AY157,1)="X",1,0))</f>
        <v>16</v>
      </c>
      <c r="AZ15" s="903">
        <f t="array" ref="AZ15">SUM(IF(LEFT(AZ23:AZ157,1)="X",1,0))</f>
        <v>30</v>
      </c>
      <c r="BA15" s="903">
        <f t="array" ref="BA15">SUM(IF(LEFT(BA23:BA157,1)="X",1,0))</f>
        <v>25</v>
      </c>
      <c r="BB15" s="903">
        <f t="array" ref="BB15">SUM(IF(LEFT(BB23:BB157,1)="X",1,0))</f>
        <v>5</v>
      </c>
      <c r="BC15" s="903">
        <f t="array" ref="BC15">SUM(IF(LEFT(BC23:BC157,1)="X",1,0))</f>
        <v>0</v>
      </c>
      <c r="BD15" s="903">
        <f t="array" ref="BD15">SUM(IF(LEFT(BD23:BD157,1)="X",1,0))</f>
        <v>1</v>
      </c>
      <c r="BE15" s="903">
        <f t="array" ref="BE15">SUM(IF(LEFT(BE23:BE157,1)="X",1,0))</f>
        <v>26</v>
      </c>
      <c r="BF15" s="903">
        <f t="array" ref="BF15">SUM(IF(LEFT(BF23:BF157,1)="X",1,0))</f>
        <v>40</v>
      </c>
      <c r="BG15" s="903">
        <f t="array" ref="BG15">SUM(IF(LEFT(BG23:BG157,1)="X",1,0))</f>
        <v>9</v>
      </c>
      <c r="BH15" s="903">
        <f t="array" ref="BH15">SUM(IF(LEFT(BH23:BH157,1)="X",1,0))</f>
        <v>0</v>
      </c>
      <c r="BI15" s="903">
        <f t="array" ref="BI15">SUM(IF(LEFT(BI23:BI157,1)="X",1,0))</f>
        <v>27</v>
      </c>
      <c r="BJ15" s="890"/>
      <c r="BK15" s="890"/>
      <c r="BL15" s="890"/>
      <c r="BM15" s="890"/>
      <c r="BN15" s="890"/>
      <c r="BO15" s="890"/>
      <c r="BP15" s="890"/>
      <c r="BQ15" s="890"/>
      <c r="BR15" s="890"/>
      <c r="BS15" s="890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AVERAGEIF($H$23:$H$200,"=H",$J$23:$J$200)</f>
        <v>1</v>
      </c>
      <c r="J16" s="858">
        <f>AVERAGEIF($H$23:$H$204,"=H",$K$23:$K$204)</f>
        <v>1.3636363636363635</v>
      </c>
      <c r="K16" s="858">
        <f>I16-J16</f>
        <v>-0.36363636363636354</v>
      </c>
      <c r="L16" s="857">
        <f>COUNTIFS($L$23:$L$200,"=W",$H$23:$H$200,"=H")</f>
        <v>4</v>
      </c>
      <c r="M16" s="857">
        <f>COUNTIFS($L$23:$L$200,"=D",$H$23:$H$200,"=H")</f>
        <v>7</v>
      </c>
      <c r="N16" s="863">
        <f>COUNTIFS($L$23:$L$200,"=L",$H$23:$H$200,"=H")</f>
        <v>11</v>
      </c>
      <c r="O16" s="858">
        <f>SUM(I16:J16)</f>
        <v>2.3636363636363633</v>
      </c>
      <c r="Q16" s="861" t="s">
        <v>212</v>
      </c>
      <c r="R16" s="858">
        <f>AVERAGEIFS($S$23:$S$201,$H$23:$H$201,"H",$I$23:$I$201,Table!$C$1)</f>
        <v>2.4480952380952381</v>
      </c>
      <c r="S16" s="858">
        <f>AVERAGEIFS($S$23:$S$201,$H$23:$H$201,"A",$I$23:$I$201,Table!$C$1)</f>
        <v>2.4714285714285715</v>
      </c>
      <c r="AF16" s="848" t="s">
        <v>724</v>
      </c>
      <c r="AG16" s="903">
        <f t="array" ref="AG16">SUM(IF(LEFT(AG23:AG158,1)="s",1,0))</f>
        <v>0</v>
      </c>
      <c r="AH16" s="903">
        <f t="array" ref="AH16">SUM(IF(LEFT(AH23:AH158,1)="s",1,0))</f>
        <v>0</v>
      </c>
      <c r="AI16" s="903">
        <f t="array" ref="AI16">SUM(IF(LEFT(AI23:AI158,1)="s",1,0))</f>
        <v>0</v>
      </c>
      <c r="AJ16" s="903">
        <f t="array" ref="AJ16">SUM(IF(LEFT(AJ23:AJ158,1)="s",1,0))</f>
        <v>3</v>
      </c>
      <c r="AK16" s="903">
        <f t="array" ref="AK16">SUM(IF(LEFT(AK23:AK158,1)="s",1,0))</f>
        <v>0</v>
      </c>
      <c r="AL16" s="903">
        <f t="array" ref="AL16">SUM(IF(LEFT(AL23:AL158,1)="s",1,0))</f>
        <v>0</v>
      </c>
      <c r="AM16" s="903">
        <f t="array" ref="AM16">SUM(IF(LEFT(AM23:AM158,1)="s",1,0))</f>
        <v>0</v>
      </c>
      <c r="AN16" s="903">
        <f t="array" ref="AN16">SUM(IF(LEFT(AN23:AN158,1)="s",1,0))</f>
        <v>1</v>
      </c>
      <c r="AO16" s="903">
        <f t="array" ref="AO16">SUM(IF(LEFT(AO23:AO158,1)="s",1,0))</f>
        <v>1</v>
      </c>
      <c r="AP16" s="903">
        <f t="array" ref="AP16">SUM(IF(LEFT(AP23:AP158,1)="s",1,0))</f>
        <v>2</v>
      </c>
      <c r="AQ16" s="903">
        <f t="array" ref="AQ16">SUM(IF(LEFT(AQ23:AQ158,1)="s",1,0))</f>
        <v>5</v>
      </c>
      <c r="AR16" s="903">
        <f t="array" ref="AR16">SUM(IF(LEFT(AR23:AR158,1)="s",1,0))</f>
        <v>2</v>
      </c>
      <c r="AS16" s="903">
        <f t="array" ref="AS16">SUM(IF(LEFT(AS23:AS158,1)="s",1,0))</f>
        <v>2</v>
      </c>
      <c r="AT16" s="903">
        <f t="array" ref="AT16">SUM(IF(LEFT(AT23:AT158,1)="s",1,0))</f>
        <v>4</v>
      </c>
      <c r="AU16" s="903">
        <f t="array" ref="AU16">SUM(IF(LEFT(AU23:AU158,1)="s",1,0))</f>
        <v>4</v>
      </c>
      <c r="AV16" s="903">
        <f t="array" ref="AV16">SUM(IF(LEFT(AV23:AV158,1)="s",1,0))</f>
        <v>10</v>
      </c>
      <c r="AW16" s="903">
        <f t="array" ref="AW16">SUM(IF(LEFT(AW23:AW158,1)="s",1,0))</f>
        <v>18</v>
      </c>
      <c r="AX16" s="903">
        <f t="array" ref="AX16">SUM(IF(LEFT(AX23:AX158,1)="s",1,0))</f>
        <v>2</v>
      </c>
      <c r="AY16" s="903">
        <f t="array" ref="AY16">SUM(IF(LEFT(AY23:AY158,1)="s",1,0))</f>
        <v>11</v>
      </c>
      <c r="AZ16" s="903">
        <f t="array" ref="AZ16">SUM(IF(LEFT(AZ23:AZ158,1)="s",1,0))</f>
        <v>7</v>
      </c>
      <c r="BA16" s="903">
        <f t="array" ref="BA16">SUM(IF(LEFT(BA23:BA158,1)="s",1,0))</f>
        <v>4</v>
      </c>
      <c r="BB16" s="903">
        <f t="array" ref="BB16">SUM(IF(LEFT(BB23:BB158,1)="s",1,0))</f>
        <v>7</v>
      </c>
      <c r="BC16" s="903">
        <f t="array" ref="BC16">SUM(IF(LEFT(BC23:BC158,1)="s",1,0))</f>
        <v>8</v>
      </c>
      <c r="BD16" s="903">
        <f t="array" ref="BD16">SUM(IF(LEFT(BD23:BD158,1)="s",1,0))</f>
        <v>8</v>
      </c>
      <c r="BE16" s="903">
        <f t="array" ref="BE16">SUM(IF(LEFT(BE23:BE158,1)="s",1,0))</f>
        <v>7</v>
      </c>
      <c r="BF16" s="903">
        <f t="array" ref="BF16">SUM(IF(LEFT(BF23:BF158,1)="s",1,0))</f>
        <v>1</v>
      </c>
      <c r="BG16" s="903">
        <f t="array" ref="BG16">SUM(IF(LEFT(BG23:BG158,1)="s",1,0))</f>
        <v>15</v>
      </c>
      <c r="BH16" s="903">
        <f t="array" ref="BH16">SUM(IF(LEFT(BH23:BH158,1)="s",1,0))</f>
        <v>1</v>
      </c>
      <c r="BI16" s="903">
        <f t="array" ref="BI16">SUM(IF(LEFT(BI23:BI158,1)="s",1,0))</f>
        <v>2</v>
      </c>
      <c r="BJ16" s="890"/>
      <c r="BK16" s="890"/>
      <c r="BL16" s="890"/>
      <c r="BM16" s="890"/>
      <c r="BN16" s="890"/>
      <c r="BO16" s="890"/>
      <c r="BP16" s="890"/>
      <c r="BQ16" s="890"/>
      <c r="BR16" s="890"/>
      <c r="BS16" s="890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AVERAGEIF($H$23:$H$200,"=A",$J$23:$J$200)</f>
        <v>1.5714285714285714</v>
      </c>
      <c r="J17" s="860">
        <f>AVERAGEIF($H$23:$H$204,"=A",$K$23:$K$204)</f>
        <v>1.2857142857142858</v>
      </c>
      <c r="K17" s="858">
        <f>I17-J17</f>
        <v>0.28571428571428559</v>
      </c>
      <c r="L17" s="857">
        <f>COUNTIFS($L$23:$L$200,"=W",$H$23:$H$200,"=A")</f>
        <v>7</v>
      </c>
      <c r="M17" s="857">
        <f>COUNTIFS($L$23:$L$200,"=D",$H$23:$H$200,"=A")</f>
        <v>10</v>
      </c>
      <c r="N17" s="863">
        <f>COUNTIFS($L$23:$L$200,"=L",$H$23:$H$200,"=A")</f>
        <v>4</v>
      </c>
      <c r="O17" s="858">
        <f>SUM(I17:J17)</f>
        <v>2.8571428571428572</v>
      </c>
      <c r="Q17" s="848"/>
      <c r="R17" s="859"/>
      <c r="S17" s="855"/>
      <c r="AF17" s="848" t="s">
        <v>718</v>
      </c>
      <c r="AG17" s="903">
        <f t="array" ref="AG17">SUM(IF(ISNUMBER(VALUE(RIGHT(AG23:AG166,1))),VALUE(RIGHT(AG23:AG166,1)),0))</f>
        <v>0</v>
      </c>
      <c r="AH17" s="903">
        <f t="array" ref="AH17">SUM(IF(ISNUMBER(VALUE(RIGHT(AH23:AH166,1))),VALUE(RIGHT(AH23:AH166,1)),0))</f>
        <v>0</v>
      </c>
      <c r="AI17" s="903">
        <f t="array" ref="AI17">SUM(IF(ISNUMBER(VALUE(RIGHT(AI23:AI166,1))),VALUE(RIGHT(AI23:AI166,1)),0))</f>
        <v>0</v>
      </c>
      <c r="AJ17" s="903">
        <f t="array" ref="AJ17">SUM(IF(ISNUMBER(VALUE(RIGHT(AJ23:AJ166,1))),VALUE(RIGHT(AJ23:AJ166,1)),0))</f>
        <v>0</v>
      </c>
      <c r="AK17" s="903">
        <f t="array" ref="AK17">SUM(IF(ISNUMBER(VALUE(RIGHT(AK23:AK166,1))),VALUE(RIGHT(AK23:AK166,1)),0))</f>
        <v>0</v>
      </c>
      <c r="AL17" s="903">
        <f t="array" ref="AL17">SUM(IF(ISNUMBER(VALUE(RIGHT(AL23:AL166,1))),VALUE(RIGHT(AL23:AL166,1)),0))</f>
        <v>0</v>
      </c>
      <c r="AM17" s="903">
        <f t="array" ref="AM17">SUM(IF(ISNUMBER(VALUE(RIGHT(AM23:AM166,1))),VALUE(RIGHT(AM23:AM166,1)),0))</f>
        <v>0</v>
      </c>
      <c r="AN17" s="903">
        <f t="array" ref="AN17">SUM(IF(ISNUMBER(VALUE(RIGHT(AN23:AN166,1))),VALUE(RIGHT(AN23:AN166,1)),0))</f>
        <v>1</v>
      </c>
      <c r="AO17" s="903">
        <f t="array" ref="AO17">SUM(IF(ISNUMBER(VALUE(RIGHT(AO23:AO166,1))),VALUE(RIGHT(AO23:AO166,1)),0))</f>
        <v>0</v>
      </c>
      <c r="AP17" s="903">
        <f t="array" ref="AP17">SUM(IF(ISNUMBER(VALUE(RIGHT(AP23:AP166,1))),VALUE(RIGHT(AP23:AP166,1)),0))</f>
        <v>2</v>
      </c>
      <c r="AQ17" s="903">
        <f t="array" ref="AQ17">SUM(IF(ISNUMBER(VALUE(RIGHT(AQ23:AQ166,1))),VALUE(RIGHT(AQ23:AQ166,1)),0))</f>
        <v>2</v>
      </c>
      <c r="AR17" s="903">
        <f t="array" ref="AR17">SUM(IF(ISNUMBER(VALUE(RIGHT(AR23:AR166,1))),VALUE(RIGHT(AR23:AR166,1)),0))</f>
        <v>2</v>
      </c>
      <c r="AS17" s="903">
        <f t="array" ref="AS17">SUM(IF(ISNUMBER(VALUE(RIGHT(AS23:AS166,1))),VALUE(RIGHT(AS23:AS166,1)),0))</f>
        <v>0</v>
      </c>
      <c r="AT17" s="903">
        <f t="array" ref="AT17">SUM(IF(ISNUMBER(VALUE(RIGHT(AT23:AT166,1))),VALUE(RIGHT(AT23:AT166,1)),0))</f>
        <v>0</v>
      </c>
      <c r="AU17" s="903">
        <f t="array" ref="AU17">SUM(IF(ISNUMBER(VALUE(RIGHT(AU23:AU166,1))),VALUE(RIGHT(AU23:AU166,1)),0))</f>
        <v>1</v>
      </c>
      <c r="AV17" s="903">
        <f t="array" ref="AV17">SUM(IF(ISNUMBER(VALUE(RIGHT(AV23:AV166,1))),VALUE(RIGHT(AV23:AV166,1)),0))</f>
        <v>7</v>
      </c>
      <c r="AW17" s="903">
        <f t="array" ref="AW17">SUM(IF(ISNUMBER(VALUE(RIGHT(AW23:AW166,1))),VALUE(RIGHT(AW23:AW166,1)),0))</f>
        <v>0</v>
      </c>
      <c r="AX17" s="903">
        <f t="array" ref="AX17">SUM(IF(ISNUMBER(VALUE(RIGHT(AX23:AX166,1))),VALUE(RIGHT(AX23:AX166,1)),0))</f>
        <v>4</v>
      </c>
      <c r="AY17" s="903">
        <f t="array" ref="AY17">SUM(IF(ISNUMBER(VALUE(RIGHT(AY23:AY166,1))),VALUE(RIGHT(AY23:AY166,1)),0))</f>
        <v>3</v>
      </c>
      <c r="AZ17" s="903">
        <f t="array" ref="AZ17">SUM(IF(ISNUMBER(VALUE(RIGHT(AZ23:AZ166,1))),VALUE(RIGHT(AZ23:AZ166,1)),0))</f>
        <v>2</v>
      </c>
      <c r="BA17" s="903">
        <f t="array" ref="BA17">SUM(IF(ISNUMBER(VALUE(RIGHT(BA23:BA166,1))),VALUE(RIGHT(BA23:BA166,1)),0))</f>
        <v>3</v>
      </c>
      <c r="BB17" s="903">
        <f t="array" ref="BB17">SUM(IF(ISNUMBER(VALUE(RIGHT(BB23:BB166,1))),VALUE(RIGHT(BB23:BB166,1)),0))</f>
        <v>2</v>
      </c>
      <c r="BC17" s="903">
        <f t="array" ref="BC17">SUM(IF(ISNUMBER(VALUE(RIGHT(BC23:BC166,1))),VALUE(RIGHT(BC23:BC166,1)),0))</f>
        <v>0</v>
      </c>
      <c r="BD17" s="903">
        <f t="array" ref="BD17">SUM(IF(ISNUMBER(VALUE(RIGHT(BD23:BD166,1))),VALUE(RIGHT(BD23:BD166,1)),0))</f>
        <v>1</v>
      </c>
      <c r="BE17" s="903">
        <f t="array" ref="BE17">SUM(IF(ISNUMBER(VALUE(RIGHT(BE23:BE166,1))),VALUE(RIGHT(BE23:BE166,1)),0))</f>
        <v>6</v>
      </c>
      <c r="BF17" s="903">
        <f t="array" ref="BF17">SUM(IF(ISNUMBER(VALUE(RIGHT(BF23:BF166,1))),VALUE(RIGHT(BF23:BF166,1)),0))</f>
        <v>11</v>
      </c>
      <c r="BG17" s="903">
        <f t="array" ref="BG17">SUM(IF(ISNUMBER(VALUE(RIGHT(BG23:BG166,1))),VALUE(RIGHT(BG23:BG166,1)),0))</f>
        <v>3</v>
      </c>
      <c r="BH17" s="903">
        <f t="array" ref="BH17">SUM(IF(ISNUMBER(VALUE(RIGHT(BH23:BH166,1))),VALUE(RIGHT(BH23:BH166,1)),0))</f>
        <v>0</v>
      </c>
      <c r="BI17" s="903">
        <f t="array" ref="BI17">SUM(IF(ISNUMBER(VALUE(RIGHT(BI23:BI166,1))),VALUE(RIGHT(BI23:BI166,1)),0))</f>
        <v>1</v>
      </c>
      <c r="BJ17" s="890"/>
      <c r="BK17" s="890"/>
      <c r="BL17" s="890"/>
      <c r="BM17" s="890"/>
      <c r="BN17" s="890"/>
      <c r="BO17" s="890"/>
      <c r="BP17" s="890"/>
      <c r="BQ17" s="890"/>
      <c r="BR17" s="890"/>
      <c r="BS17" s="890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AVERAGEIFS($Y$23:$Y$203,$H$23:$H$203,"H",$I$23:$I$203,Table!$C$1)</f>
        <v>3.6666666666666665</v>
      </c>
      <c r="S18" s="858">
        <f>AVERAGEIFS($Y$23:$Y$203,$H$23:$H$203,"A",$I$23:$I$203,Table!$C$1)</f>
        <v>3.6190476190476191</v>
      </c>
      <c r="AG18" s="876">
        <v>1</v>
      </c>
      <c r="AH18" s="874">
        <v>21</v>
      </c>
      <c r="AI18" s="876">
        <v>31</v>
      </c>
      <c r="AJ18" s="876">
        <v>3</v>
      </c>
      <c r="AK18" s="876">
        <v>4</v>
      </c>
      <c r="AL18" s="876">
        <v>5</v>
      </c>
      <c r="AM18" s="876">
        <v>13</v>
      </c>
      <c r="AN18" s="876">
        <v>19</v>
      </c>
      <c r="AO18" s="876">
        <v>22</v>
      </c>
      <c r="AP18" s="876">
        <v>24</v>
      </c>
      <c r="AQ18" s="876">
        <v>25</v>
      </c>
      <c r="AR18" s="876">
        <v>35</v>
      </c>
      <c r="AS18" s="876">
        <v>10</v>
      </c>
      <c r="AT18" s="876">
        <v>2</v>
      </c>
      <c r="AU18" s="876">
        <v>6</v>
      </c>
      <c r="AV18" s="876">
        <v>32</v>
      </c>
      <c r="AW18" s="876">
        <v>14</v>
      </c>
      <c r="AX18" s="876">
        <v>15</v>
      </c>
      <c r="AY18" s="876">
        <v>18</v>
      </c>
      <c r="AZ18" s="876">
        <v>29</v>
      </c>
      <c r="BA18" s="876">
        <v>7</v>
      </c>
      <c r="BB18" s="876">
        <v>9</v>
      </c>
      <c r="BC18" s="876">
        <v>11</v>
      </c>
      <c r="BD18" s="876">
        <v>17</v>
      </c>
      <c r="BE18" s="876">
        <v>23</v>
      </c>
      <c r="BF18" s="876">
        <v>30</v>
      </c>
      <c r="BG18" s="876">
        <v>39</v>
      </c>
      <c r="BH18" s="876">
        <v>40</v>
      </c>
      <c r="BI18" s="876">
        <v>8</v>
      </c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AVERAGEIFS($Z$23:$Z$201,$H$23:$H$201,"H",$I$23:$I$201,Table!$C$1)</f>
        <v>3.7142857142857144</v>
      </c>
      <c r="S19" s="858">
        <f>AVERAGEIFS($Z$23:$Z$201,$H$23:$H$201,"A",$I$23:$I$201,Table!$C$1)</f>
        <v>3.9523809523809526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2032</v>
      </c>
      <c r="AK19" s="901" t="s">
        <v>2033</v>
      </c>
      <c r="AL19" s="901" t="s">
        <v>2032</v>
      </c>
      <c r="AM19" s="901" t="s">
        <v>2028</v>
      </c>
      <c r="AN19" s="901" t="s">
        <v>2018</v>
      </c>
      <c r="AO19" s="901" t="s">
        <v>2033</v>
      </c>
      <c r="AP19" s="901" t="s">
        <v>2032</v>
      </c>
      <c r="AQ19" s="901" t="s">
        <v>1984</v>
      </c>
      <c r="AR19" s="901" t="s">
        <v>2032</v>
      </c>
      <c r="AS19" s="901" t="s">
        <v>2032</v>
      </c>
      <c r="AT19" s="901" t="s">
        <v>2029</v>
      </c>
      <c r="AU19" s="901" t="s">
        <v>2021</v>
      </c>
      <c r="AV19" s="901" t="s">
        <v>2029</v>
      </c>
      <c r="AW19" s="901" t="s">
        <v>2020</v>
      </c>
      <c r="AX19" s="901" t="s">
        <v>2021</v>
      </c>
      <c r="AY19" s="901" t="s">
        <v>2029</v>
      </c>
      <c r="AZ19" s="901" t="s">
        <v>2035</v>
      </c>
      <c r="BA19" s="901" t="s">
        <v>2179</v>
      </c>
      <c r="BB19" s="901" t="s">
        <v>2025</v>
      </c>
      <c r="BC19" s="901" t="s">
        <v>2022</v>
      </c>
      <c r="BD19" s="901" t="s">
        <v>2025</v>
      </c>
      <c r="BE19" s="901" t="s">
        <v>2025</v>
      </c>
      <c r="BF19" s="901" t="s">
        <v>2034</v>
      </c>
      <c r="BG19" s="901" t="s">
        <v>2025</v>
      </c>
      <c r="BH19" s="901" t="s">
        <v>2030</v>
      </c>
      <c r="BI19" s="901" t="s">
        <v>2035</v>
      </c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16</v>
      </c>
      <c r="G20" s="822" t="str">
        <f ca="1">MID(CELL("filename",A1),FIND("]",CELL("filename",A1))+1,LEN(CELL("filename",A1))-FIND("]",CELL("filename",A1)))</f>
        <v>Machida Zelvia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1475</v>
      </c>
      <c r="AH20" s="887" t="s">
        <v>1474</v>
      </c>
      <c r="AI20" s="887" t="s">
        <v>1476</v>
      </c>
      <c r="AJ20" s="887" t="s">
        <v>1477</v>
      </c>
      <c r="AK20" s="887" t="s">
        <v>1478</v>
      </c>
      <c r="AL20" s="887" t="s">
        <v>3386</v>
      </c>
      <c r="AM20" s="887" t="s">
        <v>1905</v>
      </c>
      <c r="AN20" s="887" t="s">
        <v>3058</v>
      </c>
      <c r="AO20" s="887" t="s">
        <v>1479</v>
      </c>
      <c r="AP20" s="887" t="s">
        <v>1480</v>
      </c>
      <c r="AQ20" s="887" t="s">
        <v>2227</v>
      </c>
      <c r="AR20" s="887" t="s">
        <v>2819</v>
      </c>
      <c r="AS20" s="887" t="s">
        <v>2263</v>
      </c>
      <c r="AT20" s="887" t="s">
        <v>3538</v>
      </c>
      <c r="AU20" s="887" t="s">
        <v>2644</v>
      </c>
      <c r="AV20" s="887" t="s">
        <v>1483</v>
      </c>
      <c r="AW20" s="887" t="s">
        <v>1481</v>
      </c>
      <c r="AX20" s="887" t="s">
        <v>3285</v>
      </c>
      <c r="AY20" s="887" t="s">
        <v>3110</v>
      </c>
      <c r="AZ20" s="887" t="s">
        <v>1482</v>
      </c>
      <c r="BA20" s="887" t="s">
        <v>3387</v>
      </c>
      <c r="BB20" s="887" t="s">
        <v>1484</v>
      </c>
      <c r="BC20" s="887" t="s">
        <v>2264</v>
      </c>
      <c r="BD20" s="887" t="s">
        <v>1485</v>
      </c>
      <c r="BE20" s="887" t="s">
        <v>2645</v>
      </c>
      <c r="BF20" s="887" t="s">
        <v>1486</v>
      </c>
      <c r="BG20" s="887" t="s">
        <v>1487</v>
      </c>
      <c r="BH20" s="887" t="s">
        <v>1906</v>
      </c>
      <c r="BI20" s="887" t="s">
        <v>3210</v>
      </c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1145</v>
      </c>
      <c r="AH21" s="886" t="s">
        <v>957</v>
      </c>
      <c r="AI21" s="886" t="s">
        <v>1146</v>
      </c>
      <c r="AJ21" s="886" t="s">
        <v>934</v>
      </c>
      <c r="AK21" s="886" t="s">
        <v>1147</v>
      </c>
      <c r="AL21" s="886" t="s">
        <v>3112</v>
      </c>
      <c r="AM21" s="886" t="s">
        <v>1148</v>
      </c>
      <c r="AN21" s="886" t="s">
        <v>1149</v>
      </c>
      <c r="AO21" s="886" t="s">
        <v>1668</v>
      </c>
      <c r="AP21" s="886" t="s">
        <v>958</v>
      </c>
      <c r="AQ21" s="886" t="s">
        <v>2157</v>
      </c>
      <c r="AR21" s="886" t="s">
        <v>1150</v>
      </c>
      <c r="AS21" s="886" t="s">
        <v>2152</v>
      </c>
      <c r="AT21" s="886" t="s">
        <v>998</v>
      </c>
      <c r="AU21" s="886" t="s">
        <v>2614</v>
      </c>
      <c r="AV21" s="886" t="s">
        <v>959</v>
      </c>
      <c r="AW21" s="886" t="s">
        <v>1152</v>
      </c>
      <c r="AX21" s="886" t="s">
        <v>960</v>
      </c>
      <c r="AY21" s="886" t="s">
        <v>1153</v>
      </c>
      <c r="AZ21" s="886" t="s">
        <v>961</v>
      </c>
      <c r="BA21" s="886" t="s">
        <v>1661</v>
      </c>
      <c r="BB21" s="886" t="s">
        <v>1942</v>
      </c>
      <c r="BC21" s="886" t="s">
        <v>2265</v>
      </c>
      <c r="BD21" s="886" t="s">
        <v>914</v>
      </c>
      <c r="BE21" s="886" t="s">
        <v>2615</v>
      </c>
      <c r="BF21" s="886" t="s">
        <v>962</v>
      </c>
      <c r="BG21" s="886" t="s">
        <v>1669</v>
      </c>
      <c r="BH21" s="886" t="s">
        <v>1670</v>
      </c>
      <c r="BI21" s="886" t="s">
        <v>1151</v>
      </c>
      <c r="BJ21" s="886" t="s">
        <v>2238</v>
      </c>
      <c r="BV21" s="886"/>
      <c r="BW21" s="886"/>
      <c r="BX21" s="886"/>
      <c r="BY21" s="886"/>
      <c r="BZ21" s="886"/>
      <c r="CA21" s="886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6</v>
      </c>
      <c r="G23" s="879" t="s">
        <v>876</v>
      </c>
      <c r="H23" s="879" t="s">
        <v>22</v>
      </c>
      <c r="I23" s="879" t="s">
        <v>891</v>
      </c>
      <c r="J23" s="846">
        <v>0</v>
      </c>
      <c r="K23" s="846">
        <v>1</v>
      </c>
      <c r="L23" s="816" t="str">
        <f>IF(J23="","",IF(J23&gt;K23,"W",IF(J23=K23,"D",IF(J23&lt;K23,"L"))))</f>
        <v>L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6" si="21">IF(Q23="","",IF(SIGN(Q23)&lt;&gt;1,VLOOKUP(ABS(Q23),SUP_HDC,3,TRUE),-VLOOKUP(ABS(Q23),SUP_HDC,3,TRUE)))</f>
        <v>0</v>
      </c>
      <c r="P23" s="829">
        <f>IF(O23="","",IF((J23-K23+O23)&gt;=0.5,1,IF((J23-K23+O23)=0.25,0.5,IF((J23-K23+O23)&lt;=-0.5,-1,IF((J23-K23+O23)=-0.25,-0.5,0)))))</f>
        <v>-1</v>
      </c>
      <c r="Q23" s="830">
        <v>-7.0000000000000007E-2</v>
      </c>
      <c r="R23" s="871">
        <f>IF(ISBLANK(Q23),"",J23-K23-Q23)</f>
        <v>-0.92999999999999994</v>
      </c>
      <c r="S23" s="830">
        <v>2.25</v>
      </c>
      <c r="T23" s="871">
        <f>IF(ISBLANK(S23),"",J23+K23-S23)</f>
        <v>-1.25</v>
      </c>
      <c r="U23" s="868">
        <f>IF(Q23="","",(Q23+S23)/2)</f>
        <v>1.0900000000000001</v>
      </c>
      <c r="V23" s="868">
        <f>IF(Q23="","",S23-U23)</f>
        <v>1.1599999999999999</v>
      </c>
      <c r="W23" s="816">
        <v>18</v>
      </c>
      <c r="X23" s="816">
        <v>11</v>
      </c>
      <c r="Y23" s="829">
        <v>3</v>
      </c>
      <c r="Z23" s="829">
        <v>4</v>
      </c>
      <c r="AA23" s="829">
        <v>41</v>
      </c>
      <c r="AB23" s="829">
        <v>59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1877</v>
      </c>
      <c r="AH23" s="891" t="s">
        <v>34</v>
      </c>
      <c r="AI23" s="891" t="s">
        <v>32</v>
      </c>
      <c r="AJ23" s="904" t="s">
        <v>34</v>
      </c>
      <c r="AK23" s="891" t="s">
        <v>32</v>
      </c>
      <c r="AL23" s="891" t="s">
        <v>34</v>
      </c>
      <c r="AM23" s="891" t="s">
        <v>32</v>
      </c>
      <c r="AN23" s="891" t="s">
        <v>34</v>
      </c>
      <c r="AO23" s="891" t="s">
        <v>1877</v>
      </c>
      <c r="AP23" s="891" t="s">
        <v>32</v>
      </c>
      <c r="AQ23" s="910"/>
      <c r="AR23" s="891" t="s">
        <v>32</v>
      </c>
      <c r="AS23" s="891" t="s">
        <v>34</v>
      </c>
      <c r="AT23" s="891" t="s">
        <v>1877</v>
      </c>
      <c r="AU23" s="891" t="s">
        <v>34</v>
      </c>
      <c r="AW23" s="891" t="s">
        <v>36</v>
      </c>
      <c r="AX23" s="891" t="s">
        <v>35</v>
      </c>
      <c r="AY23" s="891" t="s">
        <v>36</v>
      </c>
      <c r="AZ23" s="891" t="s">
        <v>34</v>
      </c>
      <c r="BA23" s="910"/>
      <c r="BB23" s="891" t="s">
        <v>1884</v>
      </c>
      <c r="BC23" s="891" t="s">
        <v>1884</v>
      </c>
      <c r="BD23" s="891" t="s">
        <v>32</v>
      </c>
      <c r="BE23" s="891" t="s">
        <v>35</v>
      </c>
      <c r="BF23" s="891" t="s">
        <v>34</v>
      </c>
      <c r="BG23" s="891" t="s">
        <v>36</v>
      </c>
      <c r="BH23" s="891" t="s">
        <v>1877</v>
      </c>
      <c r="BI23" s="891" t="s">
        <v>35</v>
      </c>
      <c r="BK23" s="891"/>
      <c r="BL23" s="891"/>
      <c r="BM23" s="891"/>
      <c r="BN23" s="891"/>
      <c r="BO23" s="891"/>
      <c r="BP23" s="891"/>
      <c r="BQ23" s="891"/>
      <c r="BR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19</v>
      </c>
      <c r="G24" s="879" t="s">
        <v>885</v>
      </c>
      <c r="H24" s="879" t="s">
        <v>18</v>
      </c>
      <c r="I24" s="879" t="s">
        <v>891</v>
      </c>
      <c r="J24" s="846">
        <v>2</v>
      </c>
      <c r="K24" s="846">
        <v>2</v>
      </c>
      <c r="L24" s="816" t="str">
        <f>IF(J24="","",IF(J24&gt;K24,"W",IF(J24=K24,"D",IF(J24&lt;K24,"L"))))</f>
        <v>D</v>
      </c>
      <c r="M24" s="816">
        <f>IF(J24="","",J24+K24)</f>
        <v>4</v>
      </c>
      <c r="N24" s="816" t="str">
        <f t="shared" ref="N24:N30" si="22">IF($J24="","",IF($M24&gt;N$19,"O",IF($M24&lt;N$19,"U",IF($M24=N$19,"-"))))</f>
        <v>O</v>
      </c>
      <c r="O24" s="816">
        <f t="shared" si="21"/>
        <v>-0.25</v>
      </c>
      <c r="P24" s="829">
        <f t="shared" ref="P24:P56" si="23">IF(O24="","",IF((J24-K24+O24)&gt;=0.5,1,IF((J24-K24+O24)=0.25,0.5,IF((J24-K24+O24)&lt;=-0.5,-1,IF((J24-K24+O24)=-0.25,-0.5,0)))))</f>
        <v>-0.5</v>
      </c>
      <c r="Q24" s="830">
        <v>0.34</v>
      </c>
      <c r="R24" s="871">
        <f t="shared" ref="R24:R65" si="24">IF(ISBLANK(Q24),"",J24-K24-Q24)</f>
        <v>-0.34</v>
      </c>
      <c r="S24" s="830">
        <v>2.14</v>
      </c>
      <c r="T24" s="871">
        <f t="shared" ref="T24:T66" si="25">IF(ISBLANK(S24),"",J24+K24-S24)</f>
        <v>1.8599999999999999</v>
      </c>
      <c r="U24" s="868">
        <f t="shared" ref="U24:U56" si="26">IF(Q24="","",(Q24+S24)/2)</f>
        <v>1.24</v>
      </c>
      <c r="V24" s="868">
        <f t="shared" ref="V24:V56" si="27">IF(Q24="","",S24-U24)</f>
        <v>0.90000000000000013</v>
      </c>
      <c r="W24" s="829">
        <v>18</v>
      </c>
      <c r="X24" s="829">
        <v>14</v>
      </c>
      <c r="Y24" s="829">
        <v>4</v>
      </c>
      <c r="Z24" s="829">
        <v>5</v>
      </c>
      <c r="AA24" s="829">
        <v>50</v>
      </c>
      <c r="AB24" s="829">
        <v>50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1877</v>
      </c>
      <c r="AH24" s="891" t="s">
        <v>34</v>
      </c>
      <c r="AI24" s="891" t="s">
        <v>32</v>
      </c>
      <c r="AJ24" s="891" t="s">
        <v>34</v>
      </c>
      <c r="AK24" s="891" t="s">
        <v>32</v>
      </c>
      <c r="AL24" s="904" t="s">
        <v>34</v>
      </c>
      <c r="AM24" s="891" t="s">
        <v>1877</v>
      </c>
      <c r="AN24" s="891" t="s">
        <v>1953</v>
      </c>
      <c r="AO24" s="891" t="s">
        <v>32</v>
      </c>
      <c r="AP24" s="891" t="s">
        <v>32</v>
      </c>
      <c r="AQ24" s="910"/>
      <c r="AR24" s="891" t="s">
        <v>32</v>
      </c>
      <c r="AS24" s="891" t="s">
        <v>34</v>
      </c>
      <c r="AT24" s="891" t="s">
        <v>36</v>
      </c>
      <c r="AU24" s="891" t="s">
        <v>34</v>
      </c>
      <c r="AW24" s="891" t="s">
        <v>36</v>
      </c>
      <c r="AX24" s="891" t="s">
        <v>34</v>
      </c>
      <c r="AY24" s="891" t="s">
        <v>1877</v>
      </c>
      <c r="AZ24" s="891" t="s">
        <v>35</v>
      </c>
      <c r="BA24" s="910"/>
      <c r="BB24" s="891" t="s">
        <v>1952</v>
      </c>
      <c r="BC24" s="891" t="s">
        <v>1884</v>
      </c>
      <c r="BD24" s="891" t="s">
        <v>32</v>
      </c>
      <c r="BE24" s="891" t="s">
        <v>35</v>
      </c>
      <c r="BF24" s="891" t="s">
        <v>1948</v>
      </c>
      <c r="BG24" s="904" t="s">
        <v>36</v>
      </c>
      <c r="BH24" s="891" t="s">
        <v>1877</v>
      </c>
      <c r="BI24" s="891" t="s">
        <v>35</v>
      </c>
      <c r="BK24" s="891"/>
      <c r="BL24" s="891"/>
      <c r="BM24" s="891"/>
      <c r="BN24" s="891"/>
      <c r="BO24" s="891"/>
      <c r="BP24" s="891"/>
      <c r="BQ24" s="891"/>
      <c r="BR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</row>
    <row r="25" spans="1:115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13</v>
      </c>
      <c r="G25" s="879" t="s">
        <v>884</v>
      </c>
      <c r="H25" s="879" t="s">
        <v>22</v>
      </c>
      <c r="I25" s="879" t="s">
        <v>891</v>
      </c>
      <c r="J25" s="846">
        <v>1</v>
      </c>
      <c r="K25" s="846">
        <v>1</v>
      </c>
      <c r="L25" s="816" t="str">
        <f>IF(J25="","",IF(J25&gt;K25,"W",IF(J25=K25,"D",IF(J25&lt;K25,"L"))))</f>
        <v>D</v>
      </c>
      <c r="M25" s="816">
        <f>IF(J25="","",J25+K25)</f>
        <v>2</v>
      </c>
      <c r="N25" s="816" t="str">
        <f t="shared" si="22"/>
        <v>U</v>
      </c>
      <c r="O25" s="816">
        <f t="shared" si="21"/>
        <v>-0.25</v>
      </c>
      <c r="P25" s="829">
        <f t="shared" si="23"/>
        <v>-0.5</v>
      </c>
      <c r="Q25" s="830">
        <v>0.22</v>
      </c>
      <c r="R25" s="871">
        <f t="shared" si="24"/>
        <v>-0.22</v>
      </c>
      <c r="S25" s="830">
        <v>2.23</v>
      </c>
      <c r="T25" s="871">
        <f t="shared" si="25"/>
        <v>-0.22999999999999998</v>
      </c>
      <c r="U25" s="868">
        <f t="shared" si="26"/>
        <v>1.2250000000000001</v>
      </c>
      <c r="V25" s="868">
        <f t="shared" si="27"/>
        <v>1.0049999999999999</v>
      </c>
      <c r="W25" s="829">
        <v>11</v>
      </c>
      <c r="X25" s="829">
        <v>7</v>
      </c>
      <c r="Y25" s="829">
        <v>4</v>
      </c>
      <c r="Z25" s="829">
        <v>0</v>
      </c>
      <c r="AA25" s="829">
        <v>54</v>
      </c>
      <c r="AB25" s="829">
        <v>46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1970</v>
      </c>
      <c r="AH25" s="891" t="s">
        <v>1967</v>
      </c>
      <c r="AI25" s="891"/>
      <c r="AJ25" s="891" t="s">
        <v>1967</v>
      </c>
      <c r="AK25" s="891"/>
      <c r="AL25" s="904" t="s">
        <v>1967</v>
      </c>
      <c r="AM25" s="891" t="s">
        <v>1971</v>
      </c>
      <c r="AN25" s="891" t="s">
        <v>1967</v>
      </c>
      <c r="AO25" s="891"/>
      <c r="AP25" s="891" t="s">
        <v>1971</v>
      </c>
      <c r="AQ25" s="910"/>
      <c r="AR25" s="891"/>
      <c r="AS25" s="891" t="s">
        <v>1967</v>
      </c>
      <c r="AT25" s="891" t="s">
        <v>1971</v>
      </c>
      <c r="AU25" s="891" t="s">
        <v>1967</v>
      </c>
      <c r="AW25" s="891" t="s">
        <v>1972</v>
      </c>
      <c r="AX25" s="891" t="s">
        <v>1967</v>
      </c>
      <c r="AY25" s="891"/>
      <c r="AZ25" s="891"/>
      <c r="BA25" s="910"/>
      <c r="BB25" s="891" t="s">
        <v>1884</v>
      </c>
      <c r="BC25" s="891" t="s">
        <v>1884</v>
      </c>
      <c r="BD25" s="891"/>
      <c r="BE25" s="891" t="s">
        <v>1969</v>
      </c>
      <c r="BF25" s="891" t="s">
        <v>1967</v>
      </c>
      <c r="BG25" s="891" t="s">
        <v>1973</v>
      </c>
      <c r="BH25" s="891" t="s">
        <v>1972</v>
      </c>
      <c r="BI25" s="891" t="s">
        <v>1968</v>
      </c>
      <c r="BK25" s="891"/>
      <c r="BL25" s="891"/>
      <c r="BM25" s="891"/>
      <c r="BN25" s="891"/>
      <c r="BO25" s="891"/>
      <c r="BP25" s="891"/>
      <c r="BQ25" s="891"/>
      <c r="BR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22</v>
      </c>
      <c r="G26" s="879" t="s">
        <v>1087</v>
      </c>
      <c r="H26" s="879" t="s">
        <v>18</v>
      </c>
      <c r="I26" s="879" t="s">
        <v>891</v>
      </c>
      <c r="J26" s="846">
        <v>1</v>
      </c>
      <c r="K26" s="846">
        <v>0</v>
      </c>
      <c r="L26" s="816" t="str">
        <f t="shared" ref="L26:L30" si="28">IF(J26="","",IF(J26&gt;K26,"W",IF(J26=K26,"D",IF(J26&lt;K26,"L"))))</f>
        <v>W</v>
      </c>
      <c r="M26" s="816">
        <f t="shared" ref="M26:M30" si="29">IF(J26="","",J26+K26)</f>
        <v>1</v>
      </c>
      <c r="N26" s="816" t="str">
        <f t="shared" si="22"/>
        <v>U</v>
      </c>
      <c r="O26" s="816">
        <f t="shared" si="21"/>
        <v>-0.25</v>
      </c>
      <c r="P26" s="829">
        <f t="shared" si="23"/>
        <v>1</v>
      </c>
      <c r="Q26" s="830">
        <v>0.38</v>
      </c>
      <c r="R26" s="871">
        <f t="shared" si="24"/>
        <v>0.62</v>
      </c>
      <c r="S26" s="830">
        <v>2.42</v>
      </c>
      <c r="T26" s="871">
        <f t="shared" si="25"/>
        <v>-1.42</v>
      </c>
      <c r="U26" s="868">
        <f t="shared" si="26"/>
        <v>1.4</v>
      </c>
      <c r="V26" s="868">
        <f t="shared" si="27"/>
        <v>1.02</v>
      </c>
      <c r="W26" s="829">
        <v>18</v>
      </c>
      <c r="X26" s="829">
        <v>11</v>
      </c>
      <c r="Y26" s="829">
        <v>4</v>
      </c>
      <c r="Z26" s="829">
        <v>1</v>
      </c>
      <c r="AA26" s="829">
        <v>49</v>
      </c>
      <c r="AB26" s="829">
        <v>51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1877</v>
      </c>
      <c r="AH26" s="891" t="s">
        <v>34</v>
      </c>
      <c r="AI26" s="891" t="s">
        <v>32</v>
      </c>
      <c r="AJ26" s="891" t="s">
        <v>34</v>
      </c>
      <c r="AK26" s="891" t="s">
        <v>32</v>
      </c>
      <c r="AL26" s="891" t="s">
        <v>34</v>
      </c>
      <c r="AM26" s="891" t="s">
        <v>32</v>
      </c>
      <c r="AN26" s="904" t="s">
        <v>34</v>
      </c>
      <c r="AO26" s="891" t="s">
        <v>32</v>
      </c>
      <c r="AP26" s="891" t="s">
        <v>36</v>
      </c>
      <c r="AQ26" s="910"/>
      <c r="AR26" s="891" t="s">
        <v>32</v>
      </c>
      <c r="AS26" s="891" t="s">
        <v>34</v>
      </c>
      <c r="AT26" s="891" t="s">
        <v>1877</v>
      </c>
      <c r="AU26" s="891" t="s">
        <v>2106</v>
      </c>
      <c r="AV26" s="891" t="s">
        <v>32</v>
      </c>
      <c r="AW26" s="891" t="s">
        <v>1877</v>
      </c>
      <c r="AX26" s="904" t="s">
        <v>35</v>
      </c>
      <c r="AY26" s="891" t="s">
        <v>1877</v>
      </c>
      <c r="AZ26" s="891" t="s">
        <v>36</v>
      </c>
      <c r="BA26" s="910"/>
      <c r="BB26" s="891" t="s">
        <v>1884</v>
      </c>
      <c r="BC26" s="891" t="s">
        <v>1884</v>
      </c>
      <c r="BD26" s="891" t="s">
        <v>1877</v>
      </c>
      <c r="BE26" s="891" t="s">
        <v>34</v>
      </c>
      <c r="BF26" s="891" t="s">
        <v>34</v>
      </c>
      <c r="BG26" s="891" t="s">
        <v>34</v>
      </c>
      <c r="BH26" s="891" t="s">
        <v>32</v>
      </c>
      <c r="BI26" s="891" t="s">
        <v>35</v>
      </c>
      <c r="BK26" s="891"/>
      <c r="BL26" s="891"/>
      <c r="BM26" s="891"/>
      <c r="BN26" s="891"/>
      <c r="BO26" s="891"/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"/>
      <c r="CF26" s="4"/>
      <c r="CG26" s="4"/>
      <c r="CH26" s="4"/>
      <c r="CI26" s="4" t="s">
        <v>32</v>
      </c>
      <c r="CJ26" s="4" t="s">
        <v>32</v>
      </c>
      <c r="CK26" s="4" t="s">
        <v>32</v>
      </c>
      <c r="CL26" s="6" t="s">
        <v>32</v>
      </c>
      <c r="CM26" s="6" t="s">
        <v>32</v>
      </c>
      <c r="CN26" s="6" t="s">
        <v>32</v>
      </c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0"/>
    </row>
    <row r="27" spans="1:115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17</v>
      </c>
      <c r="G27" s="879" t="s">
        <v>875</v>
      </c>
      <c r="H27" s="879" t="s">
        <v>18</v>
      </c>
      <c r="I27" s="879" t="s">
        <v>891</v>
      </c>
      <c r="J27" s="846">
        <v>2</v>
      </c>
      <c r="K27" s="846">
        <v>2</v>
      </c>
      <c r="L27" s="816" t="str">
        <f t="shared" si="28"/>
        <v>D</v>
      </c>
      <c r="M27" s="816">
        <f t="shared" si="29"/>
        <v>4</v>
      </c>
      <c r="N27" s="816" t="str">
        <f t="shared" si="22"/>
        <v>O</v>
      </c>
      <c r="O27" s="816">
        <f t="shared" si="21"/>
        <v>-0.25</v>
      </c>
      <c r="P27" s="829">
        <f t="shared" si="23"/>
        <v>-0.5</v>
      </c>
      <c r="Q27" s="830">
        <v>0.2</v>
      </c>
      <c r="R27" s="871">
        <f t="shared" si="24"/>
        <v>-0.2</v>
      </c>
      <c r="S27" s="830">
        <v>2.2000000000000002</v>
      </c>
      <c r="T27" s="871">
        <f t="shared" si="25"/>
        <v>1.7999999999999998</v>
      </c>
      <c r="U27" s="868">
        <f t="shared" si="26"/>
        <v>1.2000000000000002</v>
      </c>
      <c r="V27" s="868">
        <f t="shared" si="27"/>
        <v>1</v>
      </c>
      <c r="W27" s="829">
        <v>15</v>
      </c>
      <c r="X27" s="829">
        <v>13</v>
      </c>
      <c r="Y27" s="829">
        <v>8</v>
      </c>
      <c r="Z27" s="829">
        <v>6</v>
      </c>
      <c r="AA27" s="829">
        <v>51</v>
      </c>
      <c r="AB27" s="829">
        <v>49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 t="s">
        <v>1877</v>
      </c>
      <c r="AH27" s="891" t="s">
        <v>34</v>
      </c>
      <c r="AI27" s="891" t="s">
        <v>32</v>
      </c>
      <c r="AJ27" s="904" t="s">
        <v>35</v>
      </c>
      <c r="AK27" s="891" t="s">
        <v>32</v>
      </c>
      <c r="AL27" s="891" t="s">
        <v>34</v>
      </c>
      <c r="AM27" s="891" t="s">
        <v>32</v>
      </c>
      <c r="AN27" s="904" t="s">
        <v>34</v>
      </c>
      <c r="AO27" s="891" t="s">
        <v>32</v>
      </c>
      <c r="AP27" s="891" t="s">
        <v>1877</v>
      </c>
      <c r="AQ27" s="910"/>
      <c r="AR27" s="891" t="s">
        <v>32</v>
      </c>
      <c r="AS27" s="891" t="s">
        <v>34</v>
      </c>
      <c r="AT27" s="891" t="s">
        <v>36</v>
      </c>
      <c r="AU27" s="891" t="s">
        <v>34</v>
      </c>
      <c r="AV27" s="891" t="s">
        <v>32</v>
      </c>
      <c r="AW27" s="891" t="s">
        <v>1877</v>
      </c>
      <c r="AX27" s="891" t="s">
        <v>2133</v>
      </c>
      <c r="AY27" s="891" t="s">
        <v>1877</v>
      </c>
      <c r="AZ27" s="891" t="s">
        <v>36</v>
      </c>
      <c r="BA27" s="910"/>
      <c r="BB27" s="891" t="s">
        <v>32</v>
      </c>
      <c r="BC27" s="891" t="s">
        <v>1884</v>
      </c>
      <c r="BD27" s="891" t="s">
        <v>36</v>
      </c>
      <c r="BE27" s="891" t="s">
        <v>2140</v>
      </c>
      <c r="BF27" s="891" t="s">
        <v>34</v>
      </c>
      <c r="BG27" s="891" t="s">
        <v>35</v>
      </c>
      <c r="BH27" s="891" t="s">
        <v>32</v>
      </c>
      <c r="BI27" s="904" t="s">
        <v>34</v>
      </c>
      <c r="BK27" s="891"/>
      <c r="BL27" s="891"/>
      <c r="BM27" s="891"/>
      <c r="BN27" s="891"/>
      <c r="BO27" s="891"/>
      <c r="BP27" s="891"/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865"/>
      <c r="CF27" s="865"/>
      <c r="CG27" s="865"/>
      <c r="CH27" s="865"/>
      <c r="CI27" s="865" t="s">
        <v>32</v>
      </c>
      <c r="CJ27" s="865" t="s">
        <v>32</v>
      </c>
      <c r="CK27" s="865" t="s">
        <v>32</v>
      </c>
      <c r="CL27" s="4" t="s">
        <v>32</v>
      </c>
      <c r="CM27" s="6" t="s">
        <v>32</v>
      </c>
      <c r="CN27" s="6" t="s">
        <v>32</v>
      </c>
      <c r="CO27" s="6" t="s">
        <v>32</v>
      </c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5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18</v>
      </c>
      <c r="G28" s="879" t="s">
        <v>887</v>
      </c>
      <c r="H28" s="879" t="s">
        <v>22</v>
      </c>
      <c r="I28" s="879" t="s">
        <v>891</v>
      </c>
      <c r="J28" s="846">
        <v>0</v>
      </c>
      <c r="K28" s="846">
        <v>1</v>
      </c>
      <c r="L28" s="816" t="str">
        <f t="shared" si="28"/>
        <v>L</v>
      </c>
      <c r="M28" s="816">
        <f t="shared" si="29"/>
        <v>1</v>
      </c>
      <c r="N28" s="816" t="str">
        <f t="shared" si="22"/>
        <v>U</v>
      </c>
      <c r="O28" s="816">
        <f t="shared" si="21"/>
        <v>-0.25</v>
      </c>
      <c r="P28" s="829">
        <f t="shared" si="23"/>
        <v>-1</v>
      </c>
      <c r="Q28" s="830">
        <v>0.24</v>
      </c>
      <c r="R28" s="871">
        <f t="shared" si="24"/>
        <v>-1.24</v>
      </c>
      <c r="S28" s="830">
        <v>2.36</v>
      </c>
      <c r="T28" s="871">
        <f t="shared" si="25"/>
        <v>-1.3599999999999999</v>
      </c>
      <c r="U28" s="868">
        <f t="shared" si="26"/>
        <v>1.2999999999999998</v>
      </c>
      <c r="V28" s="868">
        <f t="shared" si="27"/>
        <v>1.06</v>
      </c>
      <c r="W28" s="829">
        <v>17</v>
      </c>
      <c r="X28" s="829">
        <v>13</v>
      </c>
      <c r="Y28" s="829">
        <v>8</v>
      </c>
      <c r="Z28" s="829">
        <v>3</v>
      </c>
      <c r="AA28" s="829">
        <v>37</v>
      </c>
      <c r="AB28" s="829">
        <v>63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1877</v>
      </c>
      <c r="AH28" s="891" t="s">
        <v>34</v>
      </c>
      <c r="AI28" s="891" t="s">
        <v>32</v>
      </c>
      <c r="AJ28" s="891" t="s">
        <v>32</v>
      </c>
      <c r="AK28" s="891" t="s">
        <v>1877</v>
      </c>
      <c r="AL28" s="891" t="s">
        <v>34</v>
      </c>
      <c r="AM28" s="891" t="s">
        <v>32</v>
      </c>
      <c r="AN28" s="891" t="s">
        <v>34</v>
      </c>
      <c r="AO28" s="891" t="s">
        <v>32</v>
      </c>
      <c r="AP28" s="891" t="s">
        <v>1877</v>
      </c>
      <c r="AQ28" s="891" t="s">
        <v>34</v>
      </c>
      <c r="AR28" s="891" t="s">
        <v>32</v>
      </c>
      <c r="AS28" s="891" t="s">
        <v>2162</v>
      </c>
      <c r="AT28" s="891" t="s">
        <v>34</v>
      </c>
      <c r="AU28" s="891" t="s">
        <v>35</v>
      </c>
      <c r="AV28" s="891" t="s">
        <v>32</v>
      </c>
      <c r="AW28" s="891" t="s">
        <v>36</v>
      </c>
      <c r="AX28" s="891" t="s">
        <v>34</v>
      </c>
      <c r="AY28" s="891" t="s">
        <v>32</v>
      </c>
      <c r="AZ28" s="891" t="s">
        <v>34</v>
      </c>
      <c r="BA28" s="891" t="s">
        <v>2180</v>
      </c>
      <c r="BB28" s="891" t="s">
        <v>32</v>
      </c>
      <c r="BC28" s="891" t="s">
        <v>1884</v>
      </c>
      <c r="BD28" s="891" t="s">
        <v>1877</v>
      </c>
      <c r="BE28" s="891" t="s">
        <v>35</v>
      </c>
      <c r="BF28" s="891" t="s">
        <v>34</v>
      </c>
      <c r="BG28" s="891" t="s">
        <v>36</v>
      </c>
      <c r="BH28" s="891" t="s">
        <v>32</v>
      </c>
      <c r="BI28" s="891" t="s">
        <v>35</v>
      </c>
      <c r="BK28" s="891"/>
      <c r="BL28" s="891"/>
      <c r="BM28" s="891"/>
      <c r="BN28" s="891"/>
      <c r="BO28" s="891"/>
      <c r="BP28" s="891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"/>
      <c r="CF28" s="4"/>
      <c r="CG28" s="4"/>
      <c r="CH28" s="4"/>
      <c r="CI28" s="4" t="s">
        <v>32</v>
      </c>
      <c r="CJ28" s="4" t="s">
        <v>32</v>
      </c>
      <c r="CK28" s="4" t="s">
        <v>32</v>
      </c>
      <c r="CL28" s="4" t="s">
        <v>32</v>
      </c>
      <c r="CM28" s="6" t="s">
        <v>32</v>
      </c>
      <c r="CN28" s="6" t="s">
        <v>32</v>
      </c>
      <c r="CO28" s="6" t="s">
        <v>32</v>
      </c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</row>
    <row r="29" spans="1:115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4</v>
      </c>
      <c r="G29" s="879" t="s">
        <v>1084</v>
      </c>
      <c r="H29" s="879" t="s">
        <v>18</v>
      </c>
      <c r="I29" s="879" t="s">
        <v>891</v>
      </c>
      <c r="J29" s="908">
        <v>3</v>
      </c>
      <c r="K29" s="846">
        <v>1</v>
      </c>
      <c r="L29" s="816" t="str">
        <f t="shared" si="28"/>
        <v>W</v>
      </c>
      <c r="M29" s="816">
        <f t="shared" si="29"/>
        <v>4</v>
      </c>
      <c r="N29" s="816" t="str">
        <f t="shared" si="22"/>
        <v>O</v>
      </c>
      <c r="O29" s="816">
        <f t="shared" si="21"/>
        <v>0.25</v>
      </c>
      <c r="P29" s="829">
        <f t="shared" si="23"/>
        <v>1</v>
      </c>
      <c r="Q29" s="830">
        <v>-0.26</v>
      </c>
      <c r="R29" s="871">
        <f t="shared" si="24"/>
        <v>2.2599999999999998</v>
      </c>
      <c r="S29" s="830">
        <v>2.4</v>
      </c>
      <c r="T29" s="871">
        <f t="shared" si="25"/>
        <v>1.6</v>
      </c>
      <c r="U29" s="868">
        <f t="shared" si="26"/>
        <v>1.0699999999999998</v>
      </c>
      <c r="V29" s="868">
        <f t="shared" si="27"/>
        <v>1.33</v>
      </c>
      <c r="W29" s="829">
        <v>14</v>
      </c>
      <c r="X29" s="829">
        <v>11</v>
      </c>
      <c r="Y29" s="829">
        <v>4</v>
      </c>
      <c r="Z29" s="829">
        <v>3</v>
      </c>
      <c r="AA29" s="829">
        <v>46</v>
      </c>
      <c r="AB29" s="829">
        <v>54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32</v>
      </c>
      <c r="AH29" s="891" t="s">
        <v>34</v>
      </c>
      <c r="AI29" s="891" t="s">
        <v>1877</v>
      </c>
      <c r="AJ29" s="891" t="s">
        <v>32</v>
      </c>
      <c r="AK29" s="891" t="s">
        <v>32</v>
      </c>
      <c r="AL29" s="904" t="s">
        <v>34</v>
      </c>
      <c r="AM29" s="891" t="s">
        <v>32</v>
      </c>
      <c r="AN29" s="891" t="s">
        <v>34</v>
      </c>
      <c r="AO29" s="891" t="s">
        <v>32</v>
      </c>
      <c r="AP29" s="891" t="s">
        <v>36</v>
      </c>
      <c r="AQ29" s="909" t="s">
        <v>34</v>
      </c>
      <c r="AR29" s="891" t="s">
        <v>32</v>
      </c>
      <c r="AS29" s="891" t="s">
        <v>1886</v>
      </c>
      <c r="AT29" s="891" t="s">
        <v>34</v>
      </c>
      <c r="AU29" s="904" t="s">
        <v>34</v>
      </c>
      <c r="AV29" s="891" t="s">
        <v>32</v>
      </c>
      <c r="AW29" s="891" t="s">
        <v>36</v>
      </c>
      <c r="AX29" s="891" t="s">
        <v>35</v>
      </c>
      <c r="AY29" s="891" t="s">
        <v>36</v>
      </c>
      <c r="AZ29" s="891" t="s">
        <v>35</v>
      </c>
      <c r="BA29" s="891" t="s">
        <v>1877</v>
      </c>
      <c r="BB29" s="891" t="s">
        <v>32</v>
      </c>
      <c r="BC29" s="891" t="s">
        <v>1884</v>
      </c>
      <c r="BD29" s="891" t="s">
        <v>1877</v>
      </c>
      <c r="BE29" s="891" t="s">
        <v>34</v>
      </c>
      <c r="BF29" s="891" t="s">
        <v>2198</v>
      </c>
      <c r="BG29" s="891" t="s">
        <v>1877</v>
      </c>
      <c r="BH29" s="891" t="s">
        <v>32</v>
      </c>
      <c r="BI29" s="891" t="s">
        <v>35</v>
      </c>
      <c r="BK29" s="891"/>
      <c r="BL29" s="891"/>
      <c r="BM29" s="891"/>
      <c r="BN29" s="891"/>
      <c r="BO29" s="891"/>
      <c r="BP29" s="891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1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10</v>
      </c>
      <c r="G30" s="879" t="s">
        <v>883</v>
      </c>
      <c r="H30" s="879" t="s">
        <v>22</v>
      </c>
      <c r="I30" s="879" t="s">
        <v>891</v>
      </c>
      <c r="J30" s="846">
        <v>1</v>
      </c>
      <c r="K30" s="846">
        <v>0</v>
      </c>
      <c r="L30" s="816" t="str">
        <f t="shared" si="28"/>
        <v>W</v>
      </c>
      <c r="M30" s="816">
        <f t="shared" si="29"/>
        <v>1</v>
      </c>
      <c r="N30" s="816" t="str">
        <f t="shared" si="22"/>
        <v>U</v>
      </c>
      <c r="O30" s="816">
        <f t="shared" si="21"/>
        <v>-0.25</v>
      </c>
      <c r="P30" s="829">
        <f t="shared" si="23"/>
        <v>1</v>
      </c>
      <c r="Q30" s="830">
        <v>0.15</v>
      </c>
      <c r="R30" s="871">
        <f t="shared" si="24"/>
        <v>0.85</v>
      </c>
      <c r="S30" s="830">
        <v>2.17</v>
      </c>
      <c r="T30" s="871">
        <f t="shared" si="25"/>
        <v>-1.17</v>
      </c>
      <c r="U30" s="868">
        <f t="shared" si="26"/>
        <v>1.1599999999999999</v>
      </c>
      <c r="V30" s="868">
        <f t="shared" si="27"/>
        <v>1.01</v>
      </c>
      <c r="W30" s="829">
        <v>16</v>
      </c>
      <c r="X30" s="829">
        <v>8</v>
      </c>
      <c r="Y30" s="829">
        <v>3</v>
      </c>
      <c r="Z30" s="829">
        <v>2</v>
      </c>
      <c r="AA30" s="829">
        <v>51</v>
      </c>
      <c r="AB30" s="829">
        <v>49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1877</v>
      </c>
      <c r="AH30" s="891" t="s">
        <v>34</v>
      </c>
      <c r="AI30" s="891" t="s">
        <v>32</v>
      </c>
      <c r="AJ30" s="891" t="s">
        <v>36</v>
      </c>
      <c r="AK30" s="891" t="s">
        <v>32</v>
      </c>
      <c r="AL30" s="891" t="s">
        <v>34</v>
      </c>
      <c r="AM30" s="891" t="s">
        <v>32</v>
      </c>
      <c r="AN30" s="891" t="s">
        <v>34</v>
      </c>
      <c r="AO30" s="891" t="s">
        <v>32</v>
      </c>
      <c r="AP30" s="904" t="s">
        <v>35</v>
      </c>
      <c r="AQ30" s="891" t="s">
        <v>2237</v>
      </c>
      <c r="AR30" s="891" t="s">
        <v>32</v>
      </c>
      <c r="AS30" s="891" t="s">
        <v>1886</v>
      </c>
      <c r="AT30" s="904" t="s">
        <v>34</v>
      </c>
      <c r="AU30" s="891" t="s">
        <v>34</v>
      </c>
      <c r="AV30" s="891" t="s">
        <v>32</v>
      </c>
      <c r="AW30" s="891" t="s">
        <v>36</v>
      </c>
      <c r="AX30" s="891" t="s">
        <v>35</v>
      </c>
      <c r="AY30" s="891" t="s">
        <v>1877</v>
      </c>
      <c r="AZ30" s="891" t="s">
        <v>34</v>
      </c>
      <c r="BA30" s="891" t="s">
        <v>1877</v>
      </c>
      <c r="BB30" s="891" t="s">
        <v>32</v>
      </c>
      <c r="BC30" s="891" t="s">
        <v>1884</v>
      </c>
      <c r="BD30" s="891" t="s">
        <v>1877</v>
      </c>
      <c r="BE30" s="891" t="s">
        <v>34</v>
      </c>
      <c r="BF30" s="891" t="s">
        <v>34</v>
      </c>
      <c r="BG30" s="891" t="s">
        <v>36</v>
      </c>
      <c r="BH30" s="891" t="s">
        <v>32</v>
      </c>
      <c r="BI30" s="891" t="s">
        <v>35</v>
      </c>
      <c r="BJ30" s="891">
        <v>1</v>
      </c>
      <c r="BK30" s="891"/>
      <c r="BL30" s="891"/>
      <c r="BM30" s="891"/>
      <c r="BN30" s="891"/>
      <c r="BO30" s="891"/>
      <c r="BP30" s="891"/>
      <c r="BQ30" s="891"/>
      <c r="BR30" s="891"/>
      <c r="BS30" s="891"/>
      <c r="BT30" s="896"/>
      <c r="BU30" s="896"/>
      <c r="BV30" s="896"/>
      <c r="BW30" s="896"/>
      <c r="BX30" s="891"/>
      <c r="BY30" s="891"/>
      <c r="BZ30" s="891"/>
      <c r="CA30" s="891"/>
      <c r="CB30" s="891"/>
      <c r="CC30" s="891"/>
      <c r="CD30" s="891"/>
      <c r="CE30" s="428"/>
      <c r="CF30" s="428"/>
      <c r="CG30" s="428"/>
      <c r="CH30" s="428"/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7</v>
      </c>
      <c r="G31" s="879" t="s">
        <v>888</v>
      </c>
      <c r="H31" s="879" t="s">
        <v>22</v>
      </c>
      <c r="I31" s="879" t="s">
        <v>891</v>
      </c>
      <c r="J31" s="846">
        <v>0</v>
      </c>
      <c r="K31" s="846">
        <v>1</v>
      </c>
      <c r="L31" s="816" t="str">
        <f>IF(J31="","",IF(J31&gt;K31,"W",IF(J31=K31,"D",IF(J31&lt;K31,"L"))))</f>
        <v>L</v>
      </c>
      <c r="M31" s="816">
        <f>IF(J31="","",J31+K31)</f>
        <v>1</v>
      </c>
      <c r="N31" s="816" t="str">
        <f>IF($J31="","",IF($M31&gt;N$19,"O",IF($M31&lt;N$19,"U",IF($M31=N$19,"-"))))</f>
        <v>U</v>
      </c>
      <c r="O31" s="816">
        <f t="shared" si="21"/>
        <v>0</v>
      </c>
      <c r="P31" s="829">
        <f t="shared" si="23"/>
        <v>-1</v>
      </c>
      <c r="Q31" s="830">
        <v>0.04</v>
      </c>
      <c r="R31" s="871">
        <f t="shared" si="24"/>
        <v>-1.04</v>
      </c>
      <c r="S31" s="830">
        <v>2.4</v>
      </c>
      <c r="T31" s="871">
        <f t="shared" si="25"/>
        <v>-1.4</v>
      </c>
      <c r="U31" s="868">
        <f t="shared" si="26"/>
        <v>1.22</v>
      </c>
      <c r="V31" s="868">
        <f t="shared" si="27"/>
        <v>1.18</v>
      </c>
      <c r="W31" s="829">
        <v>20</v>
      </c>
      <c r="X31" s="829">
        <v>10</v>
      </c>
      <c r="Y31" s="829">
        <v>3</v>
      </c>
      <c r="Z31" s="829">
        <v>3</v>
      </c>
      <c r="AA31" s="829">
        <v>44</v>
      </c>
      <c r="AB31" s="829">
        <v>56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1877</v>
      </c>
      <c r="AH31" s="891" t="s">
        <v>34</v>
      </c>
      <c r="AI31" s="891" t="s">
        <v>32</v>
      </c>
      <c r="AJ31" s="891" t="s">
        <v>32</v>
      </c>
      <c r="AK31" s="891" t="s">
        <v>32</v>
      </c>
      <c r="AL31" s="891" t="s">
        <v>34</v>
      </c>
      <c r="AM31" s="891" t="s">
        <v>32</v>
      </c>
      <c r="AN31" s="891" t="s">
        <v>34</v>
      </c>
      <c r="AO31" s="891" t="s">
        <v>32</v>
      </c>
      <c r="AP31" s="891" t="s">
        <v>34</v>
      </c>
      <c r="AQ31" s="891" t="s">
        <v>1877</v>
      </c>
      <c r="AR31" s="891" t="s">
        <v>32</v>
      </c>
      <c r="AS31" s="891" t="s">
        <v>1886</v>
      </c>
      <c r="AT31" s="891" t="s">
        <v>34</v>
      </c>
      <c r="AU31" s="891" t="s">
        <v>34</v>
      </c>
      <c r="AV31" s="891" t="s">
        <v>32</v>
      </c>
      <c r="AW31" s="891" t="s">
        <v>36</v>
      </c>
      <c r="AX31" s="904" t="s">
        <v>34</v>
      </c>
      <c r="AY31" s="891" t="s">
        <v>1877</v>
      </c>
      <c r="AZ31" s="904" t="s">
        <v>35</v>
      </c>
      <c r="BA31" s="891" t="s">
        <v>36</v>
      </c>
      <c r="BB31" s="891" t="s">
        <v>32</v>
      </c>
      <c r="BC31" s="891" t="s">
        <v>1884</v>
      </c>
      <c r="BD31" s="891" t="s">
        <v>1877</v>
      </c>
      <c r="BE31" s="891" t="s">
        <v>34</v>
      </c>
      <c r="BF31" s="891" t="s">
        <v>35</v>
      </c>
      <c r="BG31" s="891" t="s">
        <v>36</v>
      </c>
      <c r="BH31" s="891" t="s">
        <v>32</v>
      </c>
      <c r="BI31" s="891" t="s">
        <v>35</v>
      </c>
      <c r="BJ31" s="891"/>
      <c r="BK31" s="891"/>
      <c r="BL31" s="891"/>
      <c r="BM31" s="891"/>
      <c r="BN31" s="891"/>
      <c r="BO31" s="891"/>
      <c r="BP31" s="891"/>
      <c r="BQ31" s="891"/>
      <c r="BR31" s="891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28"/>
      <c r="CF31" s="428"/>
      <c r="CG31" s="428"/>
      <c r="CH31" s="428"/>
      <c r="CI31" s="230" t="s">
        <v>32</v>
      </c>
      <c r="CJ31" s="230" t="s">
        <v>32</v>
      </c>
      <c r="CK31" s="230" t="s">
        <v>32</v>
      </c>
      <c r="CL31" s="230" t="s">
        <v>32</v>
      </c>
      <c r="CM31" s="230" t="s">
        <v>32</v>
      </c>
      <c r="CN31" s="230" t="s">
        <v>32</v>
      </c>
      <c r="CO31" s="230" t="s">
        <v>32</v>
      </c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14</v>
      </c>
      <c r="G32" s="879" t="s">
        <v>873</v>
      </c>
      <c r="H32" s="879" t="s">
        <v>18</v>
      </c>
      <c r="I32" s="879" t="s">
        <v>891</v>
      </c>
      <c r="J32" s="846">
        <v>2</v>
      </c>
      <c r="K32" s="846">
        <v>3</v>
      </c>
      <c r="L32" s="816" t="str">
        <f>IF(J32="","",IF(J32&gt;K32,"W",IF(J32=K32,"D",IF(J32&lt;K32,"L"))))</f>
        <v>L</v>
      </c>
      <c r="M32" s="816">
        <f>IF(J32="","",J32+K32)</f>
        <v>5</v>
      </c>
      <c r="N32" s="816" t="str">
        <f>IF($J32="","",IF($M32&gt;N$19,"O",IF($M32&lt;N$19,"U",IF($M32=N$19,"-"))))</f>
        <v>O</v>
      </c>
      <c r="O32" s="816">
        <f t="shared" si="21"/>
        <v>0</v>
      </c>
      <c r="P32" s="829">
        <f t="shared" si="23"/>
        <v>-1</v>
      </c>
      <c r="Q32" s="830">
        <v>0.1</v>
      </c>
      <c r="R32" s="871">
        <f t="shared" si="24"/>
        <v>-1.1000000000000001</v>
      </c>
      <c r="S32" s="830">
        <v>2.2799999999999998</v>
      </c>
      <c r="T32" s="871">
        <f t="shared" si="25"/>
        <v>2.72</v>
      </c>
      <c r="U32" s="868">
        <f t="shared" si="26"/>
        <v>1.19</v>
      </c>
      <c r="V32" s="868">
        <f t="shared" si="27"/>
        <v>1.0899999999999999</v>
      </c>
      <c r="W32" s="829">
        <v>10</v>
      </c>
      <c r="X32" s="829">
        <v>5</v>
      </c>
      <c r="Y32" s="829">
        <v>3</v>
      </c>
      <c r="Z32" s="829">
        <v>5</v>
      </c>
      <c r="AA32" s="829">
        <v>55</v>
      </c>
      <c r="AB32" s="829">
        <v>45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/>
      <c r="AH32" s="891" t="s">
        <v>34</v>
      </c>
      <c r="AI32" s="891"/>
      <c r="AJ32" s="891"/>
      <c r="AK32" s="891"/>
      <c r="AL32" s="891" t="s">
        <v>34</v>
      </c>
      <c r="AM32" s="891"/>
      <c r="AN32" s="891" t="s">
        <v>34</v>
      </c>
      <c r="AO32" s="891"/>
      <c r="AP32" s="891" t="s">
        <v>2351</v>
      </c>
      <c r="AQ32" s="891" t="s">
        <v>2362</v>
      </c>
      <c r="AR32" s="891"/>
      <c r="AS32" s="891" t="s">
        <v>1886</v>
      </c>
      <c r="AT32" s="891" t="s">
        <v>34</v>
      </c>
      <c r="AU32" s="891" t="s">
        <v>34</v>
      </c>
      <c r="AV32" s="891"/>
      <c r="AW32" s="891" t="s">
        <v>2350</v>
      </c>
      <c r="AX32" s="891" t="s">
        <v>2351</v>
      </c>
      <c r="AY32" s="891" t="s">
        <v>2351</v>
      </c>
      <c r="AZ32" s="891" t="s">
        <v>34</v>
      </c>
      <c r="BA32" s="904" t="s">
        <v>2359</v>
      </c>
      <c r="BB32" s="891"/>
      <c r="BC32" s="891" t="s">
        <v>1884</v>
      </c>
      <c r="BD32" s="891" t="s">
        <v>2350</v>
      </c>
      <c r="BE32" s="891" t="s">
        <v>2364</v>
      </c>
      <c r="BF32" s="891" t="s">
        <v>34</v>
      </c>
      <c r="BG32" s="891" t="s">
        <v>2365</v>
      </c>
      <c r="BH32" s="891"/>
      <c r="BI32" s="891" t="s">
        <v>2359</v>
      </c>
      <c r="BJ32" s="891"/>
      <c r="BK32" s="891"/>
      <c r="BL32" s="891"/>
      <c r="BM32" s="891"/>
      <c r="BN32" s="891"/>
      <c r="BO32" s="891"/>
      <c r="BP32" s="891"/>
      <c r="BQ32" s="891"/>
      <c r="BR32" s="896"/>
      <c r="BS32" s="891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428"/>
      <c r="CF32" s="428"/>
      <c r="CG32" s="428"/>
      <c r="CH32" s="428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21</v>
      </c>
      <c r="G33" s="879" t="s">
        <v>890</v>
      </c>
      <c r="H33" s="879" t="s">
        <v>22</v>
      </c>
      <c r="I33" s="879" t="s">
        <v>891</v>
      </c>
      <c r="J33" s="846">
        <v>2</v>
      </c>
      <c r="K33" s="846">
        <v>1</v>
      </c>
      <c r="L33" s="816" t="str">
        <f t="shared" ref="L33:L65" si="30">IF(J33="","",IF(J33&gt;K33,"W",IF(J33=K33,"D",IF(J33&lt;K33,"L"))))</f>
        <v>W</v>
      </c>
      <c r="M33" s="816">
        <f t="shared" ref="M33:M65" si="31">IF(J33="","",J33+K33)</f>
        <v>3</v>
      </c>
      <c r="N33" s="816" t="str">
        <f t="shared" ref="N33:N65" si="32">IF($J33="","",IF($M33&gt;N$19,"O",IF($M33&lt;N$19,"U",IF($M33=N$19,"-"))))</f>
        <v>O</v>
      </c>
      <c r="O33" s="816">
        <f t="shared" si="21"/>
        <v>-0.5</v>
      </c>
      <c r="P33" s="829">
        <f t="shared" si="23"/>
        <v>1</v>
      </c>
      <c r="Q33" s="830">
        <v>0.7</v>
      </c>
      <c r="R33" s="871">
        <f t="shared" si="24"/>
        <v>0.30000000000000004</v>
      </c>
      <c r="S33" s="830">
        <v>2.4500000000000002</v>
      </c>
      <c r="T33" s="871">
        <f t="shared" si="25"/>
        <v>0.54999999999999982</v>
      </c>
      <c r="U33" s="868">
        <f t="shared" si="26"/>
        <v>1.5750000000000002</v>
      </c>
      <c r="V33" s="868">
        <f t="shared" si="27"/>
        <v>0.875</v>
      </c>
      <c r="W33" s="829">
        <v>16</v>
      </c>
      <c r="X33" s="829">
        <v>6</v>
      </c>
      <c r="Y33" s="829">
        <v>4</v>
      </c>
      <c r="Z33" s="829">
        <v>2</v>
      </c>
      <c r="AA33" s="829">
        <v>54</v>
      </c>
      <c r="AB33" s="829">
        <v>46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1877</v>
      </c>
      <c r="AH33" s="891" t="s">
        <v>34</v>
      </c>
      <c r="AI33" s="891" t="s">
        <v>32</v>
      </c>
      <c r="AJ33" s="891" t="s">
        <v>32</v>
      </c>
      <c r="AK33" s="891" t="s">
        <v>32</v>
      </c>
      <c r="AL33" s="891" t="s">
        <v>34</v>
      </c>
      <c r="AM33" s="891" t="s">
        <v>32</v>
      </c>
      <c r="AN33" s="891" t="s">
        <v>34</v>
      </c>
      <c r="AO33" s="891" t="s">
        <v>32</v>
      </c>
      <c r="AP33" s="891" t="s">
        <v>1877</v>
      </c>
      <c r="AQ33" s="891" t="s">
        <v>34</v>
      </c>
      <c r="AR33" s="891" t="s">
        <v>34</v>
      </c>
      <c r="AS33" s="891" t="s">
        <v>1886</v>
      </c>
      <c r="AT33" s="891" t="s">
        <v>32</v>
      </c>
      <c r="AU33" s="891" t="s">
        <v>35</v>
      </c>
      <c r="AV33" s="891" t="s">
        <v>1877</v>
      </c>
      <c r="AW33" s="891" t="s">
        <v>35</v>
      </c>
      <c r="AX33" s="891" t="s">
        <v>2420</v>
      </c>
      <c r="AY33" s="891" t="s">
        <v>1877</v>
      </c>
      <c r="AZ33" s="891" t="s">
        <v>34</v>
      </c>
      <c r="BA33" s="891" t="s">
        <v>35</v>
      </c>
      <c r="BB33" s="891" t="s">
        <v>32</v>
      </c>
      <c r="BC33" s="891" t="s">
        <v>1884</v>
      </c>
      <c r="BD33" s="891" t="s">
        <v>32</v>
      </c>
      <c r="BE33" s="891" t="s">
        <v>2421</v>
      </c>
      <c r="BF33" s="891" t="s">
        <v>34</v>
      </c>
      <c r="BG33" s="891" t="s">
        <v>36</v>
      </c>
      <c r="BH33" s="891" t="s">
        <v>32</v>
      </c>
      <c r="BI33" s="891" t="s">
        <v>36</v>
      </c>
      <c r="BJ33" s="891"/>
      <c r="BK33" s="891"/>
      <c r="BL33" s="891"/>
      <c r="BM33" s="891"/>
      <c r="BN33" s="891"/>
      <c r="BO33" s="891"/>
      <c r="BP33" s="891"/>
      <c r="BQ33" s="891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428"/>
      <c r="CF33" s="428"/>
      <c r="CG33" s="428"/>
      <c r="CH33" s="428"/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</v>
      </c>
      <c r="G34" s="879" t="s">
        <v>1086</v>
      </c>
      <c r="H34" s="879" t="s">
        <v>22</v>
      </c>
      <c r="I34" s="879" t="s">
        <v>891</v>
      </c>
      <c r="J34" s="846">
        <v>0</v>
      </c>
      <c r="K34" s="846">
        <v>0</v>
      </c>
      <c r="L34" s="816" t="str">
        <f t="shared" si="30"/>
        <v>D</v>
      </c>
      <c r="M34" s="816">
        <f t="shared" si="31"/>
        <v>0</v>
      </c>
      <c r="N34" s="816" t="str">
        <f t="shared" si="32"/>
        <v>U</v>
      </c>
      <c r="O34" s="816">
        <f t="shared" si="21"/>
        <v>0.25</v>
      </c>
      <c r="P34" s="829">
        <f t="shared" si="23"/>
        <v>0.5</v>
      </c>
      <c r="Q34" s="830">
        <v>-0.14000000000000001</v>
      </c>
      <c r="R34" s="871">
        <f t="shared" si="24"/>
        <v>0.14000000000000001</v>
      </c>
      <c r="S34" s="830">
        <v>2.39</v>
      </c>
      <c r="T34" s="871">
        <f t="shared" si="25"/>
        <v>-2.39</v>
      </c>
      <c r="U34" s="868">
        <f t="shared" si="26"/>
        <v>1.125</v>
      </c>
      <c r="V34" s="868">
        <f t="shared" si="27"/>
        <v>1.2650000000000001</v>
      </c>
      <c r="W34" s="829">
        <v>15</v>
      </c>
      <c r="X34" s="829">
        <v>10</v>
      </c>
      <c r="Y34" s="829">
        <v>4</v>
      </c>
      <c r="Z34" s="829">
        <v>1</v>
      </c>
      <c r="AA34" s="829">
        <v>48</v>
      </c>
      <c r="AB34" s="829">
        <v>52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1877</v>
      </c>
      <c r="AH34" s="891" t="s">
        <v>34</v>
      </c>
      <c r="AI34" s="891" t="s">
        <v>32</v>
      </c>
      <c r="AJ34" s="891" t="s">
        <v>32</v>
      </c>
      <c r="AK34" s="891" t="s">
        <v>32</v>
      </c>
      <c r="AL34" s="891" t="s">
        <v>34</v>
      </c>
      <c r="AM34" s="891" t="s">
        <v>32</v>
      </c>
      <c r="AN34" s="891" t="s">
        <v>34</v>
      </c>
      <c r="AO34" s="891" t="s">
        <v>32</v>
      </c>
      <c r="AP34" s="891" t="s">
        <v>1877</v>
      </c>
      <c r="AQ34" s="891" t="s">
        <v>34</v>
      </c>
      <c r="AR34" s="891" t="s">
        <v>34</v>
      </c>
      <c r="AS34" s="891" t="s">
        <v>1886</v>
      </c>
      <c r="AT34" s="891" t="s">
        <v>32</v>
      </c>
      <c r="AU34" s="891" t="s">
        <v>1877</v>
      </c>
      <c r="AV34" s="891" t="s">
        <v>1877</v>
      </c>
      <c r="AW34" s="891" t="s">
        <v>36</v>
      </c>
      <c r="AX34" s="891" t="s">
        <v>34</v>
      </c>
      <c r="AY34" s="891" t="s">
        <v>36</v>
      </c>
      <c r="AZ34" s="904" t="s">
        <v>34</v>
      </c>
      <c r="BA34" s="891" t="s">
        <v>35</v>
      </c>
      <c r="BB34" s="891" t="s">
        <v>32</v>
      </c>
      <c r="BC34" s="891" t="s">
        <v>1884</v>
      </c>
      <c r="BD34" s="891" t="s">
        <v>32</v>
      </c>
      <c r="BE34" s="891" t="s">
        <v>35</v>
      </c>
      <c r="BF34" s="891" t="s">
        <v>34</v>
      </c>
      <c r="BG34" s="891" t="s">
        <v>36</v>
      </c>
      <c r="BH34" s="891" t="s">
        <v>32</v>
      </c>
      <c r="BI34" s="891" t="s">
        <v>35</v>
      </c>
      <c r="BJ34" s="891"/>
      <c r="BK34" s="891"/>
      <c r="BL34" s="891"/>
      <c r="BM34" s="891"/>
      <c r="BN34" s="891"/>
      <c r="BO34" s="891"/>
      <c r="BP34" s="891"/>
      <c r="BQ34" s="891"/>
      <c r="BR34" s="896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428"/>
      <c r="CF34" s="428"/>
      <c r="CG34" s="428"/>
      <c r="CH34" s="428"/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8</v>
      </c>
      <c r="G35" s="879" t="s">
        <v>880</v>
      </c>
      <c r="H35" s="879" t="s">
        <v>18</v>
      </c>
      <c r="I35" s="879" t="s">
        <v>891</v>
      </c>
      <c r="J35" s="846">
        <v>1</v>
      </c>
      <c r="K35" s="846">
        <v>1</v>
      </c>
      <c r="L35" s="816" t="str">
        <f t="shared" si="30"/>
        <v>D</v>
      </c>
      <c r="M35" s="816">
        <f t="shared" si="31"/>
        <v>2</v>
      </c>
      <c r="N35" s="816" t="str">
        <f t="shared" si="32"/>
        <v>U</v>
      </c>
      <c r="O35" s="816">
        <f t="shared" si="21"/>
        <v>0.25</v>
      </c>
      <c r="P35" s="829">
        <f t="shared" si="23"/>
        <v>0.5</v>
      </c>
      <c r="Q35" s="830">
        <v>-0.39</v>
      </c>
      <c r="R35" s="871">
        <f t="shared" si="24"/>
        <v>0.39</v>
      </c>
      <c r="S35" s="830">
        <v>2.4</v>
      </c>
      <c r="T35" s="871">
        <f t="shared" si="25"/>
        <v>-0.39999999999999991</v>
      </c>
      <c r="U35" s="868">
        <f t="shared" si="26"/>
        <v>1.0049999999999999</v>
      </c>
      <c r="V35" s="868">
        <f t="shared" si="27"/>
        <v>1.395</v>
      </c>
      <c r="W35" s="829">
        <v>16</v>
      </c>
      <c r="X35" s="829">
        <v>9</v>
      </c>
      <c r="Y35" s="829">
        <v>2</v>
      </c>
      <c r="Z35" s="829">
        <v>2</v>
      </c>
      <c r="AA35" s="829">
        <v>49</v>
      </c>
      <c r="AB35" s="829">
        <v>51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1877</v>
      </c>
      <c r="AH35" s="891" t="s">
        <v>34</v>
      </c>
      <c r="AI35" s="891" t="s">
        <v>32</v>
      </c>
      <c r="AJ35" s="891" t="s">
        <v>32</v>
      </c>
      <c r="AK35" s="891" t="s">
        <v>32</v>
      </c>
      <c r="AL35" s="891" t="s">
        <v>34</v>
      </c>
      <c r="AM35" s="891" t="s">
        <v>32</v>
      </c>
      <c r="AN35" s="904" t="s">
        <v>34</v>
      </c>
      <c r="AO35" s="891" t="s">
        <v>32</v>
      </c>
      <c r="AP35" s="891" t="s">
        <v>1877</v>
      </c>
      <c r="AQ35" s="891" t="s">
        <v>34</v>
      </c>
      <c r="AR35" s="891" t="s">
        <v>34</v>
      </c>
      <c r="AS35" s="891" t="s">
        <v>1886</v>
      </c>
      <c r="AT35" s="891" t="s">
        <v>32</v>
      </c>
      <c r="AU35" s="891" t="s">
        <v>1877</v>
      </c>
      <c r="AV35" s="891" t="s">
        <v>32</v>
      </c>
      <c r="AW35" s="891" t="s">
        <v>36</v>
      </c>
      <c r="AX35" s="891" t="s">
        <v>34</v>
      </c>
      <c r="AY35" s="891" t="s">
        <v>36</v>
      </c>
      <c r="AZ35" s="904" t="s">
        <v>2466</v>
      </c>
      <c r="BA35" s="891" t="s">
        <v>35</v>
      </c>
      <c r="BB35" s="891" t="s">
        <v>32</v>
      </c>
      <c r="BC35" s="891" t="s">
        <v>1884</v>
      </c>
      <c r="BD35" s="891" t="s">
        <v>36</v>
      </c>
      <c r="BE35" s="891" t="s">
        <v>35</v>
      </c>
      <c r="BF35" s="891" t="s">
        <v>34</v>
      </c>
      <c r="BG35" s="891" t="s">
        <v>1877</v>
      </c>
      <c r="BH35" s="891" t="s">
        <v>32</v>
      </c>
      <c r="BI35" s="891" t="s">
        <v>34</v>
      </c>
      <c r="BJ35" s="891"/>
      <c r="BK35" s="891"/>
      <c r="BL35" s="891"/>
      <c r="BM35" s="891"/>
      <c r="BN35" s="891"/>
      <c r="BO35" s="891"/>
      <c r="BP35" s="891"/>
      <c r="BQ35" s="891"/>
      <c r="BR35" s="891"/>
      <c r="BS35" s="891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896"/>
      <c r="CE35" s="428"/>
      <c r="CF35" s="428"/>
      <c r="CG35" s="428"/>
      <c r="CH35" s="428"/>
      <c r="CL35" s="4" t="s">
        <v>32</v>
      </c>
      <c r="CM35" s="6" t="s">
        <v>32</v>
      </c>
      <c r="CN35" s="6" t="s">
        <v>32</v>
      </c>
      <c r="CO35" s="6" t="s">
        <v>32</v>
      </c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3</v>
      </c>
      <c r="G36" s="879" t="s">
        <v>1085</v>
      </c>
      <c r="H36" s="879" t="s">
        <v>18</v>
      </c>
      <c r="I36" s="879" t="s">
        <v>891</v>
      </c>
      <c r="J36" s="846">
        <v>1</v>
      </c>
      <c r="K36" s="846">
        <v>2</v>
      </c>
      <c r="L36" s="816" t="str">
        <f t="shared" si="30"/>
        <v>L</v>
      </c>
      <c r="M36" s="816">
        <f t="shared" si="31"/>
        <v>3</v>
      </c>
      <c r="N36" s="816" t="str">
        <f t="shared" si="32"/>
        <v>O</v>
      </c>
      <c r="O36" s="816">
        <f t="shared" si="21"/>
        <v>0.25</v>
      </c>
      <c r="P36" s="829">
        <f t="shared" si="23"/>
        <v>-1</v>
      </c>
      <c r="Q36" s="830">
        <v>-0.19</v>
      </c>
      <c r="R36" s="871">
        <f t="shared" si="24"/>
        <v>-0.81</v>
      </c>
      <c r="S36" s="830">
        <v>2.62</v>
      </c>
      <c r="T36" s="871">
        <f t="shared" si="25"/>
        <v>0.37999999999999989</v>
      </c>
      <c r="U36" s="868">
        <f t="shared" si="26"/>
        <v>1.2150000000000001</v>
      </c>
      <c r="V36" s="868">
        <f t="shared" si="27"/>
        <v>1.405</v>
      </c>
      <c r="W36" s="829">
        <v>6</v>
      </c>
      <c r="X36" s="829">
        <v>19</v>
      </c>
      <c r="Y36" s="829">
        <v>2</v>
      </c>
      <c r="Z36" s="829">
        <v>7</v>
      </c>
      <c r="AA36" s="829">
        <v>42</v>
      </c>
      <c r="AB36" s="829">
        <v>58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1877</v>
      </c>
      <c r="AH36" s="891" t="s">
        <v>34</v>
      </c>
      <c r="AI36" s="891" t="s">
        <v>32</v>
      </c>
      <c r="AJ36" s="891" t="s">
        <v>32</v>
      </c>
      <c r="AK36" s="891" t="s">
        <v>32</v>
      </c>
      <c r="AL36" s="904" t="s">
        <v>34</v>
      </c>
      <c r="AM36" s="891" t="s">
        <v>32</v>
      </c>
      <c r="AN36" s="904" t="s">
        <v>34</v>
      </c>
      <c r="AO36" s="891" t="s">
        <v>32</v>
      </c>
      <c r="AP36" s="891" t="s">
        <v>1877</v>
      </c>
      <c r="AQ36" s="891" t="s">
        <v>34</v>
      </c>
      <c r="AR36" s="891" t="s">
        <v>35</v>
      </c>
      <c r="AS36" s="891" t="s">
        <v>1886</v>
      </c>
      <c r="AT36" s="891" t="s">
        <v>36</v>
      </c>
      <c r="AU36" s="891" t="s">
        <v>1877</v>
      </c>
      <c r="AV36" s="891" t="s">
        <v>32</v>
      </c>
      <c r="AW36" s="891" t="s">
        <v>35</v>
      </c>
      <c r="AX36" s="891" t="s">
        <v>34</v>
      </c>
      <c r="AY36" s="891" t="s">
        <v>1877</v>
      </c>
      <c r="AZ36" s="891" t="s">
        <v>34</v>
      </c>
      <c r="BA36" s="891" t="s">
        <v>35</v>
      </c>
      <c r="BB36" s="891" t="s">
        <v>32</v>
      </c>
      <c r="BC36" s="891" t="s">
        <v>1884</v>
      </c>
      <c r="BD36" s="891" t="s">
        <v>32</v>
      </c>
      <c r="BE36" s="891" t="s">
        <v>36</v>
      </c>
      <c r="BF36" s="891" t="s">
        <v>34</v>
      </c>
      <c r="BG36" s="891" t="s">
        <v>36</v>
      </c>
      <c r="BH36" s="891" t="s">
        <v>32</v>
      </c>
      <c r="BI36" s="891" t="s">
        <v>2484</v>
      </c>
      <c r="BJ36" s="891"/>
      <c r="BK36" s="891"/>
      <c r="BL36" s="891"/>
      <c r="BM36" s="891"/>
      <c r="BN36" s="891"/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6"/>
      <c r="CC36" s="896"/>
      <c r="CD36" s="896"/>
      <c r="CE36" s="428"/>
      <c r="CF36" s="428"/>
      <c r="CG36" s="428"/>
      <c r="CH36" s="428"/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9</v>
      </c>
      <c r="G37" s="879" t="s">
        <v>1083</v>
      </c>
      <c r="H37" s="879" t="s">
        <v>22</v>
      </c>
      <c r="I37" s="879" t="s">
        <v>891</v>
      </c>
      <c r="J37" s="846">
        <v>2</v>
      </c>
      <c r="K37" s="846">
        <v>2</v>
      </c>
      <c r="L37" s="816" t="str">
        <f t="shared" si="30"/>
        <v>D</v>
      </c>
      <c r="M37" s="816">
        <f t="shared" si="31"/>
        <v>4</v>
      </c>
      <c r="N37" s="816" t="str">
        <f t="shared" si="32"/>
        <v>O</v>
      </c>
      <c r="O37" s="816">
        <f t="shared" si="21"/>
        <v>0</v>
      </c>
      <c r="P37" s="829">
        <f t="shared" si="23"/>
        <v>0</v>
      </c>
      <c r="Q37" s="830">
        <v>0.13</v>
      </c>
      <c r="R37" s="871">
        <f t="shared" si="24"/>
        <v>-0.13</v>
      </c>
      <c r="S37" s="830">
        <v>2.25</v>
      </c>
      <c r="T37" s="871">
        <f t="shared" si="25"/>
        <v>1.75</v>
      </c>
      <c r="U37" s="868">
        <f t="shared" si="26"/>
        <v>1.19</v>
      </c>
      <c r="V37" s="868">
        <f t="shared" si="27"/>
        <v>1.06</v>
      </c>
      <c r="W37" s="829">
        <v>22</v>
      </c>
      <c r="X37" s="829">
        <v>19</v>
      </c>
      <c r="Y37" s="829">
        <v>7</v>
      </c>
      <c r="Z37" s="829">
        <v>7</v>
      </c>
      <c r="AA37" s="829">
        <v>39</v>
      </c>
      <c r="AB37" s="829">
        <v>61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1877</v>
      </c>
      <c r="AH37" s="891" t="s">
        <v>34</v>
      </c>
      <c r="AI37" s="891" t="s">
        <v>32</v>
      </c>
      <c r="AJ37" s="891" t="s">
        <v>32</v>
      </c>
      <c r="AK37" s="891" t="s">
        <v>2524</v>
      </c>
      <c r="AL37" s="891" t="s">
        <v>2516</v>
      </c>
      <c r="AM37" s="891" t="s">
        <v>32</v>
      </c>
      <c r="AN37" s="891" t="s">
        <v>2516</v>
      </c>
      <c r="AO37" s="891" t="s">
        <v>34</v>
      </c>
      <c r="AP37" s="891" t="s">
        <v>34</v>
      </c>
      <c r="AQ37" s="904" t="s">
        <v>34</v>
      </c>
      <c r="AR37" s="891" t="s">
        <v>2505</v>
      </c>
      <c r="AS37" s="891" t="s">
        <v>1886</v>
      </c>
      <c r="AT37" s="891" t="s">
        <v>1877</v>
      </c>
      <c r="AU37" s="904" t="s">
        <v>34</v>
      </c>
      <c r="AV37" s="891" t="s">
        <v>36</v>
      </c>
      <c r="AW37" s="891" t="s">
        <v>36</v>
      </c>
      <c r="AX37" s="891" t="s">
        <v>36</v>
      </c>
      <c r="AY37" s="891" t="s">
        <v>1877</v>
      </c>
      <c r="AZ37" s="904" t="s">
        <v>35</v>
      </c>
      <c r="BA37" s="891" t="s">
        <v>1877</v>
      </c>
      <c r="BB37" s="891" t="s">
        <v>32</v>
      </c>
      <c r="BC37" s="891" t="s">
        <v>1884</v>
      </c>
      <c r="BD37" s="891" t="s">
        <v>32</v>
      </c>
      <c r="BE37" s="891" t="s">
        <v>2517</v>
      </c>
      <c r="BF37" s="891" t="s">
        <v>34</v>
      </c>
      <c r="BG37" s="891" t="s">
        <v>35</v>
      </c>
      <c r="BH37" s="891" t="s">
        <v>32</v>
      </c>
      <c r="BI37" s="904" t="s">
        <v>35</v>
      </c>
      <c r="BJ37" s="891"/>
      <c r="BK37" s="891"/>
      <c r="BL37" s="891"/>
      <c r="BM37" s="891"/>
      <c r="BN37" s="891"/>
      <c r="BO37" s="891"/>
      <c r="BP37" s="891"/>
      <c r="BQ37" s="891"/>
      <c r="BR37" s="891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  <c r="CM37" s="4" t="s">
        <v>32</v>
      </c>
      <c r="CN37" s="4" t="s">
        <v>32</v>
      </c>
      <c r="CO37" s="4" t="s">
        <v>32</v>
      </c>
      <c r="CP37" s="4" t="s">
        <v>32</v>
      </c>
      <c r="CQ37" s="4" t="s">
        <v>32</v>
      </c>
      <c r="CR37" s="4" t="s">
        <v>32</v>
      </c>
      <c r="CS37" s="6" t="s">
        <v>32</v>
      </c>
      <c r="CT37" s="6" t="s">
        <v>32</v>
      </c>
      <c r="CU37" s="6" t="s">
        <v>32</v>
      </c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20</v>
      </c>
      <c r="G38" s="879" t="s">
        <v>882</v>
      </c>
      <c r="H38" s="879" t="s">
        <v>18</v>
      </c>
      <c r="I38" s="879" t="s">
        <v>891</v>
      </c>
      <c r="J38" s="846">
        <v>1</v>
      </c>
      <c r="K38" s="846">
        <v>0</v>
      </c>
      <c r="L38" s="816" t="str">
        <f t="shared" si="30"/>
        <v>W</v>
      </c>
      <c r="M38" s="816">
        <f t="shared" si="31"/>
        <v>1</v>
      </c>
      <c r="N38" s="816" t="str">
        <f t="shared" si="32"/>
        <v>U</v>
      </c>
      <c r="O38" s="816">
        <f t="shared" si="21"/>
        <v>0</v>
      </c>
      <c r="P38" s="829">
        <f t="shared" si="23"/>
        <v>1</v>
      </c>
      <c r="Q38" s="830">
        <v>0.13</v>
      </c>
      <c r="R38" s="871">
        <f t="shared" si="24"/>
        <v>0.87</v>
      </c>
      <c r="S38" s="830">
        <v>2.4</v>
      </c>
      <c r="T38" s="871">
        <f t="shared" si="25"/>
        <v>-1.4</v>
      </c>
      <c r="U38" s="868">
        <f t="shared" si="26"/>
        <v>1.2649999999999999</v>
      </c>
      <c r="V38" s="868">
        <f t="shared" si="27"/>
        <v>1.135</v>
      </c>
      <c r="W38" s="829">
        <v>11</v>
      </c>
      <c r="X38" s="829">
        <v>5</v>
      </c>
      <c r="Y38" s="829">
        <v>3</v>
      </c>
      <c r="Z38" s="829">
        <v>2</v>
      </c>
      <c r="AA38" s="829">
        <v>44</v>
      </c>
      <c r="AB38" s="829">
        <v>56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1877</v>
      </c>
      <c r="AH38" s="891" t="s">
        <v>34</v>
      </c>
      <c r="AI38" s="891" t="s">
        <v>32</v>
      </c>
      <c r="AJ38" s="891" t="s">
        <v>32</v>
      </c>
      <c r="AK38" s="891" t="s">
        <v>1886</v>
      </c>
      <c r="AL38" s="891" t="s">
        <v>34</v>
      </c>
      <c r="AM38" s="891" t="s">
        <v>32</v>
      </c>
      <c r="AN38" s="891" t="s">
        <v>34</v>
      </c>
      <c r="AO38" s="891" t="s">
        <v>1877</v>
      </c>
      <c r="AP38" s="891" t="s">
        <v>34</v>
      </c>
      <c r="AQ38" s="891" t="s">
        <v>1877</v>
      </c>
      <c r="AR38" s="891" t="s">
        <v>34</v>
      </c>
      <c r="AS38" s="891" t="s">
        <v>1886</v>
      </c>
      <c r="AT38" s="891" t="s">
        <v>36</v>
      </c>
      <c r="AU38" s="904" t="s">
        <v>34</v>
      </c>
      <c r="AV38" s="891" t="s">
        <v>36</v>
      </c>
      <c r="AW38" s="891" t="s">
        <v>1877</v>
      </c>
      <c r="AX38" s="891" t="s">
        <v>35</v>
      </c>
      <c r="AY38" s="891" t="s">
        <v>32</v>
      </c>
      <c r="AZ38" s="891" t="s">
        <v>2530</v>
      </c>
      <c r="BA38" s="891" t="s">
        <v>36</v>
      </c>
      <c r="BB38" s="891" t="s">
        <v>32</v>
      </c>
      <c r="BC38" s="891" t="s">
        <v>1884</v>
      </c>
      <c r="BD38" s="891" t="s">
        <v>32</v>
      </c>
      <c r="BE38" s="891" t="s">
        <v>34</v>
      </c>
      <c r="BF38" s="891" t="s">
        <v>2531</v>
      </c>
      <c r="BG38" s="891" t="s">
        <v>35</v>
      </c>
      <c r="BH38" s="891" t="s">
        <v>32</v>
      </c>
      <c r="BI38" s="891" t="s">
        <v>35</v>
      </c>
      <c r="BJ38" s="891"/>
      <c r="BK38" s="891"/>
      <c r="BL38" s="891"/>
      <c r="BM38" s="891"/>
      <c r="BN38" s="891"/>
      <c r="BO38" s="891"/>
      <c r="BP38" s="891"/>
      <c r="BQ38" s="891"/>
      <c r="BR38" s="891"/>
      <c r="BS38" s="891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6365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15</v>
      </c>
      <c r="G39" s="879" t="s">
        <v>881</v>
      </c>
      <c r="H39" s="879" t="s">
        <v>22</v>
      </c>
      <c r="I39" s="879" t="s">
        <v>891</v>
      </c>
      <c r="J39" s="846">
        <v>1</v>
      </c>
      <c r="K39" s="846">
        <v>2</v>
      </c>
      <c r="L39" s="816" t="str">
        <f t="shared" si="30"/>
        <v>L</v>
      </c>
      <c r="M39" s="816">
        <f t="shared" si="31"/>
        <v>3</v>
      </c>
      <c r="N39" s="816" t="str">
        <f t="shared" si="32"/>
        <v>O</v>
      </c>
      <c r="O39" s="816">
        <f t="shared" si="21"/>
        <v>-0.25</v>
      </c>
      <c r="P39" s="829">
        <f t="shared" si="23"/>
        <v>-1</v>
      </c>
      <c r="Q39" s="830">
        <v>0.18</v>
      </c>
      <c r="R39" s="871">
        <f t="shared" si="24"/>
        <v>-1.18</v>
      </c>
      <c r="S39" s="830">
        <v>2.33</v>
      </c>
      <c r="T39" s="871">
        <f t="shared" si="25"/>
        <v>0.66999999999999993</v>
      </c>
      <c r="U39" s="868">
        <f t="shared" si="26"/>
        <v>1.2550000000000001</v>
      </c>
      <c r="V39" s="868">
        <f t="shared" si="27"/>
        <v>1.075</v>
      </c>
      <c r="W39" s="829">
        <v>16</v>
      </c>
      <c r="X39" s="829">
        <v>5</v>
      </c>
      <c r="Y39" s="829">
        <v>4</v>
      </c>
      <c r="Z39" s="829">
        <v>3</v>
      </c>
      <c r="AA39" s="829">
        <v>48</v>
      </c>
      <c r="AB39" s="829">
        <v>52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1877</v>
      </c>
      <c r="AH39" s="891" t="s">
        <v>34</v>
      </c>
      <c r="AI39" s="891" t="s">
        <v>32</v>
      </c>
      <c r="AJ39" s="891" t="s">
        <v>32</v>
      </c>
      <c r="AK39" s="891" t="s">
        <v>1886</v>
      </c>
      <c r="AL39" s="891" t="s">
        <v>34</v>
      </c>
      <c r="AM39" s="891" t="s">
        <v>32</v>
      </c>
      <c r="AN39" s="891" t="s">
        <v>34</v>
      </c>
      <c r="AO39" s="891" t="s">
        <v>32</v>
      </c>
      <c r="AP39" s="891" t="s">
        <v>34</v>
      </c>
      <c r="AQ39" s="891" t="s">
        <v>1877</v>
      </c>
      <c r="AR39" s="891" t="s">
        <v>34</v>
      </c>
      <c r="AS39" s="891" t="s">
        <v>32</v>
      </c>
      <c r="AT39" s="891" t="s">
        <v>1877</v>
      </c>
      <c r="AU39" s="891" t="s">
        <v>34</v>
      </c>
      <c r="AV39" s="891" t="s">
        <v>36</v>
      </c>
      <c r="AW39" s="891" t="s">
        <v>36</v>
      </c>
      <c r="AX39" s="891" t="s">
        <v>35</v>
      </c>
      <c r="AY39" s="891" t="s">
        <v>32</v>
      </c>
      <c r="AZ39" s="891" t="s">
        <v>36</v>
      </c>
      <c r="BA39" s="891" t="s">
        <v>1877</v>
      </c>
      <c r="BB39" s="891" t="s">
        <v>32</v>
      </c>
      <c r="BC39" s="891" t="s">
        <v>32</v>
      </c>
      <c r="BD39" s="891" t="s">
        <v>32</v>
      </c>
      <c r="BE39" s="891" t="s">
        <v>35</v>
      </c>
      <c r="BF39" s="891" t="s">
        <v>34</v>
      </c>
      <c r="BG39" s="891" t="s">
        <v>2557</v>
      </c>
      <c r="BH39" s="891" t="s">
        <v>32</v>
      </c>
      <c r="BI39" s="891" t="s">
        <v>35</v>
      </c>
      <c r="BJ39" s="891"/>
      <c r="BK39" s="891"/>
      <c r="BL39" s="891"/>
      <c r="BM39" s="891"/>
      <c r="BN39" s="891"/>
      <c r="BO39" s="891"/>
      <c r="BP39" s="891"/>
      <c r="BQ39" s="891"/>
      <c r="BR39" s="896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12</v>
      </c>
      <c r="G40" s="879" t="s">
        <v>879</v>
      </c>
      <c r="H40" s="879" t="s">
        <v>18</v>
      </c>
      <c r="I40" s="879" t="s">
        <v>891</v>
      </c>
      <c r="J40" s="846">
        <v>2</v>
      </c>
      <c r="K40" s="846">
        <v>2</v>
      </c>
      <c r="L40" s="816" t="str">
        <f t="shared" si="30"/>
        <v>D</v>
      </c>
      <c r="M40" s="816">
        <f t="shared" si="31"/>
        <v>4</v>
      </c>
      <c r="N40" s="816" t="str">
        <f t="shared" si="32"/>
        <v>O</v>
      </c>
      <c r="O40" s="816">
        <f t="shared" si="21"/>
        <v>0.25</v>
      </c>
      <c r="P40" s="829">
        <f t="shared" si="23"/>
        <v>0.5</v>
      </c>
      <c r="Q40" s="830">
        <v>-0.3</v>
      </c>
      <c r="R40" s="871">
        <f t="shared" si="24"/>
        <v>0.3</v>
      </c>
      <c r="S40" s="830">
        <v>2.35</v>
      </c>
      <c r="T40" s="871">
        <f t="shared" si="25"/>
        <v>1.65</v>
      </c>
      <c r="U40" s="868">
        <f t="shared" si="26"/>
        <v>1.0250000000000001</v>
      </c>
      <c r="V40" s="868">
        <f t="shared" si="27"/>
        <v>1.325</v>
      </c>
      <c r="W40" s="829">
        <v>14</v>
      </c>
      <c r="X40" s="829">
        <v>10</v>
      </c>
      <c r="Y40" s="829">
        <v>4</v>
      </c>
      <c r="Z40" s="829">
        <v>4</v>
      </c>
      <c r="AA40" s="829">
        <v>53</v>
      </c>
      <c r="AB40" s="829">
        <v>47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1877</v>
      </c>
      <c r="AH40" s="891" t="s">
        <v>34</v>
      </c>
      <c r="AI40" s="891" t="s">
        <v>32</v>
      </c>
      <c r="AJ40" s="891" t="s">
        <v>32</v>
      </c>
      <c r="AK40" s="891" t="s">
        <v>1886</v>
      </c>
      <c r="AL40" s="891" t="s">
        <v>35</v>
      </c>
      <c r="AM40" s="891" t="s">
        <v>32</v>
      </c>
      <c r="AN40" s="891" t="s">
        <v>34</v>
      </c>
      <c r="AO40" s="891" t="s">
        <v>32</v>
      </c>
      <c r="AP40" s="891" t="s">
        <v>34</v>
      </c>
      <c r="AQ40" s="891" t="s">
        <v>36</v>
      </c>
      <c r="AR40" s="891" t="s">
        <v>34</v>
      </c>
      <c r="AS40" s="891" t="s">
        <v>32</v>
      </c>
      <c r="AT40" s="891" t="s">
        <v>1877</v>
      </c>
      <c r="AU40" s="904" t="s">
        <v>34</v>
      </c>
      <c r="AV40" s="891" t="s">
        <v>2593</v>
      </c>
      <c r="AW40" s="891" t="s">
        <v>35</v>
      </c>
      <c r="AX40" s="891" t="s">
        <v>34</v>
      </c>
      <c r="AY40" s="891" t="s">
        <v>36</v>
      </c>
      <c r="AZ40" s="891" t="s">
        <v>1877</v>
      </c>
      <c r="BA40" s="891" t="s">
        <v>2594</v>
      </c>
      <c r="BB40" s="891" t="s">
        <v>32</v>
      </c>
      <c r="BC40" s="891" t="s">
        <v>32</v>
      </c>
      <c r="BD40" s="891" t="s">
        <v>1877</v>
      </c>
      <c r="BE40" s="891" t="s">
        <v>2602</v>
      </c>
      <c r="BF40" s="904" t="s">
        <v>34</v>
      </c>
      <c r="BG40" s="891" t="s">
        <v>34</v>
      </c>
      <c r="BH40" s="891"/>
      <c r="BI40" s="891"/>
      <c r="BJ40" s="891"/>
      <c r="BK40" s="891"/>
      <c r="BL40" s="891"/>
      <c r="BM40" s="891"/>
      <c r="BN40" s="891"/>
      <c r="BO40" s="891"/>
      <c r="BP40" s="891"/>
      <c r="BQ40" s="891"/>
      <c r="BR40" s="891"/>
      <c r="BS40" s="891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28"/>
      <c r="CF40" s="428"/>
      <c r="CG40" s="428"/>
      <c r="CH40" s="428"/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  <c r="CN40" s="230" t="s">
        <v>32</v>
      </c>
      <c r="CO40" s="230" t="s">
        <v>32</v>
      </c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2</v>
      </c>
      <c r="G41" s="879" t="s">
        <v>886</v>
      </c>
      <c r="H41" s="879" t="s">
        <v>18</v>
      </c>
      <c r="I41" s="879" t="s">
        <v>891</v>
      </c>
      <c r="J41" s="846">
        <v>0</v>
      </c>
      <c r="K41" s="846">
        <v>0</v>
      </c>
      <c r="L41" s="816" t="str">
        <f t="shared" si="30"/>
        <v>D</v>
      </c>
      <c r="M41" s="816">
        <f t="shared" si="31"/>
        <v>0</v>
      </c>
      <c r="N41" s="816" t="str">
        <f t="shared" si="32"/>
        <v>U</v>
      </c>
      <c r="O41" s="816">
        <f t="shared" si="21"/>
        <v>0</v>
      </c>
      <c r="P41" s="829">
        <f t="shared" si="23"/>
        <v>0</v>
      </c>
      <c r="Q41" s="830">
        <v>0.04</v>
      </c>
      <c r="R41" s="871">
        <f t="shared" si="24"/>
        <v>-0.04</v>
      </c>
      <c r="S41" s="830">
        <v>2.2200000000000002</v>
      </c>
      <c r="T41" s="871">
        <f t="shared" si="25"/>
        <v>-2.2200000000000002</v>
      </c>
      <c r="U41" s="868">
        <f t="shared" si="26"/>
        <v>1.1300000000000001</v>
      </c>
      <c r="V41" s="868">
        <f t="shared" si="27"/>
        <v>1.0900000000000001</v>
      </c>
      <c r="W41" s="829">
        <v>11</v>
      </c>
      <c r="X41" s="829">
        <v>10</v>
      </c>
      <c r="Y41" s="829">
        <v>3</v>
      </c>
      <c r="Z41" s="829">
        <v>2</v>
      </c>
      <c r="AA41" s="829">
        <v>42</v>
      </c>
      <c r="AB41" s="829">
        <v>58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1877</v>
      </c>
      <c r="AH41" s="891" t="s">
        <v>34</v>
      </c>
      <c r="AI41" s="891" t="s">
        <v>32</v>
      </c>
      <c r="AJ41" s="891" t="s">
        <v>1877</v>
      </c>
      <c r="AK41" s="891" t="s">
        <v>2680</v>
      </c>
      <c r="AL41" s="904" t="s">
        <v>35</v>
      </c>
      <c r="AM41" s="891" t="s">
        <v>32</v>
      </c>
      <c r="AN41" s="891" t="s">
        <v>34</v>
      </c>
      <c r="AO41" s="891" t="s">
        <v>32</v>
      </c>
      <c r="AP41" s="904" t="s">
        <v>34</v>
      </c>
      <c r="AQ41" s="891" t="s">
        <v>36</v>
      </c>
      <c r="AR41" s="891" t="s">
        <v>34</v>
      </c>
      <c r="AS41" s="891" t="s">
        <v>1877</v>
      </c>
      <c r="AT41" s="891" t="s">
        <v>1877</v>
      </c>
      <c r="AU41" s="891" t="s">
        <v>2684</v>
      </c>
      <c r="AV41" s="891" t="s">
        <v>36</v>
      </c>
      <c r="AW41" s="891" t="s">
        <v>35</v>
      </c>
      <c r="AX41" s="891" t="s">
        <v>34</v>
      </c>
      <c r="AY41" s="891" t="s">
        <v>36</v>
      </c>
      <c r="AZ41" s="891" t="s">
        <v>35</v>
      </c>
      <c r="BA41" s="891" t="s">
        <v>34</v>
      </c>
      <c r="BB41" s="891" t="s">
        <v>32</v>
      </c>
      <c r="BC41" s="891" t="s">
        <v>32</v>
      </c>
      <c r="BD41" s="891" t="s">
        <v>32</v>
      </c>
      <c r="BE41" s="891" t="s">
        <v>1886</v>
      </c>
      <c r="BF41" s="891" t="s">
        <v>34</v>
      </c>
      <c r="BG41" s="891" t="s">
        <v>34</v>
      </c>
      <c r="BH41" s="891"/>
      <c r="BI41" s="891"/>
      <c r="BJ41" s="891"/>
      <c r="BK41" s="891"/>
      <c r="BL41" s="891"/>
      <c r="BM41" s="891"/>
      <c r="BN41" s="891"/>
      <c r="BO41" s="891"/>
      <c r="BP41" s="891"/>
      <c r="BQ41" s="891"/>
      <c r="BR41" s="891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"/>
      <c r="CF41" s="4"/>
      <c r="CG41" s="4"/>
      <c r="CH41" s="4"/>
      <c r="CI41" s="6" t="s">
        <v>32</v>
      </c>
      <c r="CJ41" s="6" t="s">
        <v>32</v>
      </c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1083</v>
      </c>
      <c r="H42" s="828" t="s">
        <v>2650</v>
      </c>
      <c r="I42" s="828" t="s">
        <v>2649</v>
      </c>
      <c r="J42" s="895">
        <v>2</v>
      </c>
      <c r="K42" s="895">
        <v>4</v>
      </c>
      <c r="L42" s="816" t="str">
        <f t="shared" ref="L42" si="33">IF(J42="","",IF(J42&gt;K42,"W",IF(J42=K42,"D",IF(J42&lt;K42,"L"))))</f>
        <v>L</v>
      </c>
      <c r="M42" s="816">
        <f t="shared" ref="M42" si="34">IF(J42="","",J42+K42)</f>
        <v>6</v>
      </c>
      <c r="N42" s="816" t="str">
        <f t="shared" si="32"/>
        <v>O</v>
      </c>
      <c r="O42" s="816" t="str">
        <f t="shared" ref="O42" si="35">IF(Q42="","",IF(SIGN(Q42)&lt;&gt;1,VLOOKUP(ABS(Q42),SUP_HDC,3,TRUE),-VLOOKUP(ABS(Q42),SUP_HDC,3,TRUE)))</f>
        <v/>
      </c>
      <c r="P42" s="829" t="str">
        <f t="shared" ref="P42" si="36">IF(O42="","",IF((J42-K42+O42)&gt;=0.5,1,IF((J42-K42+O42)=0.25,0.5,IF((J42-K42+O42)&lt;=-0.5,-1,IF((J42-K42+O42)=-0.25,-0.5,0)))))</f>
        <v/>
      </c>
      <c r="Q42" s="830"/>
      <c r="R42" s="871" t="str">
        <f t="shared" ref="R42" si="37">IF(ISBLANK(Q42),"",J42-K42-Q42)</f>
        <v/>
      </c>
      <c r="S42" s="830"/>
      <c r="T42" s="871" t="str">
        <f t="shared" ref="T42" si="38">IF(ISBLANK(S42),"",J42+K42-S42)</f>
        <v/>
      </c>
      <c r="U42" s="868" t="str">
        <f t="shared" ref="U42" si="39">IF(Q42="","",(Q42+S42)/2)</f>
        <v/>
      </c>
      <c r="V42" s="868" t="str">
        <f t="shared" ref="V42" si="40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32</v>
      </c>
      <c r="AH42" s="891" t="s">
        <v>34</v>
      </c>
      <c r="AI42" s="891" t="s">
        <v>1877</v>
      </c>
      <c r="AJ42" s="891" t="s">
        <v>34</v>
      </c>
      <c r="AK42" s="891" t="s">
        <v>1886</v>
      </c>
      <c r="AL42" s="891" t="s">
        <v>32</v>
      </c>
      <c r="AM42" s="891" t="s">
        <v>32</v>
      </c>
      <c r="AN42" s="891" t="s">
        <v>36</v>
      </c>
      <c r="AO42" s="891" t="s">
        <v>32</v>
      </c>
      <c r="AP42" s="891" t="s">
        <v>1877</v>
      </c>
      <c r="AQ42" s="891" t="s">
        <v>34</v>
      </c>
      <c r="AR42" s="891" t="s">
        <v>34</v>
      </c>
      <c r="AS42" s="891" t="s">
        <v>35</v>
      </c>
      <c r="AT42" s="891" t="s">
        <v>35</v>
      </c>
      <c r="AU42" s="891" t="s">
        <v>32</v>
      </c>
      <c r="AV42" s="891" t="s">
        <v>2715</v>
      </c>
      <c r="AW42" s="891" t="s">
        <v>36</v>
      </c>
      <c r="AX42" s="891" t="s">
        <v>1877</v>
      </c>
      <c r="AY42" s="891" t="s">
        <v>34</v>
      </c>
      <c r="AZ42" s="891" t="s">
        <v>34</v>
      </c>
      <c r="BA42" s="904" t="s">
        <v>34</v>
      </c>
      <c r="BB42" s="891" t="s">
        <v>32</v>
      </c>
      <c r="BC42" s="891" t="s">
        <v>1877</v>
      </c>
      <c r="BD42" s="891" t="s">
        <v>35</v>
      </c>
      <c r="BE42" s="891" t="s">
        <v>1886</v>
      </c>
      <c r="BF42" s="891" t="s">
        <v>32</v>
      </c>
      <c r="BG42" s="891" t="s">
        <v>36</v>
      </c>
      <c r="BH42" s="891"/>
      <c r="BI42" s="891" t="s">
        <v>2671</v>
      </c>
      <c r="BJ42" s="891">
        <v>1</v>
      </c>
      <c r="BK42" s="891"/>
      <c r="BL42" s="891"/>
      <c r="BM42" s="891"/>
      <c r="BN42" s="891"/>
      <c r="BO42" s="891"/>
      <c r="BP42" s="896"/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428"/>
      <c r="CE42" s="428"/>
      <c r="CF42" s="428"/>
      <c r="CG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5</v>
      </c>
      <c r="G43" s="879" t="s">
        <v>889</v>
      </c>
      <c r="H43" s="879" t="s">
        <v>22</v>
      </c>
      <c r="I43" s="879" t="s">
        <v>891</v>
      </c>
      <c r="J43" s="846">
        <v>2</v>
      </c>
      <c r="K43" s="846">
        <v>4</v>
      </c>
      <c r="L43" s="816" t="str">
        <f t="shared" si="30"/>
        <v>L</v>
      </c>
      <c r="M43" s="816">
        <f t="shared" si="31"/>
        <v>6</v>
      </c>
      <c r="N43" s="816" t="str">
        <f t="shared" si="32"/>
        <v>O</v>
      </c>
      <c r="O43" s="816">
        <f t="shared" si="21"/>
        <v>0</v>
      </c>
      <c r="P43" s="829">
        <f t="shared" si="23"/>
        <v>-1</v>
      </c>
      <c r="Q43" s="830">
        <v>0.05</v>
      </c>
      <c r="R43" s="871">
        <f t="shared" si="24"/>
        <v>-2.0499999999999998</v>
      </c>
      <c r="S43" s="830">
        <v>2.48</v>
      </c>
      <c r="T43" s="871">
        <f t="shared" si="25"/>
        <v>3.52</v>
      </c>
      <c r="U43" s="868">
        <f t="shared" si="26"/>
        <v>1.2649999999999999</v>
      </c>
      <c r="V43" s="868">
        <f t="shared" si="27"/>
        <v>1.2150000000000001</v>
      </c>
      <c r="W43" s="829">
        <v>12</v>
      </c>
      <c r="X43" s="829">
        <v>21</v>
      </c>
      <c r="Y43" s="829">
        <v>4</v>
      </c>
      <c r="Z43" s="829">
        <v>9</v>
      </c>
      <c r="AA43" s="829">
        <v>45</v>
      </c>
      <c r="AB43" s="829">
        <v>55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32</v>
      </c>
      <c r="AH43" s="891" t="s">
        <v>34</v>
      </c>
      <c r="AI43" s="891" t="s">
        <v>1877</v>
      </c>
      <c r="AJ43" s="891" t="s">
        <v>32</v>
      </c>
      <c r="AK43" s="891" t="s">
        <v>1886</v>
      </c>
      <c r="AL43" s="891" t="s">
        <v>34</v>
      </c>
      <c r="AM43" s="891" t="s">
        <v>32</v>
      </c>
      <c r="AN43" s="904" t="s">
        <v>34</v>
      </c>
      <c r="AO43" s="891" t="s">
        <v>32</v>
      </c>
      <c r="AP43" s="891" t="s">
        <v>34</v>
      </c>
      <c r="AQ43" s="891" t="s">
        <v>1877</v>
      </c>
      <c r="AR43" s="891" t="s">
        <v>34</v>
      </c>
      <c r="AS43" s="891" t="s">
        <v>32</v>
      </c>
      <c r="AT43" s="891" t="s">
        <v>1877</v>
      </c>
      <c r="AU43" s="891" t="s">
        <v>35</v>
      </c>
      <c r="AV43" s="891" t="s">
        <v>2737</v>
      </c>
      <c r="AW43" s="891" t="s">
        <v>36</v>
      </c>
      <c r="AX43" s="891" t="s">
        <v>34</v>
      </c>
      <c r="AY43" s="891" t="s">
        <v>32</v>
      </c>
      <c r="AZ43" s="891" t="s">
        <v>1877</v>
      </c>
      <c r="BA43" s="904" t="s">
        <v>2734</v>
      </c>
      <c r="BB43" s="891" t="s">
        <v>32</v>
      </c>
      <c r="BC43" s="891" t="s">
        <v>36</v>
      </c>
      <c r="BD43" s="891" t="s">
        <v>32</v>
      </c>
      <c r="BE43" s="891" t="s">
        <v>1886</v>
      </c>
      <c r="BF43" s="891" t="s">
        <v>34</v>
      </c>
      <c r="BG43" s="891" t="s">
        <v>35</v>
      </c>
      <c r="BH43" s="891" t="s">
        <v>32</v>
      </c>
      <c r="BI43" s="891" t="s">
        <v>35</v>
      </c>
      <c r="BJ43" s="891"/>
      <c r="BK43" s="891"/>
      <c r="BL43" s="891"/>
      <c r="BM43" s="891"/>
      <c r="BN43" s="891"/>
      <c r="BO43" s="891"/>
      <c r="BP43" s="891"/>
      <c r="BQ43" s="891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11</v>
      </c>
      <c r="G44" s="879" t="s">
        <v>874</v>
      </c>
      <c r="H44" s="879" t="s">
        <v>18</v>
      </c>
      <c r="I44" s="879" t="s">
        <v>891</v>
      </c>
      <c r="J44" s="846">
        <v>3</v>
      </c>
      <c r="K44" s="846">
        <v>1</v>
      </c>
      <c r="L44" s="816" t="str">
        <f t="shared" si="30"/>
        <v>W</v>
      </c>
      <c r="M44" s="816">
        <f t="shared" si="31"/>
        <v>4</v>
      </c>
      <c r="N44" s="816" t="str">
        <f t="shared" si="32"/>
        <v>O</v>
      </c>
      <c r="O44" s="816">
        <f t="shared" si="21"/>
        <v>0.25</v>
      </c>
      <c r="P44" s="829">
        <f t="shared" si="23"/>
        <v>1</v>
      </c>
      <c r="Q44" s="830">
        <v>-0.2</v>
      </c>
      <c r="R44" s="871">
        <f t="shared" si="24"/>
        <v>2.2000000000000002</v>
      </c>
      <c r="S44" s="830">
        <v>2.23</v>
      </c>
      <c r="T44" s="871">
        <f t="shared" si="25"/>
        <v>1.77</v>
      </c>
      <c r="U44" s="868">
        <f t="shared" si="26"/>
        <v>1.0149999999999999</v>
      </c>
      <c r="V44" s="868">
        <f t="shared" si="27"/>
        <v>1.2150000000000001</v>
      </c>
      <c r="W44" s="829">
        <v>10</v>
      </c>
      <c r="X44" s="829">
        <v>7</v>
      </c>
      <c r="Y44" s="829">
        <v>4</v>
      </c>
      <c r="Z44" s="829">
        <v>3</v>
      </c>
      <c r="AA44" s="829">
        <v>41</v>
      </c>
      <c r="AB44" s="829">
        <v>59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32</v>
      </c>
      <c r="AH44" s="891" t="s">
        <v>34</v>
      </c>
      <c r="AI44" s="891" t="s">
        <v>1877</v>
      </c>
      <c r="AJ44" s="891" t="s">
        <v>32</v>
      </c>
      <c r="AK44" s="891" t="s">
        <v>1886</v>
      </c>
      <c r="AL44" s="904" t="s">
        <v>34</v>
      </c>
      <c r="AM44" s="891" t="s">
        <v>32</v>
      </c>
      <c r="AN44" s="904" t="s">
        <v>34</v>
      </c>
      <c r="AO44" s="891" t="s">
        <v>32</v>
      </c>
      <c r="AP44" s="891" t="s">
        <v>1877</v>
      </c>
      <c r="AQ44" s="891" t="s">
        <v>34</v>
      </c>
      <c r="AR44" s="891" t="s">
        <v>35</v>
      </c>
      <c r="AS44" s="906" t="s">
        <v>2794</v>
      </c>
      <c r="AT44" s="891" t="s">
        <v>32</v>
      </c>
      <c r="AU44" s="891" t="s">
        <v>36</v>
      </c>
      <c r="AV44" s="891" t="s">
        <v>2795</v>
      </c>
      <c r="AW44" s="891" t="s">
        <v>32</v>
      </c>
      <c r="AX44" s="904" t="s">
        <v>34</v>
      </c>
      <c r="AY44" s="891" t="s">
        <v>1877</v>
      </c>
      <c r="AZ44" s="891" t="s">
        <v>34</v>
      </c>
      <c r="BA44" s="891" t="s">
        <v>34</v>
      </c>
      <c r="BB44" s="891" t="s">
        <v>32</v>
      </c>
      <c r="BC44" s="891" t="s">
        <v>36</v>
      </c>
      <c r="BD44" s="891" t="s">
        <v>32</v>
      </c>
      <c r="BE44" s="891" t="s">
        <v>1886</v>
      </c>
      <c r="BF44" s="904" t="s">
        <v>2796</v>
      </c>
      <c r="BG44" s="891" t="s">
        <v>1877</v>
      </c>
      <c r="BH44" s="891" t="s">
        <v>32</v>
      </c>
      <c r="BI44" s="891" t="s">
        <v>35</v>
      </c>
      <c r="BJ44" s="891"/>
      <c r="BK44" s="891"/>
      <c r="BL44" s="891"/>
      <c r="BM44" s="891"/>
      <c r="BN44" s="891"/>
      <c r="BO44" s="891"/>
      <c r="BP44" s="891"/>
      <c r="BQ44" s="891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428"/>
      <c r="CF44" s="428"/>
      <c r="CG44" s="428"/>
      <c r="CH44" s="428"/>
    </row>
    <row r="45" spans="1:120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22</v>
      </c>
      <c r="G45" s="879" t="s">
        <v>1087</v>
      </c>
      <c r="H45" s="879" t="s">
        <v>22</v>
      </c>
      <c r="I45" s="879" t="s">
        <v>891</v>
      </c>
      <c r="J45" s="846">
        <v>2</v>
      </c>
      <c r="K45" s="846">
        <v>0</v>
      </c>
      <c r="L45" s="816" t="str">
        <f t="shared" si="30"/>
        <v>W</v>
      </c>
      <c r="M45" s="816">
        <f t="shared" si="31"/>
        <v>2</v>
      </c>
      <c r="N45" s="816" t="str">
        <f t="shared" si="32"/>
        <v>U</v>
      </c>
      <c r="O45" s="816">
        <f t="shared" si="21"/>
        <v>-0.75</v>
      </c>
      <c r="P45" s="829">
        <f t="shared" si="23"/>
        <v>1</v>
      </c>
      <c r="Q45" s="830">
        <v>0.71</v>
      </c>
      <c r="R45" s="871">
        <f t="shared" si="24"/>
        <v>1.29</v>
      </c>
      <c r="S45" s="830">
        <v>2.61</v>
      </c>
      <c r="T45" s="871">
        <f t="shared" si="25"/>
        <v>-0.60999999999999988</v>
      </c>
      <c r="U45" s="868">
        <f t="shared" si="26"/>
        <v>1.66</v>
      </c>
      <c r="V45" s="868">
        <f t="shared" si="27"/>
        <v>0.95</v>
      </c>
      <c r="W45" s="829">
        <v>13</v>
      </c>
      <c r="X45" s="829">
        <v>5</v>
      </c>
      <c r="Y45" s="829">
        <v>5</v>
      </c>
      <c r="Z45" s="829">
        <v>1</v>
      </c>
      <c r="AA45" s="829">
        <v>52</v>
      </c>
      <c r="AB45" s="829">
        <v>48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32</v>
      </c>
      <c r="AH45" s="891" t="s">
        <v>34</v>
      </c>
      <c r="AI45" s="891" t="s">
        <v>32</v>
      </c>
      <c r="AJ45" s="891" t="s">
        <v>36</v>
      </c>
      <c r="AK45" s="891" t="s">
        <v>1886</v>
      </c>
      <c r="AL45" s="904" t="s">
        <v>34</v>
      </c>
      <c r="AM45" s="891" t="s">
        <v>32</v>
      </c>
      <c r="AN45" s="891" t="s">
        <v>34</v>
      </c>
      <c r="AO45" s="891" t="s">
        <v>32</v>
      </c>
      <c r="AP45" s="891" t="s">
        <v>2836</v>
      </c>
      <c r="AQ45" s="891" t="s">
        <v>32</v>
      </c>
      <c r="AR45" s="891" t="s">
        <v>32</v>
      </c>
      <c r="AS45" s="891" t="s">
        <v>1877</v>
      </c>
      <c r="AT45" s="904" t="s">
        <v>34</v>
      </c>
      <c r="AU45" s="891" t="s">
        <v>1877</v>
      </c>
      <c r="AV45" s="891" t="s">
        <v>34</v>
      </c>
      <c r="AW45" s="891" t="s">
        <v>1877</v>
      </c>
      <c r="AX45" s="891" t="s">
        <v>34</v>
      </c>
      <c r="AY45" s="891" t="s">
        <v>36</v>
      </c>
      <c r="AZ45" s="891" t="s">
        <v>35</v>
      </c>
      <c r="BA45" s="891" t="s">
        <v>35</v>
      </c>
      <c r="BB45" s="891" t="s">
        <v>32</v>
      </c>
      <c r="BC45" s="891" t="s">
        <v>32</v>
      </c>
      <c r="BD45" s="891" t="s">
        <v>32</v>
      </c>
      <c r="BE45" s="891" t="s">
        <v>1886</v>
      </c>
      <c r="BF45" s="891" t="s">
        <v>34</v>
      </c>
      <c r="BG45" s="891" t="s">
        <v>36</v>
      </c>
      <c r="BH45" s="891" t="s">
        <v>32</v>
      </c>
      <c r="BI45" s="904" t="s">
        <v>35</v>
      </c>
      <c r="BJ45" s="891"/>
      <c r="BK45" s="891"/>
      <c r="BL45" s="891"/>
      <c r="BM45" s="891"/>
      <c r="BN45" s="891"/>
      <c r="BO45" s="891"/>
      <c r="BP45" s="891"/>
      <c r="BQ45" s="891"/>
      <c r="BR45" s="891"/>
      <c r="BS45" s="896"/>
      <c r="BT45" s="896"/>
      <c r="BU45" s="896"/>
      <c r="BV45" s="896"/>
      <c r="BW45" s="896"/>
      <c r="BX45" s="891"/>
      <c r="BY45" s="891"/>
      <c r="BZ45" s="891"/>
      <c r="CA45" s="891"/>
      <c r="CB45" s="891"/>
      <c r="CC45" s="891"/>
      <c r="CD45" s="891"/>
      <c r="CE45" s="428"/>
      <c r="CF45" s="428"/>
      <c r="CG45" s="428"/>
      <c r="CH45" s="428"/>
    </row>
    <row r="46" spans="1:120" ht="15">
      <c r="A46" s="882">
        <v>6407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14</v>
      </c>
      <c r="G46" s="879" t="s">
        <v>873</v>
      </c>
      <c r="H46" s="879" t="s">
        <v>22</v>
      </c>
      <c r="I46" s="879" t="s">
        <v>891</v>
      </c>
      <c r="J46" s="846">
        <v>2</v>
      </c>
      <c r="K46" s="846">
        <v>0</v>
      </c>
      <c r="L46" s="816" t="str">
        <f t="shared" si="30"/>
        <v>W</v>
      </c>
      <c r="M46" s="816">
        <f t="shared" si="31"/>
        <v>2</v>
      </c>
      <c r="N46" s="816" t="str">
        <f t="shared" si="32"/>
        <v>U</v>
      </c>
      <c r="O46" s="816">
        <f t="shared" si="21"/>
        <v>0</v>
      </c>
      <c r="P46" s="829">
        <f t="shared" si="23"/>
        <v>1</v>
      </c>
      <c r="Q46" s="830">
        <v>0.1</v>
      </c>
      <c r="R46" s="871">
        <f t="shared" si="24"/>
        <v>1.9</v>
      </c>
      <c r="S46" s="830">
        <v>2.41</v>
      </c>
      <c r="T46" s="871">
        <f t="shared" si="25"/>
        <v>-0.41000000000000014</v>
      </c>
      <c r="U46" s="868">
        <f t="shared" si="26"/>
        <v>1.2550000000000001</v>
      </c>
      <c r="V46" s="868">
        <f t="shared" si="27"/>
        <v>1.155</v>
      </c>
      <c r="W46" s="829">
        <v>7</v>
      </c>
      <c r="X46" s="829">
        <v>8</v>
      </c>
      <c r="Y46" s="829">
        <v>2</v>
      </c>
      <c r="Z46" s="829">
        <v>3</v>
      </c>
      <c r="AA46" s="829">
        <v>49</v>
      </c>
      <c r="AB46" s="829">
        <v>51</v>
      </c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1877</v>
      </c>
      <c r="AH46" s="891" t="s">
        <v>34</v>
      </c>
      <c r="AI46" s="891" t="s">
        <v>32</v>
      </c>
      <c r="AJ46" s="891" t="s">
        <v>36</v>
      </c>
      <c r="AK46" s="891" t="s">
        <v>1886</v>
      </c>
      <c r="AL46" s="891" t="s">
        <v>34</v>
      </c>
      <c r="AM46" s="891" t="s">
        <v>1877</v>
      </c>
      <c r="AN46" s="904" t="s">
        <v>34</v>
      </c>
      <c r="AO46" s="891" t="s">
        <v>32</v>
      </c>
      <c r="AP46" s="891" t="s">
        <v>34</v>
      </c>
      <c r="AQ46" s="891" t="s">
        <v>32</v>
      </c>
      <c r="AR46" s="891" t="s">
        <v>32</v>
      </c>
      <c r="AS46" s="891" t="s">
        <v>32</v>
      </c>
      <c r="AT46" s="891" t="s">
        <v>34</v>
      </c>
      <c r="AU46" s="891" t="s">
        <v>1877</v>
      </c>
      <c r="AV46" s="891" t="s">
        <v>2883</v>
      </c>
      <c r="AW46" s="891" t="s">
        <v>32</v>
      </c>
      <c r="AX46" s="891" t="s">
        <v>34</v>
      </c>
      <c r="AY46" s="891" t="s">
        <v>36</v>
      </c>
      <c r="AZ46" s="891" t="s">
        <v>35</v>
      </c>
      <c r="BA46" s="891" t="s">
        <v>34</v>
      </c>
      <c r="BB46" s="891" t="s">
        <v>32</v>
      </c>
      <c r="BC46" s="891" t="s">
        <v>32</v>
      </c>
      <c r="BD46" s="891" t="s">
        <v>1877</v>
      </c>
      <c r="BE46" s="891" t="s">
        <v>1886</v>
      </c>
      <c r="BF46" s="891" t="s">
        <v>2884</v>
      </c>
      <c r="BG46" s="891" t="s">
        <v>36</v>
      </c>
      <c r="BH46" s="891" t="s">
        <v>32</v>
      </c>
      <c r="BI46" s="891" t="s">
        <v>35</v>
      </c>
      <c r="BJ46" s="891"/>
      <c r="BK46" s="891"/>
      <c r="BL46" s="891"/>
      <c r="BM46" s="891"/>
      <c r="BN46" s="891"/>
      <c r="BO46" s="891"/>
      <c r="BP46" s="891"/>
      <c r="BQ46" s="891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428"/>
      <c r="CF46" s="428"/>
      <c r="CG46" s="428"/>
      <c r="CH46" s="428"/>
    </row>
    <row r="47" spans="1:120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18</v>
      </c>
      <c r="G47" s="879" t="s">
        <v>887</v>
      </c>
      <c r="H47" s="879" t="s">
        <v>18</v>
      </c>
      <c r="I47" s="879" t="s">
        <v>891</v>
      </c>
      <c r="J47" s="846">
        <v>2</v>
      </c>
      <c r="K47" s="908">
        <v>0</v>
      </c>
      <c r="L47" s="816" t="str">
        <f t="shared" si="30"/>
        <v>W</v>
      </c>
      <c r="M47" s="816">
        <f t="shared" si="31"/>
        <v>2</v>
      </c>
      <c r="N47" s="816" t="str">
        <f t="shared" si="32"/>
        <v>U</v>
      </c>
      <c r="O47" s="816">
        <f t="shared" si="21"/>
        <v>0.25</v>
      </c>
      <c r="P47" s="829">
        <f t="shared" si="23"/>
        <v>1</v>
      </c>
      <c r="Q47" s="830">
        <v>-0.25</v>
      </c>
      <c r="R47" s="871">
        <f t="shared" si="24"/>
        <v>2.25</v>
      </c>
      <c r="S47" s="830">
        <v>2.7</v>
      </c>
      <c r="T47" s="871">
        <f t="shared" si="25"/>
        <v>-0.70000000000000018</v>
      </c>
      <c r="U47" s="868">
        <f t="shared" si="26"/>
        <v>1.2250000000000001</v>
      </c>
      <c r="V47" s="868">
        <f t="shared" si="27"/>
        <v>1.4750000000000001</v>
      </c>
      <c r="W47" s="829">
        <v>8</v>
      </c>
      <c r="X47" s="829">
        <v>14</v>
      </c>
      <c r="Y47" s="829">
        <v>4</v>
      </c>
      <c r="Z47" s="829">
        <v>3</v>
      </c>
      <c r="AA47" s="829">
        <v>31</v>
      </c>
      <c r="AB47" s="829">
        <v>69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1877</v>
      </c>
      <c r="AH47" s="904" t="s">
        <v>34</v>
      </c>
      <c r="AI47" s="891" t="s">
        <v>32</v>
      </c>
      <c r="AJ47" s="891" t="s">
        <v>1877</v>
      </c>
      <c r="AK47" s="891" t="s">
        <v>1886</v>
      </c>
      <c r="AL47" s="904" t="s">
        <v>34</v>
      </c>
      <c r="AM47" s="891" t="s">
        <v>1877</v>
      </c>
      <c r="AN47" s="891" t="s">
        <v>34</v>
      </c>
      <c r="AO47" s="891" t="s">
        <v>32</v>
      </c>
      <c r="AP47" s="891" t="s">
        <v>34</v>
      </c>
      <c r="AQ47" s="891" t="s">
        <v>32</v>
      </c>
      <c r="AR47" s="891" t="s">
        <v>32</v>
      </c>
      <c r="AS47" s="891" t="s">
        <v>32</v>
      </c>
      <c r="AT47" s="891" t="s">
        <v>34</v>
      </c>
      <c r="AU47" s="891" t="s">
        <v>36</v>
      </c>
      <c r="AV47" s="904" t="s">
        <v>2905</v>
      </c>
      <c r="AW47" s="891" t="s">
        <v>32</v>
      </c>
      <c r="AX47" s="891" t="s">
        <v>34</v>
      </c>
      <c r="AY47" s="891" t="s">
        <v>2905</v>
      </c>
      <c r="AZ47" s="891" t="s">
        <v>35</v>
      </c>
      <c r="BA47" s="891" t="s">
        <v>35</v>
      </c>
      <c r="BB47" s="891" t="s">
        <v>32</v>
      </c>
      <c r="BC47" s="891" t="s">
        <v>32</v>
      </c>
      <c r="BD47" s="891" t="s">
        <v>36</v>
      </c>
      <c r="BE47" s="891" t="s">
        <v>36</v>
      </c>
      <c r="BF47" s="891" t="s">
        <v>32</v>
      </c>
      <c r="BG47" s="891" t="s">
        <v>32</v>
      </c>
      <c r="BH47" s="891" t="s">
        <v>1877</v>
      </c>
      <c r="BI47" s="891" t="s">
        <v>35</v>
      </c>
      <c r="BJ47" s="891"/>
      <c r="BK47" s="891"/>
      <c r="BL47" s="891"/>
      <c r="BM47" s="891"/>
      <c r="BN47" s="891"/>
      <c r="BO47" s="891"/>
      <c r="BP47" s="891"/>
      <c r="BQ47" s="891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428"/>
      <c r="CF47" s="428"/>
      <c r="CG47" s="428"/>
      <c r="CH47" s="428"/>
    </row>
    <row r="48" spans="1:120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12</v>
      </c>
      <c r="G48" s="879" t="s">
        <v>879</v>
      </c>
      <c r="H48" s="879" t="s">
        <v>22</v>
      </c>
      <c r="I48" s="879" t="s">
        <v>891</v>
      </c>
      <c r="J48" s="846">
        <v>0</v>
      </c>
      <c r="K48" s="846">
        <v>2</v>
      </c>
      <c r="L48" s="816" t="str">
        <f t="shared" si="30"/>
        <v>L</v>
      </c>
      <c r="M48" s="816">
        <f t="shared" si="31"/>
        <v>2</v>
      </c>
      <c r="N48" s="816" t="str">
        <f t="shared" si="32"/>
        <v>U</v>
      </c>
      <c r="O48" s="816">
        <f t="shared" si="21"/>
        <v>0.25</v>
      </c>
      <c r="P48" s="829">
        <f t="shared" si="23"/>
        <v>-1</v>
      </c>
      <c r="Q48" s="830">
        <v>-0.15</v>
      </c>
      <c r="R48" s="871">
        <f t="shared" si="24"/>
        <v>-1.85</v>
      </c>
      <c r="S48" s="830">
        <v>2.3199999999999998</v>
      </c>
      <c r="T48" s="871">
        <f t="shared" si="25"/>
        <v>-0.31999999999999984</v>
      </c>
      <c r="U48" s="868">
        <f t="shared" si="26"/>
        <v>1.085</v>
      </c>
      <c r="V48" s="868">
        <f t="shared" si="27"/>
        <v>1.2349999999999999</v>
      </c>
      <c r="W48" s="829">
        <v>14</v>
      </c>
      <c r="X48" s="829">
        <v>11</v>
      </c>
      <c r="Y48" s="829">
        <v>2</v>
      </c>
      <c r="Z48" s="829">
        <v>5</v>
      </c>
      <c r="AA48" s="829">
        <v>47</v>
      </c>
      <c r="AB48" s="829">
        <v>53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1877</v>
      </c>
      <c r="AH48" s="891" t="s">
        <v>34</v>
      </c>
      <c r="AI48" s="891" t="s">
        <v>32</v>
      </c>
      <c r="AJ48" s="891" t="s">
        <v>34</v>
      </c>
      <c r="AK48" s="891" t="s">
        <v>1886</v>
      </c>
      <c r="AL48" s="891" t="s">
        <v>2458</v>
      </c>
      <c r="AM48" s="891" t="s">
        <v>32</v>
      </c>
      <c r="AN48" s="904" t="s">
        <v>34</v>
      </c>
      <c r="AO48" s="891" t="s">
        <v>32</v>
      </c>
      <c r="AP48" s="891" t="s">
        <v>34</v>
      </c>
      <c r="AQ48" s="891" t="s">
        <v>32</v>
      </c>
      <c r="AR48" s="891" t="s">
        <v>1877</v>
      </c>
      <c r="AS48" s="891" t="s">
        <v>1877</v>
      </c>
      <c r="AT48" s="891" t="s">
        <v>34</v>
      </c>
      <c r="AU48" s="891" t="s">
        <v>36</v>
      </c>
      <c r="AV48" s="891" t="s">
        <v>34</v>
      </c>
      <c r="AW48" s="891" t="s">
        <v>32</v>
      </c>
      <c r="AX48" s="891" t="s">
        <v>35</v>
      </c>
      <c r="AY48" s="891" t="s">
        <v>34</v>
      </c>
      <c r="AZ48" s="891" t="s">
        <v>35</v>
      </c>
      <c r="BA48" s="891" t="s">
        <v>34</v>
      </c>
      <c r="BB48" s="891" t="s">
        <v>32</v>
      </c>
      <c r="BC48" s="891" t="s">
        <v>32</v>
      </c>
      <c r="BD48" s="891" t="s">
        <v>32</v>
      </c>
      <c r="BE48" s="891" t="s">
        <v>36</v>
      </c>
      <c r="BF48" s="891" t="s">
        <v>36</v>
      </c>
      <c r="BG48" s="891" t="s">
        <v>32</v>
      </c>
      <c r="BH48" s="891" t="s">
        <v>1877</v>
      </c>
      <c r="BI48" s="891" t="s">
        <v>35</v>
      </c>
      <c r="BJ48" s="891"/>
      <c r="BK48" s="891"/>
      <c r="BL48" s="891"/>
      <c r="BM48" s="891"/>
      <c r="BN48" s="891"/>
      <c r="BO48" s="891"/>
      <c r="BP48" s="891"/>
      <c r="BQ48" s="891"/>
      <c r="BR48" s="896" t="s">
        <v>32</v>
      </c>
      <c r="BS48" s="896" t="s">
        <v>32</v>
      </c>
      <c r="BT48" s="896" t="s">
        <v>32</v>
      </c>
      <c r="BU48" s="896" t="s">
        <v>32</v>
      </c>
      <c r="BV48" s="896" t="s">
        <v>32</v>
      </c>
      <c r="BW48" s="896" t="s">
        <v>32</v>
      </c>
      <c r="BX48" s="896" t="s">
        <v>32</v>
      </c>
      <c r="BY48" s="896" t="s">
        <v>32</v>
      </c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86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4</v>
      </c>
      <c r="G49" s="879" t="s">
        <v>1084</v>
      </c>
      <c r="H49" s="879" t="s">
        <v>22</v>
      </c>
      <c r="I49" s="879" t="s">
        <v>891</v>
      </c>
      <c r="J49" s="846">
        <v>0</v>
      </c>
      <c r="K49" s="846">
        <v>1</v>
      </c>
      <c r="L49" s="816" t="str">
        <f t="shared" si="30"/>
        <v>L</v>
      </c>
      <c r="M49" s="816">
        <f t="shared" si="31"/>
        <v>1</v>
      </c>
      <c r="N49" s="816" t="str">
        <f t="shared" si="32"/>
        <v>U</v>
      </c>
      <c r="O49" s="816">
        <f t="shared" si="21"/>
        <v>0.25</v>
      </c>
      <c r="P49" s="829">
        <f t="shared" si="23"/>
        <v>-1</v>
      </c>
      <c r="Q49" s="830">
        <v>-0.4</v>
      </c>
      <c r="R49" s="871">
        <f t="shared" si="24"/>
        <v>-0.6</v>
      </c>
      <c r="S49" s="830">
        <v>2.5</v>
      </c>
      <c r="T49" s="871">
        <f t="shared" si="25"/>
        <v>-1.5</v>
      </c>
      <c r="U49" s="868">
        <f t="shared" si="26"/>
        <v>1.05</v>
      </c>
      <c r="V49" s="868">
        <f t="shared" si="27"/>
        <v>1.45</v>
      </c>
      <c r="W49" s="829">
        <v>10</v>
      </c>
      <c r="X49" s="829">
        <v>17</v>
      </c>
      <c r="Y49" s="829">
        <v>2</v>
      </c>
      <c r="Z49" s="829">
        <v>9</v>
      </c>
      <c r="AA49" s="829">
        <v>45</v>
      </c>
      <c r="AB49" s="829">
        <v>55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1877</v>
      </c>
      <c r="AH49" s="891" t="s">
        <v>34</v>
      </c>
      <c r="AI49" s="891" t="s">
        <v>32</v>
      </c>
      <c r="AJ49" s="891" t="s">
        <v>34</v>
      </c>
      <c r="AK49" s="891" t="s">
        <v>1886</v>
      </c>
      <c r="AL49" s="891" t="s">
        <v>3010</v>
      </c>
      <c r="AM49" s="891" t="s">
        <v>32</v>
      </c>
      <c r="AN49" s="891" t="s">
        <v>3011</v>
      </c>
      <c r="AO49" s="891" t="s">
        <v>32</v>
      </c>
      <c r="AP49" s="904" t="s">
        <v>35</v>
      </c>
      <c r="AQ49" s="891" t="s">
        <v>36</v>
      </c>
      <c r="AR49" s="891" t="s">
        <v>34</v>
      </c>
      <c r="AS49" s="891" t="s">
        <v>1877</v>
      </c>
      <c r="AT49" s="904" t="s">
        <v>34</v>
      </c>
      <c r="AU49" s="891" t="s">
        <v>1877</v>
      </c>
      <c r="AV49" s="891" t="s">
        <v>34</v>
      </c>
      <c r="AW49" s="891" t="s">
        <v>32</v>
      </c>
      <c r="AX49" s="891" t="s">
        <v>34</v>
      </c>
      <c r="AY49" s="891" t="s">
        <v>36</v>
      </c>
      <c r="AZ49" s="891" t="s">
        <v>34</v>
      </c>
      <c r="BA49" s="891" t="s">
        <v>34</v>
      </c>
      <c r="BB49" s="891" t="s">
        <v>36</v>
      </c>
      <c r="BC49" s="891" t="s">
        <v>32</v>
      </c>
      <c r="BD49" s="891" t="s">
        <v>32</v>
      </c>
      <c r="BE49" s="891" t="s">
        <v>32</v>
      </c>
      <c r="BF49" s="891" t="s">
        <v>35</v>
      </c>
      <c r="BG49" s="891" t="s">
        <v>32</v>
      </c>
      <c r="BH49" s="891" t="s">
        <v>1877</v>
      </c>
      <c r="BI49" s="891" t="s">
        <v>35</v>
      </c>
      <c r="BJ49" s="891"/>
      <c r="BK49" s="891"/>
      <c r="BL49" s="891"/>
      <c r="BM49" s="891"/>
      <c r="BN49" s="891"/>
      <c r="BO49" s="891"/>
      <c r="BP49" s="891"/>
      <c r="BQ49" s="891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86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9</v>
      </c>
      <c r="G50" s="879" t="s">
        <v>1083</v>
      </c>
      <c r="H50" s="879" t="s">
        <v>18</v>
      </c>
      <c r="I50" s="879" t="s">
        <v>891</v>
      </c>
      <c r="J50" s="846">
        <v>3</v>
      </c>
      <c r="K50" s="846">
        <v>1</v>
      </c>
      <c r="L50" s="816" t="str">
        <f t="shared" si="30"/>
        <v>W</v>
      </c>
      <c r="M50" s="816">
        <f t="shared" si="31"/>
        <v>4</v>
      </c>
      <c r="N50" s="816" t="str">
        <f t="shared" si="32"/>
        <v>O</v>
      </c>
      <c r="O50" s="816">
        <f t="shared" si="21"/>
        <v>0.25</v>
      </c>
      <c r="P50" s="829">
        <f t="shared" si="23"/>
        <v>1</v>
      </c>
      <c r="Q50" s="830">
        <v>-0.28000000000000003</v>
      </c>
      <c r="R50" s="871">
        <f t="shared" si="24"/>
        <v>2.2800000000000002</v>
      </c>
      <c r="S50" s="830">
        <v>2.4500000000000002</v>
      </c>
      <c r="T50" s="871">
        <f t="shared" si="25"/>
        <v>1.5499999999999998</v>
      </c>
      <c r="U50" s="868">
        <f t="shared" si="26"/>
        <v>1.085</v>
      </c>
      <c r="V50" s="868">
        <f t="shared" si="27"/>
        <v>1.3650000000000002</v>
      </c>
      <c r="W50" s="829">
        <v>12</v>
      </c>
      <c r="X50" s="829">
        <v>14</v>
      </c>
      <c r="Y50" s="829">
        <v>5</v>
      </c>
      <c r="Z50" s="829">
        <v>2</v>
      </c>
      <c r="AA50" s="829">
        <v>40</v>
      </c>
      <c r="AB50" s="829">
        <v>60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1877</v>
      </c>
      <c r="AH50" s="891" t="s">
        <v>34</v>
      </c>
      <c r="AI50" s="891" t="s">
        <v>32</v>
      </c>
      <c r="AJ50" s="891" t="s">
        <v>34</v>
      </c>
      <c r="AK50" s="891" t="s">
        <v>1886</v>
      </c>
      <c r="AL50" s="904" t="s">
        <v>35</v>
      </c>
      <c r="AM50" s="891" t="s">
        <v>32</v>
      </c>
      <c r="AN50" s="891" t="s">
        <v>3072</v>
      </c>
      <c r="AO50" s="891" t="s">
        <v>32</v>
      </c>
      <c r="AP50" s="891" t="s">
        <v>32</v>
      </c>
      <c r="AQ50" s="891" t="s">
        <v>36</v>
      </c>
      <c r="AR50" s="891" t="s">
        <v>34</v>
      </c>
      <c r="AS50" s="891" t="s">
        <v>32</v>
      </c>
      <c r="AT50" s="891" t="s">
        <v>34</v>
      </c>
      <c r="AU50" s="904" t="s">
        <v>36</v>
      </c>
      <c r="AV50" s="891" t="s">
        <v>34</v>
      </c>
      <c r="AW50" s="891" t="s">
        <v>1877</v>
      </c>
      <c r="AX50" s="891" t="s">
        <v>3065</v>
      </c>
      <c r="AY50" s="891" t="s">
        <v>34</v>
      </c>
      <c r="AZ50" s="891" t="s">
        <v>35</v>
      </c>
      <c r="BA50" s="891" t="s">
        <v>34</v>
      </c>
      <c r="BB50" s="891" t="s">
        <v>3075</v>
      </c>
      <c r="BC50" s="891" t="s">
        <v>32</v>
      </c>
      <c r="BD50" s="891" t="s">
        <v>32</v>
      </c>
      <c r="BE50" s="891" t="s">
        <v>1877</v>
      </c>
      <c r="BF50" s="891" t="s">
        <v>35</v>
      </c>
      <c r="BG50" s="891" t="s">
        <v>32</v>
      </c>
      <c r="BH50" s="891" t="s">
        <v>32</v>
      </c>
      <c r="BI50" s="891" t="s">
        <v>1877</v>
      </c>
      <c r="BJ50" s="891">
        <v>1</v>
      </c>
      <c r="BK50" s="891"/>
      <c r="BL50" s="891"/>
      <c r="BM50" s="891"/>
      <c r="BN50" s="891"/>
      <c r="BO50" s="891"/>
      <c r="BP50" s="891"/>
      <c r="BQ50" s="891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86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3</v>
      </c>
      <c r="G51" s="879" t="s">
        <v>1085</v>
      </c>
      <c r="H51" s="879" t="s">
        <v>22</v>
      </c>
      <c r="I51" s="879" t="s">
        <v>891</v>
      </c>
      <c r="J51" s="908">
        <v>3</v>
      </c>
      <c r="K51" s="846">
        <v>4</v>
      </c>
      <c r="L51" s="816" t="str">
        <f t="shared" si="30"/>
        <v>L</v>
      </c>
      <c r="M51" s="816">
        <f t="shared" si="31"/>
        <v>7</v>
      </c>
      <c r="N51" s="816" t="str">
        <f t="shared" si="32"/>
        <v>O</v>
      </c>
      <c r="O51" s="816">
        <f t="shared" si="21"/>
        <v>0.25</v>
      </c>
      <c r="P51" s="829">
        <f t="shared" si="23"/>
        <v>-1</v>
      </c>
      <c r="Q51" s="830">
        <v>-0.18</v>
      </c>
      <c r="R51" s="871">
        <f t="shared" si="24"/>
        <v>-0.82000000000000006</v>
      </c>
      <c r="S51" s="830">
        <v>2.85</v>
      </c>
      <c r="T51" s="871">
        <f t="shared" si="25"/>
        <v>4.1500000000000004</v>
      </c>
      <c r="U51" s="868">
        <f t="shared" si="26"/>
        <v>1.335</v>
      </c>
      <c r="V51" s="868">
        <f t="shared" si="27"/>
        <v>1.5150000000000001</v>
      </c>
      <c r="W51" s="829">
        <v>24</v>
      </c>
      <c r="X51" s="829">
        <v>12</v>
      </c>
      <c r="Y51" s="829">
        <v>5</v>
      </c>
      <c r="Z51" s="829">
        <v>8</v>
      </c>
      <c r="AA51" s="829">
        <v>46</v>
      </c>
      <c r="AB51" s="829">
        <v>54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 t="s">
        <v>1877</v>
      </c>
      <c r="AH51" s="891" t="s">
        <v>34</v>
      </c>
      <c r="AI51" s="891" t="s">
        <v>32</v>
      </c>
      <c r="AJ51" s="891" t="s">
        <v>34</v>
      </c>
      <c r="AK51" s="891" t="s">
        <v>1886</v>
      </c>
      <c r="AL51" s="909" t="s">
        <v>34</v>
      </c>
      <c r="AM51" s="891" t="s">
        <v>32</v>
      </c>
      <c r="AN51" s="904" t="s">
        <v>34</v>
      </c>
      <c r="AO51" s="891" t="s">
        <v>32</v>
      </c>
      <c r="AP51" s="891" t="s">
        <v>32</v>
      </c>
      <c r="AQ51" s="891" t="s">
        <v>1877</v>
      </c>
      <c r="AR51" s="891" t="s">
        <v>1877</v>
      </c>
      <c r="AS51" s="891" t="s">
        <v>32</v>
      </c>
      <c r="AT51" s="891" t="s">
        <v>34</v>
      </c>
      <c r="AU51" s="891" t="s">
        <v>32</v>
      </c>
      <c r="AV51" s="891" t="s">
        <v>3089</v>
      </c>
      <c r="AW51" s="891" t="s">
        <v>36</v>
      </c>
      <c r="AX51" s="891" t="s">
        <v>3088</v>
      </c>
      <c r="AY51" s="891" t="s">
        <v>3090</v>
      </c>
      <c r="AZ51" s="891" t="s">
        <v>35</v>
      </c>
      <c r="BA51" s="891" t="s">
        <v>35</v>
      </c>
      <c r="BB51" s="891" t="s">
        <v>36</v>
      </c>
      <c r="BC51" s="891" t="s">
        <v>32</v>
      </c>
      <c r="BD51" s="891" t="s">
        <v>32</v>
      </c>
      <c r="BE51" s="891" t="s">
        <v>36</v>
      </c>
      <c r="BF51" s="891" t="s">
        <v>35</v>
      </c>
      <c r="BG51" s="891" t="s">
        <v>32</v>
      </c>
      <c r="BH51" s="891" t="s">
        <v>32</v>
      </c>
      <c r="BI51" s="891" t="s">
        <v>1877</v>
      </c>
      <c r="BJ51" s="891"/>
      <c r="BK51" s="891"/>
      <c r="BL51" s="891"/>
      <c r="BM51" s="891"/>
      <c r="BN51" s="891"/>
      <c r="BO51" s="891"/>
      <c r="BP51" s="891"/>
      <c r="BQ51" s="891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86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15</v>
      </c>
      <c r="G52" s="879" t="s">
        <v>881</v>
      </c>
      <c r="H52" s="879" t="s">
        <v>18</v>
      </c>
      <c r="I52" s="879" t="s">
        <v>891</v>
      </c>
      <c r="J52" s="846">
        <v>1</v>
      </c>
      <c r="K52" s="846">
        <v>1</v>
      </c>
      <c r="L52" s="816" t="str">
        <f t="shared" si="30"/>
        <v>D</v>
      </c>
      <c r="M52" s="816">
        <f t="shared" si="31"/>
        <v>2</v>
      </c>
      <c r="N52" s="816" t="str">
        <f t="shared" si="32"/>
        <v>U</v>
      </c>
      <c r="O52" s="816">
        <f t="shared" si="21"/>
        <v>0</v>
      </c>
      <c r="P52" s="829">
        <f t="shared" si="23"/>
        <v>0</v>
      </c>
      <c r="Q52" s="830">
        <v>-0.05</v>
      </c>
      <c r="R52" s="871">
        <f t="shared" si="24"/>
        <v>0.05</v>
      </c>
      <c r="S52" s="830">
        <v>2.41</v>
      </c>
      <c r="T52" s="871">
        <f t="shared" si="25"/>
        <v>-0.41000000000000014</v>
      </c>
      <c r="U52" s="868">
        <f t="shared" si="26"/>
        <v>1.1800000000000002</v>
      </c>
      <c r="V52" s="868">
        <f t="shared" si="27"/>
        <v>1.23</v>
      </c>
      <c r="W52" s="829">
        <v>11</v>
      </c>
      <c r="X52" s="829">
        <v>9</v>
      </c>
      <c r="Y52" s="829">
        <v>0</v>
      </c>
      <c r="Z52" s="829">
        <v>2</v>
      </c>
      <c r="AA52" s="829">
        <v>49</v>
      </c>
      <c r="AB52" s="829">
        <v>51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 t="s">
        <v>1877</v>
      </c>
      <c r="AH52" s="891" t="s">
        <v>34</v>
      </c>
      <c r="AI52" s="891" t="s">
        <v>32</v>
      </c>
      <c r="AJ52" s="904" t="s">
        <v>34</v>
      </c>
      <c r="AK52" s="891" t="s">
        <v>1886</v>
      </c>
      <c r="AL52" s="891" t="s">
        <v>3119</v>
      </c>
      <c r="AM52" s="891" t="s">
        <v>32</v>
      </c>
      <c r="AN52" s="891" t="s">
        <v>34</v>
      </c>
      <c r="AO52" s="891" t="s">
        <v>32</v>
      </c>
      <c r="AP52" s="891" t="s">
        <v>32</v>
      </c>
      <c r="AQ52" s="891" t="s">
        <v>34</v>
      </c>
      <c r="AR52" s="891" t="s">
        <v>1877</v>
      </c>
      <c r="AS52" s="891" t="s">
        <v>1877</v>
      </c>
      <c r="AT52" s="891" t="s">
        <v>34</v>
      </c>
      <c r="AU52" s="891" t="s">
        <v>32</v>
      </c>
      <c r="AV52" s="891" t="s">
        <v>35</v>
      </c>
      <c r="AW52" s="891" t="s">
        <v>36</v>
      </c>
      <c r="AX52" s="891" t="s">
        <v>34</v>
      </c>
      <c r="AY52" s="891" t="s">
        <v>34</v>
      </c>
      <c r="AZ52" s="891" t="s">
        <v>35</v>
      </c>
      <c r="BA52" s="891" t="s">
        <v>1877</v>
      </c>
      <c r="BB52" s="891" t="s">
        <v>34</v>
      </c>
      <c r="BC52" s="891" t="s">
        <v>32</v>
      </c>
      <c r="BD52" s="891" t="s">
        <v>32</v>
      </c>
      <c r="BE52" s="904" t="s">
        <v>36</v>
      </c>
      <c r="BF52" s="904" t="s">
        <v>35</v>
      </c>
      <c r="BG52" s="891" t="s">
        <v>32</v>
      </c>
      <c r="BH52" s="891" t="s">
        <v>32</v>
      </c>
      <c r="BI52" s="891" t="s">
        <v>36</v>
      </c>
      <c r="BJ52" s="891">
        <v>1</v>
      </c>
      <c r="BK52" s="891"/>
      <c r="BL52" s="891"/>
      <c r="BM52" s="891"/>
      <c r="BN52" s="891"/>
      <c r="BO52" s="891"/>
      <c r="BP52" s="891"/>
      <c r="BQ52" s="891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86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8</v>
      </c>
      <c r="G53" s="879" t="s">
        <v>880</v>
      </c>
      <c r="H53" s="879" t="s">
        <v>22</v>
      </c>
      <c r="I53" s="879" t="s">
        <v>891</v>
      </c>
      <c r="J53" s="846">
        <v>1</v>
      </c>
      <c r="K53" s="846">
        <v>2</v>
      </c>
      <c r="L53" s="816" t="str">
        <f t="shared" si="30"/>
        <v>L</v>
      </c>
      <c r="M53" s="816">
        <f t="shared" si="31"/>
        <v>3</v>
      </c>
      <c r="N53" s="816" t="str">
        <f t="shared" si="32"/>
        <v>O</v>
      </c>
      <c r="O53" s="816">
        <f t="shared" si="21"/>
        <v>0.25</v>
      </c>
      <c r="P53" s="829">
        <f t="shared" si="23"/>
        <v>-1</v>
      </c>
      <c r="Q53" s="830">
        <v>-0.22</v>
      </c>
      <c r="R53" s="871">
        <f t="shared" si="24"/>
        <v>-0.78</v>
      </c>
      <c r="S53" s="830">
        <v>2.4500000000000002</v>
      </c>
      <c r="T53" s="871">
        <f t="shared" si="25"/>
        <v>0.54999999999999982</v>
      </c>
      <c r="U53" s="868">
        <f t="shared" si="26"/>
        <v>1.115</v>
      </c>
      <c r="V53" s="868">
        <f t="shared" si="27"/>
        <v>1.3350000000000002</v>
      </c>
      <c r="W53" s="829">
        <v>16</v>
      </c>
      <c r="X53" s="829">
        <v>11</v>
      </c>
      <c r="Y53" s="829">
        <v>2</v>
      </c>
      <c r="Z53" s="829">
        <v>2</v>
      </c>
      <c r="AA53" s="829">
        <v>50</v>
      </c>
      <c r="AB53" s="829">
        <v>50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1877</v>
      </c>
      <c r="AH53" s="904" t="s">
        <v>34</v>
      </c>
      <c r="AI53" s="891" t="s">
        <v>32</v>
      </c>
      <c r="AJ53" s="891" t="s">
        <v>35</v>
      </c>
      <c r="AK53" s="891" t="s">
        <v>1886</v>
      </c>
      <c r="AL53" s="891" t="s">
        <v>34</v>
      </c>
      <c r="AM53" s="891" t="s">
        <v>32</v>
      </c>
      <c r="AN53" s="891" t="s">
        <v>34</v>
      </c>
      <c r="AO53" s="891" t="s">
        <v>32</v>
      </c>
      <c r="AP53" s="891" t="s">
        <v>32</v>
      </c>
      <c r="AQ53" s="891" t="s">
        <v>36</v>
      </c>
      <c r="AR53" s="891" t="s">
        <v>1877</v>
      </c>
      <c r="AS53" s="891" t="s">
        <v>1877</v>
      </c>
      <c r="AT53" s="891" t="s">
        <v>34</v>
      </c>
      <c r="AU53" s="891" t="s">
        <v>32</v>
      </c>
      <c r="AV53" s="891" t="s">
        <v>35</v>
      </c>
      <c r="AW53" s="891" t="s">
        <v>32</v>
      </c>
      <c r="AX53" s="891" t="s">
        <v>34</v>
      </c>
      <c r="AY53" s="891" t="s">
        <v>34</v>
      </c>
      <c r="AZ53" s="891" t="s">
        <v>35</v>
      </c>
      <c r="BA53" s="904" t="s">
        <v>36</v>
      </c>
      <c r="BB53" s="891" t="s">
        <v>34</v>
      </c>
      <c r="BC53" s="891" t="s">
        <v>32</v>
      </c>
      <c r="BD53" s="891" t="s">
        <v>32</v>
      </c>
      <c r="BE53" s="891" t="s">
        <v>36</v>
      </c>
      <c r="BF53" s="891" t="s">
        <v>3147</v>
      </c>
      <c r="BG53" s="891" t="s">
        <v>32</v>
      </c>
      <c r="BH53" s="891" t="s">
        <v>32</v>
      </c>
      <c r="BI53" s="891" t="s">
        <v>1877</v>
      </c>
      <c r="BJ53" s="891"/>
      <c r="BK53" s="891"/>
      <c r="BL53" s="891"/>
      <c r="BM53" s="891"/>
      <c r="BN53" s="891"/>
      <c r="BO53" s="891"/>
      <c r="BP53" s="891"/>
      <c r="BQ53" s="891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86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21</v>
      </c>
      <c r="G54" s="879" t="s">
        <v>890</v>
      </c>
      <c r="H54" s="879" t="s">
        <v>18</v>
      </c>
      <c r="I54" s="879" t="s">
        <v>891</v>
      </c>
      <c r="J54" s="846">
        <v>1</v>
      </c>
      <c r="K54" s="846">
        <v>0</v>
      </c>
      <c r="L54" s="816" t="str">
        <f t="shared" si="30"/>
        <v>W</v>
      </c>
      <c r="M54" s="816">
        <f t="shared" si="31"/>
        <v>1</v>
      </c>
      <c r="N54" s="816" t="str">
        <f t="shared" si="32"/>
        <v>U</v>
      </c>
      <c r="O54" s="816">
        <f t="shared" ref="O54" si="41">IF(Q54="","",IF(SIGN(Q54)&lt;&gt;1,VLOOKUP(ABS(Q54),SUP_HDC,3,TRUE),-VLOOKUP(ABS(Q54),SUP_HDC,3,TRUE)))</f>
        <v>-0.25</v>
      </c>
      <c r="P54" s="829">
        <f t="shared" ref="P54" si="42">IF(O54="","",IF((J54-K54+O54)&gt;=0.5,1,IF((J54-K54+O54)=0.25,0.5,IF((J54-K54+O54)&lt;=-0.5,-1,IF((J54-K54+O54)=-0.25,-0.5,0)))))</f>
        <v>1</v>
      </c>
      <c r="Q54" s="830">
        <v>0.18</v>
      </c>
      <c r="R54" s="871">
        <f t="shared" ref="R54" si="43">IF(ISBLANK(Q54),"",J54-K54-Q54)</f>
        <v>0.82000000000000006</v>
      </c>
      <c r="S54" s="830">
        <v>2.38</v>
      </c>
      <c r="T54" s="871">
        <f t="shared" ref="T54" si="44">IF(ISBLANK(S54),"",J54+K54-S54)</f>
        <v>-1.38</v>
      </c>
      <c r="U54" s="868">
        <f t="shared" ref="U54" si="45">IF(Q54="","",(Q54+S54)/2)</f>
        <v>1.28</v>
      </c>
      <c r="V54" s="868">
        <f t="shared" ref="V54" si="46">IF(Q54="","",S54-U54)</f>
        <v>1.0999999999999999</v>
      </c>
      <c r="W54" s="829">
        <v>16</v>
      </c>
      <c r="X54" s="829">
        <v>17</v>
      </c>
      <c r="Y54" s="829">
        <v>2</v>
      </c>
      <c r="Z54" s="829">
        <v>3</v>
      </c>
      <c r="AA54" s="829">
        <v>48</v>
      </c>
      <c r="AB54" s="829">
        <v>52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1877</v>
      </c>
      <c r="AH54" s="891" t="s">
        <v>34</v>
      </c>
      <c r="AI54" s="891" t="s">
        <v>32</v>
      </c>
      <c r="AJ54" s="891" t="s">
        <v>32</v>
      </c>
      <c r="AK54" s="891" t="s">
        <v>1886</v>
      </c>
      <c r="AL54" s="904" t="s">
        <v>34</v>
      </c>
      <c r="AM54" s="891" t="s">
        <v>32</v>
      </c>
      <c r="AN54" s="891" t="s">
        <v>34</v>
      </c>
      <c r="AO54" s="891" t="s">
        <v>32</v>
      </c>
      <c r="AP54" s="891" t="s">
        <v>3189</v>
      </c>
      <c r="AQ54" s="904" t="s">
        <v>34</v>
      </c>
      <c r="AR54" s="891" t="s">
        <v>36</v>
      </c>
      <c r="AS54" s="904" t="s">
        <v>35</v>
      </c>
      <c r="AT54" s="891" t="s">
        <v>1877</v>
      </c>
      <c r="AU54" s="891" t="s">
        <v>32</v>
      </c>
      <c r="AV54" s="891" t="s">
        <v>35</v>
      </c>
      <c r="AW54" s="891" t="s">
        <v>1877</v>
      </c>
      <c r="AX54" s="891" t="s">
        <v>34</v>
      </c>
      <c r="AY54" s="891" t="s">
        <v>1877</v>
      </c>
      <c r="AZ54" s="891" t="s">
        <v>36</v>
      </c>
      <c r="BA54" s="904" t="s">
        <v>34</v>
      </c>
      <c r="BB54" s="891" t="s">
        <v>36</v>
      </c>
      <c r="BC54" s="891" t="s">
        <v>32</v>
      </c>
      <c r="BD54" s="891" t="s">
        <v>32</v>
      </c>
      <c r="BE54" s="891" t="s">
        <v>3171</v>
      </c>
      <c r="BF54" s="891" t="s">
        <v>34</v>
      </c>
      <c r="BG54" s="891" t="s">
        <v>32</v>
      </c>
      <c r="BH54" s="891" t="s">
        <v>32</v>
      </c>
      <c r="BI54" s="904" t="s">
        <v>35</v>
      </c>
      <c r="BJ54" s="891"/>
      <c r="BK54" s="891"/>
      <c r="BL54" s="891"/>
      <c r="BM54" s="891"/>
      <c r="BN54" s="891"/>
      <c r="BO54" s="891"/>
      <c r="BP54" s="891"/>
      <c r="BQ54" s="891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86" ht="15">
      <c r="A55" s="882">
        <v>6462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13</v>
      </c>
      <c r="G55" s="879" t="s">
        <v>884</v>
      </c>
      <c r="H55" s="879" t="s">
        <v>18</v>
      </c>
      <c r="I55" s="879" t="s">
        <v>891</v>
      </c>
      <c r="J55" s="846">
        <v>1</v>
      </c>
      <c r="K55" s="846">
        <v>1</v>
      </c>
      <c r="L55" s="816" t="str">
        <f t="shared" si="30"/>
        <v>D</v>
      </c>
      <c r="M55" s="816">
        <f t="shared" si="31"/>
        <v>2</v>
      </c>
      <c r="N55" s="816" t="str">
        <f t="shared" si="32"/>
        <v>U</v>
      </c>
      <c r="O55" s="816">
        <f t="shared" si="21"/>
        <v>0.25</v>
      </c>
      <c r="P55" s="829">
        <f t="shared" si="23"/>
        <v>0.5</v>
      </c>
      <c r="Q55" s="830">
        <v>-0.2</v>
      </c>
      <c r="R55" s="871">
        <f t="shared" si="24"/>
        <v>0.2</v>
      </c>
      <c r="S55" s="830">
        <v>2.4300000000000002</v>
      </c>
      <c r="T55" s="871">
        <f t="shared" si="25"/>
        <v>-0.43000000000000016</v>
      </c>
      <c r="U55" s="868">
        <f t="shared" si="26"/>
        <v>1.115</v>
      </c>
      <c r="V55" s="868">
        <f t="shared" si="27"/>
        <v>1.3150000000000002</v>
      </c>
      <c r="W55" s="829">
        <v>14</v>
      </c>
      <c r="X55" s="829">
        <v>12</v>
      </c>
      <c r="Y55" s="829">
        <v>4</v>
      </c>
      <c r="Z55" s="829">
        <v>5</v>
      </c>
      <c r="AA55" s="829">
        <v>51</v>
      </c>
      <c r="AB55" s="829">
        <v>49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 t="s">
        <v>1877</v>
      </c>
      <c r="AH55" s="891" t="s">
        <v>34</v>
      </c>
      <c r="AI55" s="891" t="s">
        <v>32</v>
      </c>
      <c r="AJ55" s="891" t="s">
        <v>32</v>
      </c>
      <c r="AK55" s="891" t="s">
        <v>1886</v>
      </c>
      <c r="AL55" s="891" t="s">
        <v>34</v>
      </c>
      <c r="AM55" s="891" t="s">
        <v>32</v>
      </c>
      <c r="AN55" s="891" t="s">
        <v>34</v>
      </c>
      <c r="AO55" s="891" t="s">
        <v>32</v>
      </c>
      <c r="AP55" s="891" t="s">
        <v>32</v>
      </c>
      <c r="AQ55" s="891" t="s">
        <v>34</v>
      </c>
      <c r="AR55" s="891" t="s">
        <v>3227</v>
      </c>
      <c r="AS55" s="904" t="s">
        <v>35</v>
      </c>
      <c r="AT55" s="891" t="s">
        <v>1877</v>
      </c>
      <c r="AU55" s="891" t="s">
        <v>32</v>
      </c>
      <c r="AV55" s="904" t="s">
        <v>34</v>
      </c>
      <c r="AW55" s="891" t="s">
        <v>1877</v>
      </c>
      <c r="AX55" s="891" t="s">
        <v>34</v>
      </c>
      <c r="AY55" s="891" t="s">
        <v>36</v>
      </c>
      <c r="AZ55" s="891" t="s">
        <v>35</v>
      </c>
      <c r="BA55" s="891" t="s">
        <v>3224</v>
      </c>
      <c r="BB55" s="891" t="s">
        <v>35</v>
      </c>
      <c r="BC55" s="891" t="s">
        <v>36</v>
      </c>
      <c r="BD55" s="891" t="s">
        <v>1877</v>
      </c>
      <c r="BE55" s="891" t="s">
        <v>34</v>
      </c>
      <c r="BF55" s="891" t="s">
        <v>34</v>
      </c>
      <c r="BG55" s="891"/>
      <c r="BH55" s="891"/>
      <c r="BI55" s="891" t="s">
        <v>3206</v>
      </c>
      <c r="BJ55" s="891"/>
      <c r="BK55" s="891"/>
      <c r="BL55" s="891"/>
      <c r="BM55" s="891"/>
      <c r="BN55" s="891"/>
      <c r="BO55" s="891"/>
      <c r="BP55" s="891"/>
      <c r="BQ55" s="891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</row>
    <row r="56" spans="1:86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11</v>
      </c>
      <c r="G56" s="879" t="s">
        <v>874</v>
      </c>
      <c r="H56" s="879" t="s">
        <v>22</v>
      </c>
      <c r="I56" s="879" t="s">
        <v>891</v>
      </c>
      <c r="J56" s="846">
        <v>0</v>
      </c>
      <c r="K56" s="846">
        <v>0</v>
      </c>
      <c r="L56" s="816" t="str">
        <f t="shared" si="30"/>
        <v>D</v>
      </c>
      <c r="M56" s="816">
        <f t="shared" si="31"/>
        <v>0</v>
      </c>
      <c r="N56" s="816" t="str">
        <f t="shared" si="32"/>
        <v>U</v>
      </c>
      <c r="O56" s="816">
        <f t="shared" si="21"/>
        <v>0</v>
      </c>
      <c r="P56" s="829">
        <f t="shared" si="23"/>
        <v>0</v>
      </c>
      <c r="Q56" s="830">
        <v>0.1</v>
      </c>
      <c r="R56" s="871">
        <f t="shared" si="24"/>
        <v>-0.1</v>
      </c>
      <c r="S56" s="830">
        <v>2.35</v>
      </c>
      <c r="T56" s="871">
        <f t="shared" si="25"/>
        <v>-2.35</v>
      </c>
      <c r="U56" s="868">
        <f t="shared" si="26"/>
        <v>1.2250000000000001</v>
      </c>
      <c r="V56" s="868">
        <f t="shared" si="27"/>
        <v>1.125</v>
      </c>
      <c r="W56" s="829">
        <v>16</v>
      </c>
      <c r="X56" s="829">
        <v>9</v>
      </c>
      <c r="Y56" s="829">
        <v>3</v>
      </c>
      <c r="Z56" s="829">
        <v>4</v>
      </c>
      <c r="AA56" s="829">
        <v>45</v>
      </c>
      <c r="AB56" s="829">
        <v>55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1877</v>
      </c>
      <c r="AH56" s="891" t="s">
        <v>34</v>
      </c>
      <c r="AI56" s="891" t="s">
        <v>32</v>
      </c>
      <c r="AJ56" s="891" t="s">
        <v>32</v>
      </c>
      <c r="AK56" s="891" t="s">
        <v>1886</v>
      </c>
      <c r="AL56" s="904" t="s">
        <v>34</v>
      </c>
      <c r="AM56" s="891" t="s">
        <v>32</v>
      </c>
      <c r="AN56" s="891" t="s">
        <v>34</v>
      </c>
      <c r="AO56" s="891" t="s">
        <v>32</v>
      </c>
      <c r="AP56" s="891" t="s">
        <v>32</v>
      </c>
      <c r="AQ56" s="891" t="s">
        <v>34</v>
      </c>
      <c r="AR56" s="891" t="s">
        <v>34</v>
      </c>
      <c r="AS56" s="891" t="s">
        <v>1877</v>
      </c>
      <c r="AT56" s="891" t="s">
        <v>32</v>
      </c>
      <c r="AU56" s="891" t="s">
        <v>32</v>
      </c>
      <c r="AV56" s="891" t="s">
        <v>35</v>
      </c>
      <c r="AW56" s="891" t="s">
        <v>32</v>
      </c>
      <c r="AX56" s="904" t="s">
        <v>34</v>
      </c>
      <c r="AY56" s="891" t="s">
        <v>36</v>
      </c>
      <c r="AZ56" s="891" t="s">
        <v>1877</v>
      </c>
      <c r="BA56" s="891" t="s">
        <v>35</v>
      </c>
      <c r="BB56" s="891" t="s">
        <v>36</v>
      </c>
      <c r="BC56" s="891" t="s">
        <v>1877</v>
      </c>
      <c r="BD56" s="891" t="s">
        <v>36</v>
      </c>
      <c r="BE56" s="904" t="s">
        <v>34</v>
      </c>
      <c r="BF56" s="891" t="s">
        <v>34</v>
      </c>
      <c r="BG56" s="891" t="s">
        <v>32</v>
      </c>
      <c r="BH56" s="891" t="s">
        <v>32</v>
      </c>
      <c r="BI56" s="891" t="s">
        <v>35</v>
      </c>
      <c r="BJ56" s="891"/>
      <c r="BK56" s="891"/>
      <c r="BL56" s="891"/>
      <c r="BM56" s="891"/>
      <c r="BN56" s="891"/>
      <c r="BO56" s="891"/>
      <c r="BP56" s="891"/>
      <c r="BQ56" s="891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86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7</v>
      </c>
      <c r="G57" s="879" t="s">
        <v>888</v>
      </c>
      <c r="H57" s="879" t="s">
        <v>18</v>
      </c>
      <c r="I57" s="879" t="s">
        <v>891</v>
      </c>
      <c r="J57" s="846">
        <v>2</v>
      </c>
      <c r="K57" s="846">
        <v>2</v>
      </c>
      <c r="L57" s="816" t="str">
        <f t="shared" si="30"/>
        <v>D</v>
      </c>
      <c r="M57" s="816">
        <f t="shared" si="31"/>
        <v>4</v>
      </c>
      <c r="N57" s="816" t="str">
        <f t="shared" si="32"/>
        <v>O</v>
      </c>
      <c r="O57" s="816">
        <f t="shared" ref="O57:O65" si="47">IF(Q57="","",IF(SIGN(Q57)&lt;&gt;1,VLOOKUP(ABS(Q57),SUP_HDC,3,TRUE),-VLOOKUP(ABS(Q57),SUP_HDC,3,TRUE)))</f>
        <v>0.5</v>
      </c>
      <c r="P57" s="829">
        <f t="shared" ref="P57:P65" si="48">IF(O57="","",IF((J57-K57+O57)&gt;=0.5,1,IF((J57-K57+O57)=0.25,0.5,IF((J57-K57+O57)&lt;=-0.5,-1,IF((J57-K57+O57)=-0.25,-0.5,0)))))</f>
        <v>1</v>
      </c>
      <c r="Q57" s="830">
        <v>-0.5</v>
      </c>
      <c r="R57" s="871">
        <f t="shared" si="24"/>
        <v>0.5</v>
      </c>
      <c r="S57" s="830">
        <v>2.76</v>
      </c>
      <c r="T57" s="871">
        <f t="shared" si="25"/>
        <v>1.2400000000000002</v>
      </c>
      <c r="U57" s="868">
        <f t="shared" ref="U57:U66" si="49">IF(Q57="","",(Q57+S57)/2)</f>
        <v>1.1299999999999999</v>
      </c>
      <c r="V57" s="868">
        <f t="shared" ref="V57:V66" si="50">IF(Q57="","",S57-U57)</f>
        <v>1.63</v>
      </c>
      <c r="W57" s="829">
        <v>8</v>
      </c>
      <c r="X57" s="829">
        <v>12</v>
      </c>
      <c r="Y57" s="829">
        <v>4</v>
      </c>
      <c r="Z57" s="829">
        <v>3</v>
      </c>
      <c r="AA57" s="829">
        <v>42</v>
      </c>
      <c r="AB57" s="829">
        <v>58</v>
      </c>
      <c r="AC57" s="829"/>
      <c r="AD57" s="816" t="str">
        <f t="array" ref="AD57">IF($J57="","",IF(SUM(IF(ISNUMBER(VALUE(RIGHT($AG57:$CI57,1))),VALUE(RIGHT($AG57:$CI57,1)),0))=$J57,"T","F"))</f>
        <v>T</v>
      </c>
      <c r="AE57" s="831">
        <f t="array" ref="AE57">IF($J57="","",SUM(IF(LEFT($AG57:$DU57,1)="s",1,0))-SUM(IF(RIGHT(LEFT($AG57:$DU57,2))="-",1,0)))</f>
        <v>0</v>
      </c>
      <c r="AF57" s="816">
        <f t="array" ref="AF57">IF($J57="","",SUM(IF(LEFT($AG57:$DA57,1)="X",1,0)))</f>
        <v>11</v>
      </c>
      <c r="AG57" s="891" t="s">
        <v>3320</v>
      </c>
      <c r="AH57" s="891" t="s">
        <v>3318</v>
      </c>
      <c r="AI57" s="891"/>
      <c r="AJ57" s="891"/>
      <c r="AK57" s="891" t="s">
        <v>1886</v>
      </c>
      <c r="AL57" s="891" t="s">
        <v>3319</v>
      </c>
      <c r="AM57" s="891"/>
      <c r="AN57" s="891" t="s">
        <v>3318</v>
      </c>
      <c r="AO57" s="891"/>
      <c r="AP57" s="891"/>
      <c r="AQ57" s="904" t="s">
        <v>3322</v>
      </c>
      <c r="AR57" s="904" t="s">
        <v>3318</v>
      </c>
      <c r="AS57" s="906" t="s">
        <v>1976</v>
      </c>
      <c r="AT57" s="891" t="s">
        <v>3318</v>
      </c>
      <c r="AU57" s="891"/>
      <c r="AV57" s="891" t="s">
        <v>3320</v>
      </c>
      <c r="AW57" s="891" t="s">
        <v>3320</v>
      </c>
      <c r="AX57" s="891" t="s">
        <v>3283</v>
      </c>
      <c r="AY57" s="891" t="s">
        <v>3318</v>
      </c>
      <c r="AZ57" s="891" t="s">
        <v>3321</v>
      </c>
      <c r="BA57" s="891"/>
      <c r="BB57" s="891" t="s">
        <v>3322</v>
      </c>
      <c r="BC57" s="891"/>
      <c r="BD57" s="891" t="s">
        <v>3320</v>
      </c>
      <c r="BE57" s="891" t="s">
        <v>3318</v>
      </c>
      <c r="BF57" s="891" t="s">
        <v>3318</v>
      </c>
      <c r="BG57" s="891" t="s">
        <v>3321</v>
      </c>
      <c r="BH57" s="891"/>
      <c r="BI57" s="891" t="s">
        <v>3319</v>
      </c>
      <c r="BJ57" s="891"/>
      <c r="BK57" s="891"/>
      <c r="BL57" s="891"/>
      <c r="BM57" s="891"/>
      <c r="BN57" s="891"/>
      <c r="BO57" s="891"/>
      <c r="BP57" s="891"/>
      <c r="BQ57" s="891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86" ht="15">
      <c r="A58" s="882">
        <v>6483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5</v>
      </c>
      <c r="G58" s="879" t="s">
        <v>889</v>
      </c>
      <c r="H58" s="879" t="s">
        <v>18</v>
      </c>
      <c r="I58" s="879" t="s">
        <v>891</v>
      </c>
      <c r="J58" s="846">
        <v>1</v>
      </c>
      <c r="K58" s="846">
        <v>3</v>
      </c>
      <c r="L58" s="816" t="str">
        <f t="shared" si="30"/>
        <v>L</v>
      </c>
      <c r="M58" s="816">
        <f t="shared" si="31"/>
        <v>4</v>
      </c>
      <c r="N58" s="816" t="str">
        <f t="shared" si="32"/>
        <v>O</v>
      </c>
      <c r="O58" s="816">
        <f t="shared" si="47"/>
        <v>0.5</v>
      </c>
      <c r="P58" s="829">
        <f t="shared" si="48"/>
        <v>-1</v>
      </c>
      <c r="Q58" s="830">
        <v>-0.43</v>
      </c>
      <c r="R58" s="871">
        <f t="shared" si="24"/>
        <v>-1.57</v>
      </c>
      <c r="S58" s="830">
        <v>2.75</v>
      </c>
      <c r="T58" s="871">
        <f t="shared" si="25"/>
        <v>1.25</v>
      </c>
      <c r="U58" s="868">
        <f t="shared" si="49"/>
        <v>1.1599999999999999</v>
      </c>
      <c r="V58" s="868">
        <f t="shared" si="50"/>
        <v>1.59</v>
      </c>
      <c r="W58" s="829">
        <v>14</v>
      </c>
      <c r="X58" s="829">
        <v>24</v>
      </c>
      <c r="Y58" s="829">
        <v>3</v>
      </c>
      <c r="Z58" s="829">
        <v>7</v>
      </c>
      <c r="AA58" s="829">
        <v>50</v>
      </c>
      <c r="AB58" s="829">
        <v>50</v>
      </c>
      <c r="AC58" s="829"/>
      <c r="AD58" s="816" t="str">
        <f t="array" ref="AD58">IF($J58="","",IF(SUM(IF(ISNUMBER(VALUE(RIGHT($AG58:$CI58,1))),VALUE(RIGHT($AG58:$CI58,1)),0))=$J58,"T","F"))</f>
        <v>T</v>
      </c>
      <c r="AE58" s="831">
        <f t="array" ref="AE58">IF($J58="","",SUM(IF(LEFT($AG58:$DU58,1)="s",1,0))-SUM(IF(RIGHT(LEFT($AG58:$DU58,2))="-",1,0)))</f>
        <v>0</v>
      </c>
      <c r="AF58" s="816">
        <f t="array" ref="AF58">IF($J58="","",SUM(IF(LEFT($AG58:$DA58,1)="X",1,0)))</f>
        <v>11</v>
      </c>
      <c r="AG58" s="891" t="s">
        <v>1877</v>
      </c>
      <c r="AH58" s="891" t="s">
        <v>34</v>
      </c>
      <c r="AI58" s="891" t="s">
        <v>32</v>
      </c>
      <c r="AJ58" s="891" t="s">
        <v>32</v>
      </c>
      <c r="AK58" s="891" t="s">
        <v>1886</v>
      </c>
      <c r="AL58" s="891" t="s">
        <v>3358</v>
      </c>
      <c r="AM58" s="891" t="s">
        <v>32</v>
      </c>
      <c r="AN58" s="891" t="s">
        <v>34</v>
      </c>
      <c r="AO58" s="891" t="s">
        <v>32</v>
      </c>
      <c r="AP58" s="891" t="s">
        <v>34</v>
      </c>
      <c r="AQ58" s="891" t="s">
        <v>34</v>
      </c>
      <c r="AR58" s="891" t="s">
        <v>34</v>
      </c>
      <c r="AS58" s="891" t="s">
        <v>3358</v>
      </c>
      <c r="AT58" s="891" t="s">
        <v>1877</v>
      </c>
      <c r="AU58" s="891" t="s">
        <v>32</v>
      </c>
      <c r="AV58" s="891" t="s">
        <v>36</v>
      </c>
      <c r="AW58" s="891" t="s">
        <v>36</v>
      </c>
      <c r="AX58" s="891" t="s">
        <v>34</v>
      </c>
      <c r="AY58" s="891" t="s">
        <v>35</v>
      </c>
      <c r="AZ58" s="891" t="s">
        <v>1877</v>
      </c>
      <c r="BA58" s="891" t="s">
        <v>32</v>
      </c>
      <c r="BB58" s="891" t="s">
        <v>34</v>
      </c>
      <c r="BC58" s="891" t="s">
        <v>1877</v>
      </c>
      <c r="BD58" s="891" t="s">
        <v>3359</v>
      </c>
      <c r="BE58" s="891" t="s">
        <v>34</v>
      </c>
      <c r="BF58" s="891" t="s">
        <v>35</v>
      </c>
      <c r="BG58" s="891" t="s">
        <v>32</v>
      </c>
      <c r="BH58" s="891" t="s">
        <v>32</v>
      </c>
      <c r="BI58" s="891" t="s">
        <v>35</v>
      </c>
      <c r="BJ58" s="891"/>
      <c r="BK58" s="891"/>
      <c r="BL58" s="891"/>
      <c r="BM58" s="891"/>
      <c r="BN58" s="891"/>
      <c r="BO58" s="891"/>
      <c r="BP58" s="891"/>
      <c r="BQ58" s="891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</row>
    <row r="59" spans="1:86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2</v>
      </c>
      <c r="G59" s="879" t="s">
        <v>886</v>
      </c>
      <c r="H59" s="879" t="s">
        <v>22</v>
      </c>
      <c r="I59" s="879" t="s">
        <v>891</v>
      </c>
      <c r="J59" s="846">
        <v>1</v>
      </c>
      <c r="K59" s="846">
        <v>1</v>
      </c>
      <c r="L59" s="816" t="str">
        <f t="shared" si="30"/>
        <v>D</v>
      </c>
      <c r="M59" s="816">
        <f t="shared" si="31"/>
        <v>2</v>
      </c>
      <c r="N59" s="816" t="str">
        <f t="shared" si="32"/>
        <v>U</v>
      </c>
      <c r="O59" s="816">
        <f t="shared" si="47"/>
        <v>0.25</v>
      </c>
      <c r="P59" s="829">
        <f t="shared" si="48"/>
        <v>0.5</v>
      </c>
      <c r="Q59" s="830">
        <v>-0.2</v>
      </c>
      <c r="R59" s="871">
        <f t="shared" si="24"/>
        <v>0.2</v>
      </c>
      <c r="S59" s="830">
        <v>2.34</v>
      </c>
      <c r="T59" s="871">
        <f t="shared" si="25"/>
        <v>-0.33999999999999986</v>
      </c>
      <c r="U59" s="868">
        <f t="shared" si="49"/>
        <v>1.0699999999999998</v>
      </c>
      <c r="V59" s="868">
        <f t="shared" si="50"/>
        <v>1.27</v>
      </c>
      <c r="W59" s="829">
        <v>9</v>
      </c>
      <c r="X59" s="829">
        <v>16</v>
      </c>
      <c r="Y59" s="829">
        <v>2</v>
      </c>
      <c r="Z59" s="829">
        <v>4</v>
      </c>
      <c r="AA59" s="829">
        <v>50</v>
      </c>
      <c r="AB59" s="829">
        <v>50</v>
      </c>
      <c r="AC59" s="829"/>
      <c r="AD59" s="816" t="str">
        <f t="array" ref="AD59">IF($J59="","",IF(SUM(IF(ISNUMBER(VALUE(RIGHT($AG59:$CI59,1))),VALUE(RIGHT($AG59:$CI59,1)),0))=$J59,"T","F"))</f>
        <v>T</v>
      </c>
      <c r="AE59" s="831">
        <f t="array" ref="AE59">IF($J59="","",SUM(IF(LEFT($AG59:$DU59,1)="s",1,0))-SUM(IF(RIGHT(LEFT($AG59:$DU59,2))="-",1,0)))</f>
        <v>0</v>
      </c>
      <c r="AF59" s="816">
        <f t="array" ref="AF59">IF($J59="","",SUM(IF(LEFT($AG59:$DA59,1)="X",1,0)))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34</v>
      </c>
      <c r="AK59" s="891" t="s">
        <v>3417</v>
      </c>
      <c r="AL59" s="891" t="s">
        <v>3395</v>
      </c>
      <c r="AM59" s="891" t="s">
        <v>32</v>
      </c>
      <c r="AN59" s="891" t="s">
        <v>32</v>
      </c>
      <c r="AO59" s="891" t="s">
        <v>32</v>
      </c>
      <c r="AP59" s="891" t="s">
        <v>3405</v>
      </c>
      <c r="AQ59" s="904" t="s">
        <v>34</v>
      </c>
      <c r="AR59" s="891" t="s">
        <v>34</v>
      </c>
      <c r="AS59" s="891" t="s">
        <v>1877</v>
      </c>
      <c r="AT59" s="891" t="s">
        <v>34</v>
      </c>
      <c r="AU59" s="904" t="s">
        <v>35</v>
      </c>
      <c r="AV59" s="891" t="s">
        <v>32</v>
      </c>
      <c r="AW59" s="891" t="s">
        <v>32</v>
      </c>
      <c r="AX59" s="891" t="s">
        <v>34</v>
      </c>
      <c r="AY59" s="904" t="s">
        <v>34</v>
      </c>
      <c r="AZ59" s="891" t="s">
        <v>36</v>
      </c>
      <c r="BA59" s="891" t="s">
        <v>35</v>
      </c>
      <c r="BB59" s="891" t="s">
        <v>1877</v>
      </c>
      <c r="BC59" s="891" t="s">
        <v>36</v>
      </c>
      <c r="BD59" s="891" t="s">
        <v>36</v>
      </c>
      <c r="BE59" s="891" t="s">
        <v>35</v>
      </c>
      <c r="BF59" s="891" t="s">
        <v>3400</v>
      </c>
      <c r="BG59" s="891" t="s">
        <v>32</v>
      </c>
      <c r="BH59" s="891" t="s">
        <v>32</v>
      </c>
      <c r="BI59" s="891" t="s">
        <v>1877</v>
      </c>
      <c r="BJ59" s="891"/>
      <c r="BK59" s="891"/>
      <c r="BL59" s="891"/>
      <c r="BM59" s="891"/>
      <c r="BN59" s="891"/>
      <c r="BO59" s="891"/>
      <c r="BP59" s="891"/>
      <c r="BQ59" s="891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</row>
    <row r="60" spans="1:86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17</v>
      </c>
      <c r="G60" s="879" t="s">
        <v>875</v>
      </c>
      <c r="H60" s="879" t="s">
        <v>22</v>
      </c>
      <c r="I60" s="879" t="s">
        <v>891</v>
      </c>
      <c r="J60" s="846">
        <v>1</v>
      </c>
      <c r="K60" s="846">
        <v>1</v>
      </c>
      <c r="L60" s="816" t="str">
        <f t="shared" si="30"/>
        <v>D</v>
      </c>
      <c r="M60" s="816">
        <f t="shared" si="31"/>
        <v>2</v>
      </c>
      <c r="N60" s="816" t="str">
        <f t="shared" si="32"/>
        <v>U</v>
      </c>
      <c r="O60" s="816">
        <f t="shared" si="47"/>
        <v>-0.25</v>
      </c>
      <c r="P60" s="829">
        <f t="shared" si="48"/>
        <v>-0.5</v>
      </c>
      <c r="Q60" s="830">
        <v>0.24</v>
      </c>
      <c r="R60" s="871">
        <f t="shared" si="24"/>
        <v>-0.24</v>
      </c>
      <c r="S60" s="830">
        <v>2.72</v>
      </c>
      <c r="T60" s="871">
        <f t="shared" si="25"/>
        <v>-0.7200000000000002</v>
      </c>
      <c r="U60" s="868">
        <f t="shared" si="49"/>
        <v>1.48</v>
      </c>
      <c r="V60" s="868">
        <f t="shared" si="50"/>
        <v>1.2400000000000002</v>
      </c>
      <c r="W60" s="829">
        <v>24</v>
      </c>
      <c r="X60" s="829">
        <v>8</v>
      </c>
      <c r="Y60" s="829">
        <v>5</v>
      </c>
      <c r="Z60" s="829">
        <v>4</v>
      </c>
      <c r="AA60" s="829">
        <v>51</v>
      </c>
      <c r="AB60" s="829">
        <v>49</v>
      </c>
      <c r="AC60" s="829"/>
      <c r="AD60" s="816" t="str">
        <f t="array" ref="AD60">IF($J60="","",IF(SUM(IF(ISNUMBER(VALUE(RIGHT($AG60:$CI60,1))),VALUE(RIGHT($AG60:$CI60,1)),0))=$J60,"T","F"))</f>
        <v>T</v>
      </c>
      <c r="AE60" s="831">
        <f t="array" ref="AE60">IF($J60="","",SUM(IF(LEFT($AG60:$DU60,1)="s",1,0))-SUM(IF(RIGHT(LEFT($AG60:$DU60,2))="-",1,0)))</f>
        <v>0</v>
      </c>
      <c r="AF60" s="816">
        <f t="array" ref="AF60">IF($J60="","",SUM(IF(LEFT($AG60:$DA60,1)="X",1,0)))</f>
        <v>11</v>
      </c>
      <c r="AG60" s="891" t="s">
        <v>1877</v>
      </c>
      <c r="AH60" s="891" t="s">
        <v>34</v>
      </c>
      <c r="AI60" s="230" t="s">
        <v>32</v>
      </c>
      <c r="AJ60" s="891" t="s">
        <v>34</v>
      </c>
      <c r="AK60" s="230" t="s">
        <v>32</v>
      </c>
      <c r="AL60" s="891" t="s">
        <v>1885</v>
      </c>
      <c r="AM60" s="230" t="s">
        <v>32</v>
      </c>
      <c r="AN60" s="230" t="s">
        <v>32</v>
      </c>
      <c r="AO60" s="230" t="s">
        <v>32</v>
      </c>
      <c r="AP60" s="891" t="s">
        <v>1877</v>
      </c>
      <c r="AQ60" s="891" t="s">
        <v>3449</v>
      </c>
      <c r="AR60" s="891" t="s">
        <v>34</v>
      </c>
      <c r="AS60" s="891" t="s">
        <v>35</v>
      </c>
      <c r="AT60" s="891" t="s">
        <v>34</v>
      </c>
      <c r="AU60" s="891" t="s">
        <v>35</v>
      </c>
      <c r="AV60" s="230" t="s">
        <v>36</v>
      </c>
      <c r="AW60" s="230" t="s">
        <v>32</v>
      </c>
      <c r="AX60" s="891" t="s">
        <v>34</v>
      </c>
      <c r="AY60" s="904" t="s">
        <v>3429</v>
      </c>
      <c r="AZ60" s="230" t="s">
        <v>36</v>
      </c>
      <c r="BA60" s="891" t="s">
        <v>35</v>
      </c>
      <c r="BB60" s="230" t="s">
        <v>32</v>
      </c>
      <c r="BC60" s="230" t="s">
        <v>36</v>
      </c>
      <c r="BD60" s="230" t="s">
        <v>1877</v>
      </c>
      <c r="BE60" s="891" t="s">
        <v>34</v>
      </c>
      <c r="BF60" s="891" t="s">
        <v>34</v>
      </c>
      <c r="BG60" s="230" t="s">
        <v>32</v>
      </c>
      <c r="BH60" s="230" t="s">
        <v>32</v>
      </c>
      <c r="BI60" s="891" t="s">
        <v>1877</v>
      </c>
      <c r="BJ60" s="891"/>
      <c r="BK60" s="891"/>
      <c r="BL60" s="891"/>
      <c r="BM60" s="891"/>
      <c r="BN60" s="891"/>
      <c r="BO60" s="891"/>
      <c r="BP60" s="891"/>
      <c r="BQ60" s="891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</row>
    <row r="61" spans="1:86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10</v>
      </c>
      <c r="G61" s="879" t="s">
        <v>883</v>
      </c>
      <c r="H61" s="879" t="s">
        <v>18</v>
      </c>
      <c r="I61" s="879" t="s">
        <v>891</v>
      </c>
      <c r="J61" s="846">
        <v>2</v>
      </c>
      <c r="K61" s="846">
        <v>2</v>
      </c>
      <c r="L61" s="816" t="str">
        <f t="shared" si="30"/>
        <v>D</v>
      </c>
      <c r="M61" s="816">
        <f t="shared" si="31"/>
        <v>4</v>
      </c>
      <c r="N61" s="816" t="str">
        <f t="shared" si="32"/>
        <v>O</v>
      </c>
      <c r="O61" s="816">
        <f t="shared" si="47"/>
        <v>0.25</v>
      </c>
      <c r="P61" s="829">
        <f t="shared" si="48"/>
        <v>0.5</v>
      </c>
      <c r="Q61" s="830">
        <v>-0.3</v>
      </c>
      <c r="R61" s="871">
        <f t="shared" si="24"/>
        <v>0.3</v>
      </c>
      <c r="S61" s="830">
        <v>2.6</v>
      </c>
      <c r="T61" s="871">
        <f t="shared" si="25"/>
        <v>1.4</v>
      </c>
      <c r="U61" s="868">
        <f t="shared" si="49"/>
        <v>1.1500000000000001</v>
      </c>
      <c r="V61" s="868">
        <f t="shared" si="50"/>
        <v>1.45</v>
      </c>
      <c r="W61" s="829">
        <v>19</v>
      </c>
      <c r="X61" s="829">
        <v>20</v>
      </c>
      <c r="Y61" s="829">
        <v>3</v>
      </c>
      <c r="Z61" s="829">
        <v>8</v>
      </c>
      <c r="AA61" s="829">
        <v>45</v>
      </c>
      <c r="AB61" s="829">
        <v>55</v>
      </c>
      <c r="AC61" s="829"/>
      <c r="AD61" s="816" t="str">
        <f t="array" ref="AD61">IF($J61="","",IF(SUM(IF(ISNUMBER(VALUE(RIGHT($AG61:$CI61,1))),VALUE(RIGHT($AG61:$CI61,1)),0))=$J61,"T","F"))</f>
        <v>T</v>
      </c>
      <c r="AE61" s="831">
        <f t="array" ref="AE61">IF($J61="","",SUM(IF(LEFT($AG61:$DU61,1)="s",1,0))-SUM(IF(RIGHT(LEFT($AG61:$DU61,2))="-",1,0)))</f>
        <v>0</v>
      </c>
      <c r="AF61" s="816">
        <f t="array" ref="AF61">IF($J61="","",SUM(IF(LEFT($AG61:$DA61,1)="X",1,0)))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34</v>
      </c>
      <c r="AK61" s="891" t="s">
        <v>32</v>
      </c>
      <c r="AL61" s="891" t="s">
        <v>3469</v>
      </c>
      <c r="AM61" s="891" t="s">
        <v>32</v>
      </c>
      <c r="AN61" s="891" t="s">
        <v>32</v>
      </c>
      <c r="AO61" s="891" t="s">
        <v>32</v>
      </c>
      <c r="AP61" s="891" t="s">
        <v>1877</v>
      </c>
      <c r="AQ61" s="891" t="s">
        <v>34</v>
      </c>
      <c r="AR61" s="904" t="s">
        <v>34</v>
      </c>
      <c r="AS61" s="891" t="s">
        <v>1877</v>
      </c>
      <c r="AT61" s="891" t="s">
        <v>34</v>
      </c>
      <c r="AU61" s="891" t="s">
        <v>1877</v>
      </c>
      <c r="AV61" s="891" t="s">
        <v>34</v>
      </c>
      <c r="AW61" s="891" t="s">
        <v>32</v>
      </c>
      <c r="AX61" s="891" t="s">
        <v>34</v>
      </c>
      <c r="AY61" s="891" t="s">
        <v>35</v>
      </c>
      <c r="AZ61" s="891" t="s">
        <v>35</v>
      </c>
      <c r="BA61" s="891" t="s">
        <v>3471</v>
      </c>
      <c r="BB61" s="891" t="s">
        <v>32</v>
      </c>
      <c r="BC61" s="891" t="s">
        <v>36</v>
      </c>
      <c r="BD61" s="891" t="s">
        <v>36</v>
      </c>
      <c r="BE61" s="891" t="s">
        <v>3470</v>
      </c>
      <c r="BF61" s="891" t="s">
        <v>34</v>
      </c>
      <c r="BG61" s="891"/>
      <c r="BH61" s="891"/>
      <c r="BI61" s="891"/>
      <c r="BJ61" s="891"/>
      <c r="BK61" s="891"/>
      <c r="BL61" s="891"/>
      <c r="BM61" s="891"/>
      <c r="BN61" s="891"/>
      <c r="BO61" s="891"/>
      <c r="BP61" s="891"/>
      <c r="BQ61" s="891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</row>
    <row r="62" spans="1:86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19</v>
      </c>
      <c r="G62" s="879" t="s">
        <v>885</v>
      </c>
      <c r="H62" s="879" t="s">
        <v>22</v>
      </c>
      <c r="I62" s="879" t="s">
        <v>891</v>
      </c>
      <c r="J62" s="846">
        <v>1</v>
      </c>
      <c r="K62" s="846">
        <v>1</v>
      </c>
      <c r="L62" s="816" t="str">
        <f t="shared" si="30"/>
        <v>D</v>
      </c>
      <c r="M62" s="816">
        <f t="shared" si="31"/>
        <v>2</v>
      </c>
      <c r="N62" s="816" t="str">
        <f t="shared" si="32"/>
        <v>U</v>
      </c>
      <c r="O62" s="816">
        <f t="shared" si="47"/>
        <v>-0.25</v>
      </c>
      <c r="P62" s="829">
        <f t="shared" si="48"/>
        <v>-0.5</v>
      </c>
      <c r="Q62" s="830">
        <v>0.25</v>
      </c>
      <c r="R62" s="871">
        <f t="shared" si="24"/>
        <v>-0.25</v>
      </c>
      <c r="S62" s="830">
        <v>2.5499999999999998</v>
      </c>
      <c r="T62" s="871">
        <f t="shared" si="25"/>
        <v>-0.54999999999999982</v>
      </c>
      <c r="U62" s="868">
        <f t="shared" si="49"/>
        <v>1.4</v>
      </c>
      <c r="V62" s="868">
        <f t="shared" si="50"/>
        <v>1.1499999999999999</v>
      </c>
      <c r="W62" s="829">
        <v>3</v>
      </c>
      <c r="X62" s="829">
        <v>18</v>
      </c>
      <c r="Y62" s="829">
        <v>1</v>
      </c>
      <c r="Z62" s="829">
        <v>2</v>
      </c>
      <c r="AA62" s="829">
        <v>51</v>
      </c>
      <c r="AB62" s="829">
        <v>49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1877</v>
      </c>
      <c r="AH62" s="891" t="s">
        <v>34</v>
      </c>
      <c r="AI62" s="891" t="s">
        <v>32</v>
      </c>
      <c r="AJ62" s="904" t="s">
        <v>34</v>
      </c>
      <c r="AK62" s="891" t="s">
        <v>32</v>
      </c>
      <c r="AL62" s="891" t="s">
        <v>1885</v>
      </c>
      <c r="AM62" s="891" t="s">
        <v>32</v>
      </c>
      <c r="AN62" s="891" t="s">
        <v>32</v>
      </c>
      <c r="AO62" s="891" t="s">
        <v>32</v>
      </c>
      <c r="AP62" s="891" t="s">
        <v>1877</v>
      </c>
      <c r="AQ62" s="904" t="s">
        <v>34</v>
      </c>
      <c r="AR62" s="904" t="s">
        <v>34</v>
      </c>
      <c r="AS62" s="891" t="s">
        <v>1877</v>
      </c>
      <c r="AT62" s="891" t="s">
        <v>34</v>
      </c>
      <c r="AU62" s="891" t="s">
        <v>1877</v>
      </c>
      <c r="AV62" s="891" t="s">
        <v>36</v>
      </c>
      <c r="AW62" s="891" t="s">
        <v>32</v>
      </c>
      <c r="AX62" s="891" t="s">
        <v>34</v>
      </c>
      <c r="AY62" s="891" t="s">
        <v>34</v>
      </c>
      <c r="AZ62" s="891" t="s">
        <v>3482</v>
      </c>
      <c r="BA62" s="891" t="s">
        <v>35</v>
      </c>
      <c r="BB62" s="891" t="s">
        <v>32</v>
      </c>
      <c r="BC62" s="891" t="s">
        <v>36</v>
      </c>
      <c r="BD62" s="891" t="s">
        <v>1877</v>
      </c>
      <c r="BE62" s="904" t="s">
        <v>34</v>
      </c>
      <c r="BF62" s="891" t="s">
        <v>34</v>
      </c>
      <c r="BG62" s="891"/>
      <c r="BH62" s="891"/>
      <c r="BI62" s="891"/>
      <c r="BJ62" s="891"/>
      <c r="BK62" s="891"/>
      <c r="BL62" s="891"/>
      <c r="BM62" s="891"/>
      <c r="BN62" s="891"/>
      <c r="BO62" s="891"/>
      <c r="BP62" s="891"/>
      <c r="BQ62" s="891"/>
      <c r="BR62" s="896"/>
      <c r="BS62" s="897"/>
      <c r="BT62" s="897"/>
      <c r="BU62" s="897"/>
      <c r="BV62" s="897"/>
      <c r="BW62" s="897"/>
      <c r="BX62" s="896"/>
      <c r="BY62" s="896"/>
      <c r="BZ62" s="896"/>
      <c r="CA62" s="896"/>
      <c r="CB62" s="896"/>
      <c r="CC62" s="896"/>
      <c r="CD62" s="896"/>
    </row>
    <row r="63" spans="1:86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6</v>
      </c>
      <c r="G63" s="879" t="s">
        <v>876</v>
      </c>
      <c r="H63" s="879" t="s">
        <v>18</v>
      </c>
      <c r="I63" s="879" t="s">
        <v>891</v>
      </c>
      <c r="J63" s="846">
        <v>1</v>
      </c>
      <c r="K63" s="846">
        <v>2</v>
      </c>
      <c r="L63" s="816" t="str">
        <f t="shared" si="30"/>
        <v>L</v>
      </c>
      <c r="M63" s="816">
        <f t="shared" si="31"/>
        <v>3</v>
      </c>
      <c r="N63" s="816" t="str">
        <f t="shared" si="32"/>
        <v>O</v>
      </c>
      <c r="O63" s="816">
        <f t="shared" si="47"/>
        <v>0.75</v>
      </c>
      <c r="P63" s="829">
        <f t="shared" si="48"/>
        <v>-0.5</v>
      </c>
      <c r="Q63" s="830">
        <v>-0.85</v>
      </c>
      <c r="R63" s="871">
        <f t="shared" si="24"/>
        <v>-0.15000000000000002</v>
      </c>
      <c r="S63" s="830">
        <v>3.03</v>
      </c>
      <c r="T63" s="871">
        <f t="shared" si="25"/>
        <v>-2.9999999999999805E-2</v>
      </c>
      <c r="U63" s="868">
        <f t="shared" si="49"/>
        <v>1.0899999999999999</v>
      </c>
      <c r="V63" s="868">
        <f t="shared" si="50"/>
        <v>1.94</v>
      </c>
      <c r="W63" s="829">
        <v>18</v>
      </c>
      <c r="X63" s="829">
        <v>18</v>
      </c>
      <c r="Y63" s="829">
        <v>4</v>
      </c>
      <c r="Z63" s="829">
        <v>7</v>
      </c>
      <c r="AA63" s="829">
        <v>44</v>
      </c>
      <c r="AB63" s="829">
        <v>56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1877</v>
      </c>
      <c r="AH63" s="891" t="s">
        <v>34</v>
      </c>
      <c r="AI63" s="891" t="s">
        <v>32</v>
      </c>
      <c r="AJ63" s="891" t="s">
        <v>3518</v>
      </c>
      <c r="AK63" s="891" t="s">
        <v>32</v>
      </c>
      <c r="AL63" s="891" t="s">
        <v>1885</v>
      </c>
      <c r="AM63" s="891" t="s">
        <v>32</v>
      </c>
      <c r="AN63" s="891" t="s">
        <v>32</v>
      </c>
      <c r="AO63" s="891" t="s">
        <v>32</v>
      </c>
      <c r="AP63" s="891" t="s">
        <v>34</v>
      </c>
      <c r="AQ63" s="891" t="s">
        <v>34</v>
      </c>
      <c r="AR63" s="891" t="s">
        <v>34</v>
      </c>
      <c r="AS63" s="891" t="s">
        <v>1877</v>
      </c>
      <c r="AT63" s="904" t="s">
        <v>34</v>
      </c>
      <c r="AU63" s="891" t="s">
        <v>1877</v>
      </c>
      <c r="AV63" s="891" t="s">
        <v>34</v>
      </c>
      <c r="AW63" s="891" t="s">
        <v>36</v>
      </c>
      <c r="AX63" s="891" t="s">
        <v>34</v>
      </c>
      <c r="AY63" s="891" t="s">
        <v>35</v>
      </c>
      <c r="AZ63" s="891" t="s">
        <v>35</v>
      </c>
      <c r="BA63" s="891" t="s">
        <v>32</v>
      </c>
      <c r="BB63" s="891" t="s">
        <v>32</v>
      </c>
      <c r="BC63" s="891" t="s">
        <v>1877</v>
      </c>
      <c r="BD63" s="891" t="s">
        <v>1877</v>
      </c>
      <c r="BE63" s="891" t="s">
        <v>3516</v>
      </c>
      <c r="BF63" s="891" t="s">
        <v>34</v>
      </c>
      <c r="BG63" s="891" t="s">
        <v>36</v>
      </c>
      <c r="BH63" s="891"/>
      <c r="BI63" s="891"/>
      <c r="BJ63" s="891"/>
      <c r="BK63" s="891"/>
      <c r="BL63" s="891"/>
      <c r="BM63" s="891"/>
      <c r="BN63" s="891"/>
      <c r="BO63" s="891"/>
      <c r="BP63" s="891"/>
      <c r="BQ63" s="891"/>
      <c r="BR63" s="896"/>
      <c r="BS63" s="897"/>
      <c r="BT63" s="897"/>
      <c r="BU63" s="897"/>
      <c r="BV63" s="897"/>
      <c r="BW63" s="897"/>
      <c r="BX63" s="896"/>
      <c r="BY63" s="896"/>
      <c r="BZ63" s="896"/>
      <c r="CA63" s="896"/>
      <c r="CB63" s="896"/>
      <c r="CC63" s="896"/>
      <c r="CD63" s="896"/>
    </row>
    <row r="64" spans="1:86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20</v>
      </c>
      <c r="G64" s="879" t="s">
        <v>882</v>
      </c>
      <c r="H64" s="879" t="s">
        <v>22</v>
      </c>
      <c r="I64" s="879" t="s">
        <v>891</v>
      </c>
      <c r="J64" s="846">
        <v>0</v>
      </c>
      <c r="K64" s="846">
        <v>1</v>
      </c>
      <c r="L64" s="816" t="str">
        <f t="shared" si="30"/>
        <v>L</v>
      </c>
      <c r="M64" s="816">
        <f t="shared" si="31"/>
        <v>1</v>
      </c>
      <c r="N64" s="816" t="str">
        <f t="shared" si="32"/>
        <v>U</v>
      </c>
      <c r="O64" s="816">
        <f t="shared" si="47"/>
        <v>0</v>
      </c>
      <c r="P64" s="829">
        <f t="shared" si="48"/>
        <v>-1</v>
      </c>
      <c r="Q64" s="830">
        <v>-0.1</v>
      </c>
      <c r="R64" s="871">
        <f t="shared" si="24"/>
        <v>-0.9</v>
      </c>
      <c r="S64" s="830">
        <v>3</v>
      </c>
      <c r="T64" s="871">
        <f t="shared" si="25"/>
        <v>-2</v>
      </c>
      <c r="U64" s="868">
        <f t="shared" si="49"/>
        <v>1.45</v>
      </c>
      <c r="V64" s="868">
        <f t="shared" si="50"/>
        <v>1.55</v>
      </c>
      <c r="W64" s="829">
        <v>11</v>
      </c>
      <c r="X64" s="829">
        <v>8</v>
      </c>
      <c r="Y64" s="829">
        <v>4</v>
      </c>
      <c r="Z64" s="829">
        <v>2</v>
      </c>
      <c r="AA64" s="829">
        <v>47</v>
      </c>
      <c r="AB64" s="829">
        <v>53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1877</v>
      </c>
      <c r="AK64" s="891" t="s">
        <v>32</v>
      </c>
      <c r="AL64" s="891" t="s">
        <v>1885</v>
      </c>
      <c r="AM64" s="891" t="s">
        <v>32</v>
      </c>
      <c r="AN64" s="891" t="s">
        <v>34</v>
      </c>
      <c r="AO64" s="891" t="s">
        <v>36</v>
      </c>
      <c r="AP64" s="891" t="s">
        <v>32</v>
      </c>
      <c r="AQ64" s="891" t="s">
        <v>34</v>
      </c>
      <c r="AR64" s="891" t="s">
        <v>34</v>
      </c>
      <c r="AS64" s="891" t="s">
        <v>35</v>
      </c>
      <c r="AT64" s="891" t="s">
        <v>3562</v>
      </c>
      <c r="AU64" s="891" t="s">
        <v>1877</v>
      </c>
      <c r="AV64" s="891" t="s">
        <v>36</v>
      </c>
      <c r="AW64" s="891" t="s">
        <v>32</v>
      </c>
      <c r="AX64" s="891" t="s">
        <v>34</v>
      </c>
      <c r="AY64" s="891" t="s">
        <v>34</v>
      </c>
      <c r="AZ64" s="891" t="s">
        <v>35</v>
      </c>
      <c r="BA64" s="891" t="s">
        <v>35</v>
      </c>
      <c r="BB64" s="891" t="s">
        <v>36</v>
      </c>
      <c r="BC64" s="891" t="s">
        <v>1877</v>
      </c>
      <c r="BD64" s="891" t="s">
        <v>32</v>
      </c>
      <c r="BE64" s="891" t="s">
        <v>34</v>
      </c>
      <c r="BF64" s="891" t="s">
        <v>34</v>
      </c>
      <c r="BG64" s="891"/>
      <c r="BH64" s="891"/>
      <c r="BI64" s="891"/>
      <c r="BJ64" s="891"/>
      <c r="BK64" s="891"/>
      <c r="BL64" s="891"/>
      <c r="BM64" s="891"/>
      <c r="BN64" s="891"/>
      <c r="BO64" s="891"/>
      <c r="BP64" s="891"/>
      <c r="BQ64" s="891"/>
      <c r="BR64" s="896"/>
      <c r="BS64" s="897"/>
      <c r="BT64" s="897"/>
      <c r="BU64" s="897"/>
      <c r="BV64" s="897"/>
      <c r="BW64" s="897"/>
      <c r="BX64" s="896"/>
      <c r="BY64" s="896"/>
      <c r="BZ64" s="896"/>
      <c r="CA64" s="896"/>
      <c r="CB64" s="896"/>
      <c r="CC64" s="896"/>
      <c r="CD64" s="896"/>
    </row>
    <row r="65" spans="1:82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</v>
      </c>
      <c r="G65" s="879" t="s">
        <v>1086</v>
      </c>
      <c r="H65" s="879" t="s">
        <v>18</v>
      </c>
      <c r="I65" s="879" t="s">
        <v>891</v>
      </c>
      <c r="J65" s="846">
        <v>1</v>
      </c>
      <c r="K65" s="846">
        <v>1</v>
      </c>
      <c r="L65" s="816" t="str">
        <f t="shared" si="30"/>
        <v>D</v>
      </c>
      <c r="M65" s="816">
        <f t="shared" si="31"/>
        <v>2</v>
      </c>
      <c r="N65" s="816" t="str">
        <f t="shared" si="32"/>
        <v>U</v>
      </c>
      <c r="O65" s="816">
        <f t="shared" si="47"/>
        <v>0.5</v>
      </c>
      <c r="P65" s="829">
        <f t="shared" si="48"/>
        <v>1</v>
      </c>
      <c r="Q65" s="830">
        <v>-0.7</v>
      </c>
      <c r="R65" s="871">
        <f t="shared" si="24"/>
        <v>0.7</v>
      </c>
      <c r="S65" s="830">
        <v>2.73</v>
      </c>
      <c r="T65" s="871">
        <f t="shared" si="25"/>
        <v>-0.73</v>
      </c>
      <c r="U65" s="868">
        <f t="shared" si="49"/>
        <v>1.0150000000000001</v>
      </c>
      <c r="V65" s="868">
        <f t="shared" si="50"/>
        <v>1.7149999999999999</v>
      </c>
      <c r="W65" s="829">
        <v>16</v>
      </c>
      <c r="X65" s="829">
        <v>10</v>
      </c>
      <c r="Y65" s="829">
        <v>6</v>
      </c>
      <c r="Z65" s="829">
        <v>3</v>
      </c>
      <c r="AA65" s="829">
        <v>44</v>
      </c>
      <c r="AB65" s="829">
        <v>56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1877</v>
      </c>
      <c r="AH65" s="891" t="s">
        <v>34</v>
      </c>
      <c r="AI65" s="891" t="s">
        <v>32</v>
      </c>
      <c r="AJ65" s="891" t="s">
        <v>32</v>
      </c>
      <c r="AK65" s="891" t="s">
        <v>32</v>
      </c>
      <c r="AL65" s="891" t="s">
        <v>34</v>
      </c>
      <c r="AM65" s="891" t="s">
        <v>32</v>
      </c>
      <c r="AN65" s="891" t="s">
        <v>32</v>
      </c>
      <c r="AO65" s="891" t="s">
        <v>1877</v>
      </c>
      <c r="AP65" s="891" t="s">
        <v>32</v>
      </c>
      <c r="AQ65" s="891" t="s">
        <v>34</v>
      </c>
      <c r="AR65" s="891" t="s">
        <v>34</v>
      </c>
      <c r="AS65" s="891" t="s">
        <v>32</v>
      </c>
      <c r="AT65" s="891" t="s">
        <v>34</v>
      </c>
      <c r="AU65" s="891" t="s">
        <v>1877</v>
      </c>
      <c r="AV65" s="891" t="s">
        <v>34</v>
      </c>
      <c r="AW65" s="891" t="s">
        <v>32</v>
      </c>
      <c r="AX65" s="891" t="s">
        <v>34</v>
      </c>
      <c r="AY65" s="891" t="s">
        <v>35</v>
      </c>
      <c r="AZ65" s="891" t="s">
        <v>35</v>
      </c>
      <c r="BA65" s="891" t="s">
        <v>35</v>
      </c>
      <c r="BB65" s="891" t="s">
        <v>36</v>
      </c>
      <c r="BC65" s="891" t="s">
        <v>36</v>
      </c>
      <c r="BD65" s="891" t="s">
        <v>32</v>
      </c>
      <c r="BE65" s="891" t="s">
        <v>1877</v>
      </c>
      <c r="BF65" s="891" t="s">
        <v>3571</v>
      </c>
      <c r="BG65" s="891" t="s">
        <v>36</v>
      </c>
      <c r="BH65" s="891"/>
      <c r="BI65" s="891"/>
      <c r="BJ65" s="891"/>
      <c r="BK65" s="891"/>
      <c r="BL65" s="891"/>
      <c r="BM65" s="891"/>
      <c r="BN65" s="891"/>
      <c r="BO65" s="891"/>
      <c r="BP65" s="891"/>
      <c r="BQ65" s="891"/>
      <c r="BR65" s="896"/>
      <c r="BS65" s="897"/>
      <c r="BT65" s="897"/>
      <c r="BU65" s="897"/>
      <c r="BV65" s="897"/>
      <c r="BW65" s="897"/>
      <c r="BX65" s="896"/>
      <c r="BY65" s="896"/>
      <c r="BZ65" s="896"/>
      <c r="CA65" s="896"/>
      <c r="CB65" s="896"/>
      <c r="CC65" s="896"/>
      <c r="CD65" s="896"/>
    </row>
    <row r="66" spans="1:82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25"/>
        <v/>
      </c>
      <c r="U66" s="868" t="str">
        <f t="shared" si="49"/>
        <v/>
      </c>
      <c r="V66" s="868" t="str">
        <f t="shared" si="50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IF($J66="","",IF(SUM(IF(ISNUMBER(VALUE(RIGHT($AG66:$CI66,1))),VALUE(RIGHT($AG66:$CI66,1)),0))=$J66,"T","F"))</f>
        <v/>
      </c>
      <c r="AE66" s="831" t="str">
        <f t="array" ref="AE66">IF($J66="","",SUM(IF(LEFT($AG66:$DU66,1)="s",1,0))-SUM(IF(RIGHT(LEFT($AG66:$DU66,2))="-",1,0)))</f>
        <v/>
      </c>
      <c r="AF66" s="816" t="str">
        <f t="array" ref="AF66">IF($J66="","",SUM(IF(LEFT($AG66:$DA66,1)="X",1,0)))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1"/>
      <c r="BQ66" s="891"/>
      <c r="BR66" s="896"/>
      <c r="BS66" s="897"/>
      <c r="BT66" s="897"/>
      <c r="BU66" s="897"/>
      <c r="BV66" s="897"/>
      <c r="BW66" s="897"/>
      <c r="BX66" s="896"/>
      <c r="BY66" s="896"/>
      <c r="BZ66" s="896"/>
      <c r="CA66" s="896"/>
      <c r="CB66" s="896"/>
      <c r="CC66" s="896"/>
      <c r="CD66" s="896"/>
    </row>
    <row r="67" spans="1:82" ht="15">
      <c r="A67" s="843"/>
      <c r="E67" s="816"/>
      <c r="G67" s="828"/>
      <c r="H67" s="828"/>
      <c r="I67" s="828"/>
      <c r="J67" s="428"/>
      <c r="K67" s="428"/>
      <c r="T67" s="871"/>
      <c r="U67" s="829"/>
      <c r="V67" s="829"/>
      <c r="W67" s="829"/>
      <c r="X67" s="829"/>
      <c r="Y67" s="829"/>
      <c r="Z67" s="829"/>
      <c r="AA67" s="829"/>
      <c r="AB67" s="829"/>
      <c r="AC67" s="829"/>
      <c r="AE67" s="831"/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6"/>
      <c r="BS67" s="897"/>
      <c r="BT67" s="897"/>
      <c r="BU67" s="897"/>
      <c r="BV67" s="897"/>
      <c r="BW67" s="897"/>
      <c r="BX67" s="896"/>
      <c r="BY67" s="896"/>
      <c r="BZ67" s="896"/>
      <c r="CA67" s="896"/>
      <c r="CB67" s="896"/>
      <c r="CC67" s="896"/>
      <c r="CD67" s="896"/>
    </row>
    <row r="68" spans="1:82" ht="15">
      <c r="A68" s="843"/>
      <c r="E68" s="816"/>
      <c r="G68" s="828"/>
      <c r="H68" s="828"/>
      <c r="I68" s="828"/>
      <c r="J68" s="428"/>
      <c r="K68" s="428"/>
      <c r="T68" s="829"/>
      <c r="U68" s="829"/>
      <c r="V68" s="829"/>
      <c r="W68" s="829"/>
      <c r="X68" s="829"/>
      <c r="Y68" s="829"/>
      <c r="Z68" s="829"/>
      <c r="AA68" s="829"/>
      <c r="AB68" s="829"/>
      <c r="AC68" s="829"/>
      <c r="AE68" s="831"/>
      <c r="AG68" s="896"/>
      <c r="AH68" s="896"/>
      <c r="AI68" s="896"/>
      <c r="AJ68" s="893"/>
      <c r="AK68" s="896"/>
      <c r="AL68" s="896"/>
      <c r="AM68" s="896"/>
      <c r="AN68" s="896"/>
      <c r="AO68" s="896"/>
      <c r="AP68" s="896"/>
      <c r="AQ68" s="896"/>
      <c r="AR68" s="896"/>
      <c r="AS68" s="896"/>
      <c r="AT68" s="896"/>
      <c r="AU68" s="896"/>
      <c r="AV68" s="896"/>
      <c r="AW68" s="896"/>
      <c r="AX68" s="896"/>
      <c r="AY68" s="896"/>
      <c r="AZ68" s="896"/>
      <c r="BA68" s="896"/>
      <c r="BB68" s="896"/>
      <c r="BC68" s="893"/>
      <c r="BD68" s="893"/>
      <c r="BE68" s="893"/>
      <c r="BF68" s="893"/>
      <c r="BG68" s="896"/>
      <c r="BH68" s="896"/>
      <c r="BI68" s="896"/>
      <c r="BJ68" s="896"/>
      <c r="BK68" s="893"/>
      <c r="BL68" s="896"/>
      <c r="BM68" s="896"/>
      <c r="BN68" s="896"/>
      <c r="BO68" s="896"/>
      <c r="BP68" s="893"/>
      <c r="BQ68" s="896"/>
      <c r="BR68" s="896"/>
      <c r="BS68" s="897"/>
      <c r="BT68" s="897"/>
      <c r="BU68" s="897"/>
      <c r="BV68" s="897"/>
      <c r="BW68" s="897"/>
      <c r="BX68" s="896"/>
      <c r="BY68" s="896"/>
      <c r="BZ68" s="896"/>
      <c r="CA68" s="896"/>
      <c r="CB68" s="896"/>
      <c r="CC68" s="896"/>
      <c r="CD68" s="896"/>
    </row>
    <row r="69" spans="1:82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6"/>
      <c r="AH69" s="896"/>
      <c r="AI69" s="896"/>
      <c r="AJ69" s="893"/>
      <c r="AK69" s="896"/>
      <c r="AL69" s="896"/>
      <c r="AM69" s="896"/>
      <c r="AN69" s="896"/>
      <c r="AO69" s="896"/>
      <c r="AP69" s="896"/>
      <c r="AQ69" s="896"/>
      <c r="AR69" s="896"/>
      <c r="AS69" s="896"/>
      <c r="AT69" s="896"/>
      <c r="AU69" s="896"/>
      <c r="AV69" s="896"/>
      <c r="AW69" s="896"/>
      <c r="AX69" s="896"/>
      <c r="AY69" s="896"/>
      <c r="AZ69" s="896"/>
      <c r="BA69" s="896"/>
      <c r="BB69" s="896"/>
      <c r="BC69" s="893"/>
      <c r="BD69" s="893"/>
      <c r="BE69" s="893"/>
      <c r="BF69" s="893"/>
      <c r="BG69" s="896"/>
      <c r="BH69" s="896"/>
      <c r="BI69" s="896"/>
      <c r="BJ69" s="896"/>
      <c r="BK69" s="893"/>
      <c r="BL69" s="896"/>
      <c r="BM69" s="896"/>
      <c r="BN69" s="896"/>
      <c r="BO69" s="896"/>
      <c r="BP69" s="893"/>
      <c r="BQ69" s="896"/>
      <c r="BR69" s="896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43"/>
      <c r="D70" s="816" t="str">
        <f>IF(I70=Table!$C$1,VLOOKUP(G70,Table!$B$38:$AO$61,Table!$AO$35-1,FALSE),"")</f>
        <v/>
      </c>
      <c r="E70" s="816"/>
      <c r="F70" s="816" t="str">
        <f>IF(I70="","",IF(I70=Table!$C$1,VLOOKUP(G70,Table!$B$9:$AE$32,Table!$AE$6-1,FALSE),""))</f>
        <v/>
      </c>
      <c r="G70" s="828"/>
      <c r="H70" s="828"/>
      <c r="I70" s="828"/>
      <c r="J70" s="428"/>
      <c r="K70" s="428"/>
      <c r="L70" s="816" t="str">
        <f t="shared" ref="L70:L127" si="51">IF(J70="","",IF(J70&gt;K70,"W",IF(J70=K70,"D",IF(J70&lt;K70,"L"))))</f>
        <v/>
      </c>
      <c r="M70" s="816" t="str">
        <f t="shared" ref="M70:M127" si="52">IF(J70="","",J70+K70)</f>
        <v/>
      </c>
      <c r="N70" s="816" t="str">
        <f t="shared" ref="N70:N127" si="53">IF($J70="","",IF($M70&gt;N$19,"O",IF($M70&lt;N$19,"U",IF($M70=N$19,"-"))))</f>
        <v/>
      </c>
      <c r="R70" s="816" t="str">
        <f t="shared" ref="R70:R127" si="54">IF(ISBLANK(Q70),"",J70-K70-Q70)</f>
        <v/>
      </c>
      <c r="T70" s="829" t="str">
        <f t="shared" ref="T70:T127" si="55">IF(ISBLANK(S70),"",J70+K70-S70)</f>
        <v/>
      </c>
      <c r="U70" s="829"/>
      <c r="V70" s="829"/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IF($J70="","",IF(SUM(IF(ISNUMBER(VALUE(RIGHT($AG70:$CI70,1))),VALUE(RIGHT($AG70:$CI70,1)),0))=$J70,"T","F"))</f>
        <v/>
      </c>
      <c r="AE70" s="831" t="str">
        <f t="array" ref="AE70">IF($J70="","",SUM(IF(LEFT($AG70:$DU70,1)="s",1,0))-SUM(IF(RIGHT(LEFT($AG70:$DU70,2))="-",1,0)))</f>
        <v/>
      </c>
      <c r="AF70" s="816" t="str">
        <f t="array" ref="AF70">IF($J70="","",SUM(IF(LEFT($AG70:$DA70,1)="X",1,0)))</f>
        <v/>
      </c>
      <c r="AG70" s="897"/>
      <c r="AH70" s="897"/>
      <c r="AI70" s="897"/>
      <c r="AJ70" s="893"/>
      <c r="AK70" s="897"/>
      <c r="AL70" s="897"/>
      <c r="AM70" s="897"/>
      <c r="AN70" s="897"/>
      <c r="AO70" s="897"/>
      <c r="AP70" s="897"/>
      <c r="AQ70" s="897"/>
      <c r="AR70" s="897"/>
      <c r="AS70" s="897"/>
      <c r="AT70" s="897"/>
      <c r="AU70" s="896"/>
      <c r="AV70" s="897"/>
      <c r="AW70" s="897"/>
      <c r="AX70" s="897"/>
      <c r="AY70" s="897"/>
      <c r="AZ70" s="897"/>
      <c r="BA70" s="896"/>
      <c r="BB70" s="897"/>
      <c r="BC70" s="893"/>
      <c r="BD70" s="893"/>
      <c r="BE70" s="893"/>
      <c r="BF70" s="893"/>
      <c r="BG70" s="897"/>
      <c r="BH70" s="897"/>
      <c r="BI70" s="897"/>
      <c r="BJ70" s="897"/>
      <c r="BK70" s="893"/>
      <c r="BL70" s="897"/>
      <c r="BM70" s="897"/>
      <c r="BN70" s="897"/>
      <c r="BO70" s="897"/>
      <c r="BP70" s="893"/>
      <c r="BQ70" s="897"/>
      <c r="BR70" s="897"/>
      <c r="BS70" s="897"/>
      <c r="BT70" s="897"/>
      <c r="BU70" s="897"/>
      <c r="BV70" s="897"/>
      <c r="BW70" s="897"/>
      <c r="BX70" s="897"/>
      <c r="BY70" s="897"/>
      <c r="BZ70" s="897"/>
      <c r="CA70" s="897"/>
      <c r="CB70" s="897"/>
      <c r="CC70" s="897"/>
      <c r="CD70" s="897"/>
    </row>
    <row r="71" spans="1:82" ht="15">
      <c r="A71" s="843"/>
      <c r="D71" s="816" t="str">
        <f>IF(I71=Table!$C$1,VLOOKUP(G71,Table!$B$38:$AO$61,Table!$AO$35-1,FALSE),"")</f>
        <v/>
      </c>
      <c r="E71" s="816"/>
      <c r="F71" s="816" t="str">
        <f>IF(I71="","",IF(I71=Table!$C$1,VLOOKUP(G71,Table!$B$9:$AE$32,Table!$AE$6-1,FALSE),""))</f>
        <v/>
      </c>
      <c r="G71" s="828"/>
      <c r="H71" s="828"/>
      <c r="I71" s="828"/>
      <c r="J71" s="428"/>
      <c r="K71" s="428"/>
      <c r="L71" s="816" t="str">
        <f t="shared" si="51"/>
        <v/>
      </c>
      <c r="M71" s="816" t="str">
        <f t="shared" si="52"/>
        <v/>
      </c>
      <c r="N71" s="816" t="str">
        <f t="shared" si="53"/>
        <v/>
      </c>
      <c r="R71" s="816" t="str">
        <f t="shared" si="54"/>
        <v/>
      </c>
      <c r="T71" s="829" t="str">
        <f t="shared" si="55"/>
        <v/>
      </c>
      <c r="U71" s="829"/>
      <c r="V71" s="829"/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IF($J71="","",IF(SUM(IF(ISNUMBER(VALUE(RIGHT($AG71:$CI71,1))),VALUE(RIGHT($AG71:$CI71,1)),0))=$J71,"T","F"))</f>
        <v/>
      </c>
      <c r="AE71" s="831" t="str">
        <f t="array" ref="AE71">IF($J71="","",SUM(IF(LEFT($AG71:$DU71,1)="s",1,0))-SUM(IF(RIGHT(LEFT($AG71:$DU71,2))="-",1,0)))</f>
        <v/>
      </c>
      <c r="AF71" s="816" t="str">
        <f t="array" ref="AF71">IF($J71="","",SUM(IF(LEFT($AG71:$DA71,1)="X",1,0)))</f>
        <v/>
      </c>
      <c r="AG71" s="897"/>
      <c r="AH71" s="897"/>
      <c r="AI71" s="897"/>
      <c r="AJ71" s="893"/>
      <c r="AK71" s="897"/>
      <c r="AL71" s="897"/>
      <c r="AM71" s="897"/>
      <c r="AN71" s="897"/>
      <c r="AO71" s="897"/>
      <c r="AP71" s="897"/>
      <c r="AQ71" s="897"/>
      <c r="AR71" s="897"/>
      <c r="AS71" s="897"/>
      <c r="AT71" s="897"/>
      <c r="AU71" s="896"/>
      <c r="AV71" s="897"/>
      <c r="AW71" s="897"/>
      <c r="AX71" s="897"/>
      <c r="AY71" s="897"/>
      <c r="AZ71" s="897"/>
      <c r="BA71" s="896"/>
      <c r="BB71" s="897"/>
      <c r="BC71" s="893"/>
      <c r="BD71" s="893"/>
      <c r="BE71" s="893"/>
      <c r="BF71" s="893"/>
      <c r="BG71" s="897"/>
      <c r="BH71" s="897"/>
      <c r="BI71" s="897"/>
      <c r="BJ71" s="897"/>
      <c r="BK71" s="893"/>
      <c r="BL71" s="897"/>
      <c r="BM71" s="897"/>
      <c r="BN71" s="897"/>
      <c r="BO71" s="897"/>
      <c r="BP71" s="893"/>
      <c r="BQ71" s="897"/>
      <c r="BR71" s="897"/>
      <c r="BS71" s="897"/>
      <c r="BT71" s="897"/>
      <c r="BU71" s="897"/>
      <c r="BV71" s="897"/>
      <c r="BW71" s="897"/>
      <c r="BX71" s="897"/>
      <c r="BY71" s="897"/>
      <c r="BZ71" s="897"/>
      <c r="CA71" s="897"/>
      <c r="CB71" s="897"/>
      <c r="CC71" s="897"/>
      <c r="CD71" s="897"/>
    </row>
    <row r="72" spans="1:82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si="51"/>
        <v/>
      </c>
      <c r="M72" s="816" t="str">
        <f t="shared" si="52"/>
        <v/>
      </c>
      <c r="N72" s="816" t="str">
        <f t="shared" si="53"/>
        <v/>
      </c>
      <c r="R72" s="816" t="str">
        <f t="shared" si="54"/>
        <v/>
      </c>
      <c r="T72" s="829" t="str">
        <f t="shared" si="55"/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IF($J72="","",IF(SUM(IF(ISNUMBER(VALUE(RIGHT($AG72:$CI72,1))),VALUE(RIGHT($AG72:$CI72,1)),0))=$J72,"T","F"))</f>
        <v/>
      </c>
      <c r="AE72" s="831" t="str">
        <f t="array" ref="AE72">IF($J72="","",SUM(IF(LEFT($AG72:$DU72,1)="s",1,0))-SUM(IF(RIGHT(LEFT($AG72:$DU72,2))="-",1,0)))</f>
        <v/>
      </c>
      <c r="AF72" s="816" t="str">
        <f t="array" ref="AF72">IF($J72="","",SUM(IF(LEFT($AG72:$DA72,1)="X",1,0)))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6"/>
      <c r="AV72" s="897"/>
      <c r="AW72" s="897"/>
      <c r="AX72" s="897"/>
      <c r="AY72" s="897"/>
      <c r="AZ72" s="897"/>
      <c r="BA72" s="896"/>
      <c r="BB72" s="897"/>
      <c r="BC72" s="893"/>
      <c r="BD72" s="893"/>
      <c r="BE72" s="893"/>
      <c r="BF72" s="893"/>
      <c r="BG72" s="897"/>
      <c r="BH72" s="897"/>
      <c r="BI72" s="897"/>
      <c r="BJ72" s="897"/>
      <c r="BK72" s="893"/>
      <c r="BL72" s="897"/>
      <c r="BM72" s="897"/>
      <c r="BN72" s="897"/>
      <c r="BO72" s="897"/>
      <c r="BP72" s="893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  <c r="CD72" s="897"/>
    </row>
    <row r="73" spans="1:82" ht="15">
      <c r="A73" s="844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230"/>
      <c r="H73" s="230"/>
      <c r="I73" s="230"/>
      <c r="J73" s="428"/>
      <c r="K73" s="428"/>
      <c r="L73" s="816" t="str">
        <f t="shared" si="51"/>
        <v/>
      </c>
      <c r="M73" s="816" t="str">
        <f t="shared" si="52"/>
        <v/>
      </c>
      <c r="N73" s="816" t="str">
        <f t="shared" si="53"/>
        <v/>
      </c>
      <c r="R73" s="816" t="str">
        <f t="shared" si="54"/>
        <v/>
      </c>
      <c r="T73" s="829" t="str">
        <f t="shared" si="55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IF($J73="","",IF(SUM(IF(ISNUMBER(VALUE(RIGHT($AG73:$CI73,1))),VALUE(RIGHT($AG73:$CI73,1)),0))=$J73,"T","F"))</f>
        <v/>
      </c>
      <c r="AE73" s="831" t="str">
        <f t="array" ref="AE73">IF($J73="","",SUM(IF(LEFT($AG73:$DU73,1)="s",1,0))-SUM(IF(RIGHT(LEFT($AG73:$DU73,2))="-",1,0)))</f>
        <v/>
      </c>
      <c r="AF73" s="816" t="str">
        <f t="array" ref="AF73">IF($J73="","",SUM(IF(LEFT($AG73:$DA73,1)="X",1,0)))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6"/>
      <c r="AV73" s="897"/>
      <c r="AW73" s="897"/>
      <c r="AX73" s="897"/>
      <c r="AY73" s="897"/>
      <c r="AZ73" s="897"/>
      <c r="BA73" s="896"/>
      <c r="BB73" s="897"/>
      <c r="BC73" s="893"/>
      <c r="BD73" s="893"/>
      <c r="BE73" s="893"/>
      <c r="BF73" s="893"/>
      <c r="BG73" s="897"/>
      <c r="BH73" s="897"/>
      <c r="BI73" s="897"/>
      <c r="BJ73" s="897"/>
      <c r="BK73" s="893"/>
      <c r="BL73" s="897"/>
      <c r="BM73" s="897"/>
      <c r="BN73" s="897"/>
      <c r="BO73" s="897"/>
      <c r="BP73" s="893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</row>
    <row r="74" spans="1:82" ht="15">
      <c r="A74" s="844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230"/>
      <c r="H74" s="230"/>
      <c r="I74" s="230"/>
      <c r="J74" s="428"/>
      <c r="K74" s="428"/>
      <c r="L74" s="816" t="str">
        <f t="shared" si="51"/>
        <v/>
      </c>
      <c r="M74" s="816" t="str">
        <f t="shared" si="52"/>
        <v/>
      </c>
      <c r="N74" s="816" t="str">
        <f t="shared" si="53"/>
        <v/>
      </c>
      <c r="R74" s="816" t="str">
        <f t="shared" si="54"/>
        <v/>
      </c>
      <c r="T74" s="829" t="str">
        <f t="shared" si="55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IF($J74="","",IF(SUM(IF(ISNUMBER(VALUE(RIGHT($AG74:$CI74,1))),VALUE(RIGHT($AG74:$CI74,1)),0))=$J74,"T","F"))</f>
        <v/>
      </c>
      <c r="AE74" s="831" t="str">
        <f t="array" ref="AE74">IF($J74="","",SUM(IF(LEFT($AG74:$DU74,1)="s",1,0))-SUM(IF(RIGHT(LEFT($AG74:$DU74,2))="-",1,0)))</f>
        <v/>
      </c>
      <c r="AF74" s="816" t="str">
        <f t="array" ref="AF74">IF($J74="","",SUM(IF(LEFT($AG74:$DA74,1)="X",1,0)))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3"/>
      <c r="BD74" s="893"/>
      <c r="BE74" s="893"/>
      <c r="BF74" s="893"/>
      <c r="BG74" s="897"/>
      <c r="BH74" s="897"/>
      <c r="BI74" s="897"/>
      <c r="BJ74" s="897"/>
      <c r="BK74" s="893"/>
      <c r="BL74" s="897"/>
      <c r="BM74" s="897"/>
      <c r="BN74" s="897"/>
      <c r="BO74" s="897"/>
      <c r="BP74" s="893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</row>
    <row r="75" spans="1:82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230"/>
      <c r="K75" s="230"/>
      <c r="L75" s="816" t="str">
        <f t="shared" si="51"/>
        <v/>
      </c>
      <c r="M75" s="816" t="str">
        <f t="shared" si="52"/>
        <v/>
      </c>
      <c r="N75" s="816" t="str">
        <f t="shared" si="53"/>
        <v/>
      </c>
      <c r="R75" s="816" t="str">
        <f t="shared" si="54"/>
        <v/>
      </c>
      <c r="T75" s="829" t="str">
        <f t="shared" si="55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3"/>
      <c r="BD75" s="893"/>
      <c r="BE75" s="893"/>
      <c r="BF75" s="893"/>
      <c r="BG75" s="897"/>
      <c r="BH75" s="897"/>
      <c r="BI75" s="897"/>
      <c r="BJ75" s="897"/>
      <c r="BK75" s="893"/>
      <c r="BL75" s="897"/>
      <c r="BM75" s="897"/>
      <c r="BN75" s="897"/>
      <c r="BO75" s="897"/>
      <c r="BP75" s="893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</row>
    <row r="76" spans="1:82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230"/>
      <c r="K76" s="230"/>
      <c r="L76" s="816" t="str">
        <f t="shared" si="51"/>
        <v/>
      </c>
      <c r="M76" s="816" t="str">
        <f t="shared" si="52"/>
        <v/>
      </c>
      <c r="N76" s="816" t="str">
        <f t="shared" si="53"/>
        <v/>
      </c>
      <c r="R76" s="816" t="str">
        <f t="shared" si="54"/>
        <v/>
      </c>
      <c r="T76" s="829" t="str">
        <f t="shared" si="55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3"/>
      <c r="BD76" s="893"/>
      <c r="BE76" s="893"/>
      <c r="BF76" s="893"/>
      <c r="BG76" s="897"/>
      <c r="BH76" s="897"/>
      <c r="BI76" s="897"/>
      <c r="BJ76" s="897"/>
      <c r="BK76" s="893"/>
      <c r="BL76" s="897"/>
      <c r="BM76" s="897"/>
      <c r="BN76" s="897"/>
      <c r="BO76" s="897"/>
      <c r="BP76" s="893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</row>
    <row r="77" spans="1:82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1"/>
        <v/>
      </c>
      <c r="M77" s="816" t="str">
        <f t="shared" si="52"/>
        <v/>
      </c>
      <c r="N77" s="816" t="str">
        <f t="shared" si="53"/>
        <v/>
      </c>
      <c r="R77" s="816" t="str">
        <f t="shared" si="54"/>
        <v/>
      </c>
      <c r="T77" s="829" t="str">
        <f t="shared" si="55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3"/>
      <c r="BD77" s="893"/>
      <c r="BE77" s="893"/>
      <c r="BF77" s="893"/>
      <c r="BG77" s="897"/>
      <c r="BH77" s="897"/>
      <c r="BI77" s="897"/>
      <c r="BJ77" s="897"/>
      <c r="BK77" s="893"/>
      <c r="BL77" s="897"/>
      <c r="BM77" s="897"/>
      <c r="BN77" s="897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 t="s">
        <v>32</v>
      </c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1"/>
        <v/>
      </c>
      <c r="M78" s="816" t="str">
        <f t="shared" si="52"/>
        <v/>
      </c>
      <c r="N78" s="816" t="str">
        <f t="shared" si="53"/>
        <v/>
      </c>
      <c r="R78" s="816" t="str">
        <f t="shared" si="54"/>
        <v/>
      </c>
      <c r="T78" s="829" t="str">
        <f t="shared" si="55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3"/>
      <c r="BD78" s="893"/>
      <c r="BE78" s="893"/>
      <c r="BF78" s="893"/>
      <c r="BG78" s="897"/>
      <c r="BH78" s="897"/>
      <c r="BI78" s="897"/>
      <c r="BJ78" s="897"/>
      <c r="BK78" s="893"/>
      <c r="BL78" s="897"/>
      <c r="BM78" s="897"/>
      <c r="BN78" s="897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 t="s">
        <v>32</v>
      </c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1"/>
        <v/>
      </c>
      <c r="M79" s="816" t="str">
        <f t="shared" si="52"/>
        <v/>
      </c>
      <c r="N79" s="816" t="str">
        <f t="shared" si="53"/>
        <v/>
      </c>
      <c r="R79" s="816" t="str">
        <f t="shared" si="54"/>
        <v/>
      </c>
      <c r="T79" s="829" t="str">
        <f t="shared" si="55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3"/>
      <c r="BD79" s="893"/>
      <c r="BE79" s="893"/>
      <c r="BF79" s="893"/>
      <c r="BG79" s="897"/>
      <c r="BH79" s="897"/>
      <c r="BI79" s="897"/>
      <c r="BJ79" s="897"/>
      <c r="BK79" s="893"/>
      <c r="BL79" s="897"/>
      <c r="BM79" s="897"/>
      <c r="BN79" s="897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1"/>
        <v/>
      </c>
      <c r="M80" s="816" t="str">
        <f t="shared" si="52"/>
        <v/>
      </c>
      <c r="N80" s="816" t="str">
        <f t="shared" si="53"/>
        <v/>
      </c>
      <c r="R80" s="816" t="str">
        <f t="shared" si="54"/>
        <v/>
      </c>
      <c r="T80" s="829" t="str">
        <f t="shared" si="55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3"/>
      <c r="BD80" s="893"/>
      <c r="BE80" s="893"/>
      <c r="BF80" s="893"/>
      <c r="BG80" s="897"/>
      <c r="BH80" s="897"/>
      <c r="BI80" s="897"/>
      <c r="BJ80" s="897"/>
      <c r="BK80" s="893"/>
      <c r="BL80" s="897"/>
      <c r="BM80" s="897"/>
      <c r="BN80" s="897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1"/>
        <v/>
      </c>
      <c r="M81" s="816" t="str">
        <f t="shared" si="52"/>
        <v/>
      </c>
      <c r="N81" s="816" t="str">
        <f t="shared" si="53"/>
        <v/>
      </c>
      <c r="R81" s="816" t="str">
        <f t="shared" si="54"/>
        <v/>
      </c>
      <c r="T81" s="829" t="str">
        <f t="shared" si="55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3"/>
      <c r="BD81" s="893"/>
      <c r="BE81" s="893"/>
      <c r="BF81" s="893"/>
      <c r="BG81" s="897"/>
      <c r="BH81" s="897"/>
      <c r="BI81" s="897"/>
      <c r="BJ81" s="897"/>
      <c r="BK81" s="893"/>
      <c r="BL81" s="897"/>
      <c r="BM81" s="897"/>
      <c r="BN81" s="897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1"/>
        <v/>
      </c>
      <c r="M82" s="816" t="str">
        <f t="shared" si="52"/>
        <v/>
      </c>
      <c r="N82" s="816" t="str">
        <f t="shared" si="53"/>
        <v/>
      </c>
      <c r="R82" s="816" t="str">
        <f t="shared" si="54"/>
        <v/>
      </c>
      <c r="T82" s="829" t="str">
        <f t="shared" si="55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3"/>
      <c r="BD82" s="893"/>
      <c r="BE82" s="893"/>
      <c r="BF82" s="893"/>
      <c r="BG82" s="897"/>
      <c r="BH82" s="897"/>
      <c r="BI82" s="897"/>
      <c r="BJ82" s="897"/>
      <c r="BK82" s="893"/>
      <c r="BL82" s="897"/>
      <c r="BM82" s="897"/>
      <c r="BN82" s="897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787"/>
      <c r="H83" s="833"/>
      <c r="I83" s="833"/>
      <c r="J83" s="833"/>
      <c r="K83" s="833"/>
      <c r="L83" s="816" t="str">
        <f t="shared" si="51"/>
        <v/>
      </c>
      <c r="M83" s="816" t="str">
        <f t="shared" si="52"/>
        <v/>
      </c>
      <c r="N83" s="816" t="str">
        <f t="shared" si="53"/>
        <v/>
      </c>
      <c r="R83" s="816" t="str">
        <f t="shared" si="54"/>
        <v/>
      </c>
      <c r="T83" s="829" t="str">
        <f t="shared" si="55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3"/>
      <c r="BD83" s="893"/>
      <c r="BE83" s="893"/>
      <c r="BF83" s="893"/>
      <c r="BG83" s="897"/>
      <c r="BH83" s="897"/>
      <c r="BI83" s="897"/>
      <c r="BJ83" s="897"/>
      <c r="BK83" s="893"/>
      <c r="BL83" s="897"/>
      <c r="BM83" s="897"/>
      <c r="BN83" s="897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5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833"/>
      <c r="H84" s="833"/>
      <c r="I84" s="833"/>
      <c r="J84" s="833"/>
      <c r="K84" s="833"/>
      <c r="L84" s="816" t="str">
        <f t="shared" si="51"/>
        <v/>
      </c>
      <c r="M84" s="816" t="str">
        <f t="shared" si="52"/>
        <v/>
      </c>
      <c r="N84" s="816" t="str">
        <f t="shared" si="53"/>
        <v/>
      </c>
      <c r="R84" s="816" t="str">
        <f t="shared" si="54"/>
        <v/>
      </c>
      <c r="T84" s="829" t="str">
        <f t="shared" si="55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3"/>
      <c r="BD84" s="893"/>
      <c r="BE84" s="893"/>
      <c r="BF84" s="893"/>
      <c r="BG84" s="897"/>
      <c r="BH84" s="897"/>
      <c r="BI84" s="897"/>
      <c r="BJ84" s="897"/>
      <c r="BK84" s="893"/>
      <c r="BL84" s="897"/>
      <c r="BM84" s="897"/>
      <c r="BN84" s="897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5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833"/>
      <c r="H85" s="833"/>
      <c r="I85" s="833"/>
      <c r="J85" s="833"/>
      <c r="K85" s="833"/>
      <c r="L85" s="816" t="str">
        <f t="shared" si="51"/>
        <v/>
      </c>
      <c r="M85" s="816" t="str">
        <f t="shared" si="52"/>
        <v/>
      </c>
      <c r="N85" s="816" t="str">
        <f t="shared" si="53"/>
        <v/>
      </c>
      <c r="R85" s="816" t="str">
        <f t="shared" si="54"/>
        <v/>
      </c>
      <c r="T85" s="829" t="str">
        <f t="shared" si="55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3"/>
      <c r="BD85" s="893"/>
      <c r="BE85" s="893"/>
      <c r="BF85" s="893"/>
      <c r="BG85" s="897"/>
      <c r="BH85" s="897"/>
      <c r="BI85" s="897"/>
      <c r="BJ85" s="897"/>
      <c r="BK85" s="893"/>
      <c r="BL85" s="897"/>
      <c r="BM85" s="897"/>
      <c r="BN85" s="897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1"/>
        <v/>
      </c>
      <c r="M86" s="816" t="str">
        <f t="shared" si="52"/>
        <v/>
      </c>
      <c r="N86" s="816" t="str">
        <f t="shared" si="53"/>
        <v/>
      </c>
      <c r="R86" s="816" t="str">
        <f t="shared" si="54"/>
        <v/>
      </c>
      <c r="T86" s="829" t="str">
        <f t="shared" si="55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3"/>
      <c r="BD86" s="893"/>
      <c r="BE86" s="893"/>
      <c r="BF86" s="893"/>
      <c r="BG86" s="897"/>
      <c r="BH86" s="897"/>
      <c r="BI86" s="897"/>
      <c r="BJ86" s="897"/>
      <c r="BK86" s="893"/>
      <c r="BL86" s="897"/>
      <c r="BM86" s="897"/>
      <c r="BN86" s="897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1"/>
        <v/>
      </c>
      <c r="M87" s="816" t="str">
        <f t="shared" si="52"/>
        <v/>
      </c>
      <c r="N87" s="816" t="str">
        <f t="shared" si="53"/>
        <v/>
      </c>
      <c r="R87" s="816" t="str">
        <f t="shared" si="54"/>
        <v/>
      </c>
      <c r="T87" s="829" t="str">
        <f t="shared" si="55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3"/>
      <c r="BD87" s="893"/>
      <c r="BE87" s="893"/>
      <c r="BF87" s="893"/>
      <c r="BG87" s="897"/>
      <c r="BH87" s="897"/>
      <c r="BI87" s="897"/>
      <c r="BJ87" s="897"/>
      <c r="BK87" s="893"/>
      <c r="BL87" s="897"/>
      <c r="BM87" s="897"/>
      <c r="BN87" s="897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1"/>
        <v/>
      </c>
      <c r="M88" s="816" t="str">
        <f t="shared" si="52"/>
        <v/>
      </c>
      <c r="N88" s="816" t="str">
        <f t="shared" si="53"/>
        <v/>
      </c>
      <c r="R88" s="816" t="str">
        <f t="shared" si="54"/>
        <v/>
      </c>
      <c r="T88" s="829" t="str">
        <f t="shared" si="55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3"/>
      <c r="BD88" s="893"/>
      <c r="BE88" s="893"/>
      <c r="BF88" s="893"/>
      <c r="BG88" s="897"/>
      <c r="BH88" s="897"/>
      <c r="BI88" s="897"/>
      <c r="BJ88" s="897"/>
      <c r="BK88" s="893"/>
      <c r="BL88" s="897"/>
      <c r="BM88" s="897"/>
      <c r="BN88" s="897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1"/>
        <v/>
      </c>
      <c r="M89" s="816" t="str">
        <f t="shared" si="52"/>
        <v/>
      </c>
      <c r="N89" s="816" t="str">
        <f t="shared" si="53"/>
        <v/>
      </c>
      <c r="R89" s="816" t="str">
        <f t="shared" si="54"/>
        <v/>
      </c>
      <c r="T89" s="829" t="str">
        <f t="shared" si="55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3"/>
      <c r="BD89" s="893"/>
      <c r="BE89" s="893"/>
      <c r="BF89" s="893"/>
      <c r="BG89" s="897"/>
      <c r="BH89" s="897"/>
      <c r="BI89" s="897"/>
      <c r="BJ89" s="897"/>
      <c r="BK89" s="893"/>
      <c r="BL89" s="897"/>
      <c r="BM89" s="897"/>
      <c r="BN89" s="897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1"/>
        <v/>
      </c>
      <c r="M90" s="816" t="str">
        <f t="shared" si="52"/>
        <v/>
      </c>
      <c r="N90" s="816" t="str">
        <f t="shared" si="53"/>
        <v/>
      </c>
      <c r="R90" s="816" t="str">
        <f t="shared" si="54"/>
        <v/>
      </c>
      <c r="T90" s="829" t="str">
        <f t="shared" si="55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3"/>
      <c r="BD90" s="893"/>
      <c r="BE90" s="893"/>
      <c r="BF90" s="893"/>
      <c r="BG90" s="897"/>
      <c r="BH90" s="897"/>
      <c r="BI90" s="897"/>
      <c r="BJ90" s="897"/>
      <c r="BK90" s="893"/>
      <c r="BL90" s="897"/>
      <c r="BM90" s="897"/>
      <c r="BN90" s="897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1"/>
        <v/>
      </c>
      <c r="M91" s="816" t="str">
        <f t="shared" si="52"/>
        <v/>
      </c>
      <c r="N91" s="816" t="str">
        <f t="shared" si="53"/>
        <v/>
      </c>
      <c r="R91" s="816" t="str">
        <f t="shared" si="54"/>
        <v/>
      </c>
      <c r="T91" s="829" t="str">
        <f t="shared" si="55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3"/>
      <c r="BD91" s="893"/>
      <c r="BE91" s="893"/>
      <c r="BF91" s="893"/>
      <c r="BG91" s="897"/>
      <c r="BH91" s="897"/>
      <c r="BI91" s="897"/>
      <c r="BJ91" s="897"/>
      <c r="BK91" s="893"/>
      <c r="BL91" s="897"/>
      <c r="BM91" s="897"/>
      <c r="BN91" s="897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1"/>
        <v/>
      </c>
      <c r="M92" s="816" t="str">
        <f t="shared" si="52"/>
        <v/>
      </c>
      <c r="N92" s="816" t="str">
        <f t="shared" si="53"/>
        <v/>
      </c>
      <c r="R92" s="816" t="str">
        <f t="shared" si="54"/>
        <v/>
      </c>
      <c r="T92" s="829" t="str">
        <f t="shared" si="55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3"/>
      <c r="BD92" s="893"/>
      <c r="BE92" s="893"/>
      <c r="BF92" s="893"/>
      <c r="BG92" s="897"/>
      <c r="BH92" s="897"/>
      <c r="BI92" s="897"/>
      <c r="BJ92" s="897"/>
      <c r="BK92" s="893"/>
      <c r="BL92" s="897"/>
      <c r="BM92" s="897"/>
      <c r="BN92" s="897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1"/>
        <v/>
      </c>
      <c r="M93" s="816" t="str">
        <f t="shared" si="52"/>
        <v/>
      </c>
      <c r="N93" s="816" t="str">
        <f t="shared" si="53"/>
        <v/>
      </c>
      <c r="R93" s="816" t="str">
        <f t="shared" si="54"/>
        <v/>
      </c>
      <c r="T93" s="829" t="str">
        <f t="shared" si="55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3"/>
      <c r="BD93" s="893"/>
      <c r="BE93" s="893"/>
      <c r="BF93" s="893"/>
      <c r="BG93" s="897"/>
      <c r="BH93" s="897"/>
      <c r="BI93" s="897"/>
      <c r="BJ93" s="897"/>
      <c r="BK93" s="893"/>
      <c r="BL93" s="897"/>
      <c r="BM93" s="897"/>
      <c r="BN93" s="897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1"/>
        <v/>
      </c>
      <c r="M94" s="816" t="str">
        <f t="shared" si="52"/>
        <v/>
      </c>
      <c r="N94" s="816" t="str">
        <f t="shared" si="53"/>
        <v/>
      </c>
      <c r="R94" s="816" t="str">
        <f t="shared" si="54"/>
        <v/>
      </c>
      <c r="T94" s="829" t="str">
        <f t="shared" si="55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3"/>
      <c r="BD94" s="893"/>
      <c r="BE94" s="893"/>
      <c r="BF94" s="893"/>
      <c r="BG94" s="897"/>
      <c r="BH94" s="897"/>
      <c r="BI94" s="897"/>
      <c r="BJ94" s="897"/>
      <c r="BK94" s="893"/>
      <c r="BL94" s="897"/>
      <c r="BM94" s="897"/>
      <c r="BN94" s="897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1"/>
        <v/>
      </c>
      <c r="M95" s="816" t="str">
        <f t="shared" si="52"/>
        <v/>
      </c>
      <c r="N95" s="816" t="str">
        <f t="shared" si="53"/>
        <v/>
      </c>
      <c r="R95" s="816" t="str">
        <f t="shared" si="54"/>
        <v/>
      </c>
      <c r="T95" s="829" t="str">
        <f t="shared" si="55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3"/>
      <c r="BD95" s="893"/>
      <c r="BE95" s="893"/>
      <c r="BF95" s="893"/>
      <c r="BG95" s="897"/>
      <c r="BH95" s="897"/>
      <c r="BI95" s="897"/>
      <c r="BJ95" s="897"/>
      <c r="BK95" s="893"/>
      <c r="BL95" s="897"/>
      <c r="BM95" s="897"/>
      <c r="BN95" s="897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1"/>
        <v/>
      </c>
      <c r="M96" s="816" t="str">
        <f t="shared" si="52"/>
        <v/>
      </c>
      <c r="N96" s="816" t="str">
        <f t="shared" si="53"/>
        <v/>
      </c>
      <c r="R96" s="816" t="str">
        <f t="shared" si="54"/>
        <v/>
      </c>
      <c r="T96" s="829" t="str">
        <f t="shared" si="55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3"/>
      <c r="BD96" s="893"/>
      <c r="BE96" s="893"/>
      <c r="BF96" s="893"/>
      <c r="BG96" s="897"/>
      <c r="BH96" s="897"/>
      <c r="BI96" s="897"/>
      <c r="BJ96" s="897"/>
      <c r="BK96" s="893"/>
      <c r="BL96" s="897"/>
      <c r="BM96" s="897"/>
      <c r="BN96" s="897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1"/>
        <v/>
      </c>
      <c r="M97" s="816" t="str">
        <f t="shared" si="52"/>
        <v/>
      </c>
      <c r="N97" s="816" t="str">
        <f t="shared" si="53"/>
        <v/>
      </c>
      <c r="R97" s="816" t="str">
        <f t="shared" si="54"/>
        <v/>
      </c>
      <c r="T97" s="829" t="str">
        <f t="shared" si="55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3"/>
      <c r="BD97" s="893"/>
      <c r="BE97" s="893"/>
      <c r="BF97" s="893"/>
      <c r="BG97" s="897"/>
      <c r="BH97" s="897"/>
      <c r="BI97" s="897"/>
      <c r="BJ97" s="897"/>
      <c r="BK97" s="893"/>
      <c r="BL97" s="897"/>
      <c r="BM97" s="897"/>
      <c r="BN97" s="897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1"/>
        <v/>
      </c>
      <c r="M98" s="816" t="str">
        <f t="shared" si="52"/>
        <v/>
      </c>
      <c r="N98" s="816" t="str">
        <f t="shared" si="53"/>
        <v/>
      </c>
      <c r="R98" s="816" t="str">
        <f t="shared" si="54"/>
        <v/>
      </c>
      <c r="T98" s="829" t="str">
        <f t="shared" si="55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3"/>
      <c r="BD98" s="893"/>
      <c r="BE98" s="893"/>
      <c r="BF98" s="893"/>
      <c r="BG98" s="897"/>
      <c r="BH98" s="897"/>
      <c r="BI98" s="897"/>
      <c r="BJ98" s="897"/>
      <c r="BK98" s="893"/>
      <c r="BL98" s="897"/>
      <c r="BM98" s="897"/>
      <c r="BN98" s="897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1"/>
        <v/>
      </c>
      <c r="M99" s="816" t="str">
        <f t="shared" si="52"/>
        <v/>
      </c>
      <c r="N99" s="816" t="str">
        <f t="shared" si="53"/>
        <v/>
      </c>
      <c r="R99" s="816" t="str">
        <f t="shared" si="54"/>
        <v/>
      </c>
      <c r="T99" s="829" t="str">
        <f t="shared" si="55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3"/>
      <c r="BD99" s="893"/>
      <c r="BE99" s="893"/>
      <c r="BF99" s="893"/>
      <c r="BG99" s="897"/>
      <c r="BH99" s="897"/>
      <c r="BI99" s="897"/>
      <c r="BJ99" s="897"/>
      <c r="BK99" s="893"/>
      <c r="BL99" s="897"/>
      <c r="BM99" s="897"/>
      <c r="BN99" s="897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1"/>
        <v/>
      </c>
      <c r="M100" s="816" t="str">
        <f t="shared" si="52"/>
        <v/>
      </c>
      <c r="N100" s="816" t="str">
        <f t="shared" si="53"/>
        <v/>
      </c>
      <c r="R100" s="816" t="str">
        <f t="shared" si="54"/>
        <v/>
      </c>
      <c r="T100" s="829" t="str">
        <f t="shared" si="55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3"/>
      <c r="BD100" s="893"/>
      <c r="BE100" s="893"/>
      <c r="BF100" s="893"/>
      <c r="BG100" s="897"/>
      <c r="BH100" s="897"/>
      <c r="BI100" s="897"/>
      <c r="BJ100" s="897"/>
      <c r="BK100" s="893"/>
      <c r="BL100" s="897"/>
      <c r="BM100" s="897"/>
      <c r="BN100" s="897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1"/>
        <v/>
      </c>
      <c r="M101" s="816" t="str">
        <f t="shared" si="52"/>
        <v/>
      </c>
      <c r="N101" s="816" t="str">
        <f t="shared" si="53"/>
        <v/>
      </c>
      <c r="R101" s="816" t="str">
        <f t="shared" si="54"/>
        <v/>
      </c>
      <c r="T101" s="829" t="str">
        <f t="shared" si="55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3"/>
      <c r="BD101" s="893"/>
      <c r="BE101" s="893"/>
      <c r="BF101" s="893"/>
      <c r="BG101" s="897"/>
      <c r="BH101" s="897"/>
      <c r="BI101" s="897"/>
      <c r="BJ101" s="897"/>
      <c r="BK101" s="893"/>
      <c r="BL101" s="897"/>
      <c r="BM101" s="897"/>
      <c r="BN101" s="897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1"/>
        <v/>
      </c>
      <c r="M102" s="816" t="str">
        <f t="shared" si="52"/>
        <v/>
      </c>
      <c r="N102" s="816" t="str">
        <f t="shared" si="53"/>
        <v/>
      </c>
      <c r="R102" s="816" t="str">
        <f t="shared" si="54"/>
        <v/>
      </c>
      <c r="T102" s="829" t="str">
        <f t="shared" si="55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16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3"/>
      <c r="BD102" s="893"/>
      <c r="BE102" s="893"/>
      <c r="BF102" s="893"/>
      <c r="BG102" s="897"/>
      <c r="BH102" s="897"/>
      <c r="BI102" s="897"/>
      <c r="BJ102" s="897"/>
      <c r="BK102" s="893"/>
      <c r="BL102" s="897"/>
      <c r="BM102" s="897"/>
      <c r="BN102" s="897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1"/>
        <v/>
      </c>
      <c r="M103" s="816" t="str">
        <f t="shared" si="52"/>
        <v/>
      </c>
      <c r="N103" s="816" t="str">
        <f t="shared" si="53"/>
        <v/>
      </c>
      <c r="R103" s="816" t="str">
        <f t="shared" si="54"/>
        <v/>
      </c>
      <c r="T103" s="829" t="str">
        <f t="shared" si="55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16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3"/>
      <c r="BD103" s="893"/>
      <c r="BE103" s="893"/>
      <c r="BF103" s="893"/>
      <c r="BG103" s="897"/>
      <c r="BH103" s="897"/>
      <c r="BI103" s="897"/>
      <c r="BJ103" s="897"/>
      <c r="BK103" s="893"/>
      <c r="BL103" s="897"/>
      <c r="BM103" s="897"/>
      <c r="BN103" s="897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1"/>
        <v/>
      </c>
      <c r="M104" s="816" t="str">
        <f t="shared" si="52"/>
        <v/>
      </c>
      <c r="N104" s="816" t="str">
        <f t="shared" si="53"/>
        <v/>
      </c>
      <c r="R104" s="816" t="str">
        <f t="shared" si="54"/>
        <v/>
      </c>
      <c r="T104" s="829" t="str">
        <f t="shared" si="55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16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3"/>
      <c r="BD104" s="893"/>
      <c r="BE104" s="893"/>
      <c r="BF104" s="893"/>
      <c r="BG104" s="897"/>
      <c r="BH104" s="897"/>
      <c r="BI104" s="897"/>
      <c r="BJ104" s="897"/>
      <c r="BK104" s="893"/>
      <c r="BL104" s="897"/>
      <c r="BM104" s="897"/>
      <c r="BN104" s="897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1"/>
        <v/>
      </c>
      <c r="M105" s="816" t="str">
        <f t="shared" si="52"/>
        <v/>
      </c>
      <c r="N105" s="816" t="str">
        <f t="shared" si="53"/>
        <v/>
      </c>
      <c r="R105" s="816" t="str">
        <f t="shared" si="54"/>
        <v/>
      </c>
      <c r="T105" s="829" t="str">
        <f t="shared" si="55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16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3"/>
      <c r="BD105" s="893"/>
      <c r="BE105" s="893"/>
      <c r="BF105" s="893"/>
      <c r="BG105" s="897"/>
      <c r="BH105" s="897"/>
      <c r="BI105" s="897"/>
      <c r="BJ105" s="897"/>
      <c r="BK105" s="893"/>
      <c r="BL105" s="897"/>
      <c r="BM105" s="897"/>
      <c r="BN105" s="897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1"/>
        <v/>
      </c>
      <c r="M106" s="816" t="str">
        <f t="shared" si="52"/>
        <v/>
      </c>
      <c r="N106" s="816" t="str">
        <f t="shared" si="53"/>
        <v/>
      </c>
      <c r="R106" s="816" t="str">
        <f t="shared" si="54"/>
        <v/>
      </c>
      <c r="T106" s="829" t="str">
        <f t="shared" si="55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16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3"/>
      <c r="BD106" s="893"/>
      <c r="BE106" s="893"/>
      <c r="BF106" s="893"/>
      <c r="BG106" s="897"/>
      <c r="BH106" s="897"/>
      <c r="BI106" s="897"/>
      <c r="BJ106" s="897"/>
      <c r="BK106" s="893"/>
      <c r="BL106" s="897"/>
      <c r="BM106" s="897"/>
      <c r="BN106" s="897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1"/>
        <v/>
      </c>
      <c r="M107" s="816" t="str">
        <f t="shared" si="52"/>
        <v/>
      </c>
      <c r="N107" s="816" t="str">
        <f t="shared" si="53"/>
        <v/>
      </c>
      <c r="R107" s="816" t="str">
        <f t="shared" si="54"/>
        <v/>
      </c>
      <c r="T107" s="829" t="str">
        <f t="shared" si="55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3"/>
      <c r="BD107" s="893"/>
      <c r="BE107" s="893"/>
      <c r="BF107" s="893"/>
      <c r="BG107" s="897"/>
      <c r="BH107" s="897"/>
      <c r="BI107" s="897"/>
      <c r="BJ107" s="897"/>
      <c r="BK107" s="893"/>
      <c r="BL107" s="897"/>
      <c r="BM107" s="897"/>
      <c r="BN107" s="897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1"/>
        <v/>
      </c>
      <c r="M108" s="816" t="str">
        <f t="shared" si="52"/>
        <v/>
      </c>
      <c r="N108" s="816" t="str">
        <f t="shared" si="53"/>
        <v/>
      </c>
      <c r="R108" s="816" t="str">
        <f t="shared" si="54"/>
        <v/>
      </c>
      <c r="T108" s="829" t="str">
        <f t="shared" si="55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3"/>
      <c r="BD108" s="893"/>
      <c r="BE108" s="893"/>
      <c r="BF108" s="893"/>
      <c r="BG108" s="897"/>
      <c r="BH108" s="897"/>
      <c r="BI108" s="897"/>
      <c r="BJ108" s="897"/>
      <c r="BK108" s="893"/>
      <c r="BL108" s="897"/>
      <c r="BM108" s="897"/>
      <c r="BN108" s="897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1"/>
        <v/>
      </c>
      <c r="M109" s="816" t="str">
        <f t="shared" si="52"/>
        <v/>
      </c>
      <c r="N109" s="816" t="str">
        <f t="shared" si="53"/>
        <v/>
      </c>
      <c r="R109" s="816" t="str">
        <f t="shared" si="54"/>
        <v/>
      </c>
      <c r="T109" s="829" t="str">
        <f t="shared" si="55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3"/>
      <c r="BD109" s="893"/>
      <c r="BE109" s="893"/>
      <c r="BF109" s="893"/>
      <c r="BG109" s="897"/>
      <c r="BH109" s="897"/>
      <c r="BI109" s="897"/>
      <c r="BJ109" s="897"/>
      <c r="BK109" s="893"/>
      <c r="BL109" s="897"/>
      <c r="BM109" s="897"/>
      <c r="BN109" s="897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1"/>
        <v/>
      </c>
      <c r="M110" s="816" t="str">
        <f t="shared" si="52"/>
        <v/>
      </c>
      <c r="N110" s="816" t="str">
        <f t="shared" si="53"/>
        <v/>
      </c>
      <c r="R110" s="816" t="str">
        <f t="shared" si="54"/>
        <v/>
      </c>
      <c r="T110" s="829" t="str">
        <f t="shared" si="55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3"/>
      <c r="BD110" s="893"/>
      <c r="BE110" s="893"/>
      <c r="BF110" s="893"/>
      <c r="BG110" s="897"/>
      <c r="BH110" s="897"/>
      <c r="BI110" s="897"/>
      <c r="BJ110" s="897"/>
      <c r="BK110" s="893"/>
      <c r="BL110" s="897"/>
      <c r="BM110" s="897"/>
      <c r="BN110" s="897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1"/>
        <v/>
      </c>
      <c r="M111" s="816" t="str">
        <f t="shared" si="52"/>
        <v/>
      </c>
      <c r="N111" s="816" t="str">
        <f t="shared" si="53"/>
        <v/>
      </c>
      <c r="R111" s="816" t="str">
        <f t="shared" si="54"/>
        <v/>
      </c>
      <c r="T111" s="829" t="str">
        <f t="shared" si="55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3"/>
      <c r="BD111" s="893"/>
      <c r="BE111" s="893"/>
      <c r="BF111" s="893"/>
      <c r="BG111" s="897"/>
      <c r="BH111" s="897"/>
      <c r="BI111" s="897"/>
      <c r="BJ111" s="897"/>
      <c r="BK111" s="893"/>
      <c r="BL111" s="897"/>
      <c r="BM111" s="897"/>
      <c r="BN111" s="897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1"/>
        <v/>
      </c>
      <c r="M112" s="816" t="str">
        <f t="shared" si="52"/>
        <v/>
      </c>
      <c r="N112" s="816" t="str">
        <f t="shared" si="53"/>
        <v/>
      </c>
      <c r="R112" s="816" t="str">
        <f t="shared" si="54"/>
        <v/>
      </c>
      <c r="T112" s="829" t="str">
        <f t="shared" si="55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3"/>
      <c r="BD112" s="893"/>
      <c r="BE112" s="893"/>
      <c r="BF112" s="893"/>
      <c r="BG112" s="897"/>
      <c r="BH112" s="897"/>
      <c r="BI112" s="897"/>
      <c r="BJ112" s="897"/>
      <c r="BK112" s="893"/>
      <c r="BL112" s="897"/>
      <c r="BM112" s="897"/>
      <c r="BN112" s="897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1"/>
        <v/>
      </c>
      <c r="M113" s="816" t="str">
        <f t="shared" si="52"/>
        <v/>
      </c>
      <c r="N113" s="816" t="str">
        <f t="shared" si="53"/>
        <v/>
      </c>
      <c r="R113" s="816" t="str">
        <f t="shared" si="54"/>
        <v/>
      </c>
      <c r="T113" s="829" t="str">
        <f t="shared" si="55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3"/>
      <c r="BD113" s="893"/>
      <c r="BE113" s="893"/>
      <c r="BF113" s="893"/>
      <c r="BG113" s="897"/>
      <c r="BH113" s="897"/>
      <c r="BI113" s="897"/>
      <c r="BJ113" s="897"/>
      <c r="BK113" s="893"/>
      <c r="BL113" s="897"/>
      <c r="BM113" s="897"/>
      <c r="BN113" s="897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1"/>
        <v/>
      </c>
      <c r="M114" s="816" t="str">
        <f t="shared" si="52"/>
        <v/>
      </c>
      <c r="N114" s="816" t="str">
        <f t="shared" si="53"/>
        <v/>
      </c>
      <c r="R114" s="816" t="str">
        <f t="shared" si="54"/>
        <v/>
      </c>
      <c r="T114" s="829" t="str">
        <f t="shared" si="55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3"/>
      <c r="BD114" s="893"/>
      <c r="BE114" s="893"/>
      <c r="BF114" s="893"/>
      <c r="BG114" s="897"/>
      <c r="BH114" s="897"/>
      <c r="BI114" s="897"/>
      <c r="BJ114" s="897"/>
      <c r="BK114" s="893"/>
      <c r="BL114" s="897"/>
      <c r="BM114" s="897"/>
      <c r="BN114" s="897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1"/>
        <v/>
      </c>
      <c r="M115" s="816" t="str">
        <f t="shared" si="52"/>
        <v/>
      </c>
      <c r="N115" s="816" t="str">
        <f t="shared" si="53"/>
        <v/>
      </c>
      <c r="R115" s="816" t="str">
        <f t="shared" si="54"/>
        <v/>
      </c>
      <c r="T115" s="829" t="str">
        <f t="shared" si="55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3"/>
      <c r="BD115" s="893"/>
      <c r="BE115" s="893"/>
      <c r="BF115" s="893"/>
      <c r="BG115" s="897"/>
      <c r="BH115" s="897"/>
      <c r="BI115" s="897"/>
      <c r="BJ115" s="897"/>
      <c r="BK115" s="893"/>
      <c r="BL115" s="897"/>
      <c r="BM115" s="897"/>
      <c r="BN115" s="897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1"/>
        <v/>
      </c>
      <c r="M116" s="816" t="str">
        <f t="shared" si="52"/>
        <v/>
      </c>
      <c r="N116" s="816" t="str">
        <f t="shared" si="53"/>
        <v/>
      </c>
      <c r="R116" s="816" t="str">
        <f t="shared" si="54"/>
        <v/>
      </c>
      <c r="T116" s="829" t="str">
        <f t="shared" si="55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3"/>
      <c r="BD116" s="893"/>
      <c r="BE116" s="893"/>
      <c r="BF116" s="893"/>
      <c r="BG116" s="897"/>
      <c r="BH116" s="897"/>
      <c r="BI116" s="897"/>
      <c r="BJ116" s="897"/>
      <c r="BK116" s="893"/>
      <c r="BL116" s="897"/>
      <c r="BM116" s="897"/>
      <c r="BN116" s="897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1"/>
        <v/>
      </c>
      <c r="M117" s="816" t="str">
        <f t="shared" si="52"/>
        <v/>
      </c>
      <c r="N117" s="816" t="str">
        <f t="shared" si="53"/>
        <v/>
      </c>
      <c r="R117" s="816" t="str">
        <f t="shared" si="54"/>
        <v/>
      </c>
      <c r="T117" s="829" t="str">
        <f t="shared" si="55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3"/>
      <c r="BD117" s="893"/>
      <c r="BE117" s="893"/>
      <c r="BF117" s="893"/>
      <c r="BG117" s="897"/>
      <c r="BH117" s="897"/>
      <c r="BI117" s="897"/>
      <c r="BJ117" s="897"/>
      <c r="BK117" s="893"/>
      <c r="BL117" s="897"/>
      <c r="BM117" s="897"/>
      <c r="BN117" s="897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1"/>
        <v/>
      </c>
      <c r="M118" s="816" t="str">
        <f t="shared" si="52"/>
        <v/>
      </c>
      <c r="N118" s="816" t="str">
        <f t="shared" si="53"/>
        <v/>
      </c>
      <c r="R118" s="816" t="str">
        <f t="shared" si="54"/>
        <v/>
      </c>
      <c r="T118" s="829" t="str">
        <f t="shared" si="55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3"/>
      <c r="BD118" s="893"/>
      <c r="BE118" s="893"/>
      <c r="BF118" s="893"/>
      <c r="BG118" s="897"/>
      <c r="BH118" s="897"/>
      <c r="BI118" s="897"/>
      <c r="BJ118" s="897"/>
      <c r="BK118" s="893"/>
      <c r="BL118" s="897"/>
      <c r="BM118" s="897"/>
      <c r="BN118" s="897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1"/>
        <v/>
      </c>
      <c r="M119" s="816" t="str">
        <f t="shared" si="52"/>
        <v/>
      </c>
      <c r="N119" s="816" t="str">
        <f t="shared" si="53"/>
        <v/>
      </c>
      <c r="R119" s="816" t="str">
        <f t="shared" si="54"/>
        <v/>
      </c>
      <c r="T119" s="829" t="str">
        <f t="shared" si="55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3"/>
      <c r="BD119" s="893"/>
      <c r="BE119" s="893"/>
      <c r="BF119" s="893"/>
      <c r="BG119" s="897"/>
      <c r="BH119" s="897"/>
      <c r="BI119" s="897"/>
      <c r="BJ119" s="897"/>
      <c r="BK119" s="893"/>
      <c r="BL119" s="897"/>
      <c r="BM119" s="897"/>
      <c r="BN119" s="897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1"/>
        <v/>
      </c>
      <c r="M120" s="816" t="str">
        <f t="shared" si="52"/>
        <v/>
      </c>
      <c r="N120" s="816" t="str">
        <f t="shared" si="53"/>
        <v/>
      </c>
      <c r="R120" s="816" t="str">
        <f t="shared" si="54"/>
        <v/>
      </c>
      <c r="T120" s="829" t="str">
        <f t="shared" si="55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3"/>
      <c r="BD120" s="893"/>
      <c r="BE120" s="893"/>
      <c r="BF120" s="893"/>
      <c r="BG120" s="897"/>
      <c r="BH120" s="897"/>
      <c r="BI120" s="897"/>
      <c r="BJ120" s="897"/>
      <c r="BK120" s="893"/>
      <c r="BL120" s="897"/>
      <c r="BM120" s="897"/>
      <c r="BN120" s="897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1"/>
        <v/>
      </c>
      <c r="M121" s="816" t="str">
        <f t="shared" si="52"/>
        <v/>
      </c>
      <c r="N121" s="816" t="str">
        <f t="shared" si="53"/>
        <v/>
      </c>
      <c r="R121" s="816" t="str">
        <f t="shared" si="54"/>
        <v/>
      </c>
      <c r="T121" s="829" t="str">
        <f t="shared" si="55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3"/>
      <c r="BD121" s="893"/>
      <c r="BE121" s="893"/>
      <c r="BF121" s="893"/>
      <c r="BG121" s="897"/>
      <c r="BH121" s="897"/>
      <c r="BI121" s="897"/>
      <c r="BJ121" s="897"/>
      <c r="BK121" s="893"/>
      <c r="BL121" s="897"/>
      <c r="BM121" s="897"/>
      <c r="BN121" s="897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1"/>
        <v/>
      </c>
      <c r="M122" s="816" t="str">
        <f t="shared" si="52"/>
        <v/>
      </c>
      <c r="N122" s="816" t="str">
        <f t="shared" si="53"/>
        <v/>
      </c>
      <c r="R122" s="816" t="str">
        <f t="shared" si="54"/>
        <v/>
      </c>
      <c r="T122" s="829" t="str">
        <f t="shared" si="55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</row>
    <row r="123" spans="4:82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1"/>
        <v/>
      </c>
      <c r="M123" s="816" t="str">
        <f t="shared" si="52"/>
        <v/>
      </c>
      <c r="N123" s="816" t="str">
        <f t="shared" si="53"/>
        <v/>
      </c>
      <c r="R123" s="816" t="str">
        <f t="shared" si="54"/>
        <v/>
      </c>
      <c r="T123" s="829" t="str">
        <f t="shared" si="55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</row>
    <row r="124" spans="4:82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1"/>
        <v/>
      </c>
      <c r="M124" s="816" t="str">
        <f t="shared" si="52"/>
        <v/>
      </c>
      <c r="N124" s="816" t="str">
        <f t="shared" si="53"/>
        <v/>
      </c>
      <c r="R124" s="816" t="str">
        <f t="shared" si="54"/>
        <v/>
      </c>
      <c r="T124" s="829" t="str">
        <f t="shared" si="55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</row>
    <row r="125" spans="4:82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1"/>
        <v/>
      </c>
      <c r="M125" s="816" t="str">
        <f t="shared" si="52"/>
        <v/>
      </c>
      <c r="N125" s="816" t="str">
        <f t="shared" si="53"/>
        <v/>
      </c>
      <c r="R125" s="816" t="str">
        <f t="shared" si="54"/>
        <v/>
      </c>
      <c r="T125" s="829" t="str">
        <f t="shared" si="55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</row>
    <row r="126" spans="4:82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1"/>
        <v/>
      </c>
      <c r="M126" s="816" t="str">
        <f t="shared" si="52"/>
        <v/>
      </c>
      <c r="N126" s="816" t="str">
        <f t="shared" si="53"/>
        <v/>
      </c>
      <c r="R126" s="816" t="str">
        <f t="shared" si="54"/>
        <v/>
      </c>
      <c r="T126" s="829" t="str">
        <f t="shared" si="55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1"/>
        <v/>
      </c>
      <c r="M127" s="816" t="str">
        <f t="shared" si="52"/>
        <v/>
      </c>
      <c r="N127" s="816" t="str">
        <f t="shared" si="53"/>
        <v/>
      </c>
      <c r="R127" s="816" t="str">
        <f t="shared" si="54"/>
        <v/>
      </c>
      <c r="T127" s="829" t="str">
        <f t="shared" si="55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G128" s="833"/>
      <c r="H128" s="833"/>
      <c r="I128" s="833"/>
      <c r="J128" s="833"/>
      <c r="K128" s="833"/>
      <c r="T128" s="829"/>
      <c r="U128" s="829"/>
      <c r="V128" s="829"/>
      <c r="W128" s="829"/>
      <c r="X128" s="829"/>
      <c r="Y128" s="829"/>
      <c r="Z128" s="829"/>
      <c r="AA128" s="829"/>
      <c r="AB128" s="829"/>
      <c r="AC128" s="829"/>
    </row>
    <row r="129" spans="7:29">
      <c r="G129" s="833"/>
      <c r="H129" s="833"/>
      <c r="I129" s="833"/>
      <c r="J129" s="833"/>
      <c r="K129" s="833"/>
      <c r="T129" s="829"/>
      <c r="U129" s="829"/>
      <c r="V129" s="829"/>
      <c r="W129" s="829"/>
      <c r="X129" s="829"/>
      <c r="Y129" s="829"/>
      <c r="Z129" s="829"/>
      <c r="AA129" s="829"/>
      <c r="AB129" s="829"/>
      <c r="AC129" s="829"/>
    </row>
    <row r="130" spans="7:29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7:29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7:29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7:29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7:29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7:29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7:29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7:29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7:29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7:29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7:29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7:29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7:29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7:29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7:29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</sheetData>
  <autoFilter ref="A22:DG74"/>
  <mergeCells count="3">
    <mergeCell ref="W19:X19"/>
    <mergeCell ref="Y19:Z19"/>
    <mergeCell ref="AA19:AB19"/>
  </mergeCells>
  <phoneticPr fontId="21" type="noConversion"/>
  <conditionalFormatting sqref="AD23:AD304">
    <cfRule type="cellIs" dxfId="1189" priority="82" operator="equal">
      <formula>"T"</formula>
    </cfRule>
  </conditionalFormatting>
  <conditionalFormatting sqref="N23:N304">
    <cfRule type="cellIs" dxfId="1188" priority="89" stopIfTrue="1" operator="equal">
      <formula>"U"</formula>
    </cfRule>
    <cfRule type="cellIs" dxfId="1187" priority="90" stopIfTrue="1" operator="equal">
      <formula>"O"</formula>
    </cfRule>
  </conditionalFormatting>
  <conditionalFormatting sqref="L23:L304">
    <cfRule type="cellIs" dxfId="1186" priority="87" stopIfTrue="1" operator="equal">
      <formula>"W"</formula>
    </cfRule>
    <cfRule type="cellIs" dxfId="1185" priority="88" stopIfTrue="1" operator="equal">
      <formula>"D"</formula>
    </cfRule>
  </conditionalFormatting>
  <conditionalFormatting sqref="AF23:AF304">
    <cfRule type="cellIs" dxfId="1184" priority="85" stopIfTrue="1" operator="notEqual">
      <formula>11</formula>
    </cfRule>
    <cfRule type="cellIs" dxfId="1183" priority="86" stopIfTrue="1" operator="between">
      <formula>0</formula>
      <formula>20</formula>
    </cfRule>
  </conditionalFormatting>
  <conditionalFormatting sqref="AE23:AE304">
    <cfRule type="cellIs" dxfId="1182" priority="83" stopIfTrue="1" operator="notEqual">
      <formula>0</formula>
    </cfRule>
    <cfRule type="cellIs" dxfId="1181" priority="84" stopIfTrue="1" operator="between">
      <formula>0</formula>
      <formula>20</formula>
    </cfRule>
  </conditionalFormatting>
  <conditionalFormatting sqref="CF19:CW19">
    <cfRule type="expression" dxfId="1180" priority="78">
      <formula>CF19="G"</formula>
    </cfRule>
    <cfRule type="expression" dxfId="1179" priority="79">
      <formula>CF19="M"</formula>
    </cfRule>
    <cfRule type="expression" dxfId="1178" priority="80">
      <formula>CF19="D"</formula>
    </cfRule>
    <cfRule type="expression" dxfId="1177" priority="81">
      <formula>CF19="A"</formula>
    </cfRule>
  </conditionalFormatting>
  <conditionalFormatting sqref="BV19:CE19 AJ19:AZ19 BB19:BI19">
    <cfRule type="expression" dxfId="1176" priority="74">
      <formula>AJ19="G"</formula>
    </cfRule>
    <cfRule type="expression" dxfId="1175" priority="75">
      <formula>OR(AJ19="M",AJ19="CM",AJ19="LM",AJ19="RM",AJ19="DM",AJ19="AM")</formula>
    </cfRule>
    <cfRule type="expression" dxfId="1174" priority="76">
      <formula>OR(AJ19="D",AJ19="CB",AJ19="LB",AJ19="RB")</formula>
    </cfRule>
    <cfRule type="expression" dxfId="1173" priority="77">
      <formula>OR(AJ19="A",AJ19="CF",AJ19="SS",AJ19="ST",AJ19="RW",AJ19="LW")</formula>
    </cfRule>
  </conditionalFormatting>
  <conditionalFormatting sqref="BN23:BV41 AW23:AZ25 BK23:BQ29 BB23:BI29 AU67:AU73 AV26:AZ41 BA23:BA41 AG23:AU41 BB30:BQ41 BN43:BV64 AL42:BU42 AL43:AZ43 AG42:AK43 BA43:BQ58 AG44:AZ47 AQ54:AZ54 AL55:AZ58 AL54:AO54 AL48:AZ53 AG48:AK58 AG67:AZ67 BB67:BQ67 BA67:BA73 AG59:BQ59 AL60 BI60:BQ60 BJ61:BQ66">
    <cfRule type="expression" dxfId="1172" priority="72">
      <formula>IF(ISNUMBER(VALUE(RIGHT(AG23,1))),1,0)</formula>
    </cfRule>
  </conditionalFormatting>
  <conditionalFormatting sqref="BX16:CD16 AG16:BI16">
    <cfRule type="top10" dxfId="1171" priority="91" stopIfTrue="1" rank="5"/>
  </conditionalFormatting>
  <conditionalFormatting sqref="BX15:CD15 AG15:BI15">
    <cfRule type="top10" dxfId="1170" priority="92" rank="11"/>
  </conditionalFormatting>
  <conditionalFormatting sqref="BX17:CD17 AG17:BI17">
    <cfRule type="top10" dxfId="1169" priority="93" stopIfTrue="1" rank="5"/>
  </conditionalFormatting>
  <conditionalFormatting sqref="BX14:CD14 AG14:BI14">
    <cfRule type="top10" dxfId="1168" priority="94" rank="11"/>
  </conditionalFormatting>
  <conditionalFormatting sqref="BJ65:BK66">
    <cfRule type="expression" dxfId="1167" priority="63">
      <formula>IF(ISNUMBER(VALUE(RIGHT(BJ65,1))),1,0)</formula>
    </cfRule>
  </conditionalFormatting>
  <conditionalFormatting sqref="AG19:AZ19 BB19:BI19">
    <cfRule type="cellIs" dxfId="1166" priority="62" operator="equal">
      <formula>"M"</formula>
    </cfRule>
  </conditionalFormatting>
  <conditionalFormatting sqref="AG19:AZ19 BB19:BI19">
    <cfRule type="cellIs" dxfId="1165" priority="61" operator="equal">
      <formula>"D"</formula>
    </cfRule>
  </conditionalFormatting>
  <conditionalFormatting sqref="AG19:AZ19 BB19:BI19">
    <cfRule type="cellIs" dxfId="1164" priority="59" operator="equal">
      <formula>"G"</formula>
    </cfRule>
    <cfRule type="cellIs" dxfId="1163" priority="60" operator="equal">
      <formula>"A"</formula>
    </cfRule>
  </conditionalFormatting>
  <conditionalFormatting sqref="AG19:AZ19 BB19:BI19">
    <cfRule type="containsText" dxfId="1162" priority="56" operator="containsText" text="FW">
      <formula>NOT(ISERROR(SEARCH("FW",AG19)))</formula>
    </cfRule>
    <cfRule type="containsText" dxfId="1161" priority="57" operator="containsText" text="MF">
      <formula>NOT(ISERROR(SEARCH("MF",AG19)))</formula>
    </cfRule>
    <cfRule type="containsText" dxfId="1160" priority="58" operator="containsText" text="DF">
      <formula>NOT(ISERROR(SEARCH("DF",AG19)))</formula>
    </cfRule>
  </conditionalFormatting>
  <conditionalFormatting sqref="BA19">
    <cfRule type="expression" dxfId="1159" priority="34">
      <formula>BA19="G"</formula>
    </cfRule>
    <cfRule type="expression" dxfId="1158" priority="35">
      <formula>OR(BA19="M",BA19="CM",BA19="LM",BA19="RM",BA19="DM",BA19="AM")</formula>
    </cfRule>
    <cfRule type="expression" dxfId="1157" priority="36">
      <formula>OR(BA19="D",BA19="CB",BA19="LB",BA19="RB")</formula>
    </cfRule>
    <cfRule type="expression" dxfId="1156" priority="37">
      <formula>OR(BA19="A",BA19="CF",BA19="SS",BA19="ST",BA19="RW",BA19="LW")</formula>
    </cfRule>
  </conditionalFormatting>
  <conditionalFormatting sqref="BA19">
    <cfRule type="cellIs" dxfId="1155" priority="33" operator="equal">
      <formula>"M"</formula>
    </cfRule>
  </conditionalFormatting>
  <conditionalFormatting sqref="BA19">
    <cfRule type="cellIs" dxfId="1154" priority="32" operator="equal">
      <formula>"D"</formula>
    </cfRule>
  </conditionalFormatting>
  <conditionalFormatting sqref="BA19">
    <cfRule type="cellIs" dxfId="1153" priority="30" operator="equal">
      <formula>"G"</formula>
    </cfRule>
    <cfRule type="cellIs" dxfId="1152" priority="31" operator="equal">
      <formula>"A"</formula>
    </cfRule>
  </conditionalFormatting>
  <conditionalFormatting sqref="BA19">
    <cfRule type="containsText" dxfId="1151" priority="27" operator="containsText" text="FW">
      <formula>NOT(ISERROR(SEARCH("FW",BA19)))</formula>
    </cfRule>
    <cfRule type="containsText" dxfId="1150" priority="28" operator="containsText" text="MF">
      <formula>NOT(ISERROR(SEARCH("MF",BA19)))</formula>
    </cfRule>
    <cfRule type="containsText" dxfId="1149" priority="29" operator="containsText" text="DF">
      <formula>NOT(ISERROR(SEARCH("DF",BA19)))</formula>
    </cfRule>
  </conditionalFormatting>
  <conditionalFormatting sqref="AP54">
    <cfRule type="expression" dxfId="1148" priority="16">
      <formula>IF(ISNUMBER(VALUE(RIGHT(AP54,1))),1,0)</formula>
    </cfRule>
  </conditionalFormatting>
  <conditionalFormatting sqref="AQ60">
    <cfRule type="expression" dxfId="1147" priority="15">
      <formula>IF(ISNUMBER(VALUE(RIGHT(AQ60,1))),1,0)</formula>
    </cfRule>
  </conditionalFormatting>
  <conditionalFormatting sqref="AH60">
    <cfRule type="expression" dxfId="1146" priority="14">
      <formula>IF(ISNUMBER(VALUE(RIGHT(AH60,1))),1,0)</formula>
    </cfRule>
  </conditionalFormatting>
  <conditionalFormatting sqref="AS60">
    <cfRule type="expression" dxfId="1145" priority="13">
      <formula>IF(ISNUMBER(VALUE(RIGHT(AS60,1))),1,0)</formula>
    </cfRule>
  </conditionalFormatting>
  <conditionalFormatting sqref="AR60">
    <cfRule type="expression" dxfId="1144" priority="12">
      <formula>IF(ISNUMBER(VALUE(RIGHT(AR60,1))),1,0)</formula>
    </cfRule>
  </conditionalFormatting>
  <conditionalFormatting sqref="AJ60">
    <cfRule type="expression" dxfId="1143" priority="11">
      <formula>IF(ISNUMBER(VALUE(RIGHT(AJ60,1))),1,0)</formula>
    </cfRule>
  </conditionalFormatting>
  <conditionalFormatting sqref="AT60">
    <cfRule type="expression" dxfId="1142" priority="10">
      <formula>IF(ISNUMBER(VALUE(RIGHT(AT60,1))),1,0)</formula>
    </cfRule>
  </conditionalFormatting>
  <conditionalFormatting sqref="AU60">
    <cfRule type="expression" dxfId="1141" priority="9">
      <formula>IF(ISNUMBER(VALUE(RIGHT(AU60,1))),1,0)</formula>
    </cfRule>
  </conditionalFormatting>
  <conditionalFormatting sqref="AY60">
    <cfRule type="expression" dxfId="1140" priority="8">
      <formula>IF(ISNUMBER(VALUE(RIGHT(AY60,1))),1,0)</formula>
    </cfRule>
  </conditionalFormatting>
  <conditionalFormatting sqref="AX60">
    <cfRule type="expression" dxfId="1139" priority="7">
      <formula>IF(ISNUMBER(VALUE(RIGHT(AX60,1))),1,0)</formula>
    </cfRule>
  </conditionalFormatting>
  <conditionalFormatting sqref="BF60">
    <cfRule type="expression" dxfId="1138" priority="6">
      <formula>IF(ISNUMBER(VALUE(RIGHT(BF60,1))),1,0)</formula>
    </cfRule>
  </conditionalFormatting>
  <conditionalFormatting sqref="BE60">
    <cfRule type="expression" dxfId="1137" priority="5">
      <formula>IF(ISNUMBER(VALUE(RIGHT(BE60,1))),1,0)</formula>
    </cfRule>
  </conditionalFormatting>
  <conditionalFormatting sqref="BA60">
    <cfRule type="expression" dxfId="1136" priority="4">
      <formula>IF(ISNUMBER(VALUE(RIGHT(BA60,1))),1,0)</formula>
    </cfRule>
  </conditionalFormatting>
  <conditionalFormatting sqref="AP60">
    <cfRule type="expression" dxfId="1135" priority="3">
      <formula>IF(ISNUMBER(VALUE(RIGHT(AP60,1))),1,0)</formula>
    </cfRule>
  </conditionalFormatting>
  <conditionalFormatting sqref="AG60">
    <cfRule type="expression" dxfId="1134" priority="2">
      <formula>IF(ISNUMBER(VALUE(RIGHT(AG60,1))),1,0)</formula>
    </cfRule>
  </conditionalFormatting>
  <conditionalFormatting sqref="AG61:BI66">
    <cfRule type="expression" dxfId="1133" priority="1">
      <formula>IF(ISNUMBER(VALUE(RIGHT(AG61,1))),1,0)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$I23:$I236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DR238"/>
  <sheetViews>
    <sheetView zoomScale="80" zoomScaleNormal="80" workbookViewId="0">
      <pane xSplit="32" ySplit="22" topLeftCell="AG52" activePane="bottomRight" state="frozen"/>
      <selection activeCell="AB20" sqref="AB20"/>
      <selection pane="topRight" activeCell="AB20" sqref="AB20"/>
      <selection pane="bottomLeft" activeCell="AB20" sqref="AB20"/>
      <selection pane="bottomRight" activeCell="AA67" sqref="AA67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50" width="3.75" style="230" customWidth="1"/>
    <col min="51" max="52" width="3.75" bestFit="1" customWidth="1"/>
    <col min="53" max="56" width="3.75" style="230" customWidth="1"/>
    <col min="57" max="57" width="3.75" bestFit="1" customWidth="1"/>
    <col min="58" max="65" width="3.75" style="230" customWidth="1"/>
    <col min="66" max="66" width="3.75" customWidth="1"/>
    <col min="67" max="67" width="3.75" style="230" customWidth="1"/>
    <col min="68" max="68" width="3.75" bestFit="1" customWidth="1"/>
    <col min="69" max="69" width="3.75" style="230" customWidth="1"/>
    <col min="70" max="70" width="3.75" bestFit="1" customWidth="1"/>
    <col min="71" max="103" width="3.75" style="230" customWidth="1"/>
    <col min="104" max="16384" width="5.75" style="230"/>
  </cols>
  <sheetData>
    <row r="1" spans="1:91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K1" s="814" t="str">
        <f>AH20</f>
        <v>Tomohiko Murayama</v>
      </c>
      <c r="AL1" s="814" t="str">
        <f>AI20</f>
        <v>Tomoyuki Suzuki</v>
      </c>
      <c r="AM1" s="814"/>
      <c r="AN1" s="814" t="str">
        <f>AK20</f>
        <v>Sung-Hye Yeo</v>
      </c>
      <c r="AO1" s="814"/>
      <c r="AP1" s="814" t="str">
        <f>AM20</f>
        <v>Masaki Iida</v>
      </c>
      <c r="AQ1" s="814" t="str">
        <f>AN20</f>
        <v>Jun Ando</v>
      </c>
      <c r="AR1" s="814"/>
      <c r="AS1" s="814" t="str">
        <f>AR20</f>
        <v>Kenta HOSHIHARA</v>
      </c>
      <c r="AT1" s="814" t="str">
        <f>AQ20</f>
        <v>Takefumi Toma</v>
      </c>
      <c r="AU1" s="814" t="e">
        <f>#REF!</f>
        <v>#REF!</v>
      </c>
      <c r="AV1" s="814"/>
      <c r="AW1" s="814" t="str">
        <f>AT20</f>
        <v>Kenshiro Tanioku</v>
      </c>
      <c r="AX1" s="814" t="str">
        <f>AU20</f>
        <v>Yota SHIMOKAWA</v>
      </c>
      <c r="BA1" s="814" t="str">
        <f>AX20</f>
        <v>Yudai Iwama</v>
      </c>
      <c r="BB1" s="814">
        <f>BU20</f>
        <v>0</v>
      </c>
      <c r="BC1" s="814" t="str">
        <f>AZ20</f>
        <v>Serginho</v>
      </c>
      <c r="BD1" s="814" t="str">
        <f>BA20</f>
        <v>Kohei Kudo</v>
      </c>
      <c r="BF1" s="814"/>
      <c r="BG1" s="814"/>
      <c r="BH1" s="814"/>
      <c r="BI1" s="814"/>
      <c r="BJ1" s="814"/>
      <c r="BK1" s="814"/>
      <c r="BL1" s="814"/>
      <c r="BM1" s="814"/>
      <c r="BO1" s="814" t="str">
        <f>BI20</f>
        <v>Hiroki Yamamoto</v>
      </c>
      <c r="BQ1" s="814">
        <f>BQ20</f>
        <v>0</v>
      </c>
      <c r="BS1" s="814">
        <f>BS20</f>
        <v>0</v>
      </c>
      <c r="BT1" s="814">
        <f>BT20</f>
        <v>0</v>
      </c>
      <c r="BU1" s="814" t="e">
        <f>#REF!</f>
        <v>#REF!</v>
      </c>
      <c r="BV1" s="814"/>
      <c r="BW1" s="814"/>
      <c r="BX1" s="814"/>
      <c r="BY1" s="814"/>
      <c r="BZ1" s="814">
        <f t="shared" ref="BZ1:CF1" si="0">BZ20</f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si="0"/>
        <v>0</v>
      </c>
      <c r="CE1" s="814">
        <f t="shared" si="0"/>
        <v>0</v>
      </c>
      <c r="CF1" s="814">
        <f t="shared" si="0"/>
        <v>0</v>
      </c>
      <c r="CG1" s="814">
        <f t="shared" ref="CG1:CM1" si="1">CG20</f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  <c r="CK1" s="814">
        <f t="shared" si="1"/>
        <v>0</v>
      </c>
      <c r="CL1" s="814">
        <f t="shared" si="1"/>
        <v>0</v>
      </c>
      <c r="CM1" s="814">
        <f t="shared" si="1"/>
        <v>0</v>
      </c>
    </row>
    <row r="2" spans="1:91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SUM(IF(L$23:L$240="",0,1)*IF(ISBLANK($T$1),1,IF($I$23:$I$240=$T$1,1,0)))</f>
        <v>44</v>
      </c>
      <c r="AG2" s="874">
        <f t="array" ref="AG2">SUM(IF(ISBLANK(AG$23:AG$240),0,IF(AG$23:AG$240="susp",0,1))*IF(ISBLANK($T$1),1,IF($I$23:$I$240=$T$1,1,0)))</f>
        <v>38</v>
      </c>
      <c r="AH2" s="874">
        <f t="array" ref="AH2">SUM(IF(ISBLANK(AH$23:AH$240),0,IF(AH$23:AH$240="susp",0,1))*IF(ISBLANK($T$1),1,IF($I$23:$I$240=$T$1,1,0)))</f>
        <v>45</v>
      </c>
      <c r="AI2" s="874">
        <f t="array" ref="AI2">SUM(IF(ISBLANK(AI$23:AI$240),0,IF(AI$23:AI$240="susp",0,1))*IF(ISBLANK($T$1),1,IF($I$23:$I$240=$T$1,1,0)))</f>
        <v>44</v>
      </c>
      <c r="AK2" s="874">
        <f t="array" ref="AK2">SUM(IF(ISBLANK(AK$23:AK$240),0,IF(AK$23:AK$240="susp",0,1))*IF(ISBLANK($T$1),1,IF($I$23:$I$240=$T$1,1,0)))</f>
        <v>43</v>
      </c>
      <c r="AL2" s="874">
        <f t="array" ref="AL2">SUM(IF(ISBLANK(AL$23:AL$240),0,IF(AL$23:AL$240="susp",0,1))*IF(ISBLANK($T$1),1,IF($I$23:$I$240=$T$1,1,0)))</f>
        <v>45</v>
      </c>
      <c r="AN2" s="874">
        <f t="array" ref="AN2">SUM(IF(ISBLANK(AN$23:AN$240),0,IF(AN$23:AN$240="susp",0,1))*IF(ISBLANK($T$1),1,IF($I$23:$I$240=$T$1,1,0)))</f>
        <v>44</v>
      </c>
      <c r="AP2" s="874">
        <f t="array" ref="AP2">SUM(IF(ISBLANK(AP$23:AP$240),0,IF(AP$23:AP$240="susp",0,1))*IF(ISBLANK($T$1),1,IF($I$23:$I$240=$T$1,1,0)))</f>
        <v>44</v>
      </c>
      <c r="AQ2" s="874">
        <f t="array" ref="AQ2">SUM(IF(ISBLANK(AQ$23:AQ$240),0,IF(AQ$23:AQ$240="susp",0,1))*IF(ISBLANK($T$1),1,IF($I$23:$I$240=$T$1,1,0)))</f>
        <v>44</v>
      </c>
      <c r="AS2" s="874">
        <f t="array" ref="AS2">SUM(IF(ISBLANK(AS$23:AS$240),0,IF(AS$23:AS$240="susp",0,1))*IF(ISBLANK($T$1),1,IF($I$23:$I$240=$T$1,1,0)))</f>
        <v>43</v>
      </c>
      <c r="AT2" s="874">
        <f t="array" ref="AT2">SUM(IF(ISBLANK(AT$23:AT$240),0,IF(AT$23:AT$240="susp",0,1))*IF(ISBLANK($T$1),1,IF($I$23:$I$240=$T$1,1,0)))</f>
        <v>44</v>
      </c>
      <c r="AU2" s="874">
        <f t="array" ref="AU2">SUM(IF(ISBLANK(AU$23:AU$240),0,IF(AU$23:AU$240="susp",0,1))*IF(ISBLANK($T$1),1,IF($I$23:$I$240=$T$1,1,0)))</f>
        <v>43</v>
      </c>
      <c r="AW2" s="874">
        <f t="array" ref="AW2">SUM(IF(ISBLANK(AW$23:AW$240),0,IF(AW$23:AW$240="susp",0,1))*IF(ISBLANK($T$1),1,IF($I$23:$I$240=$T$1,1,0)))</f>
        <v>44</v>
      </c>
      <c r="AX2" s="874">
        <f t="array" ref="AX2">SUM(IF(ISBLANK(AX$23:AX$240),0,IF(AX$23:AX$240="susp",0,1))*IF(ISBLANK($T$1),1,IF($I$23:$I$240=$T$1,1,0)))</f>
        <v>44</v>
      </c>
      <c r="BA2" s="874">
        <f t="array" ref="BA2">SUM(IF(ISBLANK(BA$23:BA$240),0,IF(BA$23:BA$240="susp",0,1))*IF(ISBLANK($T$1),1,IF($I$23:$I$240=$T$1,1,0)))</f>
        <v>44</v>
      </c>
      <c r="BB2" s="874">
        <f t="array" ref="BB2">SUM(IF(ISBLANK(BB$23:BB$240),0,IF(BB$23:BB$240="susp",0,1))*IF(ISBLANK($T$1),1,IF($I$23:$I$240=$T$1,1,0)))</f>
        <v>45</v>
      </c>
      <c r="BC2" s="874">
        <f t="array" ref="BC2">SUM(IF(ISBLANK(BC$23:BC$240),0,IF(BC$23:BC$240="susp",0,1))*IF(ISBLANK($T$1),1,IF($I$23:$I$240=$T$1,1,0)))</f>
        <v>45</v>
      </c>
      <c r="BD2" s="874">
        <f t="array" ref="BD2">SUM(IF(ISBLANK(BD$23:BD$240),0,IF(BD$23:BD$240="susp",0,1))*IF(ISBLANK($T$1),1,IF($I$23:$I$240=$T$1,1,0)))</f>
        <v>45</v>
      </c>
      <c r="BO2" s="874">
        <f t="array" ref="BO2">SUM(IF(ISBLANK(BO$23:BO$240),0,IF(BO$23:BO$240="susp",0,1))*IF(ISBLANK($T$1),1,IF($I$23:$I$240=$T$1,1,0)))</f>
        <v>1</v>
      </c>
      <c r="BQ2" s="874">
        <f t="array" ref="BQ2">SUM(IF(ISBLANK(BQ$23:BQ$240),0,IF(BQ$23:BQ$240="susp",0,1))*IF(ISBLANK($T$1),1,IF($I$23:$I$240=$T$1,1,0)))</f>
        <v>1</v>
      </c>
      <c r="BS2" s="874">
        <f t="array" ref="BS2">SUM(IF(ISBLANK(BS$23:BS$240),0,IF(BS$23:BS$240="susp",0,1))*IF(ISBLANK($T$1),1,IF($I$23:$I$240=$T$1,1,0)))</f>
        <v>1</v>
      </c>
      <c r="BT2" s="874">
        <f t="array" ref="BT2">SUM(IF(ISBLANK(BT$23:BT$240),0,IF(BT$23:BT$240="susp",0,1))*IF(ISBLANK($T$1),1,IF($I$23:$I$240=$T$1,1,0)))</f>
        <v>1</v>
      </c>
      <c r="BU2" s="874">
        <f t="array" ref="BU2">SUM(IF(ISBLANK(BU$41:BU$240),0,IF(BU$41:BU$240="susp",0,1))*IF(ISBLANK($T$1),1,IF($I$23:$I$240=$T$1,1,0)))</f>
        <v>1</v>
      </c>
      <c r="BZ2" s="874">
        <f t="array" ref="BZ2">SUM(IF(ISBLANK(BZ$23:BZ$240),0,IF(BZ$23:BZ$240="susp",0,1))*IF(ISBLANK($T$1),1,IF($I$23:$I$240=$T$1,1,0)))</f>
        <v>0</v>
      </c>
      <c r="CA2" s="874">
        <f t="array" ref="CA2">SUM(IF(ISBLANK(CA$23:CA$240),0,IF(CA$23:CA$240="susp",0,1))*IF(ISBLANK($T$1),1,IF($I$23:$I$240=$T$1,1,0)))</f>
        <v>0</v>
      </c>
      <c r="CB2" s="874">
        <f t="array" ref="CB2">SUM(IF(ISBLANK(CB$23:CB$240),0,IF(CB$23:CB$240="susp",0,1))*IF(ISBLANK($T$1),1,IF($I$23:$I$240=$T$1,1,0)))</f>
        <v>0</v>
      </c>
      <c r="CC2" s="874">
        <f t="array" ref="CC2">SUM(IF(ISBLANK(CC$23:CC$240),0,IF(CC$23:CC$240="susp",0,1))*IF(ISBLANK($T$1),1,IF($I$23:$I$240=$T$1,1,0)))</f>
        <v>0</v>
      </c>
      <c r="CD2" s="874">
        <f t="array" ref="CD2">SUM(IF(ISBLANK(CD$23:CD$240),0,IF(CD$23:CD$240="susp",0,1))*IF(ISBLANK($T$1),1,IF($I$23:$I$240=$T$1,1,0)))</f>
        <v>0</v>
      </c>
      <c r="CE2" s="874">
        <f t="array" ref="CE2">SUM(IF(ISBLANK(CE$23:CE$240),0,IF(CE$23:CE$240="susp",0,1))*IF(ISBLANK($T$1),1,IF($I$23:$I$240=$T$1,1,0)))</f>
        <v>0</v>
      </c>
      <c r="CF2" s="874">
        <f t="array" ref="CF2">SUM(IF(ISBLANK(CF$23:CF$240),0,IF(CF$23:CF$240="susp",0,1))*IF(ISBLANK($T$1),1,IF($I$23:$I$240=$T$1,1,0)))</f>
        <v>0</v>
      </c>
      <c r="CG2" s="874">
        <f t="array" ref="CG2">SUM(IF(ISBLANK(CG$23:CG$240),0,IF(CG$23:CG$240="susp",0,1))*IF(ISBLANK($T$1),1,IF($I$23:$I$240=$T$1,1,0)))</f>
        <v>0</v>
      </c>
      <c r="CH2" s="874">
        <f t="array" ref="CH2">SUM(IF(ISBLANK(CH$23:CH$240),0,IF(CH$23:CH$240="susp",0,1))*IF(ISBLANK($T$1),1,IF($I$23:$I$240=$T$1,1,0)))</f>
        <v>0</v>
      </c>
      <c r="CI2" s="874">
        <f t="array" ref="CI2">SUM(IF(ISBLANK(CI$23:CI$240),0,IF(CI$23:CI$240="susp",0,1))*IF(ISBLANK($T$1),1,IF($I$23:$I$240=$T$1,1,0)))</f>
        <v>0</v>
      </c>
      <c r="CJ2" s="874">
        <f t="array" ref="CJ2">SUM(IF(ISBLANK(CJ$23:CJ$240),0,IF(CJ$23:CJ$240="susp",0,1))*IF(ISBLANK($T$1),1,IF($I$23:$I$240=$T$1,1,0)))</f>
        <v>0</v>
      </c>
      <c r="CK2" s="874">
        <f t="array" ref="CK2">SUM(IF(ISBLANK(CK$23:CK$240),0,IF(CK$23:CK$240="susp",0,1))*IF(ISBLANK($T$1),1,IF($I$23:$I$240=$T$1,1,0)))</f>
        <v>16</v>
      </c>
      <c r="CL2" s="874">
        <f t="array" ref="CL2">SUM(IF(ISBLANK(CL$23:CL$240),0,IF(CL$23:CL$240="susp",0,1))*IF(ISBLANK($T$1),1,IF($I$23:$I$240=$T$1,1,0)))</f>
        <v>16</v>
      </c>
      <c r="CM2" s="874">
        <f t="array" ref="CM2">SUM(IF(ISBLANK(CM$23:CM$240),0,IF(CM$23:CM$240="susp",0,1))*IF(ISBLANK($T$1),1,IF($I$23:$I$240=$T$1,1,0)))</f>
        <v>15</v>
      </c>
    </row>
    <row r="3" spans="1:91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SUM(IF(L$23:L$240="W",1,0)*IF(ISBLANK($T$1),1,IF($I$23:$I$240=$T$1,1,0)))</f>
        <v>20</v>
      </c>
      <c r="AG3" s="874">
        <f t="array" ref="AG3">SUM(IF(ISTEXT(AG$23:AG$240),1,0)*IF(($L$23:$L$240)="W",1,0)*IF(ISBLANK($T$1),1,IF($I$23:$I$240=$T$1,1,0)))</f>
        <v>17</v>
      </c>
      <c r="AH3" s="874">
        <f t="array" ref="AH3">SUM(IF(ISTEXT(AH$23:AH$240),1,0)*IF(($L$23:$L$240)="W",1,0)*IF(ISBLANK($T$1),1,IF($I$23:$I$240=$T$1,1,0)))</f>
        <v>20</v>
      </c>
      <c r="AI3" s="874">
        <f t="array" ref="AI3">SUM(IF(ISTEXT(AI$23:AI$240),1,0)*IF(($L$23:$L$240)="W",1,0)*IF(ISBLANK($T$1),1,IF($I$23:$I$240=$T$1,1,0)))</f>
        <v>20</v>
      </c>
      <c r="AK3" s="874">
        <f t="array" ref="AK3">SUM(IF(ISTEXT(AK$23:AK$240),1,0)*IF(($L$23:$L$240)="W",1,0)*IF(ISBLANK($T$1),1,IF($I$23:$I$240=$T$1,1,0)))</f>
        <v>19</v>
      </c>
      <c r="AL3" s="874">
        <f t="array" ref="AL3">SUM(IF(ISTEXT(AL$23:AL$240),1,0)*IF(($L$23:$L$240)="W",1,0)*IF(ISBLANK($T$1),1,IF($I$23:$I$240=$T$1,1,0)))</f>
        <v>20</v>
      </c>
      <c r="AN3" s="874">
        <f t="array" ref="AN3">SUM(IF(ISTEXT(AN$23:AN$240),1,0)*IF(($L$23:$L$240)="W",1,0)*IF(ISBLANK($T$1),1,IF($I$23:$I$240=$T$1,1,0)))</f>
        <v>19</v>
      </c>
      <c r="AP3" s="874">
        <f t="array" ref="AP3">SUM(IF(ISTEXT(AP$23:AP$240),1,0)*IF(($L$23:$L$240)="W",1,0)*IF(ISBLANK($T$1),1,IF($I$23:$I$240=$T$1,1,0)))</f>
        <v>19</v>
      </c>
      <c r="AQ3" s="874">
        <f t="array" ref="AQ3">SUM(IF(ISTEXT(AQ$23:AQ$240),1,0)*IF(($L$23:$L$240)="W",1,0)*IF(ISBLANK($T$1),1,IF($I$23:$I$240=$T$1,1,0)))</f>
        <v>19</v>
      </c>
      <c r="AS3" s="874">
        <f t="array" ref="AS3">SUM(IF(ISTEXT(AS$23:AS$240),1,0)*IF(($L$23:$L$240)="W",1,0)*IF(ISBLANK($T$1),1,IF($I$23:$I$240=$T$1,1,0)))</f>
        <v>19</v>
      </c>
      <c r="AT3" s="874">
        <f t="array" ref="AT3">SUM(IF(ISTEXT(AT$23:AT$240),1,0)*IF(($L$23:$L$240)="W",1,0)*IF(ISBLANK($T$1),1,IF($I$23:$I$240=$T$1,1,0)))</f>
        <v>19</v>
      </c>
      <c r="AU3" s="874">
        <f t="array" ref="AU3">SUM(IF(ISTEXT(AU$23:AU$240),1,0)*IF(($L$23:$L$240)="W",1,0)*IF(ISBLANK($T$1),1,IF($I$23:$I$240=$T$1,1,0)))</f>
        <v>19</v>
      </c>
      <c r="AW3" s="874">
        <f t="array" ref="AW3">SUM(IF(ISTEXT(AW$23:AW$240),1,0)*IF(($L$23:$L$240)="W",1,0)*IF(ISBLANK($T$1),1,IF($I$23:$I$240=$T$1,1,0)))</f>
        <v>20</v>
      </c>
      <c r="AX3" s="874">
        <f t="array" ref="AX3">SUM(IF(ISTEXT(AX$23:AX$240),1,0)*IF(($L$23:$L$240)="W",1,0)*IF(ISBLANK($T$1),1,IF($I$23:$I$240=$T$1,1,0)))</f>
        <v>20</v>
      </c>
      <c r="BA3" s="874">
        <f t="array" ref="BA3">SUM(IF(ISTEXT(BA$23:BA$240),1,0)*IF(($L$23:$L$240)="W",1,0)*IF(ISBLANK($T$1),1,IF($I$23:$I$240=$T$1,1,0)))</f>
        <v>20</v>
      </c>
      <c r="BB3" s="874">
        <f t="array" ref="BB3">SUM(IF(ISTEXT(BB$23:BB$240),1,0)*IF(($L$23:$L$240)="W",1,0)*IF(ISBLANK($T$1),1,IF($I$23:$I$240=$T$1,1,0)))</f>
        <v>20</v>
      </c>
      <c r="BC3" s="874">
        <f t="array" ref="BC3">SUM(IF(ISTEXT(BC$23:BC$240),1,0)*IF(($L$23:$L$240)="W",1,0)*IF(ISBLANK($T$1),1,IF($I$23:$I$240=$T$1,1,0)))</f>
        <v>20</v>
      </c>
      <c r="BD3" s="874">
        <f t="array" ref="BD3">SUM(IF(ISTEXT(BD$23:BD$240),1,0)*IF(($L$23:$L$240)="W",1,0)*IF(ISBLANK($T$1),1,IF($I$23:$I$240=$T$1,1,0)))</f>
        <v>20</v>
      </c>
      <c r="BO3" s="874">
        <f t="array" ref="BO3">SUM(IF(ISTEXT(BO$23:BO$240),1,0)*IF(($L$23:$L$240)="W",1,0)*IF(ISBLANK($T$1),1,IF($I$23:$I$240=$T$1,1,0)))</f>
        <v>1</v>
      </c>
      <c r="BQ3" s="874">
        <f t="array" ref="BQ3">SUM(IF(ISTEXT(BQ$23:BQ$240),1,0)*IF(($L$23:$L$240)="W",1,0)*IF(ISBLANK($T$1),1,IF($I$23:$I$240=$T$1,1,0)))</f>
        <v>1</v>
      </c>
      <c r="BS3" s="874">
        <f t="array" ref="BS3">SUM(IF(ISTEXT(BS$23:BS$240),1,0)*IF(($L$23:$L$240)="W",1,0)*IF(ISBLANK($T$1),1,IF($I$23:$I$240=$T$1,1,0)))</f>
        <v>1</v>
      </c>
      <c r="BT3" s="874">
        <f t="array" ref="BT3">SUM(IF(ISTEXT(BT$23:BT$240),1,0)*IF(($L$23:$L$240)="W",1,0)*IF(ISBLANK($T$1),1,IF($I$23:$I$240=$T$1,1,0)))</f>
        <v>1</v>
      </c>
      <c r="BU3" s="874" t="e">
        <f t="array" ref="BU3">SUM(IF(ISTEXT(BU$41:BU$240),1,0)*IF(($L$23:$L$240)="W",1,0)*IF(ISBLANK($T$1),1,IF($I$23:$I$240=$T$1,1,0)))</f>
        <v>#N/A</v>
      </c>
      <c r="BZ3" s="874">
        <f t="array" ref="BZ3">SUM(IF(ISTEXT(BZ$23:BZ$240),1,0)*IF(($L$23:$L$240)="W",1,0)*IF(ISBLANK($T$1),1,IF($I$23:$I$240=$T$1,1,0)))</f>
        <v>0</v>
      </c>
      <c r="CA3" s="874">
        <f t="array" ref="CA3">SUM(IF(ISTEXT(CA$23:CA$240),1,0)*IF(($L$23:$L$240)="W",1,0)*IF(ISBLANK($T$1),1,IF($I$23:$I$240=$T$1,1,0)))</f>
        <v>0</v>
      </c>
      <c r="CB3" s="874">
        <f t="array" ref="CB3">SUM(IF(ISTEXT(CB$23:CB$240),1,0)*IF(($L$23:$L$240)="W",1,0)*IF(ISBLANK($T$1),1,IF($I$23:$I$240=$T$1,1,0)))</f>
        <v>0</v>
      </c>
      <c r="CC3" s="874">
        <f t="array" ref="CC3">SUM(IF(ISTEXT(CC$23:CC$240),1,0)*IF(($L$23:$L$240)="W",1,0)*IF(ISBLANK($T$1),1,IF($I$23:$I$240=$T$1,1,0)))</f>
        <v>0</v>
      </c>
      <c r="CD3" s="874">
        <f t="array" ref="CD3">SUM(IF(ISTEXT(CD$23:CD$240),1,0)*IF(($L$23:$L$240)="W",1,0)*IF(ISBLANK($T$1),1,IF($I$23:$I$240=$T$1,1,0)))</f>
        <v>0</v>
      </c>
      <c r="CE3" s="874">
        <f t="array" ref="CE3">SUM(IF(ISTEXT(CE$23:CE$240),1,0)*IF(($L$23:$L$240)="W",1,0)*IF(ISBLANK($T$1),1,IF($I$23:$I$240=$T$1,1,0)))</f>
        <v>0</v>
      </c>
      <c r="CF3" s="874">
        <f t="array" ref="CF3">SUM(IF(ISTEXT(CF$23:CF$240),1,0)*IF(($L$23:$L$240)="W",1,0)*IF(ISBLANK($T$1),1,IF($I$23:$I$240=$T$1,1,0)))</f>
        <v>0</v>
      </c>
      <c r="CG3" s="874">
        <f t="array" ref="CG3">SUM(IF(ISTEXT(CG$23:CG$240),1,0)*IF(($L$23:$L$240)="W",1,0)*IF(ISBLANK($T$1),1,IF($I$23:$I$240=$T$1,1,0)))</f>
        <v>0</v>
      </c>
      <c r="CH3" s="874">
        <f t="array" ref="CH3">SUM(IF(ISTEXT(CH$23:CH$240),1,0)*IF(($L$23:$L$240)="W",1,0)*IF(ISBLANK($T$1),1,IF($I$23:$I$240=$T$1,1,0)))</f>
        <v>0</v>
      </c>
      <c r="CI3" s="874">
        <f t="array" ref="CI3">SUM(IF(ISTEXT(CI$23:CI$240),1,0)*IF(($L$23:$L$240)="W",1,0)*IF(ISBLANK($T$1),1,IF($I$23:$I$240=$T$1,1,0)))</f>
        <v>0</v>
      </c>
      <c r="CJ3" s="874">
        <f t="array" ref="CJ3">SUM(IF(ISTEXT(CJ$23:CJ$240),1,0)*IF(($L$23:$L$240)="W",1,0)*IF(ISBLANK($T$1),1,IF($I$23:$I$240=$T$1,1,0)))</f>
        <v>0</v>
      </c>
      <c r="CK3" s="874">
        <f t="array" ref="CK3">SUM(IF(ISTEXT(CK$23:CK$240),1,0)*IF(($L$23:$L$240)="W",1,0)*IF(ISBLANK($T$1),1,IF($I$23:$I$240=$T$1,1,0)))</f>
        <v>6</v>
      </c>
      <c r="CL3" s="874">
        <f t="array" ref="CL3">SUM(IF(ISTEXT(CL$23:CL$240),1,0)*IF(($L$23:$L$240)="W",1,0)*IF(ISBLANK($T$1),1,IF($I$23:$I$240=$T$1,1,0)))</f>
        <v>6</v>
      </c>
      <c r="CM3" s="874">
        <f t="array" ref="CM3">SUM(IF(ISTEXT(CM$23:CM$240),1,0)*IF(($L$23:$L$240)="W",1,0)*IF(ISBLANK($T$1),1,IF($I$23:$I$240=$T$1,1,0)))</f>
        <v>5</v>
      </c>
    </row>
    <row r="4" spans="1:91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SUM(IF(L$23:L$240="D",1,0)*IF(ISBLANK($T$1),1,IF($I$23:$I$240=$T$1,1,0)))</f>
        <v>9</v>
      </c>
      <c r="AG4" s="874">
        <f t="array" ref="AG4">SUM(IF(ISTEXT(AG$23:AG$240),1,0)*IF(($L$23:$L$240)="D",1,0)*IF(ISBLANK($T$1),1,IF($I$23:$I$240=$T$1,1,0)))</f>
        <v>8</v>
      </c>
      <c r="AH4" s="874">
        <f t="array" ref="AH4">SUM(IF(ISTEXT(AH$23:AH$240),1,0)*IF(($L$23:$L$240)="D",1,0)*IF(ISBLANK($T$1),1,IF($I$23:$I$240=$T$1,1,0)))</f>
        <v>9</v>
      </c>
      <c r="AI4" s="874">
        <f t="array" ref="AI4">SUM(IF(ISTEXT(AI$23:AI$240),1,0)*IF(($L$23:$L$240)="D",1,0)*IF(ISBLANK($T$1),1,IF($I$23:$I$240=$T$1,1,0)))</f>
        <v>9</v>
      </c>
      <c r="AK4" s="874">
        <f t="array" ref="AK4">SUM(IF(ISTEXT(AK$23:AK$240),1,0)*IF(($L$23:$L$240)="D",1,0)*IF(ISBLANK($T$1),1,IF($I$23:$I$240=$T$1,1,0)))</f>
        <v>9</v>
      </c>
      <c r="AL4" s="874">
        <f t="array" ref="AL4">SUM(IF(ISTEXT(AL$23:AL$240),1,0)*IF(($L$23:$L$240)="D",1,0)*IF(ISBLANK($T$1),1,IF($I$23:$I$240=$T$1,1,0)))</f>
        <v>9</v>
      </c>
      <c r="AN4" s="874">
        <f t="array" ref="AN4">SUM(IF(ISTEXT(AN$23:AN$240),1,0)*IF(($L$23:$L$240)="D",1,0)*IF(ISBLANK($T$1),1,IF($I$23:$I$240=$T$1,1,0)))</f>
        <v>9</v>
      </c>
      <c r="AP4" s="874">
        <f t="array" ref="AP4">SUM(IF(ISTEXT(AP$23:AP$240),1,0)*IF(($L$23:$L$240)="D",1,0)*IF(ISBLANK($T$1),1,IF($I$23:$I$240=$T$1,1,0)))</f>
        <v>9</v>
      </c>
      <c r="AQ4" s="874">
        <f t="array" ref="AQ4">SUM(IF(ISTEXT(AQ$23:AQ$240),1,0)*IF(($L$23:$L$240)="D",1,0)*IF(ISBLANK($T$1),1,IF($I$23:$I$240=$T$1,1,0)))</f>
        <v>9</v>
      </c>
      <c r="AS4" s="874">
        <f t="array" ref="AS4">SUM(IF(ISTEXT(AS$23:AS$240),1,0)*IF(($L$23:$L$240)="D",1,0)*IF(ISBLANK($T$1),1,IF($I$23:$I$240=$T$1,1,0)))</f>
        <v>9</v>
      </c>
      <c r="AT4" s="874">
        <f t="array" ref="AT4">SUM(IF(ISTEXT(AT$23:AT$240),1,0)*IF(($L$23:$L$240)="D",1,0)*IF(ISBLANK($T$1),1,IF($I$23:$I$240=$T$1,1,0)))</f>
        <v>9</v>
      </c>
      <c r="AU4" s="874">
        <f t="array" ref="AU4">SUM(IF(ISTEXT(AU$23:AU$240),1,0)*IF(($L$23:$L$240)="D",1,0)*IF(ISBLANK($T$1),1,IF($I$23:$I$240=$T$1,1,0)))</f>
        <v>9</v>
      </c>
      <c r="AW4" s="874">
        <f t="array" ref="AW4">SUM(IF(ISTEXT(AW$23:AW$240),1,0)*IF(($L$23:$L$240)="D",1,0)*IF(ISBLANK($T$1),1,IF($I$23:$I$240=$T$1,1,0)))</f>
        <v>9</v>
      </c>
      <c r="AX4" s="874">
        <f t="array" ref="AX4">SUM(IF(ISTEXT(AX$23:AX$240),1,0)*IF(($L$23:$L$240)="D",1,0)*IF(ISBLANK($T$1),1,IF($I$23:$I$240=$T$1,1,0)))</f>
        <v>9</v>
      </c>
      <c r="BA4" s="874">
        <f t="array" ref="BA4">SUM(IF(ISTEXT(BA$23:BA$240),1,0)*IF(($L$23:$L$240)="D",1,0)*IF(ISBLANK($T$1),1,IF($I$23:$I$240=$T$1,1,0)))</f>
        <v>9</v>
      </c>
      <c r="BB4" s="874">
        <f t="array" ref="BB4">SUM(IF(ISTEXT(BB$23:BB$240),1,0)*IF(($L$23:$L$240)="D",1,0)*IF(ISBLANK($T$1),1,IF($I$23:$I$240=$T$1,1,0)))</f>
        <v>9</v>
      </c>
      <c r="BC4" s="874">
        <f t="array" ref="BC4">SUM(IF(ISTEXT(BC$23:BC$240),1,0)*IF(($L$23:$L$240)="D",1,0)*IF(ISBLANK($T$1),1,IF($I$23:$I$240=$T$1,1,0)))</f>
        <v>9</v>
      </c>
      <c r="BD4" s="874">
        <f t="array" ref="BD4">SUM(IF(ISTEXT(BD$23:BD$240),1,0)*IF(($L$23:$L$240)="D",1,0)*IF(ISBLANK($T$1),1,IF($I$23:$I$240=$T$1,1,0)))</f>
        <v>9</v>
      </c>
      <c r="BO4" s="874">
        <f t="array" ref="BO4">SUM(IF(ISTEXT(BO$23:BO$240),1,0)*IF(($L$23:$L$240)="D",1,0)*IF(ISBLANK($T$1),1,IF($I$23:$I$240=$T$1,1,0)))</f>
        <v>0</v>
      </c>
      <c r="BQ4" s="874">
        <f t="array" ref="BQ4">SUM(IF(ISTEXT(BQ$23:BQ$240),1,0)*IF(($L$23:$L$240)="D",1,0)*IF(ISBLANK($T$1),1,IF($I$23:$I$240=$T$1,1,0)))</f>
        <v>0</v>
      </c>
      <c r="BS4" s="874">
        <f t="array" ref="BS4">SUM(IF(ISTEXT(BS$23:BS$240),1,0)*IF(($L$23:$L$240)="D",1,0)*IF(ISBLANK($T$1),1,IF($I$23:$I$240=$T$1,1,0)))</f>
        <v>0</v>
      </c>
      <c r="BT4" s="874">
        <f t="array" ref="BT4">SUM(IF(ISTEXT(BT$23:BT$240),1,0)*IF(($L$23:$L$240)="D",1,0)*IF(ISBLANK($T$1),1,IF($I$23:$I$240=$T$1,1,0)))</f>
        <v>0</v>
      </c>
      <c r="BU4" s="874" t="e">
        <f t="array" ref="BU4">SUM(IF(ISTEXT(BU$41:BU$240),1,0)*IF(($L$23:$L$240)="D",1,0)*IF(ISBLANK($T$1),1,IF($I$23:$I$240=$T$1,1,0)))</f>
        <v>#N/A</v>
      </c>
      <c r="BZ4" s="874">
        <f t="array" ref="BZ4">SUM(IF(ISTEXT(BZ$23:BZ$240),1,0)*IF(($L$23:$L$240)="D",1,0)*IF(ISBLANK($T$1),1,IF($I$23:$I$240=$T$1,1,0)))</f>
        <v>0</v>
      </c>
      <c r="CA4" s="874">
        <f t="array" ref="CA4">SUM(IF(ISTEXT(CA$23:CA$240),1,0)*IF(($L$23:$L$240)="D",1,0)*IF(ISBLANK($T$1),1,IF($I$23:$I$240=$T$1,1,0)))</f>
        <v>0</v>
      </c>
      <c r="CB4" s="874">
        <f t="array" ref="CB4">SUM(IF(ISTEXT(CB$23:CB$240),1,0)*IF(($L$23:$L$240)="D",1,0)*IF(ISBLANK($T$1),1,IF($I$23:$I$240=$T$1,1,0)))</f>
        <v>0</v>
      </c>
      <c r="CC4" s="874">
        <f t="array" ref="CC4">SUM(IF(ISTEXT(CC$23:CC$240),1,0)*IF(($L$23:$L$240)="D",1,0)*IF(ISBLANK($T$1),1,IF($I$23:$I$240=$T$1,1,0)))</f>
        <v>0</v>
      </c>
      <c r="CD4" s="874">
        <f t="array" ref="CD4">SUM(IF(ISTEXT(CD$23:CD$240),1,0)*IF(($L$23:$L$240)="D",1,0)*IF(ISBLANK($T$1),1,IF($I$23:$I$240=$T$1,1,0)))</f>
        <v>0</v>
      </c>
      <c r="CE4" s="874">
        <f t="array" ref="CE4">SUM(IF(ISTEXT(CE$23:CE$240),1,0)*IF(($L$23:$L$240)="D",1,0)*IF(ISBLANK($T$1),1,IF($I$23:$I$240=$T$1,1,0)))</f>
        <v>0</v>
      </c>
      <c r="CF4" s="874">
        <f t="array" ref="CF4">SUM(IF(ISTEXT(CF$23:CF$240),1,0)*IF(($L$23:$L$240)="D",1,0)*IF(ISBLANK($T$1),1,IF($I$23:$I$240=$T$1,1,0)))</f>
        <v>0</v>
      </c>
      <c r="CG4" s="874">
        <f t="array" ref="CG4">SUM(IF(ISTEXT(CG$23:CG$240),1,0)*IF(($L$23:$L$240)="D",1,0)*IF(ISBLANK($T$1),1,IF($I$23:$I$240=$T$1,1,0)))</f>
        <v>0</v>
      </c>
      <c r="CH4" s="874">
        <f t="array" ref="CH4">SUM(IF(ISTEXT(CH$23:CH$240),1,0)*IF(($L$23:$L$240)="D",1,0)*IF(ISBLANK($T$1),1,IF($I$23:$I$240=$T$1,1,0)))</f>
        <v>0</v>
      </c>
      <c r="CI4" s="874">
        <f t="array" ref="CI4">SUM(IF(ISTEXT(CI$23:CI$240),1,0)*IF(($L$23:$L$240)="D",1,0)*IF(ISBLANK($T$1),1,IF($I$23:$I$240=$T$1,1,0)))</f>
        <v>0</v>
      </c>
      <c r="CJ4" s="874">
        <f t="array" ref="CJ4">SUM(IF(ISTEXT(CJ$23:CJ$240),1,0)*IF(($L$23:$L$240)="D",1,0)*IF(ISBLANK($T$1),1,IF($I$23:$I$240=$T$1,1,0)))</f>
        <v>0</v>
      </c>
      <c r="CK4" s="874">
        <f t="array" ref="CK4">SUM(IF(ISTEXT(CK$23:CK$240),1,0)*IF(($L$23:$L$240)="D",1,0)*IF(ISBLANK($T$1),1,IF($I$23:$I$240=$T$1,1,0)))</f>
        <v>5</v>
      </c>
      <c r="CL4" s="874">
        <f t="array" ref="CL4">SUM(IF(ISTEXT(CL$23:CL$240),1,0)*IF(($L$23:$L$240)="D",1,0)*IF(ISBLANK($T$1),1,IF($I$23:$I$240=$T$1,1,0)))</f>
        <v>5</v>
      </c>
      <c r="CM4" s="874">
        <f t="array" ref="CM4">SUM(IF(ISTEXT(CM$23:CM$240),1,0)*IF(($L$23:$L$240)="D",1,0)*IF(ISBLANK($T$1),1,IF($I$23:$I$240=$T$1,1,0)))</f>
        <v>5</v>
      </c>
    </row>
    <row r="5" spans="1:91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SUM(IF(L$23:L$240="L",1,0)*IF(ISBLANK($T$1),1,IF($I$23:$I$240=$T$1,1,0)))</f>
        <v>15</v>
      </c>
      <c r="AG5" s="874">
        <f t="array" ref="AG5">SUM(IF(ISTEXT(AG$23:AG$240),1,0)*IF(($L$23:$L$240)="L",1,0)*IF(ISBLANK($T$1),1,IF($I$23:$I$240=$T$1,1,0)))</f>
        <v>12</v>
      </c>
      <c r="AH5" s="874">
        <f t="array" ref="AH5">SUM(IF(ISTEXT(AH$23:AH$240),1,0)*IF(($L$23:$L$240)="L",1,0)*IF(ISBLANK($T$1),1,IF($I$23:$I$240=$T$1,1,0)))</f>
        <v>15</v>
      </c>
      <c r="AI5" s="874">
        <f t="array" ref="AI5">SUM(IF(ISTEXT(AI$23:AI$240),1,0)*IF(($L$23:$L$240)="L",1,0)*IF(ISBLANK($T$1),1,IF($I$23:$I$240=$T$1,1,0)))</f>
        <v>14</v>
      </c>
      <c r="AK5" s="874">
        <f t="array" ref="AK5">SUM(IF(ISTEXT(AK$23:AK$240),1,0)*IF(($L$23:$L$240)="L",1,0)*IF(ISBLANK($T$1),1,IF($I$23:$I$240=$T$1,1,0)))</f>
        <v>14</v>
      </c>
      <c r="AL5" s="874">
        <f t="array" ref="AL5">SUM(IF(ISTEXT(AL$23:AL$240),1,0)*IF(($L$23:$L$240)="L",1,0)*IF(ISBLANK($T$1),1,IF($I$23:$I$240=$T$1,1,0)))</f>
        <v>15</v>
      </c>
      <c r="AN5" s="874">
        <f t="array" ref="AN5">SUM(IF(ISTEXT(AN$23:AN$240),1,0)*IF(($L$23:$L$240)="L",1,0)*IF(ISBLANK($T$1),1,IF($I$23:$I$240=$T$1,1,0)))</f>
        <v>15</v>
      </c>
      <c r="AP5" s="874">
        <f t="array" ref="AP5">SUM(IF(ISTEXT(AP$23:AP$240),1,0)*IF(($L$23:$L$240)="L",1,0)*IF(ISBLANK($T$1),1,IF($I$23:$I$240=$T$1,1,0)))</f>
        <v>15</v>
      </c>
      <c r="AQ5" s="874">
        <f t="array" ref="AQ5">SUM(IF(ISTEXT(AQ$23:AQ$240),1,0)*IF(($L$23:$L$240)="L",1,0)*IF(ISBLANK($T$1),1,IF($I$23:$I$240=$T$1,1,0)))</f>
        <v>15</v>
      </c>
      <c r="AS5" s="874">
        <f t="array" ref="AS5">SUM(IF(ISTEXT(AS$23:AS$240),1,0)*IF(($L$23:$L$240)="L",1,0)*IF(ISBLANK($T$1),1,IF($I$23:$I$240=$T$1,1,0)))</f>
        <v>14</v>
      </c>
      <c r="AT5" s="874">
        <f t="array" ref="AT5">SUM(IF(ISTEXT(AT$23:AT$240),1,0)*IF(($L$23:$L$240)="L",1,0)*IF(ISBLANK($T$1),1,IF($I$23:$I$240=$T$1,1,0)))</f>
        <v>15</v>
      </c>
      <c r="AU5" s="874">
        <f t="array" ref="AU5">SUM(IF(ISTEXT(AU$23:AU$240),1,0)*IF(($L$23:$L$240)="L",1,0)*IF(ISBLANK($T$1),1,IF($I$23:$I$240=$T$1,1,0)))</f>
        <v>14</v>
      </c>
      <c r="AW5" s="874">
        <f t="array" ref="AW5">SUM(IF(ISTEXT(AW$23:AW$240),1,0)*IF(($L$23:$L$240)="L",1,0)*IF(ISBLANK($T$1),1,IF($I$23:$I$240=$T$1,1,0)))</f>
        <v>14</v>
      </c>
      <c r="AX5" s="874">
        <f t="array" ref="AX5">SUM(IF(ISTEXT(AX$23:AX$240),1,0)*IF(($L$23:$L$240)="L",1,0)*IF(ISBLANK($T$1),1,IF($I$23:$I$240=$T$1,1,0)))</f>
        <v>14</v>
      </c>
      <c r="BA5" s="874">
        <f t="array" ref="BA5">SUM(IF(ISTEXT(BA$23:BA$240),1,0)*IF(($L$23:$L$240)="L",1,0)*IF(ISBLANK($T$1),1,IF($I$23:$I$240=$T$1,1,0)))</f>
        <v>14</v>
      </c>
      <c r="BB5" s="874">
        <f t="array" ref="BB5">SUM(IF(ISTEXT(BB$23:BB$240),1,0)*IF(($L$23:$L$240)="L",1,0)*IF(ISBLANK($T$1),1,IF($I$23:$I$240=$T$1,1,0)))</f>
        <v>15</v>
      </c>
      <c r="BC5" s="874">
        <f t="array" ref="BC5">SUM(IF(ISTEXT(BC$23:BC$240),1,0)*IF(($L$23:$L$240)="L",1,0)*IF(ISBLANK($T$1),1,IF($I$23:$I$240=$T$1,1,0)))</f>
        <v>15</v>
      </c>
      <c r="BD5" s="874">
        <f t="array" ref="BD5">SUM(IF(ISTEXT(BD$23:BD$240),1,0)*IF(($L$23:$L$240)="L",1,0)*IF(ISBLANK($T$1),1,IF($I$23:$I$240=$T$1,1,0)))</f>
        <v>15</v>
      </c>
      <c r="BO5" s="874">
        <f t="array" ref="BO5">SUM(IF(ISTEXT(BO$23:BO$240),1,0)*IF(($L$23:$L$240)="L",1,0)*IF(ISBLANK($T$1),1,IF($I$23:$I$240=$T$1,1,0)))</f>
        <v>0</v>
      </c>
      <c r="BQ5" s="874">
        <f t="array" ref="BQ5">SUM(IF(ISTEXT(BQ$23:BQ$240),1,0)*IF(($L$23:$L$240)="L",1,0)*IF(ISBLANK($T$1),1,IF($I$23:$I$240=$T$1,1,0)))</f>
        <v>0</v>
      </c>
      <c r="BS5" s="874">
        <f t="array" ref="BS5">SUM(IF(ISTEXT(BS$23:BS$240),1,0)*IF(($L$23:$L$240)="L",1,0)*IF(ISBLANK($T$1),1,IF($I$23:$I$240=$T$1,1,0)))</f>
        <v>0</v>
      </c>
      <c r="BT5" s="874">
        <f t="array" ref="BT5">SUM(IF(ISTEXT(BT$23:BT$240),1,0)*IF(($L$23:$L$240)="L",1,0)*IF(ISBLANK($T$1),1,IF($I$23:$I$240=$T$1,1,0)))</f>
        <v>0</v>
      </c>
      <c r="BU5" s="874" t="e">
        <f t="array" ref="BU5">SUM(IF(ISTEXT(BU$41:BU$240),1,0)*IF(($L$23:$L$240)="L",1,0)*IF(ISBLANK($T$1),1,IF($I$23:$I$240=$T$1,1,0)))</f>
        <v>#N/A</v>
      </c>
      <c r="BZ5" s="874">
        <f t="array" ref="BZ5">SUM(IF(ISTEXT(BZ$23:BZ$240),1,0)*IF(($L$23:$L$240)="L",1,0)*IF(ISBLANK($T$1),1,IF($I$23:$I$240=$T$1,1,0)))</f>
        <v>0</v>
      </c>
      <c r="CA5" s="874">
        <f t="array" ref="CA5">SUM(IF(ISTEXT(CA$23:CA$240),1,0)*IF(($L$23:$L$240)="L",1,0)*IF(ISBLANK($T$1),1,IF($I$23:$I$240=$T$1,1,0)))</f>
        <v>0</v>
      </c>
      <c r="CB5" s="874">
        <f t="array" ref="CB5">SUM(IF(ISTEXT(CB$23:CB$240),1,0)*IF(($L$23:$L$240)="L",1,0)*IF(ISBLANK($T$1),1,IF($I$23:$I$240=$T$1,1,0)))</f>
        <v>0</v>
      </c>
      <c r="CC5" s="874">
        <f t="array" ref="CC5">SUM(IF(ISTEXT(CC$23:CC$240),1,0)*IF(($L$23:$L$240)="L",1,0)*IF(ISBLANK($T$1),1,IF($I$23:$I$240=$T$1,1,0)))</f>
        <v>0</v>
      </c>
      <c r="CD5" s="874">
        <f t="array" ref="CD5">SUM(IF(ISTEXT(CD$23:CD$240),1,0)*IF(($L$23:$L$240)="L",1,0)*IF(ISBLANK($T$1),1,IF($I$23:$I$240=$T$1,1,0)))</f>
        <v>0</v>
      </c>
      <c r="CE5" s="874">
        <f t="array" ref="CE5">SUM(IF(ISTEXT(CE$23:CE$240),1,0)*IF(($L$23:$L$240)="L",1,0)*IF(ISBLANK($T$1),1,IF($I$23:$I$240=$T$1,1,0)))</f>
        <v>0</v>
      </c>
      <c r="CF5" s="874">
        <f t="array" ref="CF5">SUM(IF(ISTEXT(CF$23:CF$240),1,0)*IF(($L$23:$L$240)="L",1,0)*IF(ISBLANK($T$1),1,IF($I$23:$I$240=$T$1,1,0)))</f>
        <v>0</v>
      </c>
      <c r="CG5" s="874">
        <f t="array" ref="CG5">SUM(IF(ISTEXT(CG$23:CG$240),1,0)*IF(($L$23:$L$240)="L",1,0)*IF(ISBLANK($T$1),1,IF($I$23:$I$240=$T$1,1,0)))</f>
        <v>0</v>
      </c>
      <c r="CH5" s="874">
        <f t="array" ref="CH5">SUM(IF(ISTEXT(CH$23:CH$240),1,0)*IF(($L$23:$L$240)="L",1,0)*IF(ISBLANK($T$1),1,IF($I$23:$I$240=$T$1,1,0)))</f>
        <v>0</v>
      </c>
      <c r="CI5" s="874">
        <f t="array" ref="CI5">SUM(IF(ISTEXT(CI$23:CI$240),1,0)*IF(($L$23:$L$240)="L",1,0)*IF(ISBLANK($T$1),1,IF($I$23:$I$240=$T$1,1,0)))</f>
        <v>0</v>
      </c>
      <c r="CJ5" s="874">
        <f t="array" ref="CJ5">SUM(IF(ISTEXT(CJ$23:CJ$240),1,0)*IF(($L$23:$L$240)="L",1,0)*IF(ISBLANK($T$1),1,IF($I$23:$I$240=$T$1,1,0)))</f>
        <v>0</v>
      </c>
      <c r="CK5" s="874">
        <f t="array" ref="CK5">SUM(IF(ISTEXT(CK$23:CK$240),1,0)*IF(($L$23:$L$240)="L",1,0)*IF(ISBLANK($T$1),1,IF($I$23:$I$240=$T$1,1,0)))</f>
        <v>5</v>
      </c>
      <c r="CL5" s="874">
        <f t="array" ref="CL5">SUM(IF(ISTEXT(CL$23:CL$240),1,0)*IF(($L$23:$L$240)="L",1,0)*IF(ISBLANK($T$1),1,IF($I$23:$I$240=$T$1,1,0)))</f>
        <v>5</v>
      </c>
      <c r="CM5" s="874">
        <f t="array" ref="CM5">SUM(IF(ISTEXT(CM$23:CM$240),1,0)*IF(($L$23:$L$240)="L",1,0)*IF(ISBLANK($T$1),1,IF($I$23:$I$240=$T$1,1,0)))</f>
        <v>5</v>
      </c>
    </row>
    <row r="6" spans="1:91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69</v>
      </c>
      <c r="AG6" s="874">
        <f t="shared" ref="AG6:CM6" si="2">AG$3*3+AG$4</f>
        <v>59</v>
      </c>
      <c r="AH6" s="874">
        <f t="shared" si="2"/>
        <v>69</v>
      </c>
      <c r="AI6" s="874">
        <f t="shared" si="2"/>
        <v>69</v>
      </c>
      <c r="AK6" s="874">
        <f t="shared" si="2"/>
        <v>66</v>
      </c>
      <c r="AL6" s="874">
        <f t="shared" si="2"/>
        <v>69</v>
      </c>
      <c r="AN6" s="874">
        <f>AN$3*3+AN$4</f>
        <v>66</v>
      </c>
      <c r="AP6" s="874">
        <f>AP$3*3+AP$4</f>
        <v>66</v>
      </c>
      <c r="AQ6" s="874">
        <f t="shared" si="2"/>
        <v>66</v>
      </c>
      <c r="AS6" s="874">
        <f t="shared" si="2"/>
        <v>66</v>
      </c>
      <c r="AT6" s="874">
        <f>AT$3*3+AT$4</f>
        <v>66</v>
      </c>
      <c r="AU6" s="874">
        <f>AU$3*3+AU$4</f>
        <v>66</v>
      </c>
      <c r="AW6" s="874">
        <f>AW$3*3+AW$4</f>
        <v>69</v>
      </c>
      <c r="AX6" s="874">
        <f>AX$3*3+AX$4</f>
        <v>69</v>
      </c>
      <c r="BA6" s="874">
        <f>BA$3*3+BA$4</f>
        <v>69</v>
      </c>
      <c r="BB6" s="874">
        <f>BB$3*3+BB$4</f>
        <v>69</v>
      </c>
      <c r="BC6" s="874">
        <f>BC$3*3+BC$4</f>
        <v>69</v>
      </c>
      <c r="BD6" s="874">
        <f>BD$3*3+BD$4</f>
        <v>69</v>
      </c>
      <c r="BO6" s="874">
        <f>BO$3*3+BO$4</f>
        <v>3</v>
      </c>
      <c r="BQ6" s="874">
        <f>BQ$3*3+BQ$4</f>
        <v>3</v>
      </c>
      <c r="BS6" s="874">
        <f>BS$3*3+BS$4</f>
        <v>3</v>
      </c>
      <c r="BT6" s="874">
        <f>BT$3*3+BT$4</f>
        <v>3</v>
      </c>
      <c r="BU6" s="874" t="e">
        <f t="shared" si="2"/>
        <v>#N/A</v>
      </c>
      <c r="BZ6" s="874">
        <f t="shared" ref="BZ6:CF6" si="3">BZ$3*3+BZ$4</f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3"/>
        <v>0</v>
      </c>
      <c r="CF6" s="874">
        <f t="shared" si="3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0</v>
      </c>
      <c r="CK6" s="874">
        <f t="shared" si="2"/>
        <v>23</v>
      </c>
      <c r="CL6" s="874">
        <f t="shared" si="2"/>
        <v>23</v>
      </c>
      <c r="CM6" s="874">
        <f t="shared" si="2"/>
        <v>20</v>
      </c>
    </row>
    <row r="7" spans="1:91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M7" si="4">AF6/AF2</f>
        <v>1.5681818181818181</v>
      </c>
      <c r="AG7" s="874">
        <f t="shared" si="4"/>
        <v>1.5526315789473684</v>
      </c>
      <c r="AH7" s="874">
        <f t="shared" si="4"/>
        <v>1.5333333333333334</v>
      </c>
      <c r="AI7" s="874">
        <f t="shared" si="4"/>
        <v>1.5681818181818181</v>
      </c>
      <c r="AK7" s="874">
        <f t="shared" si="4"/>
        <v>1.5348837209302326</v>
      </c>
      <c r="AL7" s="874">
        <f t="shared" si="4"/>
        <v>1.5333333333333334</v>
      </c>
      <c r="AN7" s="874">
        <f>AN6/AN2</f>
        <v>1.5</v>
      </c>
      <c r="AP7" s="874">
        <f>AP6/AP2</f>
        <v>1.5</v>
      </c>
      <c r="AQ7" s="874">
        <f t="shared" ref="AQ7" si="5">AQ6/AQ2</f>
        <v>1.5</v>
      </c>
      <c r="AS7" s="874">
        <f t="shared" si="4"/>
        <v>1.5348837209302326</v>
      </c>
      <c r="AT7" s="874">
        <f>AT6/AT2</f>
        <v>1.5</v>
      </c>
      <c r="AU7" s="874">
        <f>AU6/AU2</f>
        <v>1.5348837209302326</v>
      </c>
      <c r="AW7" s="874">
        <f>AW6/AW2</f>
        <v>1.5681818181818181</v>
      </c>
      <c r="AX7" s="874">
        <f>AX6/AX2</f>
        <v>1.5681818181818181</v>
      </c>
      <c r="BA7" s="874">
        <f>BA6/BA2</f>
        <v>1.5681818181818181</v>
      </c>
      <c r="BB7" s="874">
        <f>BB6/BB2</f>
        <v>1.5333333333333334</v>
      </c>
      <c r="BC7" s="874">
        <f>BC6/BC2</f>
        <v>1.5333333333333334</v>
      </c>
      <c r="BD7" s="874">
        <f>BD6/BD2</f>
        <v>1.5333333333333334</v>
      </c>
      <c r="BO7" s="874">
        <f>BO6/BO2</f>
        <v>3</v>
      </c>
      <c r="BQ7" s="874">
        <f>BQ6/BQ2</f>
        <v>3</v>
      </c>
      <c r="BS7" s="874">
        <f>BS6/BS2</f>
        <v>3</v>
      </c>
      <c r="BT7" s="874">
        <f>BT6/BT2</f>
        <v>3</v>
      </c>
      <c r="BU7" s="874" t="e">
        <f t="shared" si="4"/>
        <v>#N/A</v>
      </c>
      <c r="BZ7" s="874" t="e">
        <f t="shared" ref="BZ7:CF7" si="6">BZ6/BZ2</f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6"/>
        <v>#DIV/0!</v>
      </c>
      <c r="CF7" s="874" t="e">
        <f t="shared" si="6"/>
        <v>#DIV/0!</v>
      </c>
      <c r="CG7" s="874" t="e">
        <f t="shared" si="4"/>
        <v>#DIV/0!</v>
      </c>
      <c r="CH7" s="874" t="e">
        <f t="shared" si="4"/>
        <v>#DIV/0!</v>
      </c>
      <c r="CI7" s="874" t="e">
        <f t="shared" si="4"/>
        <v>#DIV/0!</v>
      </c>
      <c r="CJ7" s="874" t="e">
        <f t="shared" si="4"/>
        <v>#DIV/0!</v>
      </c>
      <c r="CK7" s="874">
        <f t="shared" si="4"/>
        <v>1.4375</v>
      </c>
      <c r="CL7" s="874">
        <f t="shared" si="4"/>
        <v>1.4375</v>
      </c>
      <c r="CM7" s="874">
        <f t="shared" si="4"/>
        <v>1.3333333333333333</v>
      </c>
    </row>
    <row r="8" spans="1:91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SUM(IF(($T$23:$T$240)="",0,$T$23:$T$240)*IF(ISBLANK($T$1),1,IF($I$23:$I$240=$T$1,1,0)))</f>
        <v>2.5699999999999985</v>
      </c>
      <c r="AG8" s="874">
        <f t="array" ref="AG8">SUM(IF(ISTEXT(AG$23:AG$240),1,0)*IF(($T$23:$T$240)="",0,$T$23:$T$240)*IF(ISBLANK($T$1),1,IF($I$23:$I$240=$T$1,1,0)))</f>
        <v>-1.5299999999999994</v>
      </c>
      <c r="AH8" s="874">
        <f t="array" ref="AH8">SUM(IF(ISTEXT(AH$23:AH$240),1,0)*IF(($T$23:$T$240)="",0,$T$23:$T$240)*IF(ISBLANK($T$1),1,IF($I$23:$I$240=$T$1,1,0)))</f>
        <v>2.5699999999999985</v>
      </c>
      <c r="AI8" s="874">
        <f t="array" ref="AI8">SUM(IF(ISTEXT(AI$23:AI$240),1,0)*IF(($T$23:$T$240)="",0,$T$23:$T$240)*IF(ISBLANK($T$1),1,IF($I$23:$I$240=$T$1,1,0)))</f>
        <v>2.5699999999999985</v>
      </c>
      <c r="AK8" s="874">
        <f t="array" ref="AK8">SUM(IF(ISTEXT(AK$23:AK$240),1,0)*IF(($T$23:$T$240)="",0,$T$23:$T$240)*IF(ISBLANK($T$1),1,IF($I$23:$I$240=$T$1,1,0)))</f>
        <v>1.2000000000000006</v>
      </c>
      <c r="AL8" s="874">
        <f t="array" ref="AL8">SUM(IF(ISTEXT(AL$23:AL$240),1,0)*IF(($T$23:$T$240)="",0,$T$23:$T$240)*IF(ISBLANK($T$1),1,IF($I$23:$I$240=$T$1,1,0)))</f>
        <v>2.5699999999999985</v>
      </c>
      <c r="AN8" s="874">
        <f t="array" ref="AN8">SUM(IF(ISTEXT(AN$23:AN$240),1,0)*IF(($T$23:$T$240)="",0,$T$23:$T$240)*IF(ISBLANK($T$1),1,IF($I$23:$I$240=$T$1,1,0)))</f>
        <v>1.2000000000000006</v>
      </c>
      <c r="AP8" s="874">
        <f t="array" ref="AP8">SUM(IF(ISTEXT(AP$23:AP$240),1,0)*IF(($T$23:$T$240)="",0,$T$23:$T$240)*IF(ISBLANK($T$1),1,IF($I$23:$I$240=$T$1,1,0)))</f>
        <v>1.2000000000000006</v>
      </c>
      <c r="AQ8" s="874">
        <f t="array" ref="AQ8">SUM(IF(ISTEXT(AQ$23:AQ$240),1,0)*IF(($T$23:$T$240)="",0,$T$23:$T$240)*IF(ISBLANK($T$1),1,IF($I$23:$I$240=$T$1,1,0)))</f>
        <v>1.2000000000000006</v>
      </c>
      <c r="AS8" s="874">
        <f t="array" ref="AS8">SUM(IF(ISTEXT(AS$23:AS$240),1,0)*IF(($T$23:$T$240)="",0,$T$23:$T$240)*IF(ISBLANK($T$1),1,IF($I$23:$I$240=$T$1,1,0)))</f>
        <v>1.2000000000000006</v>
      </c>
      <c r="AT8" s="874">
        <f t="array" ref="AT8">SUM(IF(ISTEXT(AT$23:AT$240),1,0)*IF(($T$23:$T$240)="",0,$T$23:$T$240)*IF(ISBLANK($T$1),1,IF($I$23:$I$240=$T$1,1,0)))</f>
        <v>1.2000000000000006</v>
      </c>
      <c r="AU8" s="874">
        <f t="array" ref="AU8">SUM(IF(ISTEXT(AU$23:AU$240),1,0)*IF(($T$23:$T$240)="",0,$T$23:$T$240)*IF(ISBLANK($T$1),1,IF($I$23:$I$240=$T$1,1,0)))</f>
        <v>1.2000000000000006</v>
      </c>
      <c r="AW8" s="874">
        <f t="array" ref="AW8">SUM(IF(ISTEXT(AW$23:AW$240),1,0)*IF(($T$23:$T$240)="",0,$T$23:$T$240)*IF(ISBLANK($T$1),1,IF($I$23:$I$240=$T$1,1,0)))</f>
        <v>2.5699999999999985</v>
      </c>
      <c r="AX8" s="874">
        <f t="array" ref="AX8">SUM(IF(ISTEXT(AX$23:AX$240),1,0)*IF(($T$23:$T$240)="",0,$T$23:$T$240)*IF(ISBLANK($T$1),1,IF($I$23:$I$240=$T$1,1,0)))</f>
        <v>2.5699999999999985</v>
      </c>
      <c r="BA8" s="874">
        <f t="array" ref="BA8">SUM(IF(ISTEXT(BA$23:BA$240),1,0)*IF(($T$23:$T$240)="",0,$T$23:$T$240)*IF(ISBLANK($T$1),1,IF($I$23:$I$240=$T$1,1,0)))</f>
        <v>2.5699999999999985</v>
      </c>
      <c r="BB8" s="874">
        <f t="array" ref="BB8">SUM(IF(ISTEXT(BB$23:BB$240),1,0)*IF(($T$23:$T$240)="",0,$T$23:$T$240)*IF(ISBLANK($T$1),1,IF($I$23:$I$240=$T$1,1,0)))</f>
        <v>2.5699999999999985</v>
      </c>
      <c r="BC8" s="874">
        <f t="array" ref="BC8">SUM(IF(ISTEXT(BC$23:BC$240),1,0)*IF(($T$23:$T$240)="",0,$T$23:$T$240)*IF(ISBLANK($T$1),1,IF($I$23:$I$240=$T$1,1,0)))</f>
        <v>2.5699999999999985</v>
      </c>
      <c r="BD8" s="874">
        <f t="array" ref="BD8">SUM(IF(ISTEXT(BD$23:BD$240),1,0)*IF(($T$23:$T$240)="",0,$T$23:$T$240)*IF(ISBLANK($T$1),1,IF($I$23:$I$240=$T$1,1,0)))</f>
        <v>2.5699999999999985</v>
      </c>
      <c r="BO8" s="874">
        <f t="array" ref="BO8">SUM(IF(ISTEXT(BO$23:BO$240),1,0)*IF(($T$23:$T$240)="",0,$T$23:$T$240)*IF(ISBLANK($T$1),1,IF($I$23:$I$240=$T$1,1,0)))</f>
        <v>1.29</v>
      </c>
      <c r="BQ8" s="874">
        <f t="array" ref="BQ8">SUM(IF(ISTEXT(BQ$23:BQ$240),1,0)*IF(($T$23:$T$240)="",0,$T$23:$T$240)*IF(ISBLANK($T$1),1,IF($I$23:$I$240=$T$1,1,0)))</f>
        <v>1.29</v>
      </c>
      <c r="BS8" s="874">
        <f t="array" ref="BS8">SUM(IF(ISTEXT(BS$23:BS$240),1,0)*IF(($T$23:$T$240)="",0,$T$23:$T$240)*IF(ISBLANK($T$1),1,IF($I$23:$I$240=$T$1,1,0)))</f>
        <v>1.29</v>
      </c>
      <c r="BT8" s="874">
        <f t="array" ref="BT8">SUM(IF(ISTEXT(BT$23:BT$240),1,0)*IF(($T$23:$T$240)="",0,$T$23:$T$240)*IF(ISBLANK($T$1),1,IF($I$23:$I$240=$T$1,1,0)))</f>
        <v>1.29</v>
      </c>
      <c r="BU8" s="874" t="e">
        <f t="array" ref="BU8">SUM(IF(ISTEXT(BU$41:BU$240),1,0)*IF(($T$23:$T$240)="",0,$T$23:$T$240)*IF(ISBLANK($T$1),1,IF($I$23:$I$240=$T$1,1,0)))</f>
        <v>#N/A</v>
      </c>
      <c r="BZ8" s="874">
        <f t="array" ref="BZ8">SUM(IF(ISTEXT(BZ$23:BZ$240),1,0)*IF(($T$23:$T$240)="",0,$T$23:$T$240)*IF(ISBLANK($T$1),1,IF($I$23:$I$240=$T$1,1,0)))</f>
        <v>0</v>
      </c>
      <c r="CA8" s="874">
        <f t="array" ref="CA8">SUM(IF(ISTEXT(CA$23:CA$240),1,0)*IF(($T$23:$T$240)="",0,$T$23:$T$240)*IF(ISBLANK($T$1),1,IF($I$23:$I$240=$T$1,1,0)))</f>
        <v>0</v>
      </c>
      <c r="CB8" s="874">
        <f t="array" ref="CB8">SUM(IF(ISTEXT(CB$23:CB$240),1,0)*IF(($T$23:$T$240)="",0,$T$23:$T$240)*IF(ISBLANK($T$1),1,IF($I$23:$I$240=$T$1,1,0)))</f>
        <v>0</v>
      </c>
      <c r="CC8" s="874">
        <f t="array" ref="CC8">SUM(IF(ISTEXT(CC$23:CC$240),1,0)*IF(($T$23:$T$240)="",0,$T$23:$T$240)*IF(ISBLANK($T$1),1,IF($I$23:$I$240=$T$1,1,0)))</f>
        <v>0</v>
      </c>
      <c r="CD8" s="874">
        <f t="array" ref="CD8">SUM(IF(ISTEXT(CD$23:CD$240),1,0)*IF(($T$23:$T$240)="",0,$T$23:$T$240)*IF(ISBLANK($T$1),1,IF($I$23:$I$240=$T$1,1,0)))</f>
        <v>0</v>
      </c>
      <c r="CE8" s="874">
        <f t="array" ref="CE8">SUM(IF(ISTEXT(CE$23:CE$240),1,0)*IF(($T$23:$T$240)="",0,$T$23:$T$240)*IF(ISBLANK($T$1),1,IF($I$23:$I$240=$T$1,1,0)))</f>
        <v>0</v>
      </c>
      <c r="CF8" s="874">
        <f t="array" ref="CF8">SUM(IF(ISTEXT(CF$23:CF$240),1,0)*IF(($T$23:$T$240)="",0,$T$23:$T$240)*IF(ISBLANK($T$1),1,IF($I$23:$I$240=$T$1,1,0)))</f>
        <v>0</v>
      </c>
      <c r="CG8" s="874">
        <f t="array" ref="CG8">SUM(IF(ISTEXT(CG$23:CG$240),1,0)*IF(($T$23:$T$240)="",0,$T$23:$T$240)*IF(ISBLANK($T$1),1,IF($I$23:$I$240=$T$1,1,0)))</f>
        <v>0</v>
      </c>
      <c r="CH8" s="874">
        <f t="array" ref="CH8">SUM(IF(ISTEXT(CH$23:CH$240),1,0)*IF(($T$23:$T$240)="",0,$T$23:$T$240)*IF(ISBLANK($T$1),1,IF($I$23:$I$240=$T$1,1,0)))</f>
        <v>0</v>
      </c>
      <c r="CI8" s="874">
        <f t="array" ref="CI8">SUM(IF(ISTEXT(CI$23:CI$240),1,0)*IF(($T$23:$T$240)="",0,$T$23:$T$240)*IF(ISBLANK($T$1),1,IF($I$23:$I$240=$T$1,1,0)))</f>
        <v>0</v>
      </c>
      <c r="CJ8" s="874">
        <f t="array" ref="CJ8">SUM(IF(ISTEXT(CJ$23:CJ$240),1,0)*IF(($T$23:$T$240)="",0,$T$23:$T$240)*IF(ISBLANK($T$1),1,IF($I$23:$I$240=$T$1,1,0)))</f>
        <v>0</v>
      </c>
      <c r="CK8" s="874">
        <f t="array" ref="CK8">SUM(IF(ISTEXT(CK$23:CK$240),1,0)*IF(($T$23:$T$240)="",0,$T$23:$T$240)*IF(ISBLANK($T$1),1,IF($I$23:$I$240=$T$1,1,0)))</f>
        <v>-6.82</v>
      </c>
      <c r="CL8" s="874">
        <f t="array" ref="CL8">SUM(IF(ISTEXT(CL$23:CL$240),1,0)*IF(($T$23:$T$240)="",0,$T$23:$T$240)*IF(ISBLANK($T$1),1,IF($I$23:$I$240=$T$1,1,0)))</f>
        <v>-6.82</v>
      </c>
      <c r="CM8" s="874">
        <f t="array" ref="CM8">SUM(IF(ISTEXT(CM$23:CM$240),1,0)*IF(($T$23:$T$240)="",0,$T$23:$T$240)*IF(ISBLANK($T$1),1,IF($I$23:$I$240=$T$1,1,0)))</f>
        <v>-6.2100000000000009</v>
      </c>
    </row>
    <row r="9" spans="1:91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M9" si="7">AF8/AF2</f>
        <v>5.8409090909090876E-2</v>
      </c>
      <c r="AG9" s="874">
        <f t="shared" si="7"/>
        <v>-4.0263157894736827E-2</v>
      </c>
      <c r="AH9" s="874">
        <f t="shared" si="7"/>
        <v>5.7111111111111078E-2</v>
      </c>
      <c r="AI9" s="874">
        <f t="shared" si="7"/>
        <v>5.8409090909090876E-2</v>
      </c>
      <c r="AK9" s="874">
        <f t="shared" si="7"/>
        <v>2.790697674418606E-2</v>
      </c>
      <c r="AL9" s="874">
        <f t="shared" si="7"/>
        <v>5.7111111111111078E-2</v>
      </c>
      <c r="AN9" s="874">
        <f>AN8/AN2</f>
        <v>2.7272727272727285E-2</v>
      </c>
      <c r="AP9" s="874">
        <f>AP8/AP2</f>
        <v>2.7272727272727285E-2</v>
      </c>
      <c r="AQ9" s="874">
        <f t="shared" ref="AQ9" si="8">AQ8/AQ2</f>
        <v>2.7272727272727285E-2</v>
      </c>
      <c r="AS9" s="874">
        <f t="shared" si="7"/>
        <v>2.790697674418606E-2</v>
      </c>
      <c r="AT9" s="874">
        <f>AT8/AT2</f>
        <v>2.7272727272727285E-2</v>
      </c>
      <c r="AU9" s="874">
        <f>AU8/AU2</f>
        <v>2.790697674418606E-2</v>
      </c>
      <c r="AW9" s="874">
        <f>AW8/AW2</f>
        <v>5.8409090909090876E-2</v>
      </c>
      <c r="AX9" s="874">
        <f>AX8/AX2</f>
        <v>5.8409090909090876E-2</v>
      </c>
      <c r="BA9" s="874">
        <f>BA8/BA2</f>
        <v>5.8409090909090876E-2</v>
      </c>
      <c r="BB9" s="874">
        <f>BB8/BB2</f>
        <v>5.7111111111111078E-2</v>
      </c>
      <c r="BC9" s="874">
        <f>BC8/BC2</f>
        <v>5.7111111111111078E-2</v>
      </c>
      <c r="BD9" s="874">
        <f>BD8/BD2</f>
        <v>5.7111111111111078E-2</v>
      </c>
      <c r="BO9" s="874">
        <f>BO8/BO2</f>
        <v>1.29</v>
      </c>
      <c r="BQ9" s="874">
        <f>BQ8/BQ2</f>
        <v>1.29</v>
      </c>
      <c r="BS9" s="874">
        <f>BS8/BS2</f>
        <v>1.29</v>
      </c>
      <c r="BT9" s="874">
        <f>BT8/BT2</f>
        <v>1.29</v>
      </c>
      <c r="BU9" s="874" t="e">
        <f t="shared" si="7"/>
        <v>#N/A</v>
      </c>
      <c r="BZ9" s="874" t="e">
        <f t="shared" ref="BZ9:CF9" si="9">BZ8/BZ2</f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9"/>
        <v>#DIV/0!</v>
      </c>
      <c r="CF9" s="874" t="e">
        <f t="shared" si="9"/>
        <v>#DIV/0!</v>
      </c>
      <c r="CG9" s="874" t="e">
        <f t="shared" si="7"/>
        <v>#DIV/0!</v>
      </c>
      <c r="CH9" s="874" t="e">
        <f t="shared" si="7"/>
        <v>#DIV/0!</v>
      </c>
      <c r="CI9" s="874" t="e">
        <f t="shared" si="7"/>
        <v>#DIV/0!</v>
      </c>
      <c r="CJ9" s="874" t="e">
        <f t="shared" si="7"/>
        <v>#DIV/0!</v>
      </c>
      <c r="CK9" s="874">
        <f t="shared" si="7"/>
        <v>-0.42625000000000002</v>
      </c>
      <c r="CL9" s="874">
        <f t="shared" si="7"/>
        <v>-0.42625000000000002</v>
      </c>
      <c r="CM9" s="874">
        <f t="shared" si="7"/>
        <v>-0.41400000000000003</v>
      </c>
    </row>
    <row r="10" spans="1:91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SUM(IF(ISBLANK($T$1),$J$23:$J$240,IF($I$23:$I$240=$T$1,$J$23:$J$240,0)))</f>
        <v>67</v>
      </c>
      <c r="AG10" s="874">
        <f t="array" ref="AG10">SUM(IF(ISBLANK(AG$23:AG$240),0,IF(ISNUMBER(VALUE(RIGHT(AG$23:AG$240,1))),RIGHT(AG$23:AG$240,1),0)*IF(ISBLANK($T$1),1,IF($I$23:$I$240=$T$1,1,0))))</f>
        <v>0</v>
      </c>
      <c r="AH10" s="874">
        <f t="array" ref="AH10">SUM(IF(ISBLANK(AH$23:AH$240),0,IF(ISNUMBER(VALUE(RIGHT(AH$23:AH$240,1))),RIGHT(AH$23:AH$240,1),0)*IF(ISBLANK($T$1),1,IF($I$23:$I$240=$T$1,1,0))))</f>
        <v>0</v>
      </c>
      <c r="AI10" s="874">
        <f t="array" ref="AI10">SUM(IF(ISBLANK(AI$23:AI$240),0,IF(ISNUMBER(VALUE(RIGHT(AI$23:AI$240,1))),RIGHT(AI$23:AI$240,1),0)*IF(ISBLANK($T$1),1,IF($I$23:$I$240=$T$1,1,0))))</f>
        <v>0</v>
      </c>
      <c r="AK10" s="874">
        <f t="array" ref="AK10">SUM(IF(ISBLANK(AK$23:AK$240),0,IF(ISNUMBER(VALUE(RIGHT(AK$23:AK$240,1))),RIGHT(AK$23:AK$240,1),0)*IF(ISBLANK($T$1),1,IF($I$23:$I$240=$T$1,1,0))))</f>
        <v>0</v>
      </c>
      <c r="AL10" s="874">
        <f t="array" ref="AL10">SUM(IF(ISBLANK(AL$23:AL$240),0,IF(ISNUMBER(VALUE(RIGHT(AL$23:AL$240,1))),RIGHT(AL$23:AL$240,1),0)*IF(ISBLANK($T$1),1,IF($I$23:$I$240=$T$1,1,0))))</f>
        <v>1</v>
      </c>
      <c r="AN10" s="874">
        <f t="array" ref="AN10">SUM(IF(ISBLANK(AN$23:AN$240),0,IF(ISNUMBER(VALUE(RIGHT(AN$23:AN$240,1))),RIGHT(AN$23:AN$240,1),0)*IF(ISBLANK($T$1),1,IF($I$23:$I$240=$T$1,1,0))))</f>
        <v>0</v>
      </c>
      <c r="AP10" s="874">
        <f t="array" ref="AP10">SUM(IF(ISBLANK(AP$23:AP$240),0,IF(ISNUMBER(VALUE(RIGHT(AP$23:AP$240,1))),RIGHT(AP$23:AP$240,1),0)*IF(ISBLANK($T$1),1,IF($I$23:$I$240=$T$1,1,0))))</f>
        <v>0</v>
      </c>
      <c r="AQ10" s="874">
        <f t="array" ref="AQ10">SUM(IF(ISBLANK(AQ$23:AQ$240),0,IF(ISNUMBER(VALUE(RIGHT(AQ$23:AQ$240,1))),RIGHT(AQ$23:AQ$240,1),0)*IF(ISBLANK($T$1),1,IF($I$23:$I$240=$T$1,1,0))))</f>
        <v>1</v>
      </c>
      <c r="AS10" s="874">
        <f t="array" ref="AS10">SUM(IF(ISBLANK(AS$23:AS$240),0,IF(ISNUMBER(VALUE(RIGHT(AS$23:AS$240,1))),RIGHT(AS$23:AS$240,1),0)*IF(ISBLANK($T$1),1,IF($I$23:$I$240=$T$1,1,0))))</f>
        <v>0</v>
      </c>
      <c r="AT10" s="874">
        <f t="array" ref="AT10">SUM(IF(ISBLANK(AT$23:AT$240),0,IF(ISNUMBER(VALUE(RIGHT(AT$23:AT$240,1))),RIGHT(AT$23:AT$240,1),0)*IF(ISBLANK($T$1),1,IF($I$23:$I$240=$T$1,1,0))))</f>
        <v>1</v>
      </c>
      <c r="AU10" s="874">
        <f t="array" ref="AU10">SUM(IF(ISBLANK(AU$23:AU$240),0,IF(ISNUMBER(VALUE(RIGHT(AU$23:AU$240,1))),RIGHT(AU$23:AU$240,1),0)*IF(ISBLANK($T$1),1,IF($I$23:$I$240=$T$1,1,0))))</f>
        <v>0</v>
      </c>
      <c r="AW10" s="874">
        <f t="array" ref="AW10">SUM(IF(ISBLANK(AW$23:AW$240),0,IF(ISNUMBER(VALUE(RIGHT(AW$23:AW$240,1))),RIGHT(AW$23:AW$240,1),0)*IF(ISBLANK($T$1),1,IF($I$23:$I$240=$T$1,1,0))))</f>
        <v>4</v>
      </c>
      <c r="AX10" s="874">
        <f t="array" ref="AX10">SUM(IF(ISBLANK(AX$23:AX$240),0,IF(ISNUMBER(VALUE(RIGHT(AX$23:AX$240,1))),RIGHT(AX$23:AX$240,1),0)*IF(ISBLANK($T$1),1,IF($I$23:$I$240=$T$1,1,0))))</f>
        <v>2</v>
      </c>
      <c r="BA10" s="874">
        <f t="array" ref="BA10">SUM(IF(ISBLANK(BA$23:BA$240),0,IF(ISNUMBER(VALUE(RIGHT(BA$23:BA$240,1))),RIGHT(BA$23:BA$240,1),0)*IF(ISBLANK($T$1),1,IF($I$23:$I$240=$T$1,1,0))))</f>
        <v>8</v>
      </c>
      <c r="BB10" s="874">
        <f t="array" ref="BB10">SUM(IF(ISBLANK(BB$23:BB$240),0,IF(ISNUMBER(VALUE(RIGHT(BB$23:BB$240,1))),RIGHT(BB$23:BB$240,1),0)*IF(ISBLANK($T$1),1,IF($I$23:$I$240=$T$1,1,0))))</f>
        <v>4</v>
      </c>
      <c r="BC10" s="874">
        <f t="array" ref="BC10">SUM(IF(ISBLANK(BC$23:BC$240),0,IF(ISNUMBER(VALUE(RIGHT(BC$23:BC$240,1))),RIGHT(BC$23:BC$240,1),0)*IF(ISBLANK($T$1),1,IF($I$23:$I$240=$T$1,1,0))))</f>
        <v>3</v>
      </c>
      <c r="BD10" s="874">
        <f t="array" ref="BD10">SUM(IF(ISBLANK(BD$23:BD$240),0,IF(ISNUMBER(VALUE(RIGHT(BD$23:BD$240,1))),RIGHT(BD$23:BD$240,1),0)*IF(ISBLANK($T$1),1,IF($I$23:$I$240=$T$1,1,0))))</f>
        <v>7</v>
      </c>
      <c r="BO10" s="874">
        <f t="array" ref="BO10">SUM(IF(ISBLANK(BO$23:BO$240),0,IF(ISNUMBER(VALUE(RIGHT(BO$23:BO$240,1))),RIGHT(BO$23:BO$240,1),0)*IF(ISBLANK($T$1),1,IF($I$23:$I$240=$T$1,1,0))))</f>
        <v>0</v>
      </c>
      <c r="BQ10" s="874">
        <f t="array" ref="BQ10">SUM(IF(ISBLANK(BQ$23:BQ$240),0,IF(ISNUMBER(VALUE(RIGHT(BQ$23:BQ$240,1))),RIGHT(BQ$23:BQ$240,1),0)*IF(ISBLANK($T$1),1,IF($I$23:$I$240=$T$1,1,0))))</f>
        <v>0</v>
      </c>
      <c r="BS10" s="874">
        <f t="array" ref="BS10">SUM(IF(ISBLANK(BS$23:BS$240),0,IF(ISNUMBER(VALUE(RIGHT(BS$23:BS$240,1))),RIGHT(BS$23:BS$240,1),0)*IF(ISBLANK($T$1),1,IF($I$23:$I$240=$T$1,1,0))))</f>
        <v>0</v>
      </c>
      <c r="BT10" s="874">
        <f t="array" ref="BT10">SUM(IF(ISBLANK(BT$23:BT$240),0,IF(ISNUMBER(VALUE(RIGHT(BT$23:BT$240,1))),RIGHT(BT$23:BT$240,1),0)*IF(ISBLANK($T$1),1,IF($I$23:$I$240=$T$1,1,0))))</f>
        <v>0</v>
      </c>
      <c r="BU10" s="874">
        <f t="array" ref="BU10">SUM(IF(ISBLANK(BU$41:BU$240),0,IF(ISNUMBER(VALUE(RIGHT(BU$41:BU$240,1))),RIGHT(BU$41:BU$240,1),0)*IF(ISBLANK($T$1),1,IF($I$23:$I$240=$T$1,1,0))))</f>
        <v>0</v>
      </c>
      <c r="BZ10" s="874">
        <f t="array" ref="BZ10">SUM(IF(ISBLANK(BZ$23:BZ$240),0,IF(ISNUMBER(VALUE(RIGHT(BZ$23:BZ$240,1))),RIGHT(BZ$23:BZ$240,1),0)*IF(ISBLANK($T$1),1,IF($I$23:$I$240=$T$1,1,0))))</f>
        <v>0</v>
      </c>
      <c r="CA10" s="874">
        <f t="array" ref="CA10">SUM(IF(ISBLANK(CA$23:CA$240),0,IF(ISNUMBER(VALUE(RIGHT(CA$23:CA$240,1))),RIGHT(CA$23:CA$240,1),0)*IF(ISBLANK($T$1),1,IF($I$23:$I$240=$T$1,1,0))))</f>
        <v>0</v>
      </c>
      <c r="CB10" s="874">
        <f t="array" ref="CB10">SUM(IF(ISBLANK(CB$23:CB$240),0,IF(ISNUMBER(VALUE(RIGHT(CB$23:CB$240,1))),RIGHT(CB$23:CB$240,1),0)*IF(ISBLANK($T$1),1,IF($I$23:$I$240=$T$1,1,0))))</f>
        <v>0</v>
      </c>
      <c r="CC10" s="874">
        <f t="array" ref="CC10">SUM(IF(ISBLANK(CC$23:CC$240),0,IF(ISNUMBER(VALUE(RIGHT(CC$23:CC$240,1))),RIGHT(CC$23:CC$240,1),0)*IF(ISBLANK($T$1),1,IF($I$23:$I$240=$T$1,1,0))))</f>
        <v>0</v>
      </c>
      <c r="CD10" s="874">
        <f t="array" ref="CD10">SUM(IF(ISBLANK(CD$23:CD$240),0,IF(ISNUMBER(VALUE(RIGHT(CD$23:CD$240,1))),RIGHT(CD$23:CD$240,1),0)*IF(ISBLANK($T$1),1,IF($I$23:$I$240=$T$1,1,0))))</f>
        <v>0</v>
      </c>
      <c r="CE10" s="874">
        <f t="array" ref="CE10">SUM(IF(ISBLANK(CE$23:CE$240),0,IF(ISNUMBER(VALUE(RIGHT(CE$23:CE$240,1))),RIGHT(CE$23:CE$240,1),0)*IF(ISBLANK($T$1),1,IF($I$23:$I$240=$T$1,1,0))))</f>
        <v>0</v>
      </c>
      <c r="CF10" s="874">
        <f t="array" ref="CF10">SUM(IF(ISBLANK(CF$23:CF$240),0,IF(ISNUMBER(VALUE(RIGHT(CF$23:CF$240,1))),RIGHT(CF$23:CF$240,1),0)*IF(ISBLANK($T$1),1,IF($I$23:$I$240=$T$1,1,0))))</f>
        <v>0</v>
      </c>
      <c r="CG10" s="874">
        <f t="array" ref="CG10">SUM(IF(ISBLANK(CG$23:CG$240),0,IF(ISNUMBER(VALUE(RIGHT(CG$23:CG$240,1))),RIGHT(CG$23:CG$240,1),0)*IF(ISBLANK($T$1),1,IF($I$23:$I$240=$T$1,1,0))))</f>
        <v>0</v>
      </c>
      <c r="CH10" s="874">
        <f t="array" ref="CH10">SUM(IF(ISBLANK(CH$23:CH$240),0,IF(ISNUMBER(VALUE(RIGHT(CH$23:CH$240,1))),RIGHT(CH$23:CH$240,1),0)*IF(ISBLANK($T$1),1,IF($I$23:$I$240=$T$1,1,0))))</f>
        <v>0</v>
      </c>
      <c r="CI10" s="874">
        <f t="array" ref="CI10">SUM(IF(ISBLANK(CI$23:CI$240),0,IF(ISNUMBER(VALUE(RIGHT(CI$23:CI$240,1))),RIGHT(CI$23:CI$240,1),0)*IF(ISBLANK($T$1),1,IF($I$23:$I$240=$T$1,1,0))))</f>
        <v>0</v>
      </c>
      <c r="CJ10" s="874">
        <f t="array" ref="CJ10">SUM(IF(ISBLANK(CJ$23:CJ$240),0,IF(ISNUMBER(VALUE(RIGHT(CJ$23:CJ$240,1))),RIGHT(CJ$23:CJ$240,1),0)*IF(ISBLANK($T$1),1,IF($I$23:$I$240=$T$1,1,0))))</f>
        <v>0</v>
      </c>
      <c r="CK10" s="874">
        <f t="array" ref="CK10">SUM(IF(ISBLANK(CK$23:CK$240),0,IF(ISNUMBER(VALUE(RIGHT(CK$23:CK$240,1))),RIGHT(CK$23:CK$240,1),0)*IF(ISBLANK($T$1),1,IF($I$23:$I$240=$T$1,1,0))))</f>
        <v>0</v>
      </c>
      <c r="CL10" s="874">
        <f t="array" ref="CL10">SUM(IF(ISBLANK(CL$23:CL$240),0,IF(ISNUMBER(VALUE(RIGHT(CL$23:CL$240,1))),RIGHT(CL$23:CL$240,1),0)*IF(ISBLANK($T$1),1,IF($I$23:$I$240=$T$1,1,0))))</f>
        <v>0</v>
      </c>
      <c r="CM10" s="874">
        <f t="array" ref="CM10">SUM(IF(ISBLANK(CM$23:CM$240),0,IF(ISNUMBER(VALUE(RIGHT(CM$23:CM$240,1))),RIGHT(CM$23:CM$240,1),0)*IF(ISBLANK($T$1),1,IF($I$23:$I$240=$T$1,1,0))))</f>
        <v>0</v>
      </c>
    </row>
    <row r="11" spans="1:91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M11" si="10">AF10/AF2</f>
        <v>1.5227272727272727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K11" s="874">
        <f t="shared" si="10"/>
        <v>0</v>
      </c>
      <c r="AL11" s="874">
        <f t="shared" si="10"/>
        <v>2.2222222222222223E-2</v>
      </c>
      <c r="AN11" s="874">
        <f>AN10/AN2</f>
        <v>0</v>
      </c>
      <c r="AP11" s="874">
        <f>AP10/AP2</f>
        <v>0</v>
      </c>
      <c r="AQ11" s="874">
        <f t="shared" ref="AQ11" si="11">AQ10/AQ2</f>
        <v>2.2727272727272728E-2</v>
      </c>
      <c r="AS11" s="874">
        <f t="shared" si="10"/>
        <v>0</v>
      </c>
      <c r="AT11" s="874">
        <f>AT10/AT2</f>
        <v>2.2727272727272728E-2</v>
      </c>
      <c r="AU11" s="874">
        <f>AU10/AU2</f>
        <v>0</v>
      </c>
      <c r="AW11" s="874">
        <f>AW10/AW2</f>
        <v>9.0909090909090912E-2</v>
      </c>
      <c r="AX11" s="874">
        <f>AX10/AX2</f>
        <v>4.5454545454545456E-2</v>
      </c>
      <c r="BA11" s="874">
        <f>BA10/BA2</f>
        <v>0.18181818181818182</v>
      </c>
      <c r="BB11" s="874">
        <f>BB10/BB2</f>
        <v>8.8888888888888892E-2</v>
      </c>
      <c r="BC11" s="874">
        <f>BC10/BC2</f>
        <v>6.6666666666666666E-2</v>
      </c>
      <c r="BD11" s="874">
        <f>BD10/BD2</f>
        <v>0.15555555555555556</v>
      </c>
      <c r="BO11" s="874">
        <f>BO10/BO2</f>
        <v>0</v>
      </c>
      <c r="BQ11" s="874">
        <f>BQ10/BQ2</f>
        <v>0</v>
      </c>
      <c r="BS11" s="874">
        <f>BS10/BS2</f>
        <v>0</v>
      </c>
      <c r="BT11" s="874">
        <f>BT10/BT2</f>
        <v>0</v>
      </c>
      <c r="BU11" s="874">
        <f t="shared" si="10"/>
        <v>0</v>
      </c>
      <c r="BZ11" s="874" t="e">
        <f t="shared" ref="BZ11:CF11" si="12">BZ10/BZ2</f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2"/>
        <v>#DIV/0!</v>
      </c>
      <c r="CF11" s="874" t="e">
        <f t="shared" si="12"/>
        <v>#DIV/0!</v>
      </c>
      <c r="CG11" s="874" t="e">
        <f t="shared" si="10"/>
        <v>#DIV/0!</v>
      </c>
      <c r="CH11" s="874" t="e">
        <f t="shared" si="10"/>
        <v>#DIV/0!</v>
      </c>
      <c r="CI11" s="874" t="e">
        <f t="shared" si="10"/>
        <v>#DIV/0!</v>
      </c>
      <c r="CJ11" s="874" t="e">
        <f t="shared" si="10"/>
        <v>#DIV/0!</v>
      </c>
      <c r="CK11" s="874">
        <f t="shared" si="10"/>
        <v>0</v>
      </c>
      <c r="CL11" s="874">
        <f t="shared" si="10"/>
        <v>0</v>
      </c>
      <c r="CM11" s="874">
        <f t="shared" si="10"/>
        <v>0</v>
      </c>
    </row>
    <row r="12" spans="1:91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SUM(IF(ISBLANK($T$1),$K$23:$K$240,IF($I$23:$I$240=$T$1,$K$23:$K$240,0)))</f>
        <v>48</v>
      </c>
      <c r="AG12" s="874">
        <f t="array" ref="AG12">SUM(IF(ISBLANK(AG$23:AG$240),0,$K23:$K240)*IF(ISBLANK($T$1),1,IF($I$23:$I$240=$T$1,1,0)))</f>
        <v>38</v>
      </c>
      <c r="AH12" s="874">
        <f t="array" ref="AH12">SUM(IF(ISBLANK(AH$23:AH$240),0,$K23:$K240)*IF(ISBLANK($T$1),1,IF($I$23:$I$240=$T$1,1,0)))</f>
        <v>48</v>
      </c>
      <c r="AI12" s="874">
        <f t="array" ref="AI12">SUM(IF(ISBLANK(AI$23:AI$240),0,$K23:$K240)*IF(ISBLANK($T$1),1,IF($I$23:$I$240=$T$1,1,0)))</f>
        <v>46</v>
      </c>
      <c r="AK12" s="874">
        <f t="array" ref="AK12">SUM(IF(ISBLANK(AK$23:AK$240),0,$K23:$K240)*IF(ISBLANK($T$1),1,IF($I$23:$I$240=$T$1,1,0)))</f>
        <v>46</v>
      </c>
      <c r="AL12" s="874">
        <f t="array" ref="AL12">SUM(IF(ISBLANK(AL$23:AL$240),0,$K23:$K240)*IF(ISBLANK($T$1),1,IF($I$23:$I$240=$T$1,1,0)))</f>
        <v>48</v>
      </c>
      <c r="AN12" s="874">
        <f t="array" ref="AN12">SUM(IF(ISBLANK(AN$23:AN$240),0,$K23:$K240)*IF(ISBLANK($T$1),1,IF($I$23:$I$240=$T$1,1,0)))</f>
        <v>48</v>
      </c>
      <c r="AP12" s="874">
        <f t="array" ref="AP12">SUM(IF(ISBLANK(AP$23:AP$240),0,$K23:$K240)*IF(ISBLANK($T$1),1,IF($I$23:$I$240=$T$1,1,0)))</f>
        <v>48</v>
      </c>
      <c r="AQ12" s="874">
        <f t="array" ref="AQ12">SUM(IF(ISBLANK(AQ$23:AQ$240),0,$K23:$K240)*IF(ISBLANK($T$1),1,IF($I$23:$I$240=$T$1,1,0)))</f>
        <v>48</v>
      </c>
      <c r="AS12" s="874">
        <f t="array" ref="AS12">SUM(IF(ISBLANK(AS$23:AS$240),0,$K23:$K240)*IF(ISBLANK($T$1),1,IF($I$23:$I$240=$T$1,1,0)))</f>
        <v>46</v>
      </c>
      <c r="AT12" s="874">
        <f t="array" ref="AT12">SUM(IF(ISBLANK(AT$23:AT$240),0,$K23:$K240)*IF(ISBLANK($T$1),1,IF($I$23:$I$240=$T$1,1,0)))</f>
        <v>48</v>
      </c>
      <c r="AU12" s="874">
        <f t="array" ref="AU12">SUM(IF(ISBLANK(AU$23:AU$240),0,$K23:$K240)*IF(ISBLANK($T$1),1,IF($I$23:$I$240=$T$1,1,0)))</f>
        <v>46</v>
      </c>
      <c r="AW12" s="874">
        <f t="array" ref="AW12">SUM(IF(ISBLANK(AW$23:AW$240),0,$K23:$K240)*IF(ISBLANK($T$1),1,IF($I$23:$I$240=$T$1,1,0)))</f>
        <v>46</v>
      </c>
      <c r="AX12" s="874">
        <f t="array" ref="AX12">SUM(IF(ISBLANK(AX$23:AX$240),0,$K23:$K240)*IF(ISBLANK($T$1),1,IF($I$23:$I$240=$T$1,1,0)))</f>
        <v>46</v>
      </c>
      <c r="BA12" s="874">
        <f t="array" ref="BA12">SUM(IF(ISBLANK(BA$23:BA$240),0,$K23:$K240)*IF(ISBLANK($T$1),1,IF($I$23:$I$240=$T$1,1,0)))</f>
        <v>46</v>
      </c>
      <c r="BB12" s="874">
        <f t="array" ref="BB12">SUM(IF(ISBLANK(BB$23:BB$240),0,$K23:$K240)*IF(ISBLANK($T$1),1,IF($I$23:$I$240=$T$1,1,0)))</f>
        <v>48</v>
      </c>
      <c r="BC12" s="874">
        <f t="array" ref="BC12">SUM(IF(ISBLANK(BC$23:BC$240),0,$K23:$K240)*IF(ISBLANK($T$1),1,IF($I$23:$I$240=$T$1,1,0)))</f>
        <v>48</v>
      </c>
      <c r="BD12" s="874">
        <f t="array" ref="BD12">SUM(IF(ISBLANK(BD$23:BD$240),0,$K23:$K240)*IF(ISBLANK($T$1),1,IF($I$23:$I$240=$T$1,1,0)))</f>
        <v>48</v>
      </c>
      <c r="BO12" s="874">
        <f t="array" ref="BO12">SUM(IF(ISBLANK(BO$23:BO$240),0,$K23:$K240)*IF(ISBLANK($T$1),1,IF($I$23:$I$240=$T$1,1,0)))</f>
        <v>0</v>
      </c>
      <c r="BQ12" s="874">
        <f t="array" ref="BQ12">SUM(IF(ISBLANK(BQ$23:BQ$240),0,$K23:$K240)*IF(ISBLANK($T$1),1,IF($I$23:$I$240=$T$1,1,0)))</f>
        <v>0</v>
      </c>
      <c r="BS12" s="874">
        <f t="array" ref="BS12">SUM(IF(ISBLANK(BS$23:BS$240),0,$K23:$K240)*IF(ISBLANK($T$1),1,IF($I$23:$I$240=$T$1,1,0)))</f>
        <v>0</v>
      </c>
      <c r="BT12" s="874">
        <f t="array" ref="BT12">SUM(IF(ISBLANK(BT$23:BT$240),0,$K23:$K240)*IF(ISBLANK($T$1),1,IF($I$23:$I$240=$T$1,1,0)))</f>
        <v>0</v>
      </c>
      <c r="BU12" s="874" t="e">
        <f t="array" ref="BU12">SUM(IF(ISBLANK(BU$41:BU$240),0,$K23:$K240)*IF(ISBLANK($T$1),1,IF($I$23:$I$240=$T$1,1,0)))</f>
        <v>#N/A</v>
      </c>
      <c r="BZ12" s="874">
        <f t="array" ref="BZ12">SUM(IF(ISBLANK(BZ$23:BZ$240),0,$K23:$K240)*IF(ISBLANK($T$1),1,IF($I$23:$I$240=$T$1,1,0)))</f>
        <v>0</v>
      </c>
      <c r="CA12" s="874">
        <f t="array" ref="CA12">SUM(IF(ISBLANK(CA$23:CA$240),0,$K23:$K240)*IF(ISBLANK($T$1),1,IF($I$23:$I$240=$T$1,1,0)))</f>
        <v>0</v>
      </c>
      <c r="CB12" s="874">
        <f t="array" ref="CB12">SUM(IF(ISBLANK(CB$23:CB$240),0,$K23:$K240)*IF(ISBLANK($T$1),1,IF($I$23:$I$240=$T$1,1,0)))</f>
        <v>0</v>
      </c>
      <c r="CC12" s="874">
        <f t="array" ref="CC12">SUM(IF(ISBLANK(CC$23:CC$240),0,$K23:$K240)*IF(ISBLANK($T$1),1,IF($I$23:$I$240=$T$1,1,0)))</f>
        <v>0</v>
      </c>
      <c r="CD12" s="874">
        <f t="array" ref="CD12">SUM(IF(ISBLANK(CD$23:CD$240),0,$K23:$K240)*IF(ISBLANK($T$1),1,IF($I$23:$I$240=$T$1,1,0)))</f>
        <v>0</v>
      </c>
      <c r="CE12" s="874">
        <f t="array" ref="CE12">SUM(IF(ISBLANK(CE$23:CE$240),0,$K23:$K240)*IF(ISBLANK($T$1),1,IF($I$23:$I$240=$T$1,1,0)))</f>
        <v>0</v>
      </c>
      <c r="CF12" s="874">
        <f t="array" ref="CF12">SUM(IF(ISBLANK(CF$23:CF$240),0,$K23:$K240)*IF(ISBLANK($T$1),1,IF($I$23:$I$240=$T$1,1,0)))</f>
        <v>0</v>
      </c>
      <c r="CG12" s="874">
        <f t="array" ref="CG12">SUM(IF(ISBLANK(CG$23:CG$240),0,$K23:$K240)*IF(ISBLANK($T$1),1,IF($I$23:$I$240=$T$1,1,0)))</f>
        <v>0</v>
      </c>
      <c r="CH12" s="874">
        <f t="array" ref="CH12">SUM(IF(ISBLANK(CH$23:CH$240),0,$K23:$K240)*IF(ISBLANK($T$1),1,IF($I$23:$I$240=$T$1,1,0)))</f>
        <v>0</v>
      </c>
      <c r="CI12" s="874">
        <f t="array" ref="CI12">SUM(IF(ISBLANK(CI$23:CI$240),0,$K23:$K240)*IF(ISBLANK($T$1),1,IF($I$23:$I$240=$T$1,1,0)))</f>
        <v>0</v>
      </c>
      <c r="CJ12" s="874">
        <f t="array" ref="CJ12">SUM(IF(ISBLANK(CJ$23:CJ$240),0,$K23:$K240)*IF(ISBLANK($T$1),1,IF($I$23:$I$240=$T$1,1,0)))</f>
        <v>0</v>
      </c>
      <c r="CK12" s="874">
        <f t="array" ref="CK12">SUM(IF(ISBLANK(CK$23:CK$240),0,$K23:$K240)*IF(ISBLANK($T$1),1,IF($I$23:$I$240=$T$1,1,0)))</f>
        <v>11</v>
      </c>
      <c r="CL12" s="874">
        <f t="array" ref="CL12">SUM(IF(ISBLANK(CL$23:CL$240),0,$K23:$K240)*IF(ISBLANK($T$1),1,IF($I$23:$I$240=$T$1,1,0)))</f>
        <v>11</v>
      </c>
      <c r="CM12" s="874">
        <f t="array" ref="CM12">SUM(IF(ISBLANK(CM$23:CM$240),0,$K23:$K240)*IF(ISBLANK($T$1),1,IF($I$23:$I$240=$T$1,1,0)))</f>
        <v>11</v>
      </c>
    </row>
    <row r="13" spans="1:91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M13" si="13">AF12/AF2</f>
        <v>1.0909090909090908</v>
      </c>
      <c r="AG13" s="874">
        <f t="shared" si="13"/>
        <v>1</v>
      </c>
      <c r="AH13" s="874">
        <f t="shared" si="13"/>
        <v>1.0666666666666667</v>
      </c>
      <c r="AI13" s="874">
        <f t="shared" si="13"/>
        <v>1.0454545454545454</v>
      </c>
      <c r="AK13" s="874">
        <f t="shared" si="13"/>
        <v>1.069767441860465</v>
      </c>
      <c r="AL13" s="874">
        <f t="shared" si="13"/>
        <v>1.0666666666666667</v>
      </c>
      <c r="AN13" s="874">
        <f>AN12/AN2</f>
        <v>1.0909090909090908</v>
      </c>
      <c r="AP13" s="874">
        <f>AP12/AP2</f>
        <v>1.0909090909090908</v>
      </c>
      <c r="AQ13" s="874">
        <f t="shared" ref="AQ13" si="14">AQ12/AQ2</f>
        <v>1.0909090909090908</v>
      </c>
      <c r="AS13" s="874">
        <f t="shared" si="13"/>
        <v>1.069767441860465</v>
      </c>
      <c r="AT13" s="874">
        <f>AT12/AT2</f>
        <v>1.0909090909090908</v>
      </c>
      <c r="AU13" s="874">
        <f>AU12/AU2</f>
        <v>1.069767441860465</v>
      </c>
      <c r="AW13" s="874">
        <f>AW12/AW2</f>
        <v>1.0454545454545454</v>
      </c>
      <c r="AX13" s="874">
        <f>AX12/AX2</f>
        <v>1.0454545454545454</v>
      </c>
      <c r="BA13" s="874">
        <f>BA12/BA2</f>
        <v>1.0454545454545454</v>
      </c>
      <c r="BB13" s="874">
        <f>BB12/BB2</f>
        <v>1.0666666666666667</v>
      </c>
      <c r="BC13" s="874">
        <f>BC12/BC2</f>
        <v>1.0666666666666667</v>
      </c>
      <c r="BD13" s="874">
        <f>BD12/BD2</f>
        <v>1.0666666666666667</v>
      </c>
      <c r="BO13" s="874">
        <f>BO12/BO2</f>
        <v>0</v>
      </c>
      <c r="BQ13" s="874">
        <f>BQ12/BQ2</f>
        <v>0</v>
      </c>
      <c r="BS13" s="874">
        <f>BS12/BS2</f>
        <v>0</v>
      </c>
      <c r="BT13" s="874">
        <f>BT12/BT2</f>
        <v>0</v>
      </c>
      <c r="BU13" s="874" t="e">
        <f t="shared" si="13"/>
        <v>#N/A</v>
      </c>
      <c r="BZ13" s="874" t="e">
        <f t="shared" ref="BZ13:CF13" si="15">BZ12/BZ2</f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5"/>
        <v>#DIV/0!</v>
      </c>
      <c r="CF13" s="874" t="e">
        <f t="shared" si="15"/>
        <v>#DIV/0!</v>
      </c>
      <c r="CG13" s="874" t="e">
        <f t="shared" si="13"/>
        <v>#DIV/0!</v>
      </c>
      <c r="CH13" s="874" t="e">
        <f t="shared" si="13"/>
        <v>#DIV/0!</v>
      </c>
      <c r="CI13" s="874" t="e">
        <f t="shared" si="13"/>
        <v>#DIV/0!</v>
      </c>
      <c r="CJ13" s="874" t="e">
        <f t="shared" si="13"/>
        <v>#DIV/0!</v>
      </c>
      <c r="CK13" s="874">
        <f t="shared" si="13"/>
        <v>0.6875</v>
      </c>
      <c r="CL13" s="874">
        <f t="shared" si="13"/>
        <v>0.6875</v>
      </c>
      <c r="CM13" s="874">
        <f t="shared" si="13"/>
        <v>0.73333333333333328</v>
      </c>
    </row>
    <row r="14" spans="1:91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BI14" si="16">AG15+AG16</f>
        <v>1</v>
      </c>
      <c r="AH14" s="902">
        <f t="shared" si="16"/>
        <v>30</v>
      </c>
      <c r="AI14" s="902">
        <f t="shared" si="16"/>
        <v>14</v>
      </c>
      <c r="AJ14" s="902">
        <f t="shared" si="16"/>
        <v>0</v>
      </c>
      <c r="AK14" s="902">
        <f t="shared" si="16"/>
        <v>2</v>
      </c>
      <c r="AL14" s="902">
        <f t="shared" si="16"/>
        <v>41</v>
      </c>
      <c r="AM14" s="902">
        <f t="shared" si="16"/>
        <v>41</v>
      </c>
      <c r="AN14" s="902">
        <f t="shared" si="16"/>
        <v>12</v>
      </c>
      <c r="AO14" s="902">
        <f t="shared" si="16"/>
        <v>23</v>
      </c>
      <c r="AP14" s="902">
        <f t="shared" si="16"/>
        <v>7</v>
      </c>
      <c r="AQ14" s="902">
        <f t="shared" si="16"/>
        <v>21</v>
      </c>
      <c r="AR14" s="902">
        <f t="shared" si="16"/>
        <v>1</v>
      </c>
      <c r="AS14" s="902">
        <f t="shared" si="16"/>
        <v>6</v>
      </c>
      <c r="AT14" s="902">
        <f t="shared" si="16"/>
        <v>3</v>
      </c>
      <c r="AU14" s="902">
        <f t="shared" si="16"/>
        <v>8</v>
      </c>
      <c r="AV14" s="902">
        <f t="shared" si="16"/>
        <v>41</v>
      </c>
      <c r="AW14" s="902">
        <f t="shared" si="16"/>
        <v>21</v>
      </c>
      <c r="AX14" s="902">
        <f t="shared" si="16"/>
        <v>38</v>
      </c>
      <c r="AY14" s="902">
        <f t="shared" si="16"/>
        <v>16</v>
      </c>
      <c r="AZ14" s="902">
        <f t="shared" si="16"/>
        <v>29</v>
      </c>
      <c r="BA14" s="902">
        <f t="shared" si="16"/>
        <v>41</v>
      </c>
      <c r="BB14" s="902">
        <f t="shared" si="16"/>
        <v>36</v>
      </c>
      <c r="BC14" s="902">
        <f t="shared" si="16"/>
        <v>24</v>
      </c>
      <c r="BD14" s="902">
        <f t="shared" si="16"/>
        <v>39</v>
      </c>
      <c r="BE14" s="902">
        <f t="shared" si="16"/>
        <v>7</v>
      </c>
      <c r="BF14" s="902">
        <f t="shared" si="16"/>
        <v>2</v>
      </c>
      <c r="BG14" s="902">
        <f t="shared" si="16"/>
        <v>42</v>
      </c>
      <c r="BH14" s="902">
        <f t="shared" si="16"/>
        <v>21</v>
      </c>
      <c r="BI14" s="902">
        <f t="shared" si="16"/>
        <v>34</v>
      </c>
      <c r="BJ14" s="902">
        <f t="shared" ref="BJ14:BL14" si="17">BJ15+BJ16</f>
        <v>7</v>
      </c>
      <c r="BK14" s="902">
        <f t="shared" si="17"/>
        <v>9</v>
      </c>
      <c r="BL14" s="902">
        <f t="shared" si="17"/>
        <v>3</v>
      </c>
      <c r="BM14" s="889"/>
      <c r="BN14" s="902">
        <f>BN15+BN16</f>
        <v>8</v>
      </c>
      <c r="BO14" s="889"/>
      <c r="BP14" s="889"/>
      <c r="BQ14" s="889"/>
      <c r="BR14" s="889"/>
      <c r="BS14" s="889"/>
      <c r="BT14" s="889"/>
      <c r="BU14" s="889"/>
      <c r="BV14" s="890"/>
      <c r="BW14" s="890"/>
      <c r="BX14" s="890"/>
      <c r="BY14" s="890"/>
      <c r="BZ14" s="889"/>
      <c r="CA14" s="889"/>
      <c r="CB14" s="889"/>
      <c r="CC14" s="889"/>
      <c r="CD14" s="889"/>
      <c r="CE14" s="889"/>
      <c r="CF14" s="889"/>
    </row>
    <row r="15" spans="1:91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AVERAGEIFS($Q$23:$Q$207,$H$23:$H$207,"H",$I$23:$I$207,Table!$C$1)</f>
        <v>0.60904761904761906</v>
      </c>
      <c r="S15" s="858">
        <f>AVERAGEIFS($Q$23:$Q$207,$H$23:$H$207,"A",$I$23:$I$207,Table!$C$1)</f>
        <v>0.32333333333333336</v>
      </c>
      <c r="AF15" s="848" t="s">
        <v>821</v>
      </c>
      <c r="AG15" s="903">
        <f t="array" ref="AG15">SUM(IF(LEFT(AG23:AG161,1)="X",1,0))</f>
        <v>1</v>
      </c>
      <c r="AH15" s="903">
        <f t="array" ref="AH15">SUM(IF(LEFT(AH23:AH161,1)="X",1,0))</f>
        <v>30</v>
      </c>
      <c r="AI15" s="903">
        <f t="array" ref="AI15">SUM(IF(LEFT(AI23:AI161,1)="X",1,0))</f>
        <v>14</v>
      </c>
      <c r="AJ15" s="903">
        <f t="array" ref="AJ15">SUM(IF(LEFT(AJ23:AJ161,1)="X",1,0))</f>
        <v>0</v>
      </c>
      <c r="AK15" s="903">
        <f t="array" ref="AK15">SUM(IF(LEFT(AK23:AK161,1)="X",1,0))</f>
        <v>2</v>
      </c>
      <c r="AL15" s="903">
        <f t="array" ref="AL15">SUM(IF(LEFT(AL23:AL161,1)="X",1,0))</f>
        <v>41</v>
      </c>
      <c r="AM15" s="903">
        <f t="array" ref="AM15">SUM(IF(LEFT(AM23:AM161,1)="X",1,0))</f>
        <v>41</v>
      </c>
      <c r="AN15" s="903">
        <f t="array" ref="AN15">SUM(IF(LEFT(AN23:AN161,1)="X",1,0))</f>
        <v>4</v>
      </c>
      <c r="AO15" s="903">
        <f t="array" ref="AO15">SUM(IF(LEFT(AO23:AO161,1)="X",1,0))</f>
        <v>22</v>
      </c>
      <c r="AP15" s="903">
        <f t="array" ref="AP15">SUM(IF(LEFT(AP23:AP161,1)="X",1,0))</f>
        <v>2</v>
      </c>
      <c r="AQ15" s="903">
        <f t="array" ref="AQ15">SUM(IF(LEFT(AQ23:AQ161,1)="X",1,0))</f>
        <v>20</v>
      </c>
      <c r="AR15" s="903">
        <f t="array" ref="AR15">SUM(IF(LEFT(AR23:AR161,1)="X",1,0))</f>
        <v>0</v>
      </c>
      <c r="AS15" s="903">
        <f t="array" ref="AS15">SUM(IF(LEFT(AS23:AS161,1)="X",1,0))</f>
        <v>6</v>
      </c>
      <c r="AT15" s="903">
        <f t="array" ref="AT15">SUM(IF(LEFT(AT23:AT161,1)="X",1,0))</f>
        <v>3</v>
      </c>
      <c r="AU15" s="903">
        <f t="array" ref="AU15">SUM(IF(LEFT(AU23:AU161,1)="X",1,0))</f>
        <v>7</v>
      </c>
      <c r="AV15" s="903">
        <f t="array" ref="AV15">SUM(IF(LEFT(AV23:AV161,1)="X",1,0))</f>
        <v>41</v>
      </c>
      <c r="AW15" s="903">
        <f t="array" ref="AW15">SUM(IF(LEFT(AW23:AW161,1)="X",1,0))</f>
        <v>17</v>
      </c>
      <c r="AX15" s="903">
        <f t="array" ref="AX15">SUM(IF(LEFT(AX23:AX161,1)="X",1,0))</f>
        <v>37</v>
      </c>
      <c r="AY15" s="903">
        <f t="array" ref="AY15">SUM(IF(LEFT(AY23:AY161,1)="X",1,0))</f>
        <v>7</v>
      </c>
      <c r="AZ15" s="903">
        <f t="array" ref="AZ15">SUM(IF(LEFT(AZ23:AZ161,1)="X",1,0))</f>
        <v>18</v>
      </c>
      <c r="BA15" s="903">
        <f t="array" ref="BA15">SUM(IF(LEFT(BA23:BA161,1)="X",1,0))</f>
        <v>37</v>
      </c>
      <c r="BB15" s="903">
        <f t="array" ref="BB15">SUM(IF(LEFT(BB23:BB161,1)="X",1,0))</f>
        <v>27</v>
      </c>
      <c r="BC15" s="903">
        <f t="array" ref="BC15">SUM(IF(LEFT(BC23:BC161,1)="X",1,0))</f>
        <v>21</v>
      </c>
      <c r="BD15" s="903">
        <f t="array" ref="BD15">SUM(IF(LEFT(BD23:BD161,1)="X",1,0))</f>
        <v>31</v>
      </c>
      <c r="BE15" s="903">
        <f t="array" ref="BE15">SUM(IF(LEFT(BE23:BE161,1)="X",1,0))</f>
        <v>3</v>
      </c>
      <c r="BF15" s="903">
        <f t="array" ref="BF15">SUM(IF(LEFT(BF23:BF161,1)="X",1,0))</f>
        <v>0</v>
      </c>
      <c r="BG15" s="903">
        <f t="array" ref="BG15">SUM(IF(LEFT(BG23:BG161,1)="X",1,0))</f>
        <v>40</v>
      </c>
      <c r="BH15" s="903">
        <f t="array" ref="BH15">SUM(IF(LEFT(BH23:BH161,1)="X",1,0))</f>
        <v>4</v>
      </c>
      <c r="BI15" s="903">
        <f t="array" ref="BI15">SUM(IF(LEFT(BI23:BI161,1)="X",1,0))</f>
        <v>14</v>
      </c>
      <c r="BJ15" s="903">
        <f t="array" ref="BJ15">SUM(IF(LEFT(BJ23:BJ161,1)="X",1,0))</f>
        <v>2</v>
      </c>
      <c r="BK15" s="903">
        <f t="array" ref="BK15">SUM(IF(LEFT(BK23:BK161,1)="X",1,0))</f>
        <v>0</v>
      </c>
      <c r="BL15" s="903">
        <f t="array" ref="BL15">SUM(IF(LEFT(BL23:BL161,1)="X",1,0))</f>
        <v>0</v>
      </c>
      <c r="BM15" s="889"/>
      <c r="BN15" s="903">
        <f t="array" ref="BN15">SUM(IF(LEFT(BN23:BN161,1)="X",1,0))</f>
        <v>3</v>
      </c>
      <c r="BO15" s="889"/>
      <c r="BP15" s="889"/>
      <c r="BQ15" s="889"/>
      <c r="BR15" s="889"/>
      <c r="BS15" s="889"/>
      <c r="BT15" s="889"/>
      <c r="BU15" s="889"/>
      <c r="BV15" s="890"/>
      <c r="BW15" s="890"/>
      <c r="BX15" s="890"/>
      <c r="BY15" s="890"/>
      <c r="BZ15" s="889"/>
      <c r="CA15" s="889"/>
      <c r="CB15" s="889"/>
      <c r="CC15" s="889"/>
      <c r="CD15" s="889"/>
      <c r="CE15" s="889"/>
      <c r="CF15" s="889"/>
    </row>
    <row r="16" spans="1:91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23</v>
      </c>
      <c r="I16" s="858">
        <f>AVERAGEIF($H$23:$H$204,"=H",$J$23:$J$204)</f>
        <v>1.826086956521739</v>
      </c>
      <c r="J16" s="858">
        <f>AVERAGEIF($H$23:$H$208,"=H",$K$23:$K$208)</f>
        <v>1.0434782608695652</v>
      </c>
      <c r="K16" s="858">
        <f>I16-J16</f>
        <v>0.78260869565217384</v>
      </c>
      <c r="L16" s="857">
        <f>COUNTIFS($L$23:$L$204,"=W",$H$23:$H$204,"=H")</f>
        <v>12</v>
      </c>
      <c r="M16" s="857">
        <f>COUNTIFS($L$23:$L$204,"=D",$H$23:$H$204,"=H")</f>
        <v>3</v>
      </c>
      <c r="N16" s="863">
        <f>COUNTIFS($L$23:$L$204,"=L",$H$23:$H$204,"=H")</f>
        <v>8</v>
      </c>
      <c r="O16" s="858">
        <f>SUM(I16:J16)</f>
        <v>2.8695652173913042</v>
      </c>
      <c r="Q16" s="861" t="s">
        <v>212</v>
      </c>
      <c r="R16" s="858">
        <f>AVERAGEIFS($S$23:$S$205,$H$23:$H$205,"H",$I$23:$I$205,Table!$C$1)</f>
        <v>2.5447619047619043</v>
      </c>
      <c r="S16" s="858">
        <f>AVERAGEIFS($S$23:$S$205,$H$23:$H$205,"A",$I$23:$I$205,Table!$C$1)</f>
        <v>2.3804761904761906</v>
      </c>
      <c r="AF16" s="848" t="s">
        <v>724</v>
      </c>
      <c r="AG16" s="903">
        <f t="array" ref="AG16">SUM(IF(LEFT(AG23:AG162,1)="s",1,0))</f>
        <v>0</v>
      </c>
      <c r="AH16" s="903">
        <f t="array" ref="AH16">SUM(IF(LEFT(AH23:AH162,1)="s",1,0))</f>
        <v>0</v>
      </c>
      <c r="AI16" s="903">
        <f t="array" ref="AI16">SUM(IF(LEFT(AI23:AI162,1)="s",1,0))</f>
        <v>0</v>
      </c>
      <c r="AJ16" s="903">
        <f t="array" ref="AJ16">SUM(IF(LEFT(AJ23:AJ162,1)="s",1,0))</f>
        <v>0</v>
      </c>
      <c r="AK16" s="903">
        <f t="array" ref="AK16">SUM(IF(LEFT(AK23:AK162,1)="s",1,0))</f>
        <v>0</v>
      </c>
      <c r="AL16" s="903">
        <f t="array" ref="AL16">SUM(IF(LEFT(AL23:AL162,1)="s",1,0))</f>
        <v>0</v>
      </c>
      <c r="AM16" s="903">
        <f t="array" ref="AM16">SUM(IF(LEFT(AM23:AM162,1)="s",1,0))</f>
        <v>0</v>
      </c>
      <c r="AN16" s="903">
        <f t="array" ref="AN16">SUM(IF(LEFT(AN23:AN162,1)="s",1,0))</f>
        <v>8</v>
      </c>
      <c r="AO16" s="903">
        <f t="array" ref="AO16">SUM(IF(LEFT(AO23:AO162,1)="s",1,0))</f>
        <v>1</v>
      </c>
      <c r="AP16" s="903">
        <f t="array" ref="AP16">SUM(IF(LEFT(AP23:AP162,1)="s",1,0))</f>
        <v>5</v>
      </c>
      <c r="AQ16" s="903">
        <f t="array" ref="AQ16">SUM(IF(LEFT(AQ23:AQ162,1)="s",1,0))</f>
        <v>1</v>
      </c>
      <c r="AR16" s="903">
        <f t="array" ref="AR16">SUM(IF(LEFT(AR23:AR162,1)="s",1,0))</f>
        <v>1</v>
      </c>
      <c r="AS16" s="903">
        <f t="array" ref="AS16">SUM(IF(LEFT(AS23:AS162,1)="s",1,0))</f>
        <v>0</v>
      </c>
      <c r="AT16" s="903">
        <f t="array" ref="AT16">SUM(IF(LEFT(AT23:AT162,1)="s",1,0))</f>
        <v>0</v>
      </c>
      <c r="AU16" s="903">
        <f t="array" ref="AU16">SUM(IF(LEFT(AU23:AU162,1)="s",1,0))</f>
        <v>1</v>
      </c>
      <c r="AV16" s="903">
        <f t="array" ref="AV16">SUM(IF(LEFT(AV23:AV162,1)="s",1,0))</f>
        <v>0</v>
      </c>
      <c r="AW16" s="903">
        <f t="array" ref="AW16">SUM(IF(LEFT(AW23:AW162,1)="s",1,0))</f>
        <v>4</v>
      </c>
      <c r="AX16" s="903">
        <f t="array" ref="AX16">SUM(IF(LEFT(AX23:AX162,1)="s",1,0))</f>
        <v>1</v>
      </c>
      <c r="AY16" s="903">
        <f t="array" ref="AY16">SUM(IF(LEFT(AY23:AY162,1)="s",1,0))</f>
        <v>9</v>
      </c>
      <c r="AZ16" s="903">
        <f t="array" ref="AZ16">SUM(IF(LEFT(AZ23:AZ162,1)="s",1,0))</f>
        <v>11</v>
      </c>
      <c r="BA16" s="903">
        <f t="array" ref="BA16">SUM(IF(LEFT(BA23:BA162,1)="s",1,0))</f>
        <v>4</v>
      </c>
      <c r="BB16" s="903">
        <f t="array" ref="BB16">SUM(IF(LEFT(BB23:BB162,1)="s",1,0))</f>
        <v>9</v>
      </c>
      <c r="BC16" s="903">
        <f t="array" ref="BC16">SUM(IF(LEFT(BC23:BC162,1)="s",1,0))</f>
        <v>3</v>
      </c>
      <c r="BD16" s="903">
        <f t="array" ref="BD16">SUM(IF(LEFT(BD23:BD162,1)="s",1,0))</f>
        <v>8</v>
      </c>
      <c r="BE16" s="903">
        <f t="array" ref="BE16">SUM(IF(LEFT(BE23:BE162,1)="s",1,0))</f>
        <v>4</v>
      </c>
      <c r="BF16" s="903">
        <f t="array" ref="BF16">SUM(IF(LEFT(BF23:BF162,1)="s",1,0))</f>
        <v>2</v>
      </c>
      <c r="BG16" s="903">
        <f t="array" ref="BG16">SUM(IF(LEFT(BG23:BG162,1)="s",1,0))</f>
        <v>2</v>
      </c>
      <c r="BH16" s="903">
        <f t="array" ref="BH16">SUM(IF(LEFT(BH23:BH162,1)="s",1,0))</f>
        <v>17</v>
      </c>
      <c r="BI16" s="903">
        <f t="array" ref="BI16">SUM(IF(LEFT(BI23:BI162,1)="s",1,0))</f>
        <v>20</v>
      </c>
      <c r="BJ16" s="903">
        <f t="array" ref="BJ16">SUM(IF(LEFT(BJ23:BJ162,1)="s",1,0))</f>
        <v>5</v>
      </c>
      <c r="BK16" s="903">
        <f t="array" ref="BK16">SUM(IF(LEFT(BK23:BK162,1)="s",1,0))</f>
        <v>9</v>
      </c>
      <c r="BL16" s="903">
        <f t="array" ref="BL16">SUM(IF(LEFT(BL23:BL162,1)="s",1,0))</f>
        <v>3</v>
      </c>
      <c r="BM16" s="889"/>
      <c r="BN16" s="903">
        <f t="array" ref="BN16">SUM(IF(LEFT(BN23:BN162,1)="s",1,0))</f>
        <v>5</v>
      </c>
      <c r="BO16" s="889"/>
      <c r="BP16" s="889"/>
      <c r="BQ16" s="889"/>
      <c r="BR16" s="889"/>
      <c r="BS16" s="889"/>
      <c r="BT16" s="889"/>
      <c r="BU16" s="889"/>
      <c r="BV16" s="890"/>
      <c r="BW16" s="890"/>
      <c r="BX16" s="890"/>
      <c r="BY16" s="890"/>
      <c r="BZ16" s="889"/>
      <c r="CA16" s="889"/>
      <c r="CB16" s="889"/>
      <c r="CC16" s="889"/>
      <c r="CD16" s="889"/>
      <c r="CE16" s="889"/>
      <c r="CF16" s="889"/>
    </row>
    <row r="17" spans="1:117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AVERAGEIF($H$23:$H$204,"=A",$J$23:$J$204)</f>
        <v>1.1363636363636365</v>
      </c>
      <c r="J17" s="860">
        <f>AVERAGEIF($H$23:$H$208,"=A",$K$23:$K$208)</f>
        <v>1.0909090909090908</v>
      </c>
      <c r="K17" s="858">
        <f>I17-J17</f>
        <v>4.5454545454545636E-2</v>
      </c>
      <c r="L17" s="857">
        <f>COUNTIFS($L$23:$L$204,"=W",$H$23:$H$204,"=A")</f>
        <v>8</v>
      </c>
      <c r="M17" s="857">
        <f>COUNTIFS($L$23:$L$204,"=D",$H$23:$H$204,"=A")</f>
        <v>6</v>
      </c>
      <c r="N17" s="863">
        <f>COUNTIFS($L$23:$L$204,"=L",$H$23:$H$204,"=A")</f>
        <v>7</v>
      </c>
      <c r="O17" s="858">
        <f>SUM(I17:J17)</f>
        <v>2.2272727272727275</v>
      </c>
      <c r="Q17" s="848"/>
      <c r="R17" s="859"/>
      <c r="S17" s="855"/>
      <c r="AF17" s="848" t="s">
        <v>718</v>
      </c>
      <c r="AG17" s="903">
        <f t="array" ref="AG17">SUM(IF(ISNUMBER(VALUE(RIGHT(AG23:AG170,1))),VALUE(RIGHT(AG23:AG170,1)),0))</f>
        <v>0</v>
      </c>
      <c r="AH17" s="903">
        <f t="array" ref="AH17">SUM(IF(ISNUMBER(VALUE(RIGHT(AH23:AH170,1))),VALUE(RIGHT(AH23:AH170,1)),0))</f>
        <v>0</v>
      </c>
      <c r="AI17" s="903">
        <f t="array" ref="AI17">SUM(IF(ISNUMBER(VALUE(RIGHT(AI23:AI170,1))),VALUE(RIGHT(AI23:AI170,1)),0))</f>
        <v>0</v>
      </c>
      <c r="AJ17" s="903">
        <f t="array" ref="AJ17">SUM(IF(ISNUMBER(VALUE(RIGHT(AJ23:AJ170,1))),VALUE(RIGHT(AJ23:AJ170,1)),0))</f>
        <v>0</v>
      </c>
      <c r="AK17" s="903">
        <f t="array" ref="AK17">SUM(IF(ISNUMBER(VALUE(RIGHT(AK23:AK170,1))),VALUE(RIGHT(AK23:AK170,1)),0))</f>
        <v>0</v>
      </c>
      <c r="AL17" s="903">
        <f t="array" ref="AL17">SUM(IF(ISNUMBER(VALUE(RIGHT(AL23:AL170,1))),VALUE(RIGHT(AL23:AL170,1)),0))</f>
        <v>1</v>
      </c>
      <c r="AM17" s="903">
        <f t="array" ref="AM17">SUM(IF(ISNUMBER(VALUE(RIGHT(AM23:AM170,1))),VALUE(RIGHT(AM23:AM170,1)),0))</f>
        <v>3</v>
      </c>
      <c r="AN17" s="903">
        <f t="array" ref="AN17">SUM(IF(ISNUMBER(VALUE(RIGHT(AN23:AN170,1))),VALUE(RIGHT(AN23:AN170,1)),0))</f>
        <v>0</v>
      </c>
      <c r="AO17" s="903">
        <f t="array" ref="AO17">SUM(IF(ISNUMBER(VALUE(RIGHT(AO23:AO170,1))),VALUE(RIGHT(AO23:AO170,1)),0))</f>
        <v>1</v>
      </c>
      <c r="AP17" s="903">
        <f t="array" ref="AP17">SUM(IF(ISNUMBER(VALUE(RIGHT(AP23:AP170,1))),VALUE(RIGHT(AP23:AP170,1)),0))</f>
        <v>0</v>
      </c>
      <c r="AQ17" s="903">
        <f t="array" ref="AQ17">SUM(IF(ISNUMBER(VALUE(RIGHT(AQ23:AQ170,1))),VALUE(RIGHT(AQ23:AQ170,1)),0))</f>
        <v>1</v>
      </c>
      <c r="AR17" s="903">
        <f t="array" ref="AR17">SUM(IF(ISNUMBER(VALUE(RIGHT(AR23:AR170,1))),VALUE(RIGHT(AR23:AR170,1)),0))</f>
        <v>0</v>
      </c>
      <c r="AS17" s="903">
        <f t="array" ref="AS17">SUM(IF(ISNUMBER(VALUE(RIGHT(AS23:AS170,1))),VALUE(RIGHT(AS23:AS170,1)),0))</f>
        <v>0</v>
      </c>
      <c r="AT17" s="903">
        <f t="array" ref="AT17">SUM(IF(ISNUMBER(VALUE(RIGHT(AT23:AT170,1))),VALUE(RIGHT(AT23:AT170,1)),0))</f>
        <v>1</v>
      </c>
      <c r="AU17" s="903">
        <f t="array" ref="AU17">SUM(IF(ISNUMBER(VALUE(RIGHT(AU23:AU170,1))),VALUE(RIGHT(AU23:AU170,1)),0))</f>
        <v>0</v>
      </c>
      <c r="AV17" s="903">
        <f t="array" ref="AV17">SUM(IF(ISNUMBER(VALUE(RIGHT(AV23:AV170,1))),VALUE(RIGHT(AV23:AV170,1)),0))</f>
        <v>1</v>
      </c>
      <c r="AW17" s="903">
        <f t="array" ref="AW17">SUM(IF(ISNUMBER(VALUE(RIGHT(AW23:AW170,1))),VALUE(RIGHT(AW23:AW170,1)),0))</f>
        <v>4</v>
      </c>
      <c r="AX17" s="903">
        <f t="array" ref="AX17">SUM(IF(ISNUMBER(VALUE(RIGHT(AX23:AX170,1))),VALUE(RIGHT(AX23:AX170,1)),0))</f>
        <v>2</v>
      </c>
      <c r="AY17" s="903">
        <f t="array" ref="AY17">SUM(IF(ISNUMBER(VALUE(RIGHT(AY23:AY170,1))),VALUE(RIGHT(AY23:AY170,1)),0))</f>
        <v>0</v>
      </c>
      <c r="AZ17" s="903">
        <f t="array" ref="AZ17">SUM(IF(ISNUMBER(VALUE(RIGHT(AZ23:AZ170,1))),VALUE(RIGHT(AZ23:AZ170,1)),0))</f>
        <v>5</v>
      </c>
      <c r="BA17" s="903">
        <f t="array" ref="BA17">SUM(IF(ISNUMBER(VALUE(RIGHT(BA23:BA170,1))),VALUE(RIGHT(BA23:BA170,1)),0))</f>
        <v>8</v>
      </c>
      <c r="BB17" s="903">
        <f t="array" ref="BB17">SUM(IF(ISNUMBER(VALUE(RIGHT(BB23:BB170,1))),VALUE(RIGHT(BB23:BB170,1)),0))</f>
        <v>4</v>
      </c>
      <c r="BC17" s="903">
        <f t="array" ref="BC17">SUM(IF(ISNUMBER(VALUE(RIGHT(BC23:BC170,1))),VALUE(RIGHT(BC23:BC170,1)),0))</f>
        <v>3</v>
      </c>
      <c r="BD17" s="903">
        <f t="array" ref="BD17">SUM(IF(ISNUMBER(VALUE(RIGHT(BD23:BD170,1))),VALUE(RIGHT(BD23:BD170,1)),0))</f>
        <v>7</v>
      </c>
      <c r="BE17" s="903">
        <f t="array" ref="BE17">SUM(IF(ISNUMBER(VALUE(RIGHT(BE23:BE170,1))),VALUE(RIGHT(BE23:BE170,1)),0))</f>
        <v>0</v>
      </c>
      <c r="BF17" s="903">
        <f t="array" ref="BF17">SUM(IF(ISNUMBER(VALUE(RIGHT(BF23:BF170,1))),VALUE(RIGHT(BF23:BF170,1)),0))</f>
        <v>0</v>
      </c>
      <c r="BG17" s="903">
        <f t="array" ref="BG17">SUM(IF(ISNUMBER(VALUE(RIGHT(BG23:BG170,1))),VALUE(RIGHT(BG23:BG170,1)),0))</f>
        <v>19</v>
      </c>
      <c r="BH17" s="903">
        <f t="array" ref="BH17">SUM(IF(ISNUMBER(VALUE(RIGHT(BH23:BH170,1))),VALUE(RIGHT(BH23:BH170,1)),0))</f>
        <v>2</v>
      </c>
      <c r="BI17" s="903">
        <f t="array" ref="BI17">SUM(IF(ISNUMBER(VALUE(RIGHT(BI23:BI170,1))),VALUE(RIGHT(BI23:BI170,1)),0))</f>
        <v>3</v>
      </c>
      <c r="BJ17" s="903">
        <f t="array" ref="BJ17">SUM(IF(ISNUMBER(VALUE(RIGHT(BJ23:BJ170,1))),VALUE(RIGHT(BJ23:BJ170,1)),0))</f>
        <v>0</v>
      </c>
      <c r="BK17" s="903">
        <f t="array" ref="BK17">SUM(IF(ISNUMBER(VALUE(RIGHT(BK23:BK170,1))),VALUE(RIGHT(BK23:BK170,1)),0))</f>
        <v>0</v>
      </c>
      <c r="BL17" s="903">
        <f t="array" ref="BL17">SUM(IF(ISNUMBER(VALUE(RIGHT(BL23:BL170,1))),VALUE(RIGHT(BL23:BL170,1)),0))</f>
        <v>0</v>
      </c>
      <c r="BM17" s="889"/>
      <c r="BN17" s="903">
        <f t="array" ref="BN17">SUM(IF(ISNUMBER(VALUE(RIGHT(BN23:BN170,1))),VALUE(RIGHT(BN23:BN170,1)),0))</f>
        <v>1</v>
      </c>
      <c r="BO17" s="889"/>
      <c r="BP17" s="889"/>
      <c r="BQ17" s="889"/>
      <c r="BR17" s="889"/>
      <c r="BS17" s="889"/>
      <c r="BT17" s="889"/>
      <c r="BU17" s="889"/>
      <c r="BV17" s="890"/>
      <c r="BW17" s="890"/>
      <c r="BX17" s="890"/>
      <c r="BY17" s="890"/>
      <c r="BZ17" s="889"/>
      <c r="CA17" s="889"/>
      <c r="CB17" s="889"/>
      <c r="CC17" s="889"/>
      <c r="CD17" s="889"/>
      <c r="CE17" s="889"/>
      <c r="CF17" s="889"/>
    </row>
    <row r="18" spans="1:117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AVERAGEIFS($Y$23:$Y$207,$H$23:$H$207,"H",$I$23:$I$207,Table!$C$1)</f>
        <v>5.2380952380952381</v>
      </c>
      <c r="S18" s="858">
        <f>AVERAGEIFS($Y$23:$Y$207,$H$23:$H$207,"A",$I$23:$I$207,Table!$C$1)</f>
        <v>3.5714285714285716</v>
      </c>
      <c r="AG18" s="876">
        <v>1</v>
      </c>
      <c r="AH18" s="876">
        <v>16</v>
      </c>
      <c r="AI18" s="876">
        <v>21</v>
      </c>
      <c r="AJ18" s="876">
        <v>30</v>
      </c>
      <c r="AK18" s="876">
        <v>2</v>
      </c>
      <c r="AL18" s="876">
        <v>3</v>
      </c>
      <c r="AM18" s="876">
        <v>4</v>
      </c>
      <c r="AN18" s="876">
        <v>6</v>
      </c>
      <c r="AO18" s="876">
        <v>13</v>
      </c>
      <c r="AP18" s="876">
        <v>17</v>
      </c>
      <c r="AQ18" s="876">
        <v>18</v>
      </c>
      <c r="AR18" s="876">
        <v>22</v>
      </c>
      <c r="AS18" s="876">
        <v>24</v>
      </c>
      <c r="AT18" s="876">
        <v>28</v>
      </c>
      <c r="AU18" s="876">
        <v>29</v>
      </c>
      <c r="AV18" s="876">
        <v>31</v>
      </c>
      <c r="AW18" s="876">
        <v>33</v>
      </c>
      <c r="AX18" s="876">
        <v>5</v>
      </c>
      <c r="AY18" s="876">
        <v>7</v>
      </c>
      <c r="AZ18" s="876">
        <v>8</v>
      </c>
      <c r="BA18" s="876">
        <v>10</v>
      </c>
      <c r="BB18" s="876">
        <v>14</v>
      </c>
      <c r="BC18" s="876">
        <v>15</v>
      </c>
      <c r="BD18" s="876">
        <v>20</v>
      </c>
      <c r="BE18" s="876">
        <v>23</v>
      </c>
      <c r="BF18" s="876">
        <v>27</v>
      </c>
      <c r="BG18" s="876">
        <v>9</v>
      </c>
      <c r="BH18" s="876">
        <v>11</v>
      </c>
      <c r="BI18" s="876">
        <v>19</v>
      </c>
      <c r="BJ18" s="876">
        <v>26</v>
      </c>
      <c r="BK18" s="876">
        <v>50</v>
      </c>
      <c r="BL18" s="876">
        <v>19.928571428571399</v>
      </c>
      <c r="BN18" s="876">
        <v>25</v>
      </c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</row>
    <row r="19" spans="1:117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AVERAGEIFS($Z$23:$Z$205,$H$23:$H$205,"H",$I$23:$I$205,Table!$C$1)</f>
        <v>3.3809523809523809</v>
      </c>
      <c r="S19" s="858">
        <f>AVERAGEIFS($Z$23:$Z$205,$H$23:$H$205,"A",$I$23:$I$205,Table!$C$1)</f>
        <v>3.5714285714285716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2032</v>
      </c>
      <c r="AL19" s="901" t="s">
        <v>2036</v>
      </c>
      <c r="AM19" s="901" t="s">
        <v>2037</v>
      </c>
      <c r="AN19" s="901" t="s">
        <v>2037</v>
      </c>
      <c r="AO19" s="901" t="s">
        <v>2037</v>
      </c>
      <c r="AP19" s="901" t="s">
        <v>2038</v>
      </c>
      <c r="AQ19" s="901" t="s">
        <v>2037</v>
      </c>
      <c r="AR19" s="901" t="s">
        <v>2036</v>
      </c>
      <c r="AS19" s="901" t="s">
        <v>2039</v>
      </c>
      <c r="AT19" s="901" t="s">
        <v>2037</v>
      </c>
      <c r="AU19" s="901" t="s">
        <v>2037</v>
      </c>
      <c r="AV19" s="901" t="s">
        <v>2037</v>
      </c>
      <c r="AW19" s="901" t="s">
        <v>2037</v>
      </c>
      <c r="AX19" s="901" t="s">
        <v>2040</v>
      </c>
      <c r="AY19" s="901" t="s">
        <v>2040</v>
      </c>
      <c r="AZ19" s="901" t="s">
        <v>2041</v>
      </c>
      <c r="BA19" s="901" t="s">
        <v>2042</v>
      </c>
      <c r="BB19" s="901" t="s">
        <v>2040</v>
      </c>
      <c r="BC19" s="901" t="s">
        <v>2040</v>
      </c>
      <c r="BD19" s="901" t="s">
        <v>2042</v>
      </c>
      <c r="BE19" s="901" t="s">
        <v>2040</v>
      </c>
      <c r="BF19" s="901" t="s">
        <v>2040</v>
      </c>
      <c r="BG19" s="901" t="s">
        <v>2043</v>
      </c>
      <c r="BH19" s="901" t="s">
        <v>2044</v>
      </c>
      <c r="BI19" s="901" t="s">
        <v>2045</v>
      </c>
      <c r="BJ19" s="901" t="s">
        <v>1663</v>
      </c>
      <c r="BK19" s="901" t="s">
        <v>3126</v>
      </c>
      <c r="BL19" s="901" t="s">
        <v>1994</v>
      </c>
      <c r="BN19" s="901" t="s">
        <v>1709</v>
      </c>
      <c r="BQ19" s="877"/>
      <c r="BR19" s="877"/>
      <c r="BS19" s="877"/>
      <c r="BT19" s="877"/>
      <c r="BU19" s="877"/>
      <c r="BV19" s="428"/>
      <c r="BW19" s="428"/>
      <c r="BX19" s="428"/>
      <c r="BY19" s="428"/>
      <c r="BZ19" s="877"/>
      <c r="CA19" s="877"/>
      <c r="CB19" s="877"/>
      <c r="CC19" s="877"/>
      <c r="CD19" s="877"/>
      <c r="CE19" s="877"/>
      <c r="CF19" s="877"/>
      <c r="CG19" s="428"/>
      <c r="CH19" s="876"/>
      <c r="CI19" s="876"/>
      <c r="CJ19" s="876"/>
    </row>
    <row r="20" spans="1:117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8</v>
      </c>
      <c r="G20" s="822" t="str">
        <f ca="1">MID(CELL("filename",A1),FIND("]",CELL("filename",A1))+1,LEN(CELL("filename",A1))-FIND("]",CELL("filename",A1)))</f>
        <v>Matsumoto Yamaga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1490</v>
      </c>
      <c r="AH20" s="887" t="s">
        <v>1488</v>
      </c>
      <c r="AI20" s="887" t="s">
        <v>1489</v>
      </c>
      <c r="AJ20" s="887" t="s">
        <v>1907</v>
      </c>
      <c r="AK20" s="887" t="s">
        <v>1491</v>
      </c>
      <c r="AL20" s="887" t="s">
        <v>1492</v>
      </c>
      <c r="AM20" s="887" t="s">
        <v>3352</v>
      </c>
      <c r="AN20" s="887" t="s">
        <v>1493</v>
      </c>
      <c r="AO20" s="887" t="s">
        <v>1494</v>
      </c>
      <c r="AP20" s="887" t="s">
        <v>1495</v>
      </c>
      <c r="AQ20" s="887" t="s">
        <v>1496</v>
      </c>
      <c r="AR20" s="887" t="s">
        <v>1908</v>
      </c>
      <c r="AS20" s="887" t="s">
        <v>1497</v>
      </c>
      <c r="AT20" s="887" t="s">
        <v>1498</v>
      </c>
      <c r="AU20" s="887" t="s">
        <v>1909</v>
      </c>
      <c r="AV20" s="887" t="s">
        <v>1499</v>
      </c>
      <c r="AW20" s="887" t="s">
        <v>1500</v>
      </c>
      <c r="AX20" s="887" t="s">
        <v>1501</v>
      </c>
      <c r="AY20" s="887" t="s">
        <v>1502</v>
      </c>
      <c r="AZ20" s="887" t="s">
        <v>3212</v>
      </c>
      <c r="BA20" s="887" t="s">
        <v>1503</v>
      </c>
      <c r="BB20" s="887" t="s">
        <v>1504</v>
      </c>
      <c r="BC20" s="887" t="s">
        <v>3454</v>
      </c>
      <c r="BD20" s="887" t="s">
        <v>1505</v>
      </c>
      <c r="BE20" s="887" t="s">
        <v>1506</v>
      </c>
      <c r="BF20" s="887" t="s">
        <v>2268</v>
      </c>
      <c r="BG20" s="887" t="s">
        <v>1508</v>
      </c>
      <c r="BH20" s="887" t="s">
        <v>1509</v>
      </c>
      <c r="BI20" s="887" t="s">
        <v>3351</v>
      </c>
      <c r="BJ20" s="887" t="s">
        <v>1510</v>
      </c>
      <c r="BK20" s="887" t="s">
        <v>3128</v>
      </c>
      <c r="BL20" s="887" t="s">
        <v>2929</v>
      </c>
      <c r="BN20" s="887" t="s">
        <v>1507</v>
      </c>
      <c r="BQ20" s="864"/>
      <c r="BR20" s="864"/>
      <c r="BS20" s="864"/>
      <c r="BT20" s="864"/>
      <c r="BU20" s="864"/>
      <c r="BV20" s="847"/>
      <c r="BW20" s="847"/>
      <c r="BX20" s="847"/>
      <c r="BY20" s="847"/>
      <c r="BZ20" s="864"/>
      <c r="CA20" s="864"/>
      <c r="CB20" s="864"/>
      <c r="CC20" s="864"/>
      <c r="CD20" s="864"/>
      <c r="CE20" s="864"/>
      <c r="CF20" s="86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</row>
    <row r="21" spans="1:117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918</v>
      </c>
      <c r="AH21" s="886" t="s">
        <v>1183</v>
      </c>
      <c r="AI21" s="886" t="s">
        <v>963</v>
      </c>
      <c r="AJ21" s="886" t="s">
        <v>1184</v>
      </c>
      <c r="AK21" s="886" t="s">
        <v>1686</v>
      </c>
      <c r="AL21" s="886" t="s">
        <v>965</v>
      </c>
      <c r="AM21" s="886" t="s">
        <v>2270</v>
      </c>
      <c r="AN21" s="886" t="s">
        <v>1687</v>
      </c>
      <c r="AO21" s="886" t="s">
        <v>966</v>
      </c>
      <c r="AP21" s="886" t="s">
        <v>1688</v>
      </c>
      <c r="AQ21" s="886" t="s">
        <v>1185</v>
      </c>
      <c r="AR21" s="886" t="s">
        <v>1186</v>
      </c>
      <c r="AS21" s="886" t="s">
        <v>1187</v>
      </c>
      <c r="AT21" s="886" t="s">
        <v>1689</v>
      </c>
      <c r="AU21" s="886" t="s">
        <v>1188</v>
      </c>
      <c r="AV21" s="886" t="s">
        <v>1027</v>
      </c>
      <c r="AW21" s="886" t="s">
        <v>1690</v>
      </c>
      <c r="AX21" s="886" t="s">
        <v>968</v>
      </c>
      <c r="AY21" s="886" t="s">
        <v>969</v>
      </c>
      <c r="AZ21" s="886" t="s">
        <v>1189</v>
      </c>
      <c r="BA21" s="886" t="s">
        <v>972</v>
      </c>
      <c r="BB21" s="886" t="s">
        <v>1190</v>
      </c>
      <c r="BC21" s="886" t="s">
        <v>971</v>
      </c>
      <c r="BD21" s="886" t="s">
        <v>1191</v>
      </c>
      <c r="BE21" s="886" t="s">
        <v>1192</v>
      </c>
      <c r="BF21" s="886" t="s">
        <v>2269</v>
      </c>
      <c r="BG21" s="886" t="s">
        <v>1193</v>
      </c>
      <c r="BH21" s="886" t="s">
        <v>984</v>
      </c>
      <c r="BI21" s="886" t="s">
        <v>1194</v>
      </c>
      <c r="BJ21" s="886" t="s">
        <v>1195</v>
      </c>
      <c r="BK21" s="886" t="s">
        <v>3127</v>
      </c>
      <c r="BL21" s="886" t="s">
        <v>2928</v>
      </c>
      <c r="BM21" s="886" t="s">
        <v>3326</v>
      </c>
      <c r="BN21" s="886" t="s">
        <v>973</v>
      </c>
      <c r="BQ21" s="864"/>
      <c r="BR21" s="864"/>
      <c r="BS21" s="864"/>
      <c r="BT21" s="864"/>
      <c r="BU21" s="864"/>
      <c r="BV21" s="847"/>
      <c r="BW21" s="847"/>
      <c r="BX21" s="847"/>
      <c r="BY21" s="847"/>
      <c r="BZ21" s="864"/>
      <c r="CA21" s="864"/>
      <c r="CB21" s="864"/>
      <c r="CC21" s="864"/>
      <c r="CD21" s="864"/>
      <c r="CE21" s="864"/>
      <c r="CF21" s="86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</row>
    <row r="22" spans="1:117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</row>
    <row r="23" spans="1:117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10</v>
      </c>
      <c r="G23" s="879" t="s">
        <v>883</v>
      </c>
      <c r="H23" s="879" t="s">
        <v>18</v>
      </c>
      <c r="I23" s="879" t="s">
        <v>891</v>
      </c>
      <c r="J23" s="846">
        <v>0</v>
      </c>
      <c r="K23" s="846">
        <v>1</v>
      </c>
      <c r="L23" s="816" t="str">
        <f>IF(J23="","",IF(J23&gt;K23,"W",IF(J23=K23,"D",IF(J23&lt;K23,"L"))))</f>
        <v>L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9" si="18">IF(Q23="","",IF(SIGN(Q23)&lt;&gt;1,VLOOKUP(ABS(Q23),SUP_HDC,3,TRUE),-VLOOKUP(ABS(Q23),SUP_HDC,3,TRUE)))</f>
        <v>-0.5</v>
      </c>
      <c r="P23" s="829">
        <f>IF(O23="","",IF((J23-K23+O23)&gt;=0.5,1,IF((J23-K23+O23)=0.25,0.5,IF((J23-K23+O23)&lt;=-0.5,-1,IF((J23-K23+O23)=-0.25,-0.5,0)))))</f>
        <v>-1</v>
      </c>
      <c r="Q23" s="830">
        <v>0.56000000000000005</v>
      </c>
      <c r="R23" s="871">
        <f>IF(ISBLANK(Q23),"",J23-K23-Q23)</f>
        <v>-1.56</v>
      </c>
      <c r="S23" s="830">
        <v>2.25</v>
      </c>
      <c r="T23" s="871">
        <f>IF(ISBLANK(S23),"",J23+K23-S23)</f>
        <v>-1.25</v>
      </c>
      <c r="U23" s="868">
        <f>IF(Q23="","",(Q23+S23)/2)</f>
        <v>1.405</v>
      </c>
      <c r="V23" s="868">
        <f>IF(Q23="","",S23-U23)</f>
        <v>0.84499999999999997</v>
      </c>
      <c r="W23" s="829">
        <v>8</v>
      </c>
      <c r="X23" s="829">
        <v>16</v>
      </c>
      <c r="Y23" s="829">
        <v>2</v>
      </c>
      <c r="Z23" s="829">
        <v>6</v>
      </c>
      <c r="AA23" s="829">
        <v>55</v>
      </c>
      <c r="AB23" s="829">
        <v>45</v>
      </c>
      <c r="AC23" s="829"/>
      <c r="AD23" s="816" t="str">
        <f t="array" ref="AD23">IF($J23="","",IF(SUM(IF(ISNUMBER(VALUE(RIGHT($AG23:$DY23,1))),VALUE(RIGHT($AG23:$DY23,1)),0))=$J23,"T","F"))</f>
        <v>T</v>
      </c>
      <c r="AE23" s="831">
        <f t="array" ref="AE23">IF($J23="","",SUM(IF(LEFT($AG23:$DY23,1)="s",1,0))-SUM(IF(RIGHT(LEFT($AG23:$DY23,2))="-",1,0)))</f>
        <v>0</v>
      </c>
      <c r="AF23" s="816">
        <f t="array" ref="AF23">IF($J23="","",SUM(IF(LEFT($AG23:$DY23,1)="X",1,0)))</f>
        <v>11</v>
      </c>
      <c r="AG23" s="891" t="s">
        <v>32</v>
      </c>
      <c r="AH23" s="891" t="s">
        <v>1877</v>
      </c>
      <c r="AI23" s="891" t="s">
        <v>34</v>
      </c>
      <c r="AJ23" s="891" t="s">
        <v>32</v>
      </c>
      <c r="AK23" s="904" t="s">
        <v>35</v>
      </c>
      <c r="AL23" s="891" t="s">
        <v>35</v>
      </c>
      <c r="AM23" s="904" t="s">
        <v>34</v>
      </c>
      <c r="AN23" s="891" t="s">
        <v>32</v>
      </c>
      <c r="AO23" s="891" t="s">
        <v>32</v>
      </c>
      <c r="AP23" s="891" t="s">
        <v>32</v>
      </c>
      <c r="AQ23" s="891" t="s">
        <v>32</v>
      </c>
      <c r="AR23" s="891" t="s">
        <v>32</v>
      </c>
      <c r="AS23" s="891" t="s">
        <v>32</v>
      </c>
      <c r="AT23" s="891" t="s">
        <v>32</v>
      </c>
      <c r="AU23" s="891" t="s">
        <v>32</v>
      </c>
      <c r="AV23" s="891" t="s">
        <v>34</v>
      </c>
      <c r="AW23" s="891" t="s">
        <v>1877</v>
      </c>
      <c r="AX23" s="891" t="s">
        <v>34</v>
      </c>
      <c r="AY23" s="891" t="s">
        <v>1877</v>
      </c>
      <c r="AZ23" s="904" t="s">
        <v>34</v>
      </c>
      <c r="BA23" s="891" t="s">
        <v>35</v>
      </c>
      <c r="BB23" s="904" t="s">
        <v>34</v>
      </c>
      <c r="BC23" s="891" t="s">
        <v>36</v>
      </c>
      <c r="BD23" s="891" t="s">
        <v>34</v>
      </c>
      <c r="BE23" s="891" t="s">
        <v>32</v>
      </c>
      <c r="BF23" s="891" t="s">
        <v>2007</v>
      </c>
      <c r="BG23" s="891" t="s">
        <v>34</v>
      </c>
      <c r="BH23" s="891" t="s">
        <v>36</v>
      </c>
      <c r="BI23" s="891" t="s">
        <v>1877</v>
      </c>
      <c r="BJ23" s="891"/>
      <c r="BK23" s="891"/>
      <c r="BL23" s="910"/>
      <c r="BM23" s="891"/>
      <c r="BN23" s="891" t="s">
        <v>36</v>
      </c>
      <c r="BO23" s="891"/>
      <c r="BP23" s="891"/>
      <c r="BQ23" s="891"/>
      <c r="BR23" s="891"/>
      <c r="BS23" s="891"/>
      <c r="BT23" s="891"/>
      <c r="BU23" s="891"/>
      <c r="BV23" s="896"/>
      <c r="BW23" s="896"/>
      <c r="BX23" s="896"/>
      <c r="BY23" s="896"/>
      <c r="BZ23" s="896"/>
      <c r="CA23" s="896"/>
      <c r="CB23" s="896"/>
      <c r="CC23" s="896"/>
      <c r="CD23" s="896"/>
      <c r="CE23" s="896"/>
      <c r="CF23" s="896"/>
      <c r="CG23" s="428"/>
      <c r="CH23" s="428"/>
      <c r="CI23" s="428"/>
      <c r="CJ23" s="428"/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</row>
    <row r="24" spans="1:117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15</v>
      </c>
      <c r="G24" s="879" t="s">
        <v>881</v>
      </c>
      <c r="H24" s="879" t="s">
        <v>18</v>
      </c>
      <c r="I24" s="879" t="s">
        <v>891</v>
      </c>
      <c r="J24" s="846">
        <v>0</v>
      </c>
      <c r="K24" s="846">
        <v>0</v>
      </c>
      <c r="L24" s="816" t="str">
        <f>IF(J24="","",IF(J24&gt;K24,"W",IF(J24=K24,"D",IF(J24&lt;K24,"L"))))</f>
        <v>D</v>
      </c>
      <c r="M24" s="816">
        <f>IF(J24="","",J24+K24)</f>
        <v>0</v>
      </c>
      <c r="N24" s="816" t="str">
        <f t="shared" ref="N24:N30" si="19">IF($J24="","",IF($M24&gt;N$19,"O",IF($M24&lt;N$19,"U",IF($M24=N$19,"-"))))</f>
        <v>U</v>
      </c>
      <c r="O24" s="816">
        <f t="shared" si="18"/>
        <v>-0.25</v>
      </c>
      <c r="P24" s="829">
        <f t="shared" ref="P24:P59" si="20">IF(O24="","",IF((J24-K24+O24)&gt;=0.5,1,IF((J24-K24+O24)=0.25,0.5,IF((J24-K24+O24)&lt;=-0.5,-1,IF((J24-K24+O24)=-0.25,-0.5,0)))))</f>
        <v>-0.5</v>
      </c>
      <c r="Q24" s="830">
        <v>0.36</v>
      </c>
      <c r="R24" s="871">
        <f t="shared" ref="R24:R67" si="21">IF(ISBLANK(Q24),"",J24-K24-Q24)</f>
        <v>-0.36</v>
      </c>
      <c r="S24" s="830">
        <v>2.12</v>
      </c>
      <c r="T24" s="871">
        <f t="shared" ref="T24:T69" si="22">IF(ISBLANK(S24),"",J24+K24-S24)</f>
        <v>-2.12</v>
      </c>
      <c r="U24" s="868">
        <f t="shared" ref="U24:U59" si="23">IF(Q24="","",(Q24+S24)/2)</f>
        <v>1.24</v>
      </c>
      <c r="V24" s="868">
        <f t="shared" ref="V24:V59" si="24">IF(Q24="","",S24-U24)</f>
        <v>0.88000000000000012</v>
      </c>
      <c r="W24" s="829">
        <v>14</v>
      </c>
      <c r="X24" s="829">
        <v>5</v>
      </c>
      <c r="Y24" s="829">
        <v>4</v>
      </c>
      <c r="Z24" s="829">
        <v>2</v>
      </c>
      <c r="AA24" s="829">
        <v>53</v>
      </c>
      <c r="AB24" s="829">
        <v>47</v>
      </c>
      <c r="AD24" s="816" t="str">
        <f t="array" ref="AD24">IF($J24="","",IF(SUM(IF(ISNUMBER(VALUE(RIGHT($AG24:$DY24,1))),VALUE(RIGHT($AG24:$DY24,1)),0))=$J24,"T","F"))</f>
        <v>T</v>
      </c>
      <c r="AE24" s="831">
        <f t="array" ref="AE24">IF($J24="","",SUM(IF(LEFT($AG24:$DY24,1)="s",1,0))-SUM(IF(RIGHT(LEFT($AG24:$DY24,2))="-",1,0)))</f>
        <v>0</v>
      </c>
      <c r="AF24" s="816">
        <f t="array" ref="AF24">IF($J24="","",SUM(IF(LEFT($AG24:$DY24,1)="X",1,0)))</f>
        <v>11</v>
      </c>
      <c r="AG24" s="891" t="s">
        <v>32</v>
      </c>
      <c r="AH24" s="891" t="s">
        <v>1877</v>
      </c>
      <c r="AI24" s="891" t="s">
        <v>34</v>
      </c>
      <c r="AJ24" s="891" t="s">
        <v>32</v>
      </c>
      <c r="AK24" s="891" t="s">
        <v>32</v>
      </c>
      <c r="AL24" s="891" t="s">
        <v>34</v>
      </c>
      <c r="AM24" s="891" t="s">
        <v>34</v>
      </c>
      <c r="AN24" s="891" t="s">
        <v>32</v>
      </c>
      <c r="AO24" s="904" t="s">
        <v>34</v>
      </c>
      <c r="AP24" s="891" t="s">
        <v>32</v>
      </c>
      <c r="AQ24" s="891" t="s">
        <v>32</v>
      </c>
      <c r="AR24" s="891" t="s">
        <v>32</v>
      </c>
      <c r="AS24" s="891" t="s">
        <v>32</v>
      </c>
      <c r="AT24" s="891" t="s">
        <v>32</v>
      </c>
      <c r="AU24" s="891" t="s">
        <v>32</v>
      </c>
      <c r="AV24" s="891" t="s">
        <v>34</v>
      </c>
      <c r="AW24" s="891" t="s">
        <v>1877</v>
      </c>
      <c r="AX24" s="891" t="s">
        <v>34</v>
      </c>
      <c r="AY24" s="891" t="s">
        <v>1877</v>
      </c>
      <c r="AZ24" s="891" t="s">
        <v>35</v>
      </c>
      <c r="BA24" s="891" t="s">
        <v>35</v>
      </c>
      <c r="BB24" s="891" t="s">
        <v>34</v>
      </c>
      <c r="BC24" s="891" t="s">
        <v>36</v>
      </c>
      <c r="BD24" s="904" t="s">
        <v>36</v>
      </c>
      <c r="BE24" s="891" t="s">
        <v>32</v>
      </c>
      <c r="BF24" s="891" t="s">
        <v>2007</v>
      </c>
      <c r="BG24" s="891" t="s">
        <v>34</v>
      </c>
      <c r="BH24" s="891" t="s">
        <v>1877</v>
      </c>
      <c r="BI24" s="891" t="s">
        <v>36</v>
      </c>
      <c r="BJ24" s="891"/>
      <c r="BK24" s="891"/>
      <c r="BL24" s="910"/>
      <c r="BM24" s="891"/>
      <c r="BN24" s="891" t="s">
        <v>35</v>
      </c>
      <c r="BO24" s="891"/>
      <c r="BP24" s="891"/>
      <c r="BQ24" s="891"/>
      <c r="BR24" s="891"/>
      <c r="BS24" s="891"/>
      <c r="BT24" s="891"/>
      <c r="BU24" s="891"/>
      <c r="BV24" s="896"/>
      <c r="BW24" s="896"/>
      <c r="BX24" s="896"/>
      <c r="BY24" s="896"/>
      <c r="BZ24" s="896"/>
      <c r="CA24" s="896"/>
      <c r="CB24" s="896"/>
      <c r="CC24" s="896"/>
      <c r="CD24" s="896"/>
      <c r="CE24" s="896"/>
      <c r="CF24" s="896"/>
      <c r="CG24" s="428"/>
      <c r="CH24" s="428"/>
      <c r="CI24" s="428"/>
      <c r="CJ24" s="428"/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</row>
    <row r="25" spans="1:117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18</v>
      </c>
      <c r="G25" s="879" t="s">
        <v>887</v>
      </c>
      <c r="H25" s="879" t="s">
        <v>18</v>
      </c>
      <c r="I25" s="879" t="s">
        <v>891</v>
      </c>
      <c r="J25" s="846">
        <v>1</v>
      </c>
      <c r="K25" s="846">
        <v>0</v>
      </c>
      <c r="L25" s="816" t="str">
        <f>IF(J25="","",IF(J25&gt;K25,"W",IF(J25=K25,"D",IF(J25&lt;K25,"L"))))</f>
        <v>W</v>
      </c>
      <c r="M25" s="816">
        <f>IF(J25="","",J25+K25)</f>
        <v>1</v>
      </c>
      <c r="N25" s="816" t="str">
        <f t="shared" si="19"/>
        <v>U</v>
      </c>
      <c r="O25" s="816">
        <f t="shared" si="18"/>
        <v>-0.5</v>
      </c>
      <c r="P25" s="829">
        <f t="shared" si="20"/>
        <v>1</v>
      </c>
      <c r="Q25" s="830">
        <v>0.53</v>
      </c>
      <c r="R25" s="871">
        <f t="shared" si="21"/>
        <v>0.47</v>
      </c>
      <c r="S25" s="830">
        <v>2.41</v>
      </c>
      <c r="T25" s="871">
        <f t="shared" si="22"/>
        <v>-1.4100000000000001</v>
      </c>
      <c r="U25" s="868">
        <f t="shared" si="23"/>
        <v>1.4700000000000002</v>
      </c>
      <c r="V25" s="868">
        <f t="shared" si="24"/>
        <v>0.94</v>
      </c>
      <c r="W25" s="829">
        <v>15</v>
      </c>
      <c r="X25" s="829">
        <v>10</v>
      </c>
      <c r="Y25" s="829">
        <v>5</v>
      </c>
      <c r="Z25" s="829">
        <v>1</v>
      </c>
      <c r="AA25" s="829">
        <v>28</v>
      </c>
      <c r="AB25" s="829">
        <v>72</v>
      </c>
      <c r="AC25" s="829"/>
      <c r="AD25" s="816" t="str">
        <f t="array" ref="AD25">IF($J25="","",IF(SUM(IF(ISNUMBER(VALUE(RIGHT($AG25:$DY25,1))),VALUE(RIGHT($AG25:$DY25,1)),0))=$J25,"T","F"))</f>
        <v>T</v>
      </c>
      <c r="AE25" s="831">
        <f t="array" ref="AE25">IF($J25="","",SUM(IF(LEFT($AG25:$DY25,1)="s",1,0))-SUM(IF(RIGHT(LEFT($AG25:$DY25,2))="-",1,0)))</f>
        <v>0</v>
      </c>
      <c r="AF25" s="816">
        <f t="array" ref="AF25">IF($J25="","",SUM(IF(LEFT($AG25:$DY25,1)="X",1,0)))</f>
        <v>11</v>
      </c>
      <c r="AG25" s="891" t="s">
        <v>1877</v>
      </c>
      <c r="AH25" s="891" t="s">
        <v>34</v>
      </c>
      <c r="AI25" s="891" t="s">
        <v>32</v>
      </c>
      <c r="AJ25" s="891" t="s">
        <v>32</v>
      </c>
      <c r="AK25" s="891" t="s">
        <v>32</v>
      </c>
      <c r="AL25" s="891" t="s">
        <v>34</v>
      </c>
      <c r="AM25" s="891" t="s">
        <v>1964</v>
      </c>
      <c r="AN25" s="891" t="s">
        <v>32</v>
      </c>
      <c r="AO25" s="891" t="s">
        <v>34</v>
      </c>
      <c r="AP25" s="891" t="s">
        <v>32</v>
      </c>
      <c r="AQ25" s="891" t="s">
        <v>32</v>
      </c>
      <c r="AR25" s="891" t="s">
        <v>32</v>
      </c>
      <c r="AS25" s="891" t="s">
        <v>32</v>
      </c>
      <c r="AT25" s="891" t="s">
        <v>32</v>
      </c>
      <c r="AU25" s="891" t="s">
        <v>32</v>
      </c>
      <c r="AV25" s="891" t="s">
        <v>34</v>
      </c>
      <c r="AW25" s="891" t="s">
        <v>36</v>
      </c>
      <c r="AX25" s="891" t="s">
        <v>34</v>
      </c>
      <c r="AY25" s="891" t="s">
        <v>36</v>
      </c>
      <c r="AZ25" s="891" t="s">
        <v>35</v>
      </c>
      <c r="BA25" s="891" t="s">
        <v>34</v>
      </c>
      <c r="BB25" s="891" t="s">
        <v>34</v>
      </c>
      <c r="BC25" s="891" t="s">
        <v>1877</v>
      </c>
      <c r="BD25" s="891" t="s">
        <v>35</v>
      </c>
      <c r="BE25" s="891" t="s">
        <v>32</v>
      </c>
      <c r="BF25" s="891" t="s">
        <v>2007</v>
      </c>
      <c r="BG25" s="891" t="s">
        <v>35</v>
      </c>
      <c r="BH25" s="891" t="s">
        <v>1877</v>
      </c>
      <c r="BI25" s="904" t="s">
        <v>1972</v>
      </c>
      <c r="BJ25" s="891"/>
      <c r="BK25" s="891"/>
      <c r="BL25" s="910"/>
      <c r="BM25" s="891"/>
      <c r="BN25" s="891" t="s">
        <v>1877</v>
      </c>
      <c r="BO25" s="891"/>
      <c r="BP25" s="891"/>
      <c r="BQ25" s="891"/>
      <c r="BR25" s="891"/>
      <c r="BS25" s="891"/>
      <c r="BT25" s="891"/>
      <c r="BU25" s="891"/>
      <c r="BV25" s="896"/>
      <c r="BW25" s="896"/>
      <c r="BX25" s="896"/>
      <c r="BY25" s="896"/>
      <c r="BZ25" s="896"/>
      <c r="CA25" s="896"/>
      <c r="CB25" s="896"/>
      <c r="CC25" s="896"/>
      <c r="CD25" s="896"/>
      <c r="CE25" s="896"/>
      <c r="CF25" s="896"/>
      <c r="CG25" s="428"/>
      <c r="CH25" s="428"/>
      <c r="CI25" s="428"/>
      <c r="CJ25" s="428"/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</row>
    <row r="26" spans="1:117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6</v>
      </c>
      <c r="G26" s="879" t="s">
        <v>876</v>
      </c>
      <c r="H26" s="879" t="s">
        <v>22</v>
      </c>
      <c r="I26" s="879" t="s">
        <v>891</v>
      </c>
      <c r="J26" s="846">
        <v>3</v>
      </c>
      <c r="K26" s="846">
        <v>1</v>
      </c>
      <c r="L26" s="816" t="str">
        <f t="shared" ref="L26:L30" si="25">IF(J26="","",IF(J26&gt;K26,"W",IF(J26=K26,"D",IF(J26&lt;K26,"L"))))</f>
        <v>W</v>
      </c>
      <c r="M26" s="816">
        <f t="shared" ref="M26:M30" si="26">IF(J26="","",J26+K26)</f>
        <v>4</v>
      </c>
      <c r="N26" s="816" t="str">
        <f t="shared" si="19"/>
        <v>O</v>
      </c>
      <c r="O26" s="816">
        <f t="shared" si="18"/>
        <v>-0.25</v>
      </c>
      <c r="P26" s="829">
        <f t="shared" si="20"/>
        <v>1</v>
      </c>
      <c r="Q26" s="830">
        <v>0.28000000000000003</v>
      </c>
      <c r="R26" s="871">
        <f t="shared" si="21"/>
        <v>1.72</v>
      </c>
      <c r="S26" s="830">
        <v>2.27</v>
      </c>
      <c r="T26" s="871">
        <f t="shared" si="22"/>
        <v>1.73</v>
      </c>
      <c r="U26" s="868">
        <f t="shared" si="23"/>
        <v>1.2749999999999999</v>
      </c>
      <c r="V26" s="868">
        <f t="shared" si="24"/>
        <v>0.99500000000000011</v>
      </c>
      <c r="W26" s="829">
        <v>12</v>
      </c>
      <c r="X26" s="829">
        <v>10</v>
      </c>
      <c r="Y26" s="829">
        <v>6</v>
      </c>
      <c r="Z26" s="829">
        <v>1</v>
      </c>
      <c r="AA26" s="829">
        <v>37</v>
      </c>
      <c r="AB26" s="829">
        <v>63</v>
      </c>
      <c r="AC26" s="829"/>
      <c r="AD26" s="816" t="str">
        <f t="array" ref="AD26">IF($J26="","",IF(SUM(IF(ISNUMBER(VALUE(RIGHT($AG26:$DY26,1))),VALUE(RIGHT($AG26:$DY26,1)),0))=$J26,"T","F"))</f>
        <v>T</v>
      </c>
      <c r="AE26" s="831">
        <f t="array" ref="AE26">IF($J26="","",SUM(IF(LEFT($AG26:$DY26,1)="s",1,0))-SUM(IF(RIGHT(LEFT($AG26:$DY26,2))="-",1,0)))</f>
        <v>0</v>
      </c>
      <c r="AF26" s="816">
        <f t="array" ref="AF26">IF($J26="","",SUM(IF(LEFT($AG26:$DY26,1)="X",1,0)))</f>
        <v>11</v>
      </c>
      <c r="AG26" s="891" t="s">
        <v>1877</v>
      </c>
      <c r="AH26" s="891" t="s">
        <v>34</v>
      </c>
      <c r="AI26" s="891" t="s">
        <v>32</v>
      </c>
      <c r="AJ26" s="891" t="s">
        <v>32</v>
      </c>
      <c r="AK26" s="891" t="s">
        <v>32</v>
      </c>
      <c r="AL26" s="891" t="s">
        <v>2097</v>
      </c>
      <c r="AM26" s="904" t="s">
        <v>34</v>
      </c>
      <c r="AN26" s="891" t="s">
        <v>32</v>
      </c>
      <c r="AO26" s="891" t="s">
        <v>34</v>
      </c>
      <c r="AP26" s="891" t="s">
        <v>32</v>
      </c>
      <c r="AQ26" s="891" t="s">
        <v>32</v>
      </c>
      <c r="AR26" s="891" t="s">
        <v>32</v>
      </c>
      <c r="AS26" s="891" t="s">
        <v>32</v>
      </c>
      <c r="AT26" s="891" t="s">
        <v>32</v>
      </c>
      <c r="AU26" s="891" t="s">
        <v>32</v>
      </c>
      <c r="AV26" s="891" t="s">
        <v>34</v>
      </c>
      <c r="AW26" s="891" t="s">
        <v>1877</v>
      </c>
      <c r="AX26" s="891" t="s">
        <v>34</v>
      </c>
      <c r="AY26" s="891" t="s">
        <v>1877</v>
      </c>
      <c r="AZ26" s="891" t="s">
        <v>35</v>
      </c>
      <c r="BA26" s="891" t="s">
        <v>35</v>
      </c>
      <c r="BB26" s="891" t="s">
        <v>32</v>
      </c>
      <c r="BC26" s="891" t="s">
        <v>34</v>
      </c>
      <c r="BD26" s="891" t="s">
        <v>34</v>
      </c>
      <c r="BE26" s="891" t="s">
        <v>32</v>
      </c>
      <c r="BF26" s="891" t="s">
        <v>1884</v>
      </c>
      <c r="BG26" s="891" t="s">
        <v>2107</v>
      </c>
      <c r="BH26" s="891" t="s">
        <v>36</v>
      </c>
      <c r="BI26" s="891" t="s">
        <v>36</v>
      </c>
      <c r="BJ26" s="891" t="s">
        <v>36</v>
      </c>
      <c r="BK26" s="891"/>
      <c r="BL26" s="910"/>
      <c r="BM26" s="891"/>
      <c r="BN26" s="891" t="s">
        <v>1877</v>
      </c>
      <c r="BO26" s="891"/>
      <c r="BP26" s="891"/>
      <c r="BQ26" s="891"/>
      <c r="BR26" s="891"/>
      <c r="BS26" s="891"/>
      <c r="BT26" s="891"/>
      <c r="BU26" s="891"/>
      <c r="BV26" s="896"/>
      <c r="BW26" s="896"/>
      <c r="BX26" s="896"/>
      <c r="BY26" s="896"/>
      <c r="BZ26" s="896"/>
      <c r="CA26" s="896"/>
      <c r="CB26" s="896"/>
      <c r="CC26" s="896"/>
      <c r="CD26" s="896"/>
      <c r="CE26" s="896"/>
      <c r="CF26" s="896"/>
      <c r="CG26" s="4"/>
      <c r="CH26" s="4"/>
      <c r="CI26" s="4"/>
      <c r="CJ26" s="4"/>
      <c r="CK26" s="4" t="s">
        <v>32</v>
      </c>
      <c r="CL26" s="4" t="s">
        <v>32</v>
      </c>
      <c r="CM26" s="4" t="s">
        <v>32</v>
      </c>
      <c r="CN26" s="6" t="s">
        <v>32</v>
      </c>
      <c r="CO26" s="6" t="s">
        <v>32</v>
      </c>
      <c r="CP26" s="6" t="s">
        <v>32</v>
      </c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20"/>
    </row>
    <row r="27" spans="1:117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3</v>
      </c>
      <c r="G27" s="879" t="s">
        <v>1085</v>
      </c>
      <c r="H27" s="879" t="s">
        <v>22</v>
      </c>
      <c r="I27" s="879" t="s">
        <v>891</v>
      </c>
      <c r="J27" s="846">
        <v>1</v>
      </c>
      <c r="K27" s="846">
        <v>2</v>
      </c>
      <c r="L27" s="816" t="str">
        <f t="shared" si="25"/>
        <v>L</v>
      </c>
      <c r="M27" s="816">
        <f t="shared" si="26"/>
        <v>3</v>
      </c>
      <c r="N27" s="816" t="str">
        <f t="shared" si="19"/>
        <v>O</v>
      </c>
      <c r="O27" s="816">
        <f t="shared" si="18"/>
        <v>-0.25</v>
      </c>
      <c r="P27" s="829">
        <f t="shared" si="20"/>
        <v>-1</v>
      </c>
      <c r="Q27" s="830">
        <v>0.25</v>
      </c>
      <c r="R27" s="871">
        <f t="shared" si="21"/>
        <v>-1.25</v>
      </c>
      <c r="S27" s="830">
        <v>2.4300000000000002</v>
      </c>
      <c r="T27" s="871">
        <f t="shared" si="22"/>
        <v>0.56999999999999984</v>
      </c>
      <c r="U27" s="868">
        <f t="shared" si="23"/>
        <v>1.34</v>
      </c>
      <c r="V27" s="868">
        <f t="shared" si="24"/>
        <v>1.0900000000000001</v>
      </c>
      <c r="W27" s="829">
        <v>13</v>
      </c>
      <c r="X27" s="829">
        <v>14</v>
      </c>
      <c r="Y27" s="829">
        <v>5</v>
      </c>
      <c r="Z27" s="829">
        <v>4</v>
      </c>
      <c r="AA27" s="829">
        <v>42</v>
      </c>
      <c r="AB27" s="829">
        <v>58</v>
      </c>
      <c r="AC27" s="829"/>
      <c r="AD27" s="816" t="str">
        <f t="array" ref="AD27">IF($J27="","",IF(SUM(IF(ISNUMBER(VALUE(RIGHT($AG27:$DY27,1))),VALUE(RIGHT($AG27:$DY27,1)),0))=$J27,"T","F"))</f>
        <v>T</v>
      </c>
      <c r="AE27" s="831">
        <f t="array" ref="AE27">IF($J27="","",SUM(IF(LEFT($AG27:$DY27,1)="s",1,0))-SUM(IF(RIGHT(LEFT($AG27:$DY27,2))="-",1,0)))</f>
        <v>0</v>
      </c>
      <c r="AF27" s="816">
        <f t="array" ref="AF27">IF($J27="","",SUM(IF(LEFT($AG27:$DY27,1)="X",1,0)))</f>
        <v>11</v>
      </c>
      <c r="AG27" s="891" t="s">
        <v>1877</v>
      </c>
      <c r="AH27" s="891" t="s">
        <v>34</v>
      </c>
      <c r="AI27" s="891" t="s">
        <v>32</v>
      </c>
      <c r="AJ27" s="891" t="s">
        <v>32</v>
      </c>
      <c r="AK27" s="891" t="s">
        <v>32</v>
      </c>
      <c r="AL27" s="891" t="s">
        <v>34</v>
      </c>
      <c r="AM27" s="891" t="s">
        <v>34</v>
      </c>
      <c r="AN27" s="891" t="s">
        <v>32</v>
      </c>
      <c r="AO27" s="891" t="s">
        <v>34</v>
      </c>
      <c r="AP27" s="891" t="s">
        <v>32</v>
      </c>
      <c r="AQ27" s="891" t="s">
        <v>32</v>
      </c>
      <c r="AR27" s="891" t="s">
        <v>32</v>
      </c>
      <c r="AS27" s="891" t="s">
        <v>32</v>
      </c>
      <c r="AT27" s="891" t="s">
        <v>32</v>
      </c>
      <c r="AU27" s="891" t="s">
        <v>32</v>
      </c>
      <c r="AV27" s="891" t="s">
        <v>34</v>
      </c>
      <c r="AW27" s="891" t="s">
        <v>1877</v>
      </c>
      <c r="AX27" s="904" t="s">
        <v>35</v>
      </c>
      <c r="AY27" s="891" t="s">
        <v>1877</v>
      </c>
      <c r="AZ27" s="891" t="s">
        <v>35</v>
      </c>
      <c r="BA27" s="891" t="s">
        <v>34</v>
      </c>
      <c r="BB27" s="891" t="s">
        <v>36</v>
      </c>
      <c r="BC27" s="891" t="s">
        <v>34</v>
      </c>
      <c r="BD27" s="891" t="s">
        <v>34</v>
      </c>
      <c r="BE27" s="891" t="s">
        <v>32</v>
      </c>
      <c r="BF27" s="891" t="s">
        <v>1884</v>
      </c>
      <c r="BG27" s="891" t="s">
        <v>2136</v>
      </c>
      <c r="BH27" s="891" t="s">
        <v>36</v>
      </c>
      <c r="BI27" s="891" t="s">
        <v>1877</v>
      </c>
      <c r="BJ27" s="891"/>
      <c r="BK27" s="891"/>
      <c r="BL27" s="910"/>
      <c r="BM27" s="891"/>
      <c r="BN27" s="891" t="s">
        <v>36</v>
      </c>
      <c r="BO27" s="891"/>
      <c r="BP27" s="891"/>
      <c r="BQ27" s="891"/>
      <c r="BR27" s="891"/>
      <c r="BS27" s="891"/>
      <c r="BT27" s="891"/>
      <c r="BU27" s="891"/>
      <c r="BV27" s="896"/>
      <c r="BW27" s="896"/>
      <c r="BX27" s="896"/>
      <c r="BY27" s="896"/>
      <c r="BZ27" s="896"/>
      <c r="CA27" s="896"/>
      <c r="CB27" s="896"/>
      <c r="CC27" s="896"/>
      <c r="CD27" s="896"/>
      <c r="CE27" s="896"/>
      <c r="CF27" s="896"/>
      <c r="CG27" s="865"/>
      <c r="CH27" s="865"/>
      <c r="CI27" s="865"/>
      <c r="CJ27" s="865"/>
      <c r="CK27" s="865" t="s">
        <v>32</v>
      </c>
      <c r="CL27" s="865" t="s">
        <v>32</v>
      </c>
      <c r="CM27" s="865" t="s">
        <v>32</v>
      </c>
      <c r="CN27" s="4" t="s">
        <v>32</v>
      </c>
      <c r="CO27" s="6" t="s">
        <v>32</v>
      </c>
      <c r="CP27" s="6" t="s">
        <v>32</v>
      </c>
      <c r="CQ27" s="6" t="s">
        <v>32</v>
      </c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</row>
    <row r="28" spans="1:117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7</v>
      </c>
      <c r="G28" s="879" t="s">
        <v>888</v>
      </c>
      <c r="H28" s="879" t="s">
        <v>18</v>
      </c>
      <c r="I28" s="879" t="s">
        <v>891</v>
      </c>
      <c r="J28" s="846">
        <v>2</v>
      </c>
      <c r="K28" s="846">
        <v>0</v>
      </c>
      <c r="L28" s="816" t="str">
        <f t="shared" si="25"/>
        <v>W</v>
      </c>
      <c r="M28" s="816">
        <f t="shared" si="26"/>
        <v>2</v>
      </c>
      <c r="N28" s="816" t="str">
        <f t="shared" si="19"/>
        <v>U</v>
      </c>
      <c r="O28" s="816">
        <f t="shared" si="18"/>
        <v>0</v>
      </c>
      <c r="P28" s="829">
        <f t="shared" si="20"/>
        <v>1</v>
      </c>
      <c r="Q28" s="830">
        <v>0.1</v>
      </c>
      <c r="R28" s="871">
        <f t="shared" si="21"/>
        <v>1.9</v>
      </c>
      <c r="S28" s="830">
        <v>2.12</v>
      </c>
      <c r="T28" s="871">
        <f t="shared" si="22"/>
        <v>-0.12000000000000011</v>
      </c>
      <c r="U28" s="868">
        <f t="shared" si="23"/>
        <v>1.1100000000000001</v>
      </c>
      <c r="V28" s="868">
        <f t="shared" si="24"/>
        <v>1.01</v>
      </c>
      <c r="W28" s="829">
        <v>17</v>
      </c>
      <c r="X28" s="829">
        <v>10</v>
      </c>
      <c r="Y28" s="829">
        <v>3</v>
      </c>
      <c r="Z28" s="829">
        <v>3</v>
      </c>
      <c r="AA28" s="829">
        <v>38</v>
      </c>
      <c r="AB28" s="829">
        <v>62</v>
      </c>
      <c r="AC28" s="829"/>
      <c r="AD28" s="816" t="str">
        <f t="array" ref="AD28">IF($J28="","",IF(SUM(IF(ISNUMBER(VALUE(RIGHT($AG28:$DY28,1))),VALUE(RIGHT($AG28:$DY28,1)),0))=$J28,"T","F"))</f>
        <v>T</v>
      </c>
      <c r="AE28" s="831">
        <f t="array" ref="AE28">IF($J28="","",SUM(IF(LEFT($AG28:$DY28,1)="s",1,0))-SUM(IF(RIGHT(LEFT($AG28:$DY28,2))="-",1,0)))</f>
        <v>0</v>
      </c>
      <c r="AF28" s="816">
        <f t="array" ref="AF28">IF($J28="","",SUM(IF(LEFT($AG28:$DY28,1)="X",1,0)))</f>
        <v>11</v>
      </c>
      <c r="AG28" s="891" t="s">
        <v>1877</v>
      </c>
      <c r="AH28" s="891" t="s">
        <v>34</v>
      </c>
      <c r="AI28" s="891" t="s">
        <v>32</v>
      </c>
      <c r="AJ28" s="891" t="s">
        <v>32</v>
      </c>
      <c r="AK28" s="891" t="s">
        <v>32</v>
      </c>
      <c r="AL28" s="891" t="s">
        <v>34</v>
      </c>
      <c r="AM28" s="891" t="s">
        <v>34</v>
      </c>
      <c r="AN28" s="891" t="s">
        <v>32</v>
      </c>
      <c r="AO28" s="891" t="s">
        <v>34</v>
      </c>
      <c r="AP28" s="891" t="s">
        <v>32</v>
      </c>
      <c r="AQ28" s="891" t="s">
        <v>32</v>
      </c>
      <c r="AR28" s="891" t="s">
        <v>32</v>
      </c>
      <c r="AS28" s="891" t="s">
        <v>32</v>
      </c>
      <c r="AT28" s="891" t="s">
        <v>32</v>
      </c>
      <c r="AU28" s="891" t="s">
        <v>1877</v>
      </c>
      <c r="AV28" s="891" t="s">
        <v>35</v>
      </c>
      <c r="AW28" s="891" t="s">
        <v>36</v>
      </c>
      <c r="AX28" s="891" t="s">
        <v>34</v>
      </c>
      <c r="AY28" s="891" t="s">
        <v>1877</v>
      </c>
      <c r="AZ28" s="891" t="s">
        <v>34</v>
      </c>
      <c r="BA28" s="891" t="s">
        <v>2163</v>
      </c>
      <c r="BB28" s="891" t="s">
        <v>36</v>
      </c>
      <c r="BC28" s="891" t="s">
        <v>2161</v>
      </c>
      <c r="BD28" s="891" t="s">
        <v>34</v>
      </c>
      <c r="BE28" s="891" t="s">
        <v>32</v>
      </c>
      <c r="BF28" s="891" t="s">
        <v>1884</v>
      </c>
      <c r="BG28" s="891" t="s">
        <v>35</v>
      </c>
      <c r="BH28" s="891" t="s">
        <v>1877</v>
      </c>
      <c r="BI28" s="891" t="s">
        <v>36</v>
      </c>
      <c r="BJ28" s="891"/>
      <c r="BK28" s="891"/>
      <c r="BL28" s="910"/>
      <c r="BM28" s="891"/>
      <c r="BN28" s="891" t="s">
        <v>32</v>
      </c>
      <c r="BO28" s="891"/>
      <c r="BP28" s="891"/>
      <c r="BQ28" s="891"/>
      <c r="BR28" s="891"/>
      <c r="BS28" s="891"/>
      <c r="BT28" s="891"/>
      <c r="BU28" s="891"/>
      <c r="BV28" s="896"/>
      <c r="BW28" s="896"/>
      <c r="BX28" s="896"/>
      <c r="BY28" s="896"/>
      <c r="BZ28" s="896"/>
      <c r="CA28" s="896"/>
      <c r="CB28" s="896"/>
      <c r="CC28" s="896"/>
      <c r="CD28" s="896"/>
      <c r="CE28" s="896"/>
      <c r="CF28" s="896"/>
      <c r="CG28" s="4"/>
      <c r="CH28" s="4"/>
      <c r="CI28" s="4"/>
      <c r="CJ28" s="4"/>
      <c r="CK28" s="4" t="s">
        <v>32</v>
      </c>
      <c r="CL28" s="4" t="s">
        <v>32</v>
      </c>
      <c r="CM28" s="4" t="s">
        <v>32</v>
      </c>
      <c r="CN28" s="4" t="s">
        <v>32</v>
      </c>
      <c r="CO28" s="6" t="s">
        <v>32</v>
      </c>
      <c r="CP28" s="6" t="s">
        <v>32</v>
      </c>
      <c r="CQ28" s="6" t="s">
        <v>32</v>
      </c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</row>
    <row r="29" spans="1:117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2</v>
      </c>
      <c r="G29" s="879" t="s">
        <v>886</v>
      </c>
      <c r="H29" s="879" t="s">
        <v>22</v>
      </c>
      <c r="I29" s="879" t="s">
        <v>891</v>
      </c>
      <c r="J29" s="846">
        <v>3</v>
      </c>
      <c r="K29" s="846">
        <v>0</v>
      </c>
      <c r="L29" s="816" t="str">
        <f t="shared" si="25"/>
        <v>W</v>
      </c>
      <c r="M29" s="816">
        <f t="shared" si="26"/>
        <v>3</v>
      </c>
      <c r="N29" s="816" t="str">
        <f t="shared" si="19"/>
        <v>O</v>
      </c>
      <c r="O29" s="816">
        <f t="shared" si="18"/>
        <v>-0.5</v>
      </c>
      <c r="P29" s="829">
        <f t="shared" si="20"/>
        <v>1</v>
      </c>
      <c r="Q29" s="830">
        <v>0.49</v>
      </c>
      <c r="R29" s="871">
        <f t="shared" si="21"/>
        <v>2.5099999999999998</v>
      </c>
      <c r="S29" s="830">
        <v>2.25</v>
      </c>
      <c r="T29" s="871">
        <f t="shared" si="22"/>
        <v>0.75</v>
      </c>
      <c r="U29" s="868">
        <f t="shared" si="23"/>
        <v>1.37</v>
      </c>
      <c r="V29" s="868">
        <f t="shared" si="24"/>
        <v>0.87999999999999989</v>
      </c>
      <c r="W29" s="829">
        <v>17</v>
      </c>
      <c r="X29" s="829">
        <v>11</v>
      </c>
      <c r="Y29" s="829">
        <v>6</v>
      </c>
      <c r="Z29" s="829">
        <v>6</v>
      </c>
      <c r="AA29" s="829">
        <v>42</v>
      </c>
      <c r="AB29" s="829">
        <v>58</v>
      </c>
      <c r="AC29" s="829"/>
      <c r="AD29" s="816" t="str">
        <f t="array" ref="AD29">IF($J29="","",IF(SUM(IF(ISNUMBER(VALUE(RIGHT($AG29:$DY29,1))),VALUE(RIGHT($AG29:$DY29,1)),0))=$J29,"T","F"))</f>
        <v>T</v>
      </c>
      <c r="AE29" s="831">
        <f t="array" ref="AE29">IF($J29="","",SUM(IF(LEFT($AG29:$DY29,1)="s",1,0))-SUM(IF(RIGHT(LEFT($AG29:$DY29,2))="-",1,0)))</f>
        <v>0</v>
      </c>
      <c r="AF29" s="816">
        <f t="array" ref="AF29">IF($J29="","",SUM(IF(LEFT($AG29:$DY29,1)="X",1,0)))</f>
        <v>11</v>
      </c>
      <c r="AG29" s="891" t="s">
        <v>1877</v>
      </c>
      <c r="AH29" s="891" t="s">
        <v>34</v>
      </c>
      <c r="AI29" s="891" t="s">
        <v>32</v>
      </c>
      <c r="AJ29" s="891" t="s">
        <v>32</v>
      </c>
      <c r="AK29" s="891" t="s">
        <v>32</v>
      </c>
      <c r="AL29" s="891" t="s">
        <v>34</v>
      </c>
      <c r="AM29" s="891" t="s">
        <v>35</v>
      </c>
      <c r="AN29" s="891" t="s">
        <v>32</v>
      </c>
      <c r="AO29" s="891" t="s">
        <v>34</v>
      </c>
      <c r="AP29" s="891" t="s">
        <v>32</v>
      </c>
      <c r="AQ29" s="891" t="s">
        <v>32</v>
      </c>
      <c r="AR29" s="891" t="s">
        <v>32</v>
      </c>
      <c r="AS29" s="891" t="s">
        <v>32</v>
      </c>
      <c r="AT29" s="891" t="s">
        <v>32</v>
      </c>
      <c r="AU29" s="891" t="s">
        <v>1877</v>
      </c>
      <c r="AV29" s="891" t="s">
        <v>34</v>
      </c>
      <c r="AW29" s="891" t="s">
        <v>36</v>
      </c>
      <c r="AX29" s="891" t="s">
        <v>34</v>
      </c>
      <c r="AY29" s="891" t="s">
        <v>36</v>
      </c>
      <c r="AZ29" s="891" t="s">
        <v>32</v>
      </c>
      <c r="BA29" s="891" t="s">
        <v>34</v>
      </c>
      <c r="BB29" s="891" t="s">
        <v>2189</v>
      </c>
      <c r="BC29" s="891" t="s">
        <v>2189</v>
      </c>
      <c r="BD29" s="904" t="s">
        <v>34</v>
      </c>
      <c r="BE29" s="891" t="s">
        <v>36</v>
      </c>
      <c r="BF29" s="891" t="s">
        <v>1884</v>
      </c>
      <c r="BG29" s="891" t="s">
        <v>2188</v>
      </c>
      <c r="BH29" s="891" t="s">
        <v>1877</v>
      </c>
      <c r="BI29" s="891"/>
      <c r="BJ29" s="891"/>
      <c r="BK29" s="891"/>
      <c r="BL29" s="910"/>
      <c r="BM29" s="891"/>
      <c r="BN29" s="891" t="s">
        <v>1877</v>
      </c>
      <c r="BO29" s="891"/>
      <c r="BP29" s="891"/>
      <c r="BQ29" s="891"/>
      <c r="BR29" s="891"/>
      <c r="BS29" s="891"/>
      <c r="BT29" s="891"/>
      <c r="BU29" s="891"/>
      <c r="BV29" s="896"/>
      <c r="BW29" s="896"/>
      <c r="BX29" s="896"/>
      <c r="BY29" s="896"/>
      <c r="BZ29" s="896"/>
      <c r="CA29" s="896"/>
      <c r="CB29" s="896"/>
      <c r="CC29" s="896"/>
      <c r="CD29" s="896"/>
      <c r="CE29" s="896"/>
      <c r="CF29" s="891"/>
      <c r="CG29" s="4"/>
      <c r="CH29" s="4"/>
      <c r="CI29" s="4"/>
      <c r="CJ29" s="4"/>
      <c r="CK29" s="4" t="s">
        <v>32</v>
      </c>
      <c r="CL29" s="4" t="s">
        <v>32</v>
      </c>
      <c r="CM29" s="4" t="s">
        <v>32</v>
      </c>
      <c r="CN29" s="4" t="s">
        <v>32</v>
      </c>
      <c r="CO29" s="6" t="s">
        <v>32</v>
      </c>
      <c r="CP29" s="6" t="s">
        <v>32</v>
      </c>
      <c r="CQ29" s="6" t="s">
        <v>32</v>
      </c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</row>
    <row r="30" spans="1:117" ht="15">
      <c r="A30" s="882">
        <v>6316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21</v>
      </c>
      <c r="G30" s="879" t="s">
        <v>890</v>
      </c>
      <c r="H30" s="879" t="s">
        <v>18</v>
      </c>
      <c r="I30" s="879" t="s">
        <v>891</v>
      </c>
      <c r="J30" s="846">
        <v>0</v>
      </c>
      <c r="K30" s="846">
        <v>2</v>
      </c>
      <c r="L30" s="816" t="str">
        <f t="shared" si="25"/>
        <v>L</v>
      </c>
      <c r="M30" s="816">
        <f t="shared" si="26"/>
        <v>2</v>
      </c>
      <c r="N30" s="816" t="str">
        <f t="shared" si="19"/>
        <v>U</v>
      </c>
      <c r="O30" s="816">
        <f t="shared" si="18"/>
        <v>-0.75</v>
      </c>
      <c r="P30" s="829">
        <f t="shared" si="20"/>
        <v>-1</v>
      </c>
      <c r="Q30" s="830">
        <v>0.77</v>
      </c>
      <c r="R30" s="871">
        <f t="shared" si="21"/>
        <v>-2.77</v>
      </c>
      <c r="S30" s="830">
        <v>2.23</v>
      </c>
      <c r="T30" s="871">
        <f t="shared" si="22"/>
        <v>-0.22999999999999998</v>
      </c>
      <c r="U30" s="868">
        <f t="shared" si="23"/>
        <v>1.5</v>
      </c>
      <c r="V30" s="868">
        <f t="shared" si="24"/>
        <v>0.73</v>
      </c>
      <c r="W30" s="829">
        <v>11</v>
      </c>
      <c r="X30" s="829">
        <v>14</v>
      </c>
      <c r="Y30" s="829">
        <v>0</v>
      </c>
      <c r="Z30" s="829">
        <v>3</v>
      </c>
      <c r="AA30" s="829">
        <v>60</v>
      </c>
      <c r="AB30" s="829">
        <v>40</v>
      </c>
      <c r="AC30" s="829"/>
      <c r="AD30" s="816" t="str">
        <f t="array" ref="AD30">IF($J30="","",IF(SUM(IF(ISNUMBER(VALUE(RIGHT($AG30:$DY30,1))),VALUE(RIGHT($AG30:$DY30,1)),0))=$J30,"T","F"))</f>
        <v>T</v>
      </c>
      <c r="AE30" s="831">
        <f t="array" ref="AE30">IF($J30="","",SUM(IF(LEFT($AG30:$DY30,1)="s",1,0))-SUM(IF(RIGHT(LEFT($AG30:$DY30,2))="-",1,0)))</f>
        <v>0</v>
      </c>
      <c r="AF30" s="816">
        <f t="array" ref="AF30">IF($J30="","",SUM(IF(LEFT($AG30:$DY30,1)="X",1,0)))</f>
        <v>11</v>
      </c>
      <c r="AG30" s="891" t="s">
        <v>1877</v>
      </c>
      <c r="AH30" s="891" t="s">
        <v>34</v>
      </c>
      <c r="AI30" s="891" t="s">
        <v>32</v>
      </c>
      <c r="AJ30" s="891" t="s">
        <v>32</v>
      </c>
      <c r="AK30" s="891" t="s">
        <v>32</v>
      </c>
      <c r="AL30" s="891" t="s">
        <v>35</v>
      </c>
      <c r="AM30" s="891" t="s">
        <v>34</v>
      </c>
      <c r="AN30" s="891" t="s">
        <v>32</v>
      </c>
      <c r="AO30" s="891" t="s">
        <v>35</v>
      </c>
      <c r="AP30" s="891" t="s">
        <v>32</v>
      </c>
      <c r="AQ30" s="891" t="s">
        <v>32</v>
      </c>
      <c r="AR30" s="891" t="s">
        <v>32</v>
      </c>
      <c r="AS30" s="891" t="s">
        <v>32</v>
      </c>
      <c r="AT30" s="891" t="s">
        <v>32</v>
      </c>
      <c r="AU30" s="891" t="s">
        <v>32</v>
      </c>
      <c r="AV30" s="891" t="s">
        <v>34</v>
      </c>
      <c r="AW30" s="891" t="s">
        <v>1877</v>
      </c>
      <c r="AX30" s="891" t="s">
        <v>34</v>
      </c>
      <c r="AY30" s="891" t="s">
        <v>1877</v>
      </c>
      <c r="AZ30" s="891" t="s">
        <v>35</v>
      </c>
      <c r="BA30" s="891" t="s">
        <v>34</v>
      </c>
      <c r="BB30" s="891" t="s">
        <v>32</v>
      </c>
      <c r="BC30" s="891" t="s">
        <v>34</v>
      </c>
      <c r="BD30" s="904" t="s">
        <v>34</v>
      </c>
      <c r="BE30" s="891" t="s">
        <v>36</v>
      </c>
      <c r="BF30" s="891" t="s">
        <v>1884</v>
      </c>
      <c r="BG30" s="891" t="s">
        <v>34</v>
      </c>
      <c r="BH30" s="891" t="s">
        <v>36</v>
      </c>
      <c r="BI30" s="891" t="s">
        <v>32</v>
      </c>
      <c r="BJ30" s="891" t="s">
        <v>1877</v>
      </c>
      <c r="BK30" s="891"/>
      <c r="BL30" s="910"/>
      <c r="BM30" s="891"/>
      <c r="BN30" s="891" t="s">
        <v>36</v>
      </c>
      <c r="BO30" s="891"/>
      <c r="BP30" s="891"/>
      <c r="BQ30" s="891"/>
      <c r="BR30" s="891"/>
      <c r="BS30" s="891"/>
      <c r="BT30" s="891"/>
      <c r="BU30" s="891"/>
      <c r="BV30" s="896"/>
      <c r="BW30" s="896"/>
      <c r="BX30" s="896"/>
      <c r="BY30" s="896"/>
      <c r="BZ30" s="891"/>
      <c r="CA30" s="891"/>
      <c r="CB30" s="891"/>
      <c r="CC30" s="891"/>
      <c r="CD30" s="891"/>
      <c r="CE30" s="891"/>
      <c r="CF30" s="891"/>
      <c r="CG30" s="428"/>
      <c r="CH30" s="428"/>
      <c r="CI30" s="428"/>
      <c r="CJ30" s="428"/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</row>
    <row r="31" spans="1:117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12</v>
      </c>
      <c r="G31" s="879" t="s">
        <v>879</v>
      </c>
      <c r="H31" s="879" t="s">
        <v>18</v>
      </c>
      <c r="I31" s="879" t="s">
        <v>891</v>
      </c>
      <c r="J31" s="846">
        <v>1</v>
      </c>
      <c r="K31" s="846">
        <v>1</v>
      </c>
      <c r="L31" s="816" t="str">
        <f>IF(J31="","",IF(J31&gt;K31,"W",IF(J31=K31,"D",IF(J31&lt;K31,"L"))))</f>
        <v>D</v>
      </c>
      <c r="M31" s="816">
        <f>IF(J31="","",J31+K31)</f>
        <v>2</v>
      </c>
      <c r="N31" s="816" t="str">
        <f>IF($J31="","",IF($M31&gt;N$19,"O",IF($M31&lt;N$19,"U",IF($M31=N$19,"-"))))</f>
        <v>U</v>
      </c>
      <c r="O31" s="816">
        <f t="shared" si="18"/>
        <v>-0.25</v>
      </c>
      <c r="P31" s="829">
        <f t="shared" si="20"/>
        <v>-0.5</v>
      </c>
      <c r="Q31" s="830">
        <v>0.31</v>
      </c>
      <c r="R31" s="871">
        <f t="shared" si="21"/>
        <v>-0.31</v>
      </c>
      <c r="S31" s="830">
        <v>2.19</v>
      </c>
      <c r="T31" s="871">
        <f t="shared" si="22"/>
        <v>-0.18999999999999995</v>
      </c>
      <c r="U31" s="868">
        <f t="shared" si="23"/>
        <v>1.25</v>
      </c>
      <c r="V31" s="868">
        <f t="shared" si="24"/>
        <v>0.94</v>
      </c>
      <c r="W31" s="829">
        <v>11</v>
      </c>
      <c r="X31" s="829">
        <v>25</v>
      </c>
      <c r="Y31" s="829">
        <v>2</v>
      </c>
      <c r="Z31" s="829">
        <v>4</v>
      </c>
      <c r="AA31" s="829">
        <v>50</v>
      </c>
      <c r="AB31" s="829">
        <v>50</v>
      </c>
      <c r="AC31" s="829"/>
      <c r="AD31" s="816" t="str">
        <f t="array" ref="AD31">IF($J31="","",IF(SUM(IF(ISNUMBER(VALUE(RIGHT($AG31:$DY31,1))),VALUE(RIGHT($AG31:$DY31,1)),0))=$J31,"T","F"))</f>
        <v>T</v>
      </c>
      <c r="AE31" s="831">
        <f t="array" ref="AE31">IF($J31="","",SUM(IF(LEFT($AG31:$DY31,1)="s",1,0))-SUM(IF(RIGHT(LEFT($AG31:$DY31,2))="-",1,0)))</f>
        <v>0</v>
      </c>
      <c r="AF31" s="816">
        <f t="array" ref="AF31">IF($J31="","",SUM(IF(LEFT($AG31:$DY31,1)="X",1,0)))</f>
        <v>11</v>
      </c>
      <c r="AG31" s="891" t="s">
        <v>32</v>
      </c>
      <c r="AH31" s="891" t="s">
        <v>34</v>
      </c>
      <c r="AI31" s="891" t="s">
        <v>1877</v>
      </c>
      <c r="AJ31" s="891" t="s">
        <v>32</v>
      </c>
      <c r="AK31" s="891" t="s">
        <v>1877</v>
      </c>
      <c r="AL31" s="891" t="s">
        <v>34</v>
      </c>
      <c r="AM31" s="891" t="s">
        <v>2314</v>
      </c>
      <c r="AN31" s="891" t="s">
        <v>32</v>
      </c>
      <c r="AO31" s="891" t="s">
        <v>34</v>
      </c>
      <c r="AP31" s="891" t="s">
        <v>32</v>
      </c>
      <c r="AQ31" s="891" t="s">
        <v>32</v>
      </c>
      <c r="AR31" s="891" t="s">
        <v>32</v>
      </c>
      <c r="AS31" s="891" t="s">
        <v>32</v>
      </c>
      <c r="AT31" s="891" t="s">
        <v>32</v>
      </c>
      <c r="AU31" s="891" t="s">
        <v>32</v>
      </c>
      <c r="AV31" s="891" t="s">
        <v>34</v>
      </c>
      <c r="AW31" s="891" t="s">
        <v>32</v>
      </c>
      <c r="AX31" s="891" t="s">
        <v>34</v>
      </c>
      <c r="AY31" s="891" t="s">
        <v>36</v>
      </c>
      <c r="AZ31" s="891" t="s">
        <v>35</v>
      </c>
      <c r="BA31" s="891" t="s">
        <v>34</v>
      </c>
      <c r="BB31" s="891" t="s">
        <v>32</v>
      </c>
      <c r="BC31" s="891" t="s">
        <v>35</v>
      </c>
      <c r="BD31" s="891" t="s">
        <v>34</v>
      </c>
      <c r="BE31" s="891" t="s">
        <v>1877</v>
      </c>
      <c r="BF31" s="891" t="s">
        <v>1884</v>
      </c>
      <c r="BG31" s="891" t="s">
        <v>34</v>
      </c>
      <c r="BH31" s="891" t="s">
        <v>1877</v>
      </c>
      <c r="BI31" s="891" t="s">
        <v>36</v>
      </c>
      <c r="BJ31" s="891"/>
      <c r="BK31" s="891"/>
      <c r="BL31" s="910"/>
      <c r="BM31" s="891"/>
      <c r="BN31" s="891" t="s">
        <v>1877</v>
      </c>
      <c r="BO31" s="891"/>
      <c r="BP31" s="891"/>
      <c r="BQ31" s="891"/>
      <c r="BR31" s="891"/>
      <c r="BS31" s="891"/>
      <c r="BT31" s="891"/>
      <c r="BU31" s="891"/>
      <c r="BV31" s="896"/>
      <c r="BW31" s="896"/>
      <c r="BX31" s="896"/>
      <c r="BY31" s="896"/>
      <c r="BZ31" s="896"/>
      <c r="CA31" s="896"/>
      <c r="CB31" s="896"/>
      <c r="CC31" s="896"/>
      <c r="CD31" s="896"/>
      <c r="CE31" s="896"/>
      <c r="CF31" s="896"/>
      <c r="CG31" s="428"/>
      <c r="CH31" s="428"/>
      <c r="CI31" s="428"/>
      <c r="CJ31" s="428"/>
      <c r="CK31" s="230" t="s">
        <v>32</v>
      </c>
      <c r="CL31" s="230" t="s">
        <v>32</v>
      </c>
      <c r="CM31" s="230" t="s">
        <v>32</v>
      </c>
      <c r="CN31" s="230" t="s">
        <v>32</v>
      </c>
      <c r="CO31" s="230" t="s">
        <v>32</v>
      </c>
      <c r="CP31" s="230" t="s">
        <v>32</v>
      </c>
      <c r="CQ31" s="230" t="s">
        <v>32</v>
      </c>
    </row>
    <row r="32" spans="1:117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19</v>
      </c>
      <c r="G32" s="879" t="s">
        <v>885</v>
      </c>
      <c r="H32" s="879" t="s">
        <v>22</v>
      </c>
      <c r="I32" s="879" t="s">
        <v>891</v>
      </c>
      <c r="J32" s="846">
        <v>4</v>
      </c>
      <c r="K32" s="908">
        <v>0</v>
      </c>
      <c r="L32" s="816" t="str">
        <f>IF(J32="","",IF(J32&gt;K32,"W",IF(J32=K32,"D",IF(J32&lt;K32,"L"))))</f>
        <v>W</v>
      </c>
      <c r="M32" s="816">
        <f>IF(J32="","",J32+K32)</f>
        <v>4</v>
      </c>
      <c r="N32" s="816" t="str">
        <f>IF($J32="","",IF($M32&gt;N$19,"O",IF($M32&lt;N$19,"U",IF($M32=N$19,"-"))))</f>
        <v>O</v>
      </c>
      <c r="O32" s="816">
        <f t="shared" si="18"/>
        <v>-1</v>
      </c>
      <c r="P32" s="829">
        <f t="shared" si="20"/>
        <v>1</v>
      </c>
      <c r="Q32" s="830">
        <v>1.1499999999999999</v>
      </c>
      <c r="R32" s="871">
        <f t="shared" si="21"/>
        <v>2.85</v>
      </c>
      <c r="S32" s="830">
        <v>2.63</v>
      </c>
      <c r="T32" s="871">
        <f t="shared" si="22"/>
        <v>1.37</v>
      </c>
      <c r="U32" s="868">
        <f t="shared" si="23"/>
        <v>1.89</v>
      </c>
      <c r="V32" s="868">
        <f t="shared" si="24"/>
        <v>0.74</v>
      </c>
      <c r="W32" s="829">
        <v>19</v>
      </c>
      <c r="X32" s="829">
        <v>10</v>
      </c>
      <c r="Y32" s="829">
        <v>7</v>
      </c>
      <c r="Z32" s="829">
        <v>2</v>
      </c>
      <c r="AA32" s="829">
        <v>56</v>
      </c>
      <c r="AB32" s="829">
        <v>44</v>
      </c>
      <c r="AC32" s="829"/>
      <c r="AD32" s="816" t="str">
        <f t="array" ref="AD32">IF($J32="","",IF(SUM(IF(ISNUMBER(VALUE(RIGHT($AG32:$DY32,1))),VALUE(RIGHT($AG32:$DY32,1)),0))=$J32,"T","F"))</f>
        <v>T</v>
      </c>
      <c r="AE32" s="831">
        <f t="array" ref="AE32">IF($J32="","",SUM(IF(LEFT($AG32:$DY32,1)="s",1,0))-SUM(IF(RIGHT(LEFT($AG32:$DY32,2))="-",1,0)))</f>
        <v>0</v>
      </c>
      <c r="AF32" s="816">
        <f t="array" ref="AF32">IF($J32="","",SUM(IF(LEFT($AG32:$DY32,1)="X",1,0)))</f>
        <v>11</v>
      </c>
      <c r="AG32" s="891"/>
      <c r="AH32" s="891" t="s">
        <v>2344</v>
      </c>
      <c r="AI32" s="891" t="s">
        <v>2351</v>
      </c>
      <c r="AJ32" s="891"/>
      <c r="AK32" s="891"/>
      <c r="AL32" s="891" t="s">
        <v>2345</v>
      </c>
      <c r="AM32" s="891" t="s">
        <v>2345</v>
      </c>
      <c r="AN32" s="891"/>
      <c r="AO32" s="891" t="s">
        <v>2388</v>
      </c>
      <c r="AP32" s="891"/>
      <c r="AQ32" s="891"/>
      <c r="AR32" s="891"/>
      <c r="AS32" s="891"/>
      <c r="AT32" s="891"/>
      <c r="AU32" s="891"/>
      <c r="AV32" s="891" t="s">
        <v>2345</v>
      </c>
      <c r="AW32" s="891" t="s">
        <v>2351</v>
      </c>
      <c r="AX32" s="891" t="s">
        <v>2389</v>
      </c>
      <c r="AY32" s="891"/>
      <c r="AZ32" s="891" t="s">
        <v>2346</v>
      </c>
      <c r="BA32" s="891" t="s">
        <v>2386</v>
      </c>
      <c r="BB32" s="891" t="s">
        <v>2350</v>
      </c>
      <c r="BC32" s="891" t="s">
        <v>2345</v>
      </c>
      <c r="BD32" s="891" t="s">
        <v>2353</v>
      </c>
      <c r="BE32" s="891" t="s">
        <v>2351</v>
      </c>
      <c r="BF32" s="891" t="s">
        <v>1884</v>
      </c>
      <c r="BG32" s="891" t="s">
        <v>2387</v>
      </c>
      <c r="BH32" s="891" t="s">
        <v>2350</v>
      </c>
      <c r="BI32" s="891" t="s">
        <v>2351</v>
      </c>
      <c r="BJ32" s="891"/>
      <c r="BK32" s="891"/>
      <c r="BL32" s="910"/>
      <c r="BM32" s="891"/>
      <c r="BN32" s="891" t="s">
        <v>2350</v>
      </c>
      <c r="BO32" s="891"/>
      <c r="BP32" s="891"/>
      <c r="BQ32" s="891"/>
      <c r="BR32" s="891"/>
      <c r="BS32" s="896"/>
      <c r="BT32" s="896"/>
      <c r="BU32" s="891"/>
      <c r="BV32" s="896"/>
      <c r="BW32" s="896"/>
      <c r="BX32" s="896"/>
      <c r="BY32" s="896"/>
      <c r="BZ32" s="896"/>
      <c r="CA32" s="896"/>
      <c r="CB32" s="896"/>
      <c r="CC32" s="896"/>
      <c r="CD32" s="896"/>
      <c r="CE32" s="896"/>
      <c r="CF32" s="896"/>
      <c r="CG32" s="428"/>
      <c r="CH32" s="428"/>
      <c r="CI32" s="428"/>
      <c r="CJ32" s="428"/>
    </row>
    <row r="33" spans="1:122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9</v>
      </c>
      <c r="G33" s="879" t="s">
        <v>1083</v>
      </c>
      <c r="H33" s="879" t="s">
        <v>18</v>
      </c>
      <c r="I33" s="879" t="s">
        <v>891</v>
      </c>
      <c r="J33" s="846">
        <v>0</v>
      </c>
      <c r="K33" s="846">
        <v>0</v>
      </c>
      <c r="L33" s="816" t="str">
        <f t="shared" ref="L33:L67" si="27">IF(J33="","",IF(J33&gt;K33,"W",IF(J33=K33,"D",IF(J33&lt;K33,"L"))))</f>
        <v>D</v>
      </c>
      <c r="M33" s="816">
        <f t="shared" ref="M33:M67" si="28">IF(J33="","",J33+K33)</f>
        <v>0</v>
      </c>
      <c r="N33" s="816" t="str">
        <f t="shared" ref="N33:N67" si="29">IF($J33="","",IF($M33&gt;N$19,"O",IF($M33&lt;N$19,"U",IF($M33=N$19,"-"))))</f>
        <v>U</v>
      </c>
      <c r="O33" s="816">
        <f t="shared" si="18"/>
        <v>-0.25</v>
      </c>
      <c r="P33" s="829">
        <f t="shared" si="20"/>
        <v>-0.5</v>
      </c>
      <c r="Q33" s="830">
        <v>0.2</v>
      </c>
      <c r="R33" s="871">
        <f t="shared" si="21"/>
        <v>-0.2</v>
      </c>
      <c r="S33" s="830">
        <v>2.2799999999999998</v>
      </c>
      <c r="T33" s="871">
        <f t="shared" si="22"/>
        <v>-2.2799999999999998</v>
      </c>
      <c r="U33" s="868">
        <f t="shared" si="23"/>
        <v>1.24</v>
      </c>
      <c r="V33" s="868">
        <f t="shared" si="24"/>
        <v>1.0399999999999998</v>
      </c>
      <c r="W33" s="829">
        <v>11</v>
      </c>
      <c r="X33" s="829">
        <v>16</v>
      </c>
      <c r="Y33" s="829">
        <v>3</v>
      </c>
      <c r="Z33" s="829">
        <v>2</v>
      </c>
      <c r="AA33" s="829">
        <v>51</v>
      </c>
      <c r="AB33" s="829">
        <v>49</v>
      </c>
      <c r="AC33" s="829"/>
      <c r="AD33" s="816" t="str">
        <f t="array" ref="AD33">IF($J33="","",IF(SUM(IF(ISNUMBER(VALUE(RIGHT($AG33:$DY33,1))),VALUE(RIGHT($AG33:$DY33,1)),0))=$J33,"T","F"))</f>
        <v>T</v>
      </c>
      <c r="AE33" s="831">
        <f t="array" ref="AE33">IF($J33="","",SUM(IF(LEFT($AG33:$DY33,1)="s",1,0))-SUM(IF(RIGHT(LEFT($AG33:$DY33,2))="-",1,0)))</f>
        <v>0</v>
      </c>
      <c r="AF33" s="816">
        <f t="array" ref="AF33">IF($J33="","",SUM(IF(LEFT($AG33:$DY33,1)="X",1,0)))</f>
        <v>11</v>
      </c>
      <c r="AG33" s="891"/>
      <c r="AH33" s="891" t="s">
        <v>34</v>
      </c>
      <c r="AI33" s="891" t="s">
        <v>1877</v>
      </c>
      <c r="AJ33" s="891" t="s">
        <v>32</v>
      </c>
      <c r="AK33" s="891" t="s">
        <v>32</v>
      </c>
      <c r="AL33" s="891" t="s">
        <v>34</v>
      </c>
      <c r="AM33" s="891" t="s">
        <v>34</v>
      </c>
      <c r="AN33" s="891" t="s">
        <v>32</v>
      </c>
      <c r="AO33" s="891" t="s">
        <v>34</v>
      </c>
      <c r="AP33" s="891" t="s">
        <v>32</v>
      </c>
      <c r="AQ33" s="891" t="s">
        <v>32</v>
      </c>
      <c r="AR33" s="891" t="s">
        <v>32</v>
      </c>
      <c r="AS33" s="891" t="s">
        <v>32</v>
      </c>
      <c r="AT33" s="891" t="s">
        <v>32</v>
      </c>
      <c r="AU33" s="891" t="s">
        <v>32</v>
      </c>
      <c r="AV33" s="891" t="s">
        <v>34</v>
      </c>
      <c r="AW33" s="891" t="s">
        <v>1877</v>
      </c>
      <c r="AX33" s="891" t="s">
        <v>34</v>
      </c>
      <c r="AY33" s="891" t="s">
        <v>32</v>
      </c>
      <c r="AZ33" s="891" t="s">
        <v>35</v>
      </c>
      <c r="BA33" s="891" t="s">
        <v>35</v>
      </c>
      <c r="BB33" s="891" t="s">
        <v>36</v>
      </c>
      <c r="BC33" s="891" t="s">
        <v>34</v>
      </c>
      <c r="BD33" s="891" t="s">
        <v>34</v>
      </c>
      <c r="BE33" s="891" t="s">
        <v>1877</v>
      </c>
      <c r="BF33" s="891" t="s">
        <v>1884</v>
      </c>
      <c r="BG33" s="891" t="s">
        <v>35</v>
      </c>
      <c r="BH33" s="891" t="s">
        <v>36</v>
      </c>
      <c r="BI33" s="891" t="s">
        <v>36</v>
      </c>
      <c r="BJ33" s="891"/>
      <c r="BK33" s="891"/>
      <c r="BL33" s="910"/>
      <c r="BM33" s="891"/>
      <c r="BN33" s="891" t="s">
        <v>1877</v>
      </c>
      <c r="BO33" s="891"/>
      <c r="BP33" s="891"/>
      <c r="BQ33" s="891"/>
      <c r="BR33" s="891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428"/>
      <c r="CH33" s="428"/>
      <c r="CI33" s="428"/>
      <c r="CJ33" s="428"/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  <c r="CP33" s="230" t="s">
        <v>32</v>
      </c>
      <c r="CQ33" s="230" t="s">
        <v>32</v>
      </c>
    </row>
    <row r="34" spans="1:122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4</v>
      </c>
      <c r="G34" s="879" t="s">
        <v>1084</v>
      </c>
      <c r="H34" s="879" t="s">
        <v>22</v>
      </c>
      <c r="I34" s="879" t="s">
        <v>891</v>
      </c>
      <c r="J34" s="846">
        <v>0</v>
      </c>
      <c r="K34" s="846">
        <v>1</v>
      </c>
      <c r="L34" s="816" t="str">
        <f t="shared" si="27"/>
        <v>L</v>
      </c>
      <c r="M34" s="816">
        <f t="shared" si="28"/>
        <v>1</v>
      </c>
      <c r="N34" s="816" t="str">
        <f t="shared" si="29"/>
        <v>U</v>
      </c>
      <c r="O34" s="816">
        <f t="shared" si="18"/>
        <v>-0.25</v>
      </c>
      <c r="P34" s="829">
        <f t="shared" si="20"/>
        <v>-1</v>
      </c>
      <c r="Q34" s="830">
        <v>0.4</v>
      </c>
      <c r="R34" s="871">
        <f t="shared" si="21"/>
        <v>-1.4</v>
      </c>
      <c r="S34" s="830">
        <v>2.38</v>
      </c>
      <c r="T34" s="871">
        <f t="shared" si="22"/>
        <v>-1.38</v>
      </c>
      <c r="U34" s="868">
        <f t="shared" si="23"/>
        <v>1.39</v>
      </c>
      <c r="V34" s="868">
        <f t="shared" si="24"/>
        <v>0.99</v>
      </c>
      <c r="W34" s="829">
        <v>14</v>
      </c>
      <c r="X34" s="829">
        <v>9</v>
      </c>
      <c r="Y34" s="829">
        <v>1</v>
      </c>
      <c r="Z34" s="829">
        <v>2</v>
      </c>
      <c r="AA34" s="829">
        <v>47</v>
      </c>
      <c r="AB34" s="829">
        <v>53</v>
      </c>
      <c r="AC34" s="829"/>
      <c r="AD34" s="816" t="str">
        <f t="array" ref="AD34">IF($J34="","",IF(SUM(IF(ISNUMBER(VALUE(RIGHT($AG34:$DY34,1))),VALUE(RIGHT($AG34:$DY34,1)),0))=$J34,"T","F"))</f>
        <v>T</v>
      </c>
      <c r="AE34" s="831">
        <f t="array" ref="AE34">IF($J34="","",SUM(IF(LEFT($AG34:$DY34,1)="s",1,0))-SUM(IF(RIGHT(LEFT($AG34:$DY34,2))="-",1,0)))</f>
        <v>0</v>
      </c>
      <c r="AF34" s="816">
        <f t="array" ref="AF34">IF($J34="","",SUM(IF(LEFT($AG34:$DY34,1)="X",1,0)))</f>
        <v>11</v>
      </c>
      <c r="AG34" s="891" t="s">
        <v>32</v>
      </c>
      <c r="AH34" s="891" t="s">
        <v>34</v>
      </c>
      <c r="AI34" s="891" t="s">
        <v>1877</v>
      </c>
      <c r="AJ34" s="891" t="s">
        <v>32</v>
      </c>
      <c r="AK34" s="891" t="s">
        <v>32</v>
      </c>
      <c r="AL34" s="891" t="s">
        <v>34</v>
      </c>
      <c r="AM34" s="891" t="s">
        <v>34</v>
      </c>
      <c r="AN34" s="891" t="s">
        <v>32</v>
      </c>
      <c r="AO34" s="891" t="s">
        <v>34</v>
      </c>
      <c r="AP34" s="891" t="s">
        <v>36</v>
      </c>
      <c r="AQ34" s="891" t="s">
        <v>32</v>
      </c>
      <c r="AR34" s="891" t="s">
        <v>32</v>
      </c>
      <c r="AS34" s="891" t="s">
        <v>32</v>
      </c>
      <c r="AT34" s="891" t="s">
        <v>32</v>
      </c>
      <c r="AU34" s="891" t="s">
        <v>32</v>
      </c>
      <c r="AV34" s="891" t="s">
        <v>34</v>
      </c>
      <c r="AW34" s="891" t="s">
        <v>1877</v>
      </c>
      <c r="AX34" s="891" t="s">
        <v>34</v>
      </c>
      <c r="AY34" s="891" t="s">
        <v>32</v>
      </c>
      <c r="AZ34" s="891" t="s">
        <v>36</v>
      </c>
      <c r="BA34" s="891" t="s">
        <v>35</v>
      </c>
      <c r="BB34" s="904" t="s">
        <v>35</v>
      </c>
      <c r="BC34" s="891" t="s">
        <v>34</v>
      </c>
      <c r="BD34" s="891" t="s">
        <v>35</v>
      </c>
      <c r="BE34" s="891" t="s">
        <v>1877</v>
      </c>
      <c r="BF34" s="891" t="s">
        <v>1884</v>
      </c>
      <c r="BG34" s="891" t="s">
        <v>34</v>
      </c>
      <c r="BH34" s="891" t="s">
        <v>1877</v>
      </c>
      <c r="BI34" s="891" t="s">
        <v>32</v>
      </c>
      <c r="BJ34" s="891" t="s">
        <v>36</v>
      </c>
      <c r="BK34" s="891"/>
      <c r="BL34" s="910"/>
      <c r="BM34" s="891"/>
      <c r="BN34" s="891" t="s">
        <v>32</v>
      </c>
      <c r="BO34" s="891"/>
      <c r="BP34" s="891"/>
      <c r="BQ34" s="891"/>
      <c r="BR34" s="891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428"/>
      <c r="CH34" s="428"/>
      <c r="CI34" s="428"/>
      <c r="CJ34" s="428"/>
    </row>
    <row r="35" spans="1:122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16</v>
      </c>
      <c r="G35" s="879" t="s">
        <v>872</v>
      </c>
      <c r="H35" s="879" t="s">
        <v>22</v>
      </c>
      <c r="I35" s="879" t="s">
        <v>891</v>
      </c>
      <c r="J35" s="846">
        <v>1</v>
      </c>
      <c r="K35" s="846">
        <v>1</v>
      </c>
      <c r="L35" s="816" t="str">
        <f t="shared" si="27"/>
        <v>D</v>
      </c>
      <c r="M35" s="816">
        <f t="shared" si="28"/>
        <v>2</v>
      </c>
      <c r="N35" s="816" t="str">
        <f t="shared" si="29"/>
        <v>U</v>
      </c>
      <c r="O35" s="816">
        <f t="shared" si="18"/>
        <v>-0.25</v>
      </c>
      <c r="P35" s="829">
        <f t="shared" si="20"/>
        <v>-0.5</v>
      </c>
      <c r="Q35" s="830">
        <v>0.39</v>
      </c>
      <c r="R35" s="871">
        <f t="shared" si="21"/>
        <v>-0.39</v>
      </c>
      <c r="S35" s="830">
        <v>2.4</v>
      </c>
      <c r="T35" s="871">
        <f t="shared" si="22"/>
        <v>-0.39999999999999991</v>
      </c>
      <c r="U35" s="868">
        <f t="shared" si="23"/>
        <v>1.395</v>
      </c>
      <c r="V35" s="868">
        <f t="shared" si="24"/>
        <v>1.0049999999999999</v>
      </c>
      <c r="W35" s="829">
        <v>9</v>
      </c>
      <c r="X35" s="829">
        <v>16</v>
      </c>
      <c r="Y35" s="829">
        <v>2</v>
      </c>
      <c r="Z35" s="829">
        <v>2</v>
      </c>
      <c r="AA35" s="829">
        <v>51</v>
      </c>
      <c r="AB35" s="829">
        <v>49</v>
      </c>
      <c r="AC35" s="829"/>
      <c r="AD35" s="816" t="str">
        <f t="array" ref="AD35">IF($J35="","",IF(SUM(IF(ISNUMBER(VALUE(RIGHT($AG35:$DY35,1))),VALUE(RIGHT($AG35:$DY35,1)),0))=$J35,"T","F"))</f>
        <v>T</v>
      </c>
      <c r="AE35" s="831">
        <f t="array" ref="AE35">IF($J35="","",SUM(IF(LEFT($AG35:$DY35,1)="s",1,0))-SUM(IF(RIGHT(LEFT($AG35:$DY35,2))="-",1,0)))</f>
        <v>0</v>
      </c>
      <c r="AF35" s="816">
        <f t="array" ref="AF35">IF($J35="","",SUM(IF(LEFT($AG35:$DY35,1)="X",1,0)))</f>
        <v>11</v>
      </c>
      <c r="AG35" s="891" t="s">
        <v>32</v>
      </c>
      <c r="AH35" s="891" t="s">
        <v>34</v>
      </c>
      <c r="AI35" s="891" t="s">
        <v>1877</v>
      </c>
      <c r="AJ35" s="891" t="s">
        <v>32</v>
      </c>
      <c r="AK35" s="891" t="s">
        <v>32</v>
      </c>
      <c r="AL35" s="891" t="s">
        <v>34</v>
      </c>
      <c r="AM35" s="891" t="s">
        <v>34</v>
      </c>
      <c r="AN35" s="891" t="s">
        <v>32</v>
      </c>
      <c r="AO35" s="891" t="s">
        <v>34</v>
      </c>
      <c r="AP35" s="891" t="s">
        <v>1877</v>
      </c>
      <c r="AQ35" s="891" t="s">
        <v>32</v>
      </c>
      <c r="AR35" s="891" t="s">
        <v>32</v>
      </c>
      <c r="AS35" s="891" t="s">
        <v>32</v>
      </c>
      <c r="AT35" s="891" t="s">
        <v>32</v>
      </c>
      <c r="AU35" s="891" t="s">
        <v>32</v>
      </c>
      <c r="AV35" s="891" t="s">
        <v>34</v>
      </c>
      <c r="AW35" s="891" t="s">
        <v>1877</v>
      </c>
      <c r="AX35" s="891" t="s">
        <v>34</v>
      </c>
      <c r="AY35" s="891" t="s">
        <v>32</v>
      </c>
      <c r="AZ35" s="904" t="s">
        <v>36</v>
      </c>
      <c r="BA35" s="891" t="s">
        <v>2465</v>
      </c>
      <c r="BB35" s="891" t="s">
        <v>1877</v>
      </c>
      <c r="BC35" s="891" t="s">
        <v>34</v>
      </c>
      <c r="BD35" s="891" t="s">
        <v>34</v>
      </c>
      <c r="BE35" s="891" t="s">
        <v>32</v>
      </c>
      <c r="BF35" s="891" t="s">
        <v>1884</v>
      </c>
      <c r="BG35" s="891" t="s">
        <v>35</v>
      </c>
      <c r="BH35" s="891" t="s">
        <v>36</v>
      </c>
      <c r="BI35" s="891" t="s">
        <v>36</v>
      </c>
      <c r="BJ35" s="891" t="s">
        <v>35</v>
      </c>
      <c r="BK35" s="891"/>
      <c r="BL35" s="910"/>
      <c r="BM35" s="891"/>
      <c r="BN35" s="891" t="s">
        <v>32</v>
      </c>
      <c r="BO35" s="891"/>
      <c r="BP35" s="891"/>
      <c r="BQ35" s="891"/>
      <c r="BR35" s="891"/>
      <c r="BS35" s="891"/>
      <c r="BT35" s="891"/>
      <c r="BU35" s="891"/>
      <c r="BV35" s="896"/>
      <c r="BW35" s="896"/>
      <c r="BX35" s="896"/>
      <c r="BY35" s="896"/>
      <c r="BZ35" s="896"/>
      <c r="CA35" s="896"/>
      <c r="CB35" s="896"/>
      <c r="CC35" s="896"/>
      <c r="CD35" s="896"/>
      <c r="CE35" s="896"/>
      <c r="CF35" s="896"/>
      <c r="CG35" s="428"/>
      <c r="CH35" s="428"/>
      <c r="CI35" s="428"/>
      <c r="CJ35" s="428"/>
      <c r="CN35" s="4" t="s">
        <v>32</v>
      </c>
      <c r="CO35" s="6" t="s">
        <v>32</v>
      </c>
      <c r="CP35" s="6" t="s">
        <v>32</v>
      </c>
      <c r="CQ35" s="6" t="s">
        <v>32</v>
      </c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</row>
    <row r="36" spans="1:122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11</v>
      </c>
      <c r="G36" s="879" t="s">
        <v>874</v>
      </c>
      <c r="H36" s="879" t="s">
        <v>18</v>
      </c>
      <c r="I36" s="879" t="s">
        <v>891</v>
      </c>
      <c r="J36" s="846">
        <v>0</v>
      </c>
      <c r="K36" s="846">
        <v>1</v>
      </c>
      <c r="L36" s="816" t="str">
        <f t="shared" si="27"/>
        <v>L</v>
      </c>
      <c r="M36" s="816">
        <f t="shared" si="28"/>
        <v>1</v>
      </c>
      <c r="N36" s="816" t="str">
        <f t="shared" si="29"/>
        <v>U</v>
      </c>
      <c r="O36" s="816">
        <f t="shared" si="18"/>
        <v>-0.25</v>
      </c>
      <c r="P36" s="829">
        <f t="shared" si="20"/>
        <v>-1</v>
      </c>
      <c r="Q36" s="830">
        <v>0.21</v>
      </c>
      <c r="R36" s="871">
        <f t="shared" si="21"/>
        <v>-1.21</v>
      </c>
      <c r="S36" s="830">
        <v>2.11</v>
      </c>
      <c r="T36" s="871">
        <f t="shared" si="22"/>
        <v>-1.1099999999999999</v>
      </c>
      <c r="U36" s="868">
        <f t="shared" si="23"/>
        <v>1.1599999999999999</v>
      </c>
      <c r="V36" s="868">
        <f t="shared" si="24"/>
        <v>0.95</v>
      </c>
      <c r="W36" s="829">
        <v>12</v>
      </c>
      <c r="X36" s="829">
        <v>10</v>
      </c>
      <c r="Y36" s="829">
        <v>4</v>
      </c>
      <c r="Z36" s="829">
        <v>1</v>
      </c>
      <c r="AA36" s="829">
        <v>50</v>
      </c>
      <c r="AB36" s="829">
        <v>50</v>
      </c>
      <c r="AC36" s="829"/>
      <c r="AD36" s="816" t="str">
        <f t="array" ref="AD36">IF($J36="","",IF(SUM(IF(ISNUMBER(VALUE(RIGHT($AG36:$DY36,1))),VALUE(RIGHT($AG36:$DY36,1)),0))=$J36,"T","F"))</f>
        <v>T</v>
      </c>
      <c r="AE36" s="831">
        <f t="array" ref="AE36">IF($J36="","",SUM(IF(LEFT($AG36:$DY36,1)="s",1,0))-SUM(IF(RIGHT(LEFT($AG36:$DY36,2))="-",1,0)))</f>
        <v>0</v>
      </c>
      <c r="AF36" s="816">
        <f t="array" ref="AF36">IF($J36="","",SUM(IF(LEFT($AG36:$DY36,1)="X",1,0)))</f>
        <v>11</v>
      </c>
      <c r="AG36" s="891"/>
      <c r="AH36" s="891" t="s">
        <v>34</v>
      </c>
      <c r="AI36" s="891" t="s">
        <v>1877</v>
      </c>
      <c r="AJ36" s="891" t="s">
        <v>32</v>
      </c>
      <c r="AK36" s="891" t="s">
        <v>32</v>
      </c>
      <c r="AL36" s="891" t="s">
        <v>1877</v>
      </c>
      <c r="AM36" s="891" t="s">
        <v>34</v>
      </c>
      <c r="AN36" s="891" t="s">
        <v>32</v>
      </c>
      <c r="AO36" s="904" t="s">
        <v>34</v>
      </c>
      <c r="AP36" s="891" t="s">
        <v>36</v>
      </c>
      <c r="AQ36" s="891" t="s">
        <v>32</v>
      </c>
      <c r="AR36" s="891" t="s">
        <v>32</v>
      </c>
      <c r="AS36" s="891" t="s">
        <v>32</v>
      </c>
      <c r="AT36" s="891" t="s">
        <v>32</v>
      </c>
      <c r="AU36" s="891" t="s">
        <v>32</v>
      </c>
      <c r="AV36" s="891" t="s">
        <v>34</v>
      </c>
      <c r="AW36" s="891" t="s">
        <v>1877</v>
      </c>
      <c r="AX36" s="891" t="s">
        <v>32</v>
      </c>
      <c r="AY36" s="891" t="s">
        <v>1877</v>
      </c>
      <c r="AZ36" s="891" t="s">
        <v>35</v>
      </c>
      <c r="BA36" s="891" t="s">
        <v>36</v>
      </c>
      <c r="BB36" s="891" t="s">
        <v>34</v>
      </c>
      <c r="BC36" s="891" t="s">
        <v>34</v>
      </c>
      <c r="BD36" s="891" t="s">
        <v>34</v>
      </c>
      <c r="BE36" s="891" t="s">
        <v>32</v>
      </c>
      <c r="BF36" s="891" t="s">
        <v>1884</v>
      </c>
      <c r="BG36" s="891" t="s">
        <v>32</v>
      </c>
      <c r="BH36" s="891" t="s">
        <v>35</v>
      </c>
      <c r="BI36" s="891" t="s">
        <v>36</v>
      </c>
      <c r="BJ36" s="891" t="s">
        <v>35</v>
      </c>
      <c r="BK36" s="891"/>
      <c r="BL36" s="910"/>
      <c r="BM36" s="891"/>
      <c r="BN36" s="891" t="s">
        <v>34</v>
      </c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1"/>
      <c r="CC36" s="891"/>
      <c r="CD36" s="896"/>
      <c r="CE36" s="896"/>
      <c r="CF36" s="896"/>
      <c r="CG36" s="428"/>
      <c r="CH36" s="428"/>
      <c r="CI36" s="428"/>
      <c r="CJ36" s="428"/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</row>
    <row r="37" spans="1:122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</v>
      </c>
      <c r="G37" s="879" t="s">
        <v>1086</v>
      </c>
      <c r="H37" s="879" t="s">
        <v>22</v>
      </c>
      <c r="I37" s="879" t="s">
        <v>891</v>
      </c>
      <c r="J37" s="846">
        <v>1</v>
      </c>
      <c r="K37" s="846">
        <v>2</v>
      </c>
      <c r="L37" s="816" t="str">
        <f t="shared" si="27"/>
        <v>L</v>
      </c>
      <c r="M37" s="816">
        <f t="shared" si="28"/>
        <v>3</v>
      </c>
      <c r="N37" s="816" t="str">
        <f t="shared" si="29"/>
        <v>O</v>
      </c>
      <c r="O37" s="816">
        <f t="shared" si="18"/>
        <v>0</v>
      </c>
      <c r="P37" s="829">
        <f t="shared" si="20"/>
        <v>-1</v>
      </c>
      <c r="Q37" s="830">
        <v>0.08</v>
      </c>
      <c r="R37" s="871">
        <f t="shared" si="21"/>
        <v>-1.08</v>
      </c>
      <c r="S37" s="830">
        <v>2.25</v>
      </c>
      <c r="T37" s="871">
        <f t="shared" si="22"/>
        <v>0.75</v>
      </c>
      <c r="U37" s="868">
        <f t="shared" si="23"/>
        <v>1.165</v>
      </c>
      <c r="V37" s="868">
        <f t="shared" si="24"/>
        <v>1.085</v>
      </c>
      <c r="W37" s="829">
        <v>14</v>
      </c>
      <c r="X37" s="829">
        <v>15</v>
      </c>
      <c r="Y37" s="829">
        <v>7</v>
      </c>
      <c r="Z37" s="829">
        <v>6</v>
      </c>
      <c r="AA37" s="829">
        <v>40</v>
      </c>
      <c r="AB37" s="829">
        <v>60</v>
      </c>
      <c r="AC37" s="829"/>
      <c r="AD37" s="816" t="str">
        <f t="array" ref="AD37">IF($J37="","",IF(SUM(IF(ISNUMBER(VALUE(RIGHT($AG37:$DY37,1))),VALUE(RIGHT($AG37:$DY37,1)),0))=$J37,"T","F"))</f>
        <v>T</v>
      </c>
      <c r="AE37" s="831">
        <f t="array" ref="AE37">IF($J37="","",SUM(IF(LEFT($AG37:$DY37,1)="s",1,0))-SUM(IF(RIGHT(LEFT($AG37:$DY37,2))="-",1,0)))</f>
        <v>0</v>
      </c>
      <c r="AF37" s="816">
        <f t="array" ref="AF37">IF($J37="","",SUM(IF(LEFT($AG37:$DY37,1)="X",1,0)))</f>
        <v>11</v>
      </c>
      <c r="AG37" s="891" t="s">
        <v>32</v>
      </c>
      <c r="AH37" s="891" t="s">
        <v>34</v>
      </c>
      <c r="AI37" s="891" t="s">
        <v>1877</v>
      </c>
      <c r="AJ37" s="891" t="s">
        <v>32</v>
      </c>
      <c r="AK37" s="891" t="s">
        <v>32</v>
      </c>
      <c r="AL37" s="891" t="s">
        <v>34</v>
      </c>
      <c r="AM37" s="891" t="s">
        <v>34</v>
      </c>
      <c r="AN37" s="891" t="s">
        <v>32</v>
      </c>
      <c r="AO37" s="891" t="s">
        <v>35</v>
      </c>
      <c r="AP37" s="904" t="s">
        <v>36</v>
      </c>
      <c r="AQ37" s="891" t="s">
        <v>1877</v>
      </c>
      <c r="AR37" s="891" t="s">
        <v>32</v>
      </c>
      <c r="AS37" s="891" t="s">
        <v>32</v>
      </c>
      <c r="AT37" s="891" t="s">
        <v>32</v>
      </c>
      <c r="AU37" s="891" t="s">
        <v>32</v>
      </c>
      <c r="AV37" s="891" t="s">
        <v>34</v>
      </c>
      <c r="AW37" s="891" t="s">
        <v>35</v>
      </c>
      <c r="AX37" s="891" t="s">
        <v>34</v>
      </c>
      <c r="AY37" s="891" t="s">
        <v>32</v>
      </c>
      <c r="AZ37" s="891" t="s">
        <v>36</v>
      </c>
      <c r="BA37" s="891" t="s">
        <v>35</v>
      </c>
      <c r="BB37" s="891" t="s">
        <v>34</v>
      </c>
      <c r="BC37" s="891" t="s">
        <v>1877</v>
      </c>
      <c r="BD37" s="891" t="s">
        <v>2505</v>
      </c>
      <c r="BE37" s="891" t="s">
        <v>32</v>
      </c>
      <c r="BF37" s="891" t="s">
        <v>1884</v>
      </c>
      <c r="BG37" s="891" t="s">
        <v>34</v>
      </c>
      <c r="BH37" s="891" t="s">
        <v>36</v>
      </c>
      <c r="BI37" s="891"/>
      <c r="BJ37" s="891"/>
      <c r="BK37" s="891"/>
      <c r="BL37" s="910"/>
      <c r="BM37" s="891"/>
      <c r="BN37" s="891" t="s">
        <v>1877</v>
      </c>
      <c r="BO37" s="891"/>
      <c r="BP37" s="891"/>
      <c r="BQ37" s="891"/>
      <c r="BR37" s="891"/>
      <c r="BS37" s="891"/>
      <c r="BT37" s="891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428"/>
      <c r="CH37" s="428"/>
      <c r="CI37" s="428"/>
      <c r="CJ37" s="428"/>
      <c r="CO37" s="4" t="s">
        <v>32</v>
      </c>
      <c r="CP37" s="4" t="s">
        <v>32</v>
      </c>
      <c r="CQ37" s="4" t="s">
        <v>32</v>
      </c>
      <c r="CR37" s="4" t="s">
        <v>32</v>
      </c>
      <c r="CS37" s="4" t="s">
        <v>32</v>
      </c>
      <c r="CT37" s="4" t="s">
        <v>32</v>
      </c>
      <c r="CU37" s="6" t="s">
        <v>32</v>
      </c>
      <c r="CV37" s="6" t="s">
        <v>32</v>
      </c>
      <c r="CW37" s="6" t="s">
        <v>32</v>
      </c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</row>
    <row r="38" spans="1:122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17</v>
      </c>
      <c r="G38" s="879" t="s">
        <v>875</v>
      </c>
      <c r="H38" s="879" t="s">
        <v>18</v>
      </c>
      <c r="I38" s="879" t="s">
        <v>891</v>
      </c>
      <c r="J38" s="846">
        <v>4</v>
      </c>
      <c r="K38" s="908">
        <v>0</v>
      </c>
      <c r="L38" s="816" t="str">
        <f t="shared" si="27"/>
        <v>W</v>
      </c>
      <c r="M38" s="816">
        <f t="shared" si="28"/>
        <v>4</v>
      </c>
      <c r="N38" s="816" t="str">
        <f t="shared" si="29"/>
        <v>O</v>
      </c>
      <c r="O38" s="816">
        <f t="shared" si="18"/>
        <v>-0.75</v>
      </c>
      <c r="P38" s="829">
        <f t="shared" si="20"/>
        <v>1</v>
      </c>
      <c r="Q38" s="830">
        <v>0.76</v>
      </c>
      <c r="R38" s="871">
        <f t="shared" si="21"/>
        <v>3.24</v>
      </c>
      <c r="S38" s="830">
        <v>2.33</v>
      </c>
      <c r="T38" s="871">
        <f t="shared" si="22"/>
        <v>1.67</v>
      </c>
      <c r="U38" s="868">
        <f t="shared" si="23"/>
        <v>1.5449999999999999</v>
      </c>
      <c r="V38" s="868">
        <f t="shared" si="24"/>
        <v>0.78500000000000014</v>
      </c>
      <c r="W38" s="829">
        <v>14</v>
      </c>
      <c r="X38" s="829">
        <v>9</v>
      </c>
      <c r="Y38" s="829">
        <v>5</v>
      </c>
      <c r="Z38" s="829">
        <v>2</v>
      </c>
      <c r="AA38" s="829">
        <v>58</v>
      </c>
      <c r="AB38" s="829">
        <v>42</v>
      </c>
      <c r="AC38" s="829"/>
      <c r="AD38" s="816" t="str">
        <f t="array" ref="AD38">IF($J38="","",IF(SUM(IF(ISNUMBER(VALUE(RIGHT($AG38:$DY38,1))),VALUE(RIGHT($AG38:$DY38,1)),0))=$J38,"T","F"))</f>
        <v>T</v>
      </c>
      <c r="AE38" s="831">
        <f t="array" ref="AE38">IF($J38="","",SUM(IF(LEFT($AG38:$DY38,1)="s",1,0))-SUM(IF(RIGHT(LEFT($AG38:$DY38,2))="-",1,0)))</f>
        <v>0</v>
      </c>
      <c r="AF38" s="816">
        <f t="array" ref="AF38">IF($J38="","",SUM(IF(LEFT($AG38:$DY38,1)="X",1,0)))</f>
        <v>11</v>
      </c>
      <c r="AG38" s="891" t="s">
        <v>32</v>
      </c>
      <c r="AH38" s="891" t="s">
        <v>34</v>
      </c>
      <c r="AI38" s="891" t="s">
        <v>1877</v>
      </c>
      <c r="AJ38" s="891" t="s">
        <v>32</v>
      </c>
      <c r="AK38" s="891" t="s">
        <v>32</v>
      </c>
      <c r="AL38" s="891" t="s">
        <v>34</v>
      </c>
      <c r="AM38" s="891" t="s">
        <v>34</v>
      </c>
      <c r="AN38" s="891" t="s">
        <v>32</v>
      </c>
      <c r="AO38" s="891" t="s">
        <v>34</v>
      </c>
      <c r="AP38" s="891" t="s">
        <v>1877</v>
      </c>
      <c r="AQ38" s="891" t="s">
        <v>36</v>
      </c>
      <c r="AR38" s="891" t="s">
        <v>32</v>
      </c>
      <c r="AS38" s="891" t="s">
        <v>32</v>
      </c>
      <c r="AT38" s="891" t="s">
        <v>32</v>
      </c>
      <c r="AU38" s="891" t="s">
        <v>32</v>
      </c>
      <c r="AV38" s="891" t="s">
        <v>34</v>
      </c>
      <c r="AW38" s="891" t="s">
        <v>35</v>
      </c>
      <c r="AX38" s="904" t="s">
        <v>2544</v>
      </c>
      <c r="AY38" s="891" t="s">
        <v>32</v>
      </c>
      <c r="AZ38" s="891" t="s">
        <v>1877</v>
      </c>
      <c r="BA38" s="891" t="s">
        <v>2543</v>
      </c>
      <c r="BB38" s="891" t="s">
        <v>36</v>
      </c>
      <c r="BC38" s="891" t="s">
        <v>34</v>
      </c>
      <c r="BD38" s="891" t="s">
        <v>2539</v>
      </c>
      <c r="BE38" s="891" t="s">
        <v>32</v>
      </c>
      <c r="BF38" s="891" t="s">
        <v>1884</v>
      </c>
      <c r="BG38" s="891" t="s">
        <v>2543</v>
      </c>
      <c r="BH38" s="891" t="s">
        <v>1877</v>
      </c>
      <c r="BI38" s="891" t="s">
        <v>36</v>
      </c>
      <c r="BJ38" s="891"/>
      <c r="BK38" s="891"/>
      <c r="BL38" s="910"/>
      <c r="BM38" s="891"/>
      <c r="BN38" s="891" t="s">
        <v>32</v>
      </c>
      <c r="BO38" s="891"/>
      <c r="BP38" s="891"/>
      <c r="BQ38" s="891"/>
      <c r="BR38" s="891"/>
      <c r="BS38" s="891"/>
      <c r="BT38" s="891"/>
      <c r="BU38" s="891"/>
      <c r="BV38" s="896"/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428"/>
      <c r="CH38" s="428"/>
      <c r="CI38" s="428"/>
      <c r="CJ38" s="428"/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</row>
    <row r="39" spans="1:122" ht="15">
      <c r="A39" s="882">
        <v>6365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5</v>
      </c>
      <c r="G39" s="879" t="s">
        <v>889</v>
      </c>
      <c r="H39" s="879" t="s">
        <v>22</v>
      </c>
      <c r="I39" s="879" t="s">
        <v>891</v>
      </c>
      <c r="J39" s="846">
        <v>1</v>
      </c>
      <c r="K39" s="846">
        <v>1</v>
      </c>
      <c r="L39" s="816" t="str">
        <f t="shared" si="27"/>
        <v>D</v>
      </c>
      <c r="M39" s="816">
        <f t="shared" si="28"/>
        <v>2</v>
      </c>
      <c r="N39" s="816" t="str">
        <f t="shared" si="29"/>
        <v>U</v>
      </c>
      <c r="O39" s="816">
        <f t="shared" si="18"/>
        <v>-0.25</v>
      </c>
      <c r="P39" s="829">
        <f t="shared" si="20"/>
        <v>-0.5</v>
      </c>
      <c r="Q39" s="830">
        <v>0.38</v>
      </c>
      <c r="R39" s="871">
        <f t="shared" si="21"/>
        <v>-0.38</v>
      </c>
      <c r="S39" s="830">
        <v>2.42</v>
      </c>
      <c r="T39" s="871">
        <f t="shared" si="22"/>
        <v>-0.41999999999999993</v>
      </c>
      <c r="U39" s="868">
        <f t="shared" si="23"/>
        <v>1.4</v>
      </c>
      <c r="V39" s="868">
        <f t="shared" si="24"/>
        <v>1.02</v>
      </c>
      <c r="W39" s="829">
        <v>14</v>
      </c>
      <c r="X39" s="829">
        <v>14</v>
      </c>
      <c r="Y39" s="829">
        <v>4</v>
      </c>
      <c r="Z39" s="829">
        <v>1</v>
      </c>
      <c r="AA39" s="829">
        <v>44</v>
      </c>
      <c r="AB39" s="829">
        <v>56</v>
      </c>
      <c r="AC39" s="829"/>
      <c r="AD39" s="816" t="str">
        <f t="array" ref="AD39">IF($J39="","",IF(SUM(IF(ISNUMBER(VALUE(RIGHT($AG39:$DY39,1))),VALUE(RIGHT($AG39:$DY39,1)),0))=$J39,"T","F"))</f>
        <v>T</v>
      </c>
      <c r="AE39" s="831">
        <f t="array" ref="AE39">IF($J39="","",SUM(IF(LEFT($AG39:$DY39,1)="s",1,0))-SUM(IF(RIGHT(LEFT($AG39:$DY39,2))="-",1,0)))</f>
        <v>0</v>
      </c>
      <c r="AF39" s="816">
        <f t="array" ref="AF39">IF($J39="","",SUM(IF(LEFT($AG39:$DY39,1)="X",1,0)))</f>
        <v>11</v>
      </c>
      <c r="AG39" s="891" t="s">
        <v>32</v>
      </c>
      <c r="AH39" s="891" t="s">
        <v>34</v>
      </c>
      <c r="AI39" s="891" t="s">
        <v>1877</v>
      </c>
      <c r="AJ39" s="891" t="s">
        <v>32</v>
      </c>
      <c r="AK39" s="891" t="s">
        <v>32</v>
      </c>
      <c r="AL39" s="891" t="s">
        <v>34</v>
      </c>
      <c r="AM39" s="891" t="s">
        <v>34</v>
      </c>
      <c r="AN39" s="891" t="s">
        <v>36</v>
      </c>
      <c r="AO39" s="891" t="s">
        <v>34</v>
      </c>
      <c r="AP39" s="891" t="s">
        <v>32</v>
      </c>
      <c r="AQ39" s="891" t="s">
        <v>1877</v>
      </c>
      <c r="AR39" s="891" t="s">
        <v>1877</v>
      </c>
      <c r="AS39" s="891" t="s">
        <v>32</v>
      </c>
      <c r="AT39" s="891" t="s">
        <v>32</v>
      </c>
      <c r="AU39" s="891" t="s">
        <v>32</v>
      </c>
      <c r="AV39" s="891" t="s">
        <v>34</v>
      </c>
      <c r="AW39" s="891" t="s">
        <v>2567</v>
      </c>
      <c r="AX39" s="891" t="s">
        <v>34</v>
      </c>
      <c r="AY39" s="891" t="s">
        <v>32</v>
      </c>
      <c r="AZ39" s="891" t="s">
        <v>32</v>
      </c>
      <c r="BA39" s="891" t="s">
        <v>35</v>
      </c>
      <c r="BB39" s="904" t="s">
        <v>36</v>
      </c>
      <c r="BC39" s="891" t="s">
        <v>34</v>
      </c>
      <c r="BD39" s="891" t="s">
        <v>34</v>
      </c>
      <c r="BE39" s="891" t="s">
        <v>32</v>
      </c>
      <c r="BF39" s="891" t="s">
        <v>1884</v>
      </c>
      <c r="BG39" s="891" t="s">
        <v>35</v>
      </c>
      <c r="BH39" s="891" t="s">
        <v>36</v>
      </c>
      <c r="BI39" s="891" t="s">
        <v>1877</v>
      </c>
      <c r="BJ39" s="891"/>
      <c r="BK39" s="891"/>
      <c r="BL39" s="910"/>
      <c r="BM39" s="891"/>
      <c r="BN39" s="891" t="s">
        <v>32</v>
      </c>
      <c r="BO39" s="891"/>
      <c r="BP39" s="891"/>
      <c r="BQ39" s="891"/>
      <c r="BR39" s="891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896"/>
      <c r="CF39" s="896"/>
      <c r="CG39" s="428"/>
      <c r="CH39" s="428"/>
      <c r="CI39" s="428"/>
      <c r="CJ39" s="428"/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</row>
    <row r="40" spans="1:122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14</v>
      </c>
      <c r="G40" s="879" t="s">
        <v>873</v>
      </c>
      <c r="H40" s="879" t="s">
        <v>22</v>
      </c>
      <c r="I40" s="879" t="s">
        <v>891</v>
      </c>
      <c r="J40" s="846">
        <v>0</v>
      </c>
      <c r="K40" s="846">
        <v>1</v>
      </c>
      <c r="L40" s="816" t="str">
        <f t="shared" si="27"/>
        <v>L</v>
      </c>
      <c r="M40" s="816">
        <f t="shared" si="28"/>
        <v>1</v>
      </c>
      <c r="N40" s="816" t="str">
        <f t="shared" si="29"/>
        <v>U</v>
      </c>
      <c r="O40" s="816">
        <f t="shared" si="18"/>
        <v>-0.5</v>
      </c>
      <c r="P40" s="829">
        <f t="shared" si="20"/>
        <v>-1</v>
      </c>
      <c r="Q40" s="830">
        <v>0.5</v>
      </c>
      <c r="R40" s="871">
        <f t="shared" si="21"/>
        <v>-1.5</v>
      </c>
      <c r="S40" s="830">
        <v>2.4</v>
      </c>
      <c r="T40" s="871">
        <f t="shared" si="22"/>
        <v>-1.4</v>
      </c>
      <c r="U40" s="868">
        <f t="shared" si="23"/>
        <v>1.45</v>
      </c>
      <c r="V40" s="868">
        <f t="shared" si="24"/>
        <v>0.95</v>
      </c>
      <c r="W40" s="829">
        <v>20</v>
      </c>
      <c r="X40" s="829">
        <v>9</v>
      </c>
      <c r="Y40" s="829">
        <v>4</v>
      </c>
      <c r="Z40" s="829">
        <v>5</v>
      </c>
      <c r="AA40" s="829">
        <v>56</v>
      </c>
      <c r="AB40" s="829">
        <v>44</v>
      </c>
      <c r="AC40" s="829"/>
      <c r="AD40" s="816" t="str">
        <f t="array" ref="AD40">IF($J40="","",IF(SUM(IF(ISNUMBER(VALUE(RIGHT($AG40:$DY40,1))),VALUE(RIGHT($AG40:$DY40,1)),0))=$J40,"T","F"))</f>
        <v>T</v>
      </c>
      <c r="AE40" s="831">
        <f t="array" ref="AE40">IF($J40="","",SUM(IF(LEFT($AG40:$DY40,1)="s",1,0))-SUM(IF(RIGHT(LEFT($AG40:$DY40,2))="-",1,0)))</f>
        <v>0</v>
      </c>
      <c r="AF40" s="816">
        <f t="array" ref="AF40">IF($J40="","",SUM(IF(LEFT($AG40:$DY40,1)="X",1,0)))</f>
        <v>11</v>
      </c>
      <c r="AG40" s="891"/>
      <c r="AH40" s="891" t="s">
        <v>2731</v>
      </c>
      <c r="AI40" s="891" t="s">
        <v>34</v>
      </c>
      <c r="AJ40" s="891" t="s">
        <v>1877</v>
      </c>
      <c r="AK40" s="891" t="s">
        <v>32</v>
      </c>
      <c r="AL40" s="904" t="s">
        <v>34</v>
      </c>
      <c r="AM40" s="891" t="s">
        <v>34</v>
      </c>
      <c r="AN40" s="891" t="s">
        <v>36</v>
      </c>
      <c r="AO40" s="891" t="s">
        <v>34</v>
      </c>
      <c r="AP40" s="891" t="s">
        <v>32</v>
      </c>
      <c r="AQ40" s="891" t="s">
        <v>1877</v>
      </c>
      <c r="AR40" s="891" t="s">
        <v>32</v>
      </c>
      <c r="AS40" s="891" t="s">
        <v>32</v>
      </c>
      <c r="AT40" s="891" t="s">
        <v>32</v>
      </c>
      <c r="AU40" s="891" t="s">
        <v>32</v>
      </c>
      <c r="AV40" s="891" t="s">
        <v>34</v>
      </c>
      <c r="AW40" s="891" t="s">
        <v>35</v>
      </c>
      <c r="AX40" s="904" t="s">
        <v>34</v>
      </c>
      <c r="AY40" s="891" t="s">
        <v>32</v>
      </c>
      <c r="AZ40" s="891" t="s">
        <v>36</v>
      </c>
      <c r="BA40" s="891" t="s">
        <v>35</v>
      </c>
      <c r="BB40" s="891" t="s">
        <v>1877</v>
      </c>
      <c r="BC40" s="891" t="s">
        <v>34</v>
      </c>
      <c r="BD40" s="891" t="s">
        <v>34</v>
      </c>
      <c r="BE40" s="891" t="s">
        <v>32</v>
      </c>
      <c r="BF40" s="891" t="s">
        <v>32</v>
      </c>
      <c r="BG40" s="891" t="s">
        <v>35</v>
      </c>
      <c r="BH40" s="891" t="s">
        <v>36</v>
      </c>
      <c r="BI40" s="891" t="s">
        <v>1877</v>
      </c>
      <c r="BJ40" s="891"/>
      <c r="BK40" s="891"/>
      <c r="BL40" s="910"/>
      <c r="BM40" s="891"/>
      <c r="BN40" s="891" t="s">
        <v>32</v>
      </c>
      <c r="BO40" s="891"/>
      <c r="BP40" s="891"/>
      <c r="BQ40" s="891"/>
      <c r="BR40" s="891"/>
      <c r="BS40" s="896"/>
      <c r="BT40" s="891"/>
      <c r="BU40" s="891"/>
      <c r="BV40" s="896"/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428"/>
      <c r="CH40" s="428"/>
      <c r="CI40" s="428"/>
      <c r="CJ40" s="428"/>
      <c r="CK40" s="230" t="s">
        <v>32</v>
      </c>
      <c r="CL40" s="230" t="s">
        <v>32</v>
      </c>
      <c r="CM40" s="230" t="s">
        <v>32</v>
      </c>
      <c r="CN40" s="230" t="s">
        <v>32</v>
      </c>
      <c r="CO40" s="230" t="s">
        <v>32</v>
      </c>
      <c r="CP40" s="230" t="s">
        <v>32</v>
      </c>
      <c r="CQ40" s="230" t="s">
        <v>32</v>
      </c>
    </row>
    <row r="41" spans="1:122" ht="15">
      <c r="A41" s="882">
        <v>6379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22</v>
      </c>
      <c r="G41" s="879" t="s">
        <v>1087</v>
      </c>
      <c r="H41" s="879" t="s">
        <v>18</v>
      </c>
      <c r="I41" s="879" t="s">
        <v>891</v>
      </c>
      <c r="J41" s="846">
        <v>2</v>
      </c>
      <c r="K41" s="908">
        <v>0</v>
      </c>
      <c r="L41" s="816" t="str">
        <f t="shared" si="27"/>
        <v>W</v>
      </c>
      <c r="M41" s="816">
        <f t="shared" si="28"/>
        <v>2</v>
      </c>
      <c r="N41" s="816" t="str">
        <f t="shared" si="29"/>
        <v>U</v>
      </c>
      <c r="O41" s="816">
        <f t="shared" si="18"/>
        <v>-0.75</v>
      </c>
      <c r="P41" s="829">
        <f t="shared" si="20"/>
        <v>1</v>
      </c>
      <c r="Q41" s="830">
        <v>0.88</v>
      </c>
      <c r="R41" s="871">
        <f t="shared" si="21"/>
        <v>1.1200000000000001</v>
      </c>
      <c r="S41" s="830">
        <v>2.61</v>
      </c>
      <c r="T41" s="871">
        <f t="shared" si="22"/>
        <v>-0.60999999999999988</v>
      </c>
      <c r="U41" s="868">
        <f t="shared" si="23"/>
        <v>1.7449999999999999</v>
      </c>
      <c r="V41" s="868">
        <f t="shared" si="24"/>
        <v>0.86499999999999999</v>
      </c>
      <c r="W41" s="829">
        <v>16</v>
      </c>
      <c r="X41" s="829">
        <v>12</v>
      </c>
      <c r="Y41" s="829">
        <v>8</v>
      </c>
      <c r="Z41" s="829">
        <v>3</v>
      </c>
      <c r="AA41" s="829">
        <v>40</v>
      </c>
      <c r="AB41" s="829">
        <v>60</v>
      </c>
      <c r="AC41" s="829"/>
      <c r="AD41" s="816" t="str">
        <f t="array" ref="AD41">IF($J41="","",IF(SUM(IF(ISNUMBER(VALUE(RIGHT($AG41:$DY41,1))),VALUE(RIGHT($AG41:$DY41,1)),0))=$J41,"T","F"))</f>
        <v>T</v>
      </c>
      <c r="AE41" s="831">
        <f t="array" ref="AE41">IF($J41="","",SUM(IF(LEFT($AG41:$DY41,1)="s",1,0))-SUM(IF(RIGHT(LEFT($AG41:$DY41,2))="-",1,0)))</f>
        <v>0</v>
      </c>
      <c r="AF41" s="816">
        <f t="array" ref="AF41">IF($J41="","",SUM(IF(LEFT($AG41:$DY41,1)="X",1,0)))</f>
        <v>11</v>
      </c>
      <c r="AG41" s="891" t="s">
        <v>1877</v>
      </c>
      <c r="AH41" s="891" t="s">
        <v>2731</v>
      </c>
      <c r="AI41" s="891" t="s">
        <v>34</v>
      </c>
      <c r="AJ41" s="891" t="s">
        <v>32</v>
      </c>
      <c r="AK41" s="891" t="s">
        <v>32</v>
      </c>
      <c r="AL41" s="891" t="s">
        <v>34</v>
      </c>
      <c r="AM41" s="891" t="s">
        <v>34</v>
      </c>
      <c r="AN41" s="891" t="s">
        <v>2732</v>
      </c>
      <c r="AO41" s="891" t="s">
        <v>36</v>
      </c>
      <c r="AP41" s="891" t="s">
        <v>32</v>
      </c>
      <c r="AQ41" s="891" t="s">
        <v>35</v>
      </c>
      <c r="AR41" s="891" t="s">
        <v>32</v>
      </c>
      <c r="AS41" s="891" t="s">
        <v>32</v>
      </c>
      <c r="AT41" s="891" t="s">
        <v>32</v>
      </c>
      <c r="AU41" s="891" t="s">
        <v>32</v>
      </c>
      <c r="AV41" s="891" t="s">
        <v>34</v>
      </c>
      <c r="AW41" s="891" t="s">
        <v>34</v>
      </c>
      <c r="AX41" s="891" t="s">
        <v>34</v>
      </c>
      <c r="AY41" s="891" t="s">
        <v>32</v>
      </c>
      <c r="AZ41" s="891" t="s">
        <v>36</v>
      </c>
      <c r="BA41" s="891" t="s">
        <v>35</v>
      </c>
      <c r="BB41" s="891" t="s">
        <v>1877</v>
      </c>
      <c r="BC41" s="904" t="s">
        <v>2672</v>
      </c>
      <c r="BD41" s="891" t="s">
        <v>34</v>
      </c>
      <c r="BE41" s="891" t="s">
        <v>1877</v>
      </c>
      <c r="BF41" s="891" t="s">
        <v>32</v>
      </c>
      <c r="BG41" s="891" t="s">
        <v>2678</v>
      </c>
      <c r="BH41" s="891" t="s">
        <v>1877</v>
      </c>
      <c r="BI41" s="891" t="s">
        <v>36</v>
      </c>
      <c r="BJ41" s="891"/>
      <c r="BK41" s="891"/>
      <c r="BL41" s="910"/>
      <c r="BM41" s="891"/>
      <c r="BN41" s="891" t="s">
        <v>32</v>
      </c>
      <c r="BO41" s="891"/>
      <c r="BP41" s="891"/>
      <c r="BQ41" s="891"/>
      <c r="BR41" s="891"/>
      <c r="BS41" s="896"/>
      <c r="BT41" s="891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4"/>
      <c r="CH41" s="4"/>
      <c r="CI41" s="4"/>
      <c r="CJ41" s="4"/>
      <c r="CK41" s="6" t="s">
        <v>32</v>
      </c>
      <c r="CL41" s="6" t="s">
        <v>32</v>
      </c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</row>
    <row r="42" spans="1:122" ht="15">
      <c r="A42" s="912">
        <v>6382</v>
      </c>
      <c r="B42" s="894"/>
      <c r="C42" s="894"/>
      <c r="D42" s="894"/>
      <c r="E42" s="894"/>
      <c r="F42" s="894"/>
      <c r="G42" s="828" t="s">
        <v>2655</v>
      </c>
      <c r="H42" s="828" t="s">
        <v>22</v>
      </c>
      <c r="I42" s="828" t="s">
        <v>2649</v>
      </c>
      <c r="J42" s="895">
        <v>4</v>
      </c>
      <c r="K42" s="895">
        <v>0</v>
      </c>
      <c r="L42" s="816" t="str">
        <f t="shared" ref="L42" si="30">IF(J42="","",IF(J42&gt;K42,"W",IF(J42=K42,"D",IF(J42&lt;K42,"L"))))</f>
        <v>W</v>
      </c>
      <c r="M42" s="816">
        <f t="shared" ref="M42" si="31">IF(J42="","",J42+K42)</f>
        <v>4</v>
      </c>
      <c r="N42" s="816" t="str">
        <f t="shared" si="29"/>
        <v>O</v>
      </c>
      <c r="O42" s="816" t="str">
        <f t="shared" ref="O42" si="32">IF(Q42="","",IF(SIGN(Q42)&lt;&gt;1,VLOOKUP(ABS(Q42),SUP_HDC,3,TRUE),-VLOOKUP(ABS(Q42),SUP_HDC,3,TRUE)))</f>
        <v/>
      </c>
      <c r="P42" s="829" t="str">
        <f t="shared" ref="P42" si="33">IF(O42="","",IF((J42-K42+O42)&gt;=0.5,1,IF((J42-K42+O42)=0.25,0.5,IF((J42-K42+O42)&lt;=-0.5,-1,IF((J42-K42+O42)=-0.25,-0.5,0)))))</f>
        <v/>
      </c>
      <c r="Q42" s="830"/>
      <c r="R42" s="871" t="str">
        <f t="shared" ref="R42" si="34">IF(ISBLANK(Q42),"",J42-K42-Q42)</f>
        <v/>
      </c>
      <c r="S42" s="830"/>
      <c r="T42" s="871" t="str">
        <f t="shared" ref="T42" si="35">IF(ISBLANK(S42),"",J42+K42-S42)</f>
        <v/>
      </c>
      <c r="U42" s="868" t="str">
        <f t="shared" ref="U42" si="36">IF(Q42="","",(Q42+S42)/2)</f>
        <v/>
      </c>
      <c r="V42" s="868" t="str">
        <f t="shared" ref="V42" si="37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IF($J42="","",IF(SUM(IF(ISNUMBER(VALUE(RIGHT($AG42:$DY42,1))),VALUE(RIGHT($AG42:$DY42,1)),0))=$J42,"T","F"))</f>
        <v>T</v>
      </c>
      <c r="AE42" s="831">
        <f t="array" ref="AE42">IF($J42="","",SUM(IF(LEFT($AG42:$DY42,1)="s",1,0))-SUM(IF(RIGHT(LEFT($AG42:$DY42,2))="-",1,0)))</f>
        <v>0</v>
      </c>
      <c r="AF42" s="816">
        <f t="array" ref="AF42">IF($J42="","",SUM(IF(LEFT($AG42:$DY42,1)="X",1,0)))</f>
        <v>11</v>
      </c>
      <c r="AG42" s="891" t="s">
        <v>34</v>
      </c>
      <c r="AH42" s="891" t="s">
        <v>1877</v>
      </c>
      <c r="AI42" s="891" t="s">
        <v>32</v>
      </c>
      <c r="AJ42" s="891" t="s">
        <v>32</v>
      </c>
      <c r="AK42" s="891" t="s">
        <v>34</v>
      </c>
      <c r="AL42" s="891" t="s">
        <v>32</v>
      </c>
      <c r="AM42" s="891" t="s">
        <v>32</v>
      </c>
      <c r="AN42" s="891" t="s">
        <v>2732</v>
      </c>
      <c r="AO42" s="891" t="s">
        <v>34</v>
      </c>
      <c r="AP42" s="891" t="s">
        <v>2712</v>
      </c>
      <c r="AQ42" s="891" t="s">
        <v>1877</v>
      </c>
      <c r="AR42" s="891" t="s">
        <v>32</v>
      </c>
      <c r="AS42" s="891" t="s">
        <v>32</v>
      </c>
      <c r="AT42" s="891" t="s">
        <v>2691</v>
      </c>
      <c r="AU42" s="891" t="s">
        <v>32</v>
      </c>
      <c r="AV42" s="891" t="s">
        <v>32</v>
      </c>
      <c r="AW42" s="891" t="s">
        <v>32</v>
      </c>
      <c r="AX42" s="891" t="s">
        <v>32</v>
      </c>
      <c r="AY42" s="891" t="s">
        <v>34</v>
      </c>
      <c r="AZ42" s="891" t="s">
        <v>2691</v>
      </c>
      <c r="BA42" s="891" t="s">
        <v>32</v>
      </c>
      <c r="BB42" s="891" t="s">
        <v>2712</v>
      </c>
      <c r="BC42" s="891" t="s">
        <v>1877</v>
      </c>
      <c r="BD42" s="891" t="s">
        <v>32</v>
      </c>
      <c r="BE42" s="891" t="s">
        <v>34</v>
      </c>
      <c r="BF42" s="891" t="s">
        <v>2713</v>
      </c>
      <c r="BG42" s="891" t="s">
        <v>32</v>
      </c>
      <c r="BH42" s="891" t="s">
        <v>2690</v>
      </c>
      <c r="BI42" s="891" t="s">
        <v>2712</v>
      </c>
      <c r="BJ42" s="891" t="s">
        <v>2713</v>
      </c>
      <c r="BK42" s="891"/>
      <c r="BL42" s="910"/>
      <c r="BM42" s="891"/>
      <c r="BN42" s="891" t="s">
        <v>2713</v>
      </c>
      <c r="BO42" s="891"/>
      <c r="BP42" s="891"/>
      <c r="BQ42" s="891"/>
      <c r="BR42" s="891"/>
      <c r="BS42" s="896"/>
      <c r="BT42" s="891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4"/>
      <c r="CH42" s="4"/>
      <c r="CI42" s="4"/>
      <c r="CJ42" s="4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</row>
    <row r="43" spans="1:122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13</v>
      </c>
      <c r="G43" s="879" t="s">
        <v>884</v>
      </c>
      <c r="H43" s="879" t="s">
        <v>22</v>
      </c>
      <c r="I43" s="879" t="s">
        <v>891</v>
      </c>
      <c r="J43" s="846">
        <v>1</v>
      </c>
      <c r="K43" s="846">
        <v>1</v>
      </c>
      <c r="L43" s="816" t="str">
        <f t="shared" si="27"/>
        <v>D</v>
      </c>
      <c r="M43" s="816">
        <f t="shared" si="28"/>
        <v>2</v>
      </c>
      <c r="N43" s="816" t="str">
        <f t="shared" si="29"/>
        <v>U</v>
      </c>
      <c r="O43" s="816">
        <f t="shared" si="18"/>
        <v>-0.5</v>
      </c>
      <c r="P43" s="829">
        <f t="shared" si="20"/>
        <v>-1</v>
      </c>
      <c r="Q43" s="830">
        <v>0.65</v>
      </c>
      <c r="R43" s="871">
        <f t="shared" si="21"/>
        <v>-0.65</v>
      </c>
      <c r="S43" s="830">
        <v>2.4</v>
      </c>
      <c r="T43" s="871">
        <f t="shared" si="22"/>
        <v>-0.39999999999999991</v>
      </c>
      <c r="U43" s="868">
        <f t="shared" si="23"/>
        <v>1.5249999999999999</v>
      </c>
      <c r="V43" s="868">
        <f t="shared" si="24"/>
        <v>0.875</v>
      </c>
      <c r="W43" s="829">
        <v>11</v>
      </c>
      <c r="X43" s="829">
        <v>15</v>
      </c>
      <c r="Y43" s="829">
        <v>5</v>
      </c>
      <c r="Z43" s="829">
        <v>1</v>
      </c>
      <c r="AA43" s="829">
        <v>43</v>
      </c>
      <c r="AB43" s="829">
        <v>57</v>
      </c>
      <c r="AC43" s="829"/>
      <c r="AD43" s="816" t="str">
        <f t="array" ref="AD43">IF($J43="","",IF(SUM(IF(ISNUMBER(VALUE(RIGHT($AG43:$DY43,1))),VALUE(RIGHT($AG43:$DY43,1)),0))=$J43,"T","F"))</f>
        <v>T</v>
      </c>
      <c r="AE43" s="831">
        <f t="array" ref="AE43">IF($J43="","",SUM(IF(LEFT($AG43:$DY43,1)="s",1,0))-SUM(IF(RIGHT(LEFT($AG43:$DY43,2))="-",1,0)))</f>
        <v>0</v>
      </c>
      <c r="AF43" s="816">
        <f t="array" ref="AF43">IF($J43="","",SUM(IF(LEFT($AG43:$DY43,1)="X",1,0)))</f>
        <v>11</v>
      </c>
      <c r="AG43" s="891" t="s">
        <v>32</v>
      </c>
      <c r="AH43" s="891" t="s">
        <v>1877</v>
      </c>
      <c r="AI43" s="891" t="s">
        <v>34</v>
      </c>
      <c r="AJ43" s="891" t="s">
        <v>32</v>
      </c>
      <c r="AK43" s="891" t="s">
        <v>32</v>
      </c>
      <c r="AL43" s="891" t="s">
        <v>34</v>
      </c>
      <c r="AM43" s="891" t="s">
        <v>2734</v>
      </c>
      <c r="AN43" s="891" t="s">
        <v>32</v>
      </c>
      <c r="AO43" s="891" t="s">
        <v>1877</v>
      </c>
      <c r="AP43" s="891" t="s">
        <v>32</v>
      </c>
      <c r="AQ43" s="891" t="s">
        <v>34</v>
      </c>
      <c r="AR43" s="891" t="s">
        <v>32</v>
      </c>
      <c r="AS43" s="891" t="s">
        <v>32</v>
      </c>
      <c r="AT43" s="891" t="s">
        <v>32</v>
      </c>
      <c r="AU43" s="891" t="s">
        <v>32</v>
      </c>
      <c r="AV43" s="891" t="s">
        <v>34</v>
      </c>
      <c r="AW43" s="891" t="s">
        <v>34</v>
      </c>
      <c r="AX43" s="891" t="s">
        <v>34</v>
      </c>
      <c r="AY43" s="891" t="s">
        <v>32</v>
      </c>
      <c r="AZ43" s="891" t="s">
        <v>1877</v>
      </c>
      <c r="BA43" s="891" t="s">
        <v>35</v>
      </c>
      <c r="BB43" s="891" t="s">
        <v>36</v>
      </c>
      <c r="BC43" s="891" t="s">
        <v>35</v>
      </c>
      <c r="BD43" s="891" t="s">
        <v>34</v>
      </c>
      <c r="BE43" s="891" t="s">
        <v>1877</v>
      </c>
      <c r="BF43" s="891" t="s">
        <v>32</v>
      </c>
      <c r="BG43" s="891" t="s">
        <v>35</v>
      </c>
      <c r="BH43" s="891" t="s">
        <v>36</v>
      </c>
      <c r="BI43" s="891" t="s">
        <v>36</v>
      </c>
      <c r="BJ43" s="891"/>
      <c r="BK43" s="891"/>
      <c r="BL43" s="910"/>
      <c r="BM43" s="891"/>
      <c r="BN43" s="891" t="s">
        <v>32</v>
      </c>
      <c r="BO43" s="891"/>
      <c r="BP43" s="891"/>
      <c r="BQ43" s="891"/>
      <c r="BR43" s="891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428"/>
      <c r="CH43" s="428"/>
      <c r="CI43" s="428"/>
      <c r="CJ43" s="428"/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</row>
    <row r="44" spans="1:122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20</v>
      </c>
      <c r="G44" s="879" t="s">
        <v>882</v>
      </c>
      <c r="H44" s="879" t="s">
        <v>18</v>
      </c>
      <c r="I44" s="879" t="s">
        <v>891</v>
      </c>
      <c r="J44" s="846">
        <v>2</v>
      </c>
      <c r="K44" s="908">
        <v>1</v>
      </c>
      <c r="L44" s="816" t="str">
        <f t="shared" si="27"/>
        <v>W</v>
      </c>
      <c r="M44" s="816">
        <f t="shared" si="28"/>
        <v>3</v>
      </c>
      <c r="N44" s="816" t="str">
        <f t="shared" si="29"/>
        <v>O</v>
      </c>
      <c r="O44" s="816">
        <f t="shared" si="18"/>
        <v>-0.5</v>
      </c>
      <c r="P44" s="829">
        <f t="shared" si="20"/>
        <v>1</v>
      </c>
      <c r="Q44" s="830">
        <v>0.43</v>
      </c>
      <c r="R44" s="871">
        <f t="shared" si="21"/>
        <v>0.57000000000000006</v>
      </c>
      <c r="S44" s="830">
        <v>2.48</v>
      </c>
      <c r="T44" s="871">
        <f t="shared" si="22"/>
        <v>0.52</v>
      </c>
      <c r="U44" s="868">
        <f t="shared" si="23"/>
        <v>1.4550000000000001</v>
      </c>
      <c r="V44" s="868">
        <f t="shared" si="24"/>
        <v>1.0249999999999999</v>
      </c>
      <c r="W44" s="829">
        <v>18</v>
      </c>
      <c r="X44" s="829">
        <v>13</v>
      </c>
      <c r="Y44" s="829">
        <v>7</v>
      </c>
      <c r="Z44" s="829">
        <v>3</v>
      </c>
      <c r="AA44" s="829">
        <v>51</v>
      </c>
      <c r="AB44" s="829">
        <v>49</v>
      </c>
      <c r="AC44" s="829"/>
      <c r="AD44" s="816" t="str">
        <f t="array" ref="AD44">IF($J44="","",IF(SUM(IF(ISNUMBER(VALUE(RIGHT($AG44:$DY44,1))),VALUE(RIGHT($AG44:$DY44,1)),0))=$J44,"T","F"))</f>
        <v>T</v>
      </c>
      <c r="AE44" s="831">
        <f t="array" ref="AE44">IF($J44="","",SUM(IF(LEFT($AG44:$DY44,1)="s",1,0))-SUM(IF(RIGHT(LEFT($AG44:$DY44,2))="-",1,0)))</f>
        <v>0</v>
      </c>
      <c r="AF44" s="816">
        <f t="array" ref="AF44">IF($J44="","",SUM(IF(LEFT($AG44:$DY44,1)="X",1,0)))</f>
        <v>11</v>
      </c>
      <c r="AG44" s="891" t="s">
        <v>32</v>
      </c>
      <c r="AH44" s="891" t="s">
        <v>1877</v>
      </c>
      <c r="AI44" s="891" t="s">
        <v>34</v>
      </c>
      <c r="AJ44" s="891" t="s">
        <v>32</v>
      </c>
      <c r="AK44" s="891" t="s">
        <v>32</v>
      </c>
      <c r="AL44" s="891" t="s">
        <v>34</v>
      </c>
      <c r="AM44" s="891" t="s">
        <v>34</v>
      </c>
      <c r="AN44" s="891" t="s">
        <v>32</v>
      </c>
      <c r="AO44" s="891" t="s">
        <v>1877</v>
      </c>
      <c r="AP44" s="891" t="s">
        <v>32</v>
      </c>
      <c r="AQ44" s="891" t="s">
        <v>34</v>
      </c>
      <c r="AR44" s="891" t="s">
        <v>32</v>
      </c>
      <c r="AS44" s="891" t="s">
        <v>32</v>
      </c>
      <c r="AT44" s="891" t="s">
        <v>32</v>
      </c>
      <c r="AU44" s="891" t="s">
        <v>32</v>
      </c>
      <c r="AV44" s="891" t="s">
        <v>34</v>
      </c>
      <c r="AW44" s="891" t="s">
        <v>34</v>
      </c>
      <c r="AX44" s="891" t="s">
        <v>34</v>
      </c>
      <c r="AY44" s="891" t="s">
        <v>32</v>
      </c>
      <c r="AZ44" s="891" t="s">
        <v>2801</v>
      </c>
      <c r="BA44" s="891" t="s">
        <v>2800</v>
      </c>
      <c r="BB44" s="891" t="s">
        <v>36</v>
      </c>
      <c r="BC44" s="891" t="s">
        <v>35</v>
      </c>
      <c r="BD44" s="891" t="s">
        <v>34</v>
      </c>
      <c r="BE44" s="891" t="s">
        <v>1877</v>
      </c>
      <c r="BF44" s="891" t="s">
        <v>32</v>
      </c>
      <c r="BG44" s="891" t="s">
        <v>36</v>
      </c>
      <c r="BH44" s="891" t="s">
        <v>1877</v>
      </c>
      <c r="BI44" s="904" t="s">
        <v>35</v>
      </c>
      <c r="BJ44" s="891"/>
      <c r="BK44" s="891"/>
      <c r="BL44" s="910"/>
      <c r="BM44" s="891"/>
      <c r="BN44" s="891" t="s">
        <v>32</v>
      </c>
      <c r="BO44" s="891"/>
      <c r="BP44" s="891"/>
      <c r="BQ44" s="891"/>
      <c r="BR44" s="891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896"/>
      <c r="CF44" s="896"/>
      <c r="CG44" s="428"/>
      <c r="CH44" s="428"/>
      <c r="CI44" s="428"/>
      <c r="CJ44" s="428"/>
    </row>
    <row r="45" spans="1:122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10</v>
      </c>
      <c r="G45" s="879" t="s">
        <v>883</v>
      </c>
      <c r="H45" s="879" t="s">
        <v>22</v>
      </c>
      <c r="I45" s="879" t="s">
        <v>891</v>
      </c>
      <c r="J45" s="846">
        <v>3</v>
      </c>
      <c r="K45" s="846">
        <v>1</v>
      </c>
      <c r="L45" s="816" t="str">
        <f t="shared" si="27"/>
        <v>W</v>
      </c>
      <c r="M45" s="816">
        <f t="shared" si="28"/>
        <v>4</v>
      </c>
      <c r="N45" s="816" t="str">
        <f t="shared" si="29"/>
        <v>O</v>
      </c>
      <c r="O45" s="816">
        <f t="shared" si="18"/>
        <v>-0.25</v>
      </c>
      <c r="P45" s="829">
        <f t="shared" si="20"/>
        <v>1</v>
      </c>
      <c r="Q45" s="830">
        <v>0.41</v>
      </c>
      <c r="R45" s="871">
        <f t="shared" si="21"/>
        <v>1.59</v>
      </c>
      <c r="S45" s="830">
        <v>2.39</v>
      </c>
      <c r="T45" s="871">
        <f t="shared" si="22"/>
        <v>1.6099999999999999</v>
      </c>
      <c r="U45" s="868">
        <f t="shared" si="23"/>
        <v>1.4000000000000001</v>
      </c>
      <c r="V45" s="868">
        <f t="shared" si="24"/>
        <v>0.99</v>
      </c>
      <c r="W45" s="829">
        <v>10</v>
      </c>
      <c r="X45" s="829">
        <v>18</v>
      </c>
      <c r="Y45" s="829">
        <v>4</v>
      </c>
      <c r="Z45" s="829">
        <v>3</v>
      </c>
      <c r="AA45" s="829">
        <v>40</v>
      </c>
      <c r="AB45" s="829">
        <v>60</v>
      </c>
      <c r="AC45" s="829"/>
      <c r="AD45" s="816" t="str">
        <f t="array" ref="AD45">IF($J45="","",IF(SUM(IF(ISNUMBER(VALUE(RIGHT($AG45:$DY45,1))),VALUE(RIGHT($AG45:$DY45,1)),0))=$J45,"T","F"))</f>
        <v>T</v>
      </c>
      <c r="AE45" s="831">
        <f t="array" ref="AE45">IF($J45="","",SUM(IF(LEFT($AG45:$DY45,1)="s",1,0))-SUM(IF(RIGHT(LEFT($AG45:$DY45,2))="-",1,0)))</f>
        <v>0</v>
      </c>
      <c r="AF45" s="816">
        <f t="array" ref="AF45">IF($J45="","",SUM(IF(LEFT($AG45:$DY45,1)="X",1,0)))</f>
        <v>11</v>
      </c>
      <c r="AG45" s="891" t="s">
        <v>32</v>
      </c>
      <c r="AH45" s="891" t="s">
        <v>1877</v>
      </c>
      <c r="AI45" s="891" t="s">
        <v>34</v>
      </c>
      <c r="AJ45" s="891" t="s">
        <v>32</v>
      </c>
      <c r="AK45" s="891" t="s">
        <v>32</v>
      </c>
      <c r="AL45" s="891" t="s">
        <v>35</v>
      </c>
      <c r="AM45" s="891" t="s">
        <v>34</v>
      </c>
      <c r="AN45" s="891" t="s">
        <v>32</v>
      </c>
      <c r="AO45" s="891" t="s">
        <v>1877</v>
      </c>
      <c r="AP45" s="891" t="s">
        <v>32</v>
      </c>
      <c r="AQ45" s="891" t="s">
        <v>34</v>
      </c>
      <c r="AR45" s="891" t="s">
        <v>32</v>
      </c>
      <c r="AS45" s="891" t="s">
        <v>32</v>
      </c>
      <c r="AT45" s="891" t="s">
        <v>32</v>
      </c>
      <c r="AU45" s="891" t="s">
        <v>32</v>
      </c>
      <c r="AV45" s="891" t="s">
        <v>2832</v>
      </c>
      <c r="AW45" s="891" t="s">
        <v>34</v>
      </c>
      <c r="AX45" s="891" t="s">
        <v>34</v>
      </c>
      <c r="AY45" s="891" t="s">
        <v>32</v>
      </c>
      <c r="AZ45" s="891" t="s">
        <v>36</v>
      </c>
      <c r="BA45" s="891" t="s">
        <v>34</v>
      </c>
      <c r="BB45" s="891" t="s">
        <v>1877</v>
      </c>
      <c r="BC45" s="891" t="s">
        <v>34</v>
      </c>
      <c r="BD45" s="891" t="s">
        <v>35</v>
      </c>
      <c r="BE45" s="891" t="s">
        <v>36</v>
      </c>
      <c r="BF45" s="891" t="s">
        <v>32</v>
      </c>
      <c r="BG45" s="891" t="s">
        <v>2838</v>
      </c>
      <c r="BH45" s="891" t="s">
        <v>1877</v>
      </c>
      <c r="BI45" s="891" t="s">
        <v>36</v>
      </c>
      <c r="BJ45" s="891"/>
      <c r="BK45" s="891"/>
      <c r="BL45" s="910"/>
      <c r="BM45" s="891"/>
      <c r="BN45" s="891" t="s">
        <v>32</v>
      </c>
      <c r="BO45" s="891"/>
      <c r="BP45" s="891"/>
      <c r="BQ45" s="891"/>
      <c r="BR45" s="891"/>
      <c r="BS45" s="896"/>
      <c r="BT45" s="891"/>
      <c r="BU45" s="896"/>
      <c r="BV45" s="896"/>
      <c r="BW45" s="896"/>
      <c r="BX45" s="896"/>
      <c r="BY45" s="896"/>
      <c r="BZ45" s="891"/>
      <c r="CA45" s="891"/>
      <c r="CB45" s="891"/>
      <c r="CC45" s="891"/>
      <c r="CD45" s="891"/>
      <c r="CE45" s="891"/>
      <c r="CF45" s="891"/>
      <c r="CG45" s="428"/>
      <c r="CH45" s="428"/>
      <c r="CI45" s="428"/>
      <c r="CJ45" s="428"/>
    </row>
    <row r="46" spans="1:122" ht="15">
      <c r="A46" s="912">
        <v>6403</v>
      </c>
      <c r="B46" s="894"/>
      <c r="C46" s="894"/>
      <c r="D46" s="894"/>
      <c r="E46" s="894"/>
      <c r="F46" s="894"/>
      <c r="G46" s="828" t="s">
        <v>2771</v>
      </c>
      <c r="H46" s="828" t="s">
        <v>2759</v>
      </c>
      <c r="I46" s="828" t="s">
        <v>2649</v>
      </c>
      <c r="J46" s="898">
        <v>2</v>
      </c>
      <c r="K46" s="898">
        <v>1</v>
      </c>
      <c r="O46" s="816"/>
      <c r="P46" s="829"/>
      <c r="Q46" s="830"/>
      <c r="R46" s="871"/>
      <c r="S46" s="830"/>
      <c r="T46" s="871"/>
      <c r="U46" s="868"/>
      <c r="V46" s="868"/>
      <c r="W46" s="829"/>
      <c r="X46" s="829"/>
      <c r="Y46" s="829"/>
      <c r="Z46" s="829"/>
      <c r="AA46" s="829"/>
      <c r="AB46" s="829"/>
      <c r="AC46" s="829"/>
      <c r="AE46" s="831"/>
      <c r="AG46" s="891" t="s">
        <v>1877</v>
      </c>
      <c r="AH46" s="891" t="s">
        <v>34</v>
      </c>
      <c r="AI46" s="891" t="s">
        <v>32</v>
      </c>
      <c r="AJ46" s="891" t="s">
        <v>32</v>
      </c>
      <c r="AK46" s="891" t="s">
        <v>32</v>
      </c>
      <c r="AL46" s="891" t="s">
        <v>32</v>
      </c>
      <c r="AM46" s="891" t="s">
        <v>1877</v>
      </c>
      <c r="AN46" s="891" t="s">
        <v>32</v>
      </c>
      <c r="AO46" s="891" t="s">
        <v>34</v>
      </c>
      <c r="AP46" s="904" t="s">
        <v>34</v>
      </c>
      <c r="AQ46" s="891" t="s">
        <v>32</v>
      </c>
      <c r="AR46" s="891" t="s">
        <v>1877</v>
      </c>
      <c r="AS46" s="891" t="s">
        <v>32</v>
      </c>
      <c r="AT46" s="891" t="s">
        <v>34</v>
      </c>
      <c r="AU46" s="891" t="s">
        <v>32</v>
      </c>
      <c r="AV46" s="891" t="s">
        <v>32</v>
      </c>
      <c r="AW46" s="891" t="s">
        <v>32</v>
      </c>
      <c r="AX46" s="891" t="s">
        <v>32</v>
      </c>
      <c r="AY46" s="891" t="s">
        <v>34</v>
      </c>
      <c r="AZ46" s="904" t="s">
        <v>2853</v>
      </c>
      <c r="BA46" s="891" t="s">
        <v>32</v>
      </c>
      <c r="BB46" s="891" t="s">
        <v>34</v>
      </c>
      <c r="BC46" s="891" t="s">
        <v>1877</v>
      </c>
      <c r="BD46" s="891" t="s">
        <v>36</v>
      </c>
      <c r="BE46" s="891" t="s">
        <v>35</v>
      </c>
      <c r="BF46" s="891" t="s">
        <v>36</v>
      </c>
      <c r="BG46" s="891" t="s">
        <v>32</v>
      </c>
      <c r="BH46" s="891" t="s">
        <v>2861</v>
      </c>
      <c r="BI46" s="891" t="s">
        <v>35</v>
      </c>
      <c r="BJ46" s="891" t="s">
        <v>36</v>
      </c>
      <c r="BK46" s="891"/>
      <c r="BL46" s="910"/>
      <c r="BM46" s="891"/>
      <c r="BN46" s="891" t="s">
        <v>2853</v>
      </c>
      <c r="BO46" s="891"/>
      <c r="BP46" s="891"/>
      <c r="BQ46" s="891"/>
      <c r="BR46" s="891"/>
      <c r="BS46" s="896"/>
      <c r="BT46" s="891"/>
      <c r="BU46" s="896"/>
      <c r="BV46" s="896"/>
      <c r="BW46" s="896"/>
      <c r="BX46" s="896"/>
      <c r="BY46" s="896"/>
      <c r="BZ46" s="891"/>
      <c r="CA46" s="891"/>
      <c r="CB46" s="891"/>
      <c r="CC46" s="891"/>
      <c r="CD46" s="891"/>
      <c r="CE46" s="891"/>
      <c r="CF46" s="891"/>
      <c r="CG46" s="428"/>
      <c r="CH46" s="428"/>
      <c r="CI46" s="428"/>
      <c r="CJ46" s="428"/>
    </row>
    <row r="47" spans="1:122" ht="15">
      <c r="A47" s="882">
        <v>6406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2</v>
      </c>
      <c r="G47" s="879" t="s">
        <v>886</v>
      </c>
      <c r="H47" s="879" t="s">
        <v>18</v>
      </c>
      <c r="I47" s="879" t="s">
        <v>891</v>
      </c>
      <c r="J47" s="846">
        <v>0</v>
      </c>
      <c r="K47" s="846">
        <v>1</v>
      </c>
      <c r="L47" s="816" t="str">
        <f t="shared" si="27"/>
        <v>L</v>
      </c>
      <c r="M47" s="816">
        <f t="shared" si="28"/>
        <v>1</v>
      </c>
      <c r="N47" s="816" t="str">
        <f t="shared" si="29"/>
        <v>U</v>
      </c>
      <c r="O47" s="816">
        <f t="shared" si="18"/>
        <v>-0.25</v>
      </c>
      <c r="P47" s="829">
        <f t="shared" si="20"/>
        <v>-1</v>
      </c>
      <c r="Q47" s="830">
        <v>0.26</v>
      </c>
      <c r="R47" s="871">
        <f t="shared" si="21"/>
        <v>-1.26</v>
      </c>
      <c r="S47" s="830">
        <v>2.04</v>
      </c>
      <c r="T47" s="871">
        <f t="shared" si="22"/>
        <v>-1.04</v>
      </c>
      <c r="U47" s="868">
        <f t="shared" si="23"/>
        <v>1.1499999999999999</v>
      </c>
      <c r="V47" s="868">
        <f t="shared" si="24"/>
        <v>0.89000000000000012</v>
      </c>
      <c r="W47" s="829">
        <v>12</v>
      </c>
      <c r="X47" s="829">
        <v>9</v>
      </c>
      <c r="Y47" s="829">
        <v>1</v>
      </c>
      <c r="Z47" s="829">
        <v>1</v>
      </c>
      <c r="AA47" s="829">
        <v>50</v>
      </c>
      <c r="AB47" s="829">
        <v>50</v>
      </c>
      <c r="AC47" s="829"/>
      <c r="AD47" s="816" t="str">
        <f t="array" ref="AD47">IF($J47="","",IF(SUM(IF(ISNUMBER(VALUE(RIGHT($AG47:$DY47,1))),VALUE(RIGHT($AG47:$DY47,1)),0))=$J47,"T","F"))</f>
        <v>T</v>
      </c>
      <c r="AE47" s="831">
        <f t="array" ref="AE47">IF($J47="","",SUM(IF(LEFT($AG47:$DY47,1)="s",1,0))-SUM(IF(RIGHT(LEFT($AG47:$DY47,2))="-",1,0)))</f>
        <v>0</v>
      </c>
      <c r="AF47" s="816">
        <f t="array" ref="AF47">IF($J47="","",SUM(IF(LEFT($AG47:$DY47,1)="X",1,0)))</f>
        <v>11</v>
      </c>
      <c r="AG47" s="891" t="s">
        <v>32</v>
      </c>
      <c r="AH47" s="891" t="s">
        <v>1877</v>
      </c>
      <c r="AI47" s="891" t="s">
        <v>34</v>
      </c>
      <c r="AJ47" s="891" t="s">
        <v>32</v>
      </c>
      <c r="AK47" s="891" t="s">
        <v>32</v>
      </c>
      <c r="AL47" s="891" t="s">
        <v>32</v>
      </c>
      <c r="AM47" s="891" t="s">
        <v>34</v>
      </c>
      <c r="AN47" s="891" t="s">
        <v>32</v>
      </c>
      <c r="AO47" s="891" t="s">
        <v>1877</v>
      </c>
      <c r="AP47" s="891" t="s">
        <v>32</v>
      </c>
      <c r="AQ47" s="891" t="s">
        <v>34</v>
      </c>
      <c r="AR47" s="906" t="s">
        <v>2885</v>
      </c>
      <c r="AS47" s="891" t="s">
        <v>32</v>
      </c>
      <c r="AT47" s="891" t="s">
        <v>32</v>
      </c>
      <c r="AU47" s="891" t="s">
        <v>32</v>
      </c>
      <c r="AV47" s="891" t="s">
        <v>34</v>
      </c>
      <c r="AW47" s="891" t="s">
        <v>35</v>
      </c>
      <c r="AX47" s="891" t="s">
        <v>34</v>
      </c>
      <c r="AY47" s="891" t="s">
        <v>32</v>
      </c>
      <c r="AZ47" s="891" t="s">
        <v>36</v>
      </c>
      <c r="BA47" s="891" t="s">
        <v>35</v>
      </c>
      <c r="BB47" s="891" t="s">
        <v>36</v>
      </c>
      <c r="BC47" s="891" t="s">
        <v>34</v>
      </c>
      <c r="BD47" s="891" t="s">
        <v>34</v>
      </c>
      <c r="BE47" s="891" t="s">
        <v>35</v>
      </c>
      <c r="BF47" s="891" t="s">
        <v>32</v>
      </c>
      <c r="BG47" s="891" t="s">
        <v>34</v>
      </c>
      <c r="BH47" s="891" t="s">
        <v>1877</v>
      </c>
      <c r="BI47" s="891" t="s">
        <v>1877</v>
      </c>
      <c r="BJ47" s="891"/>
      <c r="BK47" s="891"/>
      <c r="BL47" s="910"/>
      <c r="BM47" s="891"/>
      <c r="BN47" s="910"/>
      <c r="BO47" s="891"/>
      <c r="BP47" s="891"/>
      <c r="BQ47" s="891"/>
      <c r="BR47" s="891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428"/>
      <c r="CH47" s="428"/>
      <c r="CI47" s="428"/>
      <c r="CJ47" s="428"/>
    </row>
    <row r="48" spans="1:122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15</v>
      </c>
      <c r="G48" s="879" t="s">
        <v>881</v>
      </c>
      <c r="H48" s="879" t="s">
        <v>22</v>
      </c>
      <c r="I48" s="879" t="s">
        <v>891</v>
      </c>
      <c r="J48" s="846">
        <v>2</v>
      </c>
      <c r="K48" s="846">
        <v>1</v>
      </c>
      <c r="L48" s="816" t="str">
        <f t="shared" si="27"/>
        <v>W</v>
      </c>
      <c r="M48" s="816">
        <f t="shared" si="28"/>
        <v>3</v>
      </c>
      <c r="N48" s="816" t="str">
        <f t="shared" si="29"/>
        <v>O</v>
      </c>
      <c r="O48" s="816">
        <f t="shared" si="18"/>
        <v>-0.75</v>
      </c>
      <c r="P48" s="829">
        <f t="shared" si="20"/>
        <v>0.5</v>
      </c>
      <c r="Q48" s="830">
        <v>0.8</v>
      </c>
      <c r="R48" s="871">
        <f t="shared" si="21"/>
        <v>0.19999999999999996</v>
      </c>
      <c r="S48" s="830">
        <v>2.5099999999999998</v>
      </c>
      <c r="T48" s="871">
        <f t="shared" si="22"/>
        <v>0.49000000000000021</v>
      </c>
      <c r="U48" s="868">
        <f t="shared" si="23"/>
        <v>1.6549999999999998</v>
      </c>
      <c r="V48" s="868">
        <f t="shared" si="24"/>
        <v>0.85499999999999998</v>
      </c>
      <c r="W48" s="829">
        <v>13</v>
      </c>
      <c r="X48" s="829">
        <v>15</v>
      </c>
      <c r="Y48" s="829">
        <v>4</v>
      </c>
      <c r="Z48" s="829">
        <v>2</v>
      </c>
      <c r="AA48" s="829">
        <v>34</v>
      </c>
      <c r="AB48" s="829">
        <v>66</v>
      </c>
      <c r="AC48" s="829"/>
      <c r="AD48" s="816" t="str">
        <f t="array" ref="AD48">IF($J48="","",IF(SUM(IF(ISNUMBER(VALUE(RIGHT($AG48:$DY48,1))),VALUE(RIGHT($AG48:$DY48,1)),0))=$J48,"T","F"))</f>
        <v>T</v>
      </c>
      <c r="AE48" s="831">
        <f t="array" ref="AE48">IF($J48="","",SUM(IF(LEFT($AG48:$DY48,1)="s",1,0))-SUM(IF(RIGHT(LEFT($AG48:$DY48,2))="-",1,0)))</f>
        <v>0</v>
      </c>
      <c r="AF48" s="816">
        <f t="array" ref="AF48">IF($J48="","",SUM(IF(LEFT($AG48:$DY48,1)="X",1,0)))</f>
        <v>11</v>
      </c>
      <c r="AG48" s="891" t="s">
        <v>32</v>
      </c>
      <c r="AH48" s="891" t="s">
        <v>1877</v>
      </c>
      <c r="AI48" s="904" t="s">
        <v>34</v>
      </c>
      <c r="AJ48" s="891" t="s">
        <v>32</v>
      </c>
      <c r="AK48" s="891" t="s">
        <v>32</v>
      </c>
      <c r="AL48" s="891" t="s">
        <v>34</v>
      </c>
      <c r="AM48" s="891" t="s">
        <v>34</v>
      </c>
      <c r="AN48" s="891" t="s">
        <v>32</v>
      </c>
      <c r="AO48" s="891" t="s">
        <v>1877</v>
      </c>
      <c r="AP48" s="891" t="s">
        <v>32</v>
      </c>
      <c r="AQ48" s="891" t="s">
        <v>34</v>
      </c>
      <c r="AR48" s="891" t="s">
        <v>32</v>
      </c>
      <c r="AS48" s="891" t="s">
        <v>32</v>
      </c>
      <c r="AT48" s="891" t="s">
        <v>32</v>
      </c>
      <c r="AU48" s="891" t="s">
        <v>1877</v>
      </c>
      <c r="AV48" s="891" t="s">
        <v>34</v>
      </c>
      <c r="AW48" s="891" t="s">
        <v>34</v>
      </c>
      <c r="AX48" s="891" t="s">
        <v>34</v>
      </c>
      <c r="AY48" s="891" t="s">
        <v>32</v>
      </c>
      <c r="AZ48" s="891" t="s">
        <v>35</v>
      </c>
      <c r="BA48" s="891" t="s">
        <v>36</v>
      </c>
      <c r="BB48" s="891" t="s">
        <v>34</v>
      </c>
      <c r="BC48" s="891" t="s">
        <v>1877</v>
      </c>
      <c r="BD48" s="891" t="s">
        <v>2904</v>
      </c>
      <c r="BE48" s="891" t="s">
        <v>32</v>
      </c>
      <c r="BF48" s="891" t="s">
        <v>32</v>
      </c>
      <c r="BG48" s="891" t="s">
        <v>35</v>
      </c>
      <c r="BH48" s="891" t="s">
        <v>32</v>
      </c>
      <c r="BI48" s="891" t="s">
        <v>36</v>
      </c>
      <c r="BJ48" s="891"/>
      <c r="BK48" s="891"/>
      <c r="BL48" s="891"/>
      <c r="BM48" s="891"/>
      <c r="BN48" s="910"/>
      <c r="BO48" s="891"/>
      <c r="BP48" s="891"/>
      <c r="BQ48" s="891"/>
      <c r="BR48" s="891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428"/>
      <c r="CH48" s="428"/>
      <c r="CI48" s="428"/>
      <c r="CJ48" s="428"/>
    </row>
    <row r="49" spans="1:88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17</v>
      </c>
      <c r="G49" s="879" t="s">
        <v>875</v>
      </c>
      <c r="H49" s="879" t="s">
        <v>22</v>
      </c>
      <c r="I49" s="879" t="s">
        <v>891</v>
      </c>
      <c r="J49" s="846">
        <v>4</v>
      </c>
      <c r="K49" s="846">
        <v>0</v>
      </c>
      <c r="L49" s="816" t="str">
        <f t="shared" si="27"/>
        <v>W</v>
      </c>
      <c r="M49" s="816">
        <f t="shared" si="28"/>
        <v>4</v>
      </c>
      <c r="N49" s="816" t="str">
        <f t="shared" si="29"/>
        <v>O</v>
      </c>
      <c r="O49" s="816">
        <f t="shared" si="18"/>
        <v>-1</v>
      </c>
      <c r="P49" s="829">
        <f t="shared" si="20"/>
        <v>1</v>
      </c>
      <c r="Q49" s="830">
        <v>0.97</v>
      </c>
      <c r="R49" s="871">
        <f t="shared" si="21"/>
        <v>3.0300000000000002</v>
      </c>
      <c r="S49" s="830">
        <v>2.71</v>
      </c>
      <c r="T49" s="871">
        <f t="shared" si="22"/>
        <v>1.29</v>
      </c>
      <c r="U49" s="868">
        <f t="shared" si="23"/>
        <v>1.8399999999999999</v>
      </c>
      <c r="V49" s="868">
        <f t="shared" si="24"/>
        <v>0.87000000000000011</v>
      </c>
      <c r="W49" s="829">
        <v>14</v>
      </c>
      <c r="X49" s="829">
        <v>17</v>
      </c>
      <c r="Y49" s="829">
        <v>6</v>
      </c>
      <c r="Z49" s="829">
        <v>4</v>
      </c>
      <c r="AA49" s="829">
        <v>55</v>
      </c>
      <c r="AB49" s="829">
        <v>45</v>
      </c>
      <c r="AC49" s="829"/>
      <c r="AD49" s="816" t="str">
        <f t="array" ref="AD49">IF($J49="","",IF(SUM(IF(ISNUMBER(VALUE(RIGHT($AG49:$DY49,1))),VALUE(RIGHT($AG49:$DY49,1)),0))=$J49,"T","F"))</f>
        <v>T</v>
      </c>
      <c r="AE49" s="831">
        <f t="array" ref="AE49">IF($J49="","",SUM(IF(LEFT($AG49:$DY49,1)="s",1,0))-SUM(IF(RIGHT(LEFT($AG49:$DY49,2))="-",1,0)))</f>
        <v>0</v>
      </c>
      <c r="AF49" s="816">
        <f t="array" ref="AF49">IF($J49="","",SUM(IF(LEFT($AG49:$DY49,1)="X",1,0)))</f>
        <v>11</v>
      </c>
      <c r="AG49" s="891" t="s">
        <v>32</v>
      </c>
      <c r="AH49" s="891" t="s">
        <v>1877</v>
      </c>
      <c r="AI49" s="891" t="s">
        <v>34</v>
      </c>
      <c r="AJ49" s="891" t="s">
        <v>32</v>
      </c>
      <c r="AK49" s="891" t="s">
        <v>32</v>
      </c>
      <c r="AL49" s="891" t="s">
        <v>34</v>
      </c>
      <c r="AM49" s="891" t="s">
        <v>34</v>
      </c>
      <c r="AN49" s="891" t="s">
        <v>32</v>
      </c>
      <c r="AO49" s="891" t="s">
        <v>1877</v>
      </c>
      <c r="AP49" s="891" t="s">
        <v>32</v>
      </c>
      <c r="AQ49" s="891" t="s">
        <v>34</v>
      </c>
      <c r="AR49" s="891" t="s">
        <v>32</v>
      </c>
      <c r="AS49" s="891" t="s">
        <v>32</v>
      </c>
      <c r="AT49" s="891" t="s">
        <v>32</v>
      </c>
      <c r="AU49" s="891" t="s">
        <v>1877</v>
      </c>
      <c r="AV49" s="891" t="s">
        <v>34</v>
      </c>
      <c r="AW49" s="891" t="s">
        <v>2942</v>
      </c>
      <c r="AX49" s="891" t="s">
        <v>34</v>
      </c>
      <c r="AY49" s="891" t="s">
        <v>36</v>
      </c>
      <c r="AZ49" s="891" t="s">
        <v>32</v>
      </c>
      <c r="BA49" s="891" t="s">
        <v>34</v>
      </c>
      <c r="BB49" s="891" t="s">
        <v>35</v>
      </c>
      <c r="BC49" s="891" t="s">
        <v>1877</v>
      </c>
      <c r="BD49" s="891" t="s">
        <v>2943</v>
      </c>
      <c r="BE49" s="891" t="s">
        <v>32</v>
      </c>
      <c r="BF49" s="891" t="s">
        <v>32</v>
      </c>
      <c r="BG49" s="891" t="s">
        <v>2944</v>
      </c>
      <c r="BH49" s="891" t="s">
        <v>32</v>
      </c>
      <c r="BI49" s="891" t="s">
        <v>2945</v>
      </c>
      <c r="BJ49" s="891" t="s">
        <v>32</v>
      </c>
      <c r="BK49" s="891"/>
      <c r="BL49" s="891" t="s">
        <v>36</v>
      </c>
      <c r="BM49" s="891" t="s">
        <v>32</v>
      </c>
      <c r="BN49" s="910" t="s">
        <v>32</v>
      </c>
      <c r="BO49" s="891" t="s">
        <v>32</v>
      </c>
      <c r="BP49" s="891"/>
      <c r="BQ49" s="891" t="s">
        <v>32</v>
      </c>
      <c r="BR49" s="891" t="s">
        <v>32</v>
      </c>
      <c r="BS49" s="896" t="s">
        <v>32</v>
      </c>
      <c r="BT49" s="896" t="s">
        <v>32</v>
      </c>
      <c r="BU49" s="896" t="s">
        <v>32</v>
      </c>
      <c r="BV49" s="896" t="s">
        <v>32</v>
      </c>
      <c r="BW49" s="896" t="s">
        <v>32</v>
      </c>
      <c r="BX49" s="896" t="s">
        <v>32</v>
      </c>
      <c r="BY49" s="896" t="s">
        <v>32</v>
      </c>
      <c r="BZ49" s="896"/>
      <c r="CA49" s="896"/>
      <c r="CB49" s="896"/>
      <c r="CC49" s="896"/>
      <c r="CD49" s="896"/>
      <c r="CE49" s="896"/>
      <c r="CF49" s="896"/>
      <c r="CG49" s="428"/>
      <c r="CH49" s="428"/>
      <c r="CI49" s="428"/>
      <c r="CJ49" s="428"/>
    </row>
    <row r="50" spans="1:88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</v>
      </c>
      <c r="G50" s="879" t="s">
        <v>1086</v>
      </c>
      <c r="H50" s="879" t="s">
        <v>18</v>
      </c>
      <c r="I50" s="879" t="s">
        <v>891</v>
      </c>
      <c r="J50" s="846">
        <v>1</v>
      </c>
      <c r="K50" s="846">
        <v>2</v>
      </c>
      <c r="L50" s="816" t="str">
        <f t="shared" si="27"/>
        <v>L</v>
      </c>
      <c r="M50" s="816">
        <f t="shared" si="28"/>
        <v>3</v>
      </c>
      <c r="N50" s="816" t="str">
        <f t="shared" si="29"/>
        <v>O</v>
      </c>
      <c r="O50" s="816">
        <f t="shared" si="18"/>
        <v>0</v>
      </c>
      <c r="P50" s="829">
        <f t="shared" si="20"/>
        <v>-1</v>
      </c>
      <c r="Q50" s="830">
        <v>-0.05</v>
      </c>
      <c r="R50" s="871">
        <f t="shared" si="21"/>
        <v>-0.95</v>
      </c>
      <c r="S50" s="830">
        <v>2.2799999999999998</v>
      </c>
      <c r="T50" s="871">
        <f t="shared" si="22"/>
        <v>0.7200000000000002</v>
      </c>
      <c r="U50" s="868">
        <f t="shared" si="23"/>
        <v>1.115</v>
      </c>
      <c r="V50" s="868">
        <f t="shared" si="24"/>
        <v>1.1649999999999998</v>
      </c>
      <c r="W50" s="829">
        <v>8</v>
      </c>
      <c r="X50" s="829">
        <v>20</v>
      </c>
      <c r="Y50" s="829">
        <v>2</v>
      </c>
      <c r="Z50" s="829">
        <v>7</v>
      </c>
      <c r="AA50" s="829">
        <v>43</v>
      </c>
      <c r="AB50" s="829">
        <v>57</v>
      </c>
      <c r="AC50" s="829"/>
      <c r="AD50" s="816" t="str">
        <f t="array" ref="AD50">IF($J50="","",IF(SUM(IF(ISNUMBER(VALUE(RIGHT($AG50:$DY50,1))),VALUE(RIGHT($AG50:$DY50,1)),0))=$J50,"T","F"))</f>
        <v>T</v>
      </c>
      <c r="AE50" s="831">
        <f t="array" ref="AE50">IF($J50="","",SUM(IF(LEFT($AG50:$DY50,1)="s",1,0))-SUM(IF(RIGHT(LEFT($AG50:$DY50,2))="-",1,0)))</f>
        <v>0</v>
      </c>
      <c r="AF50" s="816">
        <f t="array" ref="AF50">IF($J50="","",SUM(IF(LEFT($AG50:$DY50,1)="X",1,0)))</f>
        <v>11</v>
      </c>
      <c r="AG50" s="891" t="s">
        <v>32</v>
      </c>
      <c r="AH50" s="891" t="s">
        <v>1877</v>
      </c>
      <c r="AI50" s="891" t="s">
        <v>34</v>
      </c>
      <c r="AJ50" s="891" t="s">
        <v>32</v>
      </c>
      <c r="AK50" s="891" t="s">
        <v>32</v>
      </c>
      <c r="AL50" s="891" t="s">
        <v>34</v>
      </c>
      <c r="AM50" s="891" t="s">
        <v>34</v>
      </c>
      <c r="AN50" s="891" t="s">
        <v>32</v>
      </c>
      <c r="AO50" s="891" t="s">
        <v>1877</v>
      </c>
      <c r="AP50" s="891" t="s">
        <v>32</v>
      </c>
      <c r="AQ50" s="891" t="s">
        <v>34</v>
      </c>
      <c r="AR50" s="891" t="s">
        <v>32</v>
      </c>
      <c r="AS50" s="891" t="s">
        <v>32</v>
      </c>
      <c r="AT50" s="891" t="s">
        <v>32</v>
      </c>
      <c r="AU50" s="891" t="s">
        <v>36</v>
      </c>
      <c r="AV50" s="891" t="s">
        <v>34</v>
      </c>
      <c r="AW50" s="891" t="s">
        <v>3018</v>
      </c>
      <c r="AX50" s="891" t="s">
        <v>34</v>
      </c>
      <c r="AY50" s="891" t="s">
        <v>1877</v>
      </c>
      <c r="AZ50" s="891" t="s">
        <v>34</v>
      </c>
      <c r="BA50" s="891" t="s">
        <v>34</v>
      </c>
      <c r="BB50" s="891" t="s">
        <v>35</v>
      </c>
      <c r="BC50" s="891" t="s">
        <v>1877</v>
      </c>
      <c r="BD50" s="891" t="s">
        <v>32</v>
      </c>
      <c r="BE50" s="891" t="s">
        <v>32</v>
      </c>
      <c r="BF50" s="891" t="s">
        <v>32</v>
      </c>
      <c r="BG50" s="891" t="s">
        <v>35</v>
      </c>
      <c r="BH50" s="891" t="s">
        <v>32</v>
      </c>
      <c r="BI50" s="891" t="s">
        <v>36</v>
      </c>
      <c r="BJ50" s="891" t="s">
        <v>32</v>
      </c>
      <c r="BK50" s="891"/>
      <c r="BL50" s="904" t="s">
        <v>36</v>
      </c>
      <c r="BM50" s="891" t="s">
        <v>32</v>
      </c>
      <c r="BN50" s="910" t="s">
        <v>32</v>
      </c>
      <c r="BO50" s="891"/>
      <c r="BP50" s="891"/>
      <c r="BQ50" s="891"/>
      <c r="BR50" s="891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428"/>
      <c r="CH50" s="428"/>
      <c r="CI50" s="428"/>
      <c r="CJ50" s="428"/>
    </row>
    <row r="51" spans="1:88" ht="15">
      <c r="A51" s="882">
        <v>6434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3</v>
      </c>
      <c r="G51" s="879" t="s">
        <v>1085</v>
      </c>
      <c r="H51" s="879" t="s">
        <v>18</v>
      </c>
      <c r="I51" s="879" t="s">
        <v>891</v>
      </c>
      <c r="J51" s="846">
        <v>2</v>
      </c>
      <c r="K51" s="846">
        <v>5</v>
      </c>
      <c r="L51" s="816" t="str">
        <f t="shared" si="27"/>
        <v>L</v>
      </c>
      <c r="M51" s="816">
        <f t="shared" si="28"/>
        <v>7</v>
      </c>
      <c r="N51" s="816" t="str">
        <f t="shared" si="29"/>
        <v>O</v>
      </c>
      <c r="O51" s="816">
        <f t="shared" si="18"/>
        <v>0</v>
      </c>
      <c r="P51" s="829">
        <f t="shared" si="20"/>
        <v>-1</v>
      </c>
      <c r="Q51" s="830">
        <v>-0.08</v>
      </c>
      <c r="R51" s="871">
        <f t="shared" si="21"/>
        <v>-2.92</v>
      </c>
      <c r="S51" s="830">
        <v>2.7</v>
      </c>
      <c r="T51" s="871">
        <f t="shared" si="22"/>
        <v>4.3</v>
      </c>
      <c r="U51" s="868">
        <f t="shared" si="23"/>
        <v>1.31</v>
      </c>
      <c r="V51" s="868">
        <f t="shared" si="24"/>
        <v>1.3900000000000001</v>
      </c>
      <c r="W51" s="829">
        <v>20</v>
      </c>
      <c r="X51" s="829">
        <v>18</v>
      </c>
      <c r="Y51" s="829">
        <v>6</v>
      </c>
      <c r="Z51" s="829">
        <v>8</v>
      </c>
      <c r="AA51" s="829">
        <v>39</v>
      </c>
      <c r="AB51" s="829">
        <v>61</v>
      </c>
      <c r="AC51" s="829"/>
      <c r="AD51" s="816" t="str">
        <f t="array" ref="AD51">IF($J51="","",IF(SUM(IF(ISNUMBER(VALUE(RIGHT($AG51:$DY51,1))),VALUE(RIGHT($AG51:$DY51,1)),0))=$J51,"T","F"))</f>
        <v>T</v>
      </c>
      <c r="AE51" s="831">
        <f t="array" ref="AE51">IF($J51="","",SUM(IF(LEFT($AG51:$DY51,1)="s",1,0))-SUM(IF(RIGHT(LEFT($AG51:$DY51,2))="-",1,0)))</f>
        <v>0</v>
      </c>
      <c r="AF51" s="816">
        <f t="array" ref="AF51">IF($J51="","",SUM(IF(LEFT($AG51:$DY51,1)="X",1,0)))</f>
        <v>11</v>
      </c>
      <c r="AG51" s="891"/>
      <c r="AH51" s="891" t="s">
        <v>1877</v>
      </c>
      <c r="AI51" s="891" t="s">
        <v>34</v>
      </c>
      <c r="AJ51" s="891" t="s">
        <v>32</v>
      </c>
      <c r="AK51" s="891" t="s">
        <v>32</v>
      </c>
      <c r="AL51" s="891" t="s">
        <v>34</v>
      </c>
      <c r="AM51" s="891" t="s">
        <v>34</v>
      </c>
      <c r="AN51" s="891" t="s">
        <v>1877</v>
      </c>
      <c r="AO51" s="891" t="s">
        <v>1877</v>
      </c>
      <c r="AP51" s="891" t="s">
        <v>32</v>
      </c>
      <c r="AQ51" s="904" t="s">
        <v>3065</v>
      </c>
      <c r="AR51" s="891" t="s">
        <v>32</v>
      </c>
      <c r="AS51" s="891" t="s">
        <v>32</v>
      </c>
      <c r="AT51" s="891" t="s">
        <v>32</v>
      </c>
      <c r="AU51" s="891" t="s">
        <v>34</v>
      </c>
      <c r="AV51" s="891" t="s">
        <v>34</v>
      </c>
      <c r="AW51" s="891" t="s">
        <v>32</v>
      </c>
      <c r="AX51" s="891" t="s">
        <v>34</v>
      </c>
      <c r="AY51" s="891" t="s">
        <v>1877</v>
      </c>
      <c r="AZ51" s="891" t="s">
        <v>3079</v>
      </c>
      <c r="BA51" s="891" t="s">
        <v>36</v>
      </c>
      <c r="BB51" s="891" t="s">
        <v>35</v>
      </c>
      <c r="BC51" s="891" t="s">
        <v>36</v>
      </c>
      <c r="BD51" s="891" t="s">
        <v>32</v>
      </c>
      <c r="BE51" s="891" t="s">
        <v>32</v>
      </c>
      <c r="BF51" s="891" t="s">
        <v>32</v>
      </c>
      <c r="BG51" s="891" t="s">
        <v>35</v>
      </c>
      <c r="BH51" s="891" t="s">
        <v>36</v>
      </c>
      <c r="BI51" s="904" t="s">
        <v>35</v>
      </c>
      <c r="BJ51" s="891"/>
      <c r="BK51" s="891"/>
      <c r="BL51" s="891"/>
      <c r="BM51" s="891"/>
      <c r="BN51" s="910"/>
      <c r="BO51" s="891"/>
      <c r="BP51" s="891"/>
      <c r="BQ51" s="891"/>
      <c r="BR51" s="891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428"/>
      <c r="CH51" s="428"/>
      <c r="CI51" s="428"/>
      <c r="CJ51" s="428"/>
    </row>
    <row r="52" spans="1:88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11</v>
      </c>
      <c r="G52" s="879" t="s">
        <v>874</v>
      </c>
      <c r="H52" s="879" t="s">
        <v>22</v>
      </c>
      <c r="I52" s="879" t="s">
        <v>891</v>
      </c>
      <c r="J52" s="846">
        <v>3</v>
      </c>
      <c r="K52" s="846">
        <v>2</v>
      </c>
      <c r="L52" s="816" t="str">
        <f t="shared" si="27"/>
        <v>W</v>
      </c>
      <c r="M52" s="816">
        <f t="shared" si="28"/>
        <v>5</v>
      </c>
      <c r="N52" s="816" t="str">
        <f t="shared" si="29"/>
        <v>O</v>
      </c>
      <c r="O52" s="816">
        <f t="shared" si="18"/>
        <v>-0.25</v>
      </c>
      <c r="P52" s="829">
        <f t="shared" si="20"/>
        <v>1</v>
      </c>
      <c r="Q52" s="830">
        <v>0.38</v>
      </c>
      <c r="R52" s="871">
        <f t="shared" si="21"/>
        <v>0.62</v>
      </c>
      <c r="S52" s="830">
        <v>2.33</v>
      </c>
      <c r="T52" s="871">
        <f t="shared" si="22"/>
        <v>2.67</v>
      </c>
      <c r="U52" s="868">
        <f t="shared" si="23"/>
        <v>1.355</v>
      </c>
      <c r="V52" s="868">
        <f t="shared" si="24"/>
        <v>0.97500000000000009</v>
      </c>
      <c r="W52" s="829">
        <v>26</v>
      </c>
      <c r="X52" s="829">
        <v>7</v>
      </c>
      <c r="Y52" s="829">
        <v>11</v>
      </c>
      <c r="Z52" s="829">
        <v>2</v>
      </c>
      <c r="AA52" s="829">
        <v>54</v>
      </c>
      <c r="AB52" s="829">
        <v>46</v>
      </c>
      <c r="AC52" s="829"/>
      <c r="AD52" s="816" t="str">
        <f t="array" ref="AD52">IF($J52="","",IF(SUM(IF(ISNUMBER(VALUE(RIGHT($AG52:$DY52,1))),VALUE(RIGHT($AG52:$DY52,1)),0))=$J52,"T","F"))</f>
        <v>T</v>
      </c>
      <c r="AE52" s="831">
        <f t="array" ref="AE52">IF($J52="","",SUM(IF(LEFT($AG52:$DY52,1)="s",1,0))-SUM(IF(RIGHT(LEFT($AG52:$DY52,2))="-",1,0)))</f>
        <v>0</v>
      </c>
      <c r="AF52" s="816">
        <f t="array" ref="AF52">IF($J52="","",SUM(IF(LEFT($AG52:$DY52,1)="X",1,0)))</f>
        <v>11</v>
      </c>
      <c r="AG52" s="891"/>
      <c r="AH52" s="891" t="s">
        <v>34</v>
      </c>
      <c r="AI52" s="891" t="s">
        <v>1877</v>
      </c>
      <c r="AJ52" s="891" t="s">
        <v>32</v>
      </c>
      <c r="AK52" s="891" t="s">
        <v>32</v>
      </c>
      <c r="AL52" s="891" t="s">
        <v>34</v>
      </c>
      <c r="AM52" s="891" t="s">
        <v>34</v>
      </c>
      <c r="AN52" s="891" t="s">
        <v>36</v>
      </c>
      <c r="AO52" s="891" t="s">
        <v>1877</v>
      </c>
      <c r="AP52" s="891" t="s">
        <v>32</v>
      </c>
      <c r="AQ52" s="891" t="s">
        <v>34</v>
      </c>
      <c r="AR52" s="891" t="s">
        <v>32</v>
      </c>
      <c r="AS52" s="891" t="s">
        <v>32</v>
      </c>
      <c r="AT52" s="891" t="s">
        <v>32</v>
      </c>
      <c r="AU52" s="891" t="s">
        <v>34</v>
      </c>
      <c r="AV52" s="891" t="s">
        <v>34</v>
      </c>
      <c r="AW52" s="891" t="s">
        <v>32</v>
      </c>
      <c r="AX52" s="891" t="s">
        <v>36</v>
      </c>
      <c r="AY52" s="891" t="s">
        <v>35</v>
      </c>
      <c r="AZ52" s="891" t="s">
        <v>3088</v>
      </c>
      <c r="BA52" s="891" t="s">
        <v>1877</v>
      </c>
      <c r="BB52" s="891" t="s">
        <v>34</v>
      </c>
      <c r="BC52" s="891" t="s">
        <v>1877</v>
      </c>
      <c r="BD52" s="891" t="s">
        <v>32</v>
      </c>
      <c r="BE52" s="891" t="s">
        <v>32</v>
      </c>
      <c r="BF52" s="891" t="s">
        <v>32</v>
      </c>
      <c r="BG52" s="891" t="s">
        <v>3082</v>
      </c>
      <c r="BH52" s="891" t="s">
        <v>36</v>
      </c>
      <c r="BI52" s="891" t="s">
        <v>3082</v>
      </c>
      <c r="BJ52" s="891"/>
      <c r="BK52" s="891"/>
      <c r="BL52" s="891"/>
      <c r="BM52" s="891"/>
      <c r="BN52" s="910"/>
      <c r="BO52" s="891"/>
      <c r="BP52" s="891"/>
      <c r="BQ52" s="891"/>
      <c r="BR52" s="891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428"/>
      <c r="CH52" s="428"/>
      <c r="CI52" s="428"/>
      <c r="CJ52" s="428"/>
    </row>
    <row r="53" spans="1:88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13</v>
      </c>
      <c r="G53" s="879" t="s">
        <v>884</v>
      </c>
      <c r="H53" s="879" t="s">
        <v>18</v>
      </c>
      <c r="I53" s="879" t="s">
        <v>891</v>
      </c>
      <c r="J53" s="846">
        <v>0</v>
      </c>
      <c r="K53" s="846">
        <v>0</v>
      </c>
      <c r="L53" s="816" t="str">
        <f t="shared" si="27"/>
        <v>D</v>
      </c>
      <c r="M53" s="816">
        <f t="shared" si="28"/>
        <v>0</v>
      </c>
      <c r="N53" s="816" t="str">
        <f t="shared" si="29"/>
        <v>U</v>
      </c>
      <c r="O53" s="816">
        <f t="shared" si="18"/>
        <v>-0.25</v>
      </c>
      <c r="P53" s="829">
        <f t="shared" si="20"/>
        <v>-0.5</v>
      </c>
      <c r="Q53" s="830">
        <v>0.16</v>
      </c>
      <c r="R53" s="871">
        <f t="shared" si="21"/>
        <v>-0.16</v>
      </c>
      <c r="S53" s="830">
        <v>2.42</v>
      </c>
      <c r="T53" s="871">
        <f t="shared" si="22"/>
        <v>-2.42</v>
      </c>
      <c r="U53" s="868">
        <f t="shared" si="23"/>
        <v>1.29</v>
      </c>
      <c r="V53" s="868">
        <f t="shared" si="24"/>
        <v>1.1299999999999999</v>
      </c>
      <c r="W53" s="829">
        <v>15</v>
      </c>
      <c r="X53" s="829">
        <v>13</v>
      </c>
      <c r="Y53" s="829">
        <v>4</v>
      </c>
      <c r="Z53" s="829">
        <v>2</v>
      </c>
      <c r="AA53" s="829">
        <v>46</v>
      </c>
      <c r="AB53" s="829">
        <v>54</v>
      </c>
      <c r="AC53" s="829"/>
      <c r="AD53" s="816" t="str">
        <f t="array" ref="AD53">IF($J53="","",IF(SUM(IF(ISNUMBER(VALUE(RIGHT($AG53:$DY53,1))),VALUE(RIGHT($AG53:$DY53,1)),0))=$J53,"T","F"))</f>
        <v>T</v>
      </c>
      <c r="AE53" s="831">
        <f t="array" ref="AE53">IF($J53="","",SUM(IF(LEFT($AG53:$DY53,1)="s",1,0))-SUM(IF(RIGHT(LEFT($AG53:$DY53,2))="-",1,0)))</f>
        <v>0</v>
      </c>
      <c r="AF53" s="816">
        <f t="array" ref="AF53">IF($J53="","",SUM(IF(LEFT($AG53:$DY53,1)="X",1,0)))</f>
        <v>11</v>
      </c>
      <c r="AG53" s="891" t="s">
        <v>32</v>
      </c>
      <c r="AH53" s="891" t="s">
        <v>34</v>
      </c>
      <c r="AI53" s="891" t="s">
        <v>1877</v>
      </c>
      <c r="AJ53" s="891" t="s">
        <v>32</v>
      </c>
      <c r="AK53" s="891" t="s">
        <v>32</v>
      </c>
      <c r="AL53" s="891" t="s">
        <v>34</v>
      </c>
      <c r="AM53" s="891" t="s">
        <v>34</v>
      </c>
      <c r="AN53" s="891" t="s">
        <v>1877</v>
      </c>
      <c r="AO53" s="891" t="s">
        <v>1877</v>
      </c>
      <c r="AP53" s="891" t="s">
        <v>32</v>
      </c>
      <c r="AQ53" s="904" t="s">
        <v>34</v>
      </c>
      <c r="AR53" s="891" t="s">
        <v>32</v>
      </c>
      <c r="AS53" s="891" t="s">
        <v>32</v>
      </c>
      <c r="AT53" s="891" t="s">
        <v>32</v>
      </c>
      <c r="AU53" s="891" t="s">
        <v>34</v>
      </c>
      <c r="AV53" s="891" t="s">
        <v>34</v>
      </c>
      <c r="AW53" s="891" t="s">
        <v>32</v>
      </c>
      <c r="AX53" s="891" t="s">
        <v>1877</v>
      </c>
      <c r="AY53" s="891" t="s">
        <v>34</v>
      </c>
      <c r="AZ53" s="891" t="s">
        <v>35</v>
      </c>
      <c r="BA53" s="891" t="s">
        <v>36</v>
      </c>
      <c r="BB53" s="891" t="s">
        <v>34</v>
      </c>
      <c r="BC53" s="891" t="s">
        <v>32</v>
      </c>
      <c r="BD53" s="891" t="s">
        <v>32</v>
      </c>
      <c r="BE53" s="891" t="s">
        <v>32</v>
      </c>
      <c r="BF53" s="891" t="s">
        <v>32</v>
      </c>
      <c r="BG53" s="904" t="s">
        <v>35</v>
      </c>
      <c r="BH53" s="891" t="s">
        <v>36</v>
      </c>
      <c r="BI53" s="891" t="s">
        <v>35</v>
      </c>
      <c r="BJ53" s="891" t="s">
        <v>32</v>
      </c>
      <c r="BK53" s="891" t="s">
        <v>3113</v>
      </c>
      <c r="BL53" s="891" t="s">
        <v>32</v>
      </c>
      <c r="BM53" s="891" t="s">
        <v>32</v>
      </c>
      <c r="BN53" s="910" t="s">
        <v>32</v>
      </c>
      <c r="BO53" s="891"/>
      <c r="BP53" s="891"/>
      <c r="BQ53" s="891"/>
      <c r="BR53" s="891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428"/>
      <c r="CH53" s="428"/>
      <c r="CI53" s="428"/>
      <c r="CJ53" s="428"/>
    </row>
    <row r="54" spans="1:88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16</v>
      </c>
      <c r="G54" s="879" t="s">
        <v>872</v>
      </c>
      <c r="H54" s="879" t="s">
        <v>18</v>
      </c>
      <c r="I54" s="879" t="s">
        <v>891</v>
      </c>
      <c r="J54" s="846">
        <v>2</v>
      </c>
      <c r="K54" s="846">
        <v>1</v>
      </c>
      <c r="L54" s="816" t="str">
        <f t="shared" si="27"/>
        <v>W</v>
      </c>
      <c r="M54" s="816">
        <f t="shared" si="28"/>
        <v>3</v>
      </c>
      <c r="N54" s="816" t="str">
        <f t="shared" si="29"/>
        <v>O</v>
      </c>
      <c r="O54" s="816">
        <f t="shared" si="18"/>
        <v>-0.25</v>
      </c>
      <c r="P54" s="829">
        <f t="shared" si="20"/>
        <v>1</v>
      </c>
      <c r="Q54" s="830">
        <v>0.22</v>
      </c>
      <c r="R54" s="871">
        <f t="shared" si="21"/>
        <v>0.78</v>
      </c>
      <c r="S54" s="830">
        <v>2.4500000000000002</v>
      </c>
      <c r="T54" s="871">
        <f t="shared" si="22"/>
        <v>0.54999999999999982</v>
      </c>
      <c r="U54" s="868">
        <f t="shared" si="23"/>
        <v>1.3350000000000002</v>
      </c>
      <c r="V54" s="868">
        <f t="shared" si="24"/>
        <v>1.115</v>
      </c>
      <c r="W54" s="829">
        <v>11</v>
      </c>
      <c r="X54" s="829">
        <v>16</v>
      </c>
      <c r="Y54" s="829">
        <v>2</v>
      </c>
      <c r="Z54" s="829">
        <v>2</v>
      </c>
      <c r="AA54" s="829">
        <v>50</v>
      </c>
      <c r="AB54" s="829">
        <v>50</v>
      </c>
      <c r="AC54" s="829"/>
      <c r="AD54" s="816" t="str">
        <f t="array" ref="AD54">IF($J54="","",IF(SUM(IF(ISNUMBER(VALUE(RIGHT($AG54:$DY54,1))),VALUE(RIGHT($AG54:$DY54,1)),0))=$J54,"T","F"))</f>
        <v>T</v>
      </c>
      <c r="AE54" s="831">
        <f t="array" ref="AE54">IF($J54="","",SUM(IF(LEFT($AG54:$DY54,1)="s",1,0))-SUM(IF(RIGHT(LEFT($AG54:$DY54,2))="-",1,0)))</f>
        <v>0</v>
      </c>
      <c r="AF54" s="816">
        <f t="array" ref="AF54">IF($J54="","",SUM(IF(LEFT($AG54:$DY54,1)="X",1,0)))</f>
        <v>11</v>
      </c>
      <c r="AG54" s="891"/>
      <c r="AH54" s="891" t="s">
        <v>34</v>
      </c>
      <c r="AI54" s="891" t="s">
        <v>1877</v>
      </c>
      <c r="AJ54" s="891" t="s">
        <v>32</v>
      </c>
      <c r="AK54" s="891" t="s">
        <v>32</v>
      </c>
      <c r="AL54" s="891" t="s">
        <v>34</v>
      </c>
      <c r="AM54" s="891" t="s">
        <v>34</v>
      </c>
      <c r="AN54" s="891" t="s">
        <v>36</v>
      </c>
      <c r="AO54" s="891" t="s">
        <v>1877</v>
      </c>
      <c r="AP54" s="891" t="s">
        <v>32</v>
      </c>
      <c r="AQ54" s="891" t="s">
        <v>34</v>
      </c>
      <c r="AR54" s="891" t="s">
        <v>32</v>
      </c>
      <c r="AS54" s="891" t="s">
        <v>32</v>
      </c>
      <c r="AT54" s="891" t="s">
        <v>32</v>
      </c>
      <c r="AU54" s="891" t="s">
        <v>34</v>
      </c>
      <c r="AV54" s="891" t="s">
        <v>34</v>
      </c>
      <c r="AW54" s="891" t="s">
        <v>32</v>
      </c>
      <c r="AX54" s="891" t="s">
        <v>34</v>
      </c>
      <c r="AY54" s="891" t="s">
        <v>1877</v>
      </c>
      <c r="AZ54" s="891" t="s">
        <v>3169</v>
      </c>
      <c r="BA54" s="891" t="s">
        <v>35</v>
      </c>
      <c r="BB54" s="891" t="s">
        <v>34</v>
      </c>
      <c r="BC54" s="891" t="s">
        <v>32</v>
      </c>
      <c r="BD54" s="891" t="s">
        <v>1877</v>
      </c>
      <c r="BE54" s="891" t="s">
        <v>3163</v>
      </c>
      <c r="BF54" s="891" t="s">
        <v>32</v>
      </c>
      <c r="BG54" s="891" t="s">
        <v>3145</v>
      </c>
      <c r="BH54" s="891" t="s">
        <v>36</v>
      </c>
      <c r="BI54" s="891" t="s">
        <v>3145</v>
      </c>
      <c r="BJ54" s="891" t="s">
        <v>32</v>
      </c>
      <c r="BK54" s="891" t="s">
        <v>36</v>
      </c>
      <c r="BL54" s="891" t="s">
        <v>32</v>
      </c>
      <c r="BM54" s="891" t="s">
        <v>32</v>
      </c>
      <c r="BN54" s="910" t="s">
        <v>32</v>
      </c>
      <c r="BO54" s="891"/>
      <c r="BP54" s="891"/>
      <c r="BQ54" s="891"/>
      <c r="BR54" s="891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428"/>
      <c r="CH54" s="428"/>
      <c r="CI54" s="428"/>
      <c r="CJ54" s="428"/>
    </row>
    <row r="55" spans="1:88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7</v>
      </c>
      <c r="G55" s="879" t="s">
        <v>888</v>
      </c>
      <c r="H55" s="879" t="s">
        <v>22</v>
      </c>
      <c r="I55" s="879" t="s">
        <v>891</v>
      </c>
      <c r="J55" s="846">
        <v>3</v>
      </c>
      <c r="K55" s="908">
        <v>1</v>
      </c>
      <c r="L55" s="816" t="str">
        <f t="shared" si="27"/>
        <v>W</v>
      </c>
      <c r="M55" s="816">
        <f t="shared" si="28"/>
        <v>4</v>
      </c>
      <c r="N55" s="816" t="str">
        <f t="shared" si="29"/>
        <v>O</v>
      </c>
      <c r="O55" s="816">
        <f t="shared" ref="O55" si="38">IF(Q55="","",IF(SIGN(Q55)&lt;&gt;1,VLOOKUP(ABS(Q55),SUP_HDC,3,TRUE),-VLOOKUP(ABS(Q55),SUP_HDC,3,TRUE)))</f>
        <v>-0.25</v>
      </c>
      <c r="P55" s="829">
        <f t="shared" ref="P55" si="39">IF(O55="","",IF((J55-K55+O55)&gt;=0.5,1,IF((J55-K55+O55)=0.25,0.5,IF((J55-K55+O55)&lt;=-0.5,-1,IF((J55-K55+O55)=-0.25,-0.5,0)))))</f>
        <v>1</v>
      </c>
      <c r="Q55" s="830">
        <v>0.15</v>
      </c>
      <c r="R55" s="871">
        <f t="shared" ref="R55" si="40">IF(ISBLANK(Q55),"",J55-K55-Q55)</f>
        <v>1.85</v>
      </c>
      <c r="S55" s="830">
        <v>2.65</v>
      </c>
      <c r="T55" s="871">
        <f t="shared" ref="T55" si="41">IF(ISBLANK(S55),"",J55+K55-S55)</f>
        <v>1.35</v>
      </c>
      <c r="U55" s="868">
        <f t="shared" ref="U55" si="42">IF(Q55="","",(Q55+S55)/2)</f>
        <v>1.4</v>
      </c>
      <c r="V55" s="868">
        <f t="shared" ref="V55" si="43">IF(Q55="","",S55-U55)</f>
        <v>1.25</v>
      </c>
      <c r="W55" s="829">
        <v>15</v>
      </c>
      <c r="X55" s="829">
        <v>10</v>
      </c>
      <c r="Y55" s="829">
        <v>7</v>
      </c>
      <c r="Z55" s="829">
        <v>1</v>
      </c>
      <c r="AA55" s="829">
        <v>42</v>
      </c>
      <c r="AB55" s="829">
        <v>58</v>
      </c>
      <c r="AC55" s="829"/>
      <c r="AD55" s="816" t="str">
        <f t="array" ref="AD55">IF($J55="","",IF(SUM(IF(ISNUMBER(VALUE(RIGHT($AG55:$DY55,1))),VALUE(RIGHT($AG55:$DY55,1)),0))=$J55,"T","F"))</f>
        <v>T</v>
      </c>
      <c r="AE55" s="831">
        <f t="array" ref="AE55">IF($J55="","",SUM(IF(LEFT($AG55:$DY55,1)="s",1,0))-SUM(IF(RIGHT(LEFT($AG55:$DY55,2))="-",1,0)))</f>
        <v>0</v>
      </c>
      <c r="AF55" s="816">
        <f t="array" ref="AF55">IF($J55="","",SUM(IF(LEFT($AG55:$DY55,1)="X",1,0)))</f>
        <v>11</v>
      </c>
      <c r="AG55" s="891" t="s">
        <v>1877</v>
      </c>
      <c r="AH55" s="891" t="s">
        <v>34</v>
      </c>
      <c r="AI55" s="891" t="s">
        <v>32</v>
      </c>
      <c r="AJ55" s="891" t="s">
        <v>32</v>
      </c>
      <c r="AK55" s="891" t="s">
        <v>32</v>
      </c>
      <c r="AL55" s="891" t="s">
        <v>34</v>
      </c>
      <c r="AM55" s="891" t="s">
        <v>34</v>
      </c>
      <c r="AN55" s="891" t="s">
        <v>1877</v>
      </c>
      <c r="AO55" s="891" t="s">
        <v>1877</v>
      </c>
      <c r="AP55" s="891" t="s">
        <v>32</v>
      </c>
      <c r="AQ55" s="891" t="s">
        <v>34</v>
      </c>
      <c r="AR55" s="891" t="s">
        <v>32</v>
      </c>
      <c r="AS55" s="891" t="s">
        <v>32</v>
      </c>
      <c r="AT55" s="891" t="s">
        <v>32</v>
      </c>
      <c r="AU55" s="891" t="s">
        <v>34</v>
      </c>
      <c r="AV55" s="891" t="s">
        <v>34</v>
      </c>
      <c r="AW55" s="891" t="s">
        <v>32</v>
      </c>
      <c r="AX55" s="891" t="s">
        <v>34</v>
      </c>
      <c r="AY55" s="891" t="s">
        <v>1877</v>
      </c>
      <c r="AZ55" s="891" t="s">
        <v>3169</v>
      </c>
      <c r="BA55" s="891" t="s">
        <v>3182</v>
      </c>
      <c r="BB55" s="891" t="s">
        <v>34</v>
      </c>
      <c r="BC55" s="891" t="s">
        <v>32</v>
      </c>
      <c r="BD55" s="891" t="s">
        <v>36</v>
      </c>
      <c r="BE55" s="891" t="s">
        <v>32</v>
      </c>
      <c r="BF55" s="891" t="s">
        <v>32</v>
      </c>
      <c r="BG55" s="891" t="s">
        <v>3172</v>
      </c>
      <c r="BH55" s="906" t="s">
        <v>3181</v>
      </c>
      <c r="BI55" s="891" t="s">
        <v>34</v>
      </c>
      <c r="BJ55" s="891" t="s">
        <v>32</v>
      </c>
      <c r="BK55" s="891" t="s">
        <v>3180</v>
      </c>
      <c r="BL55" s="891"/>
      <c r="BM55" s="891"/>
      <c r="BN55" s="910"/>
      <c r="BO55" s="891"/>
      <c r="BP55" s="891"/>
      <c r="BQ55" s="891"/>
      <c r="BR55" s="891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428"/>
      <c r="CH55" s="428"/>
      <c r="CI55" s="428"/>
      <c r="CJ55" s="428"/>
    </row>
    <row r="56" spans="1:88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5</v>
      </c>
      <c r="G56" s="879" t="s">
        <v>889</v>
      </c>
      <c r="H56" s="879" t="s">
        <v>18</v>
      </c>
      <c r="I56" s="879" t="s">
        <v>891</v>
      </c>
      <c r="J56" s="846">
        <v>2</v>
      </c>
      <c r="K56" s="846">
        <v>1</v>
      </c>
      <c r="L56" s="816" t="str">
        <f t="shared" si="27"/>
        <v>W</v>
      </c>
      <c r="M56" s="816">
        <f t="shared" si="28"/>
        <v>3</v>
      </c>
      <c r="N56" s="816" t="str">
        <f t="shared" si="29"/>
        <v>O</v>
      </c>
      <c r="O56" s="816">
        <f t="shared" ref="O56" si="44">IF(Q56="","",IF(SIGN(Q56)&lt;&gt;1,VLOOKUP(ABS(Q56),SUP_HDC,3,TRUE),-VLOOKUP(ABS(Q56),SUP_HDC,3,TRUE)))</f>
        <v>0</v>
      </c>
      <c r="P56" s="829">
        <f t="shared" ref="P56" si="45">IF(O56="","",IF((J56-K56+O56)&gt;=0.5,1,IF((J56-K56+O56)=0.25,0.5,IF((J56-K56+O56)&lt;=-0.5,-1,IF((J56-K56+O56)=-0.25,-0.5,0)))))</f>
        <v>1</v>
      </c>
      <c r="Q56" s="830">
        <v>0.08</v>
      </c>
      <c r="R56" s="871">
        <f t="shared" ref="R56" si="46">IF(ISBLANK(Q56),"",J56-K56-Q56)</f>
        <v>0.92</v>
      </c>
      <c r="S56" s="830">
        <v>2.4500000000000002</v>
      </c>
      <c r="T56" s="871">
        <f t="shared" ref="T56" si="47">IF(ISBLANK(S56),"",J56+K56-S56)</f>
        <v>0.54999999999999982</v>
      </c>
      <c r="U56" s="868">
        <f t="shared" ref="U56" si="48">IF(Q56="","",(Q56+S56)/2)</f>
        <v>1.2650000000000001</v>
      </c>
      <c r="V56" s="868">
        <f t="shared" ref="V56" si="49">IF(Q56="","",S56-U56)</f>
        <v>1.1850000000000001</v>
      </c>
      <c r="W56" s="829">
        <v>14</v>
      </c>
      <c r="X56" s="829">
        <v>14</v>
      </c>
      <c r="Y56" s="829">
        <v>3</v>
      </c>
      <c r="Z56" s="829">
        <v>3</v>
      </c>
      <c r="AA56" s="829">
        <v>48</v>
      </c>
      <c r="AB56" s="829">
        <v>52</v>
      </c>
      <c r="AC56" s="829"/>
      <c r="AD56" s="816" t="str">
        <f t="array" ref="AD56">IF($J56="","",IF(SUM(IF(ISNUMBER(VALUE(RIGHT($AG56:$DY56,1))),VALUE(RIGHT($AG56:$DY56,1)),0))=$J56,"T","F"))</f>
        <v>T</v>
      </c>
      <c r="AE56" s="831">
        <f t="array" ref="AE56">IF($J56="","",SUM(IF(LEFT($AG56:$DY56,1)="s",1,0))-SUM(IF(RIGHT(LEFT($AG56:$DY56,2))="-",1,0)))</f>
        <v>0</v>
      </c>
      <c r="AF56" s="816">
        <f t="array" ref="AF56">IF($J56="","",SUM(IF(LEFT($AG56:$DY56,1)="X",1,0)))</f>
        <v>11</v>
      </c>
      <c r="AG56" s="891" t="s">
        <v>1877</v>
      </c>
      <c r="AH56" s="891" t="s">
        <v>34</v>
      </c>
      <c r="AI56" s="891" t="s">
        <v>32</v>
      </c>
      <c r="AJ56" s="891" t="s">
        <v>32</v>
      </c>
      <c r="AK56" s="891" t="s">
        <v>32</v>
      </c>
      <c r="AL56" s="891" t="s">
        <v>34</v>
      </c>
      <c r="AM56" s="891" t="s">
        <v>34</v>
      </c>
      <c r="AN56" s="891" t="s">
        <v>36</v>
      </c>
      <c r="AO56" s="891" t="s">
        <v>1877</v>
      </c>
      <c r="AP56" s="891" t="s">
        <v>32</v>
      </c>
      <c r="AQ56" s="891" t="s">
        <v>34</v>
      </c>
      <c r="AR56" s="891" t="s">
        <v>32</v>
      </c>
      <c r="AS56" s="891" t="s">
        <v>32</v>
      </c>
      <c r="AT56" s="891" t="s">
        <v>32</v>
      </c>
      <c r="AU56" s="891" t="s">
        <v>35</v>
      </c>
      <c r="AV56" s="891" t="s">
        <v>34</v>
      </c>
      <c r="AW56" s="891" t="s">
        <v>32</v>
      </c>
      <c r="AX56" s="891" t="s">
        <v>34</v>
      </c>
      <c r="AY56" s="891" t="s">
        <v>1877</v>
      </c>
      <c r="AZ56" s="891" t="s">
        <v>3217</v>
      </c>
      <c r="BA56" s="891" t="s">
        <v>3241</v>
      </c>
      <c r="BB56" s="891" t="s">
        <v>3240</v>
      </c>
      <c r="BC56" s="891" t="s">
        <v>32</v>
      </c>
      <c r="BD56" s="891" t="s">
        <v>36</v>
      </c>
      <c r="BE56" s="891" t="s">
        <v>32</v>
      </c>
      <c r="BF56" s="891" t="s">
        <v>32</v>
      </c>
      <c r="BG56" s="891" t="s">
        <v>35</v>
      </c>
      <c r="BH56" s="891" t="s">
        <v>1877</v>
      </c>
      <c r="BI56" s="891" t="s">
        <v>34</v>
      </c>
      <c r="BJ56" s="891" t="s">
        <v>32</v>
      </c>
      <c r="BK56" s="891" t="s">
        <v>36</v>
      </c>
      <c r="BL56" s="891"/>
      <c r="BM56" s="891"/>
      <c r="BN56" s="910"/>
      <c r="BO56" s="891"/>
      <c r="BP56" s="891"/>
      <c r="BQ56" s="891"/>
      <c r="BR56" s="891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428"/>
      <c r="CH56" s="428"/>
      <c r="CI56" s="428"/>
      <c r="CJ56" s="428"/>
    </row>
    <row r="57" spans="1:88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22</v>
      </c>
      <c r="G57" s="879" t="s">
        <v>1087</v>
      </c>
      <c r="H57" s="879" t="s">
        <v>22</v>
      </c>
      <c r="I57" s="879" t="s">
        <v>891</v>
      </c>
      <c r="J57" s="846">
        <v>3</v>
      </c>
      <c r="K57" s="846">
        <v>0</v>
      </c>
      <c r="L57" s="816" t="str">
        <f t="shared" si="27"/>
        <v>W</v>
      </c>
      <c r="M57" s="816">
        <f t="shared" si="28"/>
        <v>3</v>
      </c>
      <c r="N57" s="816" t="str">
        <f t="shared" si="29"/>
        <v>O</v>
      </c>
      <c r="O57" s="816">
        <f t="shared" si="18"/>
        <v>-1.25</v>
      </c>
      <c r="P57" s="829">
        <f t="shared" si="20"/>
        <v>1</v>
      </c>
      <c r="Q57" s="830">
        <v>1.35</v>
      </c>
      <c r="R57" s="871">
        <f t="shared" si="21"/>
        <v>1.65</v>
      </c>
      <c r="S57" s="830">
        <v>2.9</v>
      </c>
      <c r="T57" s="871">
        <f t="shared" si="22"/>
        <v>0.10000000000000009</v>
      </c>
      <c r="U57" s="868">
        <f t="shared" si="23"/>
        <v>2.125</v>
      </c>
      <c r="V57" s="868">
        <f t="shared" si="24"/>
        <v>0.77499999999999991</v>
      </c>
      <c r="W57" s="829">
        <v>20</v>
      </c>
      <c r="X57" s="829">
        <v>8</v>
      </c>
      <c r="Y57" s="829">
        <v>6</v>
      </c>
      <c r="Z57" s="829">
        <v>4</v>
      </c>
      <c r="AA57" s="829">
        <v>48</v>
      </c>
      <c r="AB57" s="829">
        <v>52</v>
      </c>
      <c r="AC57" s="829"/>
      <c r="AD57" s="816" t="str">
        <f t="array" ref="AD57">IF($J57="","",IF(SUM(IF(ISNUMBER(VALUE(RIGHT($AG57:$DY57,1))),VALUE(RIGHT($AG57:$DY57,1)),0))=$J57,"T","F"))</f>
        <v>T</v>
      </c>
      <c r="AE57" s="831">
        <f t="array" ref="AE57">IF($J57="","",SUM(IF(LEFT($AG57:$DY57,1)="s",1,0))-SUM(IF(RIGHT(LEFT($AG57:$DY57,2))="-",1,0)))</f>
        <v>0</v>
      </c>
      <c r="AF57" s="816">
        <f t="array" ref="AF57">IF($J57="","",SUM(IF(LEFT($AG57:$DY57,1)="X",1,0)))</f>
        <v>11</v>
      </c>
      <c r="AG57" s="891" t="s">
        <v>1877</v>
      </c>
      <c r="AH57" s="891" t="s">
        <v>34</v>
      </c>
      <c r="AI57" s="891" t="s">
        <v>32</v>
      </c>
      <c r="AJ57" s="891" t="s">
        <v>32</v>
      </c>
      <c r="AK57" s="891" t="s">
        <v>32</v>
      </c>
      <c r="AL57" s="891" t="s">
        <v>34</v>
      </c>
      <c r="AM57" s="891" t="s">
        <v>35</v>
      </c>
      <c r="AN57" s="891" t="s">
        <v>1877</v>
      </c>
      <c r="AO57" s="891" t="s">
        <v>34</v>
      </c>
      <c r="AP57" s="891" t="s">
        <v>32</v>
      </c>
      <c r="AQ57" s="891" t="s">
        <v>34</v>
      </c>
      <c r="AR57" s="891" t="s">
        <v>32</v>
      </c>
      <c r="AS57" s="891" t="s">
        <v>32</v>
      </c>
      <c r="AT57" s="891" t="s">
        <v>32</v>
      </c>
      <c r="AU57" s="891" t="s">
        <v>34</v>
      </c>
      <c r="AV57" s="891" t="s">
        <v>32</v>
      </c>
      <c r="AW57" s="891" t="s">
        <v>3253</v>
      </c>
      <c r="AX57" s="891" t="s">
        <v>35</v>
      </c>
      <c r="AY57" s="891" t="s">
        <v>36</v>
      </c>
      <c r="AZ57" s="891" t="s">
        <v>3251</v>
      </c>
      <c r="BA57" s="891" t="s">
        <v>34</v>
      </c>
      <c r="BB57" s="891" t="s">
        <v>34</v>
      </c>
      <c r="BC57" s="891" t="s">
        <v>32</v>
      </c>
      <c r="BD57" s="891" t="s">
        <v>3254</v>
      </c>
      <c r="BE57" s="891" t="s">
        <v>32</v>
      </c>
      <c r="BF57" s="891" t="s">
        <v>32</v>
      </c>
      <c r="BG57" s="891" t="s">
        <v>3252</v>
      </c>
      <c r="BH57" s="891" t="s">
        <v>32</v>
      </c>
      <c r="BI57" s="891" t="s">
        <v>35</v>
      </c>
      <c r="BJ57" s="891" t="s">
        <v>32</v>
      </c>
      <c r="BK57" s="891" t="s">
        <v>1877</v>
      </c>
      <c r="BL57" s="891" t="s">
        <v>1877</v>
      </c>
      <c r="BM57" s="891"/>
      <c r="BN57" s="910"/>
      <c r="BO57" s="891"/>
      <c r="BP57" s="891"/>
      <c r="BQ57" s="891"/>
      <c r="BR57" s="891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428"/>
      <c r="CH57" s="428"/>
      <c r="CI57" s="428"/>
      <c r="CJ57" s="428"/>
    </row>
    <row r="58" spans="1:88" ht="15">
      <c r="A58" s="912">
        <v>42998</v>
      </c>
      <c r="B58" s="894"/>
      <c r="C58" s="894"/>
      <c r="D58" s="894"/>
      <c r="E58" s="894"/>
      <c r="F58" s="894"/>
      <c r="G58" s="828" t="s">
        <v>2769</v>
      </c>
      <c r="H58" s="828" t="s">
        <v>22</v>
      </c>
      <c r="I58" s="828" t="s">
        <v>2649</v>
      </c>
      <c r="J58" s="898">
        <v>0</v>
      </c>
      <c r="K58" s="898">
        <v>2</v>
      </c>
      <c r="L58" s="816" t="str">
        <f t="shared" si="27"/>
        <v>L</v>
      </c>
      <c r="M58" s="816">
        <f t="shared" si="28"/>
        <v>2</v>
      </c>
      <c r="N58" s="816" t="str">
        <f t="shared" si="29"/>
        <v>U</v>
      </c>
      <c r="O58" s="816"/>
      <c r="P58" s="829"/>
      <c r="Q58" s="830"/>
      <c r="R58" s="871"/>
      <c r="S58" s="830"/>
      <c r="T58" s="871"/>
      <c r="U58" s="868"/>
      <c r="V58" s="868"/>
      <c r="W58" s="829"/>
      <c r="X58" s="829"/>
      <c r="Y58" s="829"/>
      <c r="Z58" s="829"/>
      <c r="AA58" s="829"/>
      <c r="AB58" s="829"/>
      <c r="AC58" s="829"/>
      <c r="AD58" s="816" t="str">
        <f t="array" ref="AD58">IF($J58="","",IF(SUM(IF(ISNUMBER(VALUE(RIGHT($AG58:$DY58,1))),VALUE(RIGHT($AG58:$DY58,1)),0))=$J58,"T","F"))</f>
        <v>T</v>
      </c>
      <c r="AE58" s="831">
        <f t="array" ref="AE58">IF($J58="","",SUM(IF(LEFT($AG58:$DY58,1)="s",1,0))-SUM(IF(RIGHT(LEFT($AG58:$DY58,2))="-",1,0)))</f>
        <v>0</v>
      </c>
      <c r="AF58" s="816">
        <f t="array" ref="AF58">IF($J58="","",SUM(IF(LEFT($AG58:$DY58,1)="X",1,0)))</f>
        <v>11</v>
      </c>
      <c r="AG58" s="891" t="s">
        <v>3304</v>
      </c>
      <c r="AH58" s="891" t="s">
        <v>3306</v>
      </c>
      <c r="AI58" s="891"/>
      <c r="AJ58" s="891"/>
      <c r="AK58" s="891"/>
      <c r="AL58" s="891" t="s">
        <v>3288</v>
      </c>
      <c r="AM58" s="891" t="s">
        <v>3280</v>
      </c>
      <c r="AN58" s="891" t="s">
        <v>871</v>
      </c>
      <c r="AO58" s="891" t="s">
        <v>3288</v>
      </c>
      <c r="AP58" s="891" t="s">
        <v>3305</v>
      </c>
      <c r="AQ58" s="891" t="s">
        <v>3288</v>
      </c>
      <c r="AR58" s="891"/>
      <c r="AS58" s="891"/>
      <c r="AT58" s="891" t="s">
        <v>3288</v>
      </c>
      <c r="AU58" s="891"/>
      <c r="AV58" s="891"/>
      <c r="AW58" s="891"/>
      <c r="AX58" s="891"/>
      <c r="AY58" s="891" t="s">
        <v>3288</v>
      </c>
      <c r="AZ58" s="891" t="s">
        <v>3169</v>
      </c>
      <c r="BA58" s="891"/>
      <c r="BB58" s="891" t="s">
        <v>3304</v>
      </c>
      <c r="BC58" s="891" t="s">
        <v>3288</v>
      </c>
      <c r="BD58" s="891" t="s">
        <v>3288</v>
      </c>
      <c r="BE58" s="891" t="s">
        <v>3304</v>
      </c>
      <c r="BF58" s="891" t="s">
        <v>3304</v>
      </c>
      <c r="BG58" s="891" t="s">
        <v>3305</v>
      </c>
      <c r="BH58" s="891" t="s">
        <v>871</v>
      </c>
      <c r="BI58" s="891" t="s">
        <v>871</v>
      </c>
      <c r="BJ58" s="891" t="s">
        <v>3305</v>
      </c>
      <c r="BK58" s="891"/>
      <c r="BL58" s="891"/>
      <c r="BM58" s="891"/>
      <c r="BN58" s="910"/>
      <c r="BO58" s="891"/>
      <c r="BP58" s="891"/>
      <c r="BQ58" s="891"/>
      <c r="BR58" s="891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428"/>
      <c r="CH58" s="428"/>
      <c r="CI58" s="428"/>
      <c r="CJ58" s="428"/>
    </row>
    <row r="59" spans="1:88" ht="15">
      <c r="A59" s="882">
        <v>6476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20</v>
      </c>
      <c r="G59" s="879" t="s">
        <v>882</v>
      </c>
      <c r="H59" s="879" t="s">
        <v>22</v>
      </c>
      <c r="I59" s="879" t="s">
        <v>891</v>
      </c>
      <c r="J59" s="846">
        <v>2</v>
      </c>
      <c r="K59" s="846">
        <v>3</v>
      </c>
      <c r="L59" s="816" t="str">
        <f t="shared" si="27"/>
        <v>L</v>
      </c>
      <c r="M59" s="816">
        <f t="shared" si="28"/>
        <v>5</v>
      </c>
      <c r="N59" s="816" t="str">
        <f t="shared" si="29"/>
        <v>O</v>
      </c>
      <c r="O59" s="816">
        <f t="shared" si="18"/>
        <v>-0.75</v>
      </c>
      <c r="P59" s="829">
        <f t="shared" si="20"/>
        <v>-1</v>
      </c>
      <c r="Q59" s="830">
        <v>0.92</v>
      </c>
      <c r="R59" s="871">
        <f t="shared" si="21"/>
        <v>-1.92</v>
      </c>
      <c r="S59" s="830">
        <v>2.91</v>
      </c>
      <c r="T59" s="871">
        <f t="shared" si="22"/>
        <v>2.09</v>
      </c>
      <c r="U59" s="868">
        <f t="shared" si="23"/>
        <v>1.915</v>
      </c>
      <c r="V59" s="868">
        <f t="shared" si="24"/>
        <v>0.99500000000000011</v>
      </c>
      <c r="W59" s="829">
        <v>10</v>
      </c>
      <c r="X59" s="829">
        <v>16</v>
      </c>
      <c r="Y59" s="829">
        <v>4</v>
      </c>
      <c r="Z59" s="829">
        <v>6</v>
      </c>
      <c r="AA59" s="829">
        <v>45</v>
      </c>
      <c r="AB59" s="829">
        <v>55</v>
      </c>
      <c r="AC59" s="829"/>
      <c r="AD59" s="816" t="str">
        <f t="array" ref="AD59">IF($J59="","",IF(SUM(IF(ISNUMBER(VALUE(RIGHT($AG59:$DY59,1))),VALUE(RIGHT($AG59:$DY59,1)),0))=$J59,"T","F"))</f>
        <v>T</v>
      </c>
      <c r="AE59" s="831">
        <f t="array" ref="AE59">IF($J59="","",SUM(IF(LEFT($AG59:$DY59,1)="s",1,0))-SUM(IF(RIGHT(LEFT($AG59:$DY59,2))="-",1,0)))</f>
        <v>0</v>
      </c>
      <c r="AF59" s="816">
        <f t="array" ref="AF59">IF($J59="","",SUM(IF(LEFT($AG59:$DY59,1)="X",1,0)))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32</v>
      </c>
      <c r="AK59" s="891" t="s">
        <v>32</v>
      </c>
      <c r="AL59" s="891" t="s">
        <v>34</v>
      </c>
      <c r="AM59" s="891" t="s">
        <v>32</v>
      </c>
      <c r="AN59" s="891" t="s">
        <v>34</v>
      </c>
      <c r="AO59" s="891" t="s">
        <v>34</v>
      </c>
      <c r="AP59" s="891" t="s">
        <v>32</v>
      </c>
      <c r="AQ59" s="891" t="s">
        <v>34</v>
      </c>
      <c r="AR59" s="891" t="s">
        <v>32</v>
      </c>
      <c r="AS59" s="891" t="s">
        <v>32</v>
      </c>
      <c r="AT59" s="891" t="s">
        <v>32</v>
      </c>
      <c r="AU59" s="891" t="s">
        <v>32</v>
      </c>
      <c r="AV59" s="891" t="s">
        <v>34</v>
      </c>
      <c r="AW59" s="891" t="s">
        <v>1877</v>
      </c>
      <c r="AX59" s="891" t="s">
        <v>34</v>
      </c>
      <c r="AY59" s="891" t="s">
        <v>36</v>
      </c>
      <c r="AZ59" s="891" t="s">
        <v>1886</v>
      </c>
      <c r="BA59" s="891" t="s">
        <v>35</v>
      </c>
      <c r="BB59" s="891" t="s">
        <v>35</v>
      </c>
      <c r="BC59" s="891" t="s">
        <v>1877</v>
      </c>
      <c r="BD59" s="891" t="s">
        <v>36</v>
      </c>
      <c r="BE59" s="891" t="s">
        <v>32</v>
      </c>
      <c r="BF59" s="891" t="s">
        <v>32</v>
      </c>
      <c r="BG59" s="891" t="s">
        <v>3327</v>
      </c>
      <c r="BH59" s="891" t="s">
        <v>32</v>
      </c>
      <c r="BI59" s="904" t="s">
        <v>35</v>
      </c>
      <c r="BJ59" s="891" t="s">
        <v>32</v>
      </c>
      <c r="BK59" s="891" t="s">
        <v>1877</v>
      </c>
      <c r="BL59" s="891" t="s">
        <v>36</v>
      </c>
      <c r="BM59" s="891">
        <v>1</v>
      </c>
      <c r="BN59" s="910"/>
      <c r="BO59" s="891"/>
      <c r="BP59" s="891"/>
      <c r="BQ59" s="891"/>
      <c r="BR59" s="891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428"/>
      <c r="CH59" s="428"/>
      <c r="CI59" s="428"/>
      <c r="CJ59" s="428"/>
    </row>
    <row r="60" spans="1:88" ht="15">
      <c r="A60" s="882">
        <v>6483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14</v>
      </c>
      <c r="G60" s="879" t="s">
        <v>873</v>
      </c>
      <c r="H60" s="879" t="s">
        <v>18</v>
      </c>
      <c r="I60" s="879" t="s">
        <v>891</v>
      </c>
      <c r="J60" s="846">
        <v>1</v>
      </c>
      <c r="K60" s="846">
        <v>0</v>
      </c>
      <c r="L60" s="816" t="str">
        <f t="shared" si="27"/>
        <v>W</v>
      </c>
      <c r="M60" s="816">
        <f t="shared" si="28"/>
        <v>1</v>
      </c>
      <c r="N60" s="816" t="str">
        <f t="shared" si="29"/>
        <v>U</v>
      </c>
      <c r="O60" s="816">
        <f t="shared" ref="O60:O67" si="50">IF(Q60="","",IF(SIGN(Q60)&lt;&gt;1,VLOOKUP(ABS(Q60),SUP_HDC,3,TRUE),-VLOOKUP(ABS(Q60),SUP_HDC,3,TRUE)))</f>
        <v>-0.25</v>
      </c>
      <c r="P60" s="829">
        <f t="shared" ref="P60:P67" si="51">IF(O60="","",IF((J60-K60+O60)&gt;=0.5,1,IF((J60-K60+O60)=0.25,0.5,IF((J60-K60+O60)&lt;=-0.5,-1,IF((J60-K60+O60)=-0.25,-0.5,0)))))</f>
        <v>1</v>
      </c>
      <c r="Q60" s="830">
        <v>0.38</v>
      </c>
      <c r="R60" s="871">
        <f t="shared" si="21"/>
        <v>0.62</v>
      </c>
      <c r="S60" s="830">
        <v>2.58</v>
      </c>
      <c r="T60" s="871">
        <f t="shared" si="22"/>
        <v>-1.58</v>
      </c>
      <c r="U60" s="868">
        <f t="shared" ref="U60:U69" si="52">IF(Q60="","",(Q60+S60)/2)</f>
        <v>1.48</v>
      </c>
      <c r="V60" s="868">
        <f t="shared" ref="V60:V69" si="53">IF(Q60="","",S60-U60)</f>
        <v>1.1000000000000001</v>
      </c>
      <c r="W60" s="829">
        <v>8</v>
      </c>
      <c r="X60" s="829">
        <v>11</v>
      </c>
      <c r="Y60" s="829">
        <v>3</v>
      </c>
      <c r="Z60" s="829">
        <v>1</v>
      </c>
      <c r="AA60" s="829">
        <v>43</v>
      </c>
      <c r="AB60" s="829">
        <v>57</v>
      </c>
      <c r="AC60" s="829"/>
      <c r="AD60" s="816" t="str">
        <f t="array" ref="AD60">IF($J60="","",IF(SUM(IF(ISNUMBER(VALUE(RIGHT($AG60:$CK60,1))),VALUE(RIGHT($AG60:$CK60,1)),0))=$J60,"T","F"))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IF($J60="","",SUM(IF(LEFT($AG60:$DC60,1)="X",1,0)))</f>
        <v>11</v>
      </c>
      <c r="AG60" s="891" t="s">
        <v>1877</v>
      </c>
      <c r="AH60" s="904" t="s">
        <v>34</v>
      </c>
      <c r="AI60" s="891" t="s">
        <v>32</v>
      </c>
      <c r="AJ60" s="891" t="s">
        <v>32</v>
      </c>
      <c r="AK60" s="891" t="s">
        <v>32</v>
      </c>
      <c r="AL60" s="891" t="s">
        <v>34</v>
      </c>
      <c r="AM60" s="891" t="s">
        <v>34</v>
      </c>
      <c r="AN60" s="891" t="s">
        <v>34</v>
      </c>
      <c r="AO60" s="891" t="s">
        <v>1877</v>
      </c>
      <c r="AP60" s="891" t="s">
        <v>32</v>
      </c>
      <c r="AQ60" s="891" t="s">
        <v>34</v>
      </c>
      <c r="AR60" s="891" t="s">
        <v>32</v>
      </c>
      <c r="AS60" s="891" t="s">
        <v>32</v>
      </c>
      <c r="AT60" s="891" t="s">
        <v>32</v>
      </c>
      <c r="AU60" s="891" t="s">
        <v>32</v>
      </c>
      <c r="AV60" s="891" t="s">
        <v>34</v>
      </c>
      <c r="AW60" s="891" t="s">
        <v>32</v>
      </c>
      <c r="AX60" s="891" t="s">
        <v>34</v>
      </c>
      <c r="AY60" s="891" t="s">
        <v>36</v>
      </c>
      <c r="AZ60" s="891" t="s">
        <v>3358</v>
      </c>
      <c r="BA60" s="891" t="s">
        <v>35</v>
      </c>
      <c r="BB60" s="891" t="s">
        <v>34</v>
      </c>
      <c r="BC60" s="891" t="s">
        <v>1877</v>
      </c>
      <c r="BD60" s="891" t="s">
        <v>3369</v>
      </c>
      <c r="BE60" s="891" t="s">
        <v>36</v>
      </c>
      <c r="BF60" s="891" t="s">
        <v>32</v>
      </c>
      <c r="BG60" s="891" t="s">
        <v>35</v>
      </c>
      <c r="BH60" s="891" t="s">
        <v>32</v>
      </c>
      <c r="BI60" s="891" t="s">
        <v>3363</v>
      </c>
      <c r="BJ60" s="891" t="s">
        <v>32</v>
      </c>
      <c r="BK60" s="891" t="s">
        <v>36</v>
      </c>
      <c r="BL60" s="891" t="s">
        <v>1877</v>
      </c>
      <c r="BM60" s="891"/>
      <c r="BN60" s="910"/>
      <c r="BO60" s="891"/>
      <c r="BP60" s="891"/>
      <c r="BQ60" s="891"/>
      <c r="BR60" s="891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428"/>
      <c r="CH60" s="428"/>
      <c r="CI60" s="428"/>
      <c r="CJ60" s="428"/>
    </row>
    <row r="61" spans="1:88" ht="15">
      <c r="A61" s="882">
        <v>6490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21</v>
      </c>
      <c r="G61" s="879" t="s">
        <v>890</v>
      </c>
      <c r="H61" s="879" t="s">
        <v>22</v>
      </c>
      <c r="I61" s="879" t="s">
        <v>891</v>
      </c>
      <c r="J61" s="846">
        <v>1</v>
      </c>
      <c r="K61" s="846">
        <v>0</v>
      </c>
      <c r="L61" s="816" t="str">
        <f t="shared" si="27"/>
        <v>W</v>
      </c>
      <c r="M61" s="816">
        <f t="shared" si="28"/>
        <v>1</v>
      </c>
      <c r="N61" s="816" t="str">
        <f t="shared" si="29"/>
        <v>U</v>
      </c>
      <c r="O61" s="816">
        <f t="shared" si="50"/>
        <v>-1</v>
      </c>
      <c r="P61" s="829">
        <f t="shared" si="51"/>
        <v>0</v>
      </c>
      <c r="Q61" s="830">
        <v>0.96</v>
      </c>
      <c r="R61" s="871">
        <f t="shared" si="21"/>
        <v>4.0000000000000036E-2</v>
      </c>
      <c r="S61" s="830">
        <v>2.63</v>
      </c>
      <c r="T61" s="871">
        <f t="shared" si="22"/>
        <v>-1.63</v>
      </c>
      <c r="U61" s="868">
        <f t="shared" si="52"/>
        <v>1.7949999999999999</v>
      </c>
      <c r="V61" s="868">
        <f t="shared" si="53"/>
        <v>0.83499999999999996</v>
      </c>
      <c r="W61" s="829">
        <v>12</v>
      </c>
      <c r="X61" s="829">
        <v>10</v>
      </c>
      <c r="Y61" s="829">
        <v>3</v>
      </c>
      <c r="Z61" s="829">
        <v>0</v>
      </c>
      <c r="AA61" s="829">
        <v>42</v>
      </c>
      <c r="AB61" s="829">
        <v>58</v>
      </c>
      <c r="AC61" s="829"/>
      <c r="AD61" s="816" t="str">
        <f t="array" ref="AD61">IF($J61="","",IF(SUM(IF(ISNUMBER(VALUE(RIGHT($AG61:$CK61,1))),VALUE(RIGHT($AG61:$CK61,1)),0))=$J61,"T","F"))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IF($J61="","",SUM(IF(LEFT($AG61:$DC61,1)="X",1,0)))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32</v>
      </c>
      <c r="AK61" s="891" t="s">
        <v>32</v>
      </c>
      <c r="AL61" s="891" t="s">
        <v>34</v>
      </c>
      <c r="AM61" s="891" t="s">
        <v>34</v>
      </c>
      <c r="AN61" s="891" t="s">
        <v>34</v>
      </c>
      <c r="AO61" s="891" t="s">
        <v>1877</v>
      </c>
      <c r="AP61" s="891" t="s">
        <v>32</v>
      </c>
      <c r="AQ61" s="891" t="s">
        <v>34</v>
      </c>
      <c r="AR61" s="891" t="s">
        <v>32</v>
      </c>
      <c r="AS61" s="891" t="s">
        <v>1877</v>
      </c>
      <c r="AT61" s="891" t="s">
        <v>32</v>
      </c>
      <c r="AU61" s="891" t="s">
        <v>32</v>
      </c>
      <c r="AV61" s="891" t="s">
        <v>34</v>
      </c>
      <c r="AW61" s="891" t="s">
        <v>32</v>
      </c>
      <c r="AX61" s="891" t="s">
        <v>34</v>
      </c>
      <c r="AY61" s="891" t="s">
        <v>36</v>
      </c>
      <c r="AZ61" s="891" t="s">
        <v>3395</v>
      </c>
      <c r="BA61" s="891" t="s">
        <v>35</v>
      </c>
      <c r="BB61" s="904" t="s">
        <v>34</v>
      </c>
      <c r="BC61" s="891" t="s">
        <v>32</v>
      </c>
      <c r="BD61" s="891" t="s">
        <v>35</v>
      </c>
      <c r="BE61" s="891" t="s">
        <v>32</v>
      </c>
      <c r="BF61" s="891" t="s">
        <v>32</v>
      </c>
      <c r="BG61" s="891" t="s">
        <v>3403</v>
      </c>
      <c r="BH61" s="891" t="s">
        <v>36</v>
      </c>
      <c r="BI61" s="891" t="s">
        <v>36</v>
      </c>
      <c r="BJ61" s="891" t="s">
        <v>32</v>
      </c>
      <c r="BK61" s="891" t="s">
        <v>1877</v>
      </c>
      <c r="BL61" s="891"/>
      <c r="BM61" s="891"/>
      <c r="BN61" s="910"/>
      <c r="BO61" s="891"/>
      <c r="BP61" s="891"/>
      <c r="BQ61" s="891"/>
      <c r="BR61" s="891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</row>
    <row r="62" spans="1:88" ht="15">
      <c r="A62" s="882">
        <v>6497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6</v>
      </c>
      <c r="G62" s="879" t="s">
        <v>876</v>
      </c>
      <c r="H62" s="879" t="s">
        <v>18</v>
      </c>
      <c r="I62" s="879" t="s">
        <v>891</v>
      </c>
      <c r="J62" s="908">
        <v>1</v>
      </c>
      <c r="K62" s="846">
        <v>5</v>
      </c>
      <c r="L62" s="816" t="str">
        <f t="shared" si="27"/>
        <v>L</v>
      </c>
      <c r="M62" s="816">
        <f t="shared" si="28"/>
        <v>6</v>
      </c>
      <c r="N62" s="816" t="str">
        <f t="shared" si="29"/>
        <v>O</v>
      </c>
      <c r="O62" s="816">
        <f t="shared" si="50"/>
        <v>0</v>
      </c>
      <c r="P62" s="829">
        <f t="shared" si="51"/>
        <v>-1</v>
      </c>
      <c r="Q62" s="830">
        <v>0.11</v>
      </c>
      <c r="R62" s="871">
        <f t="shared" si="21"/>
        <v>-4.1100000000000003</v>
      </c>
      <c r="S62" s="830">
        <v>2.86</v>
      </c>
      <c r="T62" s="871">
        <f t="shared" si="22"/>
        <v>3.14</v>
      </c>
      <c r="U62" s="868">
        <f t="shared" si="52"/>
        <v>1.4849999999999999</v>
      </c>
      <c r="V62" s="868">
        <f t="shared" si="53"/>
        <v>1.375</v>
      </c>
      <c r="W62" s="829">
        <v>15</v>
      </c>
      <c r="X62" s="829">
        <v>22</v>
      </c>
      <c r="Y62" s="829">
        <v>4</v>
      </c>
      <c r="Z62" s="829">
        <v>10</v>
      </c>
      <c r="AA62" s="829">
        <v>46</v>
      </c>
      <c r="AB62" s="829">
        <v>54</v>
      </c>
      <c r="AC62" s="829"/>
      <c r="AD62" s="816" t="str">
        <f t="array" ref="AD62">IF($J62="","",IF(SUM(IF(ISNUMBER(VALUE(RIGHT($AG62:$CK62,1))),VALUE(RIGHT($AG62:$CK62,1)),0))=$J62,"T","F"))</f>
        <v>T</v>
      </c>
      <c r="AE62" s="831">
        <f t="array" ref="AE62">IF($J62="","",SUM(IF(LEFT($AG62:$DW62,1)="s",1,0))-SUM(IF(RIGHT(LEFT($AG62:$DW62,2))="-",1,0)))</f>
        <v>0</v>
      </c>
      <c r="AF62" s="816">
        <f t="array" ref="AF62">IF($J62="","",SUM(IF(LEFT($AG62:$DC62,1)="X",1,0)))</f>
        <v>11</v>
      </c>
      <c r="AG62" s="891" t="s">
        <v>3436</v>
      </c>
      <c r="AH62" s="891" t="s">
        <v>34</v>
      </c>
      <c r="AI62" s="891" t="s">
        <v>32</v>
      </c>
      <c r="AJ62" s="891" t="s">
        <v>32</v>
      </c>
      <c r="AK62" s="891" t="s">
        <v>32</v>
      </c>
      <c r="AL62" s="891" t="s">
        <v>34</v>
      </c>
      <c r="AM62" s="904" t="s">
        <v>34</v>
      </c>
      <c r="AN62" s="891" t="s">
        <v>36</v>
      </c>
      <c r="AO62" s="891" t="s">
        <v>1877</v>
      </c>
      <c r="AP62" s="891" t="s">
        <v>32</v>
      </c>
      <c r="AQ62" s="891" t="s">
        <v>35</v>
      </c>
      <c r="AR62" s="891" t="s">
        <v>32</v>
      </c>
      <c r="AS62" s="891" t="s">
        <v>35</v>
      </c>
      <c r="AT62" s="891" t="s">
        <v>32</v>
      </c>
      <c r="AU62" s="891" t="s">
        <v>32</v>
      </c>
      <c r="AV62" s="891" t="s">
        <v>34</v>
      </c>
      <c r="AW62" s="891" t="s">
        <v>1877</v>
      </c>
      <c r="AX62" s="891" t="s">
        <v>34</v>
      </c>
      <c r="AY62" s="891" t="s">
        <v>1877</v>
      </c>
      <c r="AZ62" s="891" t="s">
        <v>3427</v>
      </c>
      <c r="BA62" s="891" t="s">
        <v>3437</v>
      </c>
      <c r="BB62" s="891" t="s">
        <v>3435</v>
      </c>
      <c r="BC62" s="909" t="s">
        <v>34</v>
      </c>
      <c r="BD62" s="891" t="s">
        <v>34</v>
      </c>
      <c r="BE62" s="891" t="s">
        <v>32</v>
      </c>
      <c r="BF62" s="891" t="s">
        <v>32</v>
      </c>
      <c r="BG62" s="891" t="s">
        <v>35</v>
      </c>
      <c r="BH62" s="891" t="s">
        <v>32</v>
      </c>
      <c r="BI62" s="891" t="s">
        <v>36</v>
      </c>
      <c r="BJ62" s="891" t="s">
        <v>32</v>
      </c>
      <c r="BK62" s="891" t="s">
        <v>36</v>
      </c>
      <c r="BL62" s="891"/>
      <c r="BM62" s="891"/>
      <c r="BN62" s="910"/>
      <c r="BO62" s="891"/>
      <c r="BP62" s="891"/>
      <c r="BQ62" s="891"/>
      <c r="BR62" s="891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</row>
    <row r="63" spans="1:88" ht="15">
      <c r="A63" s="882">
        <v>6504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9</v>
      </c>
      <c r="G63" s="879" t="s">
        <v>1083</v>
      </c>
      <c r="H63" s="879" t="s">
        <v>22</v>
      </c>
      <c r="I63" s="879" t="s">
        <v>891</v>
      </c>
      <c r="J63" s="846">
        <v>0</v>
      </c>
      <c r="K63" s="846">
        <v>2</v>
      </c>
      <c r="L63" s="816" t="str">
        <f t="shared" si="27"/>
        <v>L</v>
      </c>
      <c r="M63" s="816">
        <f t="shared" si="28"/>
        <v>2</v>
      </c>
      <c r="N63" s="816" t="str">
        <f t="shared" si="29"/>
        <v>U</v>
      </c>
      <c r="O63" s="816">
        <f t="shared" si="50"/>
        <v>-0.5</v>
      </c>
      <c r="P63" s="829">
        <f t="shared" si="51"/>
        <v>-1</v>
      </c>
      <c r="Q63" s="830">
        <v>0.45</v>
      </c>
      <c r="R63" s="871">
        <f t="shared" si="21"/>
        <v>-2.4500000000000002</v>
      </c>
      <c r="S63" s="830">
        <v>2.78</v>
      </c>
      <c r="T63" s="871">
        <f t="shared" si="22"/>
        <v>-0.7799999999999998</v>
      </c>
      <c r="U63" s="868">
        <f t="shared" si="52"/>
        <v>1.615</v>
      </c>
      <c r="V63" s="868">
        <f t="shared" si="53"/>
        <v>1.1649999999999998</v>
      </c>
      <c r="W63" s="829">
        <v>18</v>
      </c>
      <c r="X63" s="829">
        <v>22</v>
      </c>
      <c r="Y63" s="829">
        <v>5</v>
      </c>
      <c r="Z63" s="829">
        <v>9</v>
      </c>
      <c r="AA63" s="829">
        <v>48</v>
      </c>
      <c r="AB63" s="829">
        <v>52</v>
      </c>
      <c r="AC63" s="829"/>
      <c r="AD63" s="816" t="str">
        <f t="array" ref="AD63">IF($J63="","",IF(SUM(IF(ISNUMBER(VALUE(RIGHT($AG63:$CK63,1))),VALUE(RIGHT($AG63:$CK63,1)),0))=$J63,"T","F"))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IF($J63="","",SUM(IF(LEFT($AG63:$DC63,1)="X",1,0)))</f>
        <v>11</v>
      </c>
      <c r="AG63" s="891" t="s">
        <v>32</v>
      </c>
      <c r="AH63" s="891" t="s">
        <v>34</v>
      </c>
      <c r="AI63" s="891" t="s">
        <v>1877</v>
      </c>
      <c r="AJ63" s="891" t="s">
        <v>32</v>
      </c>
      <c r="AK63" s="891" t="s">
        <v>32</v>
      </c>
      <c r="AL63" s="891" t="s">
        <v>34</v>
      </c>
      <c r="AM63" s="891" t="s">
        <v>34</v>
      </c>
      <c r="AN63" s="891" t="s">
        <v>1877</v>
      </c>
      <c r="AO63" s="891" t="s">
        <v>32</v>
      </c>
      <c r="AP63" s="891" t="s">
        <v>36</v>
      </c>
      <c r="AQ63" s="891" t="s">
        <v>1877</v>
      </c>
      <c r="AR63" s="891" t="s">
        <v>32</v>
      </c>
      <c r="AS63" s="891" t="s">
        <v>35</v>
      </c>
      <c r="AT63" s="891" t="s">
        <v>32</v>
      </c>
      <c r="AU63" s="891" t="s">
        <v>32</v>
      </c>
      <c r="AV63" s="904" t="s">
        <v>34</v>
      </c>
      <c r="AW63" s="891" t="s">
        <v>34</v>
      </c>
      <c r="AX63" s="891" t="s">
        <v>35</v>
      </c>
      <c r="AY63" s="891" t="s">
        <v>1877</v>
      </c>
      <c r="AZ63" s="891" t="s">
        <v>3469</v>
      </c>
      <c r="BA63" s="891" t="s">
        <v>34</v>
      </c>
      <c r="BB63" s="904" t="s">
        <v>3468</v>
      </c>
      <c r="BC63" s="891" t="s">
        <v>3465</v>
      </c>
      <c r="BD63" s="891" t="s">
        <v>35</v>
      </c>
      <c r="BE63" s="891" t="s">
        <v>32</v>
      </c>
      <c r="BF63" s="891" t="s">
        <v>32</v>
      </c>
      <c r="BG63" s="891" t="s">
        <v>34</v>
      </c>
      <c r="BH63" s="891" t="s">
        <v>32</v>
      </c>
      <c r="BI63" s="891" t="s">
        <v>36</v>
      </c>
      <c r="BJ63" s="891" t="s">
        <v>32</v>
      </c>
      <c r="BK63" s="891" t="s">
        <v>36</v>
      </c>
      <c r="BL63" s="891"/>
      <c r="BM63" s="891"/>
      <c r="BN63" s="910"/>
      <c r="BO63" s="891"/>
      <c r="BP63" s="891"/>
      <c r="BQ63" s="891"/>
      <c r="BR63" s="891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</row>
    <row r="64" spans="1:88" ht="15">
      <c r="A64" s="882">
        <v>6512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18</v>
      </c>
      <c r="G64" s="879" t="s">
        <v>887</v>
      </c>
      <c r="H64" s="879" t="s">
        <v>22</v>
      </c>
      <c r="I64" s="879" t="s">
        <v>891</v>
      </c>
      <c r="J64" s="846">
        <v>2</v>
      </c>
      <c r="K64" s="846">
        <v>1</v>
      </c>
      <c r="L64" s="816" t="str">
        <f t="shared" si="27"/>
        <v>W</v>
      </c>
      <c r="M64" s="816">
        <f t="shared" si="28"/>
        <v>3</v>
      </c>
      <c r="N64" s="816" t="str">
        <f t="shared" si="29"/>
        <v>O</v>
      </c>
      <c r="O64" s="816">
        <f t="shared" si="50"/>
        <v>-1</v>
      </c>
      <c r="P64" s="829">
        <f t="shared" si="51"/>
        <v>0</v>
      </c>
      <c r="Q64" s="830">
        <v>0.98</v>
      </c>
      <c r="R64" s="871">
        <f t="shared" si="21"/>
        <v>2.0000000000000018E-2</v>
      </c>
      <c r="S64" s="830">
        <v>3.05</v>
      </c>
      <c r="T64" s="871">
        <f t="shared" si="22"/>
        <v>-4.9999999999999822E-2</v>
      </c>
      <c r="U64" s="868">
        <f t="shared" si="52"/>
        <v>2.0149999999999997</v>
      </c>
      <c r="V64" s="868">
        <f t="shared" si="53"/>
        <v>1.0350000000000001</v>
      </c>
      <c r="W64" s="829">
        <v>12</v>
      </c>
      <c r="X64" s="829">
        <v>16</v>
      </c>
      <c r="Y64" s="829">
        <v>8</v>
      </c>
      <c r="Z64" s="829">
        <v>5</v>
      </c>
      <c r="AA64" s="829">
        <v>33</v>
      </c>
      <c r="AB64" s="829">
        <v>67</v>
      </c>
      <c r="AC64" s="829"/>
      <c r="AD64" s="816" t="str">
        <f t="array" ref="AD64">IF($J64="","",IF(SUM(IF(ISNUMBER(VALUE(RIGHT($AG64:$CK64,1))),VALUE(RIGHT($AG64:$CK64,1)),0))=$J64,"T","F"))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IF($J64="","",SUM(IF(LEFT($AG64:$DC64,1)="X",1,0)))</f>
        <v>11</v>
      </c>
      <c r="AG64" s="891" t="s">
        <v>32</v>
      </c>
      <c r="AH64" s="891" t="s">
        <v>34</v>
      </c>
      <c r="AI64" s="891" t="s">
        <v>1877</v>
      </c>
      <c r="AJ64" s="891" t="s">
        <v>32</v>
      </c>
      <c r="AK64" s="891" t="s">
        <v>32</v>
      </c>
      <c r="AL64" s="891" t="s">
        <v>34</v>
      </c>
      <c r="AM64" s="891" t="s">
        <v>34</v>
      </c>
      <c r="AN64" s="891" t="s">
        <v>36</v>
      </c>
      <c r="AO64" s="891" t="s">
        <v>32</v>
      </c>
      <c r="AP64" s="891" t="s">
        <v>32</v>
      </c>
      <c r="AQ64" s="891" t="s">
        <v>1877</v>
      </c>
      <c r="AR64" s="891" t="s">
        <v>32</v>
      </c>
      <c r="AS64" s="891" t="s">
        <v>34</v>
      </c>
      <c r="AT64" s="891" t="s">
        <v>32</v>
      </c>
      <c r="AU64" s="891" t="s">
        <v>32</v>
      </c>
      <c r="AV64" s="891" t="s">
        <v>34</v>
      </c>
      <c r="AW64" s="891" t="s">
        <v>34</v>
      </c>
      <c r="AX64" s="891" t="s">
        <v>35</v>
      </c>
      <c r="AY64" s="906" t="s">
        <v>3496</v>
      </c>
      <c r="AZ64" s="891" t="s">
        <v>1877</v>
      </c>
      <c r="BA64" s="891" t="s">
        <v>35</v>
      </c>
      <c r="BB64" s="904" t="s">
        <v>3499</v>
      </c>
      <c r="BC64" s="891" t="s">
        <v>32</v>
      </c>
      <c r="BD64" s="891" t="s">
        <v>35</v>
      </c>
      <c r="BE64" s="891" t="s">
        <v>32</v>
      </c>
      <c r="BF64" s="891" t="s">
        <v>32</v>
      </c>
      <c r="BG64" s="891" t="s">
        <v>3484</v>
      </c>
      <c r="BH64" s="891" t="s">
        <v>32</v>
      </c>
      <c r="BI64" s="891" t="s">
        <v>36</v>
      </c>
      <c r="BJ64" s="891" t="s">
        <v>32</v>
      </c>
      <c r="BK64" s="891" t="s">
        <v>1877</v>
      </c>
      <c r="BL64" s="891"/>
      <c r="BM64" s="891"/>
      <c r="BN64" s="910"/>
      <c r="BO64" s="891"/>
      <c r="BP64" s="891"/>
      <c r="BQ64" s="891"/>
      <c r="BR64" s="891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  <c r="CE64" s="896"/>
      <c r="CF64" s="896"/>
    </row>
    <row r="65" spans="1:84" ht="15">
      <c r="A65" s="882">
        <v>6519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19</v>
      </c>
      <c r="G65" s="879" t="s">
        <v>885</v>
      </c>
      <c r="H65" s="879" t="s">
        <v>18</v>
      </c>
      <c r="I65" s="879" t="s">
        <v>891</v>
      </c>
      <c r="J65" s="846">
        <v>1</v>
      </c>
      <c r="K65" s="846">
        <v>1</v>
      </c>
      <c r="L65" s="816" t="str">
        <f t="shared" si="27"/>
        <v>D</v>
      </c>
      <c r="M65" s="816">
        <f t="shared" si="28"/>
        <v>2</v>
      </c>
      <c r="N65" s="816" t="str">
        <f t="shared" si="29"/>
        <v>U</v>
      </c>
      <c r="O65" s="816">
        <f t="shared" si="50"/>
        <v>-0.75</v>
      </c>
      <c r="P65" s="829">
        <f t="shared" si="51"/>
        <v>-1</v>
      </c>
      <c r="Q65" s="830">
        <v>0.75</v>
      </c>
      <c r="R65" s="871">
        <f t="shared" si="21"/>
        <v>-0.75</v>
      </c>
      <c r="S65" s="830">
        <v>2.5499999999999998</v>
      </c>
      <c r="T65" s="871">
        <f t="shared" si="22"/>
        <v>-0.54999999999999982</v>
      </c>
      <c r="U65" s="868">
        <f t="shared" si="52"/>
        <v>1.65</v>
      </c>
      <c r="V65" s="868">
        <f t="shared" si="53"/>
        <v>0.89999999999999991</v>
      </c>
      <c r="W65" s="829">
        <v>12</v>
      </c>
      <c r="X65" s="829">
        <v>17</v>
      </c>
      <c r="Y65" s="829">
        <v>6</v>
      </c>
      <c r="Z65" s="829">
        <v>4</v>
      </c>
      <c r="AA65" s="829">
        <v>55</v>
      </c>
      <c r="AB65" s="829">
        <v>45</v>
      </c>
      <c r="AC65" s="829"/>
      <c r="AD65" s="816" t="str">
        <f t="array" ref="AD65">IF($J65="","",IF(SUM(IF(ISNUMBER(VALUE(RIGHT($AG65:$CK65,1))),VALUE(RIGHT($AG65:$CK65,1)),0))=$J65,"T","F"))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IF($J65="","",SUM(IF(LEFT($AG65:$DC65,1)="X",1,0)))</f>
        <v>11</v>
      </c>
      <c r="AG65" s="230" t="s">
        <v>32</v>
      </c>
      <c r="AH65" s="891" t="s">
        <v>34</v>
      </c>
      <c r="AI65" s="891" t="s">
        <v>1877</v>
      </c>
      <c r="AJ65" s="891" t="s">
        <v>32</v>
      </c>
      <c r="AK65" s="891" t="s">
        <v>32</v>
      </c>
      <c r="AL65" s="891" t="s">
        <v>34</v>
      </c>
      <c r="AM65" s="891" t="s">
        <v>34</v>
      </c>
      <c r="AN65" s="891" t="s">
        <v>1877</v>
      </c>
      <c r="AO65" s="891" t="s">
        <v>32</v>
      </c>
      <c r="AP65" s="891" t="s">
        <v>32</v>
      </c>
      <c r="AQ65" s="891" t="s">
        <v>1877</v>
      </c>
      <c r="AR65" s="891" t="s">
        <v>32</v>
      </c>
      <c r="AS65" s="891" t="s">
        <v>34</v>
      </c>
      <c r="AT65" s="891" t="s">
        <v>32</v>
      </c>
      <c r="AU65" s="891" t="s">
        <v>32</v>
      </c>
      <c r="AV65" s="891" t="s">
        <v>34</v>
      </c>
      <c r="AW65" s="891" t="s">
        <v>34</v>
      </c>
      <c r="AX65" s="891" t="s">
        <v>34</v>
      </c>
      <c r="AY65" s="891" t="s">
        <v>1877</v>
      </c>
      <c r="AZ65" s="904" t="s">
        <v>36</v>
      </c>
      <c r="BA65" s="891" t="s">
        <v>35</v>
      </c>
      <c r="BB65" s="891" t="s">
        <v>34</v>
      </c>
      <c r="BC65" s="891" t="s">
        <v>32</v>
      </c>
      <c r="BD65" s="891" t="s">
        <v>35</v>
      </c>
      <c r="BE65" s="891" t="s">
        <v>32</v>
      </c>
      <c r="BF65" s="891" t="s">
        <v>32</v>
      </c>
      <c r="BG65" s="891" t="s">
        <v>3525</v>
      </c>
      <c r="BH65" s="891" t="s">
        <v>32</v>
      </c>
      <c r="BI65" s="891" t="s">
        <v>36</v>
      </c>
      <c r="BJ65" s="891" t="s">
        <v>32</v>
      </c>
      <c r="BK65" s="891" t="s">
        <v>36</v>
      </c>
      <c r="BL65" s="891"/>
      <c r="BM65" s="891"/>
      <c r="BN65" s="910"/>
      <c r="BO65" s="891"/>
      <c r="BP65" s="891"/>
      <c r="BQ65" s="891"/>
      <c r="BR65" s="891"/>
      <c r="BS65" s="896"/>
      <c r="BT65" s="896"/>
      <c r="BU65" s="897"/>
      <c r="BV65" s="897"/>
      <c r="BW65" s="897"/>
      <c r="BX65" s="897"/>
      <c r="BY65" s="897"/>
      <c r="BZ65" s="896"/>
      <c r="CA65" s="896"/>
      <c r="CB65" s="896"/>
      <c r="CC65" s="896"/>
      <c r="CD65" s="896"/>
      <c r="CE65" s="896"/>
      <c r="CF65" s="896"/>
    </row>
    <row r="66" spans="1:84" ht="15">
      <c r="A66" s="882">
        <v>6525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4</v>
      </c>
      <c r="G66" s="879" t="s">
        <v>1084</v>
      </c>
      <c r="H66" s="879" t="s">
        <v>18</v>
      </c>
      <c r="I66" s="879" t="s">
        <v>891</v>
      </c>
      <c r="J66" s="846">
        <v>1</v>
      </c>
      <c r="K66" s="846">
        <v>1</v>
      </c>
      <c r="L66" s="816" t="str">
        <f t="shared" si="27"/>
        <v>D</v>
      </c>
      <c r="M66" s="816">
        <f t="shared" si="28"/>
        <v>2</v>
      </c>
      <c r="N66" s="816" t="str">
        <f t="shared" si="29"/>
        <v>U</v>
      </c>
      <c r="O66" s="816">
        <f t="shared" si="50"/>
        <v>0.25</v>
      </c>
      <c r="P66" s="829">
        <f t="shared" si="51"/>
        <v>0.5</v>
      </c>
      <c r="Q66" s="830">
        <v>-0.15</v>
      </c>
      <c r="R66" s="871">
        <f t="shared" si="21"/>
        <v>0.15</v>
      </c>
      <c r="S66" s="830">
        <v>2.5299999999999998</v>
      </c>
      <c r="T66" s="871">
        <f t="shared" si="22"/>
        <v>-0.5299999999999998</v>
      </c>
      <c r="U66" s="868">
        <f t="shared" si="52"/>
        <v>1.19</v>
      </c>
      <c r="V66" s="868">
        <f t="shared" si="53"/>
        <v>1.3399999999999999</v>
      </c>
      <c r="W66" s="829">
        <v>5</v>
      </c>
      <c r="X66" s="829">
        <v>14</v>
      </c>
      <c r="Y66" s="829">
        <v>1</v>
      </c>
      <c r="Z66" s="829">
        <v>7</v>
      </c>
      <c r="AA66" s="829">
        <v>49</v>
      </c>
      <c r="AB66" s="829">
        <v>51</v>
      </c>
      <c r="AC66" s="829"/>
      <c r="AD66" s="816" t="str">
        <f t="array" ref="AD66">IF($J66="","",IF(SUM(IF(ISNUMBER(VALUE(RIGHT($AG66:$CK66,1))),VALUE(RIGHT($AG66:$CK66,1)),0))=$J66,"T","F"))</f>
        <v>T</v>
      </c>
      <c r="AE66" s="831">
        <f t="array" ref="AE66">IF($J66="","",SUM(IF(LEFT($AG66:$DW66,1)="s",1,0))-SUM(IF(RIGHT(LEFT($AG66:$DW66,2))="-",1,0)))</f>
        <v>0</v>
      </c>
      <c r="AF66" s="816">
        <f t="array" ref="AF66">IF($J66="","",SUM(IF(LEFT($AG66:$DC66,1)="X",1,0)))</f>
        <v>11</v>
      </c>
      <c r="AG66" s="891" t="s">
        <v>1877</v>
      </c>
      <c r="AH66" s="891" t="s">
        <v>32</v>
      </c>
      <c r="AI66" s="891" t="s">
        <v>34</v>
      </c>
      <c r="AJ66" s="891" t="s">
        <v>32</v>
      </c>
      <c r="AK66" s="891" t="s">
        <v>32</v>
      </c>
      <c r="AL66" s="891" t="s">
        <v>34</v>
      </c>
      <c r="AM66" s="891" t="s">
        <v>34</v>
      </c>
      <c r="AN66" s="891" t="s">
        <v>36</v>
      </c>
      <c r="AO66" s="891" t="s">
        <v>32</v>
      </c>
      <c r="AP66" s="891" t="s">
        <v>32</v>
      </c>
      <c r="AQ66" s="891" t="s">
        <v>1877</v>
      </c>
      <c r="AR66" s="891" t="s">
        <v>32</v>
      </c>
      <c r="AS66" s="891" t="s">
        <v>35</v>
      </c>
      <c r="AT66" s="891" t="s">
        <v>32</v>
      </c>
      <c r="AU66" s="891" t="s">
        <v>32</v>
      </c>
      <c r="AV66" s="891" t="s">
        <v>34</v>
      </c>
      <c r="AW66" s="891" t="s">
        <v>34</v>
      </c>
      <c r="AX66" s="891" t="s">
        <v>1877</v>
      </c>
      <c r="AY66" s="891" t="s">
        <v>34</v>
      </c>
      <c r="AZ66" s="891" t="s">
        <v>36</v>
      </c>
      <c r="BA66" s="891" t="s">
        <v>35</v>
      </c>
      <c r="BB66" s="891" t="s">
        <v>3545</v>
      </c>
      <c r="BC66" s="891" t="s">
        <v>32</v>
      </c>
      <c r="BD66" s="891" t="s">
        <v>36</v>
      </c>
      <c r="BE66" s="891" t="s">
        <v>32</v>
      </c>
      <c r="BF66" s="891" t="s">
        <v>32</v>
      </c>
      <c r="BG66" s="891" t="s">
        <v>34</v>
      </c>
      <c r="BH66" s="891" t="s">
        <v>32</v>
      </c>
      <c r="BI66" s="904" t="s">
        <v>35</v>
      </c>
      <c r="BJ66" s="891" t="s">
        <v>32</v>
      </c>
      <c r="BK66" s="891" t="s">
        <v>1877</v>
      </c>
      <c r="BL66" s="891"/>
      <c r="BM66" s="891"/>
      <c r="BN66" s="910"/>
      <c r="BO66" s="891"/>
      <c r="BP66" s="891"/>
      <c r="BQ66" s="891"/>
      <c r="BR66" s="891"/>
      <c r="BS66" s="896"/>
      <c r="BT66" s="896"/>
      <c r="BU66" s="897"/>
      <c r="BV66" s="897"/>
      <c r="BW66" s="897"/>
      <c r="BX66" s="897"/>
      <c r="BY66" s="897"/>
      <c r="BZ66" s="896"/>
      <c r="CA66" s="896"/>
      <c r="CB66" s="896"/>
      <c r="CC66" s="896"/>
      <c r="CD66" s="896"/>
      <c r="CE66" s="896"/>
      <c r="CF66" s="896"/>
    </row>
    <row r="67" spans="1:84" ht="15">
      <c r="A67" s="882">
        <v>6533</v>
      </c>
      <c r="B67" s="884"/>
      <c r="C67" s="884"/>
      <c r="D67" s="884">
        <f ca="1">IF(I67=Table!$C$1,VLOOKUP(G67,Table!$B$38:$AO$61,Table!$AO$35-1,FALSE),"")</f>
        <v>0</v>
      </c>
      <c r="E67" s="884"/>
      <c r="F67" s="884">
        <f ca="1">IF(I67="","",IF(I67=Table!$C$1,VLOOKUP(G67,Table!$B$9:$AE$32,Table!$AE$6-1,FALSE),""))</f>
        <v>12</v>
      </c>
      <c r="G67" s="879" t="s">
        <v>879</v>
      </c>
      <c r="H67" s="879" t="s">
        <v>22</v>
      </c>
      <c r="I67" s="879" t="s">
        <v>891</v>
      </c>
      <c r="J67" s="846">
        <v>0</v>
      </c>
      <c r="K67" s="846">
        <v>1</v>
      </c>
      <c r="L67" s="816" t="str">
        <f t="shared" si="27"/>
        <v>L</v>
      </c>
      <c r="M67" s="816">
        <f t="shared" si="28"/>
        <v>1</v>
      </c>
      <c r="N67" s="816" t="str">
        <f t="shared" si="29"/>
        <v>U</v>
      </c>
      <c r="O67" s="816">
        <f t="shared" si="50"/>
        <v>-0.75</v>
      </c>
      <c r="P67" s="829">
        <f t="shared" si="51"/>
        <v>-1</v>
      </c>
      <c r="Q67" s="830">
        <v>0.85</v>
      </c>
      <c r="R67" s="871">
        <f t="shared" si="21"/>
        <v>-1.85</v>
      </c>
      <c r="S67" s="830">
        <v>2.75</v>
      </c>
      <c r="T67" s="871">
        <f t="shared" si="22"/>
        <v>-1.75</v>
      </c>
      <c r="U67" s="868">
        <f t="shared" si="52"/>
        <v>1.8</v>
      </c>
      <c r="V67" s="868">
        <f t="shared" si="53"/>
        <v>0.95</v>
      </c>
      <c r="W67" s="829">
        <v>23</v>
      </c>
      <c r="X67" s="829">
        <v>14</v>
      </c>
      <c r="Y67" s="829">
        <v>5</v>
      </c>
      <c r="Z67" s="829">
        <v>5</v>
      </c>
      <c r="AA67" s="829">
        <v>54</v>
      </c>
      <c r="AB67" s="829">
        <v>46</v>
      </c>
      <c r="AC67" s="829"/>
      <c r="AD67" s="816" t="str">
        <f t="array" ref="AD67">IF($J67="","",IF(SUM(IF(ISNUMBER(VALUE(RIGHT($AG67:$CK67,1))),VALUE(RIGHT($AG67:$CK67,1)),0))=$J67,"T","F"))</f>
        <v>T</v>
      </c>
      <c r="AE67" s="831">
        <f t="array" ref="AE67">IF($J67="","",SUM(IF(LEFT($AG67:$DW67,1)="s",1,0))-SUM(IF(RIGHT(LEFT($AG67:$DW67,2))="-",1,0)))</f>
        <v>0</v>
      </c>
      <c r="AF67" s="816">
        <f t="array" ref="AF67">IF($J67="","",SUM(IF(LEFT($AG67:$DC67,1)="X",1,0)))</f>
        <v>11</v>
      </c>
      <c r="AG67" s="891" t="s">
        <v>1877</v>
      </c>
      <c r="AH67" s="891" t="s">
        <v>32</v>
      </c>
      <c r="AI67" s="891" t="s">
        <v>34</v>
      </c>
      <c r="AJ67" s="891" t="s">
        <v>32</v>
      </c>
      <c r="AK67" s="891" t="s">
        <v>32</v>
      </c>
      <c r="AL67" s="891" t="s">
        <v>34</v>
      </c>
      <c r="AM67" s="891" t="s">
        <v>34</v>
      </c>
      <c r="AN67" s="891" t="s">
        <v>1877</v>
      </c>
      <c r="AO67" s="891" t="s">
        <v>32</v>
      </c>
      <c r="AP67" s="891" t="s">
        <v>32</v>
      </c>
      <c r="AQ67" s="891" t="s">
        <v>1877</v>
      </c>
      <c r="AR67" s="891" t="s">
        <v>32</v>
      </c>
      <c r="AS67" s="891" t="s">
        <v>35</v>
      </c>
      <c r="AT67" s="891" t="s">
        <v>32</v>
      </c>
      <c r="AU67" s="891" t="s">
        <v>32</v>
      </c>
      <c r="AV67" s="891" t="s">
        <v>34</v>
      </c>
      <c r="AW67" s="891" t="s">
        <v>34</v>
      </c>
      <c r="AX67" s="891" t="s">
        <v>1877</v>
      </c>
      <c r="AY67" s="891" t="s">
        <v>34</v>
      </c>
      <c r="AZ67" s="891" t="s">
        <v>36</v>
      </c>
      <c r="BA67" s="891" t="s">
        <v>35</v>
      </c>
      <c r="BB67" s="891" t="s">
        <v>34</v>
      </c>
      <c r="BC67" s="891" t="s">
        <v>32</v>
      </c>
      <c r="BD67" s="891" t="s">
        <v>36</v>
      </c>
      <c r="BE67" s="891" t="s">
        <v>32</v>
      </c>
      <c r="BF67" s="891" t="s">
        <v>32</v>
      </c>
      <c r="BG67" s="891" t="s">
        <v>34</v>
      </c>
      <c r="BH67" s="891" t="s">
        <v>32</v>
      </c>
      <c r="BI67" s="891" t="s">
        <v>35</v>
      </c>
      <c r="BJ67" s="891" t="s">
        <v>32</v>
      </c>
      <c r="BK67" s="891" t="s">
        <v>36</v>
      </c>
      <c r="BL67" s="891"/>
      <c r="BM67" s="891"/>
      <c r="BN67" s="910"/>
      <c r="BO67" s="891"/>
      <c r="BP67" s="891"/>
      <c r="BQ67" s="891"/>
      <c r="BR67" s="891"/>
      <c r="BS67" s="896"/>
      <c r="BT67" s="896"/>
      <c r="BU67" s="897"/>
      <c r="BV67" s="897"/>
      <c r="BW67" s="897"/>
      <c r="BX67" s="897"/>
      <c r="BY67" s="897"/>
      <c r="BZ67" s="896"/>
      <c r="CA67" s="896"/>
      <c r="CB67" s="896"/>
      <c r="CC67" s="896"/>
      <c r="CD67" s="896"/>
      <c r="CE67" s="896"/>
      <c r="CF67" s="896"/>
    </row>
    <row r="68" spans="1:84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2"/>
        <v/>
      </c>
      <c r="U68" s="868" t="str">
        <f t="shared" si="52"/>
        <v/>
      </c>
      <c r="V68" s="868" t="str">
        <f t="shared" si="53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IF($J68="","",IF(SUM(IF(ISNUMBER(VALUE(RIGHT($AG68:$CK68,1))),VALUE(RIGHT($AG68:$CK68,1)),0))=$J68,"T","F"))</f>
        <v/>
      </c>
      <c r="AE68" s="831" t="str">
        <f t="array" ref="AE68">IF($J68="","",SUM(IF(LEFT($AG68:$DW68,1)="s",1,0))-SUM(IF(RIGHT(LEFT($AG68:$DW68,2))="-",1,0)))</f>
        <v/>
      </c>
      <c r="AF68" s="816" t="str">
        <f t="array" ref="AF68">IF($J68="","",SUM(IF(LEFT($AG68:$DC68,1)="X",1,0)))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6"/>
      <c r="BT68" s="896"/>
      <c r="BU68" s="897"/>
      <c r="BV68" s="897"/>
      <c r="BW68" s="897"/>
      <c r="BX68" s="897"/>
      <c r="BY68" s="897"/>
      <c r="BZ68" s="896"/>
      <c r="CA68" s="896"/>
      <c r="CB68" s="896"/>
      <c r="CC68" s="896"/>
      <c r="CD68" s="896"/>
      <c r="CE68" s="896"/>
      <c r="CF68" s="896"/>
    </row>
    <row r="69" spans="1:84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71" t="str">
        <f t="shared" si="22"/>
        <v/>
      </c>
      <c r="U69" s="868" t="str">
        <f t="shared" si="52"/>
        <v/>
      </c>
      <c r="V69" s="868" t="str">
        <f t="shared" si="53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IF($J69="","",IF(SUM(IF(ISNUMBER(VALUE(RIGHT($AG69:$CK69,1))),VALUE(RIGHT($AG69:$CK69,1)),0))=$J69,"T","F"))</f>
        <v/>
      </c>
      <c r="AE69" s="831" t="str">
        <f t="array" ref="AE69">IF($J69="","",SUM(IF(LEFT($AG69:$DW69,1)="s",1,0))-SUM(IF(RIGHT(LEFT($AG69:$DW69,2))="-",1,0)))</f>
        <v/>
      </c>
      <c r="AF69" s="816" t="str">
        <f t="array" ref="AF69">IF($J69="","",SUM(IF(LEFT($AG69:$DC69,1)="X",1,0)))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6"/>
      <c r="BT69" s="896"/>
      <c r="BU69" s="897"/>
      <c r="BV69" s="897"/>
      <c r="BW69" s="897"/>
      <c r="BX69" s="897"/>
      <c r="BY69" s="897"/>
      <c r="BZ69" s="896"/>
      <c r="CA69" s="896"/>
      <c r="CB69" s="896"/>
      <c r="CC69" s="896"/>
      <c r="CD69" s="896"/>
      <c r="CE69" s="896"/>
      <c r="CF69" s="896"/>
    </row>
    <row r="70" spans="1:84" ht="15">
      <c r="A70" s="881"/>
      <c r="B70" s="884"/>
      <c r="C70" s="884"/>
      <c r="D70" s="884"/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71" t="str">
        <f t="shared" ref="T70" si="54">IF(ISBLANK(S70),"",J70+K70-S70)</f>
        <v/>
      </c>
      <c r="U70" s="868" t="str">
        <f t="shared" ref="U70" si="55">IF(Q70="","",(Q70+S70)/2)</f>
        <v/>
      </c>
      <c r="V70" s="868" t="str">
        <f t="shared" ref="V70" si="56">IF(Q70="","",S70-U70)</f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IF($J70="","",IF(SUM(IF(ISNUMBER(VALUE(RIGHT($AG70:$CK70,1))),VALUE(RIGHT($AG70:$CK70,1)),0))=$J70,"T","F"))</f>
        <v/>
      </c>
      <c r="AE70" s="831" t="str">
        <f t="array" ref="AE70">IF($J70="","",SUM(IF(LEFT($AG70:$DW70,1)="s",1,0))-SUM(IF(RIGHT(LEFT($AG70:$DW70,2))="-",1,0)))</f>
        <v/>
      </c>
      <c r="AF70" s="816" t="str">
        <f t="array" ref="AF70">IF($J70="","",SUM(IF(LEFT($AG70:$DC70,1)="X",1,0)))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6"/>
      <c r="BT70" s="896"/>
      <c r="BU70" s="897"/>
      <c r="BV70" s="897"/>
      <c r="BW70" s="897"/>
      <c r="BX70" s="897"/>
      <c r="BY70" s="897"/>
      <c r="BZ70" s="896"/>
      <c r="CA70" s="896"/>
      <c r="CB70" s="896"/>
      <c r="CC70" s="896"/>
      <c r="CD70" s="896"/>
      <c r="CE70" s="896"/>
      <c r="CF70" s="896"/>
    </row>
    <row r="71" spans="1:84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6"/>
      <c r="BT71" s="896"/>
      <c r="BU71" s="897"/>
      <c r="BV71" s="897"/>
      <c r="BW71" s="897"/>
      <c r="BX71" s="897"/>
      <c r="BY71" s="897"/>
      <c r="BZ71" s="896"/>
      <c r="CA71" s="896"/>
      <c r="CB71" s="896"/>
      <c r="CC71" s="896"/>
      <c r="CD71" s="896"/>
      <c r="CE71" s="896"/>
      <c r="CF71" s="896"/>
    </row>
    <row r="72" spans="1:84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6"/>
      <c r="AH72" s="896"/>
      <c r="AI72" s="896"/>
      <c r="AJ72" s="893"/>
      <c r="AK72" s="896"/>
      <c r="AL72" s="896"/>
      <c r="AM72" s="896"/>
      <c r="AN72" s="896"/>
      <c r="AO72" s="896"/>
      <c r="AP72" s="896"/>
      <c r="AQ72" s="896"/>
      <c r="AR72" s="896"/>
      <c r="AS72" s="896"/>
      <c r="AT72" s="896"/>
      <c r="AU72" s="896"/>
      <c r="AV72" s="896"/>
      <c r="AW72" s="896"/>
      <c r="AX72" s="896"/>
      <c r="AY72" s="896"/>
      <c r="AZ72" s="896"/>
      <c r="BA72" s="896"/>
      <c r="BB72" s="896"/>
      <c r="BC72" s="893"/>
      <c r="BD72" s="893"/>
      <c r="BE72" s="893"/>
      <c r="BF72" s="896"/>
      <c r="BG72" s="896"/>
      <c r="BH72" s="896"/>
      <c r="BI72" s="896"/>
      <c r="BJ72" s="896"/>
      <c r="BK72" s="896"/>
      <c r="BL72" s="896"/>
      <c r="BM72" s="896"/>
      <c r="BN72" s="893"/>
      <c r="BO72" s="896"/>
      <c r="BP72" s="893"/>
      <c r="BQ72" s="896"/>
      <c r="BR72" s="893"/>
      <c r="BS72" s="896"/>
      <c r="BT72" s="896"/>
      <c r="BU72" s="897"/>
      <c r="BV72" s="897"/>
      <c r="BW72" s="897"/>
      <c r="BX72" s="897"/>
      <c r="BY72" s="897"/>
      <c r="BZ72" s="896"/>
      <c r="CA72" s="896"/>
      <c r="CB72" s="896"/>
      <c r="CC72" s="896"/>
      <c r="CD72" s="896"/>
      <c r="CE72" s="896"/>
      <c r="CF72" s="896"/>
    </row>
    <row r="73" spans="1:84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6"/>
      <c r="AH73" s="896"/>
      <c r="AI73" s="896"/>
      <c r="AJ73" s="893"/>
      <c r="AK73" s="896"/>
      <c r="AL73" s="896"/>
      <c r="AM73" s="896"/>
      <c r="AN73" s="896"/>
      <c r="AO73" s="896"/>
      <c r="AP73" s="896"/>
      <c r="AQ73" s="896"/>
      <c r="AR73" s="896"/>
      <c r="AS73" s="896"/>
      <c r="AT73" s="896"/>
      <c r="AU73" s="896"/>
      <c r="AV73" s="896"/>
      <c r="AW73" s="896"/>
      <c r="AX73" s="896"/>
      <c r="AY73" s="896"/>
      <c r="AZ73" s="896"/>
      <c r="BA73" s="896"/>
      <c r="BB73" s="896"/>
      <c r="BC73" s="893"/>
      <c r="BD73" s="893"/>
      <c r="BE73" s="893"/>
      <c r="BF73" s="896"/>
      <c r="BG73" s="896"/>
      <c r="BH73" s="896"/>
      <c r="BI73" s="896"/>
      <c r="BJ73" s="896"/>
      <c r="BK73" s="896"/>
      <c r="BL73" s="896"/>
      <c r="BM73" s="896"/>
      <c r="BN73" s="893"/>
      <c r="BO73" s="896"/>
      <c r="BP73" s="893"/>
      <c r="BQ73" s="896"/>
      <c r="BR73" s="893"/>
      <c r="BS73" s="896"/>
      <c r="BT73" s="896"/>
      <c r="BU73" s="897"/>
      <c r="BV73" s="897"/>
      <c r="BW73" s="897"/>
      <c r="BX73" s="897"/>
      <c r="BY73" s="897"/>
      <c r="BZ73" s="896"/>
      <c r="CA73" s="896"/>
      <c r="CB73" s="896"/>
      <c r="CC73" s="896"/>
      <c r="CD73" s="896"/>
      <c r="CE73" s="896"/>
      <c r="CF73" s="896"/>
    </row>
    <row r="74" spans="1:84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ref="L74:L131" si="57">IF(J74="","",IF(J74&gt;K74,"W",IF(J74=K74,"D",IF(J74&lt;K74,"L"))))</f>
        <v/>
      </c>
      <c r="M74" s="816" t="str">
        <f t="shared" ref="M74:M131" si="58">IF(J74="","",J74+K74)</f>
        <v/>
      </c>
      <c r="N74" s="816" t="str">
        <f t="shared" ref="N74:N131" si="59">IF($J74="","",IF($M74&gt;N$19,"O",IF($M74&lt;N$19,"U",IF($M74=N$19,"-"))))</f>
        <v/>
      </c>
      <c r="R74" s="816" t="str">
        <f t="shared" ref="R74:R131" si="60">IF(ISBLANK(Q74),"",J74-K74-Q74)</f>
        <v/>
      </c>
      <c r="T74" s="829" t="str">
        <f t="shared" ref="T74:T131" si="61">IF(ISBLANK(S74),"",J74+K74-S74)</f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IF($J74="","",IF(SUM(IF(ISNUMBER(VALUE(RIGHT($AG74:$CK74,1))),VALUE(RIGHT($AG74:$CK74,1)),0))=$J74,"T","F"))</f>
        <v/>
      </c>
      <c r="AE74" s="831" t="str">
        <f t="array" ref="AE74">IF($J74="","",SUM(IF(LEFT($AG74:$DW74,1)="s",1,0))-SUM(IF(RIGHT(LEFT($AG74:$DW74,2))="-",1,0)))</f>
        <v/>
      </c>
      <c r="AF74" s="816" t="str">
        <f t="array" ref="AF74">IF($J74="","",SUM(IF(LEFT($AG74:$DC74,1)="X",1,0)))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3"/>
      <c r="BD74" s="893"/>
      <c r="BE74" s="893"/>
      <c r="BF74" s="897"/>
      <c r="BG74" s="897"/>
      <c r="BH74" s="897"/>
      <c r="BI74" s="897"/>
      <c r="BJ74" s="897"/>
      <c r="BK74" s="897"/>
      <c r="BL74" s="897"/>
      <c r="BM74" s="897"/>
      <c r="BN74" s="893"/>
      <c r="BO74" s="897"/>
      <c r="BP74" s="893"/>
      <c r="BQ74" s="897"/>
      <c r="BR74" s="893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</row>
    <row r="75" spans="1:84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57"/>
        <v/>
      </c>
      <c r="M75" s="816" t="str">
        <f t="shared" si="58"/>
        <v/>
      </c>
      <c r="N75" s="816" t="str">
        <f t="shared" si="59"/>
        <v/>
      </c>
      <c r="R75" s="816" t="str">
        <f t="shared" si="60"/>
        <v/>
      </c>
      <c r="T75" s="829" t="str">
        <f t="shared" si="61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IF($J75="","",IF(SUM(IF(ISNUMBER(VALUE(RIGHT($AG75:$CK75,1))),VALUE(RIGHT($AG75:$CK75,1)),0))=$J75,"T","F"))</f>
        <v/>
      </c>
      <c r="AE75" s="831" t="str">
        <f t="array" ref="AE75">IF($J75="","",SUM(IF(LEFT($AG75:$DW75,1)="s",1,0))-SUM(IF(RIGHT(LEFT($AG75:$DW75,2))="-",1,0)))</f>
        <v/>
      </c>
      <c r="AF75" s="816" t="str">
        <f t="array" ref="AF75">IF($J75="","",SUM(IF(LEFT($AG75:$DC75,1)="X",1,0)))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3"/>
      <c r="BD75" s="893"/>
      <c r="BE75" s="893"/>
      <c r="BF75" s="897"/>
      <c r="BG75" s="897"/>
      <c r="BH75" s="897"/>
      <c r="BI75" s="897"/>
      <c r="BJ75" s="897"/>
      <c r="BK75" s="897"/>
      <c r="BL75" s="897"/>
      <c r="BM75" s="897"/>
      <c r="BN75" s="893"/>
      <c r="BO75" s="897"/>
      <c r="BP75" s="893"/>
      <c r="BQ75" s="897"/>
      <c r="BR75" s="893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</row>
    <row r="76" spans="1:84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57"/>
        <v/>
      </c>
      <c r="M76" s="816" t="str">
        <f t="shared" si="58"/>
        <v/>
      </c>
      <c r="N76" s="816" t="str">
        <f t="shared" si="59"/>
        <v/>
      </c>
      <c r="R76" s="816" t="str">
        <f t="shared" si="60"/>
        <v/>
      </c>
      <c r="T76" s="829" t="str">
        <f t="shared" si="61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IF($J76="","",IF(SUM(IF(ISNUMBER(VALUE(RIGHT($AG76:$CK76,1))),VALUE(RIGHT($AG76:$CK76,1)),0))=$J76,"T","F"))</f>
        <v/>
      </c>
      <c r="AE76" s="831" t="str">
        <f t="array" ref="AE76">IF($J76="","",SUM(IF(LEFT($AG76:$DW76,1)="s",1,0))-SUM(IF(RIGHT(LEFT($AG76:$DW76,2))="-",1,0)))</f>
        <v/>
      </c>
      <c r="AF76" s="816" t="str">
        <f t="array" ref="AF76">IF($J76="","",SUM(IF(LEFT($AG76:$DC76,1)="X",1,0)))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3"/>
      <c r="BD76" s="893"/>
      <c r="BE76" s="893"/>
      <c r="BF76" s="897"/>
      <c r="BG76" s="897"/>
      <c r="BH76" s="897"/>
      <c r="BI76" s="897"/>
      <c r="BJ76" s="897"/>
      <c r="BK76" s="897"/>
      <c r="BL76" s="897"/>
      <c r="BM76" s="897"/>
      <c r="BN76" s="893"/>
      <c r="BO76" s="897"/>
      <c r="BP76" s="893"/>
      <c r="BQ76" s="897"/>
      <c r="BR76" s="893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</row>
    <row r="77" spans="1:84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428"/>
      <c r="K77" s="428"/>
      <c r="L77" s="816" t="str">
        <f t="shared" si="57"/>
        <v/>
      </c>
      <c r="M77" s="816" t="str">
        <f t="shared" si="58"/>
        <v/>
      </c>
      <c r="N77" s="816" t="str">
        <f t="shared" si="59"/>
        <v/>
      </c>
      <c r="R77" s="816" t="str">
        <f t="shared" si="60"/>
        <v/>
      </c>
      <c r="T77" s="829" t="str">
        <f t="shared" si="61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IF($J77="","",IF(SUM(IF(ISNUMBER(VALUE(RIGHT($AG77:$CK77,1))),VALUE(RIGHT($AG77:$CK77,1)),0))=$J77,"T","F"))</f>
        <v/>
      </c>
      <c r="AE77" s="831" t="str">
        <f t="array" ref="AE77">IF($J77="","",SUM(IF(LEFT($AG77:$DW77,1)="s",1,0))-SUM(IF(RIGHT(LEFT($AG77:$DW77,2))="-",1,0)))</f>
        <v/>
      </c>
      <c r="AF77" s="816" t="str">
        <f t="array" ref="AF77">IF($J77="","",SUM(IF(LEFT($AG77:$DC77,1)="X",1,0)))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3"/>
      <c r="BD77" s="893"/>
      <c r="BE77" s="893"/>
      <c r="BF77" s="897"/>
      <c r="BG77" s="897"/>
      <c r="BH77" s="897"/>
      <c r="BI77" s="897"/>
      <c r="BJ77" s="897"/>
      <c r="BK77" s="897"/>
      <c r="BL77" s="897"/>
      <c r="BM77" s="897"/>
      <c r="BN77" s="893"/>
      <c r="BO77" s="897"/>
      <c r="BP77" s="893"/>
      <c r="BQ77" s="897"/>
      <c r="BR77" s="893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</row>
    <row r="78" spans="1:84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57"/>
        <v/>
      </c>
      <c r="M78" s="816" t="str">
        <f t="shared" si="58"/>
        <v/>
      </c>
      <c r="N78" s="816" t="str">
        <f t="shared" si="59"/>
        <v/>
      </c>
      <c r="R78" s="816" t="str">
        <f t="shared" si="60"/>
        <v/>
      </c>
      <c r="T78" s="829" t="str">
        <f t="shared" si="61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IF($J78="","",IF(SUM(IF(ISNUMBER(VALUE(RIGHT($AG78:$CK78,1))),VALUE(RIGHT($AG78:$CK78,1)),0))=$J78,"T","F"))</f>
        <v/>
      </c>
      <c r="AE78" s="831" t="str">
        <f t="array" ref="AE78">IF($J78="","",SUM(IF(LEFT($AG78:$DW78,1)="s",1,0))-SUM(IF(RIGHT(LEFT($AG78:$DW78,2))="-",1,0)))</f>
        <v/>
      </c>
      <c r="AF78" s="816" t="str">
        <f t="array" ref="AF78">IF($J78="","",SUM(IF(LEFT($AG78:$DC78,1)="X",1,0)))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3"/>
      <c r="BD78" s="893"/>
      <c r="BE78" s="893"/>
      <c r="BF78" s="897"/>
      <c r="BG78" s="897"/>
      <c r="BH78" s="897"/>
      <c r="BI78" s="897"/>
      <c r="BJ78" s="897"/>
      <c r="BK78" s="897"/>
      <c r="BL78" s="897"/>
      <c r="BM78" s="897"/>
      <c r="BN78" s="893"/>
      <c r="BO78" s="897"/>
      <c r="BP78" s="893"/>
      <c r="BQ78" s="897"/>
      <c r="BR78" s="893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</row>
    <row r="79" spans="1:84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7"/>
        <v/>
      </c>
      <c r="M79" s="816" t="str">
        <f t="shared" si="58"/>
        <v/>
      </c>
      <c r="N79" s="816" t="str">
        <f t="shared" si="59"/>
        <v/>
      </c>
      <c r="R79" s="816" t="str">
        <f t="shared" si="60"/>
        <v/>
      </c>
      <c r="T79" s="829" t="str">
        <f t="shared" si="61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IF($J79="","",IF(SUM(IF(ISNUMBER(VALUE(RIGHT($AG79:$CK79,1))),VALUE(RIGHT($AG79:$CK79,1)),0))=$J79,"T","F"))</f>
        <v/>
      </c>
      <c r="AE79" s="831" t="str">
        <f t="array" ref="AE79">IF($J79="","",SUM(IF(LEFT($AG79:$DW79,1)="s",1,0))-SUM(IF(RIGHT(LEFT($AG79:$DW79,2))="-",1,0)))</f>
        <v/>
      </c>
      <c r="AF79" s="816" t="str">
        <f t="array" ref="AF79">IF($J79="","",SUM(IF(LEFT($AG79:$DC79,1)="X",1,0)))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3"/>
      <c r="BD79" s="893"/>
      <c r="BE79" s="893"/>
      <c r="BF79" s="897"/>
      <c r="BG79" s="897"/>
      <c r="BH79" s="897"/>
      <c r="BI79" s="897"/>
      <c r="BJ79" s="897"/>
      <c r="BK79" s="897"/>
      <c r="BL79" s="897"/>
      <c r="BM79" s="897"/>
      <c r="BN79" s="893"/>
      <c r="BO79" s="897"/>
      <c r="BP79" s="893"/>
      <c r="BQ79" s="897"/>
      <c r="BR79" s="893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</row>
    <row r="80" spans="1:84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7"/>
        <v/>
      </c>
      <c r="M80" s="816" t="str">
        <f t="shared" si="58"/>
        <v/>
      </c>
      <c r="N80" s="816" t="str">
        <f t="shared" si="59"/>
        <v/>
      </c>
      <c r="R80" s="816" t="str">
        <f t="shared" si="60"/>
        <v/>
      </c>
      <c r="T80" s="829" t="str">
        <f t="shared" si="61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IF($J80="","",IF(SUM(IF(ISNUMBER(VALUE(RIGHT($AG80:$CK80,1))),VALUE(RIGHT($AG80:$CK80,1)),0))=$J80,"T","F"))</f>
        <v/>
      </c>
      <c r="AE80" s="831" t="str">
        <f t="array" ref="AE80">IF($J80="","",SUM(IF(LEFT($AG80:$DW80,1)="s",1,0))-SUM(IF(RIGHT(LEFT($AG80:$DW80,2))="-",1,0)))</f>
        <v/>
      </c>
      <c r="AF80" s="816" t="str">
        <f t="array" ref="AF80">IF($J80="","",SUM(IF(LEFT($AG80:$DC80,1)="X",1,0)))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3"/>
      <c r="BD80" s="893"/>
      <c r="BE80" s="893"/>
      <c r="BF80" s="897"/>
      <c r="BG80" s="897"/>
      <c r="BH80" s="897"/>
      <c r="BI80" s="897"/>
      <c r="BJ80" s="897"/>
      <c r="BK80" s="897"/>
      <c r="BL80" s="897"/>
      <c r="BM80" s="897"/>
      <c r="BN80" s="893"/>
      <c r="BO80" s="897"/>
      <c r="BP80" s="893"/>
      <c r="BQ80" s="897"/>
      <c r="BR80" s="893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</row>
    <row r="81" spans="1:84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7"/>
        <v/>
      </c>
      <c r="M81" s="816" t="str">
        <f t="shared" si="58"/>
        <v/>
      </c>
      <c r="N81" s="816" t="str">
        <f t="shared" si="59"/>
        <v/>
      </c>
      <c r="R81" s="816" t="str">
        <f t="shared" si="60"/>
        <v/>
      </c>
      <c r="T81" s="829" t="str">
        <f t="shared" si="61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IF($J81="","",IF(SUM(IF(ISNUMBER(VALUE(RIGHT($AG81:$CK81,1))),VALUE(RIGHT($AG81:$CK81,1)),0))=$J81,"T","F"))</f>
        <v/>
      </c>
      <c r="AE81" s="831" t="str">
        <f t="array" ref="AE81">IF($J81="","",SUM(IF(LEFT($AG81:$DW81,1)="s",1,0))-SUM(IF(RIGHT(LEFT($AG81:$DW81,2))="-",1,0)))</f>
        <v/>
      </c>
      <c r="AF81" s="816" t="str">
        <f t="array" ref="AF81">IF($J81="","",SUM(IF(LEFT($AG81:$DC81,1)="X",1,0)))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3"/>
      <c r="BD81" s="893"/>
      <c r="BE81" s="893"/>
      <c r="BF81" s="897"/>
      <c r="BG81" s="897"/>
      <c r="BH81" s="897"/>
      <c r="BI81" s="897"/>
      <c r="BJ81" s="897"/>
      <c r="BK81" s="897"/>
      <c r="BL81" s="897"/>
      <c r="BM81" s="897"/>
      <c r="BN81" s="893"/>
      <c r="BO81" s="897"/>
      <c r="BP81" s="893"/>
      <c r="BQ81" s="897"/>
      <c r="BR81" s="893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</row>
    <row r="82" spans="1:84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7"/>
        <v/>
      </c>
      <c r="M82" s="816" t="str">
        <f t="shared" si="58"/>
        <v/>
      </c>
      <c r="N82" s="816" t="str">
        <f t="shared" si="59"/>
        <v/>
      </c>
      <c r="R82" s="816" t="str">
        <f t="shared" si="60"/>
        <v/>
      </c>
      <c r="T82" s="829" t="str">
        <f t="shared" si="61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IF($J82="","",IF(SUM(IF(ISNUMBER(VALUE(RIGHT($AG82:$CK82,1))),VALUE(RIGHT($AG82:$CK82,1)),0))=$J82,"T","F"))</f>
        <v/>
      </c>
      <c r="AE82" s="831" t="str">
        <f t="array" ref="AE82">IF($J82="","",SUM(IF(LEFT($AG82:$DW82,1)="s",1,0))-SUM(IF(RIGHT(LEFT($AG82:$DW82,2))="-",1,0)))</f>
        <v/>
      </c>
      <c r="AF82" s="816" t="str">
        <f t="array" ref="AF82">IF($J82="","",SUM(IF(LEFT($AG82:$DC82,1)="X",1,0)))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3"/>
      <c r="BD82" s="893"/>
      <c r="BE82" s="893"/>
      <c r="BF82" s="897"/>
      <c r="BG82" s="897"/>
      <c r="BH82" s="897"/>
      <c r="BI82" s="897"/>
      <c r="BJ82" s="897"/>
      <c r="BK82" s="897"/>
      <c r="BL82" s="897"/>
      <c r="BM82" s="897"/>
      <c r="BN82" s="893"/>
      <c r="BO82" s="897"/>
      <c r="BP82" s="893"/>
      <c r="BQ82" s="897"/>
      <c r="BR82" s="893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</row>
    <row r="83" spans="1:84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7"/>
        <v/>
      </c>
      <c r="M83" s="816" t="str">
        <f t="shared" si="58"/>
        <v/>
      </c>
      <c r="N83" s="816" t="str">
        <f t="shared" si="59"/>
        <v/>
      </c>
      <c r="R83" s="816" t="str">
        <f t="shared" si="60"/>
        <v/>
      </c>
      <c r="T83" s="829" t="str">
        <f t="shared" si="61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IF($J83="","",IF(SUM(IF(ISNUMBER(VALUE(RIGHT($AG83:$CK83,1))),VALUE(RIGHT($AG83:$CK83,1)),0))=$J83,"T","F"))</f>
        <v/>
      </c>
      <c r="AE83" s="831" t="str">
        <f t="array" ref="AE83">IF($J83="","",SUM(IF(LEFT($AG83:$DW83,1)="s",1,0))-SUM(IF(RIGHT(LEFT($AG83:$DW83,2))="-",1,0)))</f>
        <v/>
      </c>
      <c r="AF83" s="816" t="str">
        <f t="array" ref="AF83">IF($J83="","",SUM(IF(LEFT($AG83:$DC83,1)="X",1,0)))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3"/>
      <c r="BD83" s="893"/>
      <c r="BE83" s="893"/>
      <c r="BF83" s="897"/>
      <c r="BG83" s="897"/>
      <c r="BH83" s="897"/>
      <c r="BI83" s="897"/>
      <c r="BJ83" s="897"/>
      <c r="BK83" s="897"/>
      <c r="BL83" s="897"/>
      <c r="BM83" s="897"/>
      <c r="BN83" s="893"/>
      <c r="BO83" s="897"/>
      <c r="BP83" s="893"/>
      <c r="BQ83" s="897"/>
      <c r="BR83" s="893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</row>
    <row r="84" spans="1:84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57"/>
        <v/>
      </c>
      <c r="M84" s="816" t="str">
        <f t="shared" si="58"/>
        <v/>
      </c>
      <c r="N84" s="816" t="str">
        <f t="shared" si="59"/>
        <v/>
      </c>
      <c r="R84" s="816" t="str">
        <f t="shared" si="60"/>
        <v/>
      </c>
      <c r="T84" s="829" t="str">
        <f t="shared" si="61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IF($J84="","",IF(SUM(IF(ISNUMBER(VALUE(RIGHT($AG84:$CK84,1))),VALUE(RIGHT($AG84:$CK84,1)),0))=$J84,"T","F"))</f>
        <v/>
      </c>
      <c r="AE84" s="831" t="str">
        <f t="array" ref="AE84">IF($J84="","",SUM(IF(LEFT($AG84:$DW84,1)="s",1,0))-SUM(IF(RIGHT(LEFT($AG84:$DW84,2))="-",1,0)))</f>
        <v/>
      </c>
      <c r="AF84" s="816" t="str">
        <f t="array" ref="AF84">IF($J84="","",SUM(IF(LEFT($AG84:$DC84,1)="X",1,0)))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3"/>
      <c r="BD84" s="893"/>
      <c r="BE84" s="893"/>
      <c r="BF84" s="897"/>
      <c r="BG84" s="897"/>
      <c r="BH84" s="897"/>
      <c r="BI84" s="897"/>
      <c r="BJ84" s="897"/>
      <c r="BK84" s="897"/>
      <c r="BL84" s="897"/>
      <c r="BM84" s="897"/>
      <c r="BN84" s="893"/>
      <c r="BO84" s="897"/>
      <c r="BP84" s="893"/>
      <c r="BQ84" s="897"/>
      <c r="BR84" s="893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</row>
    <row r="85" spans="1:84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57"/>
        <v/>
      </c>
      <c r="M85" s="816" t="str">
        <f t="shared" si="58"/>
        <v/>
      </c>
      <c r="N85" s="816" t="str">
        <f t="shared" si="59"/>
        <v/>
      </c>
      <c r="R85" s="816" t="str">
        <f t="shared" si="60"/>
        <v/>
      </c>
      <c r="T85" s="829" t="str">
        <f t="shared" si="61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IF($J85="","",IF(SUM(IF(ISNUMBER(VALUE(RIGHT($AG85:$CK85,1))),VALUE(RIGHT($AG85:$CK85,1)),0))=$J85,"T","F"))</f>
        <v/>
      </c>
      <c r="AE85" s="831" t="str">
        <f t="array" ref="AE85">IF($J85="","",SUM(IF(LEFT($AG85:$DW85,1)="s",1,0))-SUM(IF(RIGHT(LEFT($AG85:$DW85,2))="-",1,0)))</f>
        <v/>
      </c>
      <c r="AF85" s="816" t="str">
        <f t="array" ref="AF85">IF($J85="","",SUM(IF(LEFT($AG85:$DC85,1)="X",1,0)))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3"/>
      <c r="BD85" s="893"/>
      <c r="BE85" s="893"/>
      <c r="BF85" s="897"/>
      <c r="BG85" s="897"/>
      <c r="BH85" s="897"/>
      <c r="BI85" s="897"/>
      <c r="BJ85" s="897"/>
      <c r="BK85" s="897"/>
      <c r="BL85" s="897"/>
      <c r="BM85" s="897"/>
      <c r="BN85" s="893"/>
      <c r="BO85" s="897"/>
      <c r="BP85" s="893"/>
      <c r="BQ85" s="897"/>
      <c r="BR85" s="893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</row>
    <row r="86" spans="1:84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57"/>
        <v/>
      </c>
      <c r="M86" s="816" t="str">
        <f t="shared" si="58"/>
        <v/>
      </c>
      <c r="N86" s="816" t="str">
        <f t="shared" si="59"/>
        <v/>
      </c>
      <c r="R86" s="816" t="str">
        <f t="shared" si="60"/>
        <v/>
      </c>
      <c r="T86" s="829" t="str">
        <f t="shared" si="61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IF($J86="","",IF(SUM(IF(ISNUMBER(VALUE(RIGHT($AG86:$CK86,1))),VALUE(RIGHT($AG86:$CK86,1)),0))=$J86,"T","F"))</f>
        <v/>
      </c>
      <c r="AE86" s="831" t="str">
        <f t="array" ref="AE86">IF($J86="","",SUM(IF(LEFT($AG86:$DW86,1)="s",1,0))-SUM(IF(RIGHT(LEFT($AG86:$DW86,2))="-",1,0)))</f>
        <v/>
      </c>
      <c r="AF86" s="816" t="str">
        <f t="array" ref="AF86">IF($J86="","",SUM(IF(LEFT($AG86:$DC86,1)="X",1,0)))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3"/>
      <c r="BD86" s="893"/>
      <c r="BE86" s="893"/>
      <c r="BF86" s="897"/>
      <c r="BG86" s="897"/>
      <c r="BH86" s="897"/>
      <c r="BI86" s="897"/>
      <c r="BJ86" s="897"/>
      <c r="BK86" s="897"/>
      <c r="BL86" s="897"/>
      <c r="BM86" s="897"/>
      <c r="BN86" s="893"/>
      <c r="BO86" s="897"/>
      <c r="BP86" s="893"/>
      <c r="BQ86" s="897"/>
      <c r="BR86" s="893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</row>
    <row r="87" spans="1:84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787"/>
      <c r="H87" s="833"/>
      <c r="I87" s="833"/>
      <c r="J87" s="833"/>
      <c r="K87" s="833"/>
      <c r="L87" s="816" t="str">
        <f t="shared" si="57"/>
        <v/>
      </c>
      <c r="M87" s="816" t="str">
        <f t="shared" si="58"/>
        <v/>
      </c>
      <c r="N87" s="816" t="str">
        <f t="shared" si="59"/>
        <v/>
      </c>
      <c r="R87" s="816" t="str">
        <f t="shared" si="60"/>
        <v/>
      </c>
      <c r="T87" s="829" t="str">
        <f t="shared" si="61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IF($J87="","",IF(SUM(IF(ISNUMBER(VALUE(RIGHT($AG87:$CK87,1))),VALUE(RIGHT($AG87:$CK87,1)),0))=$J87,"T","F"))</f>
        <v/>
      </c>
      <c r="AE87" s="831" t="str">
        <f t="array" ref="AE87">IF($J87="","",SUM(IF(LEFT($AG87:$DW87,1)="s",1,0))-SUM(IF(RIGHT(LEFT($AG87:$DW87,2))="-",1,0)))</f>
        <v/>
      </c>
      <c r="AF87" s="816" t="str">
        <f t="array" ref="AF87">IF($J87="","",SUM(IF(LEFT($AG87:$DC87,1)="X",1,0)))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3"/>
      <c r="BD87" s="893"/>
      <c r="BE87" s="893"/>
      <c r="BF87" s="897"/>
      <c r="BG87" s="897"/>
      <c r="BH87" s="897"/>
      <c r="BI87" s="897"/>
      <c r="BJ87" s="897"/>
      <c r="BK87" s="897"/>
      <c r="BL87" s="897"/>
      <c r="BM87" s="897"/>
      <c r="BN87" s="893"/>
      <c r="BO87" s="897"/>
      <c r="BP87" s="893"/>
      <c r="BQ87" s="897"/>
      <c r="BR87" s="893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</row>
    <row r="88" spans="1:84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7"/>
        <v/>
      </c>
      <c r="M88" s="816" t="str">
        <f t="shared" si="58"/>
        <v/>
      </c>
      <c r="N88" s="816" t="str">
        <f t="shared" si="59"/>
        <v/>
      </c>
      <c r="R88" s="816" t="str">
        <f t="shared" si="60"/>
        <v/>
      </c>
      <c r="T88" s="829" t="str">
        <f t="shared" si="61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IF($J88="","",IF(SUM(IF(ISNUMBER(VALUE(RIGHT($AG88:$CK88,1))),VALUE(RIGHT($AG88:$CK88,1)),0))=$J88,"T","F"))</f>
        <v/>
      </c>
      <c r="AE88" s="831" t="str">
        <f t="array" ref="AE88">IF($J88="","",SUM(IF(LEFT($AG88:$DW88,1)="s",1,0))-SUM(IF(RIGHT(LEFT($AG88:$DW88,2))="-",1,0)))</f>
        <v/>
      </c>
      <c r="AF88" s="816" t="str">
        <f t="array" ref="AF88">IF($J88="","",SUM(IF(LEFT($AG88:$DC88,1)="X",1,0)))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3"/>
      <c r="BD88" s="893"/>
      <c r="BE88" s="893"/>
      <c r="BF88" s="897"/>
      <c r="BG88" s="897"/>
      <c r="BH88" s="897"/>
      <c r="BI88" s="897"/>
      <c r="BJ88" s="897"/>
      <c r="BK88" s="897"/>
      <c r="BL88" s="897"/>
      <c r="BM88" s="897"/>
      <c r="BN88" s="893"/>
      <c r="BO88" s="897"/>
      <c r="BP88" s="893"/>
      <c r="BQ88" s="897"/>
      <c r="BR88" s="893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</row>
    <row r="89" spans="1:84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7"/>
        <v/>
      </c>
      <c r="M89" s="816" t="str">
        <f t="shared" si="58"/>
        <v/>
      </c>
      <c r="N89" s="816" t="str">
        <f t="shared" si="59"/>
        <v/>
      </c>
      <c r="R89" s="816" t="str">
        <f t="shared" si="60"/>
        <v/>
      </c>
      <c r="T89" s="829" t="str">
        <f t="shared" si="61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IF($J89="","",IF(SUM(IF(ISNUMBER(VALUE(RIGHT($AG89:$CK89,1))),VALUE(RIGHT($AG89:$CK89,1)),0))=$J89,"T","F"))</f>
        <v/>
      </c>
      <c r="AE89" s="831" t="str">
        <f t="array" ref="AE89">IF($J89="","",SUM(IF(LEFT($AG89:$DW89,1)="s",1,0))-SUM(IF(RIGHT(LEFT($AG89:$DW89,2))="-",1,0)))</f>
        <v/>
      </c>
      <c r="AF89" s="816" t="str">
        <f t="array" ref="AF89">IF($J89="","",SUM(IF(LEFT($AG89:$DC89,1)="X",1,0)))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3"/>
      <c r="BD89" s="893"/>
      <c r="BE89" s="893"/>
      <c r="BF89" s="897"/>
      <c r="BG89" s="897"/>
      <c r="BH89" s="897"/>
      <c r="BI89" s="897"/>
      <c r="BJ89" s="897"/>
      <c r="BK89" s="897"/>
      <c r="BL89" s="897"/>
      <c r="BM89" s="897"/>
      <c r="BN89" s="893"/>
      <c r="BO89" s="897"/>
      <c r="BP89" s="893"/>
      <c r="BQ89" s="897"/>
      <c r="BR89" s="893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</row>
    <row r="90" spans="1:84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7"/>
        <v/>
      </c>
      <c r="M90" s="816" t="str">
        <f t="shared" si="58"/>
        <v/>
      </c>
      <c r="N90" s="816" t="str">
        <f t="shared" si="59"/>
        <v/>
      </c>
      <c r="R90" s="816" t="str">
        <f t="shared" si="60"/>
        <v/>
      </c>
      <c r="T90" s="829" t="str">
        <f t="shared" si="61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IF($J90="","",IF(SUM(IF(ISNUMBER(VALUE(RIGHT($AG90:$CK90,1))),VALUE(RIGHT($AG90:$CK90,1)),0))=$J90,"T","F"))</f>
        <v/>
      </c>
      <c r="AE90" s="831" t="str">
        <f t="array" ref="AE90">IF($J90="","",SUM(IF(LEFT($AG90:$DW90,1)="s",1,0))-SUM(IF(RIGHT(LEFT($AG90:$DW90,2))="-",1,0)))</f>
        <v/>
      </c>
      <c r="AF90" s="816" t="str">
        <f t="array" ref="AF90">IF($J90="","",SUM(IF(LEFT($AG90:$DC90,1)="X",1,0)))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3"/>
      <c r="BD90" s="893"/>
      <c r="BE90" s="893"/>
      <c r="BF90" s="897"/>
      <c r="BG90" s="897"/>
      <c r="BH90" s="897"/>
      <c r="BI90" s="897"/>
      <c r="BJ90" s="897"/>
      <c r="BK90" s="897"/>
      <c r="BL90" s="897"/>
      <c r="BM90" s="897"/>
      <c r="BN90" s="893"/>
      <c r="BO90" s="897"/>
      <c r="BP90" s="893"/>
      <c r="BQ90" s="897"/>
      <c r="BR90" s="893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</row>
    <row r="91" spans="1:84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7"/>
        <v/>
      </c>
      <c r="M91" s="816" t="str">
        <f t="shared" si="58"/>
        <v/>
      </c>
      <c r="N91" s="816" t="str">
        <f t="shared" si="59"/>
        <v/>
      </c>
      <c r="R91" s="816" t="str">
        <f t="shared" si="60"/>
        <v/>
      </c>
      <c r="T91" s="829" t="str">
        <f t="shared" si="61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IF($J91="","",IF(SUM(IF(ISNUMBER(VALUE(RIGHT($AG91:$CK91,1))),VALUE(RIGHT($AG91:$CK91,1)),0))=$J91,"T","F"))</f>
        <v/>
      </c>
      <c r="AE91" s="831" t="str">
        <f t="array" ref="AE91">IF($J91="","",SUM(IF(LEFT($AG91:$DW91,1)="s",1,0))-SUM(IF(RIGHT(LEFT($AG91:$DW91,2))="-",1,0)))</f>
        <v/>
      </c>
      <c r="AF91" s="816" t="str">
        <f t="array" ref="AF91">IF($J91="","",SUM(IF(LEFT($AG91:$DC91,1)="X",1,0)))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3"/>
      <c r="BD91" s="893"/>
      <c r="BE91" s="893"/>
      <c r="BF91" s="897"/>
      <c r="BG91" s="897"/>
      <c r="BH91" s="897"/>
      <c r="BI91" s="897"/>
      <c r="BJ91" s="897"/>
      <c r="BK91" s="897"/>
      <c r="BL91" s="897"/>
      <c r="BM91" s="897"/>
      <c r="BN91" s="893"/>
      <c r="BO91" s="897"/>
      <c r="BP91" s="893"/>
      <c r="BQ91" s="897"/>
      <c r="BR91" s="893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</row>
    <row r="92" spans="1:84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7"/>
        <v/>
      </c>
      <c r="M92" s="816" t="str">
        <f t="shared" si="58"/>
        <v/>
      </c>
      <c r="N92" s="816" t="str">
        <f t="shared" si="59"/>
        <v/>
      </c>
      <c r="R92" s="816" t="str">
        <f t="shared" si="60"/>
        <v/>
      </c>
      <c r="T92" s="829" t="str">
        <f t="shared" si="61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IF($J92="","",IF(SUM(IF(ISNUMBER(VALUE(RIGHT($AG92:$CK92,1))),VALUE(RIGHT($AG92:$CK92,1)),0))=$J92,"T","F"))</f>
        <v/>
      </c>
      <c r="AE92" s="831" t="str">
        <f t="array" ref="AE92">IF($J92="","",SUM(IF(LEFT($AG92:$DW92,1)="s",1,0))-SUM(IF(RIGHT(LEFT($AG92:$DW92,2))="-",1,0)))</f>
        <v/>
      </c>
      <c r="AF92" s="816" t="str">
        <f t="array" ref="AF92">IF($J92="","",SUM(IF(LEFT($AG92:$DC92,1)="X",1,0)))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3"/>
      <c r="BD92" s="893"/>
      <c r="BE92" s="893"/>
      <c r="BF92" s="897"/>
      <c r="BG92" s="897"/>
      <c r="BH92" s="897"/>
      <c r="BI92" s="897"/>
      <c r="BJ92" s="897"/>
      <c r="BK92" s="897"/>
      <c r="BL92" s="897"/>
      <c r="BM92" s="897"/>
      <c r="BN92" s="893"/>
      <c r="BO92" s="897"/>
      <c r="BP92" s="893"/>
      <c r="BQ92" s="897"/>
      <c r="BR92" s="893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</row>
    <row r="93" spans="1:84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7"/>
        <v/>
      </c>
      <c r="M93" s="816" t="str">
        <f t="shared" si="58"/>
        <v/>
      </c>
      <c r="N93" s="816" t="str">
        <f t="shared" si="59"/>
        <v/>
      </c>
      <c r="R93" s="816" t="str">
        <f t="shared" si="60"/>
        <v/>
      </c>
      <c r="T93" s="829" t="str">
        <f t="shared" si="61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IF($J93="","",IF(SUM(IF(ISNUMBER(VALUE(RIGHT($AG93:$CK93,1))),VALUE(RIGHT($AG93:$CK93,1)),0))=$J93,"T","F"))</f>
        <v/>
      </c>
      <c r="AE93" s="831" t="str">
        <f t="array" ref="AE93">IF($J93="","",SUM(IF(LEFT($AG93:$DW93,1)="s",1,0))-SUM(IF(RIGHT(LEFT($AG93:$DW93,2))="-",1,0)))</f>
        <v/>
      </c>
      <c r="AF93" s="816" t="str">
        <f t="array" ref="AF93">IF($J93="","",SUM(IF(LEFT($AG93:$DC93,1)="X",1,0)))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3"/>
      <c r="BD93" s="893"/>
      <c r="BE93" s="893"/>
      <c r="BF93" s="897"/>
      <c r="BG93" s="897"/>
      <c r="BH93" s="897"/>
      <c r="BI93" s="897"/>
      <c r="BJ93" s="897"/>
      <c r="BK93" s="897"/>
      <c r="BL93" s="897"/>
      <c r="BM93" s="897"/>
      <c r="BN93" s="893"/>
      <c r="BO93" s="897"/>
      <c r="BP93" s="893"/>
      <c r="BQ93" s="897"/>
      <c r="BR93" s="893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</row>
    <row r="94" spans="1:84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7"/>
        <v/>
      </c>
      <c r="M94" s="816" t="str">
        <f t="shared" si="58"/>
        <v/>
      </c>
      <c r="N94" s="816" t="str">
        <f t="shared" si="59"/>
        <v/>
      </c>
      <c r="R94" s="816" t="str">
        <f t="shared" si="60"/>
        <v/>
      </c>
      <c r="T94" s="829" t="str">
        <f t="shared" si="61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IF($J94="","",IF(SUM(IF(ISNUMBER(VALUE(RIGHT($AG94:$CK94,1))),VALUE(RIGHT($AG94:$CK94,1)),0))=$J94,"T","F"))</f>
        <v/>
      </c>
      <c r="AE94" s="831" t="str">
        <f t="array" ref="AE94">IF($J94="","",SUM(IF(LEFT($AG94:$DW94,1)="s",1,0))-SUM(IF(RIGHT(LEFT($AG94:$DW94,2))="-",1,0)))</f>
        <v/>
      </c>
      <c r="AF94" s="816" t="str">
        <f t="array" ref="AF94">IF($J94="","",SUM(IF(LEFT($AG94:$DC94,1)="X",1,0)))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3"/>
      <c r="BD94" s="893"/>
      <c r="BE94" s="893"/>
      <c r="BF94" s="897"/>
      <c r="BG94" s="897"/>
      <c r="BH94" s="897"/>
      <c r="BI94" s="897"/>
      <c r="BJ94" s="897"/>
      <c r="BK94" s="897"/>
      <c r="BL94" s="897"/>
      <c r="BM94" s="897"/>
      <c r="BN94" s="893"/>
      <c r="BO94" s="897"/>
      <c r="BP94" s="893"/>
      <c r="BQ94" s="897"/>
      <c r="BR94" s="893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</row>
    <row r="95" spans="1:84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7"/>
        <v/>
      </c>
      <c r="M95" s="816" t="str">
        <f t="shared" si="58"/>
        <v/>
      </c>
      <c r="N95" s="816" t="str">
        <f t="shared" si="59"/>
        <v/>
      </c>
      <c r="R95" s="816" t="str">
        <f t="shared" si="60"/>
        <v/>
      </c>
      <c r="T95" s="829" t="str">
        <f t="shared" si="61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IF($J95="","",IF(SUM(IF(ISNUMBER(VALUE(RIGHT($AG95:$CK95,1))),VALUE(RIGHT($AG95:$CK95,1)),0))=$J95,"T","F"))</f>
        <v/>
      </c>
      <c r="AE95" s="831" t="str">
        <f t="array" ref="AE95">IF($J95="","",SUM(IF(LEFT($AG95:$DW95,1)="s",1,0))-SUM(IF(RIGHT(LEFT($AG95:$DW95,2))="-",1,0)))</f>
        <v/>
      </c>
      <c r="AF95" s="816" t="str">
        <f t="array" ref="AF95">IF($J95="","",SUM(IF(LEFT($AG95:$DC95,1)="X",1,0)))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3"/>
      <c r="BD95" s="893"/>
      <c r="BE95" s="893"/>
      <c r="BF95" s="897"/>
      <c r="BG95" s="897"/>
      <c r="BH95" s="897"/>
      <c r="BI95" s="897"/>
      <c r="BJ95" s="897"/>
      <c r="BK95" s="897"/>
      <c r="BL95" s="897"/>
      <c r="BM95" s="897"/>
      <c r="BN95" s="893"/>
      <c r="BO95" s="897"/>
      <c r="BP95" s="893"/>
      <c r="BQ95" s="897"/>
      <c r="BR95" s="893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</row>
    <row r="96" spans="1:84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7"/>
        <v/>
      </c>
      <c r="M96" s="816" t="str">
        <f t="shared" si="58"/>
        <v/>
      </c>
      <c r="N96" s="816" t="str">
        <f t="shared" si="59"/>
        <v/>
      </c>
      <c r="R96" s="816" t="str">
        <f t="shared" si="60"/>
        <v/>
      </c>
      <c r="T96" s="829" t="str">
        <f t="shared" si="61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IF($J96="","",IF(SUM(IF(ISNUMBER(VALUE(RIGHT($AG96:$CK96,1))),VALUE(RIGHT($AG96:$CK96,1)),0))=$J96,"T","F"))</f>
        <v/>
      </c>
      <c r="AE96" s="831" t="str">
        <f t="array" ref="AE96">IF($J96="","",SUM(IF(LEFT($AG96:$DW96,1)="s",1,0))-SUM(IF(RIGHT(LEFT($AG96:$DW96,2))="-",1,0)))</f>
        <v/>
      </c>
      <c r="AF96" s="816" t="str">
        <f t="array" ref="AF96">IF($J96="","",SUM(IF(LEFT($AG96:$DC96,1)="X",1,0)))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3"/>
      <c r="BD96" s="893"/>
      <c r="BE96" s="893"/>
      <c r="BF96" s="897"/>
      <c r="BG96" s="897"/>
      <c r="BH96" s="897"/>
      <c r="BI96" s="897"/>
      <c r="BJ96" s="897"/>
      <c r="BK96" s="897"/>
      <c r="BL96" s="897"/>
      <c r="BM96" s="897"/>
      <c r="BN96" s="893"/>
      <c r="BO96" s="897"/>
      <c r="BP96" s="893"/>
      <c r="BQ96" s="897"/>
      <c r="BR96" s="893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</row>
    <row r="97" spans="1:84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7"/>
        <v/>
      </c>
      <c r="M97" s="816" t="str">
        <f t="shared" si="58"/>
        <v/>
      </c>
      <c r="N97" s="816" t="str">
        <f t="shared" si="59"/>
        <v/>
      </c>
      <c r="R97" s="816" t="str">
        <f t="shared" si="60"/>
        <v/>
      </c>
      <c r="T97" s="829" t="str">
        <f t="shared" si="61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IF($J97="","",IF(SUM(IF(ISNUMBER(VALUE(RIGHT($AG97:$CK97,1))),VALUE(RIGHT($AG97:$CK97,1)),0))=$J97,"T","F"))</f>
        <v/>
      </c>
      <c r="AE97" s="831" t="str">
        <f t="array" ref="AE97">IF($J97="","",SUM(IF(LEFT($AG97:$DW97,1)="s",1,0))-SUM(IF(RIGHT(LEFT($AG97:$DW97,2))="-",1,0)))</f>
        <v/>
      </c>
      <c r="AF97" s="816" t="str">
        <f t="array" ref="AF97">IF($J97="","",SUM(IF(LEFT($AG97:$DC97,1)="X",1,0)))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3"/>
      <c r="BD97" s="893"/>
      <c r="BE97" s="893"/>
      <c r="BF97" s="897"/>
      <c r="BG97" s="897"/>
      <c r="BH97" s="897"/>
      <c r="BI97" s="897"/>
      <c r="BJ97" s="897"/>
      <c r="BK97" s="897"/>
      <c r="BL97" s="897"/>
      <c r="BM97" s="897"/>
      <c r="BN97" s="893"/>
      <c r="BO97" s="897"/>
      <c r="BP97" s="893"/>
      <c r="BQ97" s="897"/>
      <c r="BR97" s="893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</row>
    <row r="98" spans="1:84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7"/>
        <v/>
      </c>
      <c r="M98" s="816" t="str">
        <f t="shared" si="58"/>
        <v/>
      </c>
      <c r="N98" s="816" t="str">
        <f t="shared" si="59"/>
        <v/>
      </c>
      <c r="R98" s="816" t="str">
        <f t="shared" si="60"/>
        <v/>
      </c>
      <c r="T98" s="829" t="str">
        <f t="shared" si="61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IF($J98="","",IF(SUM(IF(ISNUMBER(VALUE(RIGHT($AG98:$CK98,1))),VALUE(RIGHT($AG98:$CK98,1)),0))=$J98,"T","F"))</f>
        <v/>
      </c>
      <c r="AE98" s="831" t="str">
        <f t="array" ref="AE98">IF($J98="","",SUM(IF(LEFT($AG98:$DW98,1)="s",1,0))-SUM(IF(RIGHT(LEFT($AG98:$DW98,2))="-",1,0)))</f>
        <v/>
      </c>
      <c r="AF98" s="816" t="str">
        <f t="array" ref="AF98">IF($J98="","",SUM(IF(LEFT($AG98:$DC98,1)="X",1,0)))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3"/>
      <c r="BD98" s="893"/>
      <c r="BE98" s="893"/>
      <c r="BF98" s="897"/>
      <c r="BG98" s="897"/>
      <c r="BH98" s="897"/>
      <c r="BI98" s="897"/>
      <c r="BJ98" s="897"/>
      <c r="BK98" s="897"/>
      <c r="BL98" s="897"/>
      <c r="BM98" s="897"/>
      <c r="BN98" s="893"/>
      <c r="BO98" s="897"/>
      <c r="BP98" s="893"/>
      <c r="BQ98" s="897"/>
      <c r="BR98" s="893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</row>
    <row r="99" spans="1:84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7"/>
        <v/>
      </c>
      <c r="M99" s="816" t="str">
        <f t="shared" si="58"/>
        <v/>
      </c>
      <c r="N99" s="816" t="str">
        <f t="shared" si="59"/>
        <v/>
      </c>
      <c r="R99" s="816" t="str">
        <f t="shared" si="60"/>
        <v/>
      </c>
      <c r="T99" s="829" t="str">
        <f t="shared" si="61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IF($J99="","",IF(SUM(IF(ISNUMBER(VALUE(RIGHT($AG99:$CK99,1))),VALUE(RIGHT($AG99:$CK99,1)),0))=$J99,"T","F"))</f>
        <v/>
      </c>
      <c r="AE99" s="831" t="str">
        <f t="array" ref="AE99">IF($J99="","",SUM(IF(LEFT($AG99:$DW99,1)="s",1,0))-SUM(IF(RIGHT(LEFT($AG99:$DW99,2))="-",1,0)))</f>
        <v/>
      </c>
      <c r="AF99" s="816" t="str">
        <f t="array" ref="AF99">IF($J99="","",SUM(IF(LEFT($AG99:$DC99,1)="X",1,0)))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3"/>
      <c r="BD99" s="893"/>
      <c r="BE99" s="893"/>
      <c r="BF99" s="897"/>
      <c r="BG99" s="897"/>
      <c r="BH99" s="897"/>
      <c r="BI99" s="897"/>
      <c r="BJ99" s="897"/>
      <c r="BK99" s="897"/>
      <c r="BL99" s="897"/>
      <c r="BM99" s="897"/>
      <c r="BN99" s="893"/>
      <c r="BO99" s="897"/>
      <c r="BP99" s="893"/>
      <c r="BQ99" s="897"/>
      <c r="BR99" s="893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</row>
    <row r="100" spans="1:84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7"/>
        <v/>
      </c>
      <c r="M100" s="816" t="str">
        <f t="shared" si="58"/>
        <v/>
      </c>
      <c r="N100" s="816" t="str">
        <f t="shared" si="59"/>
        <v/>
      </c>
      <c r="R100" s="816" t="str">
        <f t="shared" si="60"/>
        <v/>
      </c>
      <c r="T100" s="829" t="str">
        <f t="shared" si="61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IF($J100="","",IF(SUM(IF(ISNUMBER(VALUE(RIGHT($AG100:$CK100,1))),VALUE(RIGHT($AG100:$CK100,1)),0))=$J100,"T","F"))</f>
        <v/>
      </c>
      <c r="AE100" s="831" t="str">
        <f t="array" ref="AE100">IF($J100="","",SUM(IF(LEFT($AG100:$DW100,1)="s",1,0))-SUM(IF(RIGHT(LEFT($AG100:$DW100,2))="-",1,0)))</f>
        <v/>
      </c>
      <c r="AF100" s="816" t="str">
        <f t="array" ref="AF100">IF($J100="","",SUM(IF(LEFT($AG100:$DC100,1)="X",1,0)))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3"/>
      <c r="BD100" s="893"/>
      <c r="BE100" s="893"/>
      <c r="BF100" s="897"/>
      <c r="BG100" s="897"/>
      <c r="BH100" s="897"/>
      <c r="BI100" s="897"/>
      <c r="BJ100" s="897"/>
      <c r="BK100" s="897"/>
      <c r="BL100" s="897"/>
      <c r="BM100" s="897"/>
      <c r="BN100" s="893"/>
      <c r="BO100" s="897"/>
      <c r="BP100" s="893"/>
      <c r="BQ100" s="897"/>
      <c r="BR100" s="893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</row>
    <row r="101" spans="1:84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7"/>
        <v/>
      </c>
      <c r="M101" s="816" t="str">
        <f t="shared" si="58"/>
        <v/>
      </c>
      <c r="N101" s="816" t="str">
        <f t="shared" si="59"/>
        <v/>
      </c>
      <c r="R101" s="816" t="str">
        <f t="shared" si="60"/>
        <v/>
      </c>
      <c r="T101" s="829" t="str">
        <f t="shared" si="61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IF($J101="","",IF(SUM(IF(ISNUMBER(VALUE(RIGHT($AG101:$CK101,1))),VALUE(RIGHT($AG101:$CK101,1)),0))=$J101,"T","F"))</f>
        <v/>
      </c>
      <c r="AE101" s="831" t="str">
        <f t="array" ref="AE101">IF($J101="","",SUM(IF(LEFT($AG101:$DW101,1)="s",1,0))-SUM(IF(RIGHT(LEFT($AG101:$DW101,2))="-",1,0)))</f>
        <v/>
      </c>
      <c r="AF101" s="816" t="str">
        <f t="array" ref="AF101">IF($J101="","",SUM(IF(LEFT($AG101:$DC101,1)="X",1,0)))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3"/>
      <c r="BD101" s="893"/>
      <c r="BE101" s="893"/>
      <c r="BF101" s="897"/>
      <c r="BG101" s="897"/>
      <c r="BH101" s="897"/>
      <c r="BI101" s="897"/>
      <c r="BJ101" s="897"/>
      <c r="BK101" s="897"/>
      <c r="BL101" s="897"/>
      <c r="BM101" s="897"/>
      <c r="BN101" s="893"/>
      <c r="BO101" s="897"/>
      <c r="BP101" s="893"/>
      <c r="BQ101" s="897"/>
      <c r="BR101" s="893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</row>
    <row r="102" spans="1:84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7"/>
        <v/>
      </c>
      <c r="M102" s="816" t="str">
        <f t="shared" si="58"/>
        <v/>
      </c>
      <c r="N102" s="816" t="str">
        <f t="shared" si="59"/>
        <v/>
      </c>
      <c r="R102" s="816" t="str">
        <f t="shared" si="60"/>
        <v/>
      </c>
      <c r="T102" s="829" t="str">
        <f t="shared" si="61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IF($J102="","",IF(SUM(IF(ISNUMBER(VALUE(RIGHT($AG102:$CK102,1))),VALUE(RIGHT($AG102:$CK102,1)),0))=$J102,"T","F"))</f>
        <v/>
      </c>
      <c r="AE102" s="831" t="str">
        <f t="array" ref="AE102">IF($J102="","",SUM(IF(LEFT($AG102:$DW102,1)="s",1,0))-SUM(IF(RIGHT(LEFT($AG102:$DW102,2))="-",1,0)))</f>
        <v/>
      </c>
      <c r="AF102" s="816" t="str">
        <f t="array" ref="AF102">IF($J102="","",SUM(IF(LEFT($AG102:$DC102,1)="X",1,0)))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3"/>
      <c r="BD102" s="893"/>
      <c r="BE102" s="893"/>
      <c r="BF102" s="897"/>
      <c r="BG102" s="897"/>
      <c r="BH102" s="897"/>
      <c r="BI102" s="897"/>
      <c r="BJ102" s="897"/>
      <c r="BK102" s="897"/>
      <c r="BL102" s="897"/>
      <c r="BM102" s="897"/>
      <c r="BN102" s="893"/>
      <c r="BO102" s="897"/>
      <c r="BP102" s="893"/>
      <c r="BQ102" s="897"/>
      <c r="BR102" s="893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</row>
    <row r="103" spans="1:84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7"/>
        <v/>
      </c>
      <c r="M103" s="816" t="str">
        <f t="shared" si="58"/>
        <v/>
      </c>
      <c r="N103" s="816" t="str">
        <f t="shared" si="59"/>
        <v/>
      </c>
      <c r="R103" s="816" t="str">
        <f t="shared" si="60"/>
        <v/>
      </c>
      <c r="T103" s="829" t="str">
        <f t="shared" si="61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IF($J103="","",IF(SUM(IF(ISNUMBER(VALUE(RIGHT($AG103:$CK103,1))),VALUE(RIGHT($AG103:$CK103,1)),0))=$J103,"T","F"))</f>
        <v/>
      </c>
      <c r="AE103" s="831" t="str">
        <f t="array" ref="AE103">IF($J103="","",SUM(IF(LEFT($AG103:$DW103,1)="s",1,0))-SUM(IF(RIGHT(LEFT($AG103:$DW103,2))="-",1,0)))</f>
        <v/>
      </c>
      <c r="AF103" s="816" t="str">
        <f t="array" ref="AF103">IF($J103="","",SUM(IF(LEFT($AG103:$DC103,1)="X",1,0)))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3"/>
      <c r="BD103" s="893"/>
      <c r="BE103" s="893"/>
      <c r="BF103" s="897"/>
      <c r="BG103" s="897"/>
      <c r="BH103" s="897"/>
      <c r="BI103" s="897"/>
      <c r="BJ103" s="897"/>
      <c r="BK103" s="897"/>
      <c r="BL103" s="897"/>
      <c r="BM103" s="897"/>
      <c r="BN103" s="893"/>
      <c r="BO103" s="897"/>
      <c r="BP103" s="893"/>
      <c r="BQ103" s="897"/>
      <c r="BR103" s="893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</row>
    <row r="104" spans="1:84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7"/>
        <v/>
      </c>
      <c r="M104" s="816" t="str">
        <f t="shared" si="58"/>
        <v/>
      </c>
      <c r="N104" s="816" t="str">
        <f t="shared" si="59"/>
        <v/>
      </c>
      <c r="R104" s="816" t="str">
        <f t="shared" si="60"/>
        <v/>
      </c>
      <c r="T104" s="829" t="str">
        <f t="shared" si="61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IF($J104="","",IF(SUM(IF(ISNUMBER(VALUE(RIGHT($AG104:$CK104,1))),VALUE(RIGHT($AG104:$CK104,1)),0))=$J104,"T","F"))</f>
        <v/>
      </c>
      <c r="AE104" s="831" t="str">
        <f t="array" ref="AE104">IF($J104="","",SUM(IF(LEFT($AG104:$DW104,1)="s",1,0))-SUM(IF(RIGHT(LEFT($AG104:$DW104,2))="-",1,0)))</f>
        <v/>
      </c>
      <c r="AF104" s="816" t="str">
        <f t="array" ref="AF104">IF($J104="","",SUM(IF(LEFT($AG104:$DC104,1)="X",1,0)))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3"/>
      <c r="BD104" s="893"/>
      <c r="BE104" s="893"/>
      <c r="BF104" s="897"/>
      <c r="BG104" s="897"/>
      <c r="BH104" s="897"/>
      <c r="BI104" s="897"/>
      <c r="BJ104" s="897"/>
      <c r="BK104" s="897"/>
      <c r="BL104" s="897"/>
      <c r="BM104" s="897"/>
      <c r="BN104" s="893"/>
      <c r="BO104" s="897"/>
      <c r="BP104" s="893"/>
      <c r="BQ104" s="897"/>
      <c r="BR104" s="893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</row>
    <row r="105" spans="1:84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7"/>
        <v/>
      </c>
      <c r="M105" s="816" t="str">
        <f t="shared" si="58"/>
        <v/>
      </c>
      <c r="N105" s="816" t="str">
        <f t="shared" si="59"/>
        <v/>
      </c>
      <c r="R105" s="816" t="str">
        <f t="shared" si="60"/>
        <v/>
      </c>
      <c r="T105" s="829" t="str">
        <f t="shared" si="61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IF($J105="","",IF(SUM(IF(ISNUMBER(VALUE(RIGHT($AG105:$CK105,1))),VALUE(RIGHT($AG105:$CK105,1)),0))=$J105,"T","F"))</f>
        <v/>
      </c>
      <c r="AE105" s="831" t="str">
        <f t="array" ref="AE105">IF($J105="","",SUM(IF(LEFT($AG105:$DW105,1)="s",1,0))-SUM(IF(RIGHT(LEFT($AG105:$DW105,2))="-",1,0)))</f>
        <v/>
      </c>
      <c r="AF105" s="816" t="str">
        <f t="array" ref="AF105">IF($J105="","",SUM(IF(LEFT($AG105:$DC105,1)="X",1,0)))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3"/>
      <c r="BD105" s="893"/>
      <c r="BE105" s="893"/>
      <c r="BF105" s="897"/>
      <c r="BG105" s="897"/>
      <c r="BH105" s="897"/>
      <c r="BI105" s="897"/>
      <c r="BJ105" s="897"/>
      <c r="BK105" s="897"/>
      <c r="BL105" s="897"/>
      <c r="BM105" s="897"/>
      <c r="BN105" s="893"/>
      <c r="BO105" s="897"/>
      <c r="BP105" s="893"/>
      <c r="BQ105" s="897"/>
      <c r="BR105" s="893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</row>
    <row r="106" spans="1:84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7"/>
        <v/>
      </c>
      <c r="M106" s="816" t="str">
        <f t="shared" si="58"/>
        <v/>
      </c>
      <c r="N106" s="816" t="str">
        <f t="shared" si="59"/>
        <v/>
      </c>
      <c r="R106" s="816" t="str">
        <f t="shared" si="60"/>
        <v/>
      </c>
      <c r="T106" s="829" t="str">
        <f t="shared" si="61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IF($J106="","",IF(SUM(IF(ISNUMBER(VALUE(RIGHT($AG106:$CK106,1))),VALUE(RIGHT($AG106:$CK106,1)),0))=$J106,"T","F"))</f>
        <v/>
      </c>
      <c r="AE106" s="816" t="str">
        <f t="array" ref="AE106">IF($J106="","",SUM(IF(LEFT($AG106:$DW106,1)="s",1,0))-SUM(IF(RIGHT(LEFT($AG106:$DW106,2))="-",1,0)))</f>
        <v/>
      </c>
      <c r="AF106" s="816" t="str">
        <f t="array" ref="AF106">IF($J106="","",SUM(IF(LEFT($AG106:$DC106,1)="X",1,0)))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3"/>
      <c r="BD106" s="893"/>
      <c r="BE106" s="893"/>
      <c r="BF106" s="897"/>
      <c r="BG106" s="897"/>
      <c r="BH106" s="897"/>
      <c r="BI106" s="897"/>
      <c r="BJ106" s="897"/>
      <c r="BK106" s="897"/>
      <c r="BL106" s="897"/>
      <c r="BM106" s="897"/>
      <c r="BN106" s="893"/>
      <c r="BO106" s="897"/>
      <c r="BP106" s="893"/>
      <c r="BQ106" s="897"/>
      <c r="BR106" s="893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</row>
    <row r="107" spans="1:84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7"/>
        <v/>
      </c>
      <c r="M107" s="816" t="str">
        <f t="shared" si="58"/>
        <v/>
      </c>
      <c r="N107" s="816" t="str">
        <f t="shared" si="59"/>
        <v/>
      </c>
      <c r="R107" s="816" t="str">
        <f t="shared" si="60"/>
        <v/>
      </c>
      <c r="T107" s="829" t="str">
        <f t="shared" si="61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IF($J107="","",IF(SUM(IF(ISNUMBER(VALUE(RIGHT($AG107:$CK107,1))),VALUE(RIGHT($AG107:$CK107,1)),0))=$J107,"T","F"))</f>
        <v/>
      </c>
      <c r="AE107" s="816" t="str">
        <f t="array" ref="AE107">IF($J107="","",SUM(IF(LEFT($AG107:$DW107,1)="s",1,0))-SUM(IF(RIGHT(LEFT($AG107:$DW107,2))="-",1,0)))</f>
        <v/>
      </c>
      <c r="AF107" s="816" t="str">
        <f t="array" ref="AF107">IF($J107="","",SUM(IF(LEFT($AG107:$DC107,1)="X",1,0)))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3"/>
      <c r="BD107" s="893"/>
      <c r="BE107" s="893"/>
      <c r="BF107" s="897"/>
      <c r="BG107" s="897"/>
      <c r="BH107" s="897"/>
      <c r="BI107" s="897"/>
      <c r="BJ107" s="897"/>
      <c r="BK107" s="897"/>
      <c r="BL107" s="897"/>
      <c r="BM107" s="897"/>
      <c r="BN107" s="893"/>
      <c r="BO107" s="897"/>
      <c r="BP107" s="893"/>
      <c r="BQ107" s="897"/>
      <c r="BR107" s="893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</row>
    <row r="108" spans="1:84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7"/>
        <v/>
      </c>
      <c r="M108" s="816" t="str">
        <f t="shared" si="58"/>
        <v/>
      </c>
      <c r="N108" s="816" t="str">
        <f t="shared" si="59"/>
        <v/>
      </c>
      <c r="R108" s="816" t="str">
        <f t="shared" si="60"/>
        <v/>
      </c>
      <c r="T108" s="829" t="str">
        <f t="shared" si="61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IF($J108="","",IF(SUM(IF(ISNUMBER(VALUE(RIGHT($AG108:$CK108,1))),VALUE(RIGHT($AG108:$CK108,1)),0))=$J108,"T","F"))</f>
        <v/>
      </c>
      <c r="AE108" s="816" t="str">
        <f t="array" ref="AE108">IF($J108="","",SUM(IF(LEFT($AG108:$DW108,1)="s",1,0))-SUM(IF(RIGHT(LEFT($AG108:$DW108,2))="-",1,0)))</f>
        <v/>
      </c>
      <c r="AF108" s="816" t="str">
        <f t="array" ref="AF108">IF($J108="","",SUM(IF(LEFT($AG108:$DC108,1)="X",1,0)))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3"/>
      <c r="BD108" s="893"/>
      <c r="BE108" s="893"/>
      <c r="BF108" s="897"/>
      <c r="BG108" s="897"/>
      <c r="BH108" s="897"/>
      <c r="BI108" s="897"/>
      <c r="BJ108" s="897"/>
      <c r="BK108" s="897"/>
      <c r="BL108" s="897"/>
      <c r="BM108" s="897"/>
      <c r="BN108" s="893"/>
      <c r="BO108" s="897"/>
      <c r="BP108" s="893"/>
      <c r="BQ108" s="897"/>
      <c r="BR108" s="893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</row>
    <row r="109" spans="1:84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7"/>
        <v/>
      </c>
      <c r="M109" s="816" t="str">
        <f t="shared" si="58"/>
        <v/>
      </c>
      <c r="N109" s="816" t="str">
        <f t="shared" si="59"/>
        <v/>
      </c>
      <c r="R109" s="816" t="str">
        <f t="shared" si="60"/>
        <v/>
      </c>
      <c r="T109" s="829" t="str">
        <f t="shared" si="61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IF($J109="","",IF(SUM(IF(ISNUMBER(VALUE(RIGHT($AG109:$CK109,1))),VALUE(RIGHT($AG109:$CK109,1)),0))=$J109,"T","F"))</f>
        <v/>
      </c>
      <c r="AE109" s="816" t="str">
        <f t="array" ref="AE109">IF($J109="","",SUM(IF(LEFT($AG109:$DW109,1)="s",1,0))-SUM(IF(RIGHT(LEFT($AG109:$DW109,2))="-",1,0)))</f>
        <v/>
      </c>
      <c r="AF109" s="816" t="str">
        <f t="array" ref="AF109">IF($J109="","",SUM(IF(LEFT($AG109:$DC109,1)="X",1,0)))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3"/>
      <c r="BD109" s="893"/>
      <c r="BE109" s="893"/>
      <c r="BF109" s="897"/>
      <c r="BG109" s="897"/>
      <c r="BH109" s="897"/>
      <c r="BI109" s="897"/>
      <c r="BJ109" s="897"/>
      <c r="BK109" s="897"/>
      <c r="BL109" s="897"/>
      <c r="BM109" s="897"/>
      <c r="BN109" s="893"/>
      <c r="BO109" s="897"/>
      <c r="BP109" s="893"/>
      <c r="BQ109" s="897"/>
      <c r="BR109" s="893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</row>
    <row r="110" spans="1:84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7"/>
        <v/>
      </c>
      <c r="M110" s="816" t="str">
        <f t="shared" si="58"/>
        <v/>
      </c>
      <c r="N110" s="816" t="str">
        <f t="shared" si="59"/>
        <v/>
      </c>
      <c r="R110" s="816" t="str">
        <f t="shared" si="60"/>
        <v/>
      </c>
      <c r="T110" s="829" t="str">
        <f t="shared" si="61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IF($J110="","",IF(SUM(IF(ISNUMBER(VALUE(RIGHT($AG110:$CK110,1))),VALUE(RIGHT($AG110:$CK110,1)),0))=$J110,"T","F"))</f>
        <v/>
      </c>
      <c r="AE110" s="816" t="str">
        <f t="array" ref="AE110">IF($J110="","",SUM(IF(LEFT($AG110:$DW110,1)="s",1,0))-SUM(IF(RIGHT(LEFT($AG110:$DW110,2))="-",1,0)))</f>
        <v/>
      </c>
      <c r="AF110" s="816" t="str">
        <f t="array" ref="AF110">IF($J110="","",SUM(IF(LEFT($AG110:$DC110,1)="X",1,0)))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3"/>
      <c r="BD110" s="893"/>
      <c r="BE110" s="893"/>
      <c r="BF110" s="897"/>
      <c r="BG110" s="897"/>
      <c r="BH110" s="897"/>
      <c r="BI110" s="897"/>
      <c r="BJ110" s="897"/>
      <c r="BK110" s="897"/>
      <c r="BL110" s="897"/>
      <c r="BM110" s="897"/>
      <c r="BN110" s="893"/>
      <c r="BO110" s="897"/>
      <c r="BP110" s="893"/>
      <c r="BQ110" s="897"/>
      <c r="BR110" s="893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</row>
    <row r="111" spans="1:84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7"/>
        <v/>
      </c>
      <c r="M111" s="816" t="str">
        <f t="shared" si="58"/>
        <v/>
      </c>
      <c r="N111" s="816" t="str">
        <f t="shared" si="59"/>
        <v/>
      </c>
      <c r="R111" s="816" t="str">
        <f t="shared" si="60"/>
        <v/>
      </c>
      <c r="T111" s="829" t="str">
        <f t="shared" si="61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IF($J111="","",IF(SUM(IF(ISNUMBER(VALUE(RIGHT($AG111:$CK111,1))),VALUE(RIGHT($AG111:$CK111,1)),0))=$J111,"T","F"))</f>
        <v/>
      </c>
      <c r="AE111" s="816" t="str">
        <f t="array" ref="AE111">IF($J111="","",SUM(IF(LEFT($AG111:$DW111,1)="s",1,0))-SUM(IF(RIGHT(LEFT($AG111:$DW111,2))="-",1,0)))</f>
        <v/>
      </c>
      <c r="AF111" s="816" t="str">
        <f t="array" ref="AF111">IF($J111="","",SUM(IF(LEFT($AG111:$DC111,1)="X",1,0)))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3"/>
      <c r="BD111" s="893"/>
      <c r="BE111" s="893"/>
      <c r="BF111" s="897"/>
      <c r="BG111" s="897"/>
      <c r="BH111" s="897"/>
      <c r="BI111" s="897"/>
      <c r="BJ111" s="897"/>
      <c r="BK111" s="897"/>
      <c r="BL111" s="897"/>
      <c r="BM111" s="897"/>
      <c r="BN111" s="893"/>
      <c r="BO111" s="897"/>
      <c r="BP111" s="893"/>
      <c r="BQ111" s="897"/>
      <c r="BR111" s="893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</row>
    <row r="112" spans="1:84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7"/>
        <v/>
      </c>
      <c r="M112" s="816" t="str">
        <f t="shared" si="58"/>
        <v/>
      </c>
      <c r="N112" s="816" t="str">
        <f t="shared" si="59"/>
        <v/>
      </c>
      <c r="R112" s="816" t="str">
        <f t="shared" si="60"/>
        <v/>
      </c>
      <c r="T112" s="829" t="str">
        <f t="shared" si="61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IF($J112="","",IF(SUM(IF(ISNUMBER(VALUE(RIGHT($AG112:$CK112,1))),VALUE(RIGHT($AG112:$CK112,1)),0))=$J112,"T","F"))</f>
        <v/>
      </c>
      <c r="AE112" s="816" t="str">
        <f t="array" ref="AE112">IF($J112="","",SUM(IF(LEFT($AG112:$DW112,1)="s",1,0))-SUM(IF(RIGHT(LEFT($AG112:$DW112,2))="-",1,0)))</f>
        <v/>
      </c>
      <c r="AF112" s="816" t="str">
        <f t="array" ref="AF112">IF($J112="","",SUM(IF(LEFT($AG112:$DC112,1)="X",1,0)))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3"/>
      <c r="BD112" s="893"/>
      <c r="BE112" s="893"/>
      <c r="BF112" s="897"/>
      <c r="BG112" s="897"/>
      <c r="BH112" s="897"/>
      <c r="BI112" s="897"/>
      <c r="BJ112" s="897"/>
      <c r="BK112" s="897"/>
      <c r="BL112" s="897"/>
      <c r="BM112" s="897"/>
      <c r="BN112" s="893"/>
      <c r="BO112" s="897"/>
      <c r="BP112" s="893"/>
      <c r="BQ112" s="897"/>
      <c r="BR112" s="893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</row>
    <row r="113" spans="4:84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7"/>
        <v/>
      </c>
      <c r="M113" s="816" t="str">
        <f t="shared" si="58"/>
        <v/>
      </c>
      <c r="N113" s="816" t="str">
        <f t="shared" si="59"/>
        <v/>
      </c>
      <c r="R113" s="816" t="str">
        <f t="shared" si="60"/>
        <v/>
      </c>
      <c r="T113" s="829" t="str">
        <f t="shared" si="61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IF($J113="","",IF(SUM(IF(ISNUMBER(VALUE(RIGHT($AG113:$CK113,1))),VALUE(RIGHT($AG113:$CK113,1)),0))=$J113,"T","F"))</f>
        <v/>
      </c>
      <c r="AE113" s="816" t="str">
        <f t="array" ref="AE113">IF($J113="","",SUM(IF(LEFT($AG113:$DW113,1)="s",1,0))-SUM(IF(RIGHT(LEFT($AG113:$DW113,2))="-",1,0)))</f>
        <v/>
      </c>
      <c r="AF113" s="816" t="str">
        <f t="array" ref="AF113">IF($J113="","",SUM(IF(LEFT($AG113:$DC113,1)="X",1,0)))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3"/>
      <c r="BD113" s="893"/>
      <c r="BE113" s="893"/>
      <c r="BF113" s="897"/>
      <c r="BG113" s="897"/>
      <c r="BH113" s="897"/>
      <c r="BI113" s="897"/>
      <c r="BJ113" s="897"/>
      <c r="BK113" s="897"/>
      <c r="BL113" s="897"/>
      <c r="BM113" s="897"/>
      <c r="BN113" s="893"/>
      <c r="BO113" s="897"/>
      <c r="BP113" s="893"/>
      <c r="BQ113" s="897"/>
      <c r="BR113" s="893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</row>
    <row r="114" spans="4:84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7"/>
        <v/>
      </c>
      <c r="M114" s="816" t="str">
        <f t="shared" si="58"/>
        <v/>
      </c>
      <c r="N114" s="816" t="str">
        <f t="shared" si="59"/>
        <v/>
      </c>
      <c r="R114" s="816" t="str">
        <f t="shared" si="60"/>
        <v/>
      </c>
      <c r="T114" s="829" t="str">
        <f t="shared" si="61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IF($J114="","",IF(SUM(IF(ISNUMBER(VALUE(RIGHT($AG114:$CK114,1))),VALUE(RIGHT($AG114:$CK114,1)),0))=$J114,"T","F"))</f>
        <v/>
      </c>
      <c r="AE114" s="816" t="str">
        <f t="array" ref="AE114">IF($J114="","",SUM(IF(LEFT($AG114:$DW114,1)="s",1,0))-SUM(IF(RIGHT(LEFT($AG114:$DW114,2))="-",1,0)))</f>
        <v/>
      </c>
      <c r="AF114" s="816" t="str">
        <f t="array" ref="AF114">IF($J114="","",SUM(IF(LEFT($AG114:$DC114,1)="X",1,0)))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3"/>
      <c r="BD114" s="893"/>
      <c r="BE114" s="893"/>
      <c r="BF114" s="897"/>
      <c r="BG114" s="897"/>
      <c r="BH114" s="897"/>
      <c r="BI114" s="897"/>
      <c r="BJ114" s="897"/>
      <c r="BK114" s="897"/>
      <c r="BL114" s="897"/>
      <c r="BM114" s="897"/>
      <c r="BN114" s="893"/>
      <c r="BO114" s="897"/>
      <c r="BP114" s="893"/>
      <c r="BQ114" s="897"/>
      <c r="BR114" s="893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</row>
    <row r="115" spans="4:84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7"/>
        <v/>
      </c>
      <c r="M115" s="816" t="str">
        <f t="shared" si="58"/>
        <v/>
      </c>
      <c r="N115" s="816" t="str">
        <f t="shared" si="59"/>
        <v/>
      </c>
      <c r="R115" s="816" t="str">
        <f t="shared" si="60"/>
        <v/>
      </c>
      <c r="T115" s="829" t="str">
        <f t="shared" si="61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IF($J115="","",IF(SUM(IF(ISNUMBER(VALUE(RIGHT($AG115:$CK115,1))),VALUE(RIGHT($AG115:$CK115,1)),0))=$J115,"T","F"))</f>
        <v/>
      </c>
      <c r="AE115" s="816" t="str">
        <f t="array" ref="AE115">IF($J115="","",SUM(IF(LEFT($AG115:$DW115,1)="s",1,0))-SUM(IF(RIGHT(LEFT($AG115:$DW115,2))="-",1,0)))</f>
        <v/>
      </c>
      <c r="AF115" s="816" t="str">
        <f t="array" ref="AF115">IF($J115="","",SUM(IF(LEFT($AG115:$DC115,1)="X",1,0)))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3"/>
      <c r="BD115" s="893"/>
      <c r="BE115" s="893"/>
      <c r="BF115" s="897"/>
      <c r="BG115" s="897"/>
      <c r="BH115" s="897"/>
      <c r="BI115" s="897"/>
      <c r="BJ115" s="897"/>
      <c r="BK115" s="897"/>
      <c r="BL115" s="897"/>
      <c r="BM115" s="897"/>
      <c r="BN115" s="893"/>
      <c r="BO115" s="897"/>
      <c r="BP115" s="893"/>
      <c r="BQ115" s="897"/>
      <c r="BR115" s="893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</row>
    <row r="116" spans="4:84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7"/>
        <v/>
      </c>
      <c r="M116" s="816" t="str">
        <f t="shared" si="58"/>
        <v/>
      </c>
      <c r="N116" s="816" t="str">
        <f t="shared" si="59"/>
        <v/>
      </c>
      <c r="R116" s="816" t="str">
        <f t="shared" si="60"/>
        <v/>
      </c>
      <c r="T116" s="829" t="str">
        <f t="shared" si="61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IF($J116="","",IF(SUM(IF(ISNUMBER(VALUE(RIGHT($AG116:$CK116,1))),VALUE(RIGHT($AG116:$CK116,1)),0))=$J116,"T","F"))</f>
        <v/>
      </c>
      <c r="AE116" s="816" t="str">
        <f t="array" ref="AE116">IF($J116="","",SUM(IF(LEFT($AG116:$DW116,1)="s",1,0))-SUM(IF(RIGHT(LEFT($AG116:$DW116,2))="-",1,0)))</f>
        <v/>
      </c>
      <c r="AF116" s="816" t="str">
        <f t="array" ref="AF116">IF($J116="","",SUM(IF(LEFT($AG116:$DC116,1)="X",1,0)))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3"/>
      <c r="BD116" s="893"/>
      <c r="BE116" s="893"/>
      <c r="BF116" s="897"/>
      <c r="BG116" s="897"/>
      <c r="BH116" s="897"/>
      <c r="BI116" s="897"/>
      <c r="BJ116" s="897"/>
      <c r="BK116" s="897"/>
      <c r="BL116" s="897"/>
      <c r="BM116" s="897"/>
      <c r="BN116" s="893"/>
      <c r="BO116" s="897"/>
      <c r="BP116" s="893"/>
      <c r="BQ116" s="897"/>
      <c r="BR116" s="893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</row>
    <row r="117" spans="4:84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7"/>
        <v/>
      </c>
      <c r="M117" s="816" t="str">
        <f t="shared" si="58"/>
        <v/>
      </c>
      <c r="N117" s="816" t="str">
        <f t="shared" si="59"/>
        <v/>
      </c>
      <c r="R117" s="816" t="str">
        <f t="shared" si="60"/>
        <v/>
      </c>
      <c r="T117" s="829" t="str">
        <f t="shared" si="61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IF($J117="","",IF(SUM(IF(ISNUMBER(VALUE(RIGHT($AG117:$CK117,1))),VALUE(RIGHT($AG117:$CK117,1)),0))=$J117,"T","F"))</f>
        <v/>
      </c>
      <c r="AE117" s="816" t="str">
        <f t="array" ref="AE117">IF($J117="","",SUM(IF(LEFT($AG117:$DW117,1)="s",1,0))-SUM(IF(RIGHT(LEFT($AG117:$DW117,2))="-",1,0)))</f>
        <v/>
      </c>
      <c r="AF117" s="816" t="str">
        <f t="array" ref="AF117">IF($J117="","",SUM(IF(LEFT($AG117:$DC117,1)="X",1,0)))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3"/>
      <c r="BD117" s="893"/>
      <c r="BE117" s="893"/>
      <c r="BF117" s="897"/>
      <c r="BG117" s="897"/>
      <c r="BH117" s="897"/>
      <c r="BI117" s="897"/>
      <c r="BJ117" s="897"/>
      <c r="BK117" s="897"/>
      <c r="BL117" s="897"/>
      <c r="BM117" s="897"/>
      <c r="BN117" s="893"/>
      <c r="BO117" s="897"/>
      <c r="BP117" s="893"/>
      <c r="BQ117" s="897"/>
      <c r="BR117" s="893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</row>
    <row r="118" spans="4:84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7"/>
        <v/>
      </c>
      <c r="M118" s="816" t="str">
        <f t="shared" si="58"/>
        <v/>
      </c>
      <c r="N118" s="816" t="str">
        <f t="shared" si="59"/>
        <v/>
      </c>
      <c r="R118" s="816" t="str">
        <f t="shared" si="60"/>
        <v/>
      </c>
      <c r="T118" s="829" t="str">
        <f t="shared" si="61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IF($J118="","",IF(SUM(IF(ISNUMBER(VALUE(RIGHT($AG118:$CK118,1))),VALUE(RIGHT($AG118:$CK118,1)),0))=$J118,"T","F"))</f>
        <v/>
      </c>
      <c r="AE118" s="816" t="str">
        <f t="array" ref="AE118">IF($J118="","",SUM(IF(LEFT($AG118:$DW118,1)="s",1,0))-SUM(IF(RIGHT(LEFT($AG118:$DW118,2))="-",1,0)))</f>
        <v/>
      </c>
      <c r="AF118" s="816" t="str">
        <f t="array" ref="AF118">IF($J118="","",SUM(IF(LEFT($AG118:$DC118,1)="X",1,0)))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3"/>
      <c r="BD118" s="893"/>
      <c r="BE118" s="893"/>
      <c r="BF118" s="897"/>
      <c r="BG118" s="897"/>
      <c r="BH118" s="897"/>
      <c r="BI118" s="897"/>
      <c r="BJ118" s="897"/>
      <c r="BK118" s="897"/>
      <c r="BL118" s="897"/>
      <c r="BM118" s="897"/>
      <c r="BN118" s="893"/>
      <c r="BO118" s="897"/>
      <c r="BP118" s="893"/>
      <c r="BQ118" s="897"/>
      <c r="BR118" s="893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</row>
    <row r="119" spans="4:84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7"/>
        <v/>
      </c>
      <c r="M119" s="816" t="str">
        <f t="shared" si="58"/>
        <v/>
      </c>
      <c r="N119" s="816" t="str">
        <f t="shared" si="59"/>
        <v/>
      </c>
      <c r="R119" s="816" t="str">
        <f t="shared" si="60"/>
        <v/>
      </c>
      <c r="T119" s="829" t="str">
        <f t="shared" si="61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IF($J119="","",IF(SUM(IF(ISNUMBER(VALUE(RIGHT($AG119:$CK119,1))),VALUE(RIGHT($AG119:$CK119,1)),0))=$J119,"T","F"))</f>
        <v/>
      </c>
      <c r="AE119" s="816" t="str">
        <f t="array" ref="AE119">IF($J119="","",SUM(IF(LEFT($AG119:$DW119,1)="s",1,0))-SUM(IF(RIGHT(LEFT($AG119:$DW119,2))="-",1,0)))</f>
        <v/>
      </c>
      <c r="AF119" s="816" t="str">
        <f t="array" ref="AF119">IF($J119="","",SUM(IF(LEFT($AG119:$DC119,1)="X",1,0)))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3"/>
      <c r="BD119" s="893"/>
      <c r="BE119" s="893"/>
      <c r="BF119" s="897"/>
      <c r="BG119" s="897"/>
      <c r="BH119" s="897"/>
      <c r="BI119" s="897"/>
      <c r="BJ119" s="897"/>
      <c r="BK119" s="897"/>
      <c r="BL119" s="897"/>
      <c r="BM119" s="897"/>
      <c r="BN119" s="893"/>
      <c r="BO119" s="897"/>
      <c r="BP119" s="893"/>
      <c r="BQ119" s="897"/>
      <c r="BR119" s="893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</row>
    <row r="120" spans="4:84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7"/>
        <v/>
      </c>
      <c r="M120" s="816" t="str">
        <f t="shared" si="58"/>
        <v/>
      </c>
      <c r="N120" s="816" t="str">
        <f t="shared" si="59"/>
        <v/>
      </c>
      <c r="R120" s="816" t="str">
        <f t="shared" si="60"/>
        <v/>
      </c>
      <c r="T120" s="829" t="str">
        <f t="shared" si="61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IF($J120="","",IF(SUM(IF(ISNUMBER(VALUE(RIGHT($AG120:$CK120,1))),VALUE(RIGHT($AG120:$CK120,1)),0))=$J120,"T","F"))</f>
        <v/>
      </c>
      <c r="AE120" s="816" t="str">
        <f t="array" ref="AE120">IF($J120="","",SUM(IF(LEFT($AG120:$DW120,1)="s",1,0))-SUM(IF(RIGHT(LEFT($AG120:$DW120,2))="-",1,0)))</f>
        <v/>
      </c>
      <c r="AF120" s="816" t="str">
        <f t="array" ref="AF120">IF($J120="","",SUM(IF(LEFT($AG120:$DC120,1)="X",1,0)))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3"/>
      <c r="BD120" s="893"/>
      <c r="BE120" s="893"/>
      <c r="BF120" s="897"/>
      <c r="BG120" s="897"/>
      <c r="BH120" s="897"/>
      <c r="BI120" s="897"/>
      <c r="BJ120" s="897"/>
      <c r="BK120" s="897"/>
      <c r="BL120" s="897"/>
      <c r="BM120" s="897"/>
      <c r="BN120" s="893"/>
      <c r="BO120" s="897"/>
      <c r="BP120" s="893"/>
      <c r="BQ120" s="897"/>
      <c r="BR120" s="893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</row>
    <row r="121" spans="4:84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7"/>
        <v/>
      </c>
      <c r="M121" s="816" t="str">
        <f t="shared" si="58"/>
        <v/>
      </c>
      <c r="N121" s="816" t="str">
        <f t="shared" si="59"/>
        <v/>
      </c>
      <c r="R121" s="816" t="str">
        <f t="shared" si="60"/>
        <v/>
      </c>
      <c r="T121" s="829" t="str">
        <f t="shared" si="61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IF($J121="","",IF(SUM(IF(ISNUMBER(VALUE(RIGHT($AG121:$CK121,1))),VALUE(RIGHT($AG121:$CK121,1)),0))=$J121,"T","F"))</f>
        <v/>
      </c>
      <c r="AE121" s="816" t="str">
        <f t="array" ref="AE121">IF($J121="","",SUM(IF(LEFT($AG121:$DW121,1)="s",1,0))-SUM(IF(RIGHT(LEFT($AG121:$DW121,2))="-",1,0)))</f>
        <v/>
      </c>
      <c r="AF121" s="816" t="str">
        <f t="array" ref="AF121">IF($J121="","",SUM(IF(LEFT($AG121:$DC121,1)="X",1,0)))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3"/>
      <c r="BD121" s="893"/>
      <c r="BE121" s="893"/>
      <c r="BF121" s="897"/>
      <c r="BG121" s="897"/>
      <c r="BH121" s="897"/>
      <c r="BI121" s="897"/>
      <c r="BJ121" s="897"/>
      <c r="BK121" s="897"/>
      <c r="BL121" s="897"/>
      <c r="BM121" s="897"/>
      <c r="BN121" s="893"/>
      <c r="BO121" s="897"/>
      <c r="BP121" s="893"/>
      <c r="BQ121" s="897"/>
      <c r="BR121" s="893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</row>
    <row r="122" spans="4:84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7"/>
        <v/>
      </c>
      <c r="M122" s="816" t="str">
        <f t="shared" si="58"/>
        <v/>
      </c>
      <c r="N122" s="816" t="str">
        <f t="shared" si="59"/>
        <v/>
      </c>
      <c r="R122" s="816" t="str">
        <f t="shared" si="60"/>
        <v/>
      </c>
      <c r="T122" s="829" t="str">
        <f t="shared" si="61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IF($J122="","",IF(SUM(IF(ISNUMBER(VALUE(RIGHT($AG122:$CK122,1))),VALUE(RIGHT($AG122:$CK122,1)),0))=$J122,"T","F"))</f>
        <v/>
      </c>
      <c r="AE122" s="816" t="str">
        <f t="array" ref="AE122">IF($J122="","",SUM(IF(LEFT($AG122:$DW122,1)="s",1,0))-SUM(IF(RIGHT(LEFT($AG122:$DW122,2))="-",1,0)))</f>
        <v/>
      </c>
      <c r="AF122" s="816" t="str">
        <f t="array" ref="AF122">IF($J122="","",SUM(IF(LEFT($AG122:$DC122,1)="X",1,0)))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3"/>
      <c r="BD122" s="893"/>
      <c r="BE122" s="893"/>
      <c r="BF122" s="897"/>
      <c r="BG122" s="897"/>
      <c r="BH122" s="897"/>
      <c r="BI122" s="897"/>
      <c r="BJ122" s="897"/>
      <c r="BK122" s="897"/>
      <c r="BL122" s="897"/>
      <c r="BM122" s="897"/>
      <c r="BN122" s="893"/>
      <c r="BO122" s="897"/>
      <c r="BP122" s="893"/>
      <c r="BQ122" s="897"/>
      <c r="BR122" s="893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</row>
    <row r="123" spans="4:84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7"/>
        <v/>
      </c>
      <c r="M123" s="816" t="str">
        <f t="shared" si="58"/>
        <v/>
      </c>
      <c r="N123" s="816" t="str">
        <f t="shared" si="59"/>
        <v/>
      </c>
      <c r="R123" s="816" t="str">
        <f t="shared" si="60"/>
        <v/>
      </c>
      <c r="T123" s="829" t="str">
        <f t="shared" si="61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IF($J123="","",IF(SUM(IF(ISNUMBER(VALUE(RIGHT($AG123:$CK123,1))),VALUE(RIGHT($AG123:$CK123,1)),0))=$J123,"T","F"))</f>
        <v/>
      </c>
      <c r="AE123" s="816" t="str">
        <f t="array" ref="AE123">IF($J123="","",SUM(IF(LEFT($AG123:$DW123,1)="s",1,0))-SUM(IF(RIGHT(LEFT($AG123:$DW123,2))="-",1,0)))</f>
        <v/>
      </c>
      <c r="AF123" s="816" t="str">
        <f t="array" ref="AF123">IF($J123="","",SUM(IF(LEFT($AG123:$DC123,1)="X",1,0)))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3"/>
      <c r="BD123" s="893"/>
      <c r="BE123" s="893"/>
      <c r="BF123" s="897"/>
      <c r="BG123" s="897"/>
      <c r="BH123" s="897"/>
      <c r="BI123" s="897"/>
      <c r="BJ123" s="897"/>
      <c r="BK123" s="897"/>
      <c r="BL123" s="897"/>
      <c r="BM123" s="897"/>
      <c r="BN123" s="893"/>
      <c r="BO123" s="897"/>
      <c r="BP123" s="893"/>
      <c r="BQ123" s="897"/>
      <c r="BR123" s="893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</row>
    <row r="124" spans="4:84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7"/>
        <v/>
      </c>
      <c r="M124" s="816" t="str">
        <f t="shared" si="58"/>
        <v/>
      </c>
      <c r="N124" s="816" t="str">
        <f t="shared" si="59"/>
        <v/>
      </c>
      <c r="R124" s="816" t="str">
        <f t="shared" si="60"/>
        <v/>
      </c>
      <c r="T124" s="829" t="str">
        <f t="shared" si="61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IF($J124="","",IF(SUM(IF(ISNUMBER(VALUE(RIGHT($AG124:$CK124,1))),VALUE(RIGHT($AG124:$CK124,1)),0))=$J124,"T","F"))</f>
        <v/>
      </c>
      <c r="AE124" s="816" t="str">
        <f t="array" ref="AE124">IF($J124="","",SUM(IF(LEFT($AG124:$DW124,1)="s",1,0))-SUM(IF(RIGHT(LEFT($AG124:$DW124,2))="-",1,0)))</f>
        <v/>
      </c>
      <c r="AF124" s="816" t="str">
        <f t="array" ref="AF124">IF($J124="","",SUM(IF(LEFT($AG124:$DC124,1)="X",1,0)))</f>
        <v/>
      </c>
      <c r="AG124" s="897"/>
      <c r="AH124" s="897"/>
      <c r="AI124" s="897"/>
      <c r="AJ124" s="893"/>
      <c r="AK124" s="897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3"/>
      <c r="BD124" s="893"/>
      <c r="BE124" s="893"/>
      <c r="BF124" s="897"/>
      <c r="BG124" s="897"/>
      <c r="BH124" s="897"/>
      <c r="BI124" s="897"/>
      <c r="BJ124" s="897"/>
      <c r="BK124" s="897"/>
      <c r="BL124" s="897"/>
      <c r="BM124" s="897"/>
      <c r="BN124" s="893"/>
      <c r="BO124" s="897"/>
      <c r="BP124" s="893"/>
      <c r="BQ124" s="897"/>
      <c r="BR124" s="893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  <c r="CF124" s="897"/>
    </row>
    <row r="125" spans="4:84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7"/>
        <v/>
      </c>
      <c r="M125" s="816" t="str">
        <f t="shared" si="58"/>
        <v/>
      </c>
      <c r="N125" s="816" t="str">
        <f t="shared" si="59"/>
        <v/>
      </c>
      <c r="R125" s="816" t="str">
        <f t="shared" si="60"/>
        <v/>
      </c>
      <c r="T125" s="829" t="str">
        <f t="shared" si="61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IF($J125="","",IF(SUM(IF(ISNUMBER(VALUE(RIGHT($AG125:$CK125,1))),VALUE(RIGHT($AG125:$CK125,1)),0))=$J125,"T","F"))</f>
        <v/>
      </c>
      <c r="AE125" s="816" t="str">
        <f t="array" ref="AE125">IF($J125="","",SUM(IF(LEFT($AG125:$DW125,1)="s",1,0))-SUM(IF(RIGHT(LEFT($AG125:$DW125,2))="-",1,0)))</f>
        <v/>
      </c>
      <c r="AF125" s="816" t="str">
        <f t="array" ref="AF125">IF($J125="","",SUM(IF(LEFT($AG125:$DC125,1)="X",1,0)))</f>
        <v/>
      </c>
      <c r="AG125" s="897"/>
      <c r="AH125" s="897"/>
      <c r="AI125" s="897"/>
      <c r="AJ125" s="893"/>
      <c r="AK125" s="897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3"/>
      <c r="BD125" s="893"/>
      <c r="BE125" s="893"/>
      <c r="BF125" s="897"/>
      <c r="BG125" s="897"/>
      <c r="BH125" s="897"/>
      <c r="BI125" s="897"/>
      <c r="BJ125" s="897"/>
      <c r="BK125" s="897"/>
      <c r="BL125" s="897"/>
      <c r="BM125" s="897"/>
      <c r="BN125" s="893"/>
      <c r="BO125" s="897"/>
      <c r="BP125" s="893"/>
      <c r="BQ125" s="897"/>
      <c r="BR125" s="893"/>
      <c r="BS125" s="897"/>
      <c r="BT125" s="897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  <c r="CE125" s="897"/>
      <c r="CF125" s="897"/>
    </row>
    <row r="126" spans="4:84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7"/>
        <v/>
      </c>
      <c r="M126" s="816" t="str">
        <f t="shared" si="58"/>
        <v/>
      </c>
      <c r="N126" s="816" t="str">
        <f t="shared" si="59"/>
        <v/>
      </c>
      <c r="R126" s="816" t="str">
        <f t="shared" si="60"/>
        <v/>
      </c>
      <c r="T126" s="829" t="str">
        <f t="shared" si="61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IF($J126="","",IF(SUM(IF(ISNUMBER(VALUE(RIGHT($AG126:$CK126,1))),VALUE(RIGHT($AG126:$CK126,1)),0))=$J126,"T","F"))</f>
        <v/>
      </c>
      <c r="AE126" s="816" t="str">
        <f t="array" ref="AE126">IF($J126="","",SUM(IF(LEFT($AG126:$DW126,1)="s",1,0))-SUM(IF(RIGHT(LEFT($AG126:$DW126,2))="-",1,0)))</f>
        <v/>
      </c>
      <c r="AF126" s="816" t="str">
        <f t="array" ref="AF126">IF($J126="","",SUM(IF(LEFT($AG126:$DC126,1)="X",1,0)))</f>
        <v/>
      </c>
    </row>
    <row r="127" spans="4:84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7"/>
        <v/>
      </c>
      <c r="M127" s="816" t="str">
        <f t="shared" si="58"/>
        <v/>
      </c>
      <c r="N127" s="816" t="str">
        <f t="shared" si="59"/>
        <v/>
      </c>
      <c r="R127" s="816" t="str">
        <f t="shared" si="60"/>
        <v/>
      </c>
      <c r="T127" s="829" t="str">
        <f t="shared" si="61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IF($J127="","",IF(SUM(IF(ISNUMBER(VALUE(RIGHT($AG127:$CK127,1))),VALUE(RIGHT($AG127:$CK127,1)),0))=$J127,"T","F"))</f>
        <v/>
      </c>
      <c r="AE127" s="816" t="str">
        <f t="array" ref="AE127">IF($J127="","",SUM(IF(LEFT($AG127:$DW127,1)="s",1,0))-SUM(IF(RIGHT(LEFT($AG127:$DW127,2))="-",1,0)))</f>
        <v/>
      </c>
      <c r="AF127" s="816" t="str">
        <f t="array" ref="AF127">IF($J127="","",SUM(IF(LEFT($AG127:$DC127,1)="X",1,0)))</f>
        <v/>
      </c>
    </row>
    <row r="128" spans="4:84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7"/>
        <v/>
      </c>
      <c r="M128" s="816" t="str">
        <f t="shared" si="58"/>
        <v/>
      </c>
      <c r="N128" s="816" t="str">
        <f t="shared" si="59"/>
        <v/>
      </c>
      <c r="R128" s="816" t="str">
        <f t="shared" si="60"/>
        <v/>
      </c>
      <c r="T128" s="829" t="str">
        <f t="shared" si="61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IF($J128="","",IF(SUM(IF(ISNUMBER(VALUE(RIGHT($AG128:$CK128,1))),VALUE(RIGHT($AG128:$CK128,1)),0))=$J128,"T","F"))</f>
        <v/>
      </c>
      <c r="AE128" s="816" t="str">
        <f t="array" ref="AE128">IF($J128="","",SUM(IF(LEFT($AG128:$DW128,1)="s",1,0))-SUM(IF(RIGHT(LEFT($AG128:$DW128,2))="-",1,0)))</f>
        <v/>
      </c>
      <c r="AF128" s="816" t="str">
        <f t="array" ref="AF128">IF($J128="","",SUM(IF(LEFT($AG128:$DC128,1)="X",1,0)))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57"/>
        <v/>
      </c>
      <c r="M129" s="816" t="str">
        <f t="shared" si="58"/>
        <v/>
      </c>
      <c r="N129" s="816" t="str">
        <f t="shared" si="59"/>
        <v/>
      </c>
      <c r="R129" s="816" t="str">
        <f t="shared" si="60"/>
        <v/>
      </c>
      <c r="T129" s="829" t="str">
        <f t="shared" si="61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IF($J129="","",IF(SUM(IF(ISNUMBER(VALUE(RIGHT($AG129:$CK129,1))),VALUE(RIGHT($AG129:$CK129,1)),0))=$J129,"T","F"))</f>
        <v/>
      </c>
      <c r="AE129" s="816" t="str">
        <f t="array" ref="AE129">IF($J129="","",SUM(IF(LEFT($AG129:$DW129,1)="s",1,0))-SUM(IF(RIGHT(LEFT($AG129:$DW129,2))="-",1,0)))</f>
        <v/>
      </c>
      <c r="AF129" s="816" t="str">
        <f t="array" ref="AF129">IF($J129="","",SUM(IF(LEFT($AG129:$DC129,1)="X",1,0)))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57"/>
        <v/>
      </c>
      <c r="M130" s="816" t="str">
        <f t="shared" si="58"/>
        <v/>
      </c>
      <c r="N130" s="816" t="str">
        <f t="shared" si="59"/>
        <v/>
      </c>
      <c r="R130" s="816" t="str">
        <f t="shared" si="60"/>
        <v/>
      </c>
      <c r="T130" s="829" t="str">
        <f t="shared" si="61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IF($J130="","",IF(SUM(IF(ISNUMBER(VALUE(RIGHT($AG130:$CK130,1))),VALUE(RIGHT($AG130:$CK130,1)),0))=$J130,"T","F"))</f>
        <v/>
      </c>
      <c r="AE130" s="816" t="str">
        <f t="array" ref="AE130">IF($J130="","",SUM(IF(LEFT($AG130:$DW130,1)="s",1,0))-SUM(IF(RIGHT(LEFT($AG130:$DW130,2))="-",1,0)))</f>
        <v/>
      </c>
      <c r="AF130" s="816" t="str">
        <f t="array" ref="AF130">IF($J130="","",SUM(IF(LEFT($AG130:$DC130,1)="X",1,0)))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57"/>
        <v/>
      </c>
      <c r="M131" s="816" t="str">
        <f t="shared" si="58"/>
        <v/>
      </c>
      <c r="N131" s="816" t="str">
        <f t="shared" si="59"/>
        <v/>
      </c>
      <c r="R131" s="816" t="str">
        <f t="shared" si="60"/>
        <v/>
      </c>
      <c r="T131" s="829" t="str">
        <f t="shared" si="61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IF($J131="","",IF(SUM(IF(ISNUMBER(VALUE(RIGHT($AG131:$CK131,1))),VALUE(RIGHT($AG131:$CK131,1)),0))=$J131,"T","F"))</f>
        <v/>
      </c>
      <c r="AE131" s="816" t="str">
        <f t="array" ref="AE131">IF($J131="","",SUM(IF(LEFT($AG131:$DW131,1)="s",1,0))-SUM(IF(RIGHT(LEFT($AG131:$DW131,2))="-",1,0)))</f>
        <v/>
      </c>
      <c r="AF131" s="816" t="str">
        <f t="array" ref="AF131">IF($J131="","",SUM(IF(LEFT($AG131:$DC131,1)="X",1,0)))</f>
        <v/>
      </c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</sheetData>
  <autoFilter ref="A22:DI78"/>
  <mergeCells count="3">
    <mergeCell ref="W19:X19"/>
    <mergeCell ref="Y19:Z19"/>
    <mergeCell ref="AA19:AB19"/>
  </mergeCells>
  <phoneticPr fontId="21" type="noConversion"/>
  <conditionalFormatting sqref="AD23:AD308">
    <cfRule type="cellIs" dxfId="1132" priority="35" operator="equal">
      <formula>"T"</formula>
    </cfRule>
  </conditionalFormatting>
  <conditionalFormatting sqref="N23:N308">
    <cfRule type="cellIs" dxfId="1131" priority="42" stopIfTrue="1" operator="equal">
      <formula>"U"</formula>
    </cfRule>
    <cfRule type="cellIs" dxfId="1130" priority="43" stopIfTrue="1" operator="equal">
      <formula>"O"</formula>
    </cfRule>
  </conditionalFormatting>
  <conditionalFormatting sqref="L23:L308">
    <cfRule type="cellIs" dxfId="1129" priority="40" stopIfTrue="1" operator="equal">
      <formula>"W"</formula>
    </cfRule>
    <cfRule type="cellIs" dxfId="1128" priority="41" stopIfTrue="1" operator="equal">
      <formula>"D"</formula>
    </cfRule>
  </conditionalFormatting>
  <conditionalFormatting sqref="AF23:AF308">
    <cfRule type="cellIs" dxfId="1127" priority="38" stopIfTrue="1" operator="notEqual">
      <formula>11</formula>
    </cfRule>
    <cfRule type="cellIs" dxfId="1126" priority="39" stopIfTrue="1" operator="between">
      <formula>0</formula>
      <formula>20</formula>
    </cfRule>
  </conditionalFormatting>
  <conditionalFormatting sqref="AE23:AE308">
    <cfRule type="cellIs" dxfId="1125" priority="36" stopIfTrue="1" operator="notEqual">
      <formula>0</formula>
    </cfRule>
    <cfRule type="cellIs" dxfId="1124" priority="37" stopIfTrue="1" operator="between">
      <formula>0</formula>
      <formula>20</formula>
    </cfRule>
  </conditionalFormatting>
  <conditionalFormatting sqref="CH19:CY19">
    <cfRule type="expression" dxfId="1123" priority="31">
      <formula>CH19="G"</formula>
    </cfRule>
    <cfRule type="expression" dxfId="1122" priority="32">
      <formula>CH19="M"</formula>
    </cfRule>
    <cfRule type="expression" dxfId="1121" priority="33">
      <formula>CH19="D"</formula>
    </cfRule>
    <cfRule type="expression" dxfId="1120" priority="34">
      <formula>CH19="A"</formula>
    </cfRule>
  </conditionalFormatting>
  <conditionalFormatting sqref="BQ19:CG19 BN19 AK19:BL19">
    <cfRule type="expression" dxfId="1119" priority="27">
      <formula>AK19="G"</formula>
    </cfRule>
    <cfRule type="expression" dxfId="1118" priority="28">
      <formula>OR(AK19="M",AK19="CM",AK19="LM",AK19="RM",AK19="DM",AK19="AM")</formula>
    </cfRule>
    <cfRule type="expression" dxfId="1117" priority="29">
      <formula>OR(AK19="D",AK19="CB",AK19="LB",AK19="RB")</formula>
    </cfRule>
    <cfRule type="expression" dxfId="1116" priority="30">
      <formula>OR(AK19="A",AK19="CF",AK19="SS",AK19="ST",AK19="RW",AK19="LW")</formula>
    </cfRule>
  </conditionalFormatting>
  <conditionalFormatting sqref="BO23:BX67 AG23:BR64 AG66:BR71 AH65:BR65">
    <cfRule type="expression" dxfId="1115" priority="25">
      <formula>IF(ISNUMBER(VALUE(RIGHT(AG23,1))),1,0)</formula>
    </cfRule>
  </conditionalFormatting>
  <conditionalFormatting sqref="BZ16:CF16 AG16:BU16">
    <cfRule type="top10" dxfId="1114" priority="44" stopIfTrue="1" rank="5"/>
  </conditionalFormatting>
  <conditionalFormatting sqref="BZ15:CF15 AG15:BU15">
    <cfRule type="top10" dxfId="1113" priority="45" rank="11"/>
  </conditionalFormatting>
  <conditionalFormatting sqref="BZ17:CF17 AG17:BU17">
    <cfRule type="top10" dxfId="1112" priority="46" stopIfTrue="1" rank="5"/>
  </conditionalFormatting>
  <conditionalFormatting sqref="BZ14:CF14 AG14:BU14">
    <cfRule type="top10" dxfId="1111" priority="47" rank="11"/>
  </conditionalFormatting>
  <conditionalFormatting sqref="BN19 AG19:BL19">
    <cfRule type="cellIs" dxfId="1110" priority="18" operator="equal">
      <formula>"M"</formula>
    </cfRule>
  </conditionalFormatting>
  <conditionalFormatting sqref="BN19 AG19:BL19">
    <cfRule type="cellIs" dxfId="1109" priority="17" operator="equal">
      <formula>"D"</formula>
    </cfRule>
  </conditionalFormatting>
  <conditionalFormatting sqref="BN19 AG19:BL19">
    <cfRule type="cellIs" dxfId="1108" priority="15" operator="equal">
      <formula>"G"</formula>
    </cfRule>
    <cfRule type="cellIs" dxfId="1107" priority="16" operator="equal">
      <formula>"A"</formula>
    </cfRule>
  </conditionalFormatting>
  <conditionalFormatting sqref="BN19 AG19:BL19">
    <cfRule type="containsText" dxfId="1106" priority="12" operator="containsText" text="FW">
      <formula>NOT(ISERROR(SEARCH("FW",AG19)))</formula>
    </cfRule>
    <cfRule type="containsText" dxfId="1105" priority="13" operator="containsText" text="MF">
      <formula>NOT(ISERROR(SEARCH("MF",AG19)))</formula>
    </cfRule>
    <cfRule type="containsText" dxfId="1104" priority="14" operator="containsText" text="DF">
      <formula>NOT(ISERROR(SEARCH("DF",AG19)))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DU235"/>
  <sheetViews>
    <sheetView zoomScale="90" zoomScaleNormal="90" workbookViewId="0">
      <pane xSplit="32" ySplit="22" topLeftCell="AG59" activePane="bottomRight" state="frozen"/>
      <selection activeCell="Q57" activeCellId="1" sqref="BA21 Q57"/>
      <selection pane="topRight" activeCell="Q57" activeCellId="1" sqref="BA21 Q57"/>
      <selection pane="bottomLeft" activeCell="Q57" activeCellId="1" sqref="BA21 Q57"/>
      <selection pane="bottomRight" activeCell="AB65" sqref="AB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3.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7" width="3.75" style="230" customWidth="1"/>
    <col min="48" max="49" width="3.75" bestFit="1" customWidth="1"/>
    <col min="50" max="56" width="3.75" style="230" customWidth="1"/>
    <col min="57" max="57" width="3.75" bestFit="1" customWidth="1"/>
    <col min="58" max="62" width="3.75" customWidth="1"/>
    <col min="63" max="70" width="3.75" style="230" customWidth="1"/>
    <col min="71" max="71" width="3.75" bestFit="1" customWidth="1"/>
    <col min="72" max="72" width="3.75" style="230" customWidth="1"/>
    <col min="73" max="73" width="3.75" bestFit="1" customWidth="1"/>
    <col min="74" max="106" width="3.75" style="230" customWidth="1"/>
    <col min="107" max="16384" width="5.75" style="230"/>
  </cols>
  <sheetData>
    <row r="1" spans="1:94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P1" si="0">AG20</f>
        <v>Koji Homma</v>
      </c>
      <c r="AH1" s="814" t="str">
        <f t="shared" si="0"/>
        <v>Takashi Kasahara</v>
      </c>
      <c r="AI1" s="814" t="str">
        <f t="shared" si="0"/>
        <v>Akihisa Okada</v>
      </c>
      <c r="AK1" s="814" t="str">
        <f t="shared" si="0"/>
        <v>Kazuki Sato</v>
      </c>
      <c r="AL1" s="814"/>
      <c r="AM1" s="814" t="str">
        <f>AM20</f>
        <v>Junya Hosokawa</v>
      </c>
      <c r="AN1" s="814" t="str">
        <f t="shared" si="0"/>
        <v>Takuma HAMASAKI</v>
      </c>
      <c r="AO1" s="814"/>
      <c r="AP1" s="814" t="str">
        <f>AP20</f>
        <v>Ryoji Fukui</v>
      </c>
      <c r="AQ1" s="814" t="str">
        <f>AQ20</f>
        <v>Ryusei Saito</v>
      </c>
      <c r="AR1" s="814"/>
      <c r="AS1" s="814" t="str">
        <f t="shared" ref="AS1" si="1">AS20</f>
        <v>Kohei Uchida</v>
      </c>
      <c r="AT1" s="814"/>
      <c r="AU1" s="814" t="str">
        <f>BP20</f>
        <v>Keita Tanaka</v>
      </c>
      <c r="AX1" s="814" t="str">
        <f>AV20</f>
        <v>Eiji Shirai</v>
      </c>
      <c r="AY1" s="814">
        <f>BX20</f>
        <v>0</v>
      </c>
      <c r="AZ1" s="814"/>
      <c r="BA1" s="814" t="e">
        <f>#REF!</f>
        <v>#REF!</v>
      </c>
      <c r="BB1" s="814" t="str">
        <f>AY20</f>
        <v>Shota Saito</v>
      </c>
      <c r="BC1" s="814"/>
      <c r="BD1" s="814" t="str">
        <f>BB20</f>
        <v>Young-Jin Kwon</v>
      </c>
      <c r="BK1" s="814"/>
      <c r="BL1" s="814"/>
      <c r="BM1" s="814"/>
      <c r="BN1" s="814"/>
      <c r="BO1" s="814" t="e">
        <f>#REF!</f>
        <v>#REF!</v>
      </c>
      <c r="BP1" s="814" t="str">
        <f>AX20</f>
        <v>Masato Kojima</v>
      </c>
      <c r="BQ1" s="814" t="str">
        <f>BQ20</f>
        <v>Makito Ito</v>
      </c>
      <c r="BR1" s="814"/>
      <c r="BT1" s="814">
        <f>BT20</f>
        <v>0</v>
      </c>
      <c r="BV1" s="814">
        <f>BV20</f>
        <v>0</v>
      </c>
      <c r="BW1" s="814">
        <f>BW20</f>
        <v>0</v>
      </c>
      <c r="BX1" s="814" t="e">
        <f>#REF!</f>
        <v>#REF!</v>
      </c>
      <c r="BY1" s="814"/>
      <c r="BZ1" s="814"/>
      <c r="CA1" s="814"/>
      <c r="CB1" s="814"/>
      <c r="CC1" s="814">
        <f t="shared" ref="CC1:CI1" si="2">CC20</f>
        <v>0</v>
      </c>
      <c r="CD1" s="814">
        <f t="shared" si="2"/>
        <v>0</v>
      </c>
      <c r="CE1" s="814">
        <f t="shared" si="2"/>
        <v>0</v>
      </c>
      <c r="CF1" s="814">
        <f t="shared" si="2"/>
        <v>0</v>
      </c>
      <c r="CG1" s="814">
        <f t="shared" si="2"/>
        <v>0</v>
      </c>
      <c r="CH1" s="814">
        <f t="shared" si="2"/>
        <v>0</v>
      </c>
      <c r="CI1" s="814">
        <f t="shared" si="2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  <c r="CM1" s="814">
        <f t="shared" si="0"/>
        <v>0</v>
      </c>
      <c r="CN1" s="814">
        <f t="shared" si="0"/>
        <v>0</v>
      </c>
      <c r="CO1" s="814">
        <f t="shared" si="0"/>
        <v>0</v>
      </c>
      <c r="CP1" s="814">
        <f t="shared" si="0"/>
        <v>0</v>
      </c>
    </row>
    <row r="2" spans="1:94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SUM(IF(L$23:L$237="",0,1)*IF(ISBLANK($T$1),1,IF($I$23:$I$237=$T$1,1,0)))</f>
        <v>43</v>
      </c>
      <c r="AG2" s="874">
        <f t="array" ref="AG2">SUM(IF(ISBLANK(AG$23:AG$237),0,IF(AG$23:AG$237="susp",0,1))*IF(ISBLANK($T$1),1,IF($I$23:$I$237=$T$1,1,0)))</f>
        <v>40</v>
      </c>
      <c r="AH2" s="874">
        <f t="array" ref="AH2">SUM(IF(ISBLANK(AH$23:AH$237),0,IF(AH$23:AH$237="susp",0,1))*IF(ISBLANK($T$1),1,IF($I$23:$I$237=$T$1,1,0)))</f>
        <v>43</v>
      </c>
      <c r="AI2" s="874">
        <f t="array" ref="AI2">SUM(IF(ISBLANK(AI$23:AI$237),0,IF(AI$23:AI$237="susp",0,1))*IF(ISBLANK($T$1),1,IF($I$23:$I$237=$T$1,1,0)))</f>
        <v>42</v>
      </c>
      <c r="AK2" s="874">
        <f t="array" ref="AK2">SUM(IF(ISBLANK(AK$23:AK$237),0,IF(AK$23:AK$237="susp",0,1))*IF(ISBLANK($T$1),1,IF($I$23:$I$237=$T$1,1,0)))</f>
        <v>42</v>
      </c>
      <c r="AM2" s="874">
        <f t="array" ref="AM2">SUM(IF(ISBLANK(AM$23:AM$237),0,IF(AM$23:AM$237="susp",0,1))*IF(ISBLANK($T$1),1,IF($I$23:$I$237=$T$1,1,0)))</f>
        <v>43</v>
      </c>
      <c r="AN2" s="874">
        <f t="array" ref="AN2">SUM(IF(ISBLANK(AN$23:AN$237),0,IF(AN$23:AN$237="susp",0,1))*IF(ISBLANK($T$1),1,IF($I$23:$I$237=$T$1,1,0)))</f>
        <v>43</v>
      </c>
      <c r="AP2" s="874">
        <f t="array" ref="AP2">SUM(IF(ISBLANK(AP$23:AP$237),0,IF(AP$23:AP$237="susp",0,1))*IF(ISBLANK($T$1),1,IF($I$23:$I$237=$T$1,1,0)))</f>
        <v>43</v>
      </c>
      <c r="AQ2" s="874">
        <f t="array" ref="AQ2">SUM(IF(ISBLANK(AQ$23:AQ$237),0,IF(AQ$23:AQ$237="susp",0,1))*IF(ISBLANK($T$1),1,IF($I$23:$I$237=$T$1,1,0)))</f>
        <v>42</v>
      </c>
      <c r="AS2" s="874">
        <f t="array" ref="AS2">SUM(IF(ISBLANK(AS$23:AS$237),0,IF(AS$23:AS$237="susp",0,1))*IF(ISBLANK($T$1),1,IF($I$23:$I$237=$T$1,1,0)))</f>
        <v>43</v>
      </c>
      <c r="AU2" s="874">
        <f t="array" ref="AU2">SUM(IF(ISBLANK(AU$27:AU$237),0,IF(AU$27:AU$237="susp",0,1))*IF(ISBLANK($T$1),1,IF($I$23:$I$237=$T$1,1,0)))</f>
        <v>39</v>
      </c>
      <c r="AX2" s="874">
        <f t="array" ref="AX2">SUM(IF(ISBLANK(AX$27:AX$237),0,IF(AX$27:AX$237="susp",0,1))*IF(ISBLANK($T$1),1,IF($I$23:$I$237=$T$1,1,0)))</f>
        <v>38</v>
      </c>
      <c r="AY2" s="874">
        <f t="array" ref="AY2">SUM(IF(ISBLANK(AY$23:AY$237),0,IF(AY$23:AY$237="susp",0,1))*IF(ISBLANK($T$1),1,IF($I$23:$I$237=$T$1,1,0)))</f>
        <v>42</v>
      </c>
      <c r="BA2" s="874">
        <f t="array" ref="BA2">SUM(IF(ISBLANK(BA$23:BA$237),0,IF(BA$23:BA$237="susp",0,1))*IF(ISBLANK($T$1),1,IF($I$23:$I$237=$T$1,1,0)))</f>
        <v>43</v>
      </c>
      <c r="BB2" s="874">
        <f t="array" ref="BB2">SUM(IF(ISBLANK(BB$23:BB$237),0,IF(BB$23:BB$237="susp",0,1))*IF(ISBLANK($T$1),1,IF($I$23:$I$237=$T$1,1,0)))</f>
        <v>42</v>
      </c>
      <c r="BD2" s="874">
        <f t="array" ref="BD2">SUM(IF(ISBLANK(BD$27:BD$237),0,IF(BD$27:BD$237="susp",0,1))*IF(ISBLANK($T$1),1,IF($I$23:$I$237=$T$1,1,0)))</f>
        <v>39</v>
      </c>
      <c r="BO2" s="874">
        <f t="array" ref="BO2">SUM(IF(ISBLANK(BO$27:BO$237),0,IF(BO$27:BO$237="susp",0,1))*IF(ISBLANK($T$1),1,IF($I$23:$I$237=$T$1,1,0)))</f>
        <v>3</v>
      </c>
      <c r="BP2" s="874">
        <f t="array" ref="BP2">SUM(IF(ISBLANK(BP$27:BP$237),0,IF(BP$27:BP$237="susp",0,1))*IF(ISBLANK($T$1),1,IF($I$23:$I$237=$T$1,1,0)))</f>
        <v>24</v>
      </c>
      <c r="BQ2" s="874">
        <f t="array" ref="BQ2">SUM(IF(ISBLANK(BQ$23:BQ$237),0,IF(BQ$23:BQ$237="susp",0,1))*IF(ISBLANK($T$1),1,IF($I$23:$I$237=$T$1,1,0)))</f>
        <v>27</v>
      </c>
      <c r="BT2" s="874">
        <f t="array" ref="BT2">SUM(IF(ISBLANK(BT$23:BT$237),0,IF(BT$23:BT$237="susp",0,1))*IF(ISBLANK($T$1),1,IF($I$23:$I$237=$T$1,1,0)))</f>
        <v>1</v>
      </c>
      <c r="BV2" s="874">
        <f t="array" ref="BV2">SUM(IF(ISBLANK(BV$23:BV$237),0,IF(BV$23:BV$237="susp",0,1))*IF(ISBLANK($T$1),1,IF($I$23:$I$237=$T$1,1,0)))</f>
        <v>1</v>
      </c>
      <c r="BW2" s="874">
        <f t="array" ref="BW2">SUM(IF(ISBLANK(BW$23:BW$237),0,IF(BW$23:BW$237="susp",0,1))*IF(ISBLANK($T$1),1,IF($I$23:$I$237=$T$1,1,0)))</f>
        <v>1</v>
      </c>
      <c r="BX2" s="874">
        <f t="array" ref="BX2">SUM(IF(ISBLANK(BX$40:BX$237),0,IF(BX$40:BX$237="susp",0,1))*IF(ISBLANK($T$1),1,IF($I$23:$I$237=$T$1,1,0)))</f>
        <v>1</v>
      </c>
      <c r="CC2" s="874">
        <f t="array" ref="CC2">SUM(IF(ISBLANK(CC$23:CC$237),0,IF(CC$23:CC$237="susp",0,1))*IF(ISBLANK($T$1),1,IF($I$23:$I$237=$T$1,1,0)))</f>
        <v>0</v>
      </c>
      <c r="CD2" s="874">
        <f t="array" ref="CD2">SUM(IF(ISBLANK(CD$23:CD$237),0,IF(CD$23:CD$237="susp",0,1))*IF(ISBLANK($T$1),1,IF($I$23:$I$237=$T$1,1,0)))</f>
        <v>0</v>
      </c>
      <c r="CE2" s="874">
        <f t="array" ref="CE2">SUM(IF(ISBLANK(CE$23:CE$237),0,IF(CE$23:CE$237="susp",0,1))*IF(ISBLANK($T$1),1,IF($I$23:$I$237=$T$1,1,0)))</f>
        <v>0</v>
      </c>
      <c r="CF2" s="874">
        <f t="array" ref="CF2">SUM(IF(ISBLANK(CF$23:CF$237),0,IF(CF$23:CF$237="susp",0,1))*IF(ISBLANK($T$1),1,IF($I$23:$I$237=$T$1,1,0)))</f>
        <v>0</v>
      </c>
      <c r="CG2" s="874">
        <f t="array" ref="CG2">SUM(IF(ISBLANK(CG$23:CG$237),0,IF(CG$23:CG$237="susp",0,1))*IF(ISBLANK($T$1),1,IF($I$23:$I$237=$T$1,1,0)))</f>
        <v>0</v>
      </c>
      <c r="CH2" s="874">
        <f t="array" ref="CH2">SUM(IF(ISBLANK(CH$23:CH$237),0,IF(CH$23:CH$237="susp",0,1))*IF(ISBLANK($T$1),1,IF($I$23:$I$237=$T$1,1,0)))</f>
        <v>0</v>
      </c>
      <c r="CI2" s="874">
        <f t="array" ref="CI2">SUM(IF(ISBLANK(CI$23:CI$237),0,IF(CI$23:CI$237="susp",0,1))*IF(ISBLANK($T$1),1,IF($I$23:$I$237=$T$1,1,0)))</f>
        <v>0</v>
      </c>
      <c r="CJ2" s="874">
        <f t="array" ref="CJ2">SUM(IF(ISBLANK(CJ$23:CJ$237),0,IF(CJ$23:CJ$237="susp",0,1))*IF(ISBLANK($T$1),1,IF($I$23:$I$237=$T$1,1,0)))</f>
        <v>0</v>
      </c>
      <c r="CK2" s="874">
        <f t="array" ref="CK2">SUM(IF(ISBLANK(CK$23:CK$237),0,IF(CK$23:CK$237="susp",0,1))*IF(ISBLANK($T$1),1,IF($I$23:$I$237=$T$1,1,0)))</f>
        <v>0</v>
      </c>
      <c r="CL2" s="874">
        <f t="array" ref="CL2">SUM(IF(ISBLANK(CL$23:CL$237),0,IF(CL$23:CL$237="susp",0,1))*IF(ISBLANK($T$1),1,IF($I$23:$I$237=$T$1,1,0)))</f>
        <v>0</v>
      </c>
      <c r="CM2" s="874">
        <f t="array" ref="CM2">SUM(IF(ISBLANK(CM$23:CM$237),0,IF(CM$23:CM$237="susp",0,1))*IF(ISBLANK($T$1),1,IF($I$23:$I$237=$T$1,1,0)))</f>
        <v>0</v>
      </c>
      <c r="CN2" s="874">
        <f t="array" ref="CN2">SUM(IF(ISBLANK(CN$23:CN$237),0,IF(CN$23:CN$237="susp",0,1))*IF(ISBLANK($T$1),1,IF($I$23:$I$237=$T$1,1,0)))</f>
        <v>16</v>
      </c>
      <c r="CO2" s="874">
        <f t="array" ref="CO2">SUM(IF(ISBLANK(CO$23:CO$237),0,IF(CO$23:CO$237="susp",0,1))*IF(ISBLANK($T$1),1,IF($I$23:$I$237=$T$1,1,0)))</f>
        <v>16</v>
      </c>
      <c r="CP2" s="874">
        <f t="array" ref="CP2">SUM(IF(ISBLANK(CP$23:CP$237),0,IF(CP$23:CP$237="susp",0,1))*IF(ISBLANK($T$1),1,IF($I$23:$I$237=$T$1,1,0)))</f>
        <v>15</v>
      </c>
    </row>
    <row r="3" spans="1:94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SUM(IF(L$23:L$237="W",1,0)*IF(ISBLANK($T$1),1,IF($I$23:$I$237=$T$1,1,0)))</f>
        <v>14</v>
      </c>
      <c r="AG3" s="874">
        <f t="array" ref="AG3">SUM(IF(ISTEXT(AG$23:AG$237),1,0)*IF(($L$23:$L$237)="W",1,0)*IF(ISBLANK($T$1),1,IF($I$23:$I$237=$T$1,1,0)))</f>
        <v>13</v>
      </c>
      <c r="AH3" s="874">
        <f t="array" ref="AH3">SUM(IF(ISTEXT(AH$23:AH$237),1,0)*IF(($L$23:$L$237)="W",1,0)*IF(ISBLANK($T$1),1,IF($I$23:$I$237=$T$1,1,0)))</f>
        <v>14</v>
      </c>
      <c r="AI3" s="874">
        <f t="array" ref="AI3">SUM(IF(ISTEXT(AI$23:AI$237),1,0)*IF(($L$23:$L$237)="W",1,0)*IF(ISBLANK($T$1),1,IF($I$23:$I$237=$T$1,1,0)))</f>
        <v>13</v>
      </c>
      <c r="AK3" s="874">
        <f t="array" ref="AK3">SUM(IF(ISTEXT(AK$23:AK$237),1,0)*IF(($L$23:$L$237)="W",1,0)*IF(ISBLANK($T$1),1,IF($I$23:$I$237=$T$1,1,0)))</f>
        <v>13</v>
      </c>
      <c r="AM3" s="874">
        <f t="array" ref="AM3">SUM(IF(ISTEXT(AM$23:AM$237),1,0)*IF(($L$23:$L$237)="W",1,0)*IF(ISBLANK($T$1),1,IF($I$23:$I$237=$T$1,1,0)))</f>
        <v>14</v>
      </c>
      <c r="AN3" s="874">
        <f t="array" ref="AN3">SUM(IF(ISTEXT(AN$23:AN$237),1,0)*IF(($L$23:$L$237)="W",1,0)*IF(ISBLANK($T$1),1,IF($I$23:$I$237=$T$1,1,0)))</f>
        <v>14</v>
      </c>
      <c r="AP3" s="874">
        <f t="array" ref="AP3">SUM(IF(ISTEXT(AP$23:AP$237),1,0)*IF(($L$23:$L$237)="W",1,0)*IF(ISBLANK($T$1),1,IF($I$23:$I$237=$T$1,1,0)))</f>
        <v>14</v>
      </c>
      <c r="AQ3" s="874">
        <f t="array" ref="AQ3">SUM(IF(ISTEXT(AQ$23:AQ$237),1,0)*IF(($L$23:$L$237)="W",1,0)*IF(ISBLANK($T$1),1,IF($I$23:$I$237=$T$1,1,0)))</f>
        <v>13</v>
      </c>
      <c r="AS3" s="874">
        <f t="array" ref="AS3">SUM(IF(ISTEXT(AS$23:AS$237),1,0)*IF(($L$23:$L$237)="W",1,0)*IF(ISBLANK($T$1),1,IF($I$23:$I$237=$T$1,1,0)))</f>
        <v>14</v>
      </c>
      <c r="AU3" s="874" t="e">
        <f t="array" ref="AU3">SUM(IF(ISTEXT(AU$27:AU$237),1,0)*IF(($L$23:$L$237)="W",1,0)*IF(ISBLANK($T$1),1,IF($I$23:$I$237=$T$1,1,0)))</f>
        <v>#N/A</v>
      </c>
      <c r="AX3" s="874" t="e">
        <f t="array" ref="AX3">SUM(IF(ISTEXT(AX$27:AX$237),1,0)*IF(($L$23:$L$237)="W",1,0)*IF(ISBLANK($T$1),1,IF($I$23:$I$237=$T$1,1,0)))</f>
        <v>#N/A</v>
      </c>
      <c r="AY3" s="874">
        <f t="array" ref="AY3">SUM(IF(ISTEXT(AY$23:AY$237),1,0)*IF(($L$23:$L$237)="W",1,0)*IF(ISBLANK($T$1),1,IF($I$23:$I$237=$T$1,1,0)))</f>
        <v>13</v>
      </c>
      <c r="BA3" s="874">
        <f t="array" ref="BA3">SUM(IF(ISTEXT(BA$23:BA$237),1,0)*IF(($L$23:$L$237)="W",1,0)*IF(ISBLANK($T$1),1,IF($I$23:$I$237=$T$1,1,0)))</f>
        <v>14</v>
      </c>
      <c r="BB3" s="874">
        <f t="array" ref="BB3">SUM(IF(ISTEXT(BB$23:BB$237),1,0)*IF(($L$23:$L$237)="W",1,0)*IF(ISBLANK($T$1),1,IF($I$23:$I$237=$T$1,1,0)))</f>
        <v>13</v>
      </c>
      <c r="BD3" s="874" t="e">
        <f t="array" ref="BD3">SUM(IF(ISTEXT(BD$27:BD$237),1,0)*IF(($L$23:$L$237)="W",1,0)*IF(ISBLANK($T$1),1,IF($I$23:$I$237=$T$1,1,0)))</f>
        <v>#N/A</v>
      </c>
      <c r="BO3" s="874" t="e">
        <f t="array" ref="BO3">SUM(IF(ISTEXT(BO$27:BO$237),1,0)*IF(($L$23:$L$237)="W",1,0)*IF(ISBLANK($T$1),1,IF($I$23:$I$237=$T$1,1,0)))</f>
        <v>#N/A</v>
      </c>
      <c r="BP3" s="874" t="e">
        <f t="array" ref="BP3">SUM(IF(ISTEXT(BP$27:BP$237),1,0)*IF(($L$23:$L$237)="W",1,0)*IF(ISBLANK($T$1),1,IF($I$23:$I$237=$T$1,1,0)))</f>
        <v>#N/A</v>
      </c>
      <c r="BQ3" s="874">
        <f t="array" ref="BQ3">SUM(IF(ISTEXT(BQ$23:BQ$237),1,0)*IF(($L$23:$L$237)="W",1,0)*IF(ISBLANK($T$1),1,IF($I$23:$I$237=$T$1,1,0)))</f>
        <v>8</v>
      </c>
      <c r="BT3" s="874">
        <f t="array" ref="BT3">SUM(IF(ISTEXT(BT$23:BT$237),1,0)*IF(($L$23:$L$237)="W",1,0)*IF(ISBLANK($T$1),1,IF($I$23:$I$237=$T$1,1,0)))</f>
        <v>0</v>
      </c>
      <c r="BV3" s="874">
        <f t="array" ref="BV3">SUM(IF(ISTEXT(BV$23:BV$237),1,0)*IF(($L$23:$L$237)="W",1,0)*IF(ISBLANK($T$1),1,IF($I$23:$I$237=$T$1,1,0)))</f>
        <v>0</v>
      </c>
      <c r="BW3" s="874">
        <f t="array" ref="BW3">SUM(IF(ISTEXT(BW$23:BW$237),1,0)*IF(($L$23:$L$237)="W",1,0)*IF(ISBLANK($T$1),1,IF($I$23:$I$237=$T$1,1,0)))</f>
        <v>0</v>
      </c>
      <c r="BX3" s="874" t="e">
        <f t="array" ref="BX3">SUM(IF(ISTEXT(BX$40:BX$237),1,0)*IF(($L$23:$L$237)="W",1,0)*IF(ISBLANK($T$1),1,IF($I$23:$I$237=$T$1,1,0)))</f>
        <v>#N/A</v>
      </c>
      <c r="CC3" s="874">
        <f t="array" ref="CC3">SUM(IF(ISTEXT(CC$23:CC$237),1,0)*IF(($L$23:$L$237)="W",1,0)*IF(ISBLANK($T$1),1,IF($I$23:$I$237=$T$1,1,0)))</f>
        <v>0</v>
      </c>
      <c r="CD3" s="874">
        <f t="array" ref="CD3">SUM(IF(ISTEXT(CD$23:CD$237),1,0)*IF(($L$23:$L$237)="W",1,0)*IF(ISBLANK($T$1),1,IF($I$23:$I$237=$T$1,1,0)))</f>
        <v>0</v>
      </c>
      <c r="CE3" s="874">
        <f t="array" ref="CE3">SUM(IF(ISTEXT(CE$23:CE$237),1,0)*IF(($L$23:$L$237)="W",1,0)*IF(ISBLANK($T$1),1,IF($I$23:$I$237=$T$1,1,0)))</f>
        <v>0</v>
      </c>
      <c r="CF3" s="874">
        <f t="array" ref="CF3">SUM(IF(ISTEXT(CF$23:CF$237),1,0)*IF(($L$23:$L$237)="W",1,0)*IF(ISBLANK($T$1),1,IF($I$23:$I$237=$T$1,1,0)))</f>
        <v>0</v>
      </c>
      <c r="CG3" s="874">
        <f t="array" ref="CG3">SUM(IF(ISTEXT(CG$23:CG$237),1,0)*IF(($L$23:$L$237)="W",1,0)*IF(ISBLANK($T$1),1,IF($I$23:$I$237=$T$1,1,0)))</f>
        <v>0</v>
      </c>
      <c r="CH3" s="874">
        <f t="array" ref="CH3">SUM(IF(ISTEXT(CH$23:CH$237),1,0)*IF(($L$23:$L$237)="W",1,0)*IF(ISBLANK($T$1),1,IF($I$23:$I$237=$T$1,1,0)))</f>
        <v>0</v>
      </c>
      <c r="CI3" s="874">
        <f t="array" ref="CI3">SUM(IF(ISTEXT(CI$23:CI$237),1,0)*IF(($L$23:$L$237)="W",1,0)*IF(ISBLANK($T$1),1,IF($I$23:$I$237=$T$1,1,0)))</f>
        <v>0</v>
      </c>
      <c r="CJ3" s="874">
        <f t="array" ref="CJ3">SUM(IF(ISTEXT(CJ$23:CJ$237),1,0)*IF(($L$23:$L$237)="W",1,0)*IF(ISBLANK($T$1),1,IF($I$23:$I$237=$T$1,1,0)))</f>
        <v>0</v>
      </c>
      <c r="CK3" s="874">
        <f t="array" ref="CK3">SUM(IF(ISTEXT(CK$23:CK$237),1,0)*IF(($L$23:$L$237)="W",1,0)*IF(ISBLANK($T$1),1,IF($I$23:$I$237=$T$1,1,0)))</f>
        <v>0</v>
      </c>
      <c r="CL3" s="874">
        <f t="array" ref="CL3">SUM(IF(ISTEXT(CL$23:CL$237),1,0)*IF(($L$23:$L$237)="W",1,0)*IF(ISBLANK($T$1),1,IF($I$23:$I$237=$T$1,1,0)))</f>
        <v>0</v>
      </c>
      <c r="CM3" s="874">
        <f t="array" ref="CM3">SUM(IF(ISTEXT(CM$23:CM$237),1,0)*IF(($L$23:$L$237)="W",1,0)*IF(ISBLANK($T$1),1,IF($I$23:$I$237=$T$1,1,0)))</f>
        <v>0</v>
      </c>
      <c r="CN3" s="874">
        <f t="array" ref="CN3">SUM(IF(ISTEXT(CN$23:CN$237),1,0)*IF(($L$23:$L$237)="W",1,0)*IF(ISBLANK($T$1),1,IF($I$23:$I$237=$T$1,1,0)))</f>
        <v>8</v>
      </c>
      <c r="CO3" s="874">
        <f t="array" ref="CO3">SUM(IF(ISTEXT(CO$23:CO$237),1,0)*IF(($L$23:$L$237)="W",1,0)*IF(ISBLANK($T$1),1,IF($I$23:$I$237=$T$1,1,0)))</f>
        <v>8</v>
      </c>
      <c r="CP3" s="874">
        <f t="array" ref="CP3">SUM(IF(ISTEXT(CP$23:CP$237),1,0)*IF(($L$23:$L$237)="W",1,0)*IF(ISBLANK($T$1),1,IF($I$23:$I$237=$T$1,1,0)))</f>
        <v>7</v>
      </c>
    </row>
    <row r="4" spans="1:94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SUM(IF(L$23:L$237="D",1,0)*IF(ISBLANK($T$1),1,IF($I$23:$I$237=$T$1,1,0)))</f>
        <v>13</v>
      </c>
      <c r="AG4" s="874">
        <f t="array" ref="AG4">SUM(IF(ISTEXT(AG$23:AG$237),1,0)*IF(($L$23:$L$237)="D",1,0)*IF(ISBLANK($T$1),1,IF($I$23:$I$237=$T$1,1,0)))</f>
        <v>11</v>
      </c>
      <c r="AH4" s="874">
        <f t="array" ref="AH4">SUM(IF(ISTEXT(AH$23:AH$237),1,0)*IF(($L$23:$L$237)="D",1,0)*IF(ISBLANK($T$1),1,IF($I$23:$I$237=$T$1,1,0)))</f>
        <v>13</v>
      </c>
      <c r="AI4" s="874">
        <f t="array" ref="AI4">SUM(IF(ISTEXT(AI$23:AI$237),1,0)*IF(($L$23:$L$237)="D",1,0)*IF(ISBLANK($T$1),1,IF($I$23:$I$237=$T$1,1,0)))</f>
        <v>13</v>
      </c>
      <c r="AK4" s="874">
        <f t="array" ref="AK4">SUM(IF(ISTEXT(AK$23:AK$237),1,0)*IF(($L$23:$L$237)="D",1,0)*IF(ISBLANK($T$1),1,IF($I$23:$I$237=$T$1,1,0)))</f>
        <v>13</v>
      </c>
      <c r="AM4" s="874">
        <f t="array" ref="AM4">SUM(IF(ISTEXT(AM$23:AM$237),1,0)*IF(($L$23:$L$237)="D",1,0)*IF(ISBLANK($T$1),1,IF($I$23:$I$237=$T$1,1,0)))</f>
        <v>13</v>
      </c>
      <c r="AN4" s="874">
        <f t="array" ref="AN4">SUM(IF(ISTEXT(AN$23:AN$237),1,0)*IF(($L$23:$L$237)="D",1,0)*IF(ISBLANK($T$1),1,IF($I$23:$I$237=$T$1,1,0)))</f>
        <v>13</v>
      </c>
      <c r="AP4" s="874">
        <f t="array" ref="AP4">SUM(IF(ISTEXT(AP$23:AP$237),1,0)*IF(($L$23:$L$237)="D",1,0)*IF(ISBLANK($T$1),1,IF($I$23:$I$237=$T$1,1,0)))</f>
        <v>13</v>
      </c>
      <c r="AQ4" s="874">
        <f t="array" ref="AQ4">SUM(IF(ISTEXT(AQ$23:AQ$237),1,0)*IF(($L$23:$L$237)="D",1,0)*IF(ISBLANK($T$1),1,IF($I$23:$I$237=$T$1,1,0)))</f>
        <v>13</v>
      </c>
      <c r="AS4" s="874">
        <f t="array" ref="AS4">SUM(IF(ISTEXT(AS$23:AS$237),1,0)*IF(($L$23:$L$237)="D",1,0)*IF(ISBLANK($T$1),1,IF($I$23:$I$237=$T$1,1,0)))</f>
        <v>13</v>
      </c>
      <c r="AU4" s="874" t="e">
        <f t="array" ref="AU4">SUM(IF(ISTEXT(AU$27:AU$237),1,0)*IF(($L$23:$L$237)="D",1,0)*IF(ISBLANK($T$1),1,IF($I$23:$I$237=$T$1,1,0)))</f>
        <v>#N/A</v>
      </c>
      <c r="AX4" s="874" t="e">
        <f t="array" ref="AX4">SUM(IF(ISTEXT(AX$27:AX$237),1,0)*IF(($L$23:$L$237)="D",1,0)*IF(ISBLANK($T$1),1,IF($I$23:$I$237=$T$1,1,0)))</f>
        <v>#N/A</v>
      </c>
      <c r="AY4" s="874">
        <f t="array" ref="AY4">SUM(IF(ISTEXT(AY$23:AY$237),1,0)*IF(($L$23:$L$237)="D",1,0)*IF(ISBLANK($T$1),1,IF($I$23:$I$237=$T$1,1,0)))</f>
        <v>13</v>
      </c>
      <c r="BA4" s="874">
        <f t="array" ref="BA4">SUM(IF(ISTEXT(BA$23:BA$237),1,0)*IF(($L$23:$L$237)="D",1,0)*IF(ISBLANK($T$1),1,IF($I$23:$I$237=$T$1,1,0)))</f>
        <v>13</v>
      </c>
      <c r="BB4" s="874">
        <f t="array" ref="BB4">SUM(IF(ISTEXT(BB$23:BB$237),1,0)*IF(($L$23:$L$237)="D",1,0)*IF(ISBLANK($T$1),1,IF($I$23:$I$237=$T$1,1,0)))</f>
        <v>13</v>
      </c>
      <c r="BD4" s="874" t="e">
        <f t="array" ref="BD4">SUM(IF(ISTEXT(BD$27:BD$237),1,0)*IF(($L$23:$L$237)="D",1,0)*IF(ISBLANK($T$1),1,IF($I$23:$I$237=$T$1,1,0)))</f>
        <v>#N/A</v>
      </c>
      <c r="BO4" s="874" t="e">
        <f t="array" ref="BO4">SUM(IF(ISTEXT(BO$27:BO$237),1,0)*IF(($L$23:$L$237)="D",1,0)*IF(ISBLANK($T$1),1,IF($I$23:$I$237=$T$1,1,0)))</f>
        <v>#N/A</v>
      </c>
      <c r="BP4" s="874" t="e">
        <f t="array" ref="BP4">SUM(IF(ISTEXT(BP$27:BP$237),1,0)*IF(($L$23:$L$237)="D",1,0)*IF(ISBLANK($T$1),1,IF($I$23:$I$237=$T$1,1,0)))</f>
        <v>#N/A</v>
      </c>
      <c r="BQ4" s="874">
        <f t="array" ref="BQ4">SUM(IF(ISTEXT(BQ$23:BQ$237),1,0)*IF(($L$23:$L$237)="D",1,0)*IF(ISBLANK($T$1),1,IF($I$23:$I$237=$T$1,1,0)))</f>
        <v>11</v>
      </c>
      <c r="BT4" s="874">
        <f t="array" ref="BT4">SUM(IF(ISTEXT(BT$23:BT$237),1,0)*IF(($L$23:$L$237)="D",1,0)*IF(ISBLANK($T$1),1,IF($I$23:$I$237=$T$1,1,0)))</f>
        <v>1</v>
      </c>
      <c r="BV4" s="874">
        <f t="array" ref="BV4">SUM(IF(ISTEXT(BV$23:BV$237),1,0)*IF(($L$23:$L$237)="D",1,0)*IF(ISBLANK($T$1),1,IF($I$23:$I$237=$T$1,1,0)))</f>
        <v>1</v>
      </c>
      <c r="BW4" s="874">
        <f t="array" ref="BW4">SUM(IF(ISTEXT(BW$23:BW$237),1,0)*IF(($L$23:$L$237)="D",1,0)*IF(ISBLANK($T$1),1,IF($I$23:$I$237=$T$1,1,0)))</f>
        <v>1</v>
      </c>
      <c r="BX4" s="874" t="e">
        <f t="array" ref="BX4">SUM(IF(ISTEXT(BX$40:BX$237),1,0)*IF(($L$23:$L$237)="D",1,0)*IF(ISBLANK($T$1),1,IF($I$23:$I$237=$T$1,1,0)))</f>
        <v>#N/A</v>
      </c>
      <c r="CC4" s="874">
        <f t="array" ref="CC4">SUM(IF(ISTEXT(CC$23:CC$237),1,0)*IF(($L$23:$L$237)="D",1,0)*IF(ISBLANK($T$1),1,IF($I$23:$I$237=$T$1,1,0)))</f>
        <v>0</v>
      </c>
      <c r="CD4" s="874">
        <f t="array" ref="CD4">SUM(IF(ISTEXT(CD$23:CD$237),1,0)*IF(($L$23:$L$237)="D",1,0)*IF(ISBLANK($T$1),1,IF($I$23:$I$237=$T$1,1,0)))</f>
        <v>0</v>
      </c>
      <c r="CE4" s="874">
        <f t="array" ref="CE4">SUM(IF(ISTEXT(CE$23:CE$237),1,0)*IF(($L$23:$L$237)="D",1,0)*IF(ISBLANK($T$1),1,IF($I$23:$I$237=$T$1,1,0)))</f>
        <v>0</v>
      </c>
      <c r="CF4" s="874">
        <f t="array" ref="CF4">SUM(IF(ISTEXT(CF$23:CF$237),1,0)*IF(($L$23:$L$237)="D",1,0)*IF(ISBLANK($T$1),1,IF($I$23:$I$237=$T$1,1,0)))</f>
        <v>0</v>
      </c>
      <c r="CG4" s="874">
        <f t="array" ref="CG4">SUM(IF(ISTEXT(CG$23:CG$237),1,0)*IF(($L$23:$L$237)="D",1,0)*IF(ISBLANK($T$1),1,IF($I$23:$I$237=$T$1,1,0)))</f>
        <v>0</v>
      </c>
      <c r="CH4" s="874">
        <f t="array" ref="CH4">SUM(IF(ISTEXT(CH$23:CH$237),1,0)*IF(($L$23:$L$237)="D",1,0)*IF(ISBLANK($T$1),1,IF($I$23:$I$237=$T$1,1,0)))</f>
        <v>0</v>
      </c>
      <c r="CI4" s="874">
        <f t="array" ref="CI4">SUM(IF(ISTEXT(CI$23:CI$237),1,0)*IF(($L$23:$L$237)="D",1,0)*IF(ISBLANK($T$1),1,IF($I$23:$I$237=$T$1,1,0)))</f>
        <v>0</v>
      </c>
      <c r="CJ4" s="874">
        <f t="array" ref="CJ4">SUM(IF(ISTEXT(CJ$23:CJ$237),1,0)*IF(($L$23:$L$237)="D",1,0)*IF(ISBLANK($T$1),1,IF($I$23:$I$237=$T$1,1,0)))</f>
        <v>0</v>
      </c>
      <c r="CK4" s="874">
        <f t="array" ref="CK4">SUM(IF(ISTEXT(CK$23:CK$237),1,0)*IF(($L$23:$L$237)="D",1,0)*IF(ISBLANK($T$1),1,IF($I$23:$I$237=$T$1,1,0)))</f>
        <v>0</v>
      </c>
      <c r="CL4" s="874">
        <f t="array" ref="CL4">SUM(IF(ISTEXT(CL$23:CL$237),1,0)*IF(($L$23:$L$237)="D",1,0)*IF(ISBLANK($T$1),1,IF($I$23:$I$237=$T$1,1,0)))</f>
        <v>0</v>
      </c>
      <c r="CM4" s="874">
        <f t="array" ref="CM4">SUM(IF(ISTEXT(CM$23:CM$237),1,0)*IF(($L$23:$L$237)="D",1,0)*IF(ISBLANK($T$1),1,IF($I$23:$I$237=$T$1,1,0)))</f>
        <v>0</v>
      </c>
      <c r="CN4" s="874">
        <f t="array" ref="CN4">SUM(IF(ISTEXT(CN$23:CN$237),1,0)*IF(($L$23:$L$237)="D",1,0)*IF(ISBLANK($T$1),1,IF($I$23:$I$237=$T$1,1,0)))</f>
        <v>3</v>
      </c>
      <c r="CO4" s="874">
        <f t="array" ref="CO4">SUM(IF(ISTEXT(CO$23:CO$237),1,0)*IF(($L$23:$L$237)="D",1,0)*IF(ISBLANK($T$1),1,IF($I$23:$I$237=$T$1,1,0)))</f>
        <v>3</v>
      </c>
      <c r="CP4" s="874">
        <f t="array" ref="CP4">SUM(IF(ISTEXT(CP$23:CP$237),1,0)*IF(($L$23:$L$237)="D",1,0)*IF(ISBLANK($T$1),1,IF($I$23:$I$237=$T$1,1,0)))</f>
        <v>3</v>
      </c>
    </row>
    <row r="5" spans="1:94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SUM(IF(L$23:L$237="L",1,0)*IF(ISBLANK($T$1),1,IF($I$23:$I$237=$T$1,1,0)))</f>
        <v>16</v>
      </c>
      <c r="AG5" s="874">
        <f t="array" ref="AG5">SUM(IF(ISTEXT(AG$23:AG$237),1,0)*IF(($L$23:$L$237)="L",1,0)*IF(ISBLANK($T$1),1,IF($I$23:$I$237=$T$1,1,0)))</f>
        <v>16</v>
      </c>
      <c r="AH5" s="874">
        <f t="array" ref="AH5">SUM(IF(ISTEXT(AH$23:AH$237),1,0)*IF(($L$23:$L$237)="L",1,0)*IF(ISBLANK($T$1),1,IF($I$23:$I$237=$T$1,1,0)))</f>
        <v>16</v>
      </c>
      <c r="AI5" s="874">
        <f t="array" ref="AI5">SUM(IF(ISTEXT(AI$23:AI$237),1,0)*IF(($L$23:$L$237)="L",1,0)*IF(ISBLANK($T$1),1,IF($I$23:$I$237=$T$1,1,0)))</f>
        <v>16</v>
      </c>
      <c r="AK5" s="874">
        <f t="array" ref="AK5">SUM(IF(ISTEXT(AK$23:AK$237),1,0)*IF(($L$23:$L$237)="L",1,0)*IF(ISBLANK($T$1),1,IF($I$23:$I$237=$T$1,1,0)))</f>
        <v>16</v>
      </c>
      <c r="AM5" s="874">
        <f t="array" ref="AM5">SUM(IF(ISTEXT(AM$23:AM$237),1,0)*IF(($L$23:$L$237)="L",1,0)*IF(ISBLANK($T$1),1,IF($I$23:$I$237=$T$1,1,0)))</f>
        <v>16</v>
      </c>
      <c r="AN5" s="874">
        <f t="array" ref="AN5">SUM(IF(ISTEXT(AN$23:AN$237),1,0)*IF(($L$23:$L$237)="L",1,0)*IF(ISBLANK($T$1),1,IF($I$23:$I$237=$T$1,1,0)))</f>
        <v>16</v>
      </c>
      <c r="AP5" s="874">
        <f t="array" ref="AP5">SUM(IF(ISTEXT(AP$23:AP$237),1,0)*IF(($L$23:$L$237)="L",1,0)*IF(ISBLANK($T$1),1,IF($I$23:$I$237=$T$1,1,0)))</f>
        <v>16</v>
      </c>
      <c r="AQ5" s="874">
        <f t="array" ref="AQ5">SUM(IF(ISTEXT(AQ$23:AQ$237),1,0)*IF(($L$23:$L$237)="L",1,0)*IF(ISBLANK($T$1),1,IF($I$23:$I$237=$T$1,1,0)))</f>
        <v>16</v>
      </c>
      <c r="AS5" s="874">
        <f t="array" ref="AS5">SUM(IF(ISTEXT(AS$23:AS$237),1,0)*IF(($L$23:$L$237)="L",1,0)*IF(ISBLANK($T$1),1,IF($I$23:$I$237=$T$1,1,0)))</f>
        <v>16</v>
      </c>
      <c r="AU5" s="874" t="e">
        <f t="array" ref="AU5">SUM(IF(ISTEXT(AU$27:AU$237),1,0)*IF(($L$23:$L$237)="L",1,0)*IF(ISBLANK($T$1),1,IF($I$23:$I$237=$T$1,1,0)))</f>
        <v>#N/A</v>
      </c>
      <c r="AX5" s="874" t="e">
        <f t="array" ref="AX5">SUM(IF(ISTEXT(AX$27:AX$237),1,0)*IF(($L$23:$L$237)="L",1,0)*IF(ISBLANK($T$1),1,IF($I$23:$I$237=$T$1,1,0)))</f>
        <v>#N/A</v>
      </c>
      <c r="AY5" s="874">
        <f t="array" ref="AY5">SUM(IF(ISTEXT(AY$23:AY$237),1,0)*IF(($L$23:$L$237)="L",1,0)*IF(ISBLANK($T$1),1,IF($I$23:$I$237=$T$1,1,0)))</f>
        <v>16</v>
      </c>
      <c r="BA5" s="874">
        <f t="array" ref="BA5">SUM(IF(ISTEXT(BA$23:BA$237),1,0)*IF(($L$23:$L$237)="L",1,0)*IF(ISBLANK($T$1),1,IF($I$23:$I$237=$T$1,1,0)))</f>
        <v>16</v>
      </c>
      <c r="BB5" s="874">
        <f t="array" ref="BB5">SUM(IF(ISTEXT(BB$23:BB$237),1,0)*IF(($L$23:$L$237)="L",1,0)*IF(ISBLANK($T$1),1,IF($I$23:$I$237=$T$1,1,0)))</f>
        <v>16</v>
      </c>
      <c r="BD5" s="874" t="e">
        <f t="array" ref="BD5">SUM(IF(ISTEXT(BD$27:BD$237),1,0)*IF(($L$23:$L$237)="L",1,0)*IF(ISBLANK($T$1),1,IF($I$23:$I$237=$T$1,1,0)))</f>
        <v>#N/A</v>
      </c>
      <c r="BO5" s="874" t="e">
        <f t="array" ref="BO5">SUM(IF(ISTEXT(BO$27:BO$237),1,0)*IF(($L$23:$L$237)="L",1,0)*IF(ISBLANK($T$1),1,IF($I$23:$I$237=$T$1,1,0)))</f>
        <v>#N/A</v>
      </c>
      <c r="BP5" s="874" t="e">
        <f t="array" ref="BP5">SUM(IF(ISTEXT(BP$27:BP$237),1,0)*IF(($L$23:$L$237)="L",1,0)*IF(ISBLANK($T$1),1,IF($I$23:$I$237=$T$1,1,0)))</f>
        <v>#N/A</v>
      </c>
      <c r="BQ5" s="874">
        <f t="array" ref="BQ5">SUM(IF(ISTEXT(BQ$23:BQ$237),1,0)*IF(($L$23:$L$237)="L",1,0)*IF(ISBLANK($T$1),1,IF($I$23:$I$237=$T$1,1,0)))</f>
        <v>8</v>
      </c>
      <c r="BT5" s="874">
        <f t="array" ref="BT5">SUM(IF(ISTEXT(BT$23:BT$237),1,0)*IF(($L$23:$L$237)="L",1,0)*IF(ISBLANK($T$1),1,IF($I$23:$I$237=$T$1,1,0)))</f>
        <v>0</v>
      </c>
      <c r="BV5" s="874">
        <f t="array" ref="BV5">SUM(IF(ISTEXT(BV$23:BV$237),1,0)*IF(($L$23:$L$237)="L",1,0)*IF(ISBLANK($T$1),1,IF($I$23:$I$237=$T$1,1,0)))</f>
        <v>0</v>
      </c>
      <c r="BW5" s="874">
        <f t="array" ref="BW5">SUM(IF(ISTEXT(BW$23:BW$237),1,0)*IF(($L$23:$L$237)="L",1,0)*IF(ISBLANK($T$1),1,IF($I$23:$I$237=$T$1,1,0)))</f>
        <v>0</v>
      </c>
      <c r="BX5" s="874" t="e">
        <f t="array" ref="BX5">SUM(IF(ISTEXT(BX$40:BX$237),1,0)*IF(($L$23:$L$237)="L",1,0)*IF(ISBLANK($T$1),1,IF($I$23:$I$237=$T$1,1,0)))</f>
        <v>#N/A</v>
      </c>
      <c r="CC5" s="874">
        <f t="array" ref="CC5">SUM(IF(ISTEXT(CC$23:CC$237),1,0)*IF(($L$23:$L$237)="L",1,0)*IF(ISBLANK($T$1),1,IF($I$23:$I$237=$T$1,1,0)))</f>
        <v>0</v>
      </c>
      <c r="CD5" s="874">
        <f t="array" ref="CD5">SUM(IF(ISTEXT(CD$23:CD$237),1,0)*IF(($L$23:$L$237)="L",1,0)*IF(ISBLANK($T$1),1,IF($I$23:$I$237=$T$1,1,0)))</f>
        <v>0</v>
      </c>
      <c r="CE5" s="874">
        <f t="array" ref="CE5">SUM(IF(ISTEXT(CE$23:CE$237),1,0)*IF(($L$23:$L$237)="L",1,0)*IF(ISBLANK($T$1),1,IF($I$23:$I$237=$T$1,1,0)))</f>
        <v>0</v>
      </c>
      <c r="CF5" s="874">
        <f t="array" ref="CF5">SUM(IF(ISTEXT(CF$23:CF$237),1,0)*IF(($L$23:$L$237)="L",1,0)*IF(ISBLANK($T$1),1,IF($I$23:$I$237=$T$1,1,0)))</f>
        <v>0</v>
      </c>
      <c r="CG5" s="874">
        <f t="array" ref="CG5">SUM(IF(ISTEXT(CG$23:CG$237),1,0)*IF(($L$23:$L$237)="L",1,0)*IF(ISBLANK($T$1),1,IF($I$23:$I$237=$T$1,1,0)))</f>
        <v>0</v>
      </c>
      <c r="CH5" s="874">
        <f t="array" ref="CH5">SUM(IF(ISTEXT(CH$23:CH$237),1,0)*IF(($L$23:$L$237)="L",1,0)*IF(ISBLANK($T$1),1,IF($I$23:$I$237=$T$1,1,0)))</f>
        <v>0</v>
      </c>
      <c r="CI5" s="874">
        <f t="array" ref="CI5">SUM(IF(ISTEXT(CI$23:CI$237),1,0)*IF(($L$23:$L$237)="L",1,0)*IF(ISBLANK($T$1),1,IF($I$23:$I$237=$T$1,1,0)))</f>
        <v>0</v>
      </c>
      <c r="CJ5" s="874">
        <f t="array" ref="CJ5">SUM(IF(ISTEXT(CJ$23:CJ$237),1,0)*IF(($L$23:$L$237)="L",1,0)*IF(ISBLANK($T$1),1,IF($I$23:$I$237=$T$1,1,0)))</f>
        <v>0</v>
      </c>
      <c r="CK5" s="874">
        <f t="array" ref="CK5">SUM(IF(ISTEXT(CK$23:CK$237),1,0)*IF(($L$23:$L$237)="L",1,0)*IF(ISBLANK($T$1),1,IF($I$23:$I$237=$T$1,1,0)))</f>
        <v>0</v>
      </c>
      <c r="CL5" s="874">
        <f t="array" ref="CL5">SUM(IF(ISTEXT(CL$23:CL$237),1,0)*IF(($L$23:$L$237)="L",1,0)*IF(ISBLANK($T$1),1,IF($I$23:$I$237=$T$1,1,0)))</f>
        <v>0</v>
      </c>
      <c r="CM5" s="874">
        <f t="array" ref="CM5">SUM(IF(ISTEXT(CM$23:CM$237),1,0)*IF(($L$23:$L$237)="L",1,0)*IF(ISBLANK($T$1),1,IF($I$23:$I$237=$T$1,1,0)))</f>
        <v>0</v>
      </c>
      <c r="CN5" s="874">
        <f t="array" ref="CN5">SUM(IF(ISTEXT(CN$23:CN$237),1,0)*IF(($L$23:$L$237)="L",1,0)*IF(ISBLANK($T$1),1,IF($I$23:$I$237=$T$1,1,0)))</f>
        <v>5</v>
      </c>
      <c r="CO5" s="874">
        <f t="array" ref="CO5">SUM(IF(ISTEXT(CO$23:CO$237),1,0)*IF(($L$23:$L$237)="L",1,0)*IF(ISBLANK($T$1),1,IF($I$23:$I$237=$T$1,1,0)))</f>
        <v>5</v>
      </c>
      <c r="CP5" s="874">
        <f t="array" ref="CP5">SUM(IF(ISTEXT(CP$23:CP$237),1,0)*IF(($L$23:$L$237)="L",1,0)*IF(ISBLANK($T$1),1,IF($I$23:$I$237=$T$1,1,0)))</f>
        <v>5</v>
      </c>
    </row>
    <row r="6" spans="1:94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55</v>
      </c>
      <c r="AG6" s="874">
        <f t="shared" ref="AG6:CP6" si="3">AG$3*3+AG$4</f>
        <v>50</v>
      </c>
      <c r="AH6" s="874">
        <f t="shared" si="3"/>
        <v>55</v>
      </c>
      <c r="AI6" s="874">
        <f t="shared" si="3"/>
        <v>52</v>
      </c>
      <c r="AK6" s="874">
        <f t="shared" si="3"/>
        <v>52</v>
      </c>
      <c r="AM6" s="874">
        <f>AM$3*3+AM$4</f>
        <v>55</v>
      </c>
      <c r="AN6" s="874">
        <f t="shared" si="3"/>
        <v>55</v>
      </c>
      <c r="AP6" s="874">
        <f>AP$3*3+AP$4</f>
        <v>55</v>
      </c>
      <c r="AQ6" s="874">
        <f>AQ$3*3+AQ$4</f>
        <v>52</v>
      </c>
      <c r="AS6" s="874">
        <f t="shared" si="3"/>
        <v>55</v>
      </c>
      <c r="AU6" s="874" t="e">
        <f>AU$3*3+AU$4</f>
        <v>#N/A</v>
      </c>
      <c r="AX6" s="874" t="e">
        <f>AX$3*3+AX$4</f>
        <v>#N/A</v>
      </c>
      <c r="AY6" s="874">
        <f>AY$3*3+AY$4</f>
        <v>52</v>
      </c>
      <c r="BA6" s="874">
        <f>BA$3*3+BA$4</f>
        <v>55</v>
      </c>
      <c r="BB6" s="874">
        <f>BB$3*3+BB$4</f>
        <v>52</v>
      </c>
      <c r="BD6" s="874" t="e">
        <f>BD$3*3+BD$4</f>
        <v>#N/A</v>
      </c>
      <c r="BO6" s="874" t="e">
        <f>BO$3*3+BO$4</f>
        <v>#N/A</v>
      </c>
      <c r="BP6" s="874" t="e">
        <f>BP$3*3+BP$4</f>
        <v>#N/A</v>
      </c>
      <c r="BQ6" s="874">
        <f>BQ$3*3+BQ$4</f>
        <v>35</v>
      </c>
      <c r="BT6" s="874">
        <f>BT$3*3+BT$4</f>
        <v>1</v>
      </c>
      <c r="BV6" s="874">
        <f>BV$3*3+BV$4</f>
        <v>1</v>
      </c>
      <c r="BW6" s="874">
        <f>BW$3*3+BW$4</f>
        <v>1</v>
      </c>
      <c r="BX6" s="874" t="e">
        <f t="shared" si="3"/>
        <v>#N/A</v>
      </c>
      <c r="CC6" s="874">
        <f t="shared" ref="CC6:CI6" si="4">CC$3*3+CC$4</f>
        <v>0</v>
      </c>
      <c r="CD6" s="874">
        <f t="shared" si="4"/>
        <v>0</v>
      </c>
      <c r="CE6" s="874">
        <f t="shared" si="4"/>
        <v>0</v>
      </c>
      <c r="CF6" s="874">
        <f t="shared" si="4"/>
        <v>0</v>
      </c>
      <c r="CG6" s="874">
        <f t="shared" si="4"/>
        <v>0</v>
      </c>
      <c r="CH6" s="874">
        <f t="shared" si="4"/>
        <v>0</v>
      </c>
      <c r="CI6" s="874">
        <f t="shared" si="4"/>
        <v>0</v>
      </c>
      <c r="CJ6" s="874">
        <f t="shared" si="3"/>
        <v>0</v>
      </c>
      <c r="CK6" s="874">
        <f t="shared" si="3"/>
        <v>0</v>
      </c>
      <c r="CL6" s="874">
        <f t="shared" si="3"/>
        <v>0</v>
      </c>
      <c r="CM6" s="874">
        <f t="shared" si="3"/>
        <v>0</v>
      </c>
      <c r="CN6" s="874">
        <f t="shared" si="3"/>
        <v>27</v>
      </c>
      <c r="CO6" s="874">
        <f t="shared" si="3"/>
        <v>27</v>
      </c>
      <c r="CP6" s="874">
        <f t="shared" si="3"/>
        <v>24</v>
      </c>
    </row>
    <row r="7" spans="1:94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P7" si="5">AF6/AF2</f>
        <v>1.2790697674418605</v>
      </c>
      <c r="AG7" s="874">
        <f t="shared" si="5"/>
        <v>1.25</v>
      </c>
      <c r="AH7" s="874">
        <f t="shared" si="5"/>
        <v>1.2790697674418605</v>
      </c>
      <c r="AI7" s="874">
        <f t="shared" si="5"/>
        <v>1.2380952380952381</v>
      </c>
      <c r="AK7" s="874">
        <f t="shared" si="5"/>
        <v>1.2380952380952381</v>
      </c>
      <c r="AM7" s="874">
        <f>AM6/AM2</f>
        <v>1.2790697674418605</v>
      </c>
      <c r="AN7" s="874">
        <f t="shared" si="5"/>
        <v>1.2790697674418605</v>
      </c>
      <c r="AP7" s="874">
        <f>AP6/AP2</f>
        <v>1.2790697674418605</v>
      </c>
      <c r="AQ7" s="874">
        <f>AQ6/AQ2</f>
        <v>1.2380952380952381</v>
      </c>
      <c r="AS7" s="874">
        <f t="shared" ref="AS7" si="6">AS6/AS2</f>
        <v>1.2790697674418605</v>
      </c>
      <c r="AU7" s="874" t="e">
        <f>AU6/AU2</f>
        <v>#N/A</v>
      </c>
      <c r="AX7" s="874" t="e">
        <f>AX6/AX2</f>
        <v>#N/A</v>
      </c>
      <c r="AY7" s="874">
        <f>AY6/AY2</f>
        <v>1.2380952380952381</v>
      </c>
      <c r="BA7" s="874">
        <f>BA6/BA2</f>
        <v>1.2790697674418605</v>
      </c>
      <c r="BB7" s="874">
        <f>BB6/BB2</f>
        <v>1.2380952380952381</v>
      </c>
      <c r="BD7" s="874" t="e">
        <f>BD6/BD2</f>
        <v>#N/A</v>
      </c>
      <c r="BO7" s="874" t="e">
        <f>BO6/BO2</f>
        <v>#N/A</v>
      </c>
      <c r="BP7" s="874" t="e">
        <f>BP6/BP2</f>
        <v>#N/A</v>
      </c>
      <c r="BQ7" s="874">
        <f>BQ6/BQ2</f>
        <v>1.2962962962962963</v>
      </c>
      <c r="BT7" s="874">
        <f>BT6/BT2</f>
        <v>1</v>
      </c>
      <c r="BV7" s="874">
        <f>BV6/BV2</f>
        <v>1</v>
      </c>
      <c r="BW7" s="874">
        <f>BW6/BW2</f>
        <v>1</v>
      </c>
      <c r="BX7" s="874" t="e">
        <f t="shared" si="5"/>
        <v>#N/A</v>
      </c>
      <c r="CC7" s="874" t="e">
        <f t="shared" ref="CC7:CI7" si="7">CC6/CC2</f>
        <v>#DIV/0!</v>
      </c>
      <c r="CD7" s="874" t="e">
        <f t="shared" si="7"/>
        <v>#DIV/0!</v>
      </c>
      <c r="CE7" s="874" t="e">
        <f t="shared" si="7"/>
        <v>#DIV/0!</v>
      </c>
      <c r="CF7" s="874" t="e">
        <f t="shared" si="7"/>
        <v>#DIV/0!</v>
      </c>
      <c r="CG7" s="874" t="e">
        <f t="shared" si="7"/>
        <v>#DIV/0!</v>
      </c>
      <c r="CH7" s="874" t="e">
        <f t="shared" si="7"/>
        <v>#DIV/0!</v>
      </c>
      <c r="CI7" s="874" t="e">
        <f t="shared" si="7"/>
        <v>#DIV/0!</v>
      </c>
      <c r="CJ7" s="874" t="e">
        <f t="shared" si="5"/>
        <v>#DIV/0!</v>
      </c>
      <c r="CK7" s="874" t="e">
        <f t="shared" si="5"/>
        <v>#DIV/0!</v>
      </c>
      <c r="CL7" s="874" t="e">
        <f t="shared" si="5"/>
        <v>#DIV/0!</v>
      </c>
      <c r="CM7" s="874" t="e">
        <f t="shared" si="5"/>
        <v>#DIV/0!</v>
      </c>
      <c r="CN7" s="874">
        <f t="shared" si="5"/>
        <v>1.6875</v>
      </c>
      <c r="CO7" s="874">
        <f t="shared" si="5"/>
        <v>1.6875</v>
      </c>
      <c r="CP7" s="874">
        <f t="shared" si="5"/>
        <v>1.6</v>
      </c>
    </row>
    <row r="8" spans="1:94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SUM(IF(($T$23:$T$237)="",0,$T$23:$T$237)*IF(ISBLANK($T$1),1,IF($I$23:$I$237=$T$1,1,0)))</f>
        <v>-6.01</v>
      </c>
      <c r="AG8" s="874">
        <f t="array" ref="AG8">SUM(IF(ISTEXT(AG$23:AG$237),1,0)*IF(($T$23:$T$237)="",0,$T$23:$T$237)*IF(ISBLANK($T$1),1,IF($I$23:$I$237=$T$1,1,0)))</f>
        <v>-2.1000000000000005</v>
      </c>
      <c r="AH8" s="874">
        <f t="array" ref="AH8">SUM(IF(ISTEXT(AH$23:AH$237),1,0)*IF(($T$23:$T$237)="",0,$T$23:$T$237)*IF(ISBLANK($T$1),1,IF($I$23:$I$237=$T$1,1,0)))</f>
        <v>-6.01</v>
      </c>
      <c r="AI8" s="874">
        <f t="array" ref="AI8">SUM(IF(ISTEXT(AI$23:AI$237),1,0)*IF(($T$23:$T$237)="",0,$T$23:$T$237)*IF(ISBLANK($T$1),1,IF($I$23:$I$237=$T$1,1,0)))</f>
        <v>-8.7299999999999969</v>
      </c>
      <c r="AK8" s="874">
        <f t="array" ref="AK8">SUM(IF(ISTEXT(AK$23:AK$237),1,0)*IF(($T$23:$T$237)="",0,$T$23:$T$237)*IF(ISBLANK($T$1),1,IF($I$23:$I$237=$T$1,1,0)))</f>
        <v>-8.7299999999999969</v>
      </c>
      <c r="AM8" s="874">
        <f t="array" ref="AM8">SUM(IF(ISTEXT(AM$23:AM$237),1,0)*IF(($T$23:$T$237)="",0,$T$23:$T$237)*IF(ISBLANK($T$1),1,IF($I$23:$I$237=$T$1,1,0)))</f>
        <v>-6.01</v>
      </c>
      <c r="AN8" s="874">
        <f t="array" ref="AN8">SUM(IF(ISTEXT(AN$23:AN$237),1,0)*IF(($T$23:$T$237)="",0,$T$23:$T$237)*IF(ISBLANK($T$1),1,IF($I$23:$I$237=$T$1,1,0)))</f>
        <v>-6.01</v>
      </c>
      <c r="AP8" s="874">
        <f t="array" ref="AP8">SUM(IF(ISTEXT(AP$23:AP$237),1,0)*IF(($T$23:$T$237)="",0,$T$23:$T$237)*IF(ISBLANK($T$1),1,IF($I$23:$I$237=$T$1,1,0)))</f>
        <v>-6.01</v>
      </c>
      <c r="AQ8" s="874">
        <f t="array" ref="AQ8">SUM(IF(ISTEXT(AQ$23:AQ$237),1,0)*IF(($T$23:$T$237)="",0,$T$23:$T$237)*IF(ISBLANK($T$1),1,IF($I$23:$I$237=$T$1,1,0)))</f>
        <v>-8.7299999999999969</v>
      </c>
      <c r="AS8" s="874">
        <f t="array" ref="AS8">SUM(IF(ISTEXT(AS$23:AS$237),1,0)*IF(($T$23:$T$237)="",0,$T$23:$T$237)*IF(ISBLANK($T$1),1,IF($I$23:$I$237=$T$1,1,0)))</f>
        <v>-6.01</v>
      </c>
      <c r="AU8" s="874" t="e">
        <f t="array" ref="AU8">SUM(IF(ISTEXT(AU$27:AU$237),1,0)*IF(($T$23:$T$237)="",0,$T$23:$T$237)*IF(ISBLANK($T$1),1,IF($I$23:$I$237=$T$1,1,0)))</f>
        <v>#N/A</v>
      </c>
      <c r="AX8" s="874" t="e">
        <f t="array" ref="AX8">SUM(IF(ISTEXT(AX$27:AX$237),1,0)*IF(($T$23:$T$237)="",0,$T$23:$T$237)*IF(ISBLANK($T$1),1,IF($I$23:$I$237=$T$1,1,0)))</f>
        <v>#N/A</v>
      </c>
      <c r="AY8" s="874">
        <f t="array" ref="AY8">SUM(IF(ISTEXT(AY$23:AY$237),1,0)*IF(($T$23:$T$237)="",0,$T$23:$T$237)*IF(ISBLANK($T$1),1,IF($I$23:$I$237=$T$1,1,0)))</f>
        <v>-8.7299999999999969</v>
      </c>
      <c r="BA8" s="874">
        <f t="array" ref="BA8">SUM(IF(ISTEXT(BA$23:BA$237),1,0)*IF(($T$23:$T$237)="",0,$T$23:$T$237)*IF(ISBLANK($T$1),1,IF($I$23:$I$237=$T$1,1,0)))</f>
        <v>-6.01</v>
      </c>
      <c r="BB8" s="874">
        <f t="array" ref="BB8">SUM(IF(ISTEXT(BB$23:BB$237),1,0)*IF(($T$23:$T$237)="",0,$T$23:$T$237)*IF(ISBLANK($T$1),1,IF($I$23:$I$237=$T$1,1,0)))</f>
        <v>-8.7299999999999969</v>
      </c>
      <c r="BD8" s="874" t="e">
        <f t="array" ref="BD8">SUM(IF(ISTEXT(BD$27:BD$237),1,0)*IF(($T$23:$T$237)="",0,$T$23:$T$237)*IF(ISBLANK($T$1),1,IF($I$23:$I$237=$T$1,1,0)))</f>
        <v>#N/A</v>
      </c>
      <c r="BO8" s="874" t="e">
        <f t="array" ref="BO8">SUM(IF(ISTEXT(BO$27:BO$237),1,0)*IF(($T$23:$T$237)="",0,$T$23:$T$237)*IF(ISBLANK($T$1),1,IF($I$23:$I$237=$T$1,1,0)))</f>
        <v>#N/A</v>
      </c>
      <c r="BP8" s="874" t="e">
        <f t="array" ref="BP8">SUM(IF(ISTEXT(BP$27:BP$237),1,0)*IF(($T$23:$T$237)="",0,$T$23:$T$237)*IF(ISBLANK($T$1),1,IF($I$23:$I$237=$T$1,1,0)))</f>
        <v>#N/A</v>
      </c>
      <c r="BQ8" s="874">
        <f t="array" ref="BQ8">SUM(IF(ISTEXT(BQ$23:BQ$237),1,0)*IF(($T$23:$T$237)="",0,$T$23:$T$237)*IF(ISBLANK($T$1),1,IF($I$23:$I$237=$T$1,1,0)))</f>
        <v>-7.25</v>
      </c>
      <c r="BT8" s="874">
        <f t="array" ref="BT8">SUM(IF(ISTEXT(BT$23:BT$237),1,0)*IF(($T$23:$T$237)="",0,$T$23:$T$237)*IF(ISBLANK($T$1),1,IF($I$23:$I$237=$T$1,1,0)))</f>
        <v>-2.36</v>
      </c>
      <c r="BV8" s="874">
        <f t="array" ref="BV8">SUM(IF(ISTEXT(BV$23:BV$237),1,0)*IF(($T$23:$T$237)="",0,$T$23:$T$237)*IF(ISBLANK($T$1),1,IF($I$23:$I$237=$T$1,1,0)))</f>
        <v>-2.36</v>
      </c>
      <c r="BW8" s="874">
        <f t="array" ref="BW8">SUM(IF(ISTEXT(BW$23:BW$237),1,0)*IF(($T$23:$T$237)="",0,$T$23:$T$237)*IF(ISBLANK($T$1),1,IF($I$23:$I$237=$T$1,1,0)))</f>
        <v>-2.36</v>
      </c>
      <c r="BX8" s="874" t="e">
        <f t="array" ref="BX8">SUM(IF(ISTEXT(BX$40:BX$237),1,0)*IF(($T$23:$T$237)="",0,$T$23:$T$237)*IF(ISBLANK($T$1),1,IF($I$23:$I$237=$T$1,1,0)))</f>
        <v>#N/A</v>
      </c>
      <c r="CC8" s="874">
        <f t="array" ref="CC8">SUM(IF(ISTEXT(CC$23:CC$237),1,0)*IF(($T$23:$T$237)="",0,$T$23:$T$237)*IF(ISBLANK($T$1),1,IF($I$23:$I$237=$T$1,1,0)))</f>
        <v>0</v>
      </c>
      <c r="CD8" s="874">
        <f t="array" ref="CD8">SUM(IF(ISTEXT(CD$23:CD$237),1,0)*IF(($T$23:$T$237)="",0,$T$23:$T$237)*IF(ISBLANK($T$1),1,IF($I$23:$I$237=$T$1,1,0)))</f>
        <v>0</v>
      </c>
      <c r="CE8" s="874">
        <f t="array" ref="CE8">SUM(IF(ISTEXT(CE$23:CE$237),1,0)*IF(($T$23:$T$237)="",0,$T$23:$T$237)*IF(ISBLANK($T$1),1,IF($I$23:$I$237=$T$1,1,0)))</f>
        <v>0</v>
      </c>
      <c r="CF8" s="874">
        <f t="array" ref="CF8">SUM(IF(ISTEXT(CF$23:CF$237),1,0)*IF(($T$23:$T$237)="",0,$T$23:$T$237)*IF(ISBLANK($T$1),1,IF($I$23:$I$237=$T$1,1,0)))</f>
        <v>0</v>
      </c>
      <c r="CG8" s="874">
        <f t="array" ref="CG8">SUM(IF(ISTEXT(CG$23:CG$237),1,0)*IF(($T$23:$T$237)="",0,$T$23:$T$237)*IF(ISBLANK($T$1),1,IF($I$23:$I$237=$T$1,1,0)))</f>
        <v>0</v>
      </c>
      <c r="CH8" s="874">
        <f t="array" ref="CH8">SUM(IF(ISTEXT(CH$23:CH$237),1,0)*IF(($T$23:$T$237)="",0,$T$23:$T$237)*IF(ISBLANK($T$1),1,IF($I$23:$I$237=$T$1,1,0)))</f>
        <v>0</v>
      </c>
      <c r="CI8" s="874">
        <f t="array" ref="CI8">SUM(IF(ISTEXT(CI$23:CI$237),1,0)*IF(($T$23:$T$237)="",0,$T$23:$T$237)*IF(ISBLANK($T$1),1,IF($I$23:$I$237=$T$1,1,0)))</f>
        <v>0</v>
      </c>
      <c r="CJ8" s="874">
        <f t="array" ref="CJ8">SUM(IF(ISTEXT(CJ$23:CJ$237),1,0)*IF(($T$23:$T$237)="",0,$T$23:$T$237)*IF(ISBLANK($T$1),1,IF($I$23:$I$237=$T$1,1,0)))</f>
        <v>0</v>
      </c>
      <c r="CK8" s="874">
        <f t="array" ref="CK8">SUM(IF(ISTEXT(CK$23:CK$237),1,0)*IF(($T$23:$T$237)="",0,$T$23:$T$237)*IF(ISBLANK($T$1),1,IF($I$23:$I$237=$T$1,1,0)))</f>
        <v>0</v>
      </c>
      <c r="CL8" s="874">
        <f t="array" ref="CL8">SUM(IF(ISTEXT(CL$23:CL$237),1,0)*IF(($T$23:$T$237)="",0,$T$23:$T$237)*IF(ISBLANK($T$1),1,IF($I$23:$I$237=$T$1,1,0)))</f>
        <v>0</v>
      </c>
      <c r="CM8" s="874">
        <f t="array" ref="CM8">SUM(IF(ISTEXT(CM$23:CM$237),1,0)*IF(($T$23:$T$237)="",0,$T$23:$T$237)*IF(ISBLANK($T$1),1,IF($I$23:$I$237=$T$1,1,0)))</f>
        <v>0</v>
      </c>
      <c r="CN8" s="874">
        <f t="array" ref="CN8">SUM(IF(ISTEXT(CN$23:CN$237),1,0)*IF(($T$23:$T$237)="",0,$T$23:$T$237)*IF(ISBLANK($T$1),1,IF($I$23:$I$237=$T$1,1,0)))</f>
        <v>4.3800000000000008</v>
      </c>
      <c r="CO8" s="874">
        <f t="array" ref="CO8">SUM(IF(ISTEXT(CO$23:CO$237),1,0)*IF(($T$23:$T$237)="",0,$T$23:$T$237)*IF(ISBLANK($T$1),1,IF($I$23:$I$237=$T$1,1,0)))</f>
        <v>4.3800000000000008</v>
      </c>
      <c r="CP8" s="874">
        <f t="array" ref="CP8">SUM(IF(ISTEXT(CP$23:CP$237),1,0)*IF(($T$23:$T$237)="",0,$T$23:$T$237)*IF(ISBLANK($T$1),1,IF($I$23:$I$237=$T$1,1,0)))</f>
        <v>5.7800000000000011</v>
      </c>
    </row>
    <row r="9" spans="1:94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P9" si="8">AF8/AF2</f>
        <v>-0.13976744186046511</v>
      </c>
      <c r="AG9" s="874">
        <f t="shared" si="8"/>
        <v>-5.2500000000000012E-2</v>
      </c>
      <c r="AH9" s="874">
        <f t="shared" si="8"/>
        <v>-0.13976744186046511</v>
      </c>
      <c r="AI9" s="874">
        <f t="shared" si="8"/>
        <v>-0.2078571428571428</v>
      </c>
      <c r="AK9" s="874">
        <f t="shared" si="8"/>
        <v>-0.2078571428571428</v>
      </c>
      <c r="AM9" s="874">
        <f>AM8/AM2</f>
        <v>-0.13976744186046511</v>
      </c>
      <c r="AN9" s="874">
        <f t="shared" si="8"/>
        <v>-0.13976744186046511</v>
      </c>
      <c r="AP9" s="874">
        <f>AP8/AP2</f>
        <v>-0.13976744186046511</v>
      </c>
      <c r="AQ9" s="874">
        <f>AQ8/AQ2</f>
        <v>-0.2078571428571428</v>
      </c>
      <c r="AS9" s="874">
        <f t="shared" ref="AS9" si="9">AS8/AS2</f>
        <v>-0.13976744186046511</v>
      </c>
      <c r="AU9" s="874" t="e">
        <f>AU8/AU2</f>
        <v>#N/A</v>
      </c>
      <c r="AX9" s="874" t="e">
        <f>AX8/AX2</f>
        <v>#N/A</v>
      </c>
      <c r="AY9" s="874">
        <f>AY8/AY2</f>
        <v>-0.2078571428571428</v>
      </c>
      <c r="BA9" s="874">
        <f>BA8/BA2</f>
        <v>-0.13976744186046511</v>
      </c>
      <c r="BB9" s="874">
        <f>BB8/BB2</f>
        <v>-0.2078571428571428</v>
      </c>
      <c r="BD9" s="874" t="e">
        <f>BD8/BD2</f>
        <v>#N/A</v>
      </c>
      <c r="BO9" s="874" t="e">
        <f>BO8/BO2</f>
        <v>#N/A</v>
      </c>
      <c r="BP9" s="874" t="e">
        <f>BP8/BP2</f>
        <v>#N/A</v>
      </c>
      <c r="BQ9" s="874">
        <f>BQ8/BQ2</f>
        <v>-0.26851851851851855</v>
      </c>
      <c r="BT9" s="874">
        <f>BT8/BT2</f>
        <v>-2.36</v>
      </c>
      <c r="BV9" s="874">
        <f>BV8/BV2</f>
        <v>-2.36</v>
      </c>
      <c r="BW9" s="874">
        <f>BW8/BW2</f>
        <v>-2.36</v>
      </c>
      <c r="BX9" s="874" t="e">
        <f t="shared" si="8"/>
        <v>#N/A</v>
      </c>
      <c r="CC9" s="874" t="e">
        <f t="shared" ref="CC9:CI9" si="10">CC8/CC2</f>
        <v>#DIV/0!</v>
      </c>
      <c r="CD9" s="874" t="e">
        <f t="shared" si="10"/>
        <v>#DIV/0!</v>
      </c>
      <c r="CE9" s="874" t="e">
        <f t="shared" si="10"/>
        <v>#DIV/0!</v>
      </c>
      <c r="CF9" s="874" t="e">
        <f t="shared" si="10"/>
        <v>#DIV/0!</v>
      </c>
      <c r="CG9" s="874" t="e">
        <f t="shared" si="10"/>
        <v>#DIV/0!</v>
      </c>
      <c r="CH9" s="874" t="e">
        <f t="shared" si="10"/>
        <v>#DIV/0!</v>
      </c>
      <c r="CI9" s="874" t="e">
        <f t="shared" si="10"/>
        <v>#DIV/0!</v>
      </c>
      <c r="CJ9" s="874" t="e">
        <f t="shared" si="8"/>
        <v>#DIV/0!</v>
      </c>
      <c r="CK9" s="874" t="e">
        <f t="shared" si="8"/>
        <v>#DIV/0!</v>
      </c>
      <c r="CL9" s="874" t="e">
        <f t="shared" si="8"/>
        <v>#DIV/0!</v>
      </c>
      <c r="CM9" s="874" t="e">
        <f t="shared" si="8"/>
        <v>#DIV/0!</v>
      </c>
      <c r="CN9" s="874">
        <f t="shared" si="8"/>
        <v>0.27375000000000005</v>
      </c>
      <c r="CO9" s="874">
        <f t="shared" si="8"/>
        <v>0.27375000000000005</v>
      </c>
      <c r="CP9" s="874">
        <f t="shared" si="8"/>
        <v>0.38533333333333342</v>
      </c>
    </row>
    <row r="10" spans="1:94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SUM(IF(ISBLANK($T$1),$J$23:$J$237,IF($I$23:$I$237=$T$1,$J$23:$J$237,0)))</f>
        <v>46</v>
      </c>
      <c r="AG10" s="874">
        <f t="array" ref="AG10">SUM(IF(ISBLANK(AG$23:AG$237),0,IF(ISNUMBER(VALUE(RIGHT(AG$23:AG$237,1))),RIGHT(AG$23:AG$237,1),0)*IF(ISBLANK($T$1),1,IF($I$23:$I$237=$T$1,1,0))))</f>
        <v>0</v>
      </c>
      <c r="AH10" s="874">
        <f t="array" ref="AH10">SUM(IF(ISBLANK(AH$23:AH$237),0,IF(ISNUMBER(VALUE(RIGHT(AH$23:AH$237,1))),RIGHT(AH$23:AH$237,1),0)*IF(ISBLANK($T$1),1,IF($I$23:$I$237=$T$1,1,0))))</f>
        <v>0</v>
      </c>
      <c r="AI10" s="874">
        <f t="array" ref="AI10">SUM(IF(ISBLANK(AI$23:AI$237),0,IF(ISNUMBER(VALUE(RIGHT(AI$23:AI$237,1))),RIGHT(AI$23:AI$237,1),0)*IF(ISBLANK($T$1),1,IF($I$23:$I$237=$T$1,1,0))))</f>
        <v>0</v>
      </c>
      <c r="AK10" s="874">
        <f t="array" ref="AK10">SUM(IF(ISBLANK(AK$23:AK$237),0,IF(ISNUMBER(VALUE(RIGHT(AK$23:AK$237,1))),RIGHT(AK$23:AK$237,1),0)*IF(ISBLANK($T$1),1,IF($I$23:$I$237=$T$1,1,0))))</f>
        <v>0</v>
      </c>
      <c r="AM10" s="874">
        <f t="array" ref="AM10">SUM(IF(ISBLANK(AM$23:AM$237),0,IF(ISNUMBER(VALUE(RIGHT(AM$23:AM$237,1))),RIGHT(AM$23:AM$237,1),0)*IF(ISBLANK($T$1),1,IF($I$23:$I$237=$T$1,1,0))))</f>
        <v>0</v>
      </c>
      <c r="AN10" s="874">
        <f t="array" ref="AN10">SUM(IF(ISBLANK(AN$23:AN$237),0,IF(ISNUMBER(VALUE(RIGHT(AN$23:AN$237,1))),RIGHT(AN$23:AN$237,1),0)*IF(ISBLANK($T$1),1,IF($I$23:$I$237=$T$1,1,0))))</f>
        <v>0</v>
      </c>
      <c r="AP10" s="874">
        <f t="array" ref="AP10">SUM(IF(ISBLANK(AP$23:AP$237),0,IF(ISNUMBER(VALUE(RIGHT(AP$23:AP$237,1))),RIGHT(AP$23:AP$237,1),0)*IF(ISBLANK($T$1),1,IF($I$23:$I$237=$T$1,1,0))))</f>
        <v>1</v>
      </c>
      <c r="AQ10" s="874">
        <f t="array" ref="AQ10">SUM(IF(ISBLANK(AQ$23:AQ$237),0,IF(ISNUMBER(VALUE(RIGHT(AQ$23:AQ$237,1))),RIGHT(AQ$23:AQ$237,1),0)*IF(ISBLANK($T$1),1,IF($I$23:$I$237=$T$1,1,0))))</f>
        <v>1</v>
      </c>
      <c r="AS10" s="874">
        <f t="array" ref="AS10">SUM(IF(ISBLANK(AS$23:AS$237),0,IF(ISNUMBER(VALUE(RIGHT(AS$23:AS$237,1))),RIGHT(AS$23:AS$237,1),0)*IF(ISBLANK($T$1),1,IF($I$23:$I$237=$T$1,1,0))))</f>
        <v>2</v>
      </c>
      <c r="AU10" s="874">
        <f t="array" ref="AU10">SUM(IF(ISBLANK(AU$27:AU$237),0,IF(ISNUMBER(VALUE(RIGHT(AU$27:AU$237,1))),RIGHT(AU$27:AU$237,1),0)*IF(ISBLANK($T$1),1,IF($I$23:$I$237=$T$1,1,0))))</f>
        <v>0</v>
      </c>
      <c r="AX10" s="874">
        <f t="array" ref="AX10">SUM(IF(ISBLANK(AX$27:AX$237),0,IF(ISNUMBER(VALUE(RIGHT(AX$27:AX$237,1))),RIGHT(AX$27:AX$237,1),0)*IF(ISBLANK($T$1),1,IF($I$23:$I$237=$T$1,1,0))))</f>
        <v>0</v>
      </c>
      <c r="AY10" s="874">
        <f t="array" ref="AY10">SUM(IF(ISBLANK(AY$23:AY$237),0,IF(ISNUMBER(VALUE(RIGHT(AY$23:AY$237,1))),RIGHT(AY$23:AY$237,1),0)*IF(ISBLANK($T$1),1,IF($I$23:$I$237=$T$1,1,0))))</f>
        <v>0</v>
      </c>
      <c r="BA10" s="874">
        <f t="array" ref="BA10">SUM(IF(ISBLANK(BA$23:BA$237),0,IF(ISNUMBER(VALUE(RIGHT(BA$23:BA$237,1))),RIGHT(BA$23:BA$237,1),0)*IF(ISBLANK($T$1),1,IF($I$23:$I$237=$T$1,1,0))))</f>
        <v>1</v>
      </c>
      <c r="BB10" s="874">
        <f t="array" ref="BB10">SUM(IF(ISBLANK(BB$23:BB$237),0,IF(ISNUMBER(VALUE(RIGHT(BB$23:BB$237,1))),RIGHT(BB$23:BB$237,1),0)*IF(ISBLANK($T$1),1,IF($I$23:$I$237=$T$1,1,0))))</f>
        <v>0</v>
      </c>
      <c r="BD10" s="874">
        <f t="array" ref="BD10">SUM(IF(ISBLANK(BD$27:BD$237),0,IF(ISNUMBER(VALUE(RIGHT(BD$27:BD$237,1))),RIGHT(BD$27:BD$237,1),0)*IF(ISBLANK($T$1),1,IF($I$23:$I$237=$T$1,1,0))))</f>
        <v>2</v>
      </c>
      <c r="BO10" s="874">
        <f t="array" ref="BO10">SUM(IF(ISBLANK(BO$27:BO$237),0,IF(ISNUMBER(VALUE(RIGHT(BO$27:BO$237,1))),RIGHT(BO$27:BO$237,1),0)*IF(ISBLANK($T$1),1,IF($I$23:$I$237=$T$1,1,0))))</f>
        <v>0</v>
      </c>
      <c r="BP10" s="874">
        <f t="array" ref="BP10">SUM(IF(ISBLANK(BP$27:BP$237),0,IF(ISNUMBER(VALUE(RIGHT(BP$27:BP$237,1))),RIGHT(BP$27:BP$237,1),0)*IF(ISBLANK($T$1),1,IF($I$23:$I$237=$T$1,1,0))))</f>
        <v>0</v>
      </c>
      <c r="BQ10" s="874">
        <f t="array" ref="BQ10">SUM(IF(ISBLANK(BQ$23:BQ$237),0,IF(ISNUMBER(VALUE(RIGHT(BQ$23:BQ$237,1))),RIGHT(BQ$23:BQ$237,1),0)*IF(ISBLANK($T$1),1,IF($I$23:$I$237=$T$1,1,0))))</f>
        <v>1</v>
      </c>
      <c r="BT10" s="874">
        <f t="array" ref="BT10">SUM(IF(ISBLANK(BT$23:BT$237),0,IF(ISNUMBER(VALUE(RIGHT(BT$23:BT$237,1))),RIGHT(BT$23:BT$237,1),0)*IF(ISBLANK($T$1),1,IF($I$23:$I$237=$T$1,1,0))))</f>
        <v>0</v>
      </c>
      <c r="BV10" s="874">
        <f t="array" ref="BV10">SUM(IF(ISBLANK(BV$23:BV$237),0,IF(ISNUMBER(VALUE(RIGHT(BV$23:BV$237,1))),RIGHT(BV$23:BV$237,1),0)*IF(ISBLANK($T$1),1,IF($I$23:$I$237=$T$1,1,0))))</f>
        <v>0</v>
      </c>
      <c r="BW10" s="874">
        <f t="array" ref="BW10">SUM(IF(ISBLANK(BW$23:BW$237),0,IF(ISNUMBER(VALUE(RIGHT(BW$23:BW$237,1))),RIGHT(BW$23:BW$237,1),0)*IF(ISBLANK($T$1),1,IF($I$23:$I$237=$T$1,1,0))))</f>
        <v>0</v>
      </c>
      <c r="BX10" s="874">
        <f t="array" ref="BX10">SUM(IF(ISBLANK(BX$40:BX$237),0,IF(ISNUMBER(VALUE(RIGHT(BX$40:BX$237,1))),RIGHT(BX$40:BX$237,1),0)*IF(ISBLANK($T$1),1,IF($I$23:$I$237=$T$1,1,0))))</f>
        <v>0</v>
      </c>
      <c r="CC10" s="874">
        <f t="array" ref="CC10">SUM(IF(ISBLANK(CC$23:CC$237),0,IF(ISNUMBER(VALUE(RIGHT(CC$23:CC$237,1))),RIGHT(CC$23:CC$237,1),0)*IF(ISBLANK($T$1),1,IF($I$23:$I$237=$T$1,1,0))))</f>
        <v>0</v>
      </c>
      <c r="CD10" s="874">
        <f t="array" ref="CD10">SUM(IF(ISBLANK(CD$23:CD$237),0,IF(ISNUMBER(VALUE(RIGHT(CD$23:CD$237,1))),RIGHT(CD$23:CD$237,1),0)*IF(ISBLANK($T$1),1,IF($I$23:$I$237=$T$1,1,0))))</f>
        <v>0</v>
      </c>
      <c r="CE10" s="874">
        <f t="array" ref="CE10">SUM(IF(ISBLANK(CE$23:CE$237),0,IF(ISNUMBER(VALUE(RIGHT(CE$23:CE$237,1))),RIGHT(CE$23:CE$237,1),0)*IF(ISBLANK($T$1),1,IF($I$23:$I$237=$T$1,1,0))))</f>
        <v>0</v>
      </c>
      <c r="CF10" s="874">
        <f t="array" ref="CF10">SUM(IF(ISBLANK(CF$23:CF$237),0,IF(ISNUMBER(VALUE(RIGHT(CF$23:CF$237,1))),RIGHT(CF$23:CF$237,1),0)*IF(ISBLANK($T$1),1,IF($I$23:$I$237=$T$1,1,0))))</f>
        <v>0</v>
      </c>
      <c r="CG10" s="874">
        <f t="array" ref="CG10">SUM(IF(ISBLANK(CG$23:CG$237),0,IF(ISNUMBER(VALUE(RIGHT(CG$23:CG$237,1))),RIGHT(CG$23:CG$237,1),0)*IF(ISBLANK($T$1),1,IF($I$23:$I$237=$T$1,1,0))))</f>
        <v>0</v>
      </c>
      <c r="CH10" s="874">
        <f t="array" ref="CH10">SUM(IF(ISBLANK(CH$23:CH$237),0,IF(ISNUMBER(VALUE(RIGHT(CH$23:CH$237,1))),RIGHT(CH$23:CH$237,1),0)*IF(ISBLANK($T$1),1,IF($I$23:$I$237=$T$1,1,0))))</f>
        <v>0</v>
      </c>
      <c r="CI10" s="874">
        <f t="array" ref="CI10">SUM(IF(ISBLANK(CI$23:CI$237),0,IF(ISNUMBER(VALUE(RIGHT(CI$23:CI$237,1))),RIGHT(CI$23:CI$237,1),0)*IF(ISBLANK($T$1),1,IF($I$23:$I$237=$T$1,1,0))))</f>
        <v>0</v>
      </c>
      <c r="CJ10" s="874">
        <f t="array" ref="CJ10">SUM(IF(ISBLANK(CJ$23:CJ$237),0,IF(ISNUMBER(VALUE(RIGHT(CJ$23:CJ$237,1))),RIGHT(CJ$23:CJ$237,1),0)*IF(ISBLANK($T$1),1,IF($I$23:$I$237=$T$1,1,0))))</f>
        <v>0</v>
      </c>
      <c r="CK10" s="874">
        <f t="array" ref="CK10">SUM(IF(ISBLANK(CK$23:CK$237),0,IF(ISNUMBER(VALUE(RIGHT(CK$23:CK$237,1))),RIGHT(CK$23:CK$237,1),0)*IF(ISBLANK($T$1),1,IF($I$23:$I$237=$T$1,1,0))))</f>
        <v>0</v>
      </c>
      <c r="CL10" s="874">
        <f t="array" ref="CL10">SUM(IF(ISBLANK(CL$23:CL$237),0,IF(ISNUMBER(VALUE(RIGHT(CL$23:CL$237,1))),RIGHT(CL$23:CL$237,1),0)*IF(ISBLANK($T$1),1,IF($I$23:$I$237=$T$1,1,0))))</f>
        <v>0</v>
      </c>
      <c r="CM10" s="874">
        <f t="array" ref="CM10">SUM(IF(ISBLANK(CM$23:CM$237),0,IF(ISNUMBER(VALUE(RIGHT(CM$23:CM$237,1))),RIGHT(CM$23:CM$237,1),0)*IF(ISBLANK($T$1),1,IF($I$23:$I$237=$T$1,1,0))))</f>
        <v>0</v>
      </c>
      <c r="CN10" s="874">
        <f t="array" ref="CN10">SUM(IF(ISBLANK(CN$23:CN$237),0,IF(ISNUMBER(VALUE(RIGHT(CN$23:CN$237,1))),RIGHT(CN$23:CN$237,1),0)*IF(ISBLANK($T$1),1,IF($I$23:$I$237=$T$1,1,0))))</f>
        <v>0</v>
      </c>
      <c r="CO10" s="874">
        <f t="array" ref="CO10">SUM(IF(ISBLANK(CO$23:CO$237),0,IF(ISNUMBER(VALUE(RIGHT(CO$23:CO$237,1))),RIGHT(CO$23:CO$237,1),0)*IF(ISBLANK($T$1),1,IF($I$23:$I$237=$T$1,1,0))))</f>
        <v>0</v>
      </c>
      <c r="CP10" s="874">
        <f t="array" ref="CP10">SUM(IF(ISBLANK(CP$23:CP$237),0,IF(ISNUMBER(VALUE(RIGHT(CP$23:CP$237,1))),RIGHT(CP$23:CP$237,1),0)*IF(ISBLANK($T$1),1,IF($I$23:$I$237=$T$1,1,0))))</f>
        <v>0</v>
      </c>
    </row>
    <row r="11" spans="1:94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P11" si="11">AF10/AF2</f>
        <v>1.069767441860465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K11" s="874">
        <f t="shared" si="11"/>
        <v>0</v>
      </c>
      <c r="AM11" s="874">
        <f>AM10/AM2</f>
        <v>0</v>
      </c>
      <c r="AN11" s="874">
        <f t="shared" si="11"/>
        <v>0</v>
      </c>
      <c r="AP11" s="874">
        <f>AP10/AP2</f>
        <v>2.3255813953488372E-2</v>
      </c>
      <c r="AQ11" s="874">
        <f>AQ10/AQ2</f>
        <v>2.3809523809523808E-2</v>
      </c>
      <c r="AS11" s="874">
        <f t="shared" ref="AS11" si="12">AS10/AS2</f>
        <v>4.6511627906976744E-2</v>
      </c>
      <c r="AU11" s="874">
        <f>AU10/AU2</f>
        <v>0</v>
      </c>
      <c r="AX11" s="874">
        <f>AX10/AX2</f>
        <v>0</v>
      </c>
      <c r="AY11" s="874">
        <f>AY10/AY2</f>
        <v>0</v>
      </c>
      <c r="BA11" s="874">
        <f>BA10/BA2</f>
        <v>2.3255813953488372E-2</v>
      </c>
      <c r="BB11" s="874">
        <f>BB10/BB2</f>
        <v>0</v>
      </c>
      <c r="BD11" s="874">
        <f>BD10/BD2</f>
        <v>5.128205128205128E-2</v>
      </c>
      <c r="BO11" s="874">
        <f>BO10/BO2</f>
        <v>0</v>
      </c>
      <c r="BP11" s="874">
        <f>BP10/BP2</f>
        <v>0</v>
      </c>
      <c r="BQ11" s="874">
        <f>BQ10/BQ2</f>
        <v>3.7037037037037035E-2</v>
      </c>
      <c r="BT11" s="874">
        <f>BT10/BT2</f>
        <v>0</v>
      </c>
      <c r="BV11" s="874">
        <f>BV10/BV2</f>
        <v>0</v>
      </c>
      <c r="BW11" s="874">
        <f>BW10/BW2</f>
        <v>0</v>
      </c>
      <c r="BX11" s="874">
        <f t="shared" si="11"/>
        <v>0</v>
      </c>
      <c r="CC11" s="874" t="e">
        <f t="shared" ref="CC11:CI11" si="13">CC10/CC2</f>
        <v>#DIV/0!</v>
      </c>
      <c r="CD11" s="874" t="e">
        <f t="shared" si="13"/>
        <v>#DIV/0!</v>
      </c>
      <c r="CE11" s="874" t="e">
        <f t="shared" si="13"/>
        <v>#DIV/0!</v>
      </c>
      <c r="CF11" s="874" t="e">
        <f t="shared" si="13"/>
        <v>#DIV/0!</v>
      </c>
      <c r="CG11" s="874" t="e">
        <f t="shared" si="13"/>
        <v>#DIV/0!</v>
      </c>
      <c r="CH11" s="874" t="e">
        <f t="shared" si="13"/>
        <v>#DIV/0!</v>
      </c>
      <c r="CI11" s="874" t="e">
        <f t="shared" si="13"/>
        <v>#DIV/0!</v>
      </c>
      <c r="CJ11" s="874" t="e">
        <f t="shared" si="11"/>
        <v>#DIV/0!</v>
      </c>
      <c r="CK11" s="874" t="e">
        <f t="shared" si="11"/>
        <v>#DIV/0!</v>
      </c>
      <c r="CL11" s="874" t="e">
        <f t="shared" si="11"/>
        <v>#DIV/0!</v>
      </c>
      <c r="CM11" s="874" t="e">
        <f t="shared" si="11"/>
        <v>#DIV/0!</v>
      </c>
      <c r="CN11" s="874">
        <f t="shared" si="11"/>
        <v>0</v>
      </c>
      <c r="CO11" s="874">
        <f t="shared" si="11"/>
        <v>0</v>
      </c>
      <c r="CP11" s="874">
        <f t="shared" si="11"/>
        <v>0</v>
      </c>
    </row>
    <row r="12" spans="1:94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SUM(IF(ISBLANK($T$1),$K$23:$K$237,IF($I$23:$I$237=$T$1,$K$23:$K$237,0)))</f>
        <v>49</v>
      </c>
      <c r="AG12" s="874">
        <f t="array" ref="AG12">SUM(IF(ISBLANK(AG$23:AG$237),0,$K23:$K237)*IF(ISBLANK($T$1),1,IF($I$23:$I$237=$T$1,1,0)))</f>
        <v>48</v>
      </c>
      <c r="AH12" s="874">
        <f t="array" ref="AH12">SUM(IF(ISBLANK(AH$23:AH$237),0,$K23:$K237)*IF(ISBLANK($T$1),1,IF($I$23:$I$237=$T$1,1,0)))</f>
        <v>49</v>
      </c>
      <c r="AI12" s="874">
        <f t="array" ref="AI12">SUM(IF(ISBLANK(AI$23:AI$237),0,$K23:$K237)*IF(ISBLANK($T$1),1,IF($I$23:$I$237=$T$1,1,0)))</f>
        <v>47</v>
      </c>
      <c r="AK12" s="874">
        <f t="array" ref="AK12">SUM(IF(ISBLANK(AK$23:AK$237),0,$K23:$K237)*IF(ISBLANK($T$1),1,IF($I$23:$I$237=$T$1,1,0)))</f>
        <v>47</v>
      </c>
      <c r="AM12" s="874">
        <f t="array" ref="AM12">SUM(IF(ISBLANK(AM$23:AM$237),0,$K23:$K237)*IF(ISBLANK($T$1),1,IF($I$23:$I$237=$T$1,1,0)))</f>
        <v>49</v>
      </c>
      <c r="AN12" s="874">
        <f t="array" ref="AN12">SUM(IF(ISBLANK(AN$23:AN$237),0,$K23:$K237)*IF(ISBLANK($T$1),1,IF($I$23:$I$237=$T$1,1,0)))</f>
        <v>49</v>
      </c>
      <c r="AP12" s="874">
        <f t="array" ref="AP12">SUM(IF(ISBLANK(AP$23:AP$237),0,$K23:$K237)*IF(ISBLANK($T$1),1,IF($I$23:$I$237=$T$1,1,0)))</f>
        <v>49</v>
      </c>
      <c r="AQ12" s="874">
        <f t="array" ref="AQ12">SUM(IF(ISBLANK(AQ$23:AQ$237),0,$K23:$K237)*IF(ISBLANK($T$1),1,IF($I$23:$I$237=$T$1,1,0)))</f>
        <v>47</v>
      </c>
      <c r="AS12" s="874">
        <f t="array" ref="AS12">SUM(IF(ISBLANK(AS$23:AS$237),0,$K23:$K237)*IF(ISBLANK($T$1),1,IF($I$23:$I$237=$T$1,1,0)))</f>
        <v>49</v>
      </c>
      <c r="AU12" s="874" t="e">
        <f t="array" ref="AU12">SUM(IF(ISBLANK(AU$27:AU$237),0,$K23:$K237)*IF(ISBLANK($T$1),1,IF($I$23:$I$237=$T$1,1,0)))</f>
        <v>#N/A</v>
      </c>
      <c r="AX12" s="874" t="e">
        <f t="array" ref="AX12">SUM(IF(ISBLANK(AX$27:AX$237),0,$K23:$K237)*IF(ISBLANK($T$1),1,IF($I$23:$I$237=$T$1,1,0)))</f>
        <v>#N/A</v>
      </c>
      <c r="AY12" s="874">
        <f t="array" ref="AY12">SUM(IF(ISBLANK(AY$23:AY$237),0,$K23:$K237)*IF(ISBLANK($T$1),1,IF($I$23:$I$237=$T$1,1,0)))</f>
        <v>47</v>
      </c>
      <c r="BA12" s="874">
        <f t="array" ref="BA12">SUM(IF(ISBLANK(BA$23:BA$237),0,$K23:$K237)*IF(ISBLANK($T$1),1,IF($I$23:$I$237=$T$1,1,0)))</f>
        <v>49</v>
      </c>
      <c r="BB12" s="874">
        <f t="array" ref="BB12">SUM(IF(ISBLANK(BB$23:BB$237),0,$K23:$K237)*IF(ISBLANK($T$1),1,IF($I$23:$I$237=$T$1,1,0)))</f>
        <v>47</v>
      </c>
      <c r="BD12" s="874" t="e">
        <f t="array" ref="BD12">SUM(IF(ISBLANK(BD$27:BD$237),0,$K23:$K237)*IF(ISBLANK($T$1),1,IF($I$23:$I$237=$T$1,1,0)))</f>
        <v>#N/A</v>
      </c>
      <c r="BO12" s="874" t="e">
        <f t="array" ref="BO12">SUM(IF(ISBLANK(BO$27:BO$237),0,$K23:$K237)*IF(ISBLANK($T$1),1,IF($I$23:$I$237=$T$1,1,0)))</f>
        <v>#N/A</v>
      </c>
      <c r="BP12" s="874" t="e">
        <f t="array" ref="BP12">SUM(IF(ISBLANK(BP$27:BP$237),0,$K23:$K237)*IF(ISBLANK($T$1),1,IF($I$23:$I$237=$T$1,1,0)))</f>
        <v>#N/A</v>
      </c>
      <c r="BQ12" s="874">
        <f t="array" ref="BQ12">SUM(IF(ISBLANK(BQ$23:BQ$237),0,$K23:$K237)*IF(ISBLANK($T$1),1,IF($I$23:$I$237=$T$1,1,0)))</f>
        <v>28</v>
      </c>
      <c r="BT12" s="874">
        <f t="array" ref="BT12">SUM(IF(ISBLANK(BT$23:BT$237),0,$K23:$K237)*IF(ISBLANK($T$1),1,IF($I$23:$I$237=$T$1,1,0)))</f>
        <v>0</v>
      </c>
      <c r="BV12" s="874">
        <f t="array" ref="BV12">SUM(IF(ISBLANK(BV$23:BV$237),0,$K23:$K237)*IF(ISBLANK($T$1),1,IF($I$23:$I$237=$T$1,1,0)))</f>
        <v>0</v>
      </c>
      <c r="BW12" s="874">
        <f t="array" ref="BW12">SUM(IF(ISBLANK(BW$23:BW$237),0,$K23:$K237)*IF(ISBLANK($T$1),1,IF($I$23:$I$237=$T$1,1,0)))</f>
        <v>0</v>
      </c>
      <c r="BX12" s="874" t="e">
        <f t="array" ref="BX12">SUM(IF(ISBLANK(BX$40:BX$237),0,$K23:$K237)*IF(ISBLANK($T$1),1,IF($I$23:$I$237=$T$1,1,0)))</f>
        <v>#N/A</v>
      </c>
      <c r="CC12" s="874">
        <f t="array" ref="CC12">SUM(IF(ISBLANK(CC$23:CC$237),0,$K23:$K237)*IF(ISBLANK($T$1),1,IF($I$23:$I$237=$T$1,1,0)))</f>
        <v>0</v>
      </c>
      <c r="CD12" s="874">
        <f t="array" ref="CD12">SUM(IF(ISBLANK(CD$23:CD$237),0,$K23:$K237)*IF(ISBLANK($T$1),1,IF($I$23:$I$237=$T$1,1,0)))</f>
        <v>0</v>
      </c>
      <c r="CE12" s="874">
        <f t="array" ref="CE12">SUM(IF(ISBLANK(CE$23:CE$237),0,$K23:$K237)*IF(ISBLANK($T$1),1,IF($I$23:$I$237=$T$1,1,0)))</f>
        <v>0</v>
      </c>
      <c r="CF12" s="874">
        <f t="array" ref="CF12">SUM(IF(ISBLANK(CF$23:CF$237),0,$K23:$K237)*IF(ISBLANK($T$1),1,IF($I$23:$I$237=$T$1,1,0)))</f>
        <v>0</v>
      </c>
      <c r="CG12" s="874">
        <f t="array" ref="CG12">SUM(IF(ISBLANK(CG$23:CG$237),0,$K23:$K237)*IF(ISBLANK($T$1),1,IF($I$23:$I$237=$T$1,1,0)))</f>
        <v>0</v>
      </c>
      <c r="CH12" s="874">
        <f t="array" ref="CH12">SUM(IF(ISBLANK(CH$23:CH$237),0,$K23:$K237)*IF(ISBLANK($T$1),1,IF($I$23:$I$237=$T$1,1,0)))</f>
        <v>0</v>
      </c>
      <c r="CI12" s="874">
        <f t="array" ref="CI12">SUM(IF(ISBLANK(CI$23:CI$237),0,$K23:$K237)*IF(ISBLANK($T$1),1,IF($I$23:$I$237=$T$1,1,0)))</f>
        <v>0</v>
      </c>
      <c r="CJ12" s="874">
        <f t="array" ref="CJ12">SUM(IF(ISBLANK(CJ$23:CJ$237),0,$K23:$K237)*IF(ISBLANK($T$1),1,IF($I$23:$I$237=$T$1,1,0)))</f>
        <v>0</v>
      </c>
      <c r="CK12" s="874">
        <f t="array" ref="CK12">SUM(IF(ISBLANK(CK$23:CK$237),0,$K23:$K237)*IF(ISBLANK($T$1),1,IF($I$23:$I$237=$T$1,1,0)))</f>
        <v>0</v>
      </c>
      <c r="CL12" s="874">
        <f t="array" ref="CL12">SUM(IF(ISBLANK(CL$23:CL$237),0,$K23:$K237)*IF(ISBLANK($T$1),1,IF($I$23:$I$237=$T$1,1,0)))</f>
        <v>0</v>
      </c>
      <c r="CM12" s="874">
        <f t="array" ref="CM12">SUM(IF(ISBLANK(CM$23:CM$237),0,$K23:$K237)*IF(ISBLANK($T$1),1,IF($I$23:$I$237=$T$1,1,0)))</f>
        <v>0</v>
      </c>
      <c r="CN12" s="874">
        <f t="array" ref="CN12">SUM(IF(ISBLANK(CN$23:CN$237),0,$K23:$K237)*IF(ISBLANK($T$1),1,IF($I$23:$I$237=$T$1,1,0)))</f>
        <v>18</v>
      </c>
      <c r="CO12" s="874">
        <f t="array" ref="CO12">SUM(IF(ISBLANK(CO$23:CO$237),0,$K23:$K237)*IF(ISBLANK($T$1),1,IF($I$23:$I$237=$T$1,1,0)))</f>
        <v>18</v>
      </c>
      <c r="CP12" s="874">
        <f t="array" ref="CP12">SUM(IF(ISBLANK(CP$23:CP$237),0,$K23:$K237)*IF(ISBLANK($T$1),1,IF($I$23:$I$237=$T$1,1,0)))</f>
        <v>18</v>
      </c>
    </row>
    <row r="13" spans="1:94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P13" si="14">AF12/AF2</f>
        <v>1.1395348837209303</v>
      </c>
      <c r="AG13" s="874">
        <f t="shared" si="14"/>
        <v>1.2</v>
      </c>
      <c r="AH13" s="874">
        <f t="shared" si="14"/>
        <v>1.1395348837209303</v>
      </c>
      <c r="AI13" s="874">
        <f t="shared" si="14"/>
        <v>1.1190476190476191</v>
      </c>
      <c r="AK13" s="874">
        <f t="shared" si="14"/>
        <v>1.1190476190476191</v>
      </c>
      <c r="AM13" s="874">
        <f>AM12/AM2</f>
        <v>1.1395348837209303</v>
      </c>
      <c r="AN13" s="874">
        <f t="shared" si="14"/>
        <v>1.1395348837209303</v>
      </c>
      <c r="AP13" s="874">
        <f>AP12/AP2</f>
        <v>1.1395348837209303</v>
      </c>
      <c r="AQ13" s="874">
        <f>AQ12/AQ2</f>
        <v>1.1190476190476191</v>
      </c>
      <c r="AS13" s="874">
        <f t="shared" ref="AS13" si="15">AS12/AS2</f>
        <v>1.1395348837209303</v>
      </c>
      <c r="AU13" s="874" t="e">
        <f>AU12/AU2</f>
        <v>#N/A</v>
      </c>
      <c r="AX13" s="874" t="e">
        <f>AX12/AX2</f>
        <v>#N/A</v>
      </c>
      <c r="AY13" s="874">
        <f>AY12/AY2</f>
        <v>1.1190476190476191</v>
      </c>
      <c r="BA13" s="874">
        <f>BA12/BA2</f>
        <v>1.1395348837209303</v>
      </c>
      <c r="BB13" s="874">
        <f>BB12/BB2</f>
        <v>1.1190476190476191</v>
      </c>
      <c r="BD13" s="874" t="e">
        <f>BD12/BD2</f>
        <v>#N/A</v>
      </c>
      <c r="BO13" s="874" t="e">
        <f>BO12/BO2</f>
        <v>#N/A</v>
      </c>
      <c r="BP13" s="874" t="e">
        <f>BP12/BP2</f>
        <v>#N/A</v>
      </c>
      <c r="BQ13" s="874">
        <f>BQ12/BQ2</f>
        <v>1.037037037037037</v>
      </c>
      <c r="BT13" s="874">
        <f>BT12/BT2</f>
        <v>0</v>
      </c>
      <c r="BV13" s="874">
        <f>BV12/BV2</f>
        <v>0</v>
      </c>
      <c r="BW13" s="874">
        <f>BW12/BW2</f>
        <v>0</v>
      </c>
      <c r="BX13" s="874" t="e">
        <f t="shared" si="14"/>
        <v>#N/A</v>
      </c>
      <c r="CC13" s="874" t="e">
        <f t="shared" ref="CC13:CI13" si="16">CC12/CC2</f>
        <v>#DIV/0!</v>
      </c>
      <c r="CD13" s="874" t="e">
        <f t="shared" si="16"/>
        <v>#DIV/0!</v>
      </c>
      <c r="CE13" s="874" t="e">
        <f t="shared" si="16"/>
        <v>#DIV/0!</v>
      </c>
      <c r="CF13" s="874" t="e">
        <f t="shared" si="16"/>
        <v>#DIV/0!</v>
      </c>
      <c r="CG13" s="874" t="e">
        <f t="shared" si="16"/>
        <v>#DIV/0!</v>
      </c>
      <c r="CH13" s="874" t="e">
        <f t="shared" si="16"/>
        <v>#DIV/0!</v>
      </c>
      <c r="CI13" s="874" t="e">
        <f t="shared" si="16"/>
        <v>#DIV/0!</v>
      </c>
      <c r="CJ13" s="874" t="e">
        <f t="shared" si="14"/>
        <v>#DIV/0!</v>
      </c>
      <c r="CK13" s="874" t="e">
        <f t="shared" si="14"/>
        <v>#DIV/0!</v>
      </c>
      <c r="CL13" s="874" t="e">
        <f t="shared" si="14"/>
        <v>#DIV/0!</v>
      </c>
      <c r="CM13" s="874" t="e">
        <f t="shared" si="14"/>
        <v>#DIV/0!</v>
      </c>
      <c r="CN13" s="874">
        <f t="shared" si="14"/>
        <v>1.125</v>
      </c>
      <c r="CO13" s="874">
        <f t="shared" si="14"/>
        <v>1.125</v>
      </c>
      <c r="CP13" s="874">
        <f t="shared" si="14"/>
        <v>1.2</v>
      </c>
    </row>
    <row r="14" spans="1:94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BL14" si="17">AG15+AG16</f>
        <v>1</v>
      </c>
      <c r="AH14" s="902">
        <f t="shared" si="17"/>
        <v>42</v>
      </c>
      <c r="AI14" s="902">
        <f t="shared" si="17"/>
        <v>0</v>
      </c>
      <c r="AJ14" s="902">
        <f t="shared" si="17"/>
        <v>23</v>
      </c>
      <c r="AK14" s="902">
        <f t="shared" si="17"/>
        <v>0</v>
      </c>
      <c r="AL14" s="902">
        <f t="shared" si="17"/>
        <v>26</v>
      </c>
      <c r="AM14" s="902">
        <f t="shared" si="17"/>
        <v>37</v>
      </c>
      <c r="AN14" s="902">
        <f t="shared" si="17"/>
        <v>19</v>
      </c>
      <c r="AO14" s="902">
        <f t="shared" ref="AO14:AT14" si="18">AO15+AO16</f>
        <v>9</v>
      </c>
      <c r="AP14" s="902">
        <f t="shared" si="18"/>
        <v>38</v>
      </c>
      <c r="AQ14" s="902">
        <f t="shared" si="18"/>
        <v>3</v>
      </c>
      <c r="AR14" s="902">
        <f t="shared" si="18"/>
        <v>0</v>
      </c>
      <c r="AS14" s="902">
        <f t="shared" si="18"/>
        <v>36</v>
      </c>
      <c r="AT14" s="902">
        <f t="shared" si="18"/>
        <v>39</v>
      </c>
      <c r="AU14" s="902">
        <f t="shared" si="17"/>
        <v>39</v>
      </c>
      <c r="AV14" s="902">
        <f t="shared" si="17"/>
        <v>36</v>
      </c>
      <c r="AW14" s="902">
        <f t="shared" si="17"/>
        <v>0</v>
      </c>
      <c r="AX14" s="902">
        <f t="shared" si="17"/>
        <v>16</v>
      </c>
      <c r="AY14" s="902">
        <f t="shared" si="17"/>
        <v>1</v>
      </c>
      <c r="AZ14" s="902">
        <f t="shared" ref="AZ14" si="19">AZ15+AZ16</f>
        <v>6</v>
      </c>
      <c r="BA14" s="902">
        <f t="shared" si="17"/>
        <v>22</v>
      </c>
      <c r="BB14" s="902">
        <f t="shared" si="17"/>
        <v>0</v>
      </c>
      <c r="BC14" s="902">
        <f t="shared" si="17"/>
        <v>17</v>
      </c>
      <c r="BD14" s="902">
        <f t="shared" si="17"/>
        <v>36</v>
      </c>
      <c r="BE14" s="902">
        <f t="shared" si="17"/>
        <v>35</v>
      </c>
      <c r="BF14" s="902">
        <f t="shared" si="17"/>
        <v>41</v>
      </c>
      <c r="BG14" s="902">
        <f t="shared" si="17"/>
        <v>2</v>
      </c>
      <c r="BH14" s="902">
        <f t="shared" si="17"/>
        <v>0</v>
      </c>
      <c r="BI14" s="902">
        <f t="shared" si="17"/>
        <v>6</v>
      </c>
      <c r="BJ14" s="902">
        <f t="shared" si="17"/>
        <v>7</v>
      </c>
      <c r="BK14" s="902">
        <f t="shared" si="17"/>
        <v>36</v>
      </c>
      <c r="BL14" s="902">
        <f t="shared" si="17"/>
        <v>4</v>
      </c>
      <c r="BM14" s="902">
        <f t="shared" ref="BM14" si="20">BM15+BM16</f>
        <v>12</v>
      </c>
      <c r="BN14" s="902">
        <f t="shared" ref="BN14" si="21">BN15+BN16</f>
        <v>0</v>
      </c>
      <c r="BO14" s="889"/>
      <c r="BP14" s="902">
        <f>BP15+BP16</f>
        <v>5</v>
      </c>
      <c r="BQ14" s="902">
        <f>BQ15+BQ16</f>
        <v>3</v>
      </c>
      <c r="BR14" s="889"/>
      <c r="BS14" s="889"/>
      <c r="BT14" s="889"/>
      <c r="BU14" s="889"/>
      <c r="BV14" s="889"/>
      <c r="BW14" s="889"/>
      <c r="BX14" s="889"/>
      <c r="BY14" s="890"/>
      <c r="BZ14" s="890"/>
      <c r="CA14" s="890"/>
      <c r="CB14" s="890"/>
      <c r="CC14" s="889"/>
      <c r="CD14" s="889"/>
      <c r="CE14" s="889"/>
      <c r="CF14" s="889"/>
      <c r="CG14" s="889"/>
      <c r="CH14" s="889"/>
      <c r="CI14" s="889"/>
    </row>
    <row r="15" spans="1:94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AVERAGEIFS($Q$23:$Q$204,$H$23:$H$204,"H",$I$23:$I$204,Table!$C$1)</f>
        <v>2.2857142857142857E-2</v>
      </c>
      <c r="S15" s="858">
        <f>AVERAGEIFS($Q$23:$Q$204,$H$23:$H$204,"A",$I$23:$I$204,Table!$C$1)</f>
        <v>-0.26666666666666666</v>
      </c>
      <c r="AF15" s="848" t="s">
        <v>821</v>
      </c>
      <c r="AG15" s="850">
        <f t="array" ref="AG15">SUM(IF(LEFT(AG23:AG158,1)="X",1,0))</f>
        <v>1</v>
      </c>
      <c r="AH15" s="903">
        <f t="array" ref="AH15">SUM(IF(LEFT(AH23:AH158,1)="X",1,0))</f>
        <v>42</v>
      </c>
      <c r="AI15" s="903">
        <f t="array" ref="AI15">SUM(IF(LEFT(AI23:AI158,1)="X",1,0))</f>
        <v>0</v>
      </c>
      <c r="AJ15" s="903">
        <f t="array" ref="AJ15">SUM(IF(LEFT(AJ23:AJ158,1)="X",1,0))</f>
        <v>23</v>
      </c>
      <c r="AK15" s="903">
        <f t="array" ref="AK15">SUM(IF(LEFT(AK23:AK158,1)="X",1,0))</f>
        <v>0</v>
      </c>
      <c r="AL15" s="903">
        <f t="array" ref="AL15">SUM(IF(LEFT(AL23:AL158,1)="X",1,0))</f>
        <v>12</v>
      </c>
      <c r="AM15" s="903">
        <f t="array" ref="AM15">SUM(IF(LEFT(AM23:AM158,1)="X",1,0))</f>
        <v>37</v>
      </c>
      <c r="AN15" s="903">
        <f t="array" ref="AN15">SUM(IF(LEFT(AN23:AN158,1)="X",1,0))</f>
        <v>18</v>
      </c>
      <c r="AO15" s="903">
        <f t="array" ref="AO15">SUM(IF(LEFT(AO23:AO158,1)="X",1,0))</f>
        <v>5</v>
      </c>
      <c r="AP15" s="903">
        <f t="array" ref="AP15">SUM(IF(LEFT(AP23:AP158,1)="X",1,0))</f>
        <v>38</v>
      </c>
      <c r="AQ15" s="903">
        <f t="array" ref="AQ15">SUM(IF(LEFT(AQ23:AQ158,1)="X",1,0))</f>
        <v>1</v>
      </c>
      <c r="AR15" s="903">
        <f t="array" ref="AR15">SUM(IF(LEFT(AR23:AR158,1)="X",1,0))</f>
        <v>0</v>
      </c>
      <c r="AS15" s="903">
        <f t="array" ref="AS15">SUM(IF(LEFT(AS23:AS158,1)="X",1,0))</f>
        <v>35</v>
      </c>
      <c r="AT15" s="903">
        <f t="array" ref="AT15">SUM(IF(LEFT(AT23:AT158,1)="X",1,0))</f>
        <v>30</v>
      </c>
      <c r="AU15" s="903">
        <f t="array" ref="AU15">SUM(IF(LEFT(AU23:AU158,1)="X",1,0))</f>
        <v>39</v>
      </c>
      <c r="AV15" s="903">
        <f t="array" ref="AV15">SUM(IF(LEFT(AV23:AV158,1)="X",1,0))</f>
        <v>23</v>
      </c>
      <c r="AW15" s="903">
        <f t="array" ref="AW15">SUM(IF(LEFT(AW23:AW158,1)="X",1,0))</f>
        <v>0</v>
      </c>
      <c r="AX15" s="903">
        <f t="array" ref="AX15">SUM(IF(LEFT(AX23:AX158,1)="X",1,0))</f>
        <v>5</v>
      </c>
      <c r="AY15" s="903">
        <f t="array" ref="AY15">SUM(IF(LEFT(AY23:AY158,1)="X",1,0))</f>
        <v>1</v>
      </c>
      <c r="AZ15" s="903">
        <f t="array" ref="AZ15">SUM(IF(LEFT(AZ23:AZ158,1)="X",1,0))</f>
        <v>0</v>
      </c>
      <c r="BA15" s="903">
        <f t="array" ref="BA15">SUM(IF(LEFT(BA23:BA158,1)="X",1,0))</f>
        <v>6</v>
      </c>
      <c r="BB15" s="903">
        <f t="array" ref="BB15">SUM(IF(LEFT(BB23:BB158,1)="X",1,0))</f>
        <v>0</v>
      </c>
      <c r="BC15" s="903">
        <f t="array" ref="BC15">SUM(IF(LEFT(BC23:BC158,1)="X",1,0))</f>
        <v>10</v>
      </c>
      <c r="BD15" s="903">
        <f t="array" ref="BD15">SUM(IF(LEFT(BD23:BD158,1)="X",1,0))</f>
        <v>33</v>
      </c>
      <c r="BE15" s="903">
        <f t="array" ref="BE15">SUM(IF(LEFT(BE23:BE158,1)="X",1,0))</f>
        <v>31</v>
      </c>
      <c r="BF15" s="903">
        <f t="array" ref="BF15">SUM(IF(LEFT(BF23:BF158,1)="X",1,0))</f>
        <v>35</v>
      </c>
      <c r="BG15" s="903">
        <f t="array" ref="BG15">SUM(IF(LEFT(BG23:BG158,1)="X",1,0))</f>
        <v>0</v>
      </c>
      <c r="BH15" s="903">
        <f t="array" ref="BH15">SUM(IF(LEFT(BH23:BH158,1)="X",1,0))</f>
        <v>0</v>
      </c>
      <c r="BI15" s="903">
        <f t="array" ref="BI15">SUM(IF(LEFT(BI23:BI158,1)="X",1,0))</f>
        <v>1</v>
      </c>
      <c r="BJ15" s="903">
        <f t="array" ref="BJ15">SUM(IF(LEFT(BJ23:BJ158,1)="X",1,0))</f>
        <v>5</v>
      </c>
      <c r="BK15" s="903">
        <f t="array" ref="BK15">SUM(IF(LEFT(BK23:BK158,1)="X",1,0))</f>
        <v>33</v>
      </c>
      <c r="BL15" s="903">
        <f t="array" ref="BL15">SUM(IF(LEFT(BL23:BL158,1)="X",1,0))</f>
        <v>1</v>
      </c>
      <c r="BM15" s="903">
        <f t="array" ref="BM15">SUM(IF(LEFT(BM23:BM158,1)="X",1,0))</f>
        <v>5</v>
      </c>
      <c r="BN15" s="903">
        <f t="array" ref="BN15">SUM(IF(LEFT(BN23:BN158,1)="X",1,0))</f>
        <v>0</v>
      </c>
      <c r="BO15" s="889"/>
      <c r="BP15" s="903">
        <f t="array" ref="BP15">SUM(IF(LEFT(BP23:BP158,1)="X",1,0))</f>
        <v>1</v>
      </c>
      <c r="BQ15" s="903">
        <f t="array" ref="BQ15">SUM(IF(LEFT(BQ23:BQ158,1)="X",1,0))</f>
        <v>2</v>
      </c>
      <c r="BR15" s="889"/>
      <c r="BS15" s="889"/>
      <c r="BT15" s="889"/>
      <c r="BU15" s="889"/>
      <c r="BV15" s="889"/>
      <c r="BW15" s="889"/>
      <c r="BX15" s="889"/>
      <c r="BY15" s="890"/>
      <c r="BZ15" s="890"/>
      <c r="CA15" s="890"/>
      <c r="CB15" s="890"/>
      <c r="CC15" s="889"/>
      <c r="CD15" s="889"/>
      <c r="CE15" s="889"/>
      <c r="CF15" s="889"/>
      <c r="CG15" s="889"/>
      <c r="CH15" s="889"/>
      <c r="CI15" s="889"/>
    </row>
    <row r="16" spans="1:94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AVERAGEIF($H$23:$H$201,"=H",$J$23:$J$201)</f>
        <v>1.5</v>
      </c>
      <c r="J16" s="858">
        <f>AVERAGEIF($H$23:$H$205,"=H",$K$23:$K$205)</f>
        <v>0.90909090909090906</v>
      </c>
      <c r="K16" s="858">
        <f>I16-J16</f>
        <v>0.59090909090909094</v>
      </c>
      <c r="L16" s="857">
        <f>COUNTIFS($L$23:$L$201,"=W",$H$23:$H$201,"=H")</f>
        <v>10</v>
      </c>
      <c r="M16" s="857">
        <f>COUNTIFS($L$23:$L$201,"=D",$H$23:$H$201,"=H")</f>
        <v>7</v>
      </c>
      <c r="N16" s="863">
        <f>COUNTIFS($L$23:$L$201,"=L",$H$23:$H$201,"=H")</f>
        <v>5</v>
      </c>
      <c r="O16" s="858">
        <f>SUM(I16:J16)</f>
        <v>2.4090909090909092</v>
      </c>
      <c r="Q16" s="861" t="s">
        <v>212</v>
      </c>
      <c r="R16" s="858">
        <f>AVERAGEIFS($S$23:$S$202,$H$23:$H$202,"H",$I$23:$I$202,Table!$C$1)</f>
        <v>2.3499999999999996</v>
      </c>
      <c r="S16" s="858">
        <f>AVERAGEIFS($S$23:$S$202,$H$23:$H$202,"A",$I$23:$I$202,Table!$C$1)</f>
        <v>2.3647619047619046</v>
      </c>
      <c r="AF16" s="848" t="s">
        <v>724</v>
      </c>
      <c r="AG16" s="850">
        <f t="array" ref="AG16">SUM(IF(LEFT(AG23:AG159,1)="s",1,0))</f>
        <v>0</v>
      </c>
      <c r="AH16" s="903">
        <f t="array" ref="AH16">SUM(IF(LEFT(AH23:AH159,1)="s",1,0))</f>
        <v>0</v>
      </c>
      <c r="AI16" s="903">
        <f t="array" ref="AI16">SUM(IF(LEFT(AI23:AI159,1)="s",1,0))</f>
        <v>0</v>
      </c>
      <c r="AJ16" s="903">
        <f t="array" ref="AJ16">SUM(IF(LEFT(AJ23:AJ159,1)="s",1,0))</f>
        <v>0</v>
      </c>
      <c r="AK16" s="903">
        <f t="array" ref="AK16">SUM(IF(LEFT(AK23:AK159,1)="s",1,0))</f>
        <v>0</v>
      </c>
      <c r="AL16" s="903">
        <f t="array" ref="AL16">SUM(IF(LEFT(AL23:AL159,1)="s",1,0))</f>
        <v>14</v>
      </c>
      <c r="AM16" s="903">
        <f t="array" ref="AM16">SUM(IF(LEFT(AM23:AM159,1)="s",1,0))</f>
        <v>0</v>
      </c>
      <c r="AN16" s="903">
        <f t="array" ref="AN16">SUM(IF(LEFT(AN23:AN159,1)="s",1,0))</f>
        <v>1</v>
      </c>
      <c r="AO16" s="903">
        <f t="array" ref="AO16">SUM(IF(LEFT(AO23:AO159,1)="s",1,0))</f>
        <v>4</v>
      </c>
      <c r="AP16" s="903">
        <f t="array" ref="AP16">SUM(IF(LEFT(AP23:AP159,1)="s",1,0))</f>
        <v>0</v>
      </c>
      <c r="AQ16" s="903">
        <f t="array" ref="AQ16">SUM(IF(LEFT(AQ23:AQ159,1)="s",1,0))</f>
        <v>2</v>
      </c>
      <c r="AR16" s="903">
        <f t="array" ref="AR16">SUM(IF(LEFT(AR23:AR159,1)="s",1,0))</f>
        <v>0</v>
      </c>
      <c r="AS16" s="903">
        <f t="array" ref="AS16">SUM(IF(LEFT(AS23:AS159,1)="s",1,0))</f>
        <v>1</v>
      </c>
      <c r="AT16" s="903">
        <f t="array" ref="AT16">SUM(IF(LEFT(AT23:AT159,1)="s",1,0))</f>
        <v>9</v>
      </c>
      <c r="AU16" s="903">
        <f t="array" ref="AU16">SUM(IF(LEFT(AU23:AU159,1)="s",1,0))</f>
        <v>0</v>
      </c>
      <c r="AV16" s="903">
        <f t="array" ref="AV16">SUM(IF(LEFT(AV23:AV159,1)="s",1,0))</f>
        <v>13</v>
      </c>
      <c r="AW16" s="903">
        <f t="array" ref="AW16">SUM(IF(LEFT(AW23:AW159,1)="s",1,0))</f>
        <v>0</v>
      </c>
      <c r="AX16" s="903">
        <f t="array" ref="AX16">SUM(IF(LEFT(AX23:AX159,1)="s",1,0))</f>
        <v>11</v>
      </c>
      <c r="AY16" s="903">
        <f t="array" ref="AY16">SUM(IF(LEFT(AY23:AY159,1)="s",1,0))</f>
        <v>0</v>
      </c>
      <c r="AZ16" s="903">
        <f t="array" ref="AZ16">SUM(IF(LEFT(AZ23:AZ159,1)="s",1,0))</f>
        <v>6</v>
      </c>
      <c r="BA16" s="903">
        <f t="array" ref="BA16">SUM(IF(LEFT(BA23:BA159,1)="s",1,0))</f>
        <v>16</v>
      </c>
      <c r="BB16" s="903">
        <f t="array" ref="BB16">SUM(IF(LEFT(BB23:BB159,1)="s",1,0))</f>
        <v>0</v>
      </c>
      <c r="BC16" s="903">
        <f t="array" ref="BC16">SUM(IF(LEFT(BC23:BC159,1)="s",1,0))</f>
        <v>7</v>
      </c>
      <c r="BD16" s="903">
        <f t="array" ref="BD16">SUM(IF(LEFT(BD23:BD159,1)="s",1,0))</f>
        <v>3</v>
      </c>
      <c r="BE16" s="903">
        <f t="array" ref="BE16">SUM(IF(LEFT(BE23:BE159,1)="s",1,0))</f>
        <v>4</v>
      </c>
      <c r="BF16" s="903">
        <f t="array" ref="BF16">SUM(IF(LEFT(BF23:BF159,1)="s",1,0))</f>
        <v>6</v>
      </c>
      <c r="BG16" s="903">
        <f t="array" ref="BG16">SUM(IF(LEFT(BG23:BG159,1)="s",1,0))</f>
        <v>2</v>
      </c>
      <c r="BH16" s="903">
        <f t="array" ref="BH16">SUM(IF(LEFT(BH23:BH159,1)="s",1,0))</f>
        <v>0</v>
      </c>
      <c r="BI16" s="903">
        <f t="array" ref="BI16">SUM(IF(LEFT(BI23:BI159,1)="s",1,0))</f>
        <v>5</v>
      </c>
      <c r="BJ16" s="903">
        <f t="array" ref="BJ16">SUM(IF(LEFT(BJ23:BJ159,1)="s",1,0))</f>
        <v>2</v>
      </c>
      <c r="BK16" s="903">
        <f t="array" ref="BK16">SUM(IF(LEFT(BK23:BK159,1)="s",1,0))</f>
        <v>3</v>
      </c>
      <c r="BL16" s="903">
        <f t="array" ref="BL16">SUM(IF(LEFT(BL23:BL159,1)="s",1,0))</f>
        <v>3</v>
      </c>
      <c r="BM16" s="903">
        <f t="array" ref="BM16">SUM(IF(LEFT(BM23:BM159,1)="s",1,0))</f>
        <v>7</v>
      </c>
      <c r="BN16" s="903">
        <f t="array" ref="BN16">SUM(IF(LEFT(BN23:BN159,1)="s",1,0))</f>
        <v>0</v>
      </c>
      <c r="BO16" s="889"/>
      <c r="BP16" s="903">
        <f t="array" ref="BP16">SUM(IF(LEFT(BP23:BP159,1)="s",1,0))</f>
        <v>4</v>
      </c>
      <c r="BQ16" s="903">
        <f t="array" ref="BQ16">SUM(IF(LEFT(BQ23:BQ159,1)="s",1,0))</f>
        <v>1</v>
      </c>
      <c r="BR16" s="889"/>
      <c r="BS16" s="889"/>
      <c r="BT16" s="889"/>
      <c r="BU16" s="889"/>
      <c r="BV16" s="889"/>
      <c r="BW16" s="889"/>
      <c r="BX16" s="889"/>
      <c r="BY16" s="890"/>
      <c r="BZ16" s="890"/>
      <c r="CA16" s="890"/>
      <c r="CB16" s="890"/>
      <c r="CC16" s="889"/>
      <c r="CD16" s="889"/>
      <c r="CE16" s="889"/>
      <c r="CF16" s="889"/>
      <c r="CG16" s="889"/>
      <c r="CH16" s="889"/>
      <c r="CI16" s="889"/>
    </row>
    <row r="17" spans="1:120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AVERAGEIF($H$23:$H$201,"=A",$J$23:$J$201)</f>
        <v>0.61904761904761907</v>
      </c>
      <c r="J17" s="860">
        <f>AVERAGEIF($H$23:$H$205,"=A",$K$23:$K$205)</f>
        <v>1.3809523809523809</v>
      </c>
      <c r="K17" s="858">
        <f>I17-J17</f>
        <v>-0.76190476190476186</v>
      </c>
      <c r="L17" s="857">
        <f>COUNTIFS($L$23:$L$201,"=W",$H$23:$H$201,"=A")</f>
        <v>4</v>
      </c>
      <c r="M17" s="857">
        <f>COUNTIFS($L$23:$L$201,"=D",$H$23:$H$201,"=A")</f>
        <v>6</v>
      </c>
      <c r="N17" s="863">
        <f>COUNTIFS($L$23:$L$201,"=L",$H$23:$H$201,"=A")</f>
        <v>11</v>
      </c>
      <c r="O17" s="858">
        <f>SUM(I17:J17)</f>
        <v>2</v>
      </c>
      <c r="Q17" s="848"/>
      <c r="R17" s="859"/>
      <c r="S17" s="855"/>
      <c r="AF17" s="848" t="s">
        <v>718</v>
      </c>
      <c r="AG17" s="850">
        <f t="array" ref="AG17">SUM(IF(ISNUMBER(VALUE(RIGHT(AG23:AG167,1))),VALUE(RIGHT(AG23:AG167,1)),0))</f>
        <v>0</v>
      </c>
      <c r="AH17" s="903">
        <f t="array" ref="AH17">SUM(IF(ISNUMBER(VALUE(RIGHT(AH23:AH167,1))),VALUE(RIGHT(AH23:AH167,1)),0))</f>
        <v>0</v>
      </c>
      <c r="AI17" s="903">
        <f t="array" ref="AI17">SUM(IF(ISNUMBER(VALUE(RIGHT(AI23:AI167,1))),VALUE(RIGHT(AI23:AI167,1)),0))</f>
        <v>0</v>
      </c>
      <c r="AJ17" s="903">
        <f t="array" ref="AJ17">SUM(IF(ISNUMBER(VALUE(RIGHT(AJ23:AJ167,1))),VALUE(RIGHT(AJ23:AJ167,1)),0))</f>
        <v>0</v>
      </c>
      <c r="AK17" s="903">
        <f t="array" ref="AK17">SUM(IF(ISNUMBER(VALUE(RIGHT(AK23:AK167,1))),VALUE(RIGHT(AK23:AK167,1)),0))</f>
        <v>0</v>
      </c>
      <c r="AL17" s="903">
        <f t="array" ref="AL17">SUM(IF(ISNUMBER(VALUE(RIGHT(AL23:AL167,1))),VALUE(RIGHT(AL23:AL167,1)),0))</f>
        <v>0</v>
      </c>
      <c r="AM17" s="903">
        <f t="array" ref="AM17">SUM(IF(ISNUMBER(VALUE(RIGHT(AM23:AM167,1))),VALUE(RIGHT(AM23:AM167,1)),0))</f>
        <v>0</v>
      </c>
      <c r="AN17" s="903">
        <f t="array" ref="AN17">SUM(IF(ISNUMBER(VALUE(RIGHT(AN23:AN167,1))),VALUE(RIGHT(AN23:AN167,1)),0))</f>
        <v>0</v>
      </c>
      <c r="AO17" s="903">
        <f t="array" ref="AO17">SUM(IF(ISNUMBER(VALUE(RIGHT(AO23:AO167,1))),VALUE(RIGHT(AO23:AO167,1)),0))</f>
        <v>0</v>
      </c>
      <c r="AP17" s="903">
        <f t="array" ref="AP17">SUM(IF(ISNUMBER(VALUE(RIGHT(AP23:AP167,1))),VALUE(RIGHT(AP23:AP167,1)),0))</f>
        <v>1</v>
      </c>
      <c r="AQ17" s="903">
        <f t="array" ref="AQ17">SUM(IF(ISNUMBER(VALUE(RIGHT(AQ23:AQ167,1))),VALUE(RIGHT(AQ23:AQ167,1)),0))</f>
        <v>1</v>
      </c>
      <c r="AR17" s="903">
        <f t="array" ref="AR17">SUM(IF(ISNUMBER(VALUE(RIGHT(AR23:AR167,1))),VALUE(RIGHT(AR23:AR167,1)),0))</f>
        <v>0</v>
      </c>
      <c r="AS17" s="903">
        <f t="array" ref="AS17">SUM(IF(ISNUMBER(VALUE(RIGHT(AS23:AS167,1))),VALUE(RIGHT(AS23:AS167,1)),0))</f>
        <v>2</v>
      </c>
      <c r="AT17" s="903">
        <f t="array" ref="AT17">SUM(IF(ISNUMBER(VALUE(RIGHT(AT23:AT167,1))),VALUE(RIGHT(AT23:AT167,1)),0))</f>
        <v>1</v>
      </c>
      <c r="AU17" s="903">
        <f t="array" ref="AU17">SUM(IF(ISNUMBER(VALUE(RIGHT(AU23:AU167,1))),VALUE(RIGHT(AU23:AU167,1)),0))</f>
        <v>0</v>
      </c>
      <c r="AV17" s="903">
        <f t="array" ref="AV17">SUM(IF(ISNUMBER(VALUE(RIGHT(AV23:AV167,1))),VALUE(RIGHT(AV23:AV167,1)),0))</f>
        <v>1</v>
      </c>
      <c r="AW17" s="903">
        <f t="array" ref="AW17">SUM(IF(ISNUMBER(VALUE(RIGHT(AW23:AW167,1))),VALUE(RIGHT(AW23:AW167,1)),0))</f>
        <v>0</v>
      </c>
      <c r="AX17" s="903">
        <f t="array" ref="AX17">SUM(IF(ISNUMBER(VALUE(RIGHT(AX23:AX167,1))),VALUE(RIGHT(AX23:AX167,1)),0))</f>
        <v>0</v>
      </c>
      <c r="AY17" s="903">
        <f t="array" ref="AY17">SUM(IF(ISNUMBER(VALUE(RIGHT(AY23:AY167,1))),VALUE(RIGHT(AY23:AY167,1)),0))</f>
        <v>0</v>
      </c>
      <c r="AZ17" s="903">
        <f t="array" ref="AZ17">SUM(IF(ISNUMBER(VALUE(RIGHT(AZ23:AZ167,1))),VALUE(RIGHT(AZ23:AZ167,1)),0))</f>
        <v>0</v>
      </c>
      <c r="BA17" s="903">
        <f t="array" ref="BA17">SUM(IF(ISNUMBER(VALUE(RIGHT(BA23:BA167,1))),VALUE(RIGHT(BA23:BA167,1)),0))</f>
        <v>1</v>
      </c>
      <c r="BB17" s="903">
        <f t="array" ref="BB17">SUM(IF(ISNUMBER(VALUE(RIGHT(BB23:BB167,1))),VALUE(RIGHT(BB23:BB167,1)),0))</f>
        <v>0</v>
      </c>
      <c r="BC17" s="903">
        <f t="array" ref="BC17">SUM(IF(ISNUMBER(VALUE(RIGHT(BC23:BC167,1))),VALUE(RIGHT(BC23:BC167,1)),0))</f>
        <v>1</v>
      </c>
      <c r="BD17" s="903">
        <f t="array" ref="BD17">SUM(IF(ISNUMBER(VALUE(RIGHT(BD23:BD167,1))),VALUE(RIGHT(BD23:BD167,1)),0))</f>
        <v>4</v>
      </c>
      <c r="BE17" s="903">
        <f t="array" ref="BE17">SUM(IF(ISNUMBER(VALUE(RIGHT(BE23:BE167,1))),VALUE(RIGHT(BE23:BE167,1)),0))</f>
        <v>1</v>
      </c>
      <c r="BF17" s="903">
        <f t="array" ref="BF17">SUM(IF(ISNUMBER(VALUE(RIGHT(BF23:BF167,1))),VALUE(RIGHT(BF23:BF167,1)),0))</f>
        <v>13</v>
      </c>
      <c r="BG17" s="903">
        <f t="array" ref="BG17">SUM(IF(ISNUMBER(VALUE(RIGHT(BG23:BG167,1))),VALUE(RIGHT(BG23:BG167,1)),0))</f>
        <v>0</v>
      </c>
      <c r="BH17" s="903">
        <f t="array" ref="BH17">SUM(IF(ISNUMBER(VALUE(RIGHT(BH23:BH167,1))),VALUE(RIGHT(BH23:BH167,1)),0))</f>
        <v>0</v>
      </c>
      <c r="BI17" s="903">
        <f t="array" ref="BI17">SUM(IF(ISNUMBER(VALUE(RIGHT(BI23:BI167,1))),VALUE(RIGHT(BI23:BI167,1)),0))</f>
        <v>1</v>
      </c>
      <c r="BJ17" s="903">
        <f t="array" ref="BJ17">SUM(IF(ISNUMBER(VALUE(RIGHT(BJ23:BJ167,1))),VALUE(RIGHT(BJ23:BJ167,1)),0))</f>
        <v>0</v>
      </c>
      <c r="BK17" s="903">
        <f t="array" ref="BK17">SUM(IF(ISNUMBER(VALUE(RIGHT(BK23:BK167,1))),VALUE(RIGHT(BK23:BK167,1)),0))</f>
        <v>13</v>
      </c>
      <c r="BL17" s="903">
        <f t="array" ref="BL17">SUM(IF(ISNUMBER(VALUE(RIGHT(BL23:BL167,1))),VALUE(RIGHT(BL23:BL167,1)),0))</f>
        <v>0</v>
      </c>
      <c r="BM17" s="903">
        <f t="array" ref="BM17">SUM(IF(ISNUMBER(VALUE(RIGHT(BM23:BM167,1))),VALUE(RIGHT(BM23:BM167,1)),0))</f>
        <v>1</v>
      </c>
      <c r="BN17" s="903">
        <f t="array" ref="BN17">SUM(IF(ISNUMBER(VALUE(RIGHT(BN23:BN167,1))),VALUE(RIGHT(BN23:BN167,1)),0))</f>
        <v>4</v>
      </c>
      <c r="BO17" s="889"/>
      <c r="BP17" s="903">
        <f t="array" ref="BP17">SUM(IF(ISNUMBER(VALUE(RIGHT(BP23:BP167,1))),VALUE(RIGHT(BP23:BP167,1)),0))</f>
        <v>0</v>
      </c>
      <c r="BQ17" s="903">
        <f t="array" ref="BQ17">SUM(IF(ISNUMBER(VALUE(RIGHT(BQ23:BQ167,1))),VALUE(RIGHT(BQ23:BQ167,1)),0))</f>
        <v>1</v>
      </c>
      <c r="BR17" s="889"/>
      <c r="BS17" s="889"/>
      <c r="BT17" s="889"/>
      <c r="BU17" s="889"/>
      <c r="BV17" s="889"/>
      <c r="BW17" s="889"/>
      <c r="BX17" s="889"/>
      <c r="BY17" s="890"/>
      <c r="BZ17" s="890"/>
      <c r="CA17" s="890"/>
      <c r="CB17" s="890"/>
      <c r="CC17" s="889"/>
      <c r="CD17" s="889"/>
      <c r="CE17" s="889"/>
      <c r="CF17" s="889"/>
      <c r="CG17" s="889"/>
      <c r="CH17" s="889"/>
      <c r="CI17" s="889"/>
    </row>
    <row r="18" spans="1:120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AVERAGEIFS($Y$23:$Y$204,$H$23:$H$204,"H",$I$23:$I$204,Table!$C$1)</f>
        <v>3.6666666666666665</v>
      </c>
      <c r="S18" s="858">
        <f>AVERAGEIFS($Y$23:$Y$204,$H$23:$H$204,"A",$I$23:$I$204,Table!$C$1)</f>
        <v>3.7142857142857144</v>
      </c>
      <c r="AG18" s="876">
        <v>1</v>
      </c>
      <c r="AH18" s="876">
        <v>21</v>
      </c>
      <c r="AI18" s="876">
        <v>23</v>
      </c>
      <c r="AJ18" s="876">
        <v>2</v>
      </c>
      <c r="AK18" s="876">
        <v>3</v>
      </c>
      <c r="AL18" s="876">
        <v>20</v>
      </c>
      <c r="AM18" s="876">
        <v>24</v>
      </c>
      <c r="AN18" s="876">
        <v>25</v>
      </c>
      <c r="AO18" s="876">
        <v>32</v>
      </c>
      <c r="AP18" s="876">
        <v>33</v>
      </c>
      <c r="AQ18" s="876">
        <v>35</v>
      </c>
      <c r="AR18" s="876">
        <v>44</v>
      </c>
      <c r="AS18" s="876">
        <v>6</v>
      </c>
      <c r="AT18" s="876">
        <v>10</v>
      </c>
      <c r="AU18" s="876">
        <v>14</v>
      </c>
      <c r="AV18" s="876">
        <v>18</v>
      </c>
      <c r="AW18" s="876">
        <v>22</v>
      </c>
      <c r="AX18" s="876">
        <v>26</v>
      </c>
      <c r="AY18" s="876">
        <v>27</v>
      </c>
      <c r="AZ18" s="876">
        <v>46</v>
      </c>
      <c r="BA18" s="876">
        <v>30</v>
      </c>
      <c r="BB18" s="876">
        <v>31</v>
      </c>
      <c r="BC18" s="876">
        <v>7</v>
      </c>
      <c r="BD18" s="876">
        <v>11</v>
      </c>
      <c r="BE18" s="876">
        <v>17</v>
      </c>
      <c r="BF18" s="876">
        <v>8</v>
      </c>
      <c r="BG18" s="876">
        <v>9</v>
      </c>
      <c r="BH18" s="876">
        <v>15</v>
      </c>
      <c r="BI18" s="876">
        <v>19</v>
      </c>
      <c r="BJ18" s="876">
        <v>29</v>
      </c>
      <c r="BK18" s="876">
        <v>38</v>
      </c>
      <c r="BL18" s="876"/>
      <c r="BM18" s="876">
        <v>49</v>
      </c>
      <c r="BN18" s="876"/>
      <c r="BP18" s="876">
        <v>13</v>
      </c>
      <c r="BQ18" s="876">
        <v>5</v>
      </c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  <c r="CK18" s="876"/>
      <c r="CL18" s="876"/>
      <c r="CM18" s="876"/>
    </row>
    <row r="19" spans="1:120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AVERAGEIFS($Z$23:$Z$202,$H$23:$H$202,"H",$I$23:$I$202,Table!$C$1)</f>
        <v>3.7619047619047619</v>
      </c>
      <c r="S19" s="858">
        <f>AVERAGEIFS($Z$23:$Z$202,$H$23:$H$202,"A",$I$23:$I$202,Table!$C$1)</f>
        <v>4.0952380952380949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2036</v>
      </c>
      <c r="AK19" s="901" t="s">
        <v>2039</v>
      </c>
      <c r="AL19" s="901" t="s">
        <v>2046</v>
      </c>
      <c r="AM19" s="901" t="s">
        <v>2037</v>
      </c>
      <c r="AN19" s="901" t="s">
        <v>2046</v>
      </c>
      <c r="AO19" s="901" t="s">
        <v>2037</v>
      </c>
      <c r="AP19" s="901" t="s">
        <v>2037</v>
      </c>
      <c r="AQ19" s="901" t="s">
        <v>2039</v>
      </c>
      <c r="AR19" s="901" t="s">
        <v>2790</v>
      </c>
      <c r="AS19" s="901" t="s">
        <v>2049</v>
      </c>
      <c r="AT19" s="901" t="s">
        <v>2051</v>
      </c>
      <c r="AU19" s="901" t="s">
        <v>2042</v>
      </c>
      <c r="AV19" s="901" t="s">
        <v>2047</v>
      </c>
      <c r="AW19" s="901" t="s">
        <v>2047</v>
      </c>
      <c r="AX19" s="901" t="s">
        <v>2047</v>
      </c>
      <c r="AY19" s="901" t="s">
        <v>2042</v>
      </c>
      <c r="AZ19" s="901" t="s">
        <v>3313</v>
      </c>
      <c r="BA19" s="901" t="s">
        <v>2047</v>
      </c>
      <c r="BB19" s="901" t="s">
        <v>2052</v>
      </c>
      <c r="BC19" s="901" t="s">
        <v>2050</v>
      </c>
      <c r="BD19" s="901" t="s">
        <v>2050</v>
      </c>
      <c r="BE19" s="901" t="s">
        <v>2050</v>
      </c>
      <c r="BF19" s="901" t="s">
        <v>2044</v>
      </c>
      <c r="BG19" s="901" t="s">
        <v>2044</v>
      </c>
      <c r="BH19" s="901" t="s">
        <v>2048</v>
      </c>
      <c r="BI19" s="901" t="s">
        <v>2044</v>
      </c>
      <c r="BJ19" s="901" t="s">
        <v>2048</v>
      </c>
      <c r="BK19" s="901" t="s">
        <v>2048</v>
      </c>
      <c r="BL19" s="901" t="s">
        <v>1995</v>
      </c>
      <c r="BM19" s="901" t="s">
        <v>1994</v>
      </c>
      <c r="BN19" s="901"/>
      <c r="BP19" s="901" t="s">
        <v>2052</v>
      </c>
      <c r="BQ19" s="901" t="s">
        <v>2046</v>
      </c>
      <c r="BT19" s="877"/>
      <c r="BU19" s="877"/>
      <c r="BV19" s="877"/>
      <c r="BW19" s="877"/>
      <c r="BX19" s="877"/>
      <c r="BY19" s="428"/>
      <c r="BZ19" s="428"/>
      <c r="CA19" s="428"/>
      <c r="CB19" s="428"/>
      <c r="CC19" s="877"/>
      <c r="CD19" s="877"/>
      <c r="CE19" s="877"/>
      <c r="CF19" s="877"/>
      <c r="CG19" s="877"/>
      <c r="CH19" s="877"/>
      <c r="CI19" s="877"/>
      <c r="CJ19" s="428"/>
      <c r="CK19" s="876"/>
      <c r="CL19" s="876"/>
      <c r="CM19" s="876"/>
    </row>
    <row r="20" spans="1:120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14</v>
      </c>
      <c r="G20" s="822" t="str">
        <f ca="1">MID(CELL("filename",A1),FIND("]",CELL("filename",A1))+1,LEN(CELL("filename",A1))-FIND("]",CELL("filename",A1)))</f>
        <v>Mito Hollyhock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1511</v>
      </c>
      <c r="AH20" s="887" t="s">
        <v>1512</v>
      </c>
      <c r="AI20" s="887" t="s">
        <v>1513</v>
      </c>
      <c r="AJ20" s="887" t="s">
        <v>1514</v>
      </c>
      <c r="AK20" s="887" t="s">
        <v>1515</v>
      </c>
      <c r="AL20" s="887" t="s">
        <v>1517</v>
      </c>
      <c r="AM20" s="887" t="s">
        <v>3100</v>
      </c>
      <c r="AN20" s="887" t="s">
        <v>1910</v>
      </c>
      <c r="AO20" s="887" t="s">
        <v>1518</v>
      </c>
      <c r="AP20" s="887" t="s">
        <v>3349</v>
      </c>
      <c r="AQ20" s="887" t="s">
        <v>1519</v>
      </c>
      <c r="AR20" s="887" t="s">
        <v>2923</v>
      </c>
      <c r="AS20" s="887" t="s">
        <v>1520</v>
      </c>
      <c r="AT20" s="887" t="s">
        <v>2093</v>
      </c>
      <c r="AU20" s="887" t="s">
        <v>1523</v>
      </c>
      <c r="AV20" s="887" t="s">
        <v>1525</v>
      </c>
      <c r="AW20" s="887" t="s">
        <v>1526</v>
      </c>
      <c r="AX20" s="887" t="s">
        <v>1527</v>
      </c>
      <c r="AY20" s="887" t="s">
        <v>1528</v>
      </c>
      <c r="AZ20" s="887" t="s">
        <v>3324</v>
      </c>
      <c r="BA20" s="887" t="s">
        <v>1912</v>
      </c>
      <c r="BB20" s="887" t="s">
        <v>1529</v>
      </c>
      <c r="BC20" s="887" t="s">
        <v>1521</v>
      </c>
      <c r="BD20" s="887" t="s">
        <v>1911</v>
      </c>
      <c r="BE20" s="887" t="s">
        <v>1524</v>
      </c>
      <c r="BF20" s="887" t="s">
        <v>1530</v>
      </c>
      <c r="BG20" s="887" t="s">
        <v>1531</v>
      </c>
      <c r="BH20" s="887" t="s">
        <v>1532</v>
      </c>
      <c r="BI20" s="887" t="s">
        <v>1533</v>
      </c>
      <c r="BJ20" s="887" t="s">
        <v>1534</v>
      </c>
      <c r="BK20" s="887" t="s">
        <v>3350</v>
      </c>
      <c r="BL20" s="887" t="s">
        <v>2131</v>
      </c>
      <c r="BM20" s="887" t="s">
        <v>1620</v>
      </c>
      <c r="BN20" s="887"/>
      <c r="BP20" s="887" t="s">
        <v>1522</v>
      </c>
      <c r="BQ20" s="887" t="s">
        <v>1516</v>
      </c>
      <c r="BT20" s="864"/>
      <c r="BU20" s="864"/>
      <c r="BV20" s="864"/>
      <c r="BW20" s="864"/>
      <c r="BX20" s="864"/>
      <c r="BY20" s="847"/>
      <c r="BZ20" s="847"/>
      <c r="CA20" s="847"/>
      <c r="CB20" s="847"/>
      <c r="CC20" s="864"/>
      <c r="CD20" s="864"/>
      <c r="CE20" s="864"/>
      <c r="CF20" s="864"/>
      <c r="CG20" s="864"/>
      <c r="CH20" s="864"/>
      <c r="CI20" s="864"/>
      <c r="CJ20" s="824"/>
      <c r="CK20" s="824"/>
      <c r="CL20" s="824"/>
      <c r="CM20" s="824"/>
      <c r="CN20" s="824"/>
      <c r="CO20" s="824"/>
      <c r="CP20" s="824"/>
      <c r="CQ20" s="824"/>
      <c r="CR20" s="824"/>
      <c r="CS20" s="824"/>
      <c r="CT20" s="824"/>
      <c r="CU20" s="824"/>
    </row>
    <row r="21" spans="1:120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975</v>
      </c>
      <c r="AH21" s="886" t="s">
        <v>976</v>
      </c>
      <c r="AI21" s="886" t="s">
        <v>977</v>
      </c>
      <c r="AJ21" s="886" t="s">
        <v>1097</v>
      </c>
      <c r="AK21" s="886" t="s">
        <v>1098</v>
      </c>
      <c r="AL21" s="886" t="s">
        <v>1100</v>
      </c>
      <c r="AM21" s="886" t="s">
        <v>978</v>
      </c>
      <c r="AN21" s="886" t="s">
        <v>1101</v>
      </c>
      <c r="AO21" s="886" t="s">
        <v>1102</v>
      </c>
      <c r="AP21" s="886" t="s">
        <v>3368</v>
      </c>
      <c r="AQ21" s="886" t="s">
        <v>952</v>
      </c>
      <c r="AR21" s="886" t="s">
        <v>2924</v>
      </c>
      <c r="AS21" s="886" t="s">
        <v>1103</v>
      </c>
      <c r="AT21" s="886" t="s">
        <v>1104</v>
      </c>
      <c r="AU21" s="886" t="s">
        <v>1652</v>
      </c>
      <c r="AV21" s="886" t="s">
        <v>981</v>
      </c>
      <c r="AW21" s="886" t="s">
        <v>1106</v>
      </c>
      <c r="AX21" s="886" t="s">
        <v>1107</v>
      </c>
      <c r="AY21" s="886" t="s">
        <v>982</v>
      </c>
      <c r="AZ21" s="886" t="s">
        <v>3323</v>
      </c>
      <c r="BA21" s="886" t="s">
        <v>1653</v>
      </c>
      <c r="BB21" s="886" t="s">
        <v>1108</v>
      </c>
      <c r="BC21" s="886" t="s">
        <v>979</v>
      </c>
      <c r="BD21" s="886" t="s">
        <v>1651</v>
      </c>
      <c r="BE21" s="886" t="s">
        <v>980</v>
      </c>
      <c r="BF21" s="886" t="s">
        <v>992</v>
      </c>
      <c r="BG21" s="886" t="s">
        <v>983</v>
      </c>
      <c r="BH21" s="886" t="s">
        <v>985</v>
      </c>
      <c r="BI21" s="886" t="s">
        <v>986</v>
      </c>
      <c r="BJ21" s="886" t="s">
        <v>1109</v>
      </c>
      <c r="BK21" s="886" t="s">
        <v>974</v>
      </c>
      <c r="BL21" s="886" t="s">
        <v>2132</v>
      </c>
      <c r="BM21" s="886" t="s">
        <v>1010</v>
      </c>
      <c r="BN21" s="886" t="s">
        <v>1945</v>
      </c>
      <c r="BP21" s="886" t="s">
        <v>1105</v>
      </c>
      <c r="BQ21" s="886" t="s">
        <v>1099</v>
      </c>
      <c r="BT21" s="864"/>
      <c r="BU21" s="864"/>
      <c r="BV21" s="864"/>
      <c r="BW21" s="864"/>
      <c r="BX21" s="864"/>
      <c r="BY21" s="847"/>
      <c r="BZ21" s="847"/>
      <c r="CA21" s="847"/>
      <c r="CB21" s="847"/>
      <c r="CC21" s="864"/>
      <c r="CD21" s="864"/>
      <c r="CE21" s="864"/>
      <c r="CF21" s="864"/>
      <c r="CG21" s="864"/>
      <c r="CH21" s="864"/>
      <c r="CI21" s="864"/>
      <c r="CJ21" s="824"/>
      <c r="CK21" s="824"/>
      <c r="CL21" s="824"/>
      <c r="CM21" s="824"/>
      <c r="CN21" s="824"/>
      <c r="CO21" s="824"/>
      <c r="CP21" s="824"/>
      <c r="CQ21" s="824"/>
      <c r="CR21" s="824"/>
      <c r="CS21" s="824"/>
      <c r="CT21" s="824"/>
      <c r="CU21" s="824"/>
    </row>
    <row r="22" spans="1:120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P22" s="829"/>
      <c r="BQ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  <c r="CK22" s="829"/>
      <c r="CL22" s="829"/>
      <c r="CM22" s="829"/>
    </row>
    <row r="23" spans="1:120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</v>
      </c>
      <c r="G23" s="879" t="s">
        <v>1086</v>
      </c>
      <c r="H23" s="879" t="s">
        <v>22</v>
      </c>
      <c r="I23" s="879" t="s">
        <v>891</v>
      </c>
      <c r="J23" s="846">
        <v>0</v>
      </c>
      <c r="K23" s="846">
        <v>1</v>
      </c>
      <c r="L23" s="816" t="str">
        <f t="shared" ref="L23:L65" si="22">IF(J23="","",IF(J23&gt;K23,"W",IF(J23=K23,"D",IF(J23&lt;K23,"L"))))</f>
        <v>L</v>
      </c>
      <c r="M23" s="816">
        <f t="shared" ref="M23:M65" si="23">IF(J23="","",J23+K23)</f>
        <v>1</v>
      </c>
      <c r="N23" s="816" t="str">
        <f t="shared" ref="N23:N65" si="24">IF($J23="","",IF($M23&gt;N$19,"O",IF($M23&lt;N$19,"U",IF($M23=N$19,"-"))))</f>
        <v>U</v>
      </c>
      <c r="O23" s="816">
        <f t="shared" ref="O23:O57" si="25">IF(Q23="","",IF(SIGN(Q23)&lt;&gt;1,VLOOKUP(ABS(Q23),SUP_HDC,3,TRUE),-VLOOKUP(ABS(Q23),SUP_HDC,3,TRUE)))</f>
        <v>0.25</v>
      </c>
      <c r="P23" s="829">
        <f t="shared" ref="P23:P57" si="26">IF(O23="","",IF((J23-K23+O23)&gt;=0.5,1,IF((J23-K23+O23)=0.25,0.5,IF((J23-K23+O23)&lt;=-0.5,-1,IF((J23-K23+O23)=-0.25,-0.5,0)))))</f>
        <v>-1</v>
      </c>
      <c r="Q23" s="830">
        <v>-0.34</v>
      </c>
      <c r="R23" s="871">
        <f t="shared" ref="R23:R49" si="27">IF(ISBLANK(Q23),"",J23-K23-Q23)</f>
        <v>-0.65999999999999992</v>
      </c>
      <c r="S23" s="830">
        <v>2.25</v>
      </c>
      <c r="T23" s="871">
        <f t="shared" ref="T23:T67" si="28">IF(ISBLANK(S23),"",J23+K23-S23)</f>
        <v>-1.25</v>
      </c>
      <c r="U23" s="868">
        <f t="shared" ref="U23:U57" si="29">IF(Q23="","",(Q23+S23)/2)</f>
        <v>0.95499999999999996</v>
      </c>
      <c r="V23" s="868">
        <f t="shared" ref="V23:V57" si="30">IF(Q23="","",S23-U23)</f>
        <v>1.2949999999999999</v>
      </c>
      <c r="W23" s="816">
        <v>10</v>
      </c>
      <c r="X23" s="816">
        <v>19</v>
      </c>
      <c r="Y23" s="829">
        <v>0</v>
      </c>
      <c r="Z23" s="829">
        <v>5</v>
      </c>
      <c r="AA23" s="829">
        <v>46</v>
      </c>
      <c r="AB23" s="829">
        <v>54</v>
      </c>
      <c r="AC23" s="829"/>
      <c r="AD23" s="816" t="str">
        <f t="array" ref="AD23">IF($J23="","",IF(SUM(IF(ISNUMBER(VALUE(RIGHT($AG23:$EB23,1))),VALUE(RIGHT($AG23:$EB23,1)),0))=$J23,"T","F"))</f>
        <v>T</v>
      </c>
      <c r="AE23" s="831">
        <f t="array" ref="AE23">IF($J23="","",SUM(IF(LEFT($AG23:$EB23,1)="s",1,0))-SUM(IF(RIGHT(LEFT($AG23:$EB23,2))="-",1,0)))</f>
        <v>0</v>
      </c>
      <c r="AF23" s="816">
        <f t="array" ref="AF23">IF($J23="","",SUM(IF(LEFT($AG23:$EB23,1)="X",1,0)))</f>
        <v>11</v>
      </c>
      <c r="AG23" s="891" t="s">
        <v>1877</v>
      </c>
      <c r="AH23" s="891" t="s">
        <v>34</v>
      </c>
      <c r="AI23" s="891" t="s">
        <v>32</v>
      </c>
      <c r="AJ23" s="891" t="s">
        <v>34</v>
      </c>
      <c r="AK23" s="891" t="s">
        <v>32</v>
      </c>
      <c r="AL23" s="891" t="s">
        <v>32</v>
      </c>
      <c r="AM23" s="904" t="s">
        <v>34</v>
      </c>
      <c r="AN23" s="891" t="s">
        <v>32</v>
      </c>
      <c r="AO23" s="891" t="s">
        <v>32</v>
      </c>
      <c r="AP23" s="891" t="s">
        <v>34</v>
      </c>
      <c r="AQ23" s="891" t="s">
        <v>1877</v>
      </c>
      <c r="AR23" s="910"/>
      <c r="AS23" s="891" t="s">
        <v>34</v>
      </c>
      <c r="AT23" s="891" t="s">
        <v>34</v>
      </c>
      <c r="AU23" s="904" t="s">
        <v>35</v>
      </c>
      <c r="AV23" s="891" t="s">
        <v>1877</v>
      </c>
      <c r="AW23" s="891" t="s">
        <v>32</v>
      </c>
      <c r="AX23" s="891" t="s">
        <v>36</v>
      </c>
      <c r="AY23" s="891" t="s">
        <v>32</v>
      </c>
      <c r="AZ23" s="891"/>
      <c r="BA23" s="891" t="s">
        <v>36</v>
      </c>
      <c r="BB23" s="891" t="s">
        <v>32</v>
      </c>
      <c r="BC23" s="891" t="s">
        <v>34</v>
      </c>
      <c r="BD23" s="891" t="s">
        <v>34</v>
      </c>
      <c r="BE23" s="891" t="s">
        <v>35</v>
      </c>
      <c r="BF23" s="891" t="s">
        <v>34</v>
      </c>
      <c r="BG23" s="891" t="s">
        <v>32</v>
      </c>
      <c r="BH23" s="891" t="s">
        <v>32</v>
      </c>
      <c r="BI23" s="891" t="s">
        <v>32</v>
      </c>
      <c r="BJ23" s="891" t="s">
        <v>32</v>
      </c>
      <c r="BK23" s="891" t="s">
        <v>1877</v>
      </c>
      <c r="BL23" s="910"/>
      <c r="BM23" s="910"/>
      <c r="BN23" s="891"/>
      <c r="BP23" s="891" t="s">
        <v>32</v>
      </c>
      <c r="BQ23" s="891" t="s">
        <v>1877</v>
      </c>
      <c r="BT23" s="891"/>
      <c r="BU23" s="891"/>
      <c r="BV23" s="891"/>
      <c r="BW23" s="891"/>
      <c r="BX23" s="891"/>
      <c r="BY23" s="896"/>
      <c r="BZ23" s="896"/>
      <c r="CA23" s="896"/>
      <c r="CB23" s="896"/>
      <c r="CC23" s="896"/>
      <c r="CD23" s="896"/>
      <c r="CE23" s="896"/>
      <c r="CF23" s="896"/>
      <c r="CG23" s="896"/>
      <c r="CH23" s="896"/>
      <c r="CI23" s="896"/>
      <c r="CJ23" s="428"/>
      <c r="CK23" s="428"/>
      <c r="CL23" s="428"/>
      <c r="CM23" s="428"/>
      <c r="CN23" s="230" t="s">
        <v>32</v>
      </c>
      <c r="CO23" s="230" t="s">
        <v>32</v>
      </c>
      <c r="CP23" s="230" t="s">
        <v>32</v>
      </c>
      <c r="CQ23" s="230" t="s">
        <v>32</v>
      </c>
      <c r="CR23" s="230" t="s">
        <v>32</v>
      </c>
      <c r="CS23" s="230" t="s">
        <v>32</v>
      </c>
      <c r="CT23" s="230" t="s">
        <v>32</v>
      </c>
      <c r="DM23" s="6"/>
      <c r="DN23" s="6"/>
      <c r="DO23" s="20"/>
    </row>
    <row r="24" spans="1:120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17</v>
      </c>
      <c r="G24" s="879" t="s">
        <v>875</v>
      </c>
      <c r="H24" s="879" t="s">
        <v>22</v>
      </c>
      <c r="I24" s="879" t="s">
        <v>891</v>
      </c>
      <c r="J24" s="846">
        <v>4</v>
      </c>
      <c r="K24" s="846">
        <v>0</v>
      </c>
      <c r="L24" s="816" t="str">
        <f>IF(J24="","",IF(J24&gt;K24,"W",IF(J24=K24,"D",IF(J24&lt;K24,"L"))))</f>
        <v>W</v>
      </c>
      <c r="M24" s="816">
        <f>IF(J24="","",J24+K24)</f>
        <v>4</v>
      </c>
      <c r="N24" s="816" t="str">
        <f>IF($J24="","",IF($M24&gt;N$19,"O",IF($M24&lt;N$19,"U",IF($M24=N$19,"-"))))</f>
        <v>O</v>
      </c>
      <c r="O24" s="816">
        <f>IF(Q24="","",IF(SIGN(Q24)&lt;&gt;1,VLOOKUP(ABS(Q24),SUP_HDC,3,TRUE),-VLOOKUP(ABS(Q24),SUP_HDC,3,TRUE)))</f>
        <v>-0.25</v>
      </c>
      <c r="P24" s="829">
        <f>IF(O24="","",IF((J24-K24+O24)&gt;=0.5,1,IF((J24-K24+O24)=0.25,0.5,IF((J24-K24+O24)&lt;=-0.5,-1,IF((J24-K24+O24)=-0.25,-0.5,0)))))</f>
        <v>1</v>
      </c>
      <c r="Q24" s="830">
        <v>0.15</v>
      </c>
      <c r="R24" s="871">
        <f>IF(ISBLANK(Q24),"",J24-K24-Q24)</f>
        <v>3.85</v>
      </c>
      <c r="S24" s="830">
        <v>2.1</v>
      </c>
      <c r="T24" s="871">
        <f>IF(ISBLANK(S24),"",J24+K24-S24)</f>
        <v>1.9</v>
      </c>
      <c r="U24" s="868">
        <f>IF(Q24="","",(Q24+S24)/2)</f>
        <v>1.125</v>
      </c>
      <c r="V24" s="868">
        <f>IF(Q24="","",S24-U24)</f>
        <v>0.97500000000000009</v>
      </c>
      <c r="W24" s="829">
        <v>15</v>
      </c>
      <c r="X24" s="829">
        <v>14</v>
      </c>
      <c r="Y24" s="829">
        <v>8</v>
      </c>
      <c r="Z24" s="829">
        <v>2</v>
      </c>
      <c r="AA24" s="829">
        <v>47</v>
      </c>
      <c r="AB24" s="829">
        <v>53</v>
      </c>
      <c r="AD24" s="816" t="str">
        <f t="array" ref="AD24">IF($J24="","",IF(SUM(IF(ISNUMBER(VALUE(RIGHT($AG24:$EB24,1))),VALUE(RIGHT($AG24:$EB24,1)),0))=$J24,"T","F"))</f>
        <v>T</v>
      </c>
      <c r="AE24" s="831">
        <f t="array" ref="AE24">IF($J24="","",SUM(IF(LEFT($AG24:$EB24,1)="s",1,0))-SUM(IF(RIGHT(LEFT($AG24:$EB24,2))="-",1,0)))</f>
        <v>0</v>
      </c>
      <c r="AF24" s="816">
        <f t="array" ref="AF24">IF($J24="","",SUM(IF(LEFT($AG24:$EB24,1)="X",1,0)))</f>
        <v>11</v>
      </c>
      <c r="AG24" s="891" t="s">
        <v>1877</v>
      </c>
      <c r="AH24" s="891" t="s">
        <v>34</v>
      </c>
      <c r="AI24" s="891" t="s">
        <v>32</v>
      </c>
      <c r="AJ24" s="891" t="s">
        <v>34</v>
      </c>
      <c r="AK24" s="891" t="s">
        <v>32</v>
      </c>
      <c r="AL24" s="891" t="s">
        <v>32</v>
      </c>
      <c r="AM24" s="891" t="s">
        <v>34</v>
      </c>
      <c r="AN24" s="891" t="s">
        <v>32</v>
      </c>
      <c r="AO24" s="904" t="s">
        <v>34</v>
      </c>
      <c r="AP24" s="891" t="s">
        <v>34</v>
      </c>
      <c r="AQ24" s="891" t="s">
        <v>1877</v>
      </c>
      <c r="AR24" s="910"/>
      <c r="AS24" s="891" t="s">
        <v>32</v>
      </c>
      <c r="AT24" s="904" t="s">
        <v>35</v>
      </c>
      <c r="AU24" s="891" t="s">
        <v>1877</v>
      </c>
      <c r="AV24" s="891" t="s">
        <v>35</v>
      </c>
      <c r="AW24" s="891" t="s">
        <v>32</v>
      </c>
      <c r="AX24" s="891" t="s">
        <v>36</v>
      </c>
      <c r="AY24" s="891" t="s">
        <v>32</v>
      </c>
      <c r="AZ24" s="891"/>
      <c r="BA24" s="891" t="s">
        <v>1877</v>
      </c>
      <c r="BB24" s="891" t="s">
        <v>32</v>
      </c>
      <c r="BC24" s="891" t="s">
        <v>35</v>
      </c>
      <c r="BD24" s="904" t="s">
        <v>1944</v>
      </c>
      <c r="BE24" s="891" t="s">
        <v>34</v>
      </c>
      <c r="BF24" s="891" t="s">
        <v>34</v>
      </c>
      <c r="BG24" s="891" t="s">
        <v>32</v>
      </c>
      <c r="BH24" s="891" t="s">
        <v>32</v>
      </c>
      <c r="BI24" s="891" t="s">
        <v>32</v>
      </c>
      <c r="BJ24" s="891" t="s">
        <v>32</v>
      </c>
      <c r="BK24" s="891" t="s">
        <v>1943</v>
      </c>
      <c r="BL24" s="910"/>
      <c r="BM24" s="910"/>
      <c r="BN24" s="891">
        <v>1</v>
      </c>
      <c r="BP24" s="891" t="s">
        <v>36</v>
      </c>
      <c r="BQ24" s="891" t="s">
        <v>32</v>
      </c>
      <c r="BT24" s="891"/>
      <c r="BU24" s="891"/>
      <c r="BV24" s="891"/>
      <c r="BW24" s="891"/>
      <c r="BX24" s="891"/>
      <c r="BY24" s="896"/>
      <c r="BZ24" s="896"/>
      <c r="CA24" s="896"/>
      <c r="CB24" s="896"/>
      <c r="CC24" s="896"/>
      <c r="CD24" s="896"/>
      <c r="CE24" s="896"/>
      <c r="CF24" s="896"/>
      <c r="CG24" s="896"/>
      <c r="CH24" s="896"/>
      <c r="CI24" s="896"/>
      <c r="CJ24" s="428"/>
      <c r="CK24" s="428"/>
      <c r="CL24" s="428"/>
      <c r="CM24" s="428"/>
      <c r="CN24" s="230" t="s">
        <v>32</v>
      </c>
      <c r="CO24" s="230" t="s">
        <v>32</v>
      </c>
      <c r="CP24" s="230" t="s">
        <v>32</v>
      </c>
      <c r="CQ24" s="230" t="s">
        <v>32</v>
      </c>
      <c r="CR24" s="230" t="s">
        <v>32</v>
      </c>
      <c r="CS24" s="230" t="s">
        <v>32</v>
      </c>
      <c r="CT24" s="230" t="s">
        <v>32</v>
      </c>
    </row>
    <row r="25" spans="1:120" ht="15">
      <c r="A25" s="882">
        <v>6280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5</v>
      </c>
      <c r="G25" s="879" t="s">
        <v>889</v>
      </c>
      <c r="H25" s="879" t="s">
        <v>18</v>
      </c>
      <c r="I25" s="879" t="s">
        <v>891</v>
      </c>
      <c r="J25" s="908">
        <v>0</v>
      </c>
      <c r="K25" s="846">
        <v>4</v>
      </c>
      <c r="L25" s="816" t="str">
        <f t="shared" si="22"/>
        <v>L</v>
      </c>
      <c r="M25" s="816">
        <f t="shared" si="23"/>
        <v>4</v>
      </c>
      <c r="N25" s="816" t="str">
        <f t="shared" si="24"/>
        <v>O</v>
      </c>
      <c r="O25" s="816">
        <f t="shared" si="25"/>
        <v>0.25</v>
      </c>
      <c r="P25" s="829">
        <f t="shared" si="26"/>
        <v>-1</v>
      </c>
      <c r="Q25" s="830">
        <v>-0.15</v>
      </c>
      <c r="R25" s="871">
        <f t="shared" si="27"/>
        <v>-3.85</v>
      </c>
      <c r="S25" s="830">
        <v>2.27</v>
      </c>
      <c r="T25" s="871">
        <f t="shared" si="28"/>
        <v>1.73</v>
      </c>
      <c r="U25" s="868">
        <f t="shared" si="29"/>
        <v>1.06</v>
      </c>
      <c r="V25" s="868">
        <f t="shared" si="30"/>
        <v>1.21</v>
      </c>
      <c r="W25" s="829">
        <v>13</v>
      </c>
      <c r="X25" s="829">
        <v>16</v>
      </c>
      <c r="Y25" s="829">
        <v>4</v>
      </c>
      <c r="Z25" s="829">
        <v>9</v>
      </c>
      <c r="AA25" s="829">
        <v>38</v>
      </c>
      <c r="AB25" s="829">
        <v>62</v>
      </c>
      <c r="AC25" s="829"/>
      <c r="AD25" s="816" t="str">
        <f t="array" ref="AD25">IF($J25="","",IF(SUM(IF(ISNUMBER(VALUE(RIGHT($AG25:$EB25,1))),VALUE(RIGHT($AG25:$EB25,1)),0))=$J25,"T","F"))</f>
        <v>T</v>
      </c>
      <c r="AE25" s="831">
        <f t="array" ref="AE25">IF($J25="","",SUM(IF(LEFT($AG25:$EB25,1)="s",1,0))-SUM(IF(RIGHT(LEFT($AG25:$EB25,2))="-",1,0)))</f>
        <v>0</v>
      </c>
      <c r="AF25" s="816">
        <f t="array" ref="AF25">IF($J25="","",SUM(IF(LEFT($AG25:$EB25,1)="X",1,0)))</f>
        <v>11</v>
      </c>
      <c r="AG25" s="891" t="s">
        <v>1877</v>
      </c>
      <c r="AH25" s="891" t="s">
        <v>34</v>
      </c>
      <c r="AI25" s="891" t="s">
        <v>32</v>
      </c>
      <c r="AJ25" s="891" t="s">
        <v>34</v>
      </c>
      <c r="AK25" s="891" t="s">
        <v>32</v>
      </c>
      <c r="AL25" s="891" t="s">
        <v>32</v>
      </c>
      <c r="AM25" s="909" t="s">
        <v>34</v>
      </c>
      <c r="AN25" s="891" t="s">
        <v>32</v>
      </c>
      <c r="AO25" s="904" t="s">
        <v>34</v>
      </c>
      <c r="AP25" s="891" t="s">
        <v>34</v>
      </c>
      <c r="AQ25" s="891" t="s">
        <v>32</v>
      </c>
      <c r="AR25" s="910"/>
      <c r="AS25" s="891" t="s">
        <v>1877</v>
      </c>
      <c r="AT25" s="891" t="s">
        <v>35</v>
      </c>
      <c r="AU25" s="891" t="s">
        <v>1877</v>
      </c>
      <c r="AV25" s="891" t="s">
        <v>34</v>
      </c>
      <c r="AW25" s="891" t="s">
        <v>32</v>
      </c>
      <c r="AX25" s="891" t="s">
        <v>36</v>
      </c>
      <c r="AY25" s="891" t="s">
        <v>32</v>
      </c>
      <c r="AZ25" s="891"/>
      <c r="BA25" s="891" t="s">
        <v>1877</v>
      </c>
      <c r="BB25" s="891" t="s">
        <v>32</v>
      </c>
      <c r="BC25" s="891" t="s">
        <v>34</v>
      </c>
      <c r="BD25" s="891" t="s">
        <v>35</v>
      </c>
      <c r="BE25" s="904" t="s">
        <v>35</v>
      </c>
      <c r="BF25" s="891" t="s">
        <v>34</v>
      </c>
      <c r="BG25" s="891" t="s">
        <v>32</v>
      </c>
      <c r="BH25" s="891" t="s">
        <v>32</v>
      </c>
      <c r="BI25" s="891" t="s">
        <v>32</v>
      </c>
      <c r="BJ25" s="891" t="s">
        <v>32</v>
      </c>
      <c r="BK25" s="891" t="s">
        <v>36</v>
      </c>
      <c r="BL25" s="910"/>
      <c r="BM25" s="910"/>
      <c r="BN25" s="891"/>
      <c r="BP25" s="891" t="s">
        <v>36</v>
      </c>
      <c r="BQ25" s="891" t="s">
        <v>32</v>
      </c>
      <c r="BT25" s="891"/>
      <c r="BU25" s="891"/>
      <c r="BV25" s="891"/>
      <c r="BW25" s="891"/>
      <c r="BX25" s="891"/>
      <c r="BY25" s="896"/>
      <c r="BZ25" s="896"/>
      <c r="CA25" s="896"/>
      <c r="CB25" s="896"/>
      <c r="CC25" s="896"/>
      <c r="CD25" s="896"/>
      <c r="CE25" s="896"/>
      <c r="CF25" s="896"/>
      <c r="CG25" s="896"/>
      <c r="CH25" s="896"/>
      <c r="CI25" s="896"/>
      <c r="CJ25" s="428"/>
      <c r="CK25" s="428"/>
      <c r="CL25" s="428"/>
      <c r="CM25" s="428"/>
      <c r="CN25" s="230" t="s">
        <v>32</v>
      </c>
      <c r="CO25" s="230" t="s">
        <v>32</v>
      </c>
      <c r="CP25" s="230" t="s">
        <v>32</v>
      </c>
      <c r="CQ25" s="230" t="s">
        <v>32</v>
      </c>
      <c r="CR25" s="230" t="s">
        <v>32</v>
      </c>
      <c r="CS25" s="230" t="s">
        <v>32</v>
      </c>
      <c r="CT25" s="230" t="s">
        <v>32</v>
      </c>
      <c r="DM25" s="6"/>
      <c r="DN25" s="6"/>
      <c r="DO25" s="6"/>
    </row>
    <row r="26" spans="1:120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3</v>
      </c>
      <c r="G26" s="879" t="s">
        <v>1085</v>
      </c>
      <c r="H26" s="879" t="s">
        <v>18</v>
      </c>
      <c r="I26" s="879" t="s">
        <v>891</v>
      </c>
      <c r="J26" s="846">
        <v>1</v>
      </c>
      <c r="K26" s="846">
        <v>2</v>
      </c>
      <c r="L26" s="816" t="str">
        <f>IF(J26="","",IF(J26&gt;K26,"W",IF(J26=K26,"D",IF(J26&lt;K26,"L"))))</f>
        <v>L</v>
      </c>
      <c r="M26" s="816">
        <f>IF(J26="","",J26+K26)</f>
        <v>3</v>
      </c>
      <c r="N26" s="816" t="str">
        <f>IF($J26="","",IF($M26&gt;N$19,"O",IF($M26&lt;N$19,"U",IF($M26=N$19,"-"))))</f>
        <v>O</v>
      </c>
      <c r="O26" s="816">
        <f>IF(Q26="","",IF(SIGN(Q26)&lt;&gt;1,VLOOKUP(ABS(Q26),SUP_HDC,3,TRUE),-VLOOKUP(ABS(Q26),SUP_HDC,3,TRUE)))</f>
        <v>0.5</v>
      </c>
      <c r="P26" s="829">
        <f>IF(O26="","",IF((J26-K26+O26)&gt;=0.5,1,IF((J26-K26+O26)=0.25,0.5,IF((J26-K26+O26)&lt;=-0.5,-1,IF((J26-K26+O26)=-0.25,-0.5,0)))))</f>
        <v>-1</v>
      </c>
      <c r="Q26" s="830">
        <v>-0.68</v>
      </c>
      <c r="R26" s="871">
        <f>IF(ISBLANK(Q26),"",J26-K26-Q26)</f>
        <v>-0.31999999999999995</v>
      </c>
      <c r="S26" s="830">
        <v>2.44</v>
      </c>
      <c r="T26" s="871">
        <f>IF(ISBLANK(S26),"",J26+K26-S26)</f>
        <v>0.56000000000000005</v>
      </c>
      <c r="U26" s="868">
        <f>IF(Q26="","",(Q26+S26)/2)</f>
        <v>0.87999999999999989</v>
      </c>
      <c r="V26" s="868">
        <f>IF(Q26="","",S26-U26)</f>
        <v>1.56</v>
      </c>
      <c r="W26" s="829">
        <v>13</v>
      </c>
      <c r="X26" s="829">
        <v>8</v>
      </c>
      <c r="Y26" s="829">
        <v>4</v>
      </c>
      <c r="Z26" s="829">
        <v>1</v>
      </c>
      <c r="AA26" s="829">
        <v>40</v>
      </c>
      <c r="AB26" s="829">
        <v>60</v>
      </c>
      <c r="AC26" s="829"/>
      <c r="AD26" s="816" t="str">
        <f t="array" ref="AD26">IF($J26="","",IF(SUM(IF(ISNUMBER(VALUE(RIGHT($AG26:$EB26,1))),VALUE(RIGHT($AG26:$EB26,1)),0))=$J26,"T","F"))</f>
        <v>T</v>
      </c>
      <c r="AE26" s="831">
        <f t="array" ref="AE26">IF($J26="","",SUM(IF(LEFT($AG26:$EB26,1)="s",1,0))-SUM(IF(RIGHT(LEFT($AG26:$EB26,2))="-",1,0)))</f>
        <v>0</v>
      </c>
      <c r="AF26" s="816">
        <f t="array" ref="AF26">IF($J26="","",SUM(IF(LEFT($AG26:$EB26,1)="X",1,0)))</f>
        <v>11</v>
      </c>
      <c r="AG26" s="891" t="s">
        <v>1877</v>
      </c>
      <c r="AH26" s="891" t="s">
        <v>34</v>
      </c>
      <c r="AI26" s="891" t="s">
        <v>32</v>
      </c>
      <c r="AJ26" s="904" t="s">
        <v>34</v>
      </c>
      <c r="AK26" s="891" t="s">
        <v>32</v>
      </c>
      <c r="AL26" s="891" t="s">
        <v>34</v>
      </c>
      <c r="AM26" s="891" t="s">
        <v>2096</v>
      </c>
      <c r="AN26" s="891" t="s">
        <v>32</v>
      </c>
      <c r="AO26" s="891" t="s">
        <v>1877</v>
      </c>
      <c r="AP26" s="904" t="s">
        <v>34</v>
      </c>
      <c r="AQ26" s="891" t="s">
        <v>32</v>
      </c>
      <c r="AR26" s="910"/>
      <c r="AS26" s="904" t="s">
        <v>34</v>
      </c>
      <c r="AT26" s="891" t="s">
        <v>34</v>
      </c>
      <c r="AU26" s="891" t="s">
        <v>34</v>
      </c>
      <c r="AV26" s="891" t="s">
        <v>35</v>
      </c>
      <c r="AW26" s="891" t="s">
        <v>32</v>
      </c>
      <c r="AX26" s="891" t="s">
        <v>36</v>
      </c>
      <c r="AY26" s="891" t="s">
        <v>32</v>
      </c>
      <c r="AZ26" s="891"/>
      <c r="BA26" s="891" t="s">
        <v>36</v>
      </c>
      <c r="BB26" s="891" t="s">
        <v>32</v>
      </c>
      <c r="BC26" s="891" t="s">
        <v>1877</v>
      </c>
      <c r="BD26" s="891" t="s">
        <v>35</v>
      </c>
      <c r="BE26" s="891" t="s">
        <v>35</v>
      </c>
      <c r="BF26" s="891" t="s">
        <v>2097</v>
      </c>
      <c r="BG26" s="891" t="s">
        <v>32</v>
      </c>
      <c r="BH26" s="891" t="s">
        <v>32</v>
      </c>
      <c r="BI26" s="891" t="s">
        <v>32</v>
      </c>
      <c r="BJ26" s="891" t="s">
        <v>32</v>
      </c>
      <c r="BK26" s="891" t="s">
        <v>1877</v>
      </c>
      <c r="BL26" s="910"/>
      <c r="BM26" s="910"/>
      <c r="BN26" s="891"/>
      <c r="BP26" s="891" t="s">
        <v>36</v>
      </c>
      <c r="BQ26" s="891" t="s">
        <v>32</v>
      </c>
      <c r="BT26" s="891"/>
      <c r="BU26" s="891"/>
      <c r="BV26" s="891"/>
      <c r="BW26" s="891"/>
      <c r="BX26" s="891"/>
      <c r="BY26" s="896"/>
      <c r="BZ26" s="896"/>
      <c r="CA26" s="896"/>
      <c r="CB26" s="896"/>
      <c r="CC26" s="896"/>
      <c r="CD26" s="896"/>
      <c r="CE26" s="896"/>
      <c r="CF26" s="896"/>
      <c r="CG26" s="896"/>
      <c r="CH26" s="896"/>
      <c r="CI26" s="896"/>
      <c r="CJ26" s="4"/>
      <c r="CK26" s="4"/>
      <c r="CL26" s="4"/>
      <c r="CM26" s="4"/>
      <c r="CN26" s="4" t="s">
        <v>32</v>
      </c>
      <c r="CO26" s="4" t="s">
        <v>32</v>
      </c>
      <c r="CP26" s="4" t="s">
        <v>32</v>
      </c>
      <c r="CQ26" s="6" t="s">
        <v>32</v>
      </c>
      <c r="CR26" s="6" t="s">
        <v>32</v>
      </c>
      <c r="CS26" s="6" t="s">
        <v>32</v>
      </c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</row>
    <row r="27" spans="1:120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15</v>
      </c>
      <c r="G27" s="879" t="s">
        <v>881</v>
      </c>
      <c r="H27" s="879" t="s">
        <v>22</v>
      </c>
      <c r="I27" s="879" t="s">
        <v>891</v>
      </c>
      <c r="J27" s="846">
        <v>1</v>
      </c>
      <c r="K27" s="846">
        <v>0</v>
      </c>
      <c r="L27" s="816" t="str">
        <f>IF(J27="","",IF(J27&gt;K27,"W",IF(J27=K27,"D",IF(J27&lt;K27,"L"))))</f>
        <v>W</v>
      </c>
      <c r="M27" s="816">
        <f>IF(J27="","",J27+K27)</f>
        <v>1</v>
      </c>
      <c r="N27" s="816" t="str">
        <f>IF($J27="","",IF($M27&gt;N$19,"O",IF($M27&lt;N$19,"U",IF($M27=N$19,"-"))))</f>
        <v>U</v>
      </c>
      <c r="O27" s="816">
        <f>IF(Q27="","",IF(SIGN(Q27)&lt;&gt;1,VLOOKUP(ABS(Q27),SUP_HDC,3,TRUE),-VLOOKUP(ABS(Q27),SUP_HDC,3,TRUE)))</f>
        <v>-0.25</v>
      </c>
      <c r="P27" s="829">
        <f>IF(O27="","",IF((J27-K27+O27)&gt;=0.5,1,IF((J27-K27+O27)=0.25,0.5,IF((J27-K27+O27)&lt;=-0.5,-1,IF((J27-K27+O27)=-0.25,-0.5,0)))))</f>
        <v>1</v>
      </c>
      <c r="Q27" s="830">
        <v>0.23</v>
      </c>
      <c r="R27" s="871">
        <f>IF(ISBLANK(Q27),"",J27-K27-Q27)</f>
        <v>0.77</v>
      </c>
      <c r="S27" s="830">
        <v>2.23</v>
      </c>
      <c r="T27" s="871">
        <f>IF(ISBLANK(S27),"",J27+K27-S27)</f>
        <v>-1.23</v>
      </c>
      <c r="U27" s="868">
        <f>IF(Q27="","",(Q27+S27)/2)</f>
        <v>1.23</v>
      </c>
      <c r="V27" s="868">
        <f>IF(Q27="","",S27-U27)</f>
        <v>1</v>
      </c>
      <c r="W27" s="829">
        <v>10</v>
      </c>
      <c r="X27" s="829">
        <v>15</v>
      </c>
      <c r="Y27" s="829">
        <v>2</v>
      </c>
      <c r="Z27" s="829">
        <v>3</v>
      </c>
      <c r="AA27" s="829">
        <v>43</v>
      </c>
      <c r="AB27" s="829">
        <v>57</v>
      </c>
      <c r="AC27" s="829"/>
      <c r="AD27" s="816" t="str">
        <f t="array" ref="AD27">IF($J27="","",IF(SUM(IF(ISNUMBER(VALUE(RIGHT($AG27:$EB27,1))),VALUE(RIGHT($AG27:$EB27,1)),0))=$J27,"T","F"))</f>
        <v>T</v>
      </c>
      <c r="AE27" s="831">
        <f t="array" ref="AE27">IF($J27="","",SUM(IF(LEFT($AG27:$EB27,1)="s",1,0))-SUM(IF(RIGHT(LEFT($AG27:$EB27,2))="-",1,0)))</f>
        <v>0</v>
      </c>
      <c r="AF27" s="816">
        <f t="array" ref="AF27">IF($J27="","",SUM(IF(LEFT($AG27:$EB27,1)="X",1,0)))</f>
        <v>11</v>
      </c>
      <c r="AG27" s="891" t="s">
        <v>1877</v>
      </c>
      <c r="AH27" s="891" t="s">
        <v>34</v>
      </c>
      <c r="AI27" s="891" t="s">
        <v>32</v>
      </c>
      <c r="AJ27" s="891" t="s">
        <v>34</v>
      </c>
      <c r="AK27" s="891" t="s">
        <v>32</v>
      </c>
      <c r="AL27" s="891" t="s">
        <v>36</v>
      </c>
      <c r="AM27" s="891" t="s">
        <v>34</v>
      </c>
      <c r="AN27" s="891" t="s">
        <v>32</v>
      </c>
      <c r="AO27" s="891" t="s">
        <v>1877</v>
      </c>
      <c r="AP27" s="891" t="s">
        <v>34</v>
      </c>
      <c r="AQ27" s="891" t="s">
        <v>32</v>
      </c>
      <c r="AR27" s="910"/>
      <c r="AS27" s="891" t="s">
        <v>34</v>
      </c>
      <c r="AT27" s="891" t="s">
        <v>35</v>
      </c>
      <c r="AU27" s="891" t="s">
        <v>34</v>
      </c>
      <c r="AV27" s="891" t="s">
        <v>34</v>
      </c>
      <c r="AW27" s="891" t="s">
        <v>32</v>
      </c>
      <c r="AX27" s="891" t="s">
        <v>36</v>
      </c>
      <c r="AY27" s="891" t="s">
        <v>32</v>
      </c>
      <c r="AZ27" s="891"/>
      <c r="BA27" s="891" t="s">
        <v>1877</v>
      </c>
      <c r="BB27" s="891" t="s">
        <v>32</v>
      </c>
      <c r="BC27" s="891" t="s">
        <v>36</v>
      </c>
      <c r="BD27" s="891" t="s">
        <v>35</v>
      </c>
      <c r="BE27" s="891" t="s">
        <v>35</v>
      </c>
      <c r="BF27" s="891" t="s">
        <v>2139</v>
      </c>
      <c r="BG27" s="891" t="s">
        <v>32</v>
      </c>
      <c r="BH27" s="891" t="s">
        <v>32</v>
      </c>
      <c r="BI27" s="891" t="s">
        <v>1877</v>
      </c>
      <c r="BJ27" s="891"/>
      <c r="BK27" s="891"/>
      <c r="BL27" s="891"/>
      <c r="BM27" s="910"/>
      <c r="BN27" s="891"/>
      <c r="BO27" s="891"/>
      <c r="BP27" s="891" t="s">
        <v>32</v>
      </c>
      <c r="BQ27" s="891" t="s">
        <v>32</v>
      </c>
      <c r="BR27" s="891"/>
      <c r="BS27" s="891"/>
      <c r="BT27" s="891"/>
      <c r="BU27" s="891"/>
      <c r="BV27" s="891"/>
      <c r="BW27" s="891"/>
      <c r="BX27" s="891"/>
      <c r="BY27" s="896"/>
      <c r="BZ27" s="896"/>
      <c r="CA27" s="896"/>
      <c r="CB27" s="896"/>
      <c r="CC27" s="896"/>
      <c r="CD27" s="896"/>
      <c r="CE27" s="896"/>
      <c r="CF27" s="896"/>
      <c r="CG27" s="896"/>
      <c r="CH27" s="896"/>
      <c r="CI27" s="896"/>
      <c r="CJ27" s="865"/>
      <c r="CK27" s="865"/>
      <c r="CL27" s="865"/>
      <c r="CM27" s="865"/>
      <c r="CN27" s="865" t="s">
        <v>32</v>
      </c>
      <c r="CO27" s="865" t="s">
        <v>32</v>
      </c>
      <c r="CP27" s="865" t="s">
        <v>32</v>
      </c>
      <c r="CQ27" s="4" t="s">
        <v>32</v>
      </c>
      <c r="CR27" s="6" t="s">
        <v>32</v>
      </c>
      <c r="CS27" s="6" t="s">
        <v>32</v>
      </c>
      <c r="CT27" s="6" t="s">
        <v>32</v>
      </c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</row>
    <row r="28" spans="1:120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20</v>
      </c>
      <c r="G28" s="879" t="s">
        <v>882</v>
      </c>
      <c r="H28" s="879" t="s">
        <v>22</v>
      </c>
      <c r="I28" s="879" t="s">
        <v>891</v>
      </c>
      <c r="J28" s="846">
        <v>1</v>
      </c>
      <c r="K28" s="846">
        <v>1</v>
      </c>
      <c r="L28" s="816" t="str">
        <f t="shared" si="22"/>
        <v>D</v>
      </c>
      <c r="M28" s="816">
        <f t="shared" si="23"/>
        <v>2</v>
      </c>
      <c r="N28" s="816" t="str">
        <f t="shared" si="24"/>
        <v>U</v>
      </c>
      <c r="O28" s="816">
        <f t="shared" si="25"/>
        <v>-0.25</v>
      </c>
      <c r="P28" s="829">
        <f t="shared" si="26"/>
        <v>-0.5</v>
      </c>
      <c r="Q28" s="830">
        <v>0.17</v>
      </c>
      <c r="R28" s="871">
        <f t="shared" si="27"/>
        <v>-0.17</v>
      </c>
      <c r="S28" s="830">
        <v>2.46</v>
      </c>
      <c r="T28" s="871">
        <f t="shared" si="28"/>
        <v>-0.45999999999999996</v>
      </c>
      <c r="U28" s="868">
        <f t="shared" si="29"/>
        <v>1.3149999999999999</v>
      </c>
      <c r="V28" s="868">
        <f t="shared" si="30"/>
        <v>1.145</v>
      </c>
      <c r="W28" s="829">
        <v>17</v>
      </c>
      <c r="X28" s="829">
        <v>6</v>
      </c>
      <c r="Y28" s="829">
        <v>5</v>
      </c>
      <c r="Z28" s="829">
        <v>2</v>
      </c>
      <c r="AA28" s="829">
        <v>51</v>
      </c>
      <c r="AB28" s="829">
        <v>49</v>
      </c>
      <c r="AC28" s="829"/>
      <c r="AD28" s="816" t="str">
        <f t="array" ref="AD28">IF($J28="","",IF(SUM(IF(ISNUMBER(VALUE(RIGHT($AG28:$EB28,1))),VALUE(RIGHT($AG28:$EB28,1)),0))=$J28,"T","F"))</f>
        <v>T</v>
      </c>
      <c r="AE28" s="831">
        <f t="array" ref="AE28">IF($J28="","",SUM(IF(LEFT($AG28:$EB28,1)="s",1,0))-SUM(IF(RIGHT(LEFT($AG28:$EB28,2))="-",1,0)))</f>
        <v>0</v>
      </c>
      <c r="AF28" s="816">
        <f t="array" ref="AF28">IF($J28="","",SUM(IF(LEFT($AG28:$EB28,1)="X",1,0)))</f>
        <v>11</v>
      </c>
      <c r="AG28" s="891" t="s">
        <v>1877</v>
      </c>
      <c r="AH28" s="891" t="s">
        <v>34</v>
      </c>
      <c r="AI28" s="891" t="s">
        <v>32</v>
      </c>
      <c r="AJ28" s="891" t="s">
        <v>34</v>
      </c>
      <c r="AK28" s="891" t="s">
        <v>32</v>
      </c>
      <c r="AL28" s="891" t="s">
        <v>1877</v>
      </c>
      <c r="AM28" s="891" t="s">
        <v>34</v>
      </c>
      <c r="AN28" s="891" t="s">
        <v>1877</v>
      </c>
      <c r="AO28" s="891" t="s">
        <v>32</v>
      </c>
      <c r="AP28" s="891" t="s">
        <v>34</v>
      </c>
      <c r="AQ28" s="891" t="s">
        <v>32</v>
      </c>
      <c r="AR28" s="910"/>
      <c r="AS28" s="891" t="s">
        <v>34</v>
      </c>
      <c r="AT28" s="891" t="s">
        <v>34</v>
      </c>
      <c r="AU28" s="891" t="s">
        <v>34</v>
      </c>
      <c r="AV28" s="891" t="s">
        <v>35</v>
      </c>
      <c r="AW28" s="891" t="s">
        <v>32</v>
      </c>
      <c r="AX28" s="891" t="s">
        <v>32</v>
      </c>
      <c r="AY28" s="891" t="s">
        <v>32</v>
      </c>
      <c r="AZ28" s="891"/>
      <c r="BA28" s="891" t="s">
        <v>36</v>
      </c>
      <c r="BB28" s="891" t="s">
        <v>32</v>
      </c>
      <c r="BC28" s="891" t="s">
        <v>1877</v>
      </c>
      <c r="BD28" s="891" t="s">
        <v>1877</v>
      </c>
      <c r="BE28" s="891" t="s">
        <v>35</v>
      </c>
      <c r="BF28" s="891" t="s">
        <v>34</v>
      </c>
      <c r="BG28" s="891" t="s">
        <v>32</v>
      </c>
      <c r="BH28" s="891" t="s">
        <v>32</v>
      </c>
      <c r="BI28" s="891" t="s">
        <v>32</v>
      </c>
      <c r="BJ28" s="891" t="s">
        <v>32</v>
      </c>
      <c r="BK28" s="891" t="s">
        <v>2158</v>
      </c>
      <c r="BL28" s="891" t="s">
        <v>36</v>
      </c>
      <c r="BM28" s="910"/>
      <c r="BN28" s="891"/>
      <c r="BO28" s="891"/>
      <c r="BP28" s="891" t="s">
        <v>32</v>
      </c>
      <c r="BQ28" s="891" t="s">
        <v>32</v>
      </c>
      <c r="BR28" s="891"/>
      <c r="BS28" s="891"/>
      <c r="BT28" s="891"/>
      <c r="BU28" s="891"/>
      <c r="BV28" s="891"/>
      <c r="BW28" s="891"/>
      <c r="BX28" s="891"/>
      <c r="BY28" s="896"/>
      <c r="BZ28" s="896"/>
      <c r="CA28" s="896"/>
      <c r="CB28" s="896"/>
      <c r="CC28" s="896"/>
      <c r="CD28" s="896"/>
      <c r="CE28" s="896"/>
      <c r="CF28" s="896"/>
      <c r="CG28" s="896"/>
      <c r="CH28" s="896"/>
      <c r="CI28" s="896"/>
      <c r="CJ28" s="4"/>
      <c r="CK28" s="4"/>
      <c r="CL28" s="4"/>
      <c r="CM28" s="4"/>
      <c r="CN28" s="4" t="s">
        <v>32</v>
      </c>
      <c r="CO28" s="4" t="s">
        <v>32</v>
      </c>
      <c r="CP28" s="4" t="s">
        <v>32</v>
      </c>
      <c r="CQ28" s="4" t="s">
        <v>32</v>
      </c>
      <c r="CR28" s="6" t="s">
        <v>32</v>
      </c>
      <c r="CS28" s="6" t="s">
        <v>32</v>
      </c>
      <c r="CT28" s="6" t="s">
        <v>32</v>
      </c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</row>
    <row r="29" spans="1:120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18</v>
      </c>
      <c r="G29" s="879" t="s">
        <v>887</v>
      </c>
      <c r="H29" s="879" t="s">
        <v>18</v>
      </c>
      <c r="I29" s="879" t="s">
        <v>891</v>
      </c>
      <c r="J29" s="846">
        <v>1</v>
      </c>
      <c r="K29" s="846">
        <v>2</v>
      </c>
      <c r="L29" s="816" t="str">
        <f t="shared" si="22"/>
        <v>L</v>
      </c>
      <c r="M29" s="816">
        <f t="shared" si="23"/>
        <v>3</v>
      </c>
      <c r="N29" s="816" t="str">
        <f t="shared" si="24"/>
        <v>O</v>
      </c>
      <c r="O29" s="816">
        <f t="shared" si="25"/>
        <v>0</v>
      </c>
      <c r="P29" s="829">
        <f t="shared" si="26"/>
        <v>-1</v>
      </c>
      <c r="Q29" s="830">
        <v>-0.02</v>
      </c>
      <c r="R29" s="871">
        <f t="shared" si="27"/>
        <v>-0.98</v>
      </c>
      <c r="S29" s="830">
        <v>2.25</v>
      </c>
      <c r="T29" s="871">
        <f t="shared" si="28"/>
        <v>0.75</v>
      </c>
      <c r="U29" s="868">
        <f t="shared" si="29"/>
        <v>1.115</v>
      </c>
      <c r="V29" s="868">
        <f t="shared" si="30"/>
        <v>1.135</v>
      </c>
      <c r="W29" s="829">
        <v>12</v>
      </c>
      <c r="X29" s="829">
        <v>12</v>
      </c>
      <c r="Y29" s="829">
        <v>3</v>
      </c>
      <c r="Z29" s="829">
        <v>5</v>
      </c>
      <c r="AA29" s="829">
        <v>43</v>
      </c>
      <c r="AB29" s="829">
        <v>57</v>
      </c>
      <c r="AC29" s="829"/>
      <c r="AD29" s="816" t="str">
        <f t="array" ref="AD29">IF($J29="","",IF(SUM(IF(ISNUMBER(VALUE(RIGHT($AG29:$EB29,1))),VALUE(RIGHT($AG29:$EB29,1)),0))=$J29,"T","F"))</f>
        <v>T</v>
      </c>
      <c r="AE29" s="831">
        <f t="array" ref="AE29">IF($J29="","",SUM(IF(LEFT($AG29:$EB29,1)="s",1,0))-SUM(IF(RIGHT(LEFT($AG29:$EB29,2))="-",1,0)))</f>
        <v>0</v>
      </c>
      <c r="AF29" s="816">
        <f t="array" ref="AF29">IF($J29="","",SUM(IF(LEFT($AG29:$EB29,1)="X",1,0)))</f>
        <v>11</v>
      </c>
      <c r="AG29" s="891" t="s">
        <v>1877</v>
      </c>
      <c r="AH29" s="891" t="s">
        <v>34</v>
      </c>
      <c r="AI29" s="891" t="s">
        <v>32</v>
      </c>
      <c r="AJ29" s="891" t="s">
        <v>34</v>
      </c>
      <c r="AK29" s="891" t="s">
        <v>32</v>
      </c>
      <c r="AL29" s="891" t="s">
        <v>1877</v>
      </c>
      <c r="AM29" s="891" t="s">
        <v>1877</v>
      </c>
      <c r="AN29" s="891" t="s">
        <v>32</v>
      </c>
      <c r="AO29" s="891" t="s">
        <v>32</v>
      </c>
      <c r="AP29" s="891" t="s">
        <v>34</v>
      </c>
      <c r="AQ29" s="891" t="s">
        <v>32</v>
      </c>
      <c r="AR29" s="910"/>
      <c r="AS29" s="891" t="s">
        <v>34</v>
      </c>
      <c r="AT29" s="891" t="s">
        <v>34</v>
      </c>
      <c r="AU29" s="904" t="s">
        <v>35</v>
      </c>
      <c r="AV29" s="891" t="s">
        <v>35</v>
      </c>
      <c r="AW29" s="891" t="s">
        <v>32</v>
      </c>
      <c r="AX29" s="891" t="s">
        <v>32</v>
      </c>
      <c r="AY29" s="891" t="s">
        <v>32</v>
      </c>
      <c r="AZ29" s="891"/>
      <c r="BA29" s="891" t="s">
        <v>36</v>
      </c>
      <c r="BB29" s="891" t="s">
        <v>32</v>
      </c>
      <c r="BC29" s="891" t="s">
        <v>1877</v>
      </c>
      <c r="BD29" s="891" t="s">
        <v>36</v>
      </c>
      <c r="BE29" s="891" t="s">
        <v>35</v>
      </c>
      <c r="BF29" s="891" t="s">
        <v>34</v>
      </c>
      <c r="BG29" s="891" t="s">
        <v>32</v>
      </c>
      <c r="BH29" s="891" t="s">
        <v>32</v>
      </c>
      <c r="BI29" s="891" t="s">
        <v>32</v>
      </c>
      <c r="BJ29" s="891" t="s">
        <v>32</v>
      </c>
      <c r="BK29" s="891" t="s">
        <v>34</v>
      </c>
      <c r="BL29" s="891" t="s">
        <v>36</v>
      </c>
      <c r="BM29" s="910"/>
      <c r="BN29" s="891">
        <v>1</v>
      </c>
      <c r="BO29" s="891"/>
      <c r="BP29" s="891" t="s">
        <v>32</v>
      </c>
      <c r="BQ29" s="891" t="s">
        <v>34</v>
      </c>
      <c r="BR29" s="891"/>
      <c r="BS29" s="891"/>
      <c r="BT29" s="891"/>
      <c r="BU29" s="891"/>
      <c r="BV29" s="891"/>
      <c r="BW29" s="891"/>
      <c r="BX29" s="891"/>
      <c r="BY29" s="896"/>
      <c r="BZ29" s="896"/>
      <c r="CA29" s="896"/>
      <c r="CB29" s="896"/>
      <c r="CC29" s="896"/>
      <c r="CD29" s="896"/>
      <c r="CE29" s="896"/>
      <c r="CF29" s="896"/>
      <c r="CG29" s="896"/>
      <c r="CH29" s="896"/>
      <c r="CI29" s="891"/>
      <c r="CJ29" s="4"/>
      <c r="CK29" s="4"/>
      <c r="CL29" s="4"/>
      <c r="CM29" s="4"/>
      <c r="CN29" s="4" t="s">
        <v>32</v>
      </c>
      <c r="CO29" s="4" t="s">
        <v>32</v>
      </c>
      <c r="CP29" s="4" t="s">
        <v>32</v>
      </c>
      <c r="CQ29" s="4" t="s">
        <v>32</v>
      </c>
      <c r="CR29" s="6" t="s">
        <v>32</v>
      </c>
      <c r="CS29" s="6" t="s">
        <v>32</v>
      </c>
      <c r="CT29" s="6" t="s">
        <v>32</v>
      </c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</row>
    <row r="30" spans="1:120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22</v>
      </c>
      <c r="G30" s="879" t="s">
        <v>1087</v>
      </c>
      <c r="H30" s="879" t="s">
        <v>18</v>
      </c>
      <c r="I30" s="879" t="s">
        <v>891</v>
      </c>
      <c r="J30" s="846">
        <v>1</v>
      </c>
      <c r="K30" s="846">
        <v>0</v>
      </c>
      <c r="L30" s="816" t="str">
        <f t="shared" si="22"/>
        <v>W</v>
      </c>
      <c r="M30" s="816">
        <f t="shared" si="23"/>
        <v>1</v>
      </c>
      <c r="N30" s="816" t="str">
        <f t="shared" si="24"/>
        <v>U</v>
      </c>
      <c r="O30" s="816">
        <f t="shared" si="25"/>
        <v>-0.25</v>
      </c>
      <c r="P30" s="829">
        <f t="shared" si="26"/>
        <v>1</v>
      </c>
      <c r="Q30" s="830">
        <v>0.28000000000000003</v>
      </c>
      <c r="R30" s="871">
        <f t="shared" si="27"/>
        <v>0.72</v>
      </c>
      <c r="S30" s="830">
        <v>2.36</v>
      </c>
      <c r="T30" s="871">
        <f t="shared" si="28"/>
        <v>-1.3599999999999999</v>
      </c>
      <c r="U30" s="868">
        <f t="shared" si="29"/>
        <v>1.3199999999999998</v>
      </c>
      <c r="V30" s="868">
        <f t="shared" si="30"/>
        <v>1.04</v>
      </c>
      <c r="W30" s="829">
        <v>8</v>
      </c>
      <c r="X30" s="829">
        <v>5</v>
      </c>
      <c r="Y30" s="829">
        <v>4</v>
      </c>
      <c r="Z30" s="829">
        <v>0</v>
      </c>
      <c r="AA30" s="829">
        <v>44</v>
      </c>
      <c r="AB30" s="829">
        <v>56</v>
      </c>
      <c r="AC30" s="829"/>
      <c r="AD30" s="816" t="str">
        <f t="array" ref="AD30">IF($J30="","",IF(SUM(IF(ISNUMBER(VALUE(RIGHT($AG30:$EB30,1))),VALUE(RIGHT($AG30:$EB30,1)),0))=$J30,"T","F"))</f>
        <v>T</v>
      </c>
      <c r="AE30" s="831">
        <f t="array" ref="AE30">IF($J30="","",SUM(IF(LEFT($AG30:$EB30,1)="s",1,0))-SUM(IF(RIGHT(LEFT($AG30:$EB30,2))="-",1,0)))</f>
        <v>0</v>
      </c>
      <c r="AF30" s="816">
        <f t="array" ref="AF30">IF($J30="","",SUM(IF(LEFT($AG30:$EB30,1)="X",1,0)))</f>
        <v>11</v>
      </c>
      <c r="AG30" s="891" t="s">
        <v>1877</v>
      </c>
      <c r="AH30" s="891" t="s">
        <v>34</v>
      </c>
      <c r="AI30" s="891" t="s">
        <v>32</v>
      </c>
      <c r="AJ30" s="891" t="s">
        <v>34</v>
      </c>
      <c r="AK30" s="891" t="s">
        <v>32</v>
      </c>
      <c r="AL30" s="891" t="s">
        <v>36</v>
      </c>
      <c r="AM30" s="891" t="s">
        <v>34</v>
      </c>
      <c r="AN30" s="891" t="s">
        <v>32</v>
      </c>
      <c r="AO30" s="891" t="s">
        <v>32</v>
      </c>
      <c r="AP30" s="891" t="s">
        <v>34</v>
      </c>
      <c r="AQ30" s="891" t="s">
        <v>32</v>
      </c>
      <c r="AR30" s="910"/>
      <c r="AS30" s="891" t="s">
        <v>34</v>
      </c>
      <c r="AT30" s="891" t="s">
        <v>35</v>
      </c>
      <c r="AU30" s="891" t="s">
        <v>34</v>
      </c>
      <c r="AV30" s="891" t="s">
        <v>34</v>
      </c>
      <c r="AW30" s="891" t="s">
        <v>32</v>
      </c>
      <c r="AX30" s="891" t="s">
        <v>32</v>
      </c>
      <c r="AY30" s="891" t="s">
        <v>32</v>
      </c>
      <c r="AZ30" s="891"/>
      <c r="BA30" s="891" t="s">
        <v>36</v>
      </c>
      <c r="BB30" s="891" t="s">
        <v>32</v>
      </c>
      <c r="BC30" s="891" t="s">
        <v>1877</v>
      </c>
      <c r="BD30" s="891" t="s">
        <v>36</v>
      </c>
      <c r="BE30" s="891" t="s">
        <v>35</v>
      </c>
      <c r="BF30" s="891" t="s">
        <v>2230</v>
      </c>
      <c r="BG30" s="891" t="s">
        <v>1877</v>
      </c>
      <c r="BH30" s="891" t="s">
        <v>32</v>
      </c>
      <c r="BI30" s="891" t="s">
        <v>32</v>
      </c>
      <c r="BJ30" s="891" t="s">
        <v>32</v>
      </c>
      <c r="BK30" s="891" t="s">
        <v>34</v>
      </c>
      <c r="BL30" s="891"/>
      <c r="BM30" s="910"/>
      <c r="BN30" s="891"/>
      <c r="BO30" s="891"/>
      <c r="BP30" s="891" t="s">
        <v>1877</v>
      </c>
      <c r="BQ30" s="891" t="s">
        <v>32</v>
      </c>
      <c r="BR30" s="891"/>
      <c r="BS30" s="891"/>
      <c r="BT30" s="891"/>
      <c r="BU30" s="891"/>
      <c r="BV30" s="891"/>
      <c r="BW30" s="891"/>
      <c r="BX30" s="891"/>
      <c r="BY30" s="896"/>
      <c r="BZ30" s="896"/>
      <c r="CA30" s="896"/>
      <c r="CB30" s="896"/>
      <c r="CC30" s="896"/>
      <c r="CD30" s="896"/>
      <c r="CE30" s="896"/>
      <c r="CF30" s="896"/>
      <c r="CG30" s="896"/>
      <c r="CH30" s="896"/>
      <c r="CI30" s="896"/>
      <c r="CJ30" s="428"/>
      <c r="CK30" s="428"/>
      <c r="CL30" s="428"/>
      <c r="CM30" s="428"/>
      <c r="CN30" s="230" t="s">
        <v>32</v>
      </c>
      <c r="CO30" s="230" t="s">
        <v>32</v>
      </c>
      <c r="CP30" s="230" t="s">
        <v>32</v>
      </c>
      <c r="CQ30" s="230" t="s">
        <v>32</v>
      </c>
      <c r="CR30" s="230" t="s">
        <v>32</v>
      </c>
      <c r="CS30" s="230" t="s">
        <v>32</v>
      </c>
      <c r="CT30" s="230" t="s">
        <v>32</v>
      </c>
    </row>
    <row r="31" spans="1:120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4</v>
      </c>
      <c r="G31" s="879" t="s">
        <v>1084</v>
      </c>
      <c r="H31" s="879" t="s">
        <v>22</v>
      </c>
      <c r="I31" s="879" t="s">
        <v>891</v>
      </c>
      <c r="J31" s="846">
        <v>1</v>
      </c>
      <c r="K31" s="846">
        <v>1</v>
      </c>
      <c r="L31" s="816" t="str">
        <f t="shared" si="22"/>
        <v>D</v>
      </c>
      <c r="M31" s="816">
        <f t="shared" si="23"/>
        <v>2</v>
      </c>
      <c r="N31" s="816" t="str">
        <f t="shared" si="24"/>
        <v>U</v>
      </c>
      <c r="O31" s="816">
        <f t="shared" si="25"/>
        <v>0</v>
      </c>
      <c r="P31" s="829">
        <f t="shared" si="26"/>
        <v>0</v>
      </c>
      <c r="Q31" s="830">
        <v>-0.12</v>
      </c>
      <c r="R31" s="871">
        <f t="shared" si="27"/>
        <v>0.12</v>
      </c>
      <c r="S31" s="830">
        <v>2.2200000000000002</v>
      </c>
      <c r="T31" s="871">
        <f t="shared" si="28"/>
        <v>-0.2200000000000002</v>
      </c>
      <c r="U31" s="868">
        <f t="shared" si="29"/>
        <v>1.05</v>
      </c>
      <c r="V31" s="868">
        <f t="shared" si="30"/>
        <v>1.1700000000000002</v>
      </c>
      <c r="W31" s="829">
        <v>14</v>
      </c>
      <c r="X31" s="829">
        <v>15</v>
      </c>
      <c r="Y31" s="829">
        <v>2</v>
      </c>
      <c r="Z31" s="829">
        <v>4</v>
      </c>
      <c r="AA31" s="829">
        <v>43</v>
      </c>
      <c r="AB31" s="829">
        <v>57</v>
      </c>
      <c r="AC31" s="829"/>
      <c r="AD31" s="816" t="str">
        <f t="array" ref="AD31">IF($J31="","",IF(SUM(IF(ISNUMBER(VALUE(RIGHT($AG31:$EB31,1))),VALUE(RIGHT($AG31:$EB31,1)),0))=$J31,"T","F"))</f>
        <v>T</v>
      </c>
      <c r="AE31" s="831">
        <f t="array" ref="AE31">IF($J31="","",SUM(IF(LEFT($AG31:$EB31,1)="s",1,0))-SUM(IF(RIGHT(LEFT($AG31:$EB31,2))="-",1,0)))</f>
        <v>0</v>
      </c>
      <c r="AF31" s="816">
        <f t="array" ref="AF31">IF($J31="","",SUM(IF(LEFT($AG31:$EB31,1)="X",1,0)))</f>
        <v>11</v>
      </c>
      <c r="AG31" s="891" t="s">
        <v>1877</v>
      </c>
      <c r="AH31" s="891" t="s">
        <v>34</v>
      </c>
      <c r="AI31" s="891" t="s">
        <v>32</v>
      </c>
      <c r="AJ31" s="891" t="s">
        <v>34</v>
      </c>
      <c r="AK31" s="891" t="s">
        <v>32</v>
      </c>
      <c r="AL31" s="891" t="s">
        <v>1877</v>
      </c>
      <c r="AM31" s="891" t="s">
        <v>34</v>
      </c>
      <c r="AN31" s="891" t="s">
        <v>32</v>
      </c>
      <c r="AO31" s="891" t="s">
        <v>1877</v>
      </c>
      <c r="AP31" s="904" t="s">
        <v>34</v>
      </c>
      <c r="AQ31" s="891" t="s">
        <v>32</v>
      </c>
      <c r="AR31" s="910"/>
      <c r="AS31" s="891" t="s">
        <v>34</v>
      </c>
      <c r="AT31" s="891" t="s">
        <v>36</v>
      </c>
      <c r="AU31" s="891" t="s">
        <v>34</v>
      </c>
      <c r="AV31" s="891" t="s">
        <v>34</v>
      </c>
      <c r="AW31" s="891" t="s">
        <v>32</v>
      </c>
      <c r="AX31" s="891" t="s">
        <v>32</v>
      </c>
      <c r="AY31" s="891" t="s">
        <v>32</v>
      </c>
      <c r="AZ31" s="891"/>
      <c r="BA31" s="891" t="s">
        <v>36</v>
      </c>
      <c r="BB31" s="891" t="s">
        <v>32</v>
      </c>
      <c r="BC31" s="891" t="s">
        <v>35</v>
      </c>
      <c r="BD31" s="891" t="s">
        <v>35</v>
      </c>
      <c r="BE31" s="891" t="s">
        <v>36</v>
      </c>
      <c r="BF31" s="904" t="s">
        <v>2301</v>
      </c>
      <c r="BG31" s="891" t="s">
        <v>32</v>
      </c>
      <c r="BH31" s="891" t="s">
        <v>32</v>
      </c>
      <c r="BI31" s="891" t="s">
        <v>32</v>
      </c>
      <c r="BJ31" s="891" t="s">
        <v>32</v>
      </c>
      <c r="BK31" s="891" t="s">
        <v>35</v>
      </c>
      <c r="BL31" s="891"/>
      <c r="BM31" s="910"/>
      <c r="BN31" s="891"/>
      <c r="BO31" s="891"/>
      <c r="BP31" s="891" t="s">
        <v>1877</v>
      </c>
      <c r="BQ31" s="891" t="s">
        <v>32</v>
      </c>
      <c r="BR31" s="891"/>
      <c r="BS31" s="892"/>
      <c r="BT31" s="896"/>
      <c r="BU31" s="892"/>
      <c r="BV31" s="896"/>
      <c r="BW31" s="896"/>
      <c r="BX31" s="891"/>
      <c r="BY31" s="896"/>
      <c r="BZ31" s="896"/>
      <c r="CA31" s="896"/>
      <c r="CB31" s="896"/>
      <c r="CC31" s="896"/>
      <c r="CD31" s="896"/>
      <c r="CE31" s="896"/>
      <c r="CF31" s="896"/>
      <c r="CG31" s="896"/>
      <c r="CH31" s="896"/>
      <c r="CI31" s="896"/>
      <c r="CJ31" s="428"/>
      <c r="CK31" s="428"/>
      <c r="CL31" s="428"/>
      <c r="CM31" s="428"/>
    </row>
    <row r="32" spans="1:120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16</v>
      </c>
      <c r="G32" s="879" t="s">
        <v>872</v>
      </c>
      <c r="H32" s="879" t="s">
        <v>22</v>
      </c>
      <c r="I32" s="879" t="s">
        <v>891</v>
      </c>
      <c r="J32" s="846">
        <v>3</v>
      </c>
      <c r="K32" s="846">
        <v>2</v>
      </c>
      <c r="L32" s="816" t="str">
        <f t="shared" si="22"/>
        <v>W</v>
      </c>
      <c r="M32" s="816">
        <f t="shared" si="23"/>
        <v>5</v>
      </c>
      <c r="N32" s="816" t="str">
        <f t="shared" si="24"/>
        <v>O</v>
      </c>
      <c r="O32" s="816">
        <f t="shared" si="25"/>
        <v>0</v>
      </c>
      <c r="P32" s="829">
        <f t="shared" si="26"/>
        <v>1</v>
      </c>
      <c r="Q32" s="830">
        <v>-0.1</v>
      </c>
      <c r="R32" s="871">
        <f t="shared" si="27"/>
        <v>1.1000000000000001</v>
      </c>
      <c r="S32" s="830">
        <v>2.2799999999999998</v>
      </c>
      <c r="T32" s="871">
        <f t="shared" si="28"/>
        <v>2.72</v>
      </c>
      <c r="U32" s="868">
        <f t="shared" si="29"/>
        <v>1.0899999999999999</v>
      </c>
      <c r="V32" s="868">
        <f t="shared" si="30"/>
        <v>1.19</v>
      </c>
      <c r="W32" s="829">
        <v>5</v>
      </c>
      <c r="X32" s="829">
        <v>10</v>
      </c>
      <c r="Y32" s="829">
        <v>5</v>
      </c>
      <c r="Z32" s="829">
        <v>3</v>
      </c>
      <c r="AA32" s="829">
        <v>45</v>
      </c>
      <c r="AB32" s="829">
        <v>55</v>
      </c>
      <c r="AC32" s="829"/>
      <c r="AD32" s="816" t="str">
        <f t="array" ref="AD32">IF($J32="","",IF(SUM(IF(ISNUMBER(VALUE(RIGHT($AG32:$EB32,1))),VALUE(RIGHT($AG32:$EB32,1)),0))=$J32,"T","F"))</f>
        <v>T</v>
      </c>
      <c r="AE32" s="831">
        <f t="array" ref="AE32">IF($J32="","",SUM(IF(LEFT($AG32:$EB32,1)="s",1,0))-SUM(IF(RIGHT(LEFT($AG32:$EB32,2))="-",1,0)))</f>
        <v>0</v>
      </c>
      <c r="AF32" s="816">
        <f t="array" ref="AF32">IF($J32="","",SUM(IF(LEFT($AG32:$EB32,1)="X",1,0)))</f>
        <v>11</v>
      </c>
      <c r="AG32" s="891" t="s">
        <v>2351</v>
      </c>
      <c r="AH32" s="904" t="s">
        <v>34</v>
      </c>
      <c r="AI32" s="891"/>
      <c r="AJ32" s="891"/>
      <c r="AK32" s="891"/>
      <c r="AL32" s="891" t="s">
        <v>2350</v>
      </c>
      <c r="AM32" s="891" t="s">
        <v>34</v>
      </c>
      <c r="AN32" s="891" t="s">
        <v>34</v>
      </c>
      <c r="AO32" s="891" t="s">
        <v>2351</v>
      </c>
      <c r="AP32" s="891" t="s">
        <v>34</v>
      </c>
      <c r="AQ32" s="891"/>
      <c r="AR32" s="910"/>
      <c r="AS32" s="891" t="s">
        <v>34</v>
      </c>
      <c r="AT32" s="891" t="s">
        <v>2350</v>
      </c>
      <c r="AU32" s="891" t="s">
        <v>34</v>
      </c>
      <c r="AV32" s="891" t="s">
        <v>2363</v>
      </c>
      <c r="AW32" s="891"/>
      <c r="AX32" s="891"/>
      <c r="AY32" s="891"/>
      <c r="AZ32" s="891"/>
      <c r="BA32" s="891" t="s">
        <v>2351</v>
      </c>
      <c r="BB32" s="891"/>
      <c r="BC32" s="891" t="s">
        <v>2351</v>
      </c>
      <c r="BD32" s="891" t="s">
        <v>2360</v>
      </c>
      <c r="BE32" s="904" t="s">
        <v>2360</v>
      </c>
      <c r="BF32" s="891" t="s">
        <v>2361</v>
      </c>
      <c r="BG32" s="891"/>
      <c r="BH32" s="891"/>
      <c r="BI32" s="891"/>
      <c r="BJ32" s="891"/>
      <c r="BK32" s="891" t="s">
        <v>2362</v>
      </c>
      <c r="BL32" s="891"/>
      <c r="BM32" s="910"/>
      <c r="BN32" s="891"/>
      <c r="BO32" s="891"/>
      <c r="BP32" s="891" t="s">
        <v>2350</v>
      </c>
      <c r="BQ32" s="891"/>
      <c r="BR32" s="891"/>
      <c r="BS32" s="892"/>
      <c r="BT32" s="896"/>
      <c r="BU32" s="892"/>
      <c r="BV32" s="896"/>
      <c r="BW32" s="896"/>
      <c r="BX32" s="896"/>
      <c r="BY32" s="896"/>
      <c r="BZ32" s="896"/>
      <c r="CA32" s="896"/>
      <c r="CB32" s="896"/>
      <c r="CC32" s="896"/>
      <c r="CD32" s="896"/>
      <c r="CE32" s="896"/>
      <c r="CF32" s="896"/>
      <c r="CG32" s="896"/>
      <c r="CH32" s="896"/>
      <c r="CI32" s="896"/>
      <c r="CJ32" s="428"/>
      <c r="CK32" s="428"/>
      <c r="CL32" s="428"/>
      <c r="CM32" s="428"/>
      <c r="CN32" s="230" t="s">
        <v>32</v>
      </c>
      <c r="CO32" s="230" t="s">
        <v>32</v>
      </c>
      <c r="CP32" s="230" t="s">
        <v>32</v>
      </c>
      <c r="CQ32" s="230" t="s">
        <v>32</v>
      </c>
      <c r="CR32" s="230" t="s">
        <v>32</v>
      </c>
      <c r="CS32" s="230" t="s">
        <v>32</v>
      </c>
      <c r="CT32" s="230" t="s">
        <v>32</v>
      </c>
    </row>
    <row r="33" spans="1:125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11</v>
      </c>
      <c r="G33" s="879" t="s">
        <v>874</v>
      </c>
      <c r="H33" s="879" t="s">
        <v>18</v>
      </c>
      <c r="I33" s="879" t="s">
        <v>891</v>
      </c>
      <c r="J33" s="846">
        <v>0</v>
      </c>
      <c r="K33" s="846">
        <v>0</v>
      </c>
      <c r="L33" s="816" t="str">
        <f>IF(J33="","",IF(J33&gt;K33,"W",IF(J33=K33,"D",IF(J33&lt;K33,"L"))))</f>
        <v>D</v>
      </c>
      <c r="M33" s="816">
        <f>IF(J33="","",J33+K33)</f>
        <v>0</v>
      </c>
      <c r="N33" s="816" t="str">
        <f>IF($J33="","",IF($M33&gt;N$19,"O",IF($M33&lt;N$19,"U",IF($M33=N$19,"-"))))</f>
        <v>U</v>
      </c>
      <c r="O33" s="816">
        <f>IF(Q33="","",IF(SIGN(Q33)&lt;&gt;1,VLOOKUP(ABS(Q33),SUP_HDC,3,TRUE),-VLOOKUP(ABS(Q33),SUP_HDC,3,TRUE)))</f>
        <v>0.25</v>
      </c>
      <c r="P33" s="829">
        <f>IF(O33="","",IF((J33-K33+O33)&gt;=0.5,1,IF((J33-K33+O33)=0.25,0.5,IF((J33-K33+O33)&lt;=-0.5,-1,IF((J33-K33+O33)=-0.25,-0.5,0)))))</f>
        <v>0.5</v>
      </c>
      <c r="Q33" s="830">
        <v>-0.25</v>
      </c>
      <c r="R33" s="871">
        <f>IF(ISBLANK(Q33),"",J33-K33-Q33)</f>
        <v>0.25</v>
      </c>
      <c r="S33" s="830">
        <v>2.15</v>
      </c>
      <c r="T33" s="871">
        <f>IF(ISBLANK(S33),"",J33+K33-S33)</f>
        <v>-2.15</v>
      </c>
      <c r="U33" s="868">
        <f>IF(Q33="","",(Q33+S33)/2)</f>
        <v>0.95</v>
      </c>
      <c r="V33" s="868">
        <f>IF(Q33="","",S33-U33)</f>
        <v>1.2</v>
      </c>
      <c r="W33" s="829">
        <v>15</v>
      </c>
      <c r="X33" s="829">
        <v>10</v>
      </c>
      <c r="Y33" s="829">
        <v>3</v>
      </c>
      <c r="Z33" s="829">
        <v>4</v>
      </c>
      <c r="AA33" s="829">
        <v>50</v>
      </c>
      <c r="AB33" s="829">
        <v>50</v>
      </c>
      <c r="AC33" s="829"/>
      <c r="AD33" s="816" t="str">
        <f t="array" ref="AD33">IF($J33="","",IF(SUM(IF(ISNUMBER(VALUE(RIGHT($AG33:$EB33,1))),VALUE(RIGHT($AG33:$EB33,1)),0))=$J33,"T","F"))</f>
        <v>T</v>
      </c>
      <c r="AE33" s="831">
        <f t="array" ref="AE33">IF($J33="","",SUM(IF(LEFT($AG33:$EB33,1)="s",1,0))-SUM(IF(RIGHT(LEFT($AG33:$EB33,2))="-",1,0)))</f>
        <v>0</v>
      </c>
      <c r="AF33" s="816">
        <f t="array" ref="AF33">IF($J33="","",SUM(IF(LEFT($AG33:$EB33,1)="X",1,0)))</f>
        <v>11</v>
      </c>
      <c r="AG33" s="891" t="s">
        <v>1877</v>
      </c>
      <c r="AH33" s="891" t="s">
        <v>34</v>
      </c>
      <c r="AI33" s="891" t="s">
        <v>32</v>
      </c>
      <c r="AJ33" s="904" t="s">
        <v>34</v>
      </c>
      <c r="AK33" s="891" t="s">
        <v>32</v>
      </c>
      <c r="AL33" s="904" t="s">
        <v>35</v>
      </c>
      <c r="AM33" s="891" t="s">
        <v>34</v>
      </c>
      <c r="AN33" s="891" t="s">
        <v>32</v>
      </c>
      <c r="AO33" s="891" t="s">
        <v>36</v>
      </c>
      <c r="AP33" s="891" t="s">
        <v>34</v>
      </c>
      <c r="AQ33" s="891" t="s">
        <v>1877</v>
      </c>
      <c r="AR33" s="910"/>
      <c r="AS33" s="891" t="s">
        <v>32</v>
      </c>
      <c r="AT33" s="891" t="s">
        <v>36</v>
      </c>
      <c r="AU33" s="891" t="s">
        <v>34</v>
      </c>
      <c r="AV33" s="891" t="s">
        <v>34</v>
      </c>
      <c r="AW33" s="891" t="s">
        <v>32</v>
      </c>
      <c r="AX33" s="891" t="s">
        <v>32</v>
      </c>
      <c r="AY33" s="891" t="s">
        <v>32</v>
      </c>
      <c r="AZ33" s="891"/>
      <c r="BA33" s="891" t="s">
        <v>36</v>
      </c>
      <c r="BB33" s="891" t="s">
        <v>32</v>
      </c>
      <c r="BC33" s="891" t="s">
        <v>1877</v>
      </c>
      <c r="BD33" s="891" t="s">
        <v>35</v>
      </c>
      <c r="BE33" s="891" t="s">
        <v>35</v>
      </c>
      <c r="BF33" s="891" t="s">
        <v>34</v>
      </c>
      <c r="BG33" s="891" t="s">
        <v>32</v>
      </c>
      <c r="BH33" s="891" t="s">
        <v>32</v>
      </c>
      <c r="BI33" s="891" t="s">
        <v>32</v>
      </c>
      <c r="BJ33" s="891" t="s">
        <v>1877</v>
      </c>
      <c r="BK33" s="891" t="s">
        <v>34</v>
      </c>
      <c r="BL33" s="891"/>
      <c r="BM33" s="910"/>
      <c r="BN33" s="891"/>
      <c r="BO33" s="891"/>
      <c r="BP33" s="891" t="s">
        <v>32</v>
      </c>
      <c r="BQ33" s="891" t="s">
        <v>32</v>
      </c>
      <c r="BR33" s="891"/>
      <c r="BS33" s="892"/>
      <c r="BT33" s="896"/>
      <c r="BU33" s="892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896"/>
      <c r="CH33" s="896"/>
      <c r="CI33" s="896"/>
      <c r="CJ33" s="428"/>
      <c r="CK33" s="428"/>
      <c r="CL33" s="428"/>
      <c r="CM33" s="428"/>
    </row>
    <row r="34" spans="1:125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2</v>
      </c>
      <c r="G34" s="879" t="s">
        <v>886</v>
      </c>
      <c r="H34" s="879" t="s">
        <v>18</v>
      </c>
      <c r="I34" s="879" t="s">
        <v>891</v>
      </c>
      <c r="J34" s="846">
        <v>0</v>
      </c>
      <c r="K34" s="846">
        <v>0</v>
      </c>
      <c r="L34" s="816" t="str">
        <f t="shared" si="22"/>
        <v>D</v>
      </c>
      <c r="M34" s="816">
        <f t="shared" si="23"/>
        <v>0</v>
      </c>
      <c r="N34" s="816" t="str">
        <f t="shared" si="24"/>
        <v>U</v>
      </c>
      <c r="O34" s="816">
        <f t="shared" si="25"/>
        <v>0.25</v>
      </c>
      <c r="P34" s="829">
        <f t="shared" si="26"/>
        <v>0.5</v>
      </c>
      <c r="Q34" s="830">
        <v>-0.23</v>
      </c>
      <c r="R34" s="871">
        <f t="shared" si="27"/>
        <v>0.23</v>
      </c>
      <c r="S34" s="830">
        <v>2.09</v>
      </c>
      <c r="T34" s="871">
        <f t="shared" si="28"/>
        <v>-2.09</v>
      </c>
      <c r="U34" s="868">
        <f t="shared" si="29"/>
        <v>0.92999999999999994</v>
      </c>
      <c r="V34" s="868">
        <f t="shared" si="30"/>
        <v>1.1599999999999999</v>
      </c>
      <c r="W34" s="829">
        <v>10</v>
      </c>
      <c r="X34" s="829">
        <v>12</v>
      </c>
      <c r="Y34" s="829">
        <v>1</v>
      </c>
      <c r="Z34" s="829">
        <v>3</v>
      </c>
      <c r="AA34" s="829">
        <v>46</v>
      </c>
      <c r="AB34" s="829">
        <v>54</v>
      </c>
      <c r="AC34" s="829"/>
      <c r="AD34" s="816" t="str">
        <f t="array" ref="AD34">IF($J34="","",IF(SUM(IF(ISNUMBER(VALUE(RIGHT($AG34:$EB34,1))),VALUE(RIGHT($AG34:$EB34,1)),0))=$J34,"T","F"))</f>
        <v>T</v>
      </c>
      <c r="AE34" s="831">
        <f t="array" ref="AE34">IF($J34="","",SUM(IF(LEFT($AG34:$EB34,1)="s",1,0))-SUM(IF(RIGHT(LEFT($AG34:$EB34,2))="-",1,0)))</f>
        <v>0</v>
      </c>
      <c r="AF34" s="816">
        <f t="array" ref="AF34">IF($J34="","",SUM(IF(LEFT($AG34:$EB34,1)="X",1,0)))</f>
        <v>11</v>
      </c>
      <c r="AG34" s="891" t="s">
        <v>1877</v>
      </c>
      <c r="AH34" s="891" t="s">
        <v>34</v>
      </c>
      <c r="AI34" s="891" t="s">
        <v>32</v>
      </c>
      <c r="AJ34" s="891" t="s">
        <v>32</v>
      </c>
      <c r="AK34" s="891" t="s">
        <v>32</v>
      </c>
      <c r="AL34" s="891" t="s">
        <v>1877</v>
      </c>
      <c r="AM34" s="891" t="s">
        <v>34</v>
      </c>
      <c r="AN34" s="891" t="s">
        <v>34</v>
      </c>
      <c r="AO34" s="891" t="s">
        <v>34</v>
      </c>
      <c r="AP34" s="891" t="s">
        <v>34</v>
      </c>
      <c r="AQ34" s="891" t="s">
        <v>32</v>
      </c>
      <c r="AR34" s="910"/>
      <c r="AS34" s="891" t="s">
        <v>32</v>
      </c>
      <c r="AT34" s="891" t="s">
        <v>35</v>
      </c>
      <c r="AU34" s="891" t="s">
        <v>34</v>
      </c>
      <c r="AV34" s="891" t="s">
        <v>36</v>
      </c>
      <c r="AW34" s="891" t="s">
        <v>32</v>
      </c>
      <c r="AX34" s="891" t="s">
        <v>32</v>
      </c>
      <c r="AY34" s="891" t="s">
        <v>32</v>
      </c>
      <c r="AZ34" s="891"/>
      <c r="BA34" s="891" t="s">
        <v>36</v>
      </c>
      <c r="BB34" s="891" t="s">
        <v>32</v>
      </c>
      <c r="BC34" s="891" t="s">
        <v>34</v>
      </c>
      <c r="BD34" s="891" t="s">
        <v>35</v>
      </c>
      <c r="BE34" s="891" t="s">
        <v>32</v>
      </c>
      <c r="BF34" s="891" t="s">
        <v>34</v>
      </c>
      <c r="BG34" s="891" t="s">
        <v>32</v>
      </c>
      <c r="BH34" s="891" t="s">
        <v>32</v>
      </c>
      <c r="BI34" s="891" t="s">
        <v>32</v>
      </c>
      <c r="BJ34" s="891" t="s">
        <v>36</v>
      </c>
      <c r="BK34" s="891" t="s">
        <v>35</v>
      </c>
      <c r="BL34" s="891" t="s">
        <v>1877</v>
      </c>
      <c r="BM34" s="910"/>
      <c r="BN34" s="891"/>
      <c r="BO34" s="891"/>
      <c r="BP34" s="891" t="s">
        <v>32</v>
      </c>
      <c r="BQ34" s="891" t="s">
        <v>1877</v>
      </c>
      <c r="BR34" s="891"/>
      <c r="BS34" s="891"/>
      <c r="BT34" s="891"/>
      <c r="BU34" s="891"/>
      <c r="BV34" s="891"/>
      <c r="BW34" s="891"/>
      <c r="BX34" s="891"/>
      <c r="BY34" s="896"/>
      <c r="BZ34" s="896"/>
      <c r="CA34" s="896"/>
      <c r="CB34" s="896"/>
      <c r="CC34" s="896"/>
      <c r="CD34" s="896"/>
      <c r="CE34" s="896"/>
      <c r="CF34" s="896"/>
      <c r="CG34" s="896"/>
      <c r="CH34" s="896"/>
      <c r="CI34" s="896"/>
      <c r="CJ34" s="428"/>
      <c r="CK34" s="428"/>
      <c r="CL34" s="428"/>
      <c r="CM34" s="428"/>
      <c r="CQ34" s="4" t="s">
        <v>32</v>
      </c>
      <c r="CR34" s="6" t="s">
        <v>32</v>
      </c>
      <c r="CS34" s="6" t="s">
        <v>32</v>
      </c>
      <c r="CT34" s="6" t="s">
        <v>32</v>
      </c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</row>
    <row r="35" spans="1:125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10</v>
      </c>
      <c r="G35" s="879" t="s">
        <v>883</v>
      </c>
      <c r="H35" s="879" t="s">
        <v>22</v>
      </c>
      <c r="I35" s="879" t="s">
        <v>891</v>
      </c>
      <c r="J35" s="846">
        <v>0</v>
      </c>
      <c r="K35" s="846">
        <v>0</v>
      </c>
      <c r="L35" s="816" t="str">
        <f t="shared" si="22"/>
        <v>D</v>
      </c>
      <c r="M35" s="816">
        <f t="shared" si="23"/>
        <v>0</v>
      </c>
      <c r="N35" s="816" t="str">
        <f t="shared" si="24"/>
        <v>U</v>
      </c>
      <c r="O35" s="816">
        <f t="shared" si="25"/>
        <v>0</v>
      </c>
      <c r="P35" s="829">
        <f t="shared" si="26"/>
        <v>0</v>
      </c>
      <c r="Q35" s="830">
        <v>-0.06</v>
      </c>
      <c r="R35" s="871">
        <f t="shared" si="27"/>
        <v>0.06</v>
      </c>
      <c r="S35" s="830">
        <v>2.21</v>
      </c>
      <c r="T35" s="871">
        <f t="shared" si="28"/>
        <v>-2.21</v>
      </c>
      <c r="U35" s="868">
        <f t="shared" si="29"/>
        <v>1.075</v>
      </c>
      <c r="V35" s="868">
        <f t="shared" si="30"/>
        <v>1.135</v>
      </c>
      <c r="W35" s="829">
        <v>3</v>
      </c>
      <c r="X35" s="829">
        <v>6</v>
      </c>
      <c r="Y35" s="829">
        <v>2</v>
      </c>
      <c r="Z35" s="829">
        <v>2</v>
      </c>
      <c r="AA35" s="829">
        <v>49</v>
      </c>
      <c r="AB35" s="829">
        <v>51</v>
      </c>
      <c r="AC35" s="829"/>
      <c r="AD35" s="816" t="str">
        <f t="array" ref="AD35">IF($J35="","",IF(SUM(IF(ISNUMBER(VALUE(RIGHT($AG35:$EB35,1))),VALUE(RIGHT($AG35:$EB35,1)),0))=$J35,"T","F"))</f>
        <v>T</v>
      </c>
      <c r="AE35" s="831">
        <f t="array" ref="AE35">IF($J35="","",SUM(IF(LEFT($AG35:$EB35,1)="s",1,0))-SUM(IF(RIGHT(LEFT($AG35:$EB35,2))="-",1,0)))</f>
        <v>0</v>
      </c>
      <c r="AF35" s="816">
        <f t="array" ref="AF35">IF($J35="","",SUM(IF(LEFT($AG35:$EB35,1)="X",1,0)))</f>
        <v>11</v>
      </c>
      <c r="AG35" s="891" t="s">
        <v>1877</v>
      </c>
      <c r="AH35" s="891" t="s">
        <v>34</v>
      </c>
      <c r="AI35" s="891" t="s">
        <v>32</v>
      </c>
      <c r="AJ35" s="891" t="s">
        <v>32</v>
      </c>
      <c r="AK35" s="891" t="s">
        <v>32</v>
      </c>
      <c r="AL35" s="891" t="s">
        <v>36</v>
      </c>
      <c r="AM35" s="891" t="s">
        <v>34</v>
      </c>
      <c r="AN35" s="891" t="s">
        <v>34</v>
      </c>
      <c r="AO35" s="891" t="s">
        <v>34</v>
      </c>
      <c r="AP35" s="891" t="s">
        <v>34</v>
      </c>
      <c r="AQ35" s="891" t="s">
        <v>32</v>
      </c>
      <c r="AR35" s="910"/>
      <c r="AS35" s="904" t="s">
        <v>36</v>
      </c>
      <c r="AT35" s="891" t="s">
        <v>35</v>
      </c>
      <c r="AU35" s="891" t="s">
        <v>34</v>
      </c>
      <c r="AV35" s="891" t="s">
        <v>36</v>
      </c>
      <c r="AW35" s="891" t="s">
        <v>32</v>
      </c>
      <c r="AX35" s="891" t="s">
        <v>32</v>
      </c>
      <c r="AY35" s="891" t="s">
        <v>32</v>
      </c>
      <c r="AZ35" s="891"/>
      <c r="BA35" s="891" t="s">
        <v>32</v>
      </c>
      <c r="BB35" s="891" t="s">
        <v>32</v>
      </c>
      <c r="BC35" s="891" t="s">
        <v>35</v>
      </c>
      <c r="BD35" s="891" t="s">
        <v>35</v>
      </c>
      <c r="BE35" s="891" t="s">
        <v>1877</v>
      </c>
      <c r="BF35" s="891" t="s">
        <v>34</v>
      </c>
      <c r="BG35" s="891" t="s">
        <v>1877</v>
      </c>
      <c r="BH35" s="891" t="s">
        <v>32</v>
      </c>
      <c r="BI35" s="891" t="s">
        <v>32</v>
      </c>
      <c r="BJ35" s="891" t="s">
        <v>32</v>
      </c>
      <c r="BK35" s="891" t="s">
        <v>34</v>
      </c>
      <c r="BL35" s="891" t="s">
        <v>1877</v>
      </c>
      <c r="BM35" s="910"/>
      <c r="BN35" s="891"/>
      <c r="BO35" s="891"/>
      <c r="BP35" s="891" t="s">
        <v>32</v>
      </c>
      <c r="BQ35" s="891" t="s">
        <v>32</v>
      </c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1"/>
      <c r="CC35" s="891"/>
      <c r="CD35" s="891"/>
      <c r="CE35" s="891"/>
      <c r="CF35" s="891"/>
      <c r="CG35" s="896"/>
      <c r="CH35" s="896"/>
      <c r="CI35" s="896"/>
      <c r="CJ35" s="428"/>
      <c r="CK35" s="428"/>
      <c r="CL35" s="428"/>
      <c r="CM35" s="428"/>
      <c r="CN35" s="230" t="s">
        <v>32</v>
      </c>
      <c r="CO35" s="230" t="s">
        <v>32</v>
      </c>
      <c r="CP35" s="230" t="s">
        <v>32</v>
      </c>
      <c r="CQ35" s="230" t="s">
        <v>32</v>
      </c>
      <c r="CR35" s="230" t="s">
        <v>32</v>
      </c>
      <c r="CS35" s="230" t="s">
        <v>32</v>
      </c>
      <c r="CT35" s="230" t="s">
        <v>32</v>
      </c>
    </row>
    <row r="36" spans="1:125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12</v>
      </c>
      <c r="G36" s="879" t="s">
        <v>879</v>
      </c>
      <c r="H36" s="879" t="s">
        <v>18</v>
      </c>
      <c r="I36" s="879" t="s">
        <v>891</v>
      </c>
      <c r="J36" s="846">
        <v>1</v>
      </c>
      <c r="K36" s="846">
        <v>1</v>
      </c>
      <c r="L36" s="816" t="str">
        <f t="shared" si="22"/>
        <v>D</v>
      </c>
      <c r="M36" s="816">
        <f t="shared" si="23"/>
        <v>2</v>
      </c>
      <c r="N36" s="816" t="str">
        <f t="shared" si="24"/>
        <v>U</v>
      </c>
      <c r="O36" s="816">
        <f t="shared" si="25"/>
        <v>0.25</v>
      </c>
      <c r="P36" s="829">
        <f t="shared" si="26"/>
        <v>0.5</v>
      </c>
      <c r="Q36" s="830">
        <v>-0.26</v>
      </c>
      <c r="R36" s="871">
        <f t="shared" si="27"/>
        <v>0.26</v>
      </c>
      <c r="S36" s="830">
        <v>2.17</v>
      </c>
      <c r="T36" s="871">
        <f t="shared" si="28"/>
        <v>-0.16999999999999993</v>
      </c>
      <c r="U36" s="868">
        <f t="shared" si="29"/>
        <v>0.95499999999999996</v>
      </c>
      <c r="V36" s="868">
        <f t="shared" si="30"/>
        <v>1.2149999999999999</v>
      </c>
      <c r="W36" s="829">
        <v>9</v>
      </c>
      <c r="X36" s="829">
        <v>21</v>
      </c>
      <c r="Y36" s="829">
        <v>2</v>
      </c>
      <c r="Z36" s="829">
        <v>4</v>
      </c>
      <c r="AA36" s="829">
        <v>45</v>
      </c>
      <c r="AB36" s="829">
        <v>55</v>
      </c>
      <c r="AC36" s="829"/>
      <c r="AD36" s="816" t="str">
        <f t="array" ref="AD36">IF($J36="","",IF(SUM(IF(ISNUMBER(VALUE(RIGHT($AG36:$EB36,1))),VALUE(RIGHT($AG36:$EB36,1)),0))=$J36,"T","F"))</f>
        <v>T</v>
      </c>
      <c r="AE36" s="831">
        <f t="array" ref="AE36">IF($J36="","",SUM(IF(LEFT($AG36:$EB36,1)="s",1,0))-SUM(IF(RIGHT(LEFT($AG36:$EB36,2))="-",1,0)))</f>
        <v>0</v>
      </c>
      <c r="AF36" s="816">
        <f t="array" ref="AF36">IF($J36="","",SUM(IF(LEFT($AG36:$EB36,1)="X",1,0)))</f>
        <v>11</v>
      </c>
      <c r="AG36" s="891"/>
      <c r="AH36" s="891" t="s">
        <v>34</v>
      </c>
      <c r="AI36" s="891" t="s">
        <v>32</v>
      </c>
      <c r="AJ36" s="904" t="s">
        <v>34</v>
      </c>
      <c r="AK36" s="891" t="s">
        <v>32</v>
      </c>
      <c r="AL36" s="891" t="s">
        <v>36</v>
      </c>
      <c r="AM36" s="891" t="s">
        <v>34</v>
      </c>
      <c r="AN36" s="891" t="s">
        <v>32</v>
      </c>
      <c r="AO36" s="891" t="s">
        <v>36</v>
      </c>
      <c r="AP36" s="904" t="s">
        <v>34</v>
      </c>
      <c r="AQ36" s="891" t="s">
        <v>32</v>
      </c>
      <c r="AR36" s="910"/>
      <c r="AS36" s="891" t="s">
        <v>34</v>
      </c>
      <c r="AT36" s="891" t="s">
        <v>1877</v>
      </c>
      <c r="AU36" s="891" t="s">
        <v>34</v>
      </c>
      <c r="AV36" s="891" t="s">
        <v>34</v>
      </c>
      <c r="AW36" s="891" t="s">
        <v>32</v>
      </c>
      <c r="AX36" s="891" t="s">
        <v>32</v>
      </c>
      <c r="AY36" s="891" t="s">
        <v>32</v>
      </c>
      <c r="AZ36" s="891"/>
      <c r="BA36" s="891" t="s">
        <v>1877</v>
      </c>
      <c r="BB36" s="891" t="s">
        <v>32</v>
      </c>
      <c r="BC36" s="891" t="s">
        <v>1877</v>
      </c>
      <c r="BD36" s="891" t="s">
        <v>35</v>
      </c>
      <c r="BE36" s="891" t="s">
        <v>35</v>
      </c>
      <c r="BF36" s="891" t="s">
        <v>35</v>
      </c>
      <c r="BG36" s="891" t="s">
        <v>36</v>
      </c>
      <c r="BH36" s="891" t="s">
        <v>32</v>
      </c>
      <c r="BI36" s="891" t="s">
        <v>32</v>
      </c>
      <c r="BJ36" s="891" t="s">
        <v>32</v>
      </c>
      <c r="BK36" s="891" t="s">
        <v>2496</v>
      </c>
      <c r="BL36" s="891"/>
      <c r="BM36" s="910"/>
      <c r="BN36" s="891"/>
      <c r="BO36" s="891"/>
      <c r="BP36" s="891" t="s">
        <v>32</v>
      </c>
      <c r="BQ36" s="891" t="s">
        <v>32</v>
      </c>
      <c r="BR36" s="891"/>
      <c r="BS36" s="891"/>
      <c r="BT36" s="891"/>
      <c r="BU36" s="891"/>
      <c r="BV36" s="891"/>
      <c r="BW36" s="891"/>
      <c r="BX36" s="896"/>
      <c r="BY36" s="896"/>
      <c r="BZ36" s="896"/>
      <c r="CA36" s="896"/>
      <c r="CB36" s="896"/>
      <c r="CC36" s="896"/>
      <c r="CD36" s="896"/>
      <c r="CE36" s="896"/>
      <c r="CF36" s="896"/>
      <c r="CG36" s="896"/>
      <c r="CH36" s="896"/>
      <c r="CI36" s="896"/>
      <c r="CJ36" s="428"/>
      <c r="CK36" s="428"/>
      <c r="CL36" s="428"/>
      <c r="CM36" s="428"/>
      <c r="CR36" s="4" t="s">
        <v>32</v>
      </c>
      <c r="CS36" s="4" t="s">
        <v>32</v>
      </c>
      <c r="CT36" s="4" t="s">
        <v>32</v>
      </c>
      <c r="CU36" s="4" t="s">
        <v>32</v>
      </c>
      <c r="CV36" s="4" t="s">
        <v>32</v>
      </c>
      <c r="CW36" s="4" t="s">
        <v>32</v>
      </c>
      <c r="CX36" s="6" t="s">
        <v>32</v>
      </c>
      <c r="CY36" s="6" t="s">
        <v>32</v>
      </c>
      <c r="CZ36" s="6" t="s">
        <v>32</v>
      </c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</row>
    <row r="37" spans="1:125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7</v>
      </c>
      <c r="G37" s="879" t="s">
        <v>888</v>
      </c>
      <c r="H37" s="879" t="s">
        <v>22</v>
      </c>
      <c r="I37" s="879" t="s">
        <v>891</v>
      </c>
      <c r="J37" s="846">
        <v>1</v>
      </c>
      <c r="K37" s="846">
        <v>1</v>
      </c>
      <c r="L37" s="816" t="str">
        <f t="shared" si="22"/>
        <v>D</v>
      </c>
      <c r="M37" s="816">
        <f t="shared" si="23"/>
        <v>2</v>
      </c>
      <c r="N37" s="816" t="str">
        <f t="shared" si="24"/>
        <v>U</v>
      </c>
      <c r="O37" s="816">
        <f t="shared" si="25"/>
        <v>0</v>
      </c>
      <c r="P37" s="829">
        <f t="shared" si="26"/>
        <v>0</v>
      </c>
      <c r="Q37" s="830">
        <v>-0.1</v>
      </c>
      <c r="R37" s="871">
        <f t="shared" si="27"/>
        <v>0.1</v>
      </c>
      <c r="S37" s="830">
        <v>2.39</v>
      </c>
      <c r="T37" s="871">
        <f t="shared" si="28"/>
        <v>-0.39000000000000012</v>
      </c>
      <c r="U37" s="868">
        <f t="shared" si="29"/>
        <v>1.145</v>
      </c>
      <c r="V37" s="868">
        <f t="shared" si="30"/>
        <v>1.2450000000000001</v>
      </c>
      <c r="W37" s="829">
        <v>17</v>
      </c>
      <c r="X37" s="829">
        <v>14</v>
      </c>
      <c r="Y37" s="829">
        <v>5</v>
      </c>
      <c r="Z37" s="829">
        <v>5</v>
      </c>
      <c r="AA37" s="829">
        <v>45</v>
      </c>
      <c r="AB37" s="829">
        <v>55</v>
      </c>
      <c r="AC37" s="829"/>
      <c r="AD37" s="816" t="str">
        <f t="array" ref="AD37">IF($J37="","",IF(SUM(IF(ISNUMBER(VALUE(RIGHT($AG37:$EB37,1))),VALUE(RIGHT($AG37:$EB37,1)),0))=$J37,"T","F"))</f>
        <v>T</v>
      </c>
      <c r="AE37" s="831">
        <f t="array" ref="AE37">IF($J37="","",SUM(IF(LEFT($AG37:$EB37,1)="s",1,0))-SUM(IF(RIGHT(LEFT($AG37:$EB37,2))="-",1,0)))</f>
        <v>0</v>
      </c>
      <c r="AF37" s="816">
        <f t="array" ref="AF37">IF($J37="","",SUM(IF(LEFT($AG37:$EB37,1)="X",1,0)))</f>
        <v>11</v>
      </c>
      <c r="AG37" s="891" t="s">
        <v>1877</v>
      </c>
      <c r="AH37" s="891" t="s">
        <v>34</v>
      </c>
      <c r="AI37" s="891" t="s">
        <v>32</v>
      </c>
      <c r="AJ37" s="891" t="s">
        <v>32</v>
      </c>
      <c r="AK37" s="891" t="s">
        <v>32</v>
      </c>
      <c r="AL37" s="891" t="s">
        <v>34</v>
      </c>
      <c r="AM37" s="891" t="s">
        <v>34</v>
      </c>
      <c r="AN37" s="891" t="s">
        <v>34</v>
      </c>
      <c r="AO37" s="891" t="s">
        <v>1877</v>
      </c>
      <c r="AP37" s="891" t="s">
        <v>34</v>
      </c>
      <c r="AQ37" s="891" t="s">
        <v>32</v>
      </c>
      <c r="AR37" s="910"/>
      <c r="AS37" s="891" t="s">
        <v>34</v>
      </c>
      <c r="AT37" s="891" t="s">
        <v>36</v>
      </c>
      <c r="AU37" s="891" t="s">
        <v>35</v>
      </c>
      <c r="AV37" s="891" t="s">
        <v>36</v>
      </c>
      <c r="AW37" s="891" t="s">
        <v>32</v>
      </c>
      <c r="AX37" s="891" t="s">
        <v>32</v>
      </c>
      <c r="AY37" s="891" t="s">
        <v>32</v>
      </c>
      <c r="AZ37" s="891"/>
      <c r="BA37" s="891" t="s">
        <v>36</v>
      </c>
      <c r="BB37" s="891" t="s">
        <v>32</v>
      </c>
      <c r="BC37" s="891" t="s">
        <v>35</v>
      </c>
      <c r="BD37" s="891" t="s">
        <v>35</v>
      </c>
      <c r="BE37" s="891" t="s">
        <v>32</v>
      </c>
      <c r="BF37" s="891" t="s">
        <v>34</v>
      </c>
      <c r="BG37" s="891" t="s">
        <v>32</v>
      </c>
      <c r="BH37" s="891" t="s">
        <v>32</v>
      </c>
      <c r="BI37" s="891" t="s">
        <v>1877</v>
      </c>
      <c r="BJ37" s="891" t="s">
        <v>1877</v>
      </c>
      <c r="BK37" s="891" t="s">
        <v>2505</v>
      </c>
      <c r="BL37" s="891"/>
      <c r="BM37" s="910"/>
      <c r="BN37" s="891"/>
      <c r="BO37" s="891"/>
      <c r="BP37" s="891" t="s">
        <v>32</v>
      </c>
      <c r="BQ37" s="891" t="s">
        <v>32</v>
      </c>
      <c r="BR37" s="891"/>
      <c r="BS37" s="891"/>
      <c r="BT37" s="891"/>
      <c r="BU37" s="891"/>
      <c r="BV37" s="891"/>
      <c r="BW37" s="891"/>
      <c r="BX37" s="891"/>
      <c r="BY37" s="896"/>
      <c r="BZ37" s="896"/>
      <c r="CA37" s="896"/>
      <c r="CB37" s="896"/>
      <c r="CC37" s="896"/>
      <c r="CD37" s="896"/>
      <c r="CE37" s="896"/>
      <c r="CF37" s="896"/>
      <c r="CG37" s="896"/>
      <c r="CH37" s="896"/>
      <c r="CI37" s="896"/>
      <c r="CJ37" s="428"/>
      <c r="CK37" s="428"/>
      <c r="CL37" s="428"/>
      <c r="CM37" s="428"/>
      <c r="CN37" s="230" t="s">
        <v>32</v>
      </c>
      <c r="CO37" s="230" t="s">
        <v>32</v>
      </c>
      <c r="CP37" s="230" t="s">
        <v>32</v>
      </c>
      <c r="CQ37" s="230" t="s">
        <v>32</v>
      </c>
      <c r="CR37" s="230" t="s">
        <v>32</v>
      </c>
      <c r="CS37" s="230" t="s">
        <v>32</v>
      </c>
      <c r="CT37" s="230" t="s">
        <v>32</v>
      </c>
    </row>
    <row r="38" spans="1:125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21</v>
      </c>
      <c r="G38" s="879" t="s">
        <v>890</v>
      </c>
      <c r="H38" s="879" t="s">
        <v>18</v>
      </c>
      <c r="I38" s="879" t="s">
        <v>891</v>
      </c>
      <c r="J38" s="846">
        <v>3</v>
      </c>
      <c r="K38" s="846">
        <v>2</v>
      </c>
      <c r="L38" s="816" t="str">
        <f t="shared" si="22"/>
        <v>W</v>
      </c>
      <c r="M38" s="816">
        <f t="shared" si="23"/>
        <v>5</v>
      </c>
      <c r="N38" s="816" t="str">
        <f t="shared" si="24"/>
        <v>O</v>
      </c>
      <c r="O38" s="816">
        <f t="shared" si="25"/>
        <v>0</v>
      </c>
      <c r="P38" s="829">
        <f t="shared" si="26"/>
        <v>1</v>
      </c>
      <c r="Q38" s="830">
        <v>7.0000000000000007E-2</v>
      </c>
      <c r="R38" s="871">
        <f t="shared" si="27"/>
        <v>0.92999999999999994</v>
      </c>
      <c r="S38" s="830">
        <v>2.15</v>
      </c>
      <c r="T38" s="871">
        <f t="shared" si="28"/>
        <v>2.85</v>
      </c>
      <c r="U38" s="868">
        <f t="shared" si="29"/>
        <v>1.1099999999999999</v>
      </c>
      <c r="V38" s="868">
        <f t="shared" si="30"/>
        <v>1.04</v>
      </c>
      <c r="W38" s="829">
        <v>16</v>
      </c>
      <c r="X38" s="829">
        <v>8</v>
      </c>
      <c r="Y38" s="829">
        <v>10</v>
      </c>
      <c r="Z38" s="829">
        <v>3</v>
      </c>
      <c r="AA38" s="829">
        <v>54</v>
      </c>
      <c r="AB38" s="829">
        <v>46</v>
      </c>
      <c r="AC38" s="829"/>
      <c r="AD38" s="816" t="str">
        <f t="array" ref="AD38">IF($J38="","",IF(SUM(IF(ISNUMBER(VALUE(RIGHT($AG38:$EB38,1))),VALUE(RIGHT($AG38:$EB38,1)),0))=$J38,"T","F"))</f>
        <v>T</v>
      </c>
      <c r="AE38" s="831">
        <f t="array" ref="AE38">IF($J38="","",SUM(IF(LEFT($AG38:$EB38,1)="s",1,0))-SUM(IF(RIGHT(LEFT($AG38:$EB38,2))="-",1,0)))</f>
        <v>0</v>
      </c>
      <c r="AF38" s="816">
        <f t="array" ref="AF38">IF($J38="","",SUM(IF(LEFT($AG38:$EB38,1)="X",1,0)))</f>
        <v>11</v>
      </c>
      <c r="AG38" s="891" t="s">
        <v>32</v>
      </c>
      <c r="AH38" s="891" t="s">
        <v>34</v>
      </c>
      <c r="AI38" s="891" t="s">
        <v>32</v>
      </c>
      <c r="AJ38" s="891" t="s">
        <v>32</v>
      </c>
      <c r="AK38" s="891" t="s">
        <v>32</v>
      </c>
      <c r="AL38" s="891" t="s">
        <v>36</v>
      </c>
      <c r="AM38" s="891" t="s">
        <v>34</v>
      </c>
      <c r="AN38" s="891" t="s">
        <v>34</v>
      </c>
      <c r="AO38" s="891" t="s">
        <v>32</v>
      </c>
      <c r="AP38" s="891" t="s">
        <v>34</v>
      </c>
      <c r="AQ38" s="891" t="s">
        <v>32</v>
      </c>
      <c r="AR38" s="910"/>
      <c r="AS38" s="891" t="s">
        <v>34</v>
      </c>
      <c r="AT38" s="891" t="s">
        <v>36</v>
      </c>
      <c r="AU38" s="891" t="s">
        <v>34</v>
      </c>
      <c r="AV38" s="891" t="s">
        <v>34</v>
      </c>
      <c r="AW38" s="891" t="s">
        <v>32</v>
      </c>
      <c r="AX38" s="891" t="s">
        <v>32</v>
      </c>
      <c r="AY38" s="891" t="s">
        <v>32</v>
      </c>
      <c r="AZ38" s="891"/>
      <c r="BA38" s="891" t="s">
        <v>35</v>
      </c>
      <c r="BB38" s="891" t="s">
        <v>32</v>
      </c>
      <c r="BC38" s="891" t="s">
        <v>36</v>
      </c>
      <c r="BD38" s="891" t="s">
        <v>35</v>
      </c>
      <c r="BE38" s="891" t="s">
        <v>32</v>
      </c>
      <c r="BF38" s="891" t="s">
        <v>2540</v>
      </c>
      <c r="BG38" s="891" t="s">
        <v>32</v>
      </c>
      <c r="BH38" s="891" t="s">
        <v>32</v>
      </c>
      <c r="BI38" s="891" t="s">
        <v>1877</v>
      </c>
      <c r="BJ38" s="891" t="s">
        <v>1877</v>
      </c>
      <c r="BK38" s="904" t="s">
        <v>2539</v>
      </c>
      <c r="BL38" s="891" t="s">
        <v>1877</v>
      </c>
      <c r="BM38" s="910"/>
      <c r="BN38" s="891"/>
      <c r="BO38" s="891"/>
      <c r="BP38" s="891" t="s">
        <v>32</v>
      </c>
      <c r="BQ38" s="891" t="s">
        <v>32</v>
      </c>
      <c r="BR38" s="891"/>
      <c r="BS38" s="892"/>
      <c r="BT38" s="896"/>
      <c r="BU38" s="892"/>
      <c r="BV38" s="896"/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896"/>
      <c r="CH38" s="896"/>
      <c r="CI38" s="896"/>
      <c r="CJ38" s="428"/>
      <c r="CK38" s="428"/>
      <c r="CL38" s="428"/>
      <c r="CM38" s="428"/>
      <c r="CN38" s="230" t="s">
        <v>32</v>
      </c>
      <c r="CO38" s="230" t="s">
        <v>32</v>
      </c>
      <c r="CP38" s="230" t="s">
        <v>32</v>
      </c>
      <c r="CQ38" s="230" t="s">
        <v>32</v>
      </c>
      <c r="CR38" s="230" t="s">
        <v>32</v>
      </c>
      <c r="CS38" s="230" t="s">
        <v>32</v>
      </c>
      <c r="CT38" s="230" t="s">
        <v>32</v>
      </c>
    </row>
    <row r="39" spans="1:125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9</v>
      </c>
      <c r="G39" s="879" t="s">
        <v>1083</v>
      </c>
      <c r="H39" s="879" t="s">
        <v>22</v>
      </c>
      <c r="I39" s="879" t="s">
        <v>891</v>
      </c>
      <c r="J39" s="846">
        <v>2</v>
      </c>
      <c r="K39" s="846">
        <v>0</v>
      </c>
      <c r="L39" s="816" t="str">
        <f t="shared" si="22"/>
        <v>W</v>
      </c>
      <c r="M39" s="816">
        <f t="shared" si="23"/>
        <v>2</v>
      </c>
      <c r="N39" s="816" t="str">
        <f t="shared" si="24"/>
        <v>U</v>
      </c>
      <c r="O39" s="816">
        <f t="shared" si="25"/>
        <v>0</v>
      </c>
      <c r="P39" s="829">
        <f t="shared" si="26"/>
        <v>1</v>
      </c>
      <c r="Q39" s="830">
        <v>0.01</v>
      </c>
      <c r="R39" s="871">
        <f t="shared" si="27"/>
        <v>1.99</v>
      </c>
      <c r="S39" s="830">
        <v>2.13</v>
      </c>
      <c r="T39" s="871">
        <f t="shared" si="28"/>
        <v>-0.12999999999999989</v>
      </c>
      <c r="U39" s="868">
        <f t="shared" si="29"/>
        <v>1.0699999999999998</v>
      </c>
      <c r="V39" s="868">
        <f t="shared" si="30"/>
        <v>1.06</v>
      </c>
      <c r="W39" s="829">
        <v>14</v>
      </c>
      <c r="X39" s="829">
        <v>14</v>
      </c>
      <c r="Y39" s="829">
        <v>4</v>
      </c>
      <c r="Z39" s="829">
        <v>3</v>
      </c>
      <c r="AA39" s="829">
        <v>54</v>
      </c>
      <c r="AB39" s="829">
        <v>46</v>
      </c>
      <c r="AC39" s="829"/>
      <c r="AD39" s="816" t="str">
        <f t="array" ref="AD39">IF($J39="","",IF(SUM(IF(ISNUMBER(VALUE(RIGHT($AG39:$EB39,1))),VALUE(RIGHT($AG39:$EB39,1)),0))=$J39,"T","F"))</f>
        <v>T</v>
      </c>
      <c r="AE39" s="831">
        <f t="array" ref="AE39">IF($J39="","",SUM(IF(LEFT($AG39:$EB39,1)="s",1,0))-SUM(IF(RIGHT(LEFT($AG39:$EB39,2))="-",1,0)))</f>
        <v>0</v>
      </c>
      <c r="AF39" s="816">
        <f t="array" ref="AF39">IF($J39="","",SUM(IF(LEFT($AG39:$EB39,1)="X",1,0)))</f>
        <v>11</v>
      </c>
      <c r="AG39" s="891" t="s">
        <v>32</v>
      </c>
      <c r="AH39" s="891" t="s">
        <v>34</v>
      </c>
      <c r="AI39" s="891" t="s">
        <v>32</v>
      </c>
      <c r="AJ39" s="891" t="s">
        <v>1877</v>
      </c>
      <c r="AK39" s="891" t="s">
        <v>32</v>
      </c>
      <c r="AL39" s="891" t="s">
        <v>36</v>
      </c>
      <c r="AM39" s="904" t="s">
        <v>34</v>
      </c>
      <c r="AN39" s="891" t="s">
        <v>34</v>
      </c>
      <c r="AO39" s="891" t="s">
        <v>32</v>
      </c>
      <c r="AP39" s="891" t="s">
        <v>34</v>
      </c>
      <c r="AQ39" s="891" t="s">
        <v>32</v>
      </c>
      <c r="AR39" s="910"/>
      <c r="AS39" s="891" t="s">
        <v>35</v>
      </c>
      <c r="AT39" s="891" t="s">
        <v>34</v>
      </c>
      <c r="AU39" s="904" t="s">
        <v>34</v>
      </c>
      <c r="AV39" s="891" t="s">
        <v>36</v>
      </c>
      <c r="AW39" s="891" t="s">
        <v>32</v>
      </c>
      <c r="AX39" s="891" t="s">
        <v>32</v>
      </c>
      <c r="AY39" s="891" t="s">
        <v>32</v>
      </c>
      <c r="AZ39" s="891"/>
      <c r="BA39" s="891" t="s">
        <v>35</v>
      </c>
      <c r="BB39" s="891" t="s">
        <v>32</v>
      </c>
      <c r="BC39" s="891" t="s">
        <v>36</v>
      </c>
      <c r="BD39" s="891" t="s">
        <v>35</v>
      </c>
      <c r="BE39" s="891" t="s">
        <v>32</v>
      </c>
      <c r="BF39" s="891" t="s">
        <v>2556</v>
      </c>
      <c r="BG39" s="891" t="s">
        <v>1877</v>
      </c>
      <c r="BH39" s="891" t="s">
        <v>32</v>
      </c>
      <c r="BI39" s="891" t="s">
        <v>32</v>
      </c>
      <c r="BJ39" s="891" t="s">
        <v>32</v>
      </c>
      <c r="BK39" s="891" t="s">
        <v>2555</v>
      </c>
      <c r="BL39" s="891" t="s">
        <v>1877</v>
      </c>
      <c r="BM39" s="910"/>
      <c r="BN39" s="891"/>
      <c r="BO39" s="891"/>
      <c r="BP39" s="891" t="s">
        <v>32</v>
      </c>
      <c r="BQ39" s="891" t="s">
        <v>32</v>
      </c>
      <c r="BR39" s="891"/>
      <c r="BS39" s="891"/>
      <c r="BT39" s="891"/>
      <c r="BU39" s="892"/>
      <c r="BV39" s="896"/>
      <c r="BW39" s="891"/>
      <c r="BX39" s="891"/>
      <c r="BY39" s="896"/>
      <c r="BZ39" s="896"/>
      <c r="CA39" s="896"/>
      <c r="CB39" s="896"/>
      <c r="CC39" s="896"/>
      <c r="CD39" s="896"/>
      <c r="CE39" s="896"/>
      <c r="CF39" s="896"/>
      <c r="CG39" s="896"/>
      <c r="CH39" s="896"/>
      <c r="CI39" s="896"/>
      <c r="CJ39" s="428"/>
      <c r="CK39" s="428"/>
      <c r="CL39" s="428"/>
      <c r="CM39" s="428"/>
      <c r="CN39" s="230" t="s">
        <v>32</v>
      </c>
      <c r="CO39" s="230" t="s">
        <v>32</v>
      </c>
      <c r="CP39" s="230" t="s">
        <v>32</v>
      </c>
      <c r="CQ39" s="230" t="s">
        <v>32</v>
      </c>
      <c r="CR39" s="230" t="s">
        <v>32</v>
      </c>
      <c r="CS39" s="230" t="s">
        <v>32</v>
      </c>
      <c r="CT39" s="230" t="s">
        <v>32</v>
      </c>
    </row>
    <row r="40" spans="1:125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8</v>
      </c>
      <c r="G40" s="879" t="s">
        <v>880</v>
      </c>
      <c r="H40" s="879" t="s">
        <v>18</v>
      </c>
      <c r="I40" s="879" t="s">
        <v>891</v>
      </c>
      <c r="J40" s="846">
        <v>1</v>
      </c>
      <c r="K40" s="846">
        <v>0</v>
      </c>
      <c r="L40" s="816" t="str">
        <f t="shared" si="22"/>
        <v>W</v>
      </c>
      <c r="M40" s="816">
        <f t="shared" si="23"/>
        <v>1</v>
      </c>
      <c r="N40" s="816" t="str">
        <f t="shared" si="24"/>
        <v>U</v>
      </c>
      <c r="O40" s="816">
        <f t="shared" si="25"/>
        <v>0.5</v>
      </c>
      <c r="P40" s="829">
        <f t="shared" si="26"/>
        <v>1</v>
      </c>
      <c r="Q40" s="830">
        <v>-0.5</v>
      </c>
      <c r="R40" s="871">
        <f t="shared" si="27"/>
        <v>1.5</v>
      </c>
      <c r="S40" s="830">
        <v>2.4</v>
      </c>
      <c r="T40" s="871">
        <f t="shared" si="28"/>
        <v>-1.4</v>
      </c>
      <c r="U40" s="868">
        <f t="shared" si="29"/>
        <v>0.95</v>
      </c>
      <c r="V40" s="868">
        <f t="shared" si="30"/>
        <v>1.45</v>
      </c>
      <c r="W40" s="829">
        <v>9</v>
      </c>
      <c r="X40" s="829">
        <v>20</v>
      </c>
      <c r="Y40" s="829">
        <v>5</v>
      </c>
      <c r="Z40" s="829">
        <v>4</v>
      </c>
      <c r="AA40" s="829">
        <v>44</v>
      </c>
      <c r="AB40" s="829">
        <v>56</v>
      </c>
      <c r="AC40" s="829"/>
      <c r="AD40" s="816" t="str">
        <f t="array" ref="AD40">IF($J40="","",IF(SUM(IF(ISNUMBER(VALUE(RIGHT($AG40:$EB40,1))),VALUE(RIGHT($AG40:$EB40,1)),0))=$J40,"T","F"))</f>
        <v>T</v>
      </c>
      <c r="AE40" s="831">
        <f t="array" ref="AE40">IF($J40="","",SUM(IF(LEFT($AG40:$EB40,1)="s",1,0))-SUM(IF(RIGHT(LEFT($AG40:$EB40,2))="-",1,0)))</f>
        <v>0</v>
      </c>
      <c r="AF40" s="816">
        <f t="array" ref="AF40">IF($J40="","",SUM(IF(LEFT($AG40:$EB40,1)="X",1,0)))</f>
        <v>11</v>
      </c>
      <c r="AG40" s="891"/>
      <c r="AH40" s="891" t="s">
        <v>34</v>
      </c>
      <c r="AI40" s="891" t="s">
        <v>32</v>
      </c>
      <c r="AJ40" s="891" t="s">
        <v>32</v>
      </c>
      <c r="AK40" s="891" t="s">
        <v>32</v>
      </c>
      <c r="AL40" s="891" t="s">
        <v>36</v>
      </c>
      <c r="AM40" s="904" t="s">
        <v>34</v>
      </c>
      <c r="AN40" s="891" t="s">
        <v>34</v>
      </c>
      <c r="AO40" s="891" t="s">
        <v>36</v>
      </c>
      <c r="AP40" s="904" t="s">
        <v>2588</v>
      </c>
      <c r="AQ40" s="891" t="s">
        <v>1877</v>
      </c>
      <c r="AR40" s="910"/>
      <c r="AS40" s="891" t="s">
        <v>34</v>
      </c>
      <c r="AT40" s="891" t="s">
        <v>35</v>
      </c>
      <c r="AU40" s="891" t="s">
        <v>34</v>
      </c>
      <c r="AV40" s="891" t="s">
        <v>34</v>
      </c>
      <c r="AW40" s="891" t="s">
        <v>32</v>
      </c>
      <c r="AX40" s="891" t="s">
        <v>32</v>
      </c>
      <c r="AY40" s="891" t="s">
        <v>32</v>
      </c>
      <c r="AZ40" s="891"/>
      <c r="BA40" s="891" t="s">
        <v>35</v>
      </c>
      <c r="BB40" s="891" t="s">
        <v>32</v>
      </c>
      <c r="BC40" s="891" t="s">
        <v>1877</v>
      </c>
      <c r="BD40" s="891" t="s">
        <v>35</v>
      </c>
      <c r="BE40" s="891" t="s">
        <v>32</v>
      </c>
      <c r="BF40" s="891" t="s">
        <v>34</v>
      </c>
      <c r="BG40" s="891" t="s">
        <v>32</v>
      </c>
      <c r="BH40" s="891" t="s">
        <v>32</v>
      </c>
      <c r="BI40" s="891" t="s">
        <v>36</v>
      </c>
      <c r="BJ40" s="891" t="s">
        <v>32</v>
      </c>
      <c r="BK40" s="891" t="s">
        <v>32</v>
      </c>
      <c r="BL40" s="891" t="s">
        <v>1877</v>
      </c>
      <c r="BM40" s="910"/>
      <c r="BN40" s="891"/>
      <c r="BO40" s="891"/>
      <c r="BP40" s="891" t="s">
        <v>32</v>
      </c>
      <c r="BQ40" s="891" t="s">
        <v>32</v>
      </c>
      <c r="BR40" s="891"/>
      <c r="BS40" s="891"/>
      <c r="BT40" s="891"/>
      <c r="BU40" s="892"/>
      <c r="BV40" s="896"/>
      <c r="BW40" s="891"/>
      <c r="BX40" s="896"/>
      <c r="BY40" s="896"/>
      <c r="BZ40" s="896"/>
      <c r="CA40" s="896"/>
      <c r="CB40" s="896"/>
      <c r="CC40" s="896"/>
      <c r="CD40" s="896"/>
      <c r="CE40" s="896"/>
      <c r="CF40" s="896"/>
      <c r="CG40" s="896"/>
      <c r="CH40" s="896"/>
      <c r="CI40" s="896"/>
      <c r="CJ40" s="4"/>
      <c r="CK40" s="4"/>
      <c r="CL40" s="4"/>
      <c r="CM40" s="4"/>
      <c r="CN40" s="6" t="s">
        <v>32</v>
      </c>
      <c r="CO40" s="6" t="s">
        <v>32</v>
      </c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</row>
    <row r="41" spans="1:125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6</v>
      </c>
      <c r="G41" s="879" t="s">
        <v>876</v>
      </c>
      <c r="H41" s="879" t="s">
        <v>22</v>
      </c>
      <c r="I41" s="879" t="s">
        <v>891</v>
      </c>
      <c r="J41" s="846">
        <v>3</v>
      </c>
      <c r="K41" s="846">
        <v>1</v>
      </c>
      <c r="L41" s="816" t="str">
        <f t="shared" si="22"/>
        <v>W</v>
      </c>
      <c r="M41" s="816">
        <f t="shared" si="23"/>
        <v>4</v>
      </c>
      <c r="N41" s="816" t="str">
        <f t="shared" si="24"/>
        <v>O</v>
      </c>
      <c r="O41" s="816">
        <f t="shared" si="25"/>
        <v>0.25</v>
      </c>
      <c r="P41" s="829">
        <f t="shared" si="26"/>
        <v>1</v>
      </c>
      <c r="Q41" s="830">
        <v>-0.24</v>
      </c>
      <c r="R41" s="871">
        <f t="shared" si="27"/>
        <v>2.2400000000000002</v>
      </c>
      <c r="S41" s="830">
        <v>2.27</v>
      </c>
      <c r="T41" s="871">
        <f t="shared" si="28"/>
        <v>1.73</v>
      </c>
      <c r="U41" s="868">
        <f t="shared" si="29"/>
        <v>1.0150000000000001</v>
      </c>
      <c r="V41" s="868">
        <f t="shared" si="30"/>
        <v>1.2549999999999999</v>
      </c>
      <c r="W41" s="829">
        <v>9</v>
      </c>
      <c r="X41" s="829">
        <v>17</v>
      </c>
      <c r="Y41" s="829">
        <v>4</v>
      </c>
      <c r="Z41" s="829">
        <v>5</v>
      </c>
      <c r="AA41" s="829">
        <v>35</v>
      </c>
      <c r="AB41" s="829">
        <v>65</v>
      </c>
      <c r="AC41" s="829"/>
      <c r="AD41" s="816" t="str">
        <f t="array" ref="AD41">IF($J41="","",IF(SUM(IF(ISNUMBER(VALUE(RIGHT($AG41:$EB41,1))),VALUE(RIGHT($AG41:$EB41,1)),0))=$J41,"T","F"))</f>
        <v>T</v>
      </c>
      <c r="AE41" s="831">
        <f t="array" ref="AE41">IF($J41="","",SUM(IF(LEFT($AG41:$EB41,1)="s",1,0))-SUM(IF(RIGHT(LEFT($AG41:$EB41,2))="-",1,0)))</f>
        <v>0</v>
      </c>
      <c r="AF41" s="816">
        <f t="array" ref="AF41">IF($J41="","",SUM(IF(LEFT($AG41:$EB41,1)="X",1,0)))</f>
        <v>11</v>
      </c>
      <c r="AG41" s="891" t="s">
        <v>32</v>
      </c>
      <c r="AH41" s="891" t="s">
        <v>34</v>
      </c>
      <c r="AI41" s="891" t="s">
        <v>32</v>
      </c>
      <c r="AJ41" s="891" t="s">
        <v>32</v>
      </c>
      <c r="AK41" s="891" t="s">
        <v>32</v>
      </c>
      <c r="AL41" s="891" t="s">
        <v>34</v>
      </c>
      <c r="AM41" s="891" t="s">
        <v>34</v>
      </c>
      <c r="AN41" s="891" t="s">
        <v>35</v>
      </c>
      <c r="AO41" s="891" t="s">
        <v>36</v>
      </c>
      <c r="AP41" s="891" t="s">
        <v>2662</v>
      </c>
      <c r="AQ41" s="891" t="s">
        <v>32</v>
      </c>
      <c r="AR41" s="910"/>
      <c r="AS41" s="904" t="s">
        <v>35</v>
      </c>
      <c r="AT41" s="891" t="s">
        <v>2669</v>
      </c>
      <c r="AU41" s="891" t="s">
        <v>34</v>
      </c>
      <c r="AV41" s="891" t="s">
        <v>36</v>
      </c>
      <c r="AW41" s="891" t="s">
        <v>32</v>
      </c>
      <c r="AX41" s="891" t="s">
        <v>32</v>
      </c>
      <c r="AY41" s="891" t="s">
        <v>32</v>
      </c>
      <c r="AZ41" s="891"/>
      <c r="BA41" s="891" t="s">
        <v>34</v>
      </c>
      <c r="BB41" s="891" t="s">
        <v>32</v>
      </c>
      <c r="BC41" s="891" t="s">
        <v>1877</v>
      </c>
      <c r="BD41" s="891" t="s">
        <v>2668</v>
      </c>
      <c r="BE41" s="891" t="s">
        <v>1877</v>
      </c>
      <c r="BF41" s="891" t="s">
        <v>2668</v>
      </c>
      <c r="BG41" s="891" t="s">
        <v>32</v>
      </c>
      <c r="BH41" s="891" t="s">
        <v>32</v>
      </c>
      <c r="BI41" s="891" t="s">
        <v>1877</v>
      </c>
      <c r="BJ41" s="891" t="s">
        <v>32</v>
      </c>
      <c r="BK41" s="891" t="s">
        <v>34</v>
      </c>
      <c r="BL41" s="891"/>
      <c r="BM41" s="910"/>
      <c r="BN41" s="891"/>
      <c r="BO41" s="891"/>
      <c r="BP41" s="891" t="s">
        <v>32</v>
      </c>
      <c r="BQ41" s="904" t="s">
        <v>36</v>
      </c>
      <c r="BR41" s="891"/>
      <c r="BS41" s="892"/>
      <c r="BT41" s="896"/>
      <c r="BU41" s="892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896"/>
      <c r="CH41" s="896"/>
      <c r="CI41" s="896"/>
      <c r="CJ41" s="428"/>
      <c r="CK41" s="428"/>
      <c r="CL41" s="428"/>
      <c r="CM41" s="428"/>
      <c r="CN41" s="230" t="s">
        <v>32</v>
      </c>
      <c r="CO41" s="230" t="s">
        <v>32</v>
      </c>
      <c r="CP41" s="230" t="s">
        <v>32</v>
      </c>
      <c r="CQ41" s="230" t="s">
        <v>32</v>
      </c>
      <c r="CR41" s="230" t="s">
        <v>32</v>
      </c>
      <c r="CS41" s="230" t="s">
        <v>32</v>
      </c>
      <c r="CT41" s="230" t="s">
        <v>32</v>
      </c>
    </row>
    <row r="42" spans="1:125" ht="15">
      <c r="A42" s="912">
        <v>6382</v>
      </c>
      <c r="B42" s="894"/>
      <c r="C42" s="894"/>
      <c r="D42" s="894"/>
      <c r="E42" s="894"/>
      <c r="F42" s="894"/>
      <c r="G42" s="828" t="s">
        <v>890</v>
      </c>
      <c r="H42" s="828" t="s">
        <v>2650</v>
      </c>
      <c r="I42" s="828" t="s">
        <v>2649</v>
      </c>
      <c r="J42" s="895">
        <v>1</v>
      </c>
      <c r="K42" s="895">
        <v>1</v>
      </c>
      <c r="L42" s="816" t="str">
        <f t="shared" ref="L42" si="31">IF(J42="","",IF(J42&gt;K42,"W",IF(J42=K42,"D",IF(J42&lt;K42,"L"))))</f>
        <v>D</v>
      </c>
      <c r="M42" s="816">
        <f t="shared" ref="M42" si="32">IF(J42="","",J42+K42)</f>
        <v>2</v>
      </c>
      <c r="N42" s="816" t="str">
        <f t="shared" si="24"/>
        <v>U</v>
      </c>
      <c r="O42" s="816" t="str">
        <f t="shared" ref="O42" si="33">IF(Q42="","",IF(SIGN(Q42)&lt;&gt;1,VLOOKUP(ABS(Q42),SUP_HDC,3,TRUE),-VLOOKUP(ABS(Q42),SUP_HDC,3,TRUE)))</f>
        <v/>
      </c>
      <c r="P42" s="829" t="str">
        <f t="shared" ref="P42" si="34">IF(O42="","",IF((J42-K42+O42)&gt;=0.5,1,IF((J42-K42+O42)=0.25,0.5,IF((J42-K42+O42)&lt;=-0.5,-1,IF((J42-K42+O42)=-0.25,-0.5,0)))))</f>
        <v/>
      </c>
      <c r="Q42" s="830"/>
      <c r="R42" s="871" t="str">
        <f t="shared" ref="R42" si="35">IF(ISBLANK(Q42),"",J42-K42-Q42)</f>
        <v/>
      </c>
      <c r="S42" s="830"/>
      <c r="T42" s="871" t="str">
        <f t="shared" ref="T42" si="36">IF(ISBLANK(S42),"",J42+K42-S42)</f>
        <v/>
      </c>
      <c r="U42" s="868" t="str">
        <f t="shared" ref="U42" si="37">IF(Q42="","",(Q42+S42)/2)</f>
        <v/>
      </c>
      <c r="V42" s="868" t="str">
        <f t="shared" ref="V42" si="38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IF($J42="","",IF(SUM(IF(ISNUMBER(VALUE(RIGHT($AG42:$EB42,1))),VALUE(RIGHT($AG42:$EB42,1)),0))=$J42,"T","F"))</f>
        <v>T</v>
      </c>
      <c r="AE42" s="831">
        <f t="array" ref="AE42">IF($J42="","",SUM(IF(LEFT($AG42:$EB42,1)="s",1,0))-SUM(IF(RIGHT(LEFT($AG42:$EB42,2))="-",1,0)))</f>
        <v>0</v>
      </c>
      <c r="AF42" s="816">
        <f t="array" ref="AF42">IF($J42="","",SUM(IF(LEFT($AG42:$EB42,1)="X",1,0)))</f>
        <v>11</v>
      </c>
      <c r="AG42" s="891" t="s">
        <v>34</v>
      </c>
      <c r="AH42" s="891" t="s">
        <v>1877</v>
      </c>
      <c r="AI42" s="891" t="s">
        <v>32</v>
      </c>
      <c r="AJ42" s="891" t="s">
        <v>32</v>
      </c>
      <c r="AK42" s="891" t="s">
        <v>32</v>
      </c>
      <c r="AL42" s="891" t="s">
        <v>1877</v>
      </c>
      <c r="AM42" s="891" t="s">
        <v>32</v>
      </c>
      <c r="AN42" s="891" t="s">
        <v>32</v>
      </c>
      <c r="AO42" s="891" t="s">
        <v>34</v>
      </c>
      <c r="AP42" s="891" t="s">
        <v>32</v>
      </c>
      <c r="AQ42" s="891" t="s">
        <v>34</v>
      </c>
      <c r="AR42" s="910"/>
      <c r="AS42" s="891" t="s">
        <v>32</v>
      </c>
      <c r="AT42" s="891" t="s">
        <v>1877</v>
      </c>
      <c r="AU42" s="891" t="s">
        <v>32</v>
      </c>
      <c r="AV42" s="891" t="s">
        <v>34</v>
      </c>
      <c r="AW42" s="891" t="s">
        <v>32</v>
      </c>
      <c r="AX42" s="891" t="s">
        <v>32</v>
      </c>
      <c r="AY42" s="891" t="s">
        <v>35</v>
      </c>
      <c r="AZ42" s="891"/>
      <c r="BA42" s="891" t="s">
        <v>36</v>
      </c>
      <c r="BB42" s="891" t="s">
        <v>1877</v>
      </c>
      <c r="BC42" s="891" t="s">
        <v>34</v>
      </c>
      <c r="BD42" s="891" t="s">
        <v>32</v>
      </c>
      <c r="BE42" s="891" t="s">
        <v>34</v>
      </c>
      <c r="BF42" s="891" t="s">
        <v>32</v>
      </c>
      <c r="BG42" s="891" t="s">
        <v>36</v>
      </c>
      <c r="BH42" s="891" t="s">
        <v>32</v>
      </c>
      <c r="BI42" s="891" t="s">
        <v>34</v>
      </c>
      <c r="BJ42" s="891" t="s">
        <v>35</v>
      </c>
      <c r="BK42" s="891" t="s">
        <v>32</v>
      </c>
      <c r="BL42" s="891" t="s">
        <v>36</v>
      </c>
      <c r="BM42" s="910"/>
      <c r="BN42" s="891"/>
      <c r="BO42" s="891"/>
      <c r="BP42" s="891" t="s">
        <v>35</v>
      </c>
      <c r="BQ42" s="891" t="s">
        <v>2718</v>
      </c>
      <c r="BR42" s="891"/>
      <c r="BS42" s="892"/>
      <c r="BT42" s="896"/>
      <c r="BU42" s="892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896"/>
      <c r="CH42" s="896"/>
      <c r="CI42" s="896"/>
      <c r="CJ42" s="428"/>
      <c r="CK42" s="428"/>
      <c r="CL42" s="428"/>
      <c r="CM42" s="428"/>
    </row>
    <row r="43" spans="1:125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19</v>
      </c>
      <c r="G43" s="879" t="s">
        <v>885</v>
      </c>
      <c r="H43" s="879" t="s">
        <v>22</v>
      </c>
      <c r="I43" s="879" t="s">
        <v>891</v>
      </c>
      <c r="J43" s="846">
        <v>2</v>
      </c>
      <c r="K43" s="846">
        <v>1</v>
      </c>
      <c r="L43" s="816" t="str">
        <f t="shared" si="22"/>
        <v>W</v>
      </c>
      <c r="M43" s="816">
        <f t="shared" si="23"/>
        <v>3</v>
      </c>
      <c r="N43" s="816" t="str">
        <f t="shared" si="24"/>
        <v>O</v>
      </c>
      <c r="O43" s="816">
        <f t="shared" si="25"/>
        <v>-0.25</v>
      </c>
      <c r="P43" s="829">
        <f t="shared" si="26"/>
        <v>1</v>
      </c>
      <c r="Q43" s="830">
        <v>0.4</v>
      </c>
      <c r="R43" s="871">
        <f t="shared" si="27"/>
        <v>0.6</v>
      </c>
      <c r="S43" s="830">
        <v>2.4</v>
      </c>
      <c r="T43" s="871">
        <f t="shared" si="28"/>
        <v>0.60000000000000009</v>
      </c>
      <c r="U43" s="868">
        <f t="shared" si="29"/>
        <v>1.4</v>
      </c>
      <c r="V43" s="868">
        <f t="shared" si="30"/>
        <v>1</v>
      </c>
      <c r="W43" s="829">
        <v>14</v>
      </c>
      <c r="X43" s="829">
        <v>11</v>
      </c>
      <c r="Y43" s="829">
        <v>5</v>
      </c>
      <c r="Z43" s="829">
        <v>3</v>
      </c>
      <c r="AA43" s="829">
        <v>52</v>
      </c>
      <c r="AB43" s="829">
        <v>48</v>
      </c>
      <c r="AC43" s="829"/>
      <c r="AD43" s="816" t="str">
        <f t="array" ref="AD43">IF($J43="","",IF(SUM(IF(ISNUMBER(VALUE(RIGHT($AG43:$EB43,1))),VALUE(RIGHT($AG43:$EB43,1)),0))=$J43,"T","F"))</f>
        <v>T</v>
      </c>
      <c r="AE43" s="831">
        <f t="array" ref="AE43">IF($J43="","",SUM(IF(LEFT($AG43:$EB43,1)="s",1,0))-SUM(IF(RIGHT(LEFT($AG43:$EB43,2))="-",1,0)))</f>
        <v>0</v>
      </c>
      <c r="AF43" s="816">
        <f t="array" ref="AF43">IF($J43="","",SUM(IF(LEFT($AG43:$EB43,1)="X",1,0)))</f>
        <v>11</v>
      </c>
      <c r="AG43" s="891" t="s">
        <v>1877</v>
      </c>
      <c r="AH43" s="891" t="s">
        <v>34</v>
      </c>
      <c r="AI43" s="891" t="s">
        <v>32</v>
      </c>
      <c r="AJ43" s="891" t="s">
        <v>32</v>
      </c>
      <c r="AK43" s="891" t="s">
        <v>32</v>
      </c>
      <c r="AL43" s="891" t="s">
        <v>35</v>
      </c>
      <c r="AM43" s="891" t="s">
        <v>34</v>
      </c>
      <c r="AN43" s="891" t="s">
        <v>34</v>
      </c>
      <c r="AO43" s="891" t="s">
        <v>1877</v>
      </c>
      <c r="AP43" s="891" t="s">
        <v>34</v>
      </c>
      <c r="AQ43" s="891" t="s">
        <v>32</v>
      </c>
      <c r="AR43" s="910"/>
      <c r="AS43" s="891" t="s">
        <v>34</v>
      </c>
      <c r="AT43" s="891" t="s">
        <v>35</v>
      </c>
      <c r="AU43" s="904" t="s">
        <v>34</v>
      </c>
      <c r="AV43" s="891" t="s">
        <v>36</v>
      </c>
      <c r="AW43" s="891" t="s">
        <v>32</v>
      </c>
      <c r="AX43" s="891" t="s">
        <v>32</v>
      </c>
      <c r="AY43" s="891" t="s">
        <v>32</v>
      </c>
      <c r="AZ43" s="891"/>
      <c r="BA43" s="891" t="s">
        <v>35</v>
      </c>
      <c r="BB43" s="891" t="s">
        <v>32</v>
      </c>
      <c r="BC43" s="891" t="s">
        <v>2737</v>
      </c>
      <c r="BD43" s="891" t="s">
        <v>32</v>
      </c>
      <c r="BE43" s="891" t="s">
        <v>2737</v>
      </c>
      <c r="BF43" s="891" t="s">
        <v>34</v>
      </c>
      <c r="BG43" s="891" t="s">
        <v>32</v>
      </c>
      <c r="BH43" s="891" t="s">
        <v>32</v>
      </c>
      <c r="BI43" s="891" t="s">
        <v>1877</v>
      </c>
      <c r="BJ43" s="891" t="s">
        <v>32</v>
      </c>
      <c r="BK43" s="891" t="s">
        <v>34</v>
      </c>
      <c r="BL43" s="891"/>
      <c r="BM43" s="910"/>
      <c r="BN43" s="891"/>
      <c r="BO43" s="891"/>
      <c r="BP43" s="891" t="s">
        <v>32</v>
      </c>
      <c r="BQ43" s="891" t="s">
        <v>1877</v>
      </c>
      <c r="BR43" s="891"/>
      <c r="BS43" s="892"/>
      <c r="BT43" s="896"/>
      <c r="BU43" s="892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896"/>
      <c r="CH43" s="896"/>
      <c r="CI43" s="896"/>
      <c r="CJ43" s="428"/>
      <c r="CK43" s="428"/>
      <c r="CL43" s="428"/>
      <c r="CM43" s="428"/>
    </row>
    <row r="44" spans="1:125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13</v>
      </c>
      <c r="G44" s="879" t="s">
        <v>884</v>
      </c>
      <c r="H44" s="879" t="s">
        <v>18</v>
      </c>
      <c r="I44" s="879" t="s">
        <v>891</v>
      </c>
      <c r="J44" s="846">
        <v>0</v>
      </c>
      <c r="K44" s="846">
        <v>3</v>
      </c>
      <c r="L44" s="816" t="str">
        <f t="shared" si="22"/>
        <v>L</v>
      </c>
      <c r="M44" s="816">
        <f t="shared" si="23"/>
        <v>3</v>
      </c>
      <c r="N44" s="816" t="str">
        <f t="shared" si="24"/>
        <v>O</v>
      </c>
      <c r="O44" s="816">
        <f t="shared" si="25"/>
        <v>0.25</v>
      </c>
      <c r="P44" s="829">
        <f t="shared" si="26"/>
        <v>-1</v>
      </c>
      <c r="Q44" s="830">
        <v>-0.18</v>
      </c>
      <c r="R44" s="871">
        <f t="shared" si="27"/>
        <v>-2.82</v>
      </c>
      <c r="S44" s="830">
        <v>2.2000000000000002</v>
      </c>
      <c r="T44" s="871">
        <f t="shared" si="28"/>
        <v>0.79999999999999982</v>
      </c>
      <c r="U44" s="868">
        <f t="shared" si="29"/>
        <v>1.01</v>
      </c>
      <c r="V44" s="868">
        <f t="shared" si="30"/>
        <v>1.1900000000000002</v>
      </c>
      <c r="W44" s="829">
        <v>7</v>
      </c>
      <c r="X44" s="829">
        <v>19</v>
      </c>
      <c r="Y44" s="829">
        <v>8</v>
      </c>
      <c r="Z44" s="829">
        <v>3</v>
      </c>
      <c r="AA44" s="829">
        <v>50</v>
      </c>
      <c r="AB44" s="829">
        <v>50</v>
      </c>
      <c r="AC44" s="829"/>
      <c r="AD44" s="816" t="str">
        <f t="array" ref="AD44">IF($J44="","",IF(SUM(IF(ISNUMBER(VALUE(RIGHT($AG44:$EB44,1))),VALUE(RIGHT($AG44:$EB44,1)),0))=$J44,"T","F"))</f>
        <v>T</v>
      </c>
      <c r="AE44" s="831">
        <f t="array" ref="AE44">IF($J44="","",SUM(IF(LEFT($AG44:$EB44,1)="s",1,0))-SUM(IF(RIGHT(LEFT($AG44:$EB44,2))="-",1,0)))</f>
        <v>0</v>
      </c>
      <c r="AF44" s="816">
        <f t="array" ref="AF44">IF($J44="","",SUM(IF(LEFT($AG44:$EB44,1)="X",1,0)))</f>
        <v>11</v>
      </c>
      <c r="AG44" s="891" t="s">
        <v>1877</v>
      </c>
      <c r="AH44" s="891" t="s">
        <v>34</v>
      </c>
      <c r="AI44" s="891" t="s">
        <v>32</v>
      </c>
      <c r="AJ44" s="891" t="s">
        <v>1877</v>
      </c>
      <c r="AK44" s="891" t="s">
        <v>32</v>
      </c>
      <c r="AL44" s="891" t="s">
        <v>34</v>
      </c>
      <c r="AM44" s="891" t="s">
        <v>34</v>
      </c>
      <c r="AN44" s="891" t="s">
        <v>34</v>
      </c>
      <c r="AO44" s="891" t="s">
        <v>1877</v>
      </c>
      <c r="AP44" s="904" t="s">
        <v>34</v>
      </c>
      <c r="AQ44" s="891" t="s">
        <v>32</v>
      </c>
      <c r="AR44" s="910"/>
      <c r="AS44" s="891" t="s">
        <v>34</v>
      </c>
      <c r="AT44" s="891" t="s">
        <v>34</v>
      </c>
      <c r="AU44" s="891" t="s">
        <v>2789</v>
      </c>
      <c r="AV44" s="891" t="s">
        <v>1877</v>
      </c>
      <c r="AW44" s="891" t="s">
        <v>32</v>
      </c>
      <c r="AX44" s="891" t="s">
        <v>32</v>
      </c>
      <c r="AY44" s="891" t="s">
        <v>32</v>
      </c>
      <c r="AZ44" s="891"/>
      <c r="BA44" s="891" t="s">
        <v>34</v>
      </c>
      <c r="BB44" s="891" t="s">
        <v>32</v>
      </c>
      <c r="BC44" s="891" t="s">
        <v>1877</v>
      </c>
      <c r="BD44" s="891" t="s">
        <v>34</v>
      </c>
      <c r="BE44" s="891" t="s">
        <v>1877</v>
      </c>
      <c r="BF44" s="891" t="s">
        <v>34</v>
      </c>
      <c r="BG44" s="891" t="s">
        <v>32</v>
      </c>
      <c r="BH44" s="891" t="s">
        <v>32</v>
      </c>
      <c r="BI44" s="891" t="s">
        <v>1877</v>
      </c>
      <c r="BJ44" s="891" t="s">
        <v>32</v>
      </c>
      <c r="BK44" s="891" t="s">
        <v>34</v>
      </c>
      <c r="BL44" s="891"/>
      <c r="BM44" s="910"/>
      <c r="BN44" s="891"/>
      <c r="BO44" s="891"/>
      <c r="BP44" s="891" t="s">
        <v>32</v>
      </c>
      <c r="BQ44" s="891" t="s">
        <v>32</v>
      </c>
      <c r="BR44" s="891"/>
      <c r="BS44" s="892"/>
      <c r="BT44" s="896"/>
      <c r="BU44" s="892"/>
      <c r="BV44" s="896"/>
      <c r="BW44" s="891"/>
      <c r="BX44" s="896"/>
      <c r="BY44" s="896"/>
      <c r="BZ44" s="896"/>
      <c r="CA44" s="896"/>
      <c r="CB44" s="896"/>
      <c r="CC44" s="891"/>
      <c r="CD44" s="891"/>
      <c r="CE44" s="891"/>
      <c r="CF44" s="891"/>
      <c r="CG44" s="891"/>
      <c r="CH44" s="891"/>
      <c r="CI44" s="891"/>
      <c r="CJ44" s="428"/>
      <c r="CK44" s="428"/>
      <c r="CL44" s="428"/>
      <c r="CM44" s="428"/>
    </row>
    <row r="45" spans="1:125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21</v>
      </c>
      <c r="G45" s="879" t="s">
        <v>890</v>
      </c>
      <c r="H45" s="879" t="s">
        <v>22</v>
      </c>
      <c r="I45" s="879" t="s">
        <v>891</v>
      </c>
      <c r="J45" s="846">
        <v>2</v>
      </c>
      <c r="K45" s="846">
        <v>2</v>
      </c>
      <c r="L45" s="816" t="str">
        <f t="shared" si="22"/>
        <v>D</v>
      </c>
      <c r="M45" s="816">
        <f t="shared" si="23"/>
        <v>4</v>
      </c>
      <c r="N45" s="816" t="str">
        <f t="shared" si="24"/>
        <v>O</v>
      </c>
      <c r="O45" s="816">
        <f t="shared" si="25"/>
        <v>-0.5</v>
      </c>
      <c r="P45" s="829">
        <f t="shared" si="26"/>
        <v>-1</v>
      </c>
      <c r="Q45" s="830">
        <v>0.52</v>
      </c>
      <c r="R45" s="871">
        <f t="shared" si="27"/>
        <v>-0.52</v>
      </c>
      <c r="S45" s="830">
        <v>2.35</v>
      </c>
      <c r="T45" s="871">
        <f t="shared" si="28"/>
        <v>1.65</v>
      </c>
      <c r="U45" s="868">
        <f t="shared" si="29"/>
        <v>1.4350000000000001</v>
      </c>
      <c r="V45" s="868">
        <f t="shared" si="30"/>
        <v>0.91500000000000004</v>
      </c>
      <c r="W45" s="829">
        <v>15</v>
      </c>
      <c r="X45" s="829">
        <v>8</v>
      </c>
      <c r="Y45" s="829">
        <v>3</v>
      </c>
      <c r="Z45" s="829">
        <v>3</v>
      </c>
      <c r="AA45" s="829">
        <v>52</v>
      </c>
      <c r="AB45" s="829">
        <v>48</v>
      </c>
      <c r="AC45" s="829"/>
      <c r="AD45" s="816" t="str">
        <f t="array" ref="AD45">IF($J45="","",IF(SUM(IF(ISNUMBER(VALUE(RIGHT($AG45:$EB45,1))),VALUE(RIGHT($AG45:$EB45,1)),0))=$J45,"T","F"))</f>
        <v>T</v>
      </c>
      <c r="AE45" s="831">
        <f t="array" ref="AE45">IF($J45="","",SUM(IF(LEFT($AG45:$EB45,1)="s",1,0))-SUM(IF(RIGHT(LEFT($AG45:$EB45,2))="-",1,0)))</f>
        <v>0</v>
      </c>
      <c r="AF45" s="816">
        <f t="array" ref="AF45">IF($J45="","",SUM(IF(LEFT($AG45:$EB45,1)="X",1,0)))</f>
        <v>11</v>
      </c>
      <c r="AG45" s="891" t="s">
        <v>1877</v>
      </c>
      <c r="AH45" s="891" t="s">
        <v>34</v>
      </c>
      <c r="AI45" s="891" t="s">
        <v>32</v>
      </c>
      <c r="AJ45" s="891" t="s">
        <v>34</v>
      </c>
      <c r="AK45" s="891" t="s">
        <v>32</v>
      </c>
      <c r="AL45" s="891" t="s">
        <v>1877</v>
      </c>
      <c r="AM45" s="891" t="s">
        <v>34</v>
      </c>
      <c r="AN45" s="891" t="s">
        <v>1877</v>
      </c>
      <c r="AO45" s="891" t="s">
        <v>32</v>
      </c>
      <c r="AP45" s="891" t="s">
        <v>34</v>
      </c>
      <c r="AQ45" s="891" t="s">
        <v>32</v>
      </c>
      <c r="AR45" s="910"/>
      <c r="AS45" s="891" t="s">
        <v>2832</v>
      </c>
      <c r="AT45" s="891" t="s">
        <v>34</v>
      </c>
      <c r="AU45" s="904" t="s">
        <v>35</v>
      </c>
      <c r="AV45" s="891" t="s">
        <v>36</v>
      </c>
      <c r="AW45" s="891" t="s">
        <v>32</v>
      </c>
      <c r="AX45" s="891" t="s">
        <v>32</v>
      </c>
      <c r="AY45" s="891" t="s">
        <v>32</v>
      </c>
      <c r="AZ45" s="891"/>
      <c r="BA45" s="891" t="s">
        <v>1877</v>
      </c>
      <c r="BB45" s="891" t="s">
        <v>32</v>
      </c>
      <c r="BC45" s="891" t="s">
        <v>36</v>
      </c>
      <c r="BD45" s="891" t="s">
        <v>35</v>
      </c>
      <c r="BE45" s="891" t="s">
        <v>35</v>
      </c>
      <c r="BF45" s="891" t="s">
        <v>34</v>
      </c>
      <c r="BG45" s="891" t="s">
        <v>32</v>
      </c>
      <c r="BH45" s="891" t="s">
        <v>32</v>
      </c>
      <c r="BI45" s="891" t="s">
        <v>2833</v>
      </c>
      <c r="BJ45" s="891" t="s">
        <v>32</v>
      </c>
      <c r="BK45" s="891" t="s">
        <v>34</v>
      </c>
      <c r="BL45" s="891"/>
      <c r="BM45" s="910"/>
      <c r="BN45" s="891"/>
      <c r="BO45" s="891"/>
      <c r="BP45" s="891" t="s">
        <v>32</v>
      </c>
      <c r="BQ45" s="891" t="s">
        <v>32</v>
      </c>
      <c r="BR45" s="891"/>
      <c r="BS45" s="892"/>
      <c r="BT45" s="896"/>
      <c r="BU45" s="892"/>
      <c r="BV45" s="896"/>
      <c r="BW45" s="896"/>
      <c r="BX45" s="896"/>
      <c r="BY45" s="896"/>
      <c r="BZ45" s="896"/>
      <c r="CA45" s="896"/>
      <c r="CB45" s="896"/>
      <c r="CC45" s="896"/>
      <c r="CD45" s="896"/>
      <c r="CE45" s="896"/>
      <c r="CF45" s="896"/>
      <c r="CG45" s="896"/>
      <c r="CH45" s="896"/>
      <c r="CI45" s="896"/>
      <c r="CJ45" s="428"/>
      <c r="CK45" s="428"/>
      <c r="CL45" s="428"/>
      <c r="CM45" s="428"/>
    </row>
    <row r="46" spans="1:125" ht="15">
      <c r="A46" s="882">
        <v>6407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16</v>
      </c>
      <c r="G46" s="879" t="s">
        <v>872</v>
      </c>
      <c r="H46" s="879" t="s">
        <v>18</v>
      </c>
      <c r="I46" s="879" t="s">
        <v>891</v>
      </c>
      <c r="J46" s="846">
        <v>0</v>
      </c>
      <c r="K46" s="846">
        <v>2</v>
      </c>
      <c r="L46" s="816" t="str">
        <f t="shared" si="22"/>
        <v>L</v>
      </c>
      <c r="M46" s="816">
        <f t="shared" si="23"/>
        <v>2</v>
      </c>
      <c r="N46" s="816" t="str">
        <f t="shared" si="24"/>
        <v>U</v>
      </c>
      <c r="O46" s="816">
        <f t="shared" si="25"/>
        <v>0</v>
      </c>
      <c r="P46" s="829">
        <f t="shared" si="26"/>
        <v>-1</v>
      </c>
      <c r="Q46" s="830">
        <v>-0.1</v>
      </c>
      <c r="R46" s="871">
        <f t="shared" si="27"/>
        <v>-1.9</v>
      </c>
      <c r="S46" s="830">
        <v>2.41</v>
      </c>
      <c r="T46" s="871">
        <f t="shared" si="28"/>
        <v>-0.41000000000000014</v>
      </c>
      <c r="U46" s="868">
        <f t="shared" si="29"/>
        <v>1.155</v>
      </c>
      <c r="V46" s="868">
        <f t="shared" si="30"/>
        <v>1.2550000000000001</v>
      </c>
      <c r="W46" s="829">
        <v>8</v>
      </c>
      <c r="X46" s="829">
        <v>7</v>
      </c>
      <c r="Y46" s="829">
        <v>3</v>
      </c>
      <c r="Z46" s="829">
        <v>2</v>
      </c>
      <c r="AA46" s="829">
        <v>51</v>
      </c>
      <c r="AB46" s="829">
        <v>49</v>
      </c>
      <c r="AC46" s="829"/>
      <c r="AD46" s="816" t="str">
        <f t="array" ref="AD46">IF($J46="","",IF(SUM(IF(ISNUMBER(VALUE(RIGHT($AG46:$EB46,1))),VALUE(RIGHT($AG46:$EB46,1)),0))=$J46,"T","F"))</f>
        <v>T</v>
      </c>
      <c r="AE46" s="831">
        <f t="array" ref="AE46">IF($J46="","",SUM(IF(LEFT($AG46:$EB46,1)="s",1,0))-SUM(IF(RIGHT(LEFT($AG46:$EB46,2))="-",1,0)))</f>
        <v>0</v>
      </c>
      <c r="AF46" s="816">
        <f t="array" ref="AF46">IF($J46="","",SUM(IF(LEFT($AG46:$EB46,1)="X",1,0)))</f>
        <v>11</v>
      </c>
      <c r="AG46" s="891" t="s">
        <v>1877</v>
      </c>
      <c r="AH46" s="891" t="s">
        <v>34</v>
      </c>
      <c r="AI46" s="891" t="s">
        <v>32</v>
      </c>
      <c r="AJ46" s="891" t="s">
        <v>1877</v>
      </c>
      <c r="AK46" s="891" t="s">
        <v>32</v>
      </c>
      <c r="AL46" s="891" t="s">
        <v>32</v>
      </c>
      <c r="AM46" s="891" t="s">
        <v>34</v>
      </c>
      <c r="AN46" s="891" t="s">
        <v>34</v>
      </c>
      <c r="AO46" s="891" t="s">
        <v>32</v>
      </c>
      <c r="AP46" s="891" t="s">
        <v>34</v>
      </c>
      <c r="AQ46" s="891" t="s">
        <v>32</v>
      </c>
      <c r="AR46" s="910"/>
      <c r="AS46" s="891" t="s">
        <v>35</v>
      </c>
      <c r="AT46" s="891" t="s">
        <v>34</v>
      </c>
      <c r="AU46" s="891" t="s">
        <v>34</v>
      </c>
      <c r="AV46" s="891" t="s">
        <v>35</v>
      </c>
      <c r="AW46" s="891" t="s">
        <v>32</v>
      </c>
      <c r="AX46" s="891" t="s">
        <v>32</v>
      </c>
      <c r="AY46" s="891" t="s">
        <v>32</v>
      </c>
      <c r="AZ46" s="891"/>
      <c r="BA46" s="891" t="s">
        <v>1877</v>
      </c>
      <c r="BB46" s="891" t="s">
        <v>32</v>
      </c>
      <c r="BC46" s="904" t="s">
        <v>36</v>
      </c>
      <c r="BD46" s="891" t="s">
        <v>36</v>
      </c>
      <c r="BE46" s="891" t="s">
        <v>35</v>
      </c>
      <c r="BF46" s="891" t="s">
        <v>34</v>
      </c>
      <c r="BG46" s="891" t="s">
        <v>32</v>
      </c>
      <c r="BH46" s="891" t="s">
        <v>32</v>
      </c>
      <c r="BI46" s="891" t="s">
        <v>36</v>
      </c>
      <c r="BJ46" s="891" t="s">
        <v>32</v>
      </c>
      <c r="BK46" s="891" t="s">
        <v>34</v>
      </c>
      <c r="BL46" s="891"/>
      <c r="BM46" s="910"/>
      <c r="BN46" s="891"/>
      <c r="BO46" s="891"/>
      <c r="BP46" s="891" t="s">
        <v>32</v>
      </c>
      <c r="BQ46" s="891" t="s">
        <v>1877</v>
      </c>
      <c r="BR46" s="891"/>
      <c r="BS46" s="892"/>
      <c r="BT46" s="896"/>
      <c r="BU46" s="892"/>
      <c r="BV46" s="896"/>
      <c r="BW46" s="896"/>
      <c r="BX46" s="896"/>
      <c r="BY46" s="896"/>
      <c r="BZ46" s="896"/>
      <c r="CA46" s="896"/>
      <c r="CB46" s="896"/>
      <c r="CC46" s="896"/>
      <c r="CD46" s="896"/>
      <c r="CE46" s="896"/>
      <c r="CF46" s="896"/>
      <c r="CG46" s="896"/>
      <c r="CH46" s="896"/>
      <c r="CI46" s="896"/>
      <c r="CJ46" s="428"/>
      <c r="CK46" s="428"/>
      <c r="CL46" s="428"/>
      <c r="CM46" s="428"/>
    </row>
    <row r="47" spans="1:125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9</v>
      </c>
      <c r="G47" s="879" t="s">
        <v>1083</v>
      </c>
      <c r="H47" s="879" t="s">
        <v>18</v>
      </c>
      <c r="I47" s="879" t="s">
        <v>891</v>
      </c>
      <c r="J47" s="846">
        <v>0</v>
      </c>
      <c r="K47" s="846">
        <v>0</v>
      </c>
      <c r="L47" s="816" t="str">
        <f t="shared" si="22"/>
        <v>D</v>
      </c>
      <c r="M47" s="816">
        <f t="shared" si="23"/>
        <v>0</v>
      </c>
      <c r="N47" s="816" t="str">
        <f t="shared" si="24"/>
        <v>U</v>
      </c>
      <c r="O47" s="816">
        <f t="shared" si="25"/>
        <v>0.25</v>
      </c>
      <c r="P47" s="829">
        <f t="shared" si="26"/>
        <v>0.5</v>
      </c>
      <c r="Q47" s="830">
        <v>-0.25</v>
      </c>
      <c r="R47" s="871">
        <f t="shared" si="27"/>
        <v>0.25</v>
      </c>
      <c r="S47" s="830">
        <v>2.36</v>
      </c>
      <c r="T47" s="871">
        <f t="shared" si="28"/>
        <v>-2.36</v>
      </c>
      <c r="U47" s="868">
        <f t="shared" si="29"/>
        <v>1.0549999999999999</v>
      </c>
      <c r="V47" s="868">
        <f t="shared" si="30"/>
        <v>1.3049999999999999</v>
      </c>
      <c r="W47" s="829">
        <v>8</v>
      </c>
      <c r="X47" s="829">
        <v>20</v>
      </c>
      <c r="Y47" s="829">
        <v>5</v>
      </c>
      <c r="Z47" s="829">
        <v>4</v>
      </c>
      <c r="AA47" s="829">
        <v>40</v>
      </c>
      <c r="AB47" s="829">
        <v>60</v>
      </c>
      <c r="AC47" s="829"/>
      <c r="AD47" s="816" t="str">
        <f t="array" ref="AD47">IF($J47="","",IF(SUM(IF(ISNUMBER(VALUE(RIGHT($AG47:$EB47,1))),VALUE(RIGHT($AG47:$EB47,1)),0))=$J47,"T","F"))</f>
        <v>T</v>
      </c>
      <c r="AE47" s="831">
        <f t="array" ref="AE47">IF($J47="","",SUM(IF(LEFT($AG47:$EB47,1)="s",1,0))-SUM(IF(RIGHT(LEFT($AG47:$EB47,2))="-",1,0)))</f>
        <v>0</v>
      </c>
      <c r="AF47" s="816">
        <f t="array" ref="AF47">IF($J47="","",SUM(IF(LEFT($AG47:$EB47,1)="X",1,0)))</f>
        <v>11</v>
      </c>
      <c r="AG47" s="891" t="s">
        <v>1877</v>
      </c>
      <c r="AH47" s="891" t="s">
        <v>34</v>
      </c>
      <c r="AI47" s="891" t="s">
        <v>32</v>
      </c>
      <c r="AJ47" s="891" t="s">
        <v>1877</v>
      </c>
      <c r="AK47" s="891" t="s">
        <v>32</v>
      </c>
      <c r="AL47" s="891" t="s">
        <v>36</v>
      </c>
      <c r="AM47" s="891" t="s">
        <v>34</v>
      </c>
      <c r="AN47" s="891" t="s">
        <v>34</v>
      </c>
      <c r="AO47" s="891" t="s">
        <v>32</v>
      </c>
      <c r="AP47" s="891" t="s">
        <v>34</v>
      </c>
      <c r="AQ47" s="891" t="s">
        <v>32</v>
      </c>
      <c r="AR47" s="891"/>
      <c r="AS47" s="891" t="s">
        <v>34</v>
      </c>
      <c r="AT47" s="891" t="s">
        <v>34</v>
      </c>
      <c r="AU47" s="891" t="s">
        <v>34</v>
      </c>
      <c r="AV47" s="891" t="s">
        <v>34</v>
      </c>
      <c r="AW47" s="891" t="s">
        <v>32</v>
      </c>
      <c r="AX47" s="891" t="s">
        <v>32</v>
      </c>
      <c r="AY47" s="891" t="s">
        <v>32</v>
      </c>
      <c r="AZ47" s="891"/>
      <c r="BA47" s="891" t="s">
        <v>36</v>
      </c>
      <c r="BB47" s="891" t="s">
        <v>32</v>
      </c>
      <c r="BC47" s="891" t="s">
        <v>1877</v>
      </c>
      <c r="BD47" s="891" t="s">
        <v>35</v>
      </c>
      <c r="BE47" s="891" t="s">
        <v>35</v>
      </c>
      <c r="BF47" s="904" t="s">
        <v>36</v>
      </c>
      <c r="BG47" s="891" t="s">
        <v>32</v>
      </c>
      <c r="BH47" s="891" t="s">
        <v>32</v>
      </c>
      <c r="BI47" s="891" t="s">
        <v>1877</v>
      </c>
      <c r="BJ47" s="891" t="s">
        <v>35</v>
      </c>
      <c r="BK47" s="891"/>
      <c r="BL47" s="891"/>
      <c r="BM47" s="891"/>
      <c r="BN47" s="891"/>
      <c r="BO47" s="891"/>
      <c r="BP47" s="910" t="s">
        <v>32</v>
      </c>
      <c r="BQ47" s="910" t="s">
        <v>32</v>
      </c>
      <c r="BR47" s="891"/>
      <c r="BS47" s="892" t="s">
        <v>32</v>
      </c>
      <c r="BT47" s="896" t="s">
        <v>32</v>
      </c>
      <c r="BU47" s="892" t="s">
        <v>32</v>
      </c>
      <c r="BV47" s="896" t="s">
        <v>32</v>
      </c>
      <c r="BW47" s="896" t="s">
        <v>32</v>
      </c>
      <c r="BX47" s="896" t="s">
        <v>32</v>
      </c>
      <c r="BY47" s="896" t="s">
        <v>32</v>
      </c>
      <c r="BZ47" s="896" t="s">
        <v>32</v>
      </c>
      <c r="CA47" s="896" t="s">
        <v>32</v>
      </c>
      <c r="CB47" s="896"/>
      <c r="CC47" s="896"/>
      <c r="CD47" s="896"/>
      <c r="CE47" s="896"/>
      <c r="CF47" s="896"/>
      <c r="CG47" s="896"/>
      <c r="CH47" s="896"/>
      <c r="CI47" s="896"/>
      <c r="CJ47" s="428"/>
      <c r="CK47" s="428"/>
      <c r="CL47" s="428"/>
      <c r="CM47" s="428"/>
    </row>
    <row r="48" spans="1:125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5</v>
      </c>
      <c r="G48" s="879" t="s">
        <v>889</v>
      </c>
      <c r="H48" s="879" t="s">
        <v>22</v>
      </c>
      <c r="I48" s="879" t="s">
        <v>891</v>
      </c>
      <c r="J48" s="846">
        <v>3</v>
      </c>
      <c r="K48" s="846">
        <v>2</v>
      </c>
      <c r="L48" s="816" t="str">
        <f t="shared" si="22"/>
        <v>W</v>
      </c>
      <c r="M48" s="816">
        <f t="shared" si="23"/>
        <v>5</v>
      </c>
      <c r="N48" s="816" t="str">
        <f t="shared" si="24"/>
        <v>O</v>
      </c>
      <c r="O48" s="816">
        <f t="shared" si="25"/>
        <v>0</v>
      </c>
      <c r="P48" s="829">
        <f t="shared" si="26"/>
        <v>1</v>
      </c>
      <c r="Q48" s="830">
        <v>-7.0000000000000007E-2</v>
      </c>
      <c r="R48" s="871">
        <f t="shared" si="27"/>
        <v>1.07</v>
      </c>
      <c r="S48" s="830">
        <v>2.4300000000000002</v>
      </c>
      <c r="T48" s="871">
        <f t="shared" si="28"/>
        <v>2.57</v>
      </c>
      <c r="U48" s="868">
        <f t="shared" si="29"/>
        <v>1.1800000000000002</v>
      </c>
      <c r="V48" s="868">
        <f t="shared" si="30"/>
        <v>1.25</v>
      </c>
      <c r="W48" s="829">
        <v>5</v>
      </c>
      <c r="X48" s="829">
        <v>14</v>
      </c>
      <c r="Y48" s="829">
        <v>2</v>
      </c>
      <c r="Z48" s="829">
        <v>4</v>
      </c>
      <c r="AA48" s="829">
        <v>40</v>
      </c>
      <c r="AB48" s="829">
        <v>60</v>
      </c>
      <c r="AC48" s="829"/>
      <c r="AD48" s="816" t="str">
        <f t="array" ref="AD48">IF($J48="","",IF(SUM(IF(ISNUMBER(VALUE(RIGHT($AG48:$EB48,1))),VALUE(RIGHT($AG48:$EB48,1)),0))=$J48,"T","F"))</f>
        <v>T</v>
      </c>
      <c r="AE48" s="831">
        <f t="array" ref="AE48">IF($J48="","",SUM(IF(LEFT($AG48:$EB48,1)="s",1,0))-SUM(IF(RIGHT(LEFT($AG48:$EB48,2))="-",1,0)))</f>
        <v>0</v>
      </c>
      <c r="AF48" s="816">
        <f t="array" ref="AF48">IF($J48="","",SUM(IF(LEFT($AG48:$EB48,1)="X",1,0)))</f>
        <v>11</v>
      </c>
      <c r="AG48" s="891" t="s">
        <v>1877</v>
      </c>
      <c r="AH48" s="891" t="s">
        <v>34</v>
      </c>
      <c r="AI48" s="891" t="s">
        <v>32</v>
      </c>
      <c r="AJ48" s="891" t="s">
        <v>32</v>
      </c>
      <c r="AK48" s="891" t="s">
        <v>32</v>
      </c>
      <c r="AL48" s="904" t="s">
        <v>34</v>
      </c>
      <c r="AM48" s="891" t="s">
        <v>32</v>
      </c>
      <c r="AN48" s="891" t="s">
        <v>34</v>
      </c>
      <c r="AO48" s="891" t="s">
        <v>32</v>
      </c>
      <c r="AP48" s="891" t="s">
        <v>34</v>
      </c>
      <c r="AQ48" s="891" t="s">
        <v>2939</v>
      </c>
      <c r="AR48" s="891" t="s">
        <v>32</v>
      </c>
      <c r="AS48" s="891" t="s">
        <v>34</v>
      </c>
      <c r="AT48" s="891" t="s">
        <v>35</v>
      </c>
      <c r="AU48" s="891" t="s">
        <v>34</v>
      </c>
      <c r="AV48" s="891" t="s">
        <v>34</v>
      </c>
      <c r="AW48" s="891" t="s">
        <v>32</v>
      </c>
      <c r="AX48" s="891" t="s">
        <v>32</v>
      </c>
      <c r="AY48" s="891" t="s">
        <v>32</v>
      </c>
      <c r="AZ48" s="891"/>
      <c r="BA48" s="891" t="s">
        <v>36</v>
      </c>
      <c r="BB48" s="891" t="s">
        <v>32</v>
      </c>
      <c r="BC48" s="891" t="s">
        <v>1877</v>
      </c>
      <c r="BD48" s="891" t="s">
        <v>32</v>
      </c>
      <c r="BE48" s="891" t="s">
        <v>35</v>
      </c>
      <c r="BF48" s="891" t="s">
        <v>35</v>
      </c>
      <c r="BG48" s="891" t="s">
        <v>32</v>
      </c>
      <c r="BH48" s="891" t="s">
        <v>32</v>
      </c>
      <c r="BI48" s="891" t="s">
        <v>1877</v>
      </c>
      <c r="BJ48" s="891" t="s">
        <v>1877</v>
      </c>
      <c r="BK48" s="891" t="s">
        <v>2938</v>
      </c>
      <c r="BL48" s="891" t="s">
        <v>32</v>
      </c>
      <c r="BM48" s="891" t="s">
        <v>36</v>
      </c>
      <c r="BN48" s="891">
        <v>1</v>
      </c>
      <c r="BO48" s="891"/>
      <c r="BP48" s="910"/>
      <c r="BQ48" s="910"/>
      <c r="BR48" s="891"/>
      <c r="BS48" s="892"/>
      <c r="BT48" s="896"/>
      <c r="BU48" s="892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896"/>
      <c r="CH48" s="896"/>
      <c r="CI48" s="896"/>
      <c r="CJ48" s="428"/>
      <c r="CK48" s="428"/>
      <c r="CL48" s="428"/>
      <c r="CM48" s="428"/>
    </row>
    <row r="49" spans="1:121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19</v>
      </c>
      <c r="G49" s="879" t="s">
        <v>885</v>
      </c>
      <c r="H49" s="879" t="s">
        <v>18</v>
      </c>
      <c r="I49" s="879" t="s">
        <v>891</v>
      </c>
      <c r="J49" s="846">
        <v>0</v>
      </c>
      <c r="K49" s="846">
        <v>2</v>
      </c>
      <c r="L49" s="816" t="str">
        <f t="shared" si="22"/>
        <v>L</v>
      </c>
      <c r="M49" s="816">
        <f t="shared" si="23"/>
        <v>2</v>
      </c>
      <c r="N49" s="816" t="str">
        <f t="shared" si="24"/>
        <v>U</v>
      </c>
      <c r="O49" s="816">
        <f t="shared" si="25"/>
        <v>0</v>
      </c>
      <c r="P49" s="829">
        <f t="shared" si="26"/>
        <v>-1</v>
      </c>
      <c r="Q49" s="830">
        <v>0.13</v>
      </c>
      <c r="R49" s="871">
        <f t="shared" si="27"/>
        <v>-2.13</v>
      </c>
      <c r="S49" s="830">
        <v>2.33</v>
      </c>
      <c r="T49" s="871">
        <f t="shared" si="28"/>
        <v>-0.33000000000000007</v>
      </c>
      <c r="U49" s="868">
        <f t="shared" si="29"/>
        <v>1.23</v>
      </c>
      <c r="V49" s="868">
        <f t="shared" si="30"/>
        <v>1.1000000000000001</v>
      </c>
      <c r="W49" s="829">
        <v>6</v>
      </c>
      <c r="X49" s="829">
        <v>17</v>
      </c>
      <c r="Y49" s="829">
        <v>1</v>
      </c>
      <c r="Z49" s="829">
        <v>5</v>
      </c>
      <c r="AA49" s="829">
        <v>38</v>
      </c>
      <c r="AB49" s="829">
        <v>62</v>
      </c>
      <c r="AC49" s="829"/>
      <c r="AD49" s="816" t="str">
        <f t="array" ref="AD49">IF($J49="","",IF(SUM(IF(ISNUMBER(VALUE(RIGHT($AG49:$EB49,1))),VALUE(RIGHT($AG49:$EB49,1)),0))=$J49,"T","F"))</f>
        <v>T</v>
      </c>
      <c r="AE49" s="831">
        <f t="array" ref="AE49">IF($J49="","",SUM(IF(LEFT($AG49:$EB49,1)="s",1,0))-SUM(IF(RIGHT(LEFT($AG49:$EB49,2))="-",1,0)))</f>
        <v>0</v>
      </c>
      <c r="AF49" s="816">
        <f t="array" ref="AF49">IF($J49="","",SUM(IF(LEFT($AG49:$EB49,1)="X",1,0)))</f>
        <v>11</v>
      </c>
      <c r="AG49" s="891" t="s">
        <v>1877</v>
      </c>
      <c r="AH49" s="891" t="s">
        <v>34</v>
      </c>
      <c r="AI49" s="891" t="s">
        <v>32</v>
      </c>
      <c r="AJ49" s="891" t="s">
        <v>32</v>
      </c>
      <c r="AK49" s="891" t="s">
        <v>32</v>
      </c>
      <c r="AL49" s="891" t="s">
        <v>34</v>
      </c>
      <c r="AM49" s="891" t="s">
        <v>32</v>
      </c>
      <c r="AN49" s="891" t="s">
        <v>34</v>
      </c>
      <c r="AO49" s="891" t="s">
        <v>1877</v>
      </c>
      <c r="AP49" s="904" t="s">
        <v>34</v>
      </c>
      <c r="AQ49" s="891" t="s">
        <v>32</v>
      </c>
      <c r="AR49" s="891" t="s">
        <v>32</v>
      </c>
      <c r="AS49" s="891" t="s">
        <v>34</v>
      </c>
      <c r="AT49" s="904" t="s">
        <v>34</v>
      </c>
      <c r="AU49" s="891" t="s">
        <v>34</v>
      </c>
      <c r="AV49" s="891" t="s">
        <v>36</v>
      </c>
      <c r="AW49" s="891" t="s">
        <v>32</v>
      </c>
      <c r="AX49" s="891" t="s">
        <v>32</v>
      </c>
      <c r="AY49" s="891" t="s">
        <v>32</v>
      </c>
      <c r="AZ49" s="891"/>
      <c r="BA49" s="891" t="s">
        <v>32</v>
      </c>
      <c r="BB49" s="891" t="s">
        <v>32</v>
      </c>
      <c r="BC49" s="891" t="s">
        <v>1877</v>
      </c>
      <c r="BD49" s="891" t="s">
        <v>1877</v>
      </c>
      <c r="BE49" s="891" t="s">
        <v>35</v>
      </c>
      <c r="BF49" s="891" t="s">
        <v>35</v>
      </c>
      <c r="BG49" s="891" t="s">
        <v>32</v>
      </c>
      <c r="BH49" s="891" t="s">
        <v>32</v>
      </c>
      <c r="BI49" s="891" t="s">
        <v>32</v>
      </c>
      <c r="BJ49" s="891" t="s">
        <v>36</v>
      </c>
      <c r="BK49" s="891" t="s">
        <v>34</v>
      </c>
      <c r="BL49" s="904" t="s">
        <v>35</v>
      </c>
      <c r="BM49" s="891" t="s">
        <v>36</v>
      </c>
      <c r="BN49" s="891" t="s">
        <v>32</v>
      </c>
      <c r="BO49" s="891" t="s">
        <v>32</v>
      </c>
      <c r="BP49" s="910" t="s">
        <v>32</v>
      </c>
      <c r="BQ49" s="910" t="s">
        <v>32</v>
      </c>
      <c r="BR49" s="891"/>
      <c r="BS49" s="892"/>
      <c r="BT49" s="896"/>
      <c r="BU49" s="892"/>
      <c r="BV49" s="896"/>
      <c r="BW49" s="896"/>
      <c r="BX49" s="896"/>
      <c r="BY49" s="896"/>
      <c r="BZ49" s="896"/>
      <c r="CA49" s="896"/>
      <c r="CB49" s="896"/>
      <c r="CC49" s="896"/>
      <c r="CD49" s="896"/>
      <c r="CE49" s="896"/>
      <c r="CF49" s="896"/>
      <c r="CG49" s="896"/>
      <c r="CH49" s="896"/>
      <c r="CI49" s="896"/>
      <c r="CJ49" s="428"/>
      <c r="CK49" s="428"/>
      <c r="CL49" s="428"/>
      <c r="CM49" s="428"/>
    </row>
    <row r="50" spans="1:121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15</v>
      </c>
      <c r="G50" s="879" t="s">
        <v>881</v>
      </c>
      <c r="H50" s="879" t="s">
        <v>18</v>
      </c>
      <c r="I50" s="879" t="s">
        <v>891</v>
      </c>
      <c r="J50" s="846">
        <v>0</v>
      </c>
      <c r="K50" s="846">
        <v>0</v>
      </c>
      <c r="L50" s="816" t="str">
        <f t="shared" si="22"/>
        <v>D</v>
      </c>
      <c r="M50" s="816">
        <f t="shared" si="23"/>
        <v>0</v>
      </c>
      <c r="N50" s="816" t="str">
        <f t="shared" si="24"/>
        <v>U</v>
      </c>
      <c r="O50" s="816">
        <f t="shared" si="25"/>
        <v>0.25</v>
      </c>
      <c r="P50" s="829">
        <f t="shared" si="26"/>
        <v>0.5</v>
      </c>
      <c r="Q50" s="830">
        <v>-0.25</v>
      </c>
      <c r="R50" s="871">
        <f t="shared" ref="R50:R65" si="39">IF(ISBLANK(Q50),"",J50-K50-Q50)</f>
        <v>0.25</v>
      </c>
      <c r="S50" s="830">
        <v>2.38</v>
      </c>
      <c r="T50" s="871">
        <f t="shared" si="28"/>
        <v>-2.38</v>
      </c>
      <c r="U50" s="868">
        <f t="shared" si="29"/>
        <v>1.0649999999999999</v>
      </c>
      <c r="V50" s="868">
        <f t="shared" si="30"/>
        <v>1.3149999999999999</v>
      </c>
      <c r="W50" s="829">
        <v>18</v>
      </c>
      <c r="X50" s="829">
        <v>11</v>
      </c>
      <c r="Y50" s="829">
        <v>5</v>
      </c>
      <c r="Z50" s="829">
        <v>2</v>
      </c>
      <c r="AA50" s="829">
        <v>48</v>
      </c>
      <c r="AB50" s="829">
        <v>52</v>
      </c>
      <c r="AC50" s="829"/>
      <c r="AD50" s="816" t="str">
        <f t="array" ref="AD50">IF($J50="","",IF(SUM(IF(ISNUMBER(VALUE(RIGHT($AG50:$EB50,1))),VALUE(RIGHT($AG50:$EB50,1)),0))=$J50,"T","F"))</f>
        <v>T</v>
      </c>
      <c r="AE50" s="831">
        <f t="array" ref="AE50">IF($J50="","",SUM(IF(LEFT($AG50:$EB50,1)="s",1,0))-SUM(IF(RIGHT(LEFT($AG50:$EB50,2))="-",1,0)))</f>
        <v>0</v>
      </c>
      <c r="AF50" s="816">
        <f t="array" ref="AF50">IF($J50="","",SUM(IF(LEFT($AG50:$EB50,1)="X",1,0)))</f>
        <v>11</v>
      </c>
      <c r="AG50" s="891" t="s">
        <v>1877</v>
      </c>
      <c r="AH50" s="891" t="s">
        <v>34</v>
      </c>
      <c r="AI50" s="891" t="s">
        <v>32</v>
      </c>
      <c r="AJ50" s="904" t="s">
        <v>34</v>
      </c>
      <c r="AK50" s="891" t="s">
        <v>32</v>
      </c>
      <c r="AL50" s="891" t="s">
        <v>32</v>
      </c>
      <c r="AM50" s="891" t="s">
        <v>34</v>
      </c>
      <c r="AN50" s="891" t="s">
        <v>32</v>
      </c>
      <c r="AO50" s="891" t="s">
        <v>1877</v>
      </c>
      <c r="AP50" s="891" t="s">
        <v>34</v>
      </c>
      <c r="AQ50" s="891" t="s">
        <v>36</v>
      </c>
      <c r="AR50" s="891" t="s">
        <v>32</v>
      </c>
      <c r="AS50" s="891" t="s">
        <v>34</v>
      </c>
      <c r="AT50" s="891" t="s">
        <v>34</v>
      </c>
      <c r="AU50" s="891" t="s">
        <v>34</v>
      </c>
      <c r="AV50" s="891" t="s">
        <v>32</v>
      </c>
      <c r="AW50" s="891" t="s">
        <v>32</v>
      </c>
      <c r="AX50" s="891" t="s">
        <v>32</v>
      </c>
      <c r="AY50" s="891" t="s">
        <v>32</v>
      </c>
      <c r="AZ50" s="891"/>
      <c r="BA50" s="891" t="s">
        <v>32</v>
      </c>
      <c r="BB50" s="891" t="s">
        <v>32</v>
      </c>
      <c r="BC50" s="891" t="s">
        <v>1877</v>
      </c>
      <c r="BD50" s="891" t="s">
        <v>35</v>
      </c>
      <c r="BE50" s="891" t="s">
        <v>35</v>
      </c>
      <c r="BF50" s="891" t="s">
        <v>34</v>
      </c>
      <c r="BG50" s="891" t="s">
        <v>32</v>
      </c>
      <c r="BH50" s="891" t="s">
        <v>32</v>
      </c>
      <c r="BI50" s="891" t="s">
        <v>1877</v>
      </c>
      <c r="BJ50" s="891" t="s">
        <v>35</v>
      </c>
      <c r="BK50" s="891" t="s">
        <v>36</v>
      </c>
      <c r="BL50" s="891" t="s">
        <v>32</v>
      </c>
      <c r="BM50" s="891" t="s">
        <v>36</v>
      </c>
      <c r="BN50" s="891"/>
      <c r="BO50" s="891"/>
      <c r="BP50" s="910"/>
      <c r="BQ50" s="910"/>
      <c r="BR50" s="891"/>
      <c r="BS50" s="892"/>
      <c r="BT50" s="896"/>
      <c r="BU50" s="892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896"/>
      <c r="CH50" s="896"/>
      <c r="CI50" s="896"/>
      <c r="CJ50" s="428"/>
      <c r="CK50" s="428"/>
      <c r="CL50" s="428"/>
      <c r="CM50" s="428"/>
    </row>
    <row r="51" spans="1:121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12</v>
      </c>
      <c r="G51" s="879" t="s">
        <v>879</v>
      </c>
      <c r="H51" s="879" t="s">
        <v>22</v>
      </c>
      <c r="I51" s="879" t="s">
        <v>891</v>
      </c>
      <c r="J51" s="846">
        <v>2</v>
      </c>
      <c r="K51" s="908">
        <v>0</v>
      </c>
      <c r="L51" s="816" t="str">
        <f t="shared" si="22"/>
        <v>W</v>
      </c>
      <c r="M51" s="816">
        <f t="shared" si="23"/>
        <v>2</v>
      </c>
      <c r="N51" s="816" t="str">
        <f t="shared" si="24"/>
        <v>U</v>
      </c>
      <c r="O51" s="816">
        <f t="shared" si="25"/>
        <v>0</v>
      </c>
      <c r="P51" s="829">
        <f t="shared" si="26"/>
        <v>1</v>
      </c>
      <c r="Q51" s="830">
        <v>-0.08</v>
      </c>
      <c r="R51" s="871">
        <f t="shared" si="39"/>
        <v>2.08</v>
      </c>
      <c r="S51" s="830">
        <v>2.1800000000000002</v>
      </c>
      <c r="T51" s="871">
        <f t="shared" si="28"/>
        <v>-0.18000000000000016</v>
      </c>
      <c r="U51" s="868">
        <f t="shared" si="29"/>
        <v>1.05</v>
      </c>
      <c r="V51" s="868">
        <f t="shared" si="30"/>
        <v>1.1300000000000001</v>
      </c>
      <c r="W51" s="829">
        <v>19</v>
      </c>
      <c r="X51" s="829">
        <v>15</v>
      </c>
      <c r="Y51" s="829">
        <v>9</v>
      </c>
      <c r="Z51" s="829">
        <v>7</v>
      </c>
      <c r="AA51" s="829">
        <v>45</v>
      </c>
      <c r="AB51" s="829">
        <v>55</v>
      </c>
      <c r="AC51" s="829"/>
      <c r="AD51" s="816" t="str">
        <f t="array" ref="AD51">IF($J51="","",IF(SUM(IF(ISNUMBER(VALUE(RIGHT($AG51:$EB51,1))),VALUE(RIGHT($AG51:$EB51,1)),0))=$J51,"T","F"))</f>
        <v>T</v>
      </c>
      <c r="AE51" s="831">
        <f t="array" ref="AE51">IF($J51="","",SUM(IF(LEFT($AG51:$EB51,1)="s",1,0))-SUM(IF(RIGHT(LEFT($AG51:$EB51,2))="-",1,0)))</f>
        <v>0</v>
      </c>
      <c r="AF51" s="816">
        <f t="array" ref="AF51">IF($J51="","",SUM(IF(LEFT($AG51:$EB51,1)="X",1,0)))</f>
        <v>11</v>
      </c>
      <c r="AG51" s="891" t="s">
        <v>1877</v>
      </c>
      <c r="AH51" s="891" t="s">
        <v>34</v>
      </c>
      <c r="AI51" s="891" t="s">
        <v>32</v>
      </c>
      <c r="AJ51" s="891" t="s">
        <v>3081</v>
      </c>
      <c r="AK51" s="891" t="s">
        <v>32</v>
      </c>
      <c r="AL51" s="891" t="s">
        <v>36</v>
      </c>
      <c r="AM51" s="904" t="s">
        <v>34</v>
      </c>
      <c r="AN51" s="904" t="s">
        <v>3084</v>
      </c>
      <c r="AO51" s="891" t="s">
        <v>32</v>
      </c>
      <c r="AP51" s="891" t="s">
        <v>34</v>
      </c>
      <c r="AQ51" s="891" t="s">
        <v>32</v>
      </c>
      <c r="AR51" s="891" t="s">
        <v>32</v>
      </c>
      <c r="AS51" s="891" t="s">
        <v>34</v>
      </c>
      <c r="AT51" s="891" t="s">
        <v>34</v>
      </c>
      <c r="AU51" s="891" t="s">
        <v>34</v>
      </c>
      <c r="AV51" s="891" t="s">
        <v>36</v>
      </c>
      <c r="AW51" s="891" t="s">
        <v>32</v>
      </c>
      <c r="AX51" s="891" t="s">
        <v>32</v>
      </c>
      <c r="AY51" s="891" t="s">
        <v>32</v>
      </c>
      <c r="AZ51" s="891"/>
      <c r="BA51" s="891" t="s">
        <v>1877</v>
      </c>
      <c r="BB51" s="891" t="s">
        <v>32</v>
      </c>
      <c r="BC51" s="891" t="s">
        <v>35</v>
      </c>
      <c r="BD51" s="891" t="s">
        <v>34</v>
      </c>
      <c r="BE51" s="891" t="s">
        <v>36</v>
      </c>
      <c r="BF51" s="891" t="s">
        <v>1877</v>
      </c>
      <c r="BG51" s="891" t="s">
        <v>32</v>
      </c>
      <c r="BH51" s="891" t="s">
        <v>32</v>
      </c>
      <c r="BI51" s="891" t="s">
        <v>1877</v>
      </c>
      <c r="BJ51" s="891" t="s">
        <v>32</v>
      </c>
      <c r="BK51" s="904" t="s">
        <v>3082</v>
      </c>
      <c r="BL51" s="891" t="s">
        <v>32</v>
      </c>
      <c r="BM51" s="891" t="s">
        <v>3083</v>
      </c>
      <c r="BN51" s="891"/>
      <c r="BO51" s="891"/>
      <c r="BP51" s="910"/>
      <c r="BQ51" s="910"/>
      <c r="BR51" s="891"/>
      <c r="BS51" s="892"/>
      <c r="BT51" s="896"/>
      <c r="BU51" s="892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896"/>
      <c r="CH51" s="896"/>
      <c r="CI51" s="896"/>
      <c r="CJ51" s="428"/>
      <c r="CK51" s="428"/>
      <c r="CL51" s="428"/>
      <c r="CM51" s="428"/>
    </row>
    <row r="52" spans="1:121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10</v>
      </c>
      <c r="G52" s="879" t="s">
        <v>883</v>
      </c>
      <c r="H52" s="879" t="s">
        <v>18</v>
      </c>
      <c r="I52" s="879" t="s">
        <v>891</v>
      </c>
      <c r="J52" s="846">
        <v>0</v>
      </c>
      <c r="K52" s="846">
        <v>1</v>
      </c>
      <c r="L52" s="816" t="str">
        <f t="shared" si="22"/>
        <v>L</v>
      </c>
      <c r="M52" s="816">
        <f t="shared" si="23"/>
        <v>1</v>
      </c>
      <c r="N52" s="816" t="str">
        <f t="shared" si="24"/>
        <v>U</v>
      </c>
      <c r="O52" s="816">
        <f t="shared" si="25"/>
        <v>0.25</v>
      </c>
      <c r="P52" s="829">
        <f t="shared" si="26"/>
        <v>-1</v>
      </c>
      <c r="Q52" s="830">
        <v>-0.37</v>
      </c>
      <c r="R52" s="871">
        <f t="shared" si="39"/>
        <v>-0.63</v>
      </c>
      <c r="S52" s="830">
        <v>2.3199999999999998</v>
      </c>
      <c r="T52" s="871">
        <f t="shared" si="28"/>
        <v>-1.3199999999999998</v>
      </c>
      <c r="U52" s="868">
        <f t="shared" si="29"/>
        <v>0.97499999999999987</v>
      </c>
      <c r="V52" s="868">
        <f t="shared" si="30"/>
        <v>1.345</v>
      </c>
      <c r="W52" s="829">
        <v>14</v>
      </c>
      <c r="X52" s="829">
        <v>9</v>
      </c>
      <c r="Y52" s="829">
        <v>4</v>
      </c>
      <c r="Z52" s="829">
        <v>3</v>
      </c>
      <c r="AA52" s="829">
        <v>57</v>
      </c>
      <c r="AB52" s="829">
        <v>43</v>
      </c>
      <c r="AC52" s="829"/>
      <c r="AD52" s="816" t="str">
        <f t="array" ref="AD52">IF($J52="","",IF(SUM(IF(ISNUMBER(VALUE(RIGHT($AG52:$EB52,1))),VALUE(RIGHT($AG52:$EB52,1)),0))=$J52,"T","F"))</f>
        <v>T</v>
      </c>
      <c r="AE52" s="831">
        <f t="array" ref="AE52">IF($J52="","",SUM(IF(LEFT($AG52:$EB52,1)="s",1,0))-SUM(IF(RIGHT(LEFT($AG52:$EB52,2))="-",1,0)))</f>
        <v>0</v>
      </c>
      <c r="AF52" s="816">
        <f t="array" ref="AF52">IF($J52="","",SUM(IF(LEFT($AG52:$EB52,1)="X",1,0)))</f>
        <v>11</v>
      </c>
      <c r="AG52" s="891" t="s">
        <v>1877</v>
      </c>
      <c r="AH52" s="891" t="s">
        <v>34</v>
      </c>
      <c r="AI52" s="891" t="s">
        <v>32</v>
      </c>
      <c r="AJ52" s="891" t="s">
        <v>34</v>
      </c>
      <c r="AK52" s="891" t="s">
        <v>32</v>
      </c>
      <c r="AL52" s="891" t="s">
        <v>34</v>
      </c>
      <c r="AM52" s="891" t="s">
        <v>3119</v>
      </c>
      <c r="AN52" s="891" t="s">
        <v>32</v>
      </c>
      <c r="AO52" s="891" t="s">
        <v>32</v>
      </c>
      <c r="AP52" s="891" t="s">
        <v>34</v>
      </c>
      <c r="AQ52" s="891" t="s">
        <v>32</v>
      </c>
      <c r="AR52" s="891" t="s">
        <v>32</v>
      </c>
      <c r="AS52" s="891" t="s">
        <v>34</v>
      </c>
      <c r="AT52" s="891" t="s">
        <v>36</v>
      </c>
      <c r="AU52" s="891" t="s">
        <v>34</v>
      </c>
      <c r="AV52" s="891" t="s">
        <v>1877</v>
      </c>
      <c r="AW52" s="891" t="s">
        <v>32</v>
      </c>
      <c r="AX52" s="891" t="s">
        <v>32</v>
      </c>
      <c r="AY52" s="891" t="s">
        <v>32</v>
      </c>
      <c r="AZ52" s="891"/>
      <c r="BA52" s="891" t="s">
        <v>1877</v>
      </c>
      <c r="BB52" s="891" t="s">
        <v>32</v>
      </c>
      <c r="BC52" s="891" t="s">
        <v>36</v>
      </c>
      <c r="BD52" s="891" t="s">
        <v>34</v>
      </c>
      <c r="BE52" s="891" t="s">
        <v>35</v>
      </c>
      <c r="BF52" s="891" t="s">
        <v>35</v>
      </c>
      <c r="BG52" s="891" t="s">
        <v>32</v>
      </c>
      <c r="BH52" s="891" t="s">
        <v>32</v>
      </c>
      <c r="BI52" s="891" t="s">
        <v>36</v>
      </c>
      <c r="BJ52" s="891" t="s">
        <v>1877</v>
      </c>
      <c r="BK52" s="891" t="s">
        <v>34</v>
      </c>
      <c r="BL52" s="891" t="s">
        <v>32</v>
      </c>
      <c r="BM52" s="891" t="s">
        <v>35</v>
      </c>
      <c r="BN52" s="891" t="s">
        <v>32</v>
      </c>
      <c r="BO52" s="891" t="s">
        <v>32</v>
      </c>
      <c r="BP52" s="910" t="s">
        <v>32</v>
      </c>
      <c r="BQ52" s="910" t="s">
        <v>32</v>
      </c>
      <c r="BR52" s="891"/>
      <c r="BS52" s="892"/>
      <c r="BT52" s="896"/>
      <c r="BU52" s="892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896"/>
      <c r="CH52" s="896"/>
      <c r="CI52" s="896"/>
      <c r="CJ52" s="428"/>
      <c r="CK52" s="428"/>
      <c r="CL52" s="428"/>
      <c r="CM52" s="428"/>
    </row>
    <row r="53" spans="1:121" ht="15">
      <c r="A53" s="882">
        <v>6448</v>
      </c>
      <c r="B53" s="884"/>
      <c r="C53" s="884"/>
      <c r="D53" s="884"/>
      <c r="E53" s="884"/>
      <c r="F53" s="884">
        <f ca="1">IF(I53="","",IF(I53=Table!$C$1,VLOOKUP(G53,Table!$B$9:$AE$32,Table!$AE$6-1,FALSE),""))</f>
        <v>4</v>
      </c>
      <c r="G53" s="879" t="s">
        <v>1084</v>
      </c>
      <c r="H53" s="879" t="s">
        <v>18</v>
      </c>
      <c r="I53" s="879" t="s">
        <v>891</v>
      </c>
      <c r="J53" s="846">
        <v>0</v>
      </c>
      <c r="K53" s="846">
        <v>0</v>
      </c>
      <c r="L53" s="816" t="str">
        <f t="shared" ref="L53:L54" si="40">IF(J53="","",IF(J53&gt;K53,"W",IF(J53=K53,"D",IF(J53&lt;K53,"L"))))</f>
        <v>D</v>
      </c>
      <c r="M53" s="816">
        <f t="shared" ref="M53:M54" si="41">IF(J53="","",J53+K53)</f>
        <v>0</v>
      </c>
      <c r="N53" s="816" t="str">
        <f t="shared" si="24"/>
        <v>U</v>
      </c>
      <c r="O53" s="816">
        <f t="shared" ref="O53" si="42">IF(Q53="","",IF(SIGN(Q53)&lt;&gt;1,VLOOKUP(ABS(Q53),SUP_HDC,3,TRUE),-VLOOKUP(ABS(Q53),SUP_HDC,3,TRUE)))</f>
        <v>0.5</v>
      </c>
      <c r="P53" s="829">
        <f t="shared" ref="P53" si="43">IF(O53="","",IF((J53-K53+O53)&gt;=0.5,1,IF((J53-K53+O53)=0.25,0.5,IF((J53-K53+O53)&lt;=-0.5,-1,IF((J53-K53+O53)=-0.25,-0.5,0)))))</f>
        <v>1</v>
      </c>
      <c r="Q53" s="830">
        <v>-0.67</v>
      </c>
      <c r="R53" s="871">
        <f t="shared" ref="R53" si="44">IF(ISBLANK(Q53),"",J53-K53-Q53)</f>
        <v>0.67</v>
      </c>
      <c r="S53" s="830">
        <v>2.34</v>
      </c>
      <c r="T53" s="871">
        <f t="shared" ref="T53" si="45">IF(ISBLANK(S53),"",J53+K53-S53)</f>
        <v>-2.34</v>
      </c>
      <c r="U53" s="868">
        <f t="shared" ref="U53" si="46">IF(Q53="","",(Q53+S53)/2)</f>
        <v>0.83499999999999996</v>
      </c>
      <c r="V53" s="868">
        <f t="shared" ref="V53" si="47">IF(Q53="","",S53-U53)</f>
        <v>1.5049999999999999</v>
      </c>
      <c r="W53" s="829">
        <v>10</v>
      </c>
      <c r="X53" s="829">
        <v>19</v>
      </c>
      <c r="Y53" s="829">
        <v>4</v>
      </c>
      <c r="Z53" s="829">
        <v>2</v>
      </c>
      <c r="AA53" s="829">
        <v>45</v>
      </c>
      <c r="AB53" s="829">
        <v>55</v>
      </c>
      <c r="AC53" s="829"/>
      <c r="AD53" s="816" t="str">
        <f t="array" ref="AD53">IF($J53="","",IF(SUM(IF(ISNUMBER(VALUE(RIGHT($AG53:$EB53,1))),VALUE(RIGHT($AG53:$EB53,1)),0))=$J53,"T","F"))</f>
        <v>T</v>
      </c>
      <c r="AE53" s="831">
        <f t="array" ref="AE53">IF($J53="","",SUM(IF(LEFT($AG53:$EB53,1)="s",1,0))-SUM(IF(RIGHT(LEFT($AG53:$EB53,2))="-",1,0)))</f>
        <v>0</v>
      </c>
      <c r="AF53" s="816">
        <f t="array" ref="AF53">IF($J53="","",SUM(IF(LEFT($AG53:$EB53,1)="X",1,0)))</f>
        <v>11</v>
      </c>
      <c r="AG53" s="891"/>
      <c r="AH53" s="891" t="s">
        <v>34</v>
      </c>
      <c r="AI53" s="891" t="s">
        <v>32</v>
      </c>
      <c r="AJ53" s="891" t="s">
        <v>34</v>
      </c>
      <c r="AK53" s="891" t="s">
        <v>32</v>
      </c>
      <c r="AL53" s="891" t="s">
        <v>1877</v>
      </c>
      <c r="AM53" s="891" t="s">
        <v>34</v>
      </c>
      <c r="AN53" s="891" t="s">
        <v>32</v>
      </c>
      <c r="AO53" s="891" t="s">
        <v>32</v>
      </c>
      <c r="AP53" s="904" t="s">
        <v>34</v>
      </c>
      <c r="AQ53" s="891" t="s">
        <v>32</v>
      </c>
      <c r="AR53" s="891" t="s">
        <v>32</v>
      </c>
      <c r="AS53" s="891" t="s">
        <v>34</v>
      </c>
      <c r="AT53" s="891" t="s">
        <v>35</v>
      </c>
      <c r="AU53" s="891" t="s">
        <v>34</v>
      </c>
      <c r="AV53" s="891" t="s">
        <v>1877</v>
      </c>
      <c r="AW53" s="891" t="s">
        <v>32</v>
      </c>
      <c r="AX53" s="891" t="s">
        <v>36</v>
      </c>
      <c r="AY53" s="891" t="s">
        <v>32</v>
      </c>
      <c r="AZ53" s="891"/>
      <c r="BA53" s="891" t="s">
        <v>32</v>
      </c>
      <c r="BB53" s="891" t="s">
        <v>32</v>
      </c>
      <c r="BC53" s="891" t="s">
        <v>35</v>
      </c>
      <c r="BD53" s="891" t="s">
        <v>34</v>
      </c>
      <c r="BE53" s="906" t="s">
        <v>3164</v>
      </c>
      <c r="BF53" s="891" t="s">
        <v>36</v>
      </c>
      <c r="BG53" s="891" t="s">
        <v>32</v>
      </c>
      <c r="BH53" s="891" t="s">
        <v>32</v>
      </c>
      <c r="BI53" s="891" t="s">
        <v>1877</v>
      </c>
      <c r="BJ53" s="891" t="s">
        <v>32</v>
      </c>
      <c r="BK53" s="904" t="s">
        <v>34</v>
      </c>
      <c r="BL53" s="891" t="s">
        <v>32</v>
      </c>
      <c r="BM53" s="891" t="s">
        <v>35</v>
      </c>
      <c r="BN53" s="891" t="s">
        <v>32</v>
      </c>
      <c r="BO53" s="891" t="s">
        <v>32</v>
      </c>
      <c r="BP53" s="910" t="s">
        <v>32</v>
      </c>
      <c r="BQ53" s="910" t="s">
        <v>32</v>
      </c>
      <c r="BR53" s="891"/>
      <c r="BS53" s="892"/>
      <c r="BT53" s="896"/>
      <c r="BU53" s="892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896"/>
      <c r="CH53" s="896"/>
      <c r="CI53" s="896"/>
      <c r="CJ53" s="428"/>
      <c r="CK53" s="428"/>
      <c r="CL53" s="428"/>
      <c r="CM53" s="428"/>
    </row>
    <row r="54" spans="1:121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3</v>
      </c>
      <c r="G54" s="879" t="s">
        <v>1085</v>
      </c>
      <c r="H54" s="879" t="s">
        <v>22</v>
      </c>
      <c r="I54" s="879" t="s">
        <v>891</v>
      </c>
      <c r="J54" s="846">
        <v>1</v>
      </c>
      <c r="K54" s="846">
        <v>1</v>
      </c>
      <c r="L54" s="816" t="str">
        <f t="shared" si="40"/>
        <v>D</v>
      </c>
      <c r="M54" s="816">
        <f t="shared" si="41"/>
        <v>2</v>
      </c>
      <c r="N54" s="816" t="str">
        <f t="shared" si="24"/>
        <v>U</v>
      </c>
      <c r="O54" s="816">
        <f t="shared" ref="O54" si="48">IF(Q54="","",IF(SIGN(Q54)&lt;&gt;1,VLOOKUP(ABS(Q54),SUP_HDC,3,TRUE),-VLOOKUP(ABS(Q54),SUP_HDC,3,TRUE)))</f>
        <v>0</v>
      </c>
      <c r="P54" s="829">
        <f t="shared" ref="P54" si="49">IF(O54="","",IF((J54-K54+O54)&gt;=0.5,1,IF((J54-K54+O54)=0.25,0.5,IF((J54-K54+O54)&lt;=-0.5,-1,IF((J54-K54+O54)=-0.25,-0.5,0)))))</f>
        <v>0</v>
      </c>
      <c r="Q54" s="830">
        <v>-0.13</v>
      </c>
      <c r="R54" s="871">
        <f t="shared" ref="R54" si="50">IF(ISBLANK(Q54),"",J54-K54-Q54)</f>
        <v>0.13</v>
      </c>
      <c r="S54" s="830">
        <v>2.78</v>
      </c>
      <c r="T54" s="871">
        <f t="shared" ref="T54" si="51">IF(ISBLANK(S54),"",J54+K54-S54)</f>
        <v>-0.7799999999999998</v>
      </c>
      <c r="U54" s="868">
        <f t="shared" ref="U54" si="52">IF(Q54="","",(Q54+S54)/2)</f>
        <v>1.325</v>
      </c>
      <c r="V54" s="868">
        <f t="shared" ref="V54" si="53">IF(Q54="","",S54-U54)</f>
        <v>1.4549999999999998</v>
      </c>
      <c r="W54" s="829">
        <v>10</v>
      </c>
      <c r="X54" s="829">
        <v>15</v>
      </c>
      <c r="Y54" s="829">
        <v>3</v>
      </c>
      <c r="Z54" s="829">
        <v>3</v>
      </c>
      <c r="AA54" s="829">
        <v>39</v>
      </c>
      <c r="AB54" s="829">
        <v>61</v>
      </c>
      <c r="AC54" s="829"/>
      <c r="AD54" s="816" t="str">
        <f t="array" ref="AD54">IF($J54="","",IF(SUM(IF(ISNUMBER(VALUE(RIGHT($AG54:$EB54,1))),VALUE(RIGHT($AG54:$EB54,1)),0))=$J54,"T","F"))</f>
        <v>T</v>
      </c>
      <c r="AE54" s="831">
        <f t="array" ref="AE54">IF($J54="","",SUM(IF(LEFT($AG54:$EB54,1)="s",1,0))-SUM(IF(RIGHT(LEFT($AG54:$EB54,2))="-",1,0)))</f>
        <v>0</v>
      </c>
      <c r="AF54" s="816">
        <f t="array" ref="AF54">IF($J54="","",SUM(IF(LEFT($AG54:$EB54,1)="X",1,0)))</f>
        <v>11</v>
      </c>
      <c r="AG54" s="891" t="s">
        <v>1877</v>
      </c>
      <c r="AH54" s="891" t="s">
        <v>34</v>
      </c>
      <c r="AI54" s="891" t="s">
        <v>32</v>
      </c>
      <c r="AJ54" s="891" t="s">
        <v>34</v>
      </c>
      <c r="AK54" s="891" t="s">
        <v>32</v>
      </c>
      <c r="AL54" s="891" t="s">
        <v>1877</v>
      </c>
      <c r="AM54" s="891" t="s">
        <v>34</v>
      </c>
      <c r="AN54" s="891" t="s">
        <v>32</v>
      </c>
      <c r="AO54" s="891" t="s">
        <v>32</v>
      </c>
      <c r="AP54" s="891" t="s">
        <v>34</v>
      </c>
      <c r="AQ54" s="891" t="s">
        <v>32</v>
      </c>
      <c r="AR54" s="891" t="s">
        <v>32</v>
      </c>
      <c r="AS54" s="891" t="s">
        <v>34</v>
      </c>
      <c r="AT54" s="891" t="s">
        <v>34</v>
      </c>
      <c r="AU54" s="891" t="s">
        <v>34</v>
      </c>
      <c r="AV54" s="891" t="s">
        <v>1877</v>
      </c>
      <c r="AW54" s="891" t="s">
        <v>32</v>
      </c>
      <c r="AX54" s="891" t="s">
        <v>36</v>
      </c>
      <c r="AY54" s="891" t="s">
        <v>32</v>
      </c>
      <c r="AZ54" s="891"/>
      <c r="BA54" s="891" t="s">
        <v>36</v>
      </c>
      <c r="BB54" s="891" t="s">
        <v>32</v>
      </c>
      <c r="BC54" s="891" t="s">
        <v>3173</v>
      </c>
      <c r="BD54" s="891" t="s">
        <v>35</v>
      </c>
      <c r="BE54" s="891" t="s">
        <v>35</v>
      </c>
      <c r="BF54" s="891" t="s">
        <v>36</v>
      </c>
      <c r="BG54" s="891" t="s">
        <v>32</v>
      </c>
      <c r="BH54" s="891" t="s">
        <v>32</v>
      </c>
      <c r="BI54" s="891" t="s">
        <v>32</v>
      </c>
      <c r="BJ54" s="891" t="s">
        <v>1877</v>
      </c>
      <c r="BK54" s="891" t="s">
        <v>3174</v>
      </c>
      <c r="BL54" s="891" t="s">
        <v>32</v>
      </c>
      <c r="BM54" s="891" t="s">
        <v>35</v>
      </c>
      <c r="BN54" s="891"/>
      <c r="BO54" s="891"/>
      <c r="BP54" s="910"/>
      <c r="BQ54" s="910"/>
      <c r="BR54" s="891"/>
      <c r="BS54" s="892"/>
      <c r="BT54" s="896"/>
      <c r="BU54" s="892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896"/>
      <c r="CH54" s="896"/>
      <c r="CI54" s="896"/>
      <c r="CJ54" s="428"/>
      <c r="CK54" s="428"/>
      <c r="CL54" s="428"/>
      <c r="CM54" s="428"/>
    </row>
    <row r="55" spans="1:121" ht="15">
      <c r="A55" s="882">
        <v>6462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18</v>
      </c>
      <c r="G55" s="879" t="s">
        <v>887</v>
      </c>
      <c r="H55" s="879" t="s">
        <v>22</v>
      </c>
      <c r="I55" s="879" t="s">
        <v>891</v>
      </c>
      <c r="J55" s="846">
        <v>1</v>
      </c>
      <c r="K55" s="846">
        <v>2</v>
      </c>
      <c r="L55" s="816" t="str">
        <f>IF(J55="","",IF(J55&gt;K55,"W",IF(J55=K55,"D",IF(J55&lt;K55,"L"))))</f>
        <v>L</v>
      </c>
      <c r="M55" s="816">
        <f>IF(J55="","",J55+K55)</f>
        <v>3</v>
      </c>
      <c r="N55" s="816" t="str">
        <f>IF($J55="","",IF($M55&gt;N$19,"O",IF($M55&lt;N$19,"U",IF($M55=N$19,"-"))))</f>
        <v>O</v>
      </c>
      <c r="O55" s="816">
        <f>IF(Q55="","",IF(SIGN(Q55)&lt;&gt;1,VLOOKUP(ABS(Q55),SUP_HDC,3,TRUE),-VLOOKUP(ABS(Q55),SUP_HDC,3,TRUE)))</f>
        <v>0</v>
      </c>
      <c r="P55" s="829">
        <f>IF(O55="","",IF((J55-K55+O55)&gt;=0.5,1,IF((J55-K55+O55)=0.25,0.5,IF((J55-K55+O55)&lt;=-0.5,-1,IF((J55-K55+O55)=-0.25,-0.5,0)))))</f>
        <v>-1</v>
      </c>
      <c r="Q55" s="830">
        <v>0.13</v>
      </c>
      <c r="R55" s="871">
        <f>IF(ISBLANK(Q55),"",J55-K55-Q55)</f>
        <v>-1.1299999999999999</v>
      </c>
      <c r="S55" s="830">
        <v>2.4300000000000002</v>
      </c>
      <c r="T55" s="871">
        <f>IF(ISBLANK(S55),"",J55+K55-S55)</f>
        <v>0.56999999999999984</v>
      </c>
      <c r="U55" s="868">
        <f>IF(Q55="","",(Q55+S55)/2)</f>
        <v>1.28</v>
      </c>
      <c r="V55" s="868">
        <f>IF(Q55="","",S55-U55)</f>
        <v>1.1500000000000001</v>
      </c>
      <c r="W55" s="829">
        <v>11</v>
      </c>
      <c r="X55" s="829">
        <v>20</v>
      </c>
      <c r="Y55" s="829">
        <v>3</v>
      </c>
      <c r="Z55" s="829">
        <v>5</v>
      </c>
      <c r="AA55" s="829">
        <v>31</v>
      </c>
      <c r="AB55" s="829">
        <v>69</v>
      </c>
      <c r="AC55" s="829"/>
      <c r="AD55" s="816" t="str">
        <f t="array" ref="AD55">IF($J55="","",IF(SUM(IF(ISNUMBER(VALUE(RIGHT($AG55:$EB55,1))),VALUE(RIGHT($AG55:$EB55,1)),0))=$J55,"T","F"))</f>
        <v>T</v>
      </c>
      <c r="AE55" s="831">
        <f t="array" ref="AE55">IF($J55="","",SUM(IF(LEFT($AG55:$EB55,1)="s",1,0))-SUM(IF(RIGHT(LEFT($AG55:$EB55,2))="-",1,0)))</f>
        <v>0</v>
      </c>
      <c r="AF55" s="816">
        <f t="array" ref="AF55">IF($J55="","",SUM(IF(LEFT($AG55:$EB55,1)="X",1,0)))</f>
        <v>11</v>
      </c>
      <c r="AG55" s="891" t="s">
        <v>1877</v>
      </c>
      <c r="AH55" s="891" t="s">
        <v>34</v>
      </c>
      <c r="AI55" s="891" t="s">
        <v>32</v>
      </c>
      <c r="AJ55" s="891" t="s">
        <v>34</v>
      </c>
      <c r="AK55" s="891" t="s">
        <v>32</v>
      </c>
      <c r="AL55" s="891" t="s">
        <v>1877</v>
      </c>
      <c r="AM55" s="891" t="s">
        <v>34</v>
      </c>
      <c r="AN55" s="891" t="s">
        <v>3226</v>
      </c>
      <c r="AO55" s="891" t="s">
        <v>32</v>
      </c>
      <c r="AP55" s="891" t="s">
        <v>34</v>
      </c>
      <c r="AQ55" s="891" t="s">
        <v>32</v>
      </c>
      <c r="AR55" s="891" t="s">
        <v>32</v>
      </c>
      <c r="AS55" s="904" t="s">
        <v>34</v>
      </c>
      <c r="AT55" s="891" t="s">
        <v>35</v>
      </c>
      <c r="AU55" s="891" t="s">
        <v>34</v>
      </c>
      <c r="AV55" s="891" t="s">
        <v>36</v>
      </c>
      <c r="AW55" s="891" t="s">
        <v>32</v>
      </c>
      <c r="AX55" s="891" t="s">
        <v>36</v>
      </c>
      <c r="AY55" s="891" t="s">
        <v>32</v>
      </c>
      <c r="AZ55" s="891"/>
      <c r="BA55" s="891" t="s">
        <v>1877</v>
      </c>
      <c r="BB55" s="891" t="s">
        <v>32</v>
      </c>
      <c r="BC55" s="891" t="s">
        <v>3217</v>
      </c>
      <c r="BD55" s="891" t="s">
        <v>34</v>
      </c>
      <c r="BE55" s="891" t="s">
        <v>35</v>
      </c>
      <c r="BF55" s="891" t="s">
        <v>35</v>
      </c>
      <c r="BG55" s="891" t="s">
        <v>32</v>
      </c>
      <c r="BH55" s="891" t="s">
        <v>32</v>
      </c>
      <c r="BI55" s="891" t="s">
        <v>32</v>
      </c>
      <c r="BJ55" s="891" t="s">
        <v>1877</v>
      </c>
      <c r="BK55" s="891" t="s">
        <v>3222</v>
      </c>
      <c r="BL55" s="891" t="s">
        <v>32</v>
      </c>
      <c r="BM55" s="891" t="s">
        <v>36</v>
      </c>
      <c r="BN55" s="891"/>
      <c r="BO55" s="891"/>
      <c r="BP55" s="910"/>
      <c r="BQ55" s="910"/>
      <c r="BR55" s="891"/>
      <c r="BS55" s="891"/>
      <c r="BT55" s="891"/>
      <c r="BU55" s="891"/>
      <c r="BV55" s="891"/>
      <c r="BW55" s="891"/>
      <c r="BX55" s="891"/>
      <c r="BY55" s="896"/>
      <c r="BZ55" s="896"/>
      <c r="CA55" s="896"/>
      <c r="CB55" s="896"/>
      <c r="CC55" s="891"/>
      <c r="CD55" s="891"/>
      <c r="CE55" s="891"/>
      <c r="CF55" s="891"/>
      <c r="CG55" s="891"/>
      <c r="CH55" s="891"/>
      <c r="CI55" s="891"/>
      <c r="CJ55" s="428"/>
      <c r="CK55" s="428"/>
      <c r="CL55" s="428"/>
      <c r="CM55" s="428"/>
      <c r="CN55" s="230" t="s">
        <v>32</v>
      </c>
      <c r="CO55" s="230" t="s">
        <v>32</v>
      </c>
      <c r="CP55" s="230" t="s">
        <v>32</v>
      </c>
      <c r="CQ55" s="230" t="s">
        <v>32</v>
      </c>
      <c r="CR55" s="230" t="s">
        <v>32</v>
      </c>
      <c r="CS55" s="230" t="s">
        <v>32</v>
      </c>
      <c r="CT55" s="230" t="s">
        <v>32</v>
      </c>
      <c r="DM55" s="6"/>
      <c r="DN55" s="6"/>
      <c r="DO55" s="6"/>
      <c r="DP55" s="6"/>
      <c r="DQ55" s="6"/>
    </row>
    <row r="56" spans="1:121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6</v>
      </c>
      <c r="G56" s="879" t="s">
        <v>876</v>
      </c>
      <c r="H56" s="879" t="s">
        <v>18</v>
      </c>
      <c r="I56" s="879" t="s">
        <v>891</v>
      </c>
      <c r="J56" s="846">
        <v>1</v>
      </c>
      <c r="K56" s="846">
        <v>2</v>
      </c>
      <c r="L56" s="816" t="str">
        <f t="shared" si="22"/>
        <v>L</v>
      </c>
      <c r="M56" s="816">
        <f t="shared" si="23"/>
        <v>3</v>
      </c>
      <c r="N56" s="816" t="str">
        <f t="shared" si="24"/>
        <v>O</v>
      </c>
      <c r="O56" s="816">
        <f t="shared" si="25"/>
        <v>0.5</v>
      </c>
      <c r="P56" s="829">
        <f t="shared" si="26"/>
        <v>-1</v>
      </c>
      <c r="Q56" s="830">
        <v>-0.63</v>
      </c>
      <c r="R56" s="871">
        <f t="shared" si="39"/>
        <v>-0.37</v>
      </c>
      <c r="S56" s="830">
        <v>2.58</v>
      </c>
      <c r="T56" s="871">
        <f t="shared" si="28"/>
        <v>0.41999999999999993</v>
      </c>
      <c r="U56" s="868">
        <f t="shared" si="29"/>
        <v>0.97500000000000009</v>
      </c>
      <c r="V56" s="868">
        <f t="shared" si="30"/>
        <v>1.605</v>
      </c>
      <c r="W56" s="829">
        <v>13</v>
      </c>
      <c r="X56" s="829">
        <v>22</v>
      </c>
      <c r="Y56" s="829">
        <v>3</v>
      </c>
      <c r="Z56" s="829">
        <v>9</v>
      </c>
      <c r="AA56" s="829">
        <v>48</v>
      </c>
      <c r="AB56" s="829">
        <v>52</v>
      </c>
      <c r="AC56" s="829"/>
      <c r="AD56" s="816" t="str">
        <f t="array" ref="AD56">IF($J56="","",IF(SUM(IF(ISNUMBER(VALUE(RIGHT($AG56:$EB56,1))),VALUE(RIGHT($AG56:$EB56,1)),0))=$J56,"T","F"))</f>
        <v>T</v>
      </c>
      <c r="AE56" s="831">
        <f t="array" ref="AE56">IF($J56="","",SUM(IF(LEFT($AG56:$EB56,1)="s",1,0))-SUM(IF(RIGHT(LEFT($AG56:$EB56,2))="-",1,0)))</f>
        <v>0</v>
      </c>
      <c r="AF56" s="816">
        <f t="array" ref="AF56">IF($J56="","",SUM(IF(LEFT($AG56:$EB56,1)="X",1,0)))</f>
        <v>11</v>
      </c>
      <c r="AG56" s="891" t="s">
        <v>3262</v>
      </c>
      <c r="AH56" s="891" t="s">
        <v>34</v>
      </c>
      <c r="AI56" s="891" t="s">
        <v>32</v>
      </c>
      <c r="AJ56" s="891" t="s">
        <v>35</v>
      </c>
      <c r="AK56" s="891" t="s">
        <v>32</v>
      </c>
      <c r="AL56" s="891" t="s">
        <v>1877</v>
      </c>
      <c r="AM56" s="891" t="s">
        <v>34</v>
      </c>
      <c r="AN56" s="891" t="s">
        <v>36</v>
      </c>
      <c r="AO56" s="891" t="s">
        <v>32</v>
      </c>
      <c r="AP56" s="891" t="s">
        <v>34</v>
      </c>
      <c r="AQ56" s="891" t="s">
        <v>1877</v>
      </c>
      <c r="AR56" s="891" t="s">
        <v>32</v>
      </c>
      <c r="AS56" s="891" t="s">
        <v>3256</v>
      </c>
      <c r="AT56" s="891" t="s">
        <v>35</v>
      </c>
      <c r="AU56" s="891" t="s">
        <v>34</v>
      </c>
      <c r="AV56" s="891" t="s">
        <v>36</v>
      </c>
      <c r="AW56" s="891" t="s">
        <v>32</v>
      </c>
      <c r="AX56" s="891" t="s">
        <v>34</v>
      </c>
      <c r="AY56" s="891" t="s">
        <v>32</v>
      </c>
      <c r="AZ56" s="891"/>
      <c r="BA56" s="891" t="s">
        <v>1877</v>
      </c>
      <c r="BB56" s="891" t="s">
        <v>32</v>
      </c>
      <c r="BC56" s="891" t="s">
        <v>1886</v>
      </c>
      <c r="BD56" s="891" t="s">
        <v>34</v>
      </c>
      <c r="BE56" s="891" t="s">
        <v>34</v>
      </c>
      <c r="BF56" s="891" t="s">
        <v>36</v>
      </c>
      <c r="BG56" s="891" t="s">
        <v>32</v>
      </c>
      <c r="BH56" s="891" t="s">
        <v>32</v>
      </c>
      <c r="BI56" s="891" t="s">
        <v>32</v>
      </c>
      <c r="BJ56" s="891" t="s">
        <v>32</v>
      </c>
      <c r="BK56" s="891" t="s">
        <v>3252</v>
      </c>
      <c r="BL56" s="891" t="s">
        <v>32</v>
      </c>
      <c r="BM56" s="891" t="s">
        <v>35</v>
      </c>
      <c r="BN56" s="891"/>
      <c r="BO56" s="891"/>
      <c r="BP56" s="910"/>
      <c r="BQ56" s="910"/>
      <c r="BR56" s="891"/>
      <c r="BS56" s="892"/>
      <c r="BT56" s="896"/>
      <c r="BU56" s="892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896"/>
      <c r="CH56" s="896"/>
      <c r="CI56" s="896"/>
      <c r="CJ56" s="428"/>
      <c r="CK56" s="428"/>
      <c r="CL56" s="428"/>
      <c r="CM56" s="428"/>
    </row>
    <row r="57" spans="1:121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22</v>
      </c>
      <c r="G57" s="879" t="s">
        <v>1087</v>
      </c>
      <c r="H57" s="879" t="s">
        <v>22</v>
      </c>
      <c r="I57" s="879" t="s">
        <v>891</v>
      </c>
      <c r="J57" s="846">
        <v>4</v>
      </c>
      <c r="K57" s="846">
        <v>0</v>
      </c>
      <c r="L57" s="816" t="str">
        <f t="shared" si="22"/>
        <v>W</v>
      </c>
      <c r="M57" s="816">
        <f t="shared" si="23"/>
        <v>4</v>
      </c>
      <c r="N57" s="816" t="str">
        <f t="shared" si="24"/>
        <v>O</v>
      </c>
      <c r="O57" s="816">
        <f t="shared" si="25"/>
        <v>-0.5</v>
      </c>
      <c r="P57" s="829">
        <f t="shared" si="26"/>
        <v>1</v>
      </c>
      <c r="Q57" s="830">
        <v>0.62</v>
      </c>
      <c r="R57" s="871">
        <f t="shared" si="39"/>
        <v>3.38</v>
      </c>
      <c r="S57" s="830">
        <v>2.5499999999999998</v>
      </c>
      <c r="T57" s="871">
        <f t="shared" si="28"/>
        <v>1.4500000000000002</v>
      </c>
      <c r="U57" s="868">
        <f t="shared" si="29"/>
        <v>1.585</v>
      </c>
      <c r="V57" s="868">
        <f t="shared" si="30"/>
        <v>0.96499999999999986</v>
      </c>
      <c r="W57" s="829">
        <v>18</v>
      </c>
      <c r="X57" s="829">
        <v>16</v>
      </c>
      <c r="Y57" s="829">
        <v>11</v>
      </c>
      <c r="Z57" s="829">
        <v>1</v>
      </c>
      <c r="AA57" s="829">
        <v>47</v>
      </c>
      <c r="AB57" s="829">
        <v>53</v>
      </c>
      <c r="AC57" s="829"/>
      <c r="AD57" s="816" t="str">
        <f t="array" ref="AD57">IF($J57="","",IF(SUM(IF(ISNUMBER(VALUE(RIGHT($AG57:$EB57,1))),VALUE(RIGHT($AG57:$EB57,1)),0))=$J57,"T","F"))</f>
        <v>T</v>
      </c>
      <c r="AE57" s="831">
        <f t="array" ref="AE57">IF($J57="","",SUM(IF(LEFT($AG57:$EB57,1)="s",1,0))-SUM(IF(RIGHT(LEFT($AG57:$EB57,2))="-",1,0)))</f>
        <v>0</v>
      </c>
      <c r="AF57" s="816">
        <f t="array" ref="AF57">IF($J57="","",SUM(IF(LEFT($AG57:$EB57,1)="X",1,0)))</f>
        <v>11</v>
      </c>
      <c r="AG57" s="891" t="s">
        <v>1877</v>
      </c>
      <c r="AH57" s="891" t="s">
        <v>34</v>
      </c>
      <c r="AI57" s="891" t="s">
        <v>32</v>
      </c>
      <c r="AJ57" s="891" t="s">
        <v>34</v>
      </c>
      <c r="AK57" s="891" t="s">
        <v>32</v>
      </c>
      <c r="AL57" s="891" t="s">
        <v>36</v>
      </c>
      <c r="AM57" s="891" t="s">
        <v>34</v>
      </c>
      <c r="AN57" s="891" t="s">
        <v>32</v>
      </c>
      <c r="AO57" s="891" t="s">
        <v>32</v>
      </c>
      <c r="AP57" s="904" t="s">
        <v>35</v>
      </c>
      <c r="AQ57" s="891" t="s">
        <v>32</v>
      </c>
      <c r="AR57" s="891" t="s">
        <v>32</v>
      </c>
      <c r="AS57" s="891" t="s">
        <v>34</v>
      </c>
      <c r="AT57" s="891" t="s">
        <v>1877</v>
      </c>
      <c r="AU57" s="891" t="s">
        <v>34</v>
      </c>
      <c r="AV57" s="891" t="s">
        <v>35</v>
      </c>
      <c r="AW57" s="891" t="s">
        <v>32</v>
      </c>
      <c r="AX57" s="891" t="s">
        <v>36</v>
      </c>
      <c r="AY57" s="891" t="s">
        <v>32</v>
      </c>
      <c r="AZ57" s="891" t="s">
        <v>3316</v>
      </c>
      <c r="BA57" s="891" t="s">
        <v>1877</v>
      </c>
      <c r="BB57" s="891" t="s">
        <v>32</v>
      </c>
      <c r="BC57" s="891" t="s">
        <v>1886</v>
      </c>
      <c r="BD57" s="891" t="s">
        <v>34</v>
      </c>
      <c r="BE57" s="891" t="s">
        <v>35</v>
      </c>
      <c r="BF57" s="891" t="s">
        <v>3325</v>
      </c>
      <c r="BG57" s="891" t="s">
        <v>32</v>
      </c>
      <c r="BH57" s="891" t="s">
        <v>32</v>
      </c>
      <c r="BI57" s="891" t="s">
        <v>32</v>
      </c>
      <c r="BJ57" s="891" t="s">
        <v>32</v>
      </c>
      <c r="BK57" s="904" t="s">
        <v>3322</v>
      </c>
      <c r="BL57" s="891" t="s">
        <v>32</v>
      </c>
      <c r="BM57" s="891" t="s">
        <v>1877</v>
      </c>
      <c r="BN57" s="891">
        <v>1</v>
      </c>
      <c r="BO57" s="891"/>
      <c r="BP57" s="910"/>
      <c r="BQ57" s="910"/>
      <c r="BR57" s="891"/>
      <c r="BS57" s="892"/>
      <c r="BT57" s="896"/>
      <c r="BU57" s="892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896"/>
      <c r="CH57" s="896"/>
      <c r="CI57" s="896"/>
      <c r="CJ57" s="428"/>
      <c r="CK57" s="428"/>
      <c r="CL57" s="428"/>
      <c r="CM57" s="428"/>
    </row>
    <row r="58" spans="1:121" ht="15">
      <c r="A58" s="882">
        <v>6483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8</v>
      </c>
      <c r="G58" s="879" t="s">
        <v>880</v>
      </c>
      <c r="H58" s="879" t="s">
        <v>22</v>
      </c>
      <c r="I58" s="879" t="s">
        <v>891</v>
      </c>
      <c r="J58" s="846">
        <v>0</v>
      </c>
      <c r="K58" s="846">
        <v>1</v>
      </c>
      <c r="L58" s="816" t="str">
        <f t="shared" si="22"/>
        <v>L</v>
      </c>
      <c r="M58" s="816">
        <f t="shared" si="23"/>
        <v>1</v>
      </c>
      <c r="N58" s="816" t="str">
        <f t="shared" si="24"/>
        <v>U</v>
      </c>
      <c r="O58" s="816">
        <f t="shared" ref="O58:O65" si="54">IF(Q58="","",IF(SIGN(Q58)&lt;&gt;1,VLOOKUP(ABS(Q58),SUP_HDC,3,TRUE),-VLOOKUP(ABS(Q58),SUP_HDC,3,TRUE)))</f>
        <v>0.25</v>
      </c>
      <c r="P58" s="829">
        <f t="shared" ref="P58:P65" si="55">IF(O58="","",IF((J58-K58+O58)&gt;=0.5,1,IF((J58-K58+O58)=0.25,0.5,IF((J58-K58+O58)&lt;=-0.5,-1,IF((J58-K58+O58)=-0.25,-0.5,0)))))</f>
        <v>-1</v>
      </c>
      <c r="Q58" s="830">
        <v>-0.38</v>
      </c>
      <c r="R58" s="871">
        <f t="shared" si="39"/>
        <v>-0.62</v>
      </c>
      <c r="S58" s="830">
        <v>2.58</v>
      </c>
      <c r="T58" s="871">
        <f t="shared" si="28"/>
        <v>-1.58</v>
      </c>
      <c r="U58" s="868">
        <f t="shared" ref="U58:U67" si="56">IF(Q58="","",(Q58+S58)/2)</f>
        <v>1.1000000000000001</v>
      </c>
      <c r="V58" s="868">
        <f t="shared" ref="V58:V67" si="57">IF(Q58="","",S58-U58)</f>
        <v>1.48</v>
      </c>
      <c r="W58" s="829">
        <v>11</v>
      </c>
      <c r="X58" s="829">
        <v>8</v>
      </c>
      <c r="Y58" s="829">
        <v>1</v>
      </c>
      <c r="Z58" s="829">
        <v>3</v>
      </c>
      <c r="AA58" s="829">
        <v>57</v>
      </c>
      <c r="AB58" s="829">
        <v>43</v>
      </c>
      <c r="AC58" s="829"/>
      <c r="AD58" s="816" t="str">
        <f t="array" ref="AD58">IF($J58="","",IF(SUM(IF(ISNUMBER(VALUE(RIGHT($AG58:$CN58,1))),VALUE(RIGHT($AG58:$CN58,1)),0))=$J58,"T","F"))</f>
        <v>T</v>
      </c>
      <c r="AE58" s="831">
        <f t="array" ref="AE58">IF($J58="","",SUM(IF(LEFT($AG58:$DZ58,1)="s",1,0))-SUM(IF(RIGHT(LEFT($AG58:$DZ58,2))="-",1,0)))</f>
        <v>0</v>
      </c>
      <c r="AF58" s="816">
        <f t="array" ref="AF58">IF($J58="","",SUM(IF(LEFT($AG58:$DF58,1)="X",1,0)))</f>
        <v>11</v>
      </c>
      <c r="AG58" s="891" t="s">
        <v>1877</v>
      </c>
      <c r="AH58" s="891" t="s">
        <v>34</v>
      </c>
      <c r="AI58" s="891" t="s">
        <v>32</v>
      </c>
      <c r="AJ58" s="891" t="s">
        <v>35</v>
      </c>
      <c r="AK58" s="891" t="s">
        <v>32</v>
      </c>
      <c r="AL58" s="891" t="s">
        <v>34</v>
      </c>
      <c r="AM58" s="891" t="s">
        <v>34</v>
      </c>
      <c r="AN58" s="891" t="s">
        <v>32</v>
      </c>
      <c r="AO58" s="891" t="s">
        <v>32</v>
      </c>
      <c r="AP58" s="891" t="s">
        <v>3363</v>
      </c>
      <c r="AQ58" s="891" t="s">
        <v>32</v>
      </c>
      <c r="AR58" s="891" t="s">
        <v>1877</v>
      </c>
      <c r="AS58" s="904" t="s">
        <v>34</v>
      </c>
      <c r="AT58" s="891" t="s">
        <v>34</v>
      </c>
      <c r="AU58" s="891" t="s">
        <v>34</v>
      </c>
      <c r="AV58" s="891" t="s">
        <v>35</v>
      </c>
      <c r="AW58" s="891" t="s">
        <v>32</v>
      </c>
      <c r="AX58" s="891" t="s">
        <v>36</v>
      </c>
      <c r="AY58" s="891" t="s">
        <v>32</v>
      </c>
      <c r="AZ58" s="891" t="s">
        <v>36</v>
      </c>
      <c r="BA58" s="891" t="s">
        <v>1877</v>
      </c>
      <c r="BB58" s="891" t="s">
        <v>32</v>
      </c>
      <c r="BC58" s="891" t="s">
        <v>1886</v>
      </c>
      <c r="BD58" s="891" t="s">
        <v>35</v>
      </c>
      <c r="BE58" s="891" t="s">
        <v>34</v>
      </c>
      <c r="BF58" s="891" t="s">
        <v>34</v>
      </c>
      <c r="BG58" s="891" t="s">
        <v>32</v>
      </c>
      <c r="BH58" s="891" t="s">
        <v>32</v>
      </c>
      <c r="BI58" s="891" t="s">
        <v>36</v>
      </c>
      <c r="BJ58" s="891" t="s">
        <v>32</v>
      </c>
      <c r="BK58" s="891" t="s">
        <v>3363</v>
      </c>
      <c r="BL58" s="891" t="s">
        <v>32</v>
      </c>
      <c r="BM58" s="891" t="s">
        <v>1877</v>
      </c>
      <c r="BN58" s="891"/>
      <c r="BO58" s="891"/>
      <c r="BP58" s="910"/>
      <c r="BQ58" s="910"/>
      <c r="BR58" s="891"/>
      <c r="BS58" s="892"/>
      <c r="BT58" s="896"/>
      <c r="BU58" s="892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896"/>
      <c r="CH58" s="896"/>
      <c r="CI58" s="896"/>
      <c r="CJ58" s="428"/>
      <c r="CK58" s="428"/>
      <c r="CL58" s="428"/>
      <c r="CM58" s="428"/>
    </row>
    <row r="59" spans="1:121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</v>
      </c>
      <c r="G59" s="879" t="s">
        <v>1086</v>
      </c>
      <c r="H59" s="879" t="s">
        <v>18</v>
      </c>
      <c r="I59" s="879" t="s">
        <v>891</v>
      </c>
      <c r="J59" s="846">
        <v>0</v>
      </c>
      <c r="K59" s="905">
        <v>3</v>
      </c>
      <c r="L59" s="816" t="str">
        <f t="shared" si="22"/>
        <v>L</v>
      </c>
      <c r="M59" s="816">
        <f t="shared" si="23"/>
        <v>3</v>
      </c>
      <c r="N59" s="816" t="str">
        <f t="shared" si="24"/>
        <v>O</v>
      </c>
      <c r="O59" s="816">
        <f t="shared" si="54"/>
        <v>0.5</v>
      </c>
      <c r="P59" s="829">
        <f t="shared" si="55"/>
        <v>-1</v>
      </c>
      <c r="Q59" s="830">
        <v>-0.67</v>
      </c>
      <c r="R59" s="871">
        <f t="shared" si="39"/>
        <v>-2.33</v>
      </c>
      <c r="S59" s="830">
        <v>2.56</v>
      </c>
      <c r="T59" s="871">
        <f t="shared" si="28"/>
        <v>0.43999999999999995</v>
      </c>
      <c r="U59" s="868">
        <f t="shared" si="56"/>
        <v>0.94500000000000006</v>
      </c>
      <c r="V59" s="868">
        <f t="shared" si="57"/>
        <v>1.615</v>
      </c>
      <c r="W59" s="829">
        <v>14</v>
      </c>
      <c r="X59" s="829">
        <v>15</v>
      </c>
      <c r="Y59" s="829">
        <v>1</v>
      </c>
      <c r="Z59" s="829">
        <v>7</v>
      </c>
      <c r="AA59" s="829">
        <v>49</v>
      </c>
      <c r="AB59" s="829">
        <v>51</v>
      </c>
      <c r="AC59" s="829"/>
      <c r="AD59" s="816" t="str">
        <f t="array" ref="AD59">IF($J59="","",IF(SUM(IF(ISNUMBER(VALUE(RIGHT($AG59:$CN59,1))),VALUE(RIGHT($AG59:$CN59,1)),0))=$J59,"T","F"))</f>
        <v>T</v>
      </c>
      <c r="AE59" s="831">
        <f t="array" ref="AE59">IF($J59="","",SUM(IF(LEFT($AG59:$DZ59,1)="s",1,0))-SUM(IF(RIGHT(LEFT($AG59:$DZ59,2))="-",1,0)))</f>
        <v>0</v>
      </c>
      <c r="AF59" s="816">
        <f t="array" ref="AF59">IF($J59="","",SUM(IF(LEFT($AG59:$DF59,1)="X",1,0)))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34</v>
      </c>
      <c r="AK59" s="891" t="s">
        <v>32</v>
      </c>
      <c r="AL59" s="891" t="s">
        <v>34</v>
      </c>
      <c r="AM59" s="891" t="s">
        <v>34</v>
      </c>
      <c r="AN59" s="891" t="s">
        <v>32</v>
      </c>
      <c r="AO59" s="891" t="s">
        <v>32</v>
      </c>
      <c r="AP59" s="891" t="s">
        <v>3396</v>
      </c>
      <c r="AQ59" s="891" t="s">
        <v>1877</v>
      </c>
      <c r="AR59" s="891" t="s">
        <v>32</v>
      </c>
      <c r="AS59" s="891" t="s">
        <v>32</v>
      </c>
      <c r="AT59" s="891" t="s">
        <v>36</v>
      </c>
      <c r="AU59" s="891" t="s">
        <v>34</v>
      </c>
      <c r="AV59" s="891" t="s">
        <v>35</v>
      </c>
      <c r="AW59" s="891" t="s">
        <v>32</v>
      </c>
      <c r="AX59" s="891" t="s">
        <v>35</v>
      </c>
      <c r="AY59" s="891" t="s">
        <v>32</v>
      </c>
      <c r="AZ59" s="891" t="s">
        <v>36</v>
      </c>
      <c r="BA59" s="891" t="s">
        <v>1877</v>
      </c>
      <c r="BB59" s="891" t="s">
        <v>32</v>
      </c>
      <c r="BC59" s="891" t="s">
        <v>1886</v>
      </c>
      <c r="BD59" s="891" t="s">
        <v>34</v>
      </c>
      <c r="BE59" s="891" t="s">
        <v>34</v>
      </c>
      <c r="BF59" s="891" t="s">
        <v>35</v>
      </c>
      <c r="BG59" s="891" t="s">
        <v>32</v>
      </c>
      <c r="BH59" s="891" t="s">
        <v>32</v>
      </c>
      <c r="BI59" s="891" t="s">
        <v>32</v>
      </c>
      <c r="BJ59" s="891" t="s">
        <v>1877</v>
      </c>
      <c r="BK59" s="891" t="s">
        <v>34</v>
      </c>
      <c r="BL59" s="891" t="s">
        <v>32</v>
      </c>
      <c r="BM59" s="891" t="s">
        <v>36</v>
      </c>
      <c r="BN59" s="891"/>
      <c r="BO59" s="891"/>
      <c r="BP59" s="910"/>
      <c r="BQ59" s="910"/>
      <c r="BR59" s="891"/>
      <c r="BS59" s="892"/>
      <c r="BT59" s="896"/>
      <c r="BU59" s="892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896"/>
      <c r="CH59" s="896"/>
      <c r="CI59" s="896"/>
    </row>
    <row r="60" spans="1:121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13</v>
      </c>
      <c r="G60" s="879" t="s">
        <v>884</v>
      </c>
      <c r="H60" s="879" t="s">
        <v>22</v>
      </c>
      <c r="I60" s="879" t="s">
        <v>891</v>
      </c>
      <c r="J60" s="846">
        <v>1</v>
      </c>
      <c r="K60" s="846">
        <v>0</v>
      </c>
      <c r="L60" s="816" t="str">
        <f t="shared" si="22"/>
        <v>W</v>
      </c>
      <c r="M60" s="816">
        <f t="shared" si="23"/>
        <v>1</v>
      </c>
      <c r="N60" s="816" t="str">
        <f t="shared" si="24"/>
        <v>U</v>
      </c>
      <c r="O60" s="816">
        <f t="shared" si="54"/>
        <v>0</v>
      </c>
      <c r="P60" s="829">
        <f t="shared" si="55"/>
        <v>1</v>
      </c>
      <c r="Q60" s="830">
        <v>0.02</v>
      </c>
      <c r="R60" s="871">
        <f t="shared" si="39"/>
        <v>0.98</v>
      </c>
      <c r="S60" s="830">
        <v>2.4500000000000002</v>
      </c>
      <c r="T60" s="871">
        <f t="shared" si="28"/>
        <v>-1.4500000000000002</v>
      </c>
      <c r="U60" s="868">
        <f t="shared" si="56"/>
        <v>1.2350000000000001</v>
      </c>
      <c r="V60" s="868">
        <f t="shared" si="57"/>
        <v>1.2150000000000001</v>
      </c>
      <c r="W60" s="829">
        <v>12</v>
      </c>
      <c r="X60" s="829">
        <v>17</v>
      </c>
      <c r="Y60" s="829">
        <v>3</v>
      </c>
      <c r="Z60" s="829">
        <v>8</v>
      </c>
      <c r="AA60" s="829">
        <v>52</v>
      </c>
      <c r="AB60" s="829">
        <v>48</v>
      </c>
      <c r="AC60" s="829"/>
      <c r="AD60" s="816" t="str">
        <f t="array" ref="AD60">IF($J60="","",IF(SUM(IF(ISNUMBER(VALUE(RIGHT($AG60:$CN60,1))),VALUE(RIGHT($AG60:$CN60,1)),0))=$J60,"T","F"))</f>
        <v>T</v>
      </c>
      <c r="AE60" s="831">
        <f t="array" ref="AE60">IF($J60="","",SUM(IF(LEFT($AG60:$DZ60,1)="s",1,0))-SUM(IF(RIGHT(LEFT($AG60:$DZ60,2))="-",1,0)))</f>
        <v>0</v>
      </c>
      <c r="AF60" s="816">
        <f t="array" ref="AF60">IF($J60="","",SUM(IF(LEFT($AG60:$DF60,1)="X",1,0)))</f>
        <v>11</v>
      </c>
      <c r="AG60" s="891" t="s">
        <v>1877</v>
      </c>
      <c r="AH60" s="891" t="s">
        <v>34</v>
      </c>
      <c r="AI60" s="891" t="s">
        <v>32</v>
      </c>
      <c r="AJ60" s="891" t="s">
        <v>32</v>
      </c>
      <c r="AK60" s="891" t="s">
        <v>32</v>
      </c>
      <c r="AL60" s="891" t="s">
        <v>36</v>
      </c>
      <c r="AM60" s="891" t="s">
        <v>34</v>
      </c>
      <c r="AN60" s="891" t="s">
        <v>34</v>
      </c>
      <c r="AO60" s="891" t="s">
        <v>32</v>
      </c>
      <c r="AP60" s="891" t="s">
        <v>34</v>
      </c>
      <c r="AQ60" s="891" t="s">
        <v>32</v>
      </c>
      <c r="AR60" s="891" t="s">
        <v>32</v>
      </c>
      <c r="AS60" s="891" t="s">
        <v>3429</v>
      </c>
      <c r="AT60" s="891" t="s">
        <v>36</v>
      </c>
      <c r="AU60" s="891" t="s">
        <v>34</v>
      </c>
      <c r="AV60" s="891" t="s">
        <v>35</v>
      </c>
      <c r="AW60" s="891" t="s">
        <v>32</v>
      </c>
      <c r="AX60" s="891" t="s">
        <v>34</v>
      </c>
      <c r="AY60" s="891" t="s">
        <v>32</v>
      </c>
      <c r="AZ60" s="891" t="s">
        <v>1877</v>
      </c>
      <c r="BA60" s="891" t="s">
        <v>32</v>
      </c>
      <c r="BB60" s="891" t="s">
        <v>32</v>
      </c>
      <c r="BC60" s="891" t="s">
        <v>1886</v>
      </c>
      <c r="BD60" s="891" t="s">
        <v>1877</v>
      </c>
      <c r="BE60" s="891" t="s">
        <v>35</v>
      </c>
      <c r="BF60" s="891" t="s">
        <v>36</v>
      </c>
      <c r="BG60" s="891" t="s">
        <v>32</v>
      </c>
      <c r="BH60" s="891" t="s">
        <v>32</v>
      </c>
      <c r="BI60" s="891" t="s">
        <v>32</v>
      </c>
      <c r="BJ60" s="891" t="s">
        <v>35</v>
      </c>
      <c r="BK60" s="891" t="s">
        <v>34</v>
      </c>
      <c r="BL60" s="891" t="s">
        <v>1877</v>
      </c>
      <c r="BM60" s="891"/>
      <c r="BN60" s="891"/>
      <c r="BO60" s="891"/>
      <c r="BP60" s="910"/>
      <c r="BQ60" s="910"/>
      <c r="BR60" s="891"/>
      <c r="BS60" s="892"/>
      <c r="BT60" s="896"/>
      <c r="BU60" s="892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896"/>
      <c r="CH60" s="896"/>
      <c r="CI60" s="896"/>
    </row>
    <row r="61" spans="1:121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20</v>
      </c>
      <c r="G61" s="879" t="s">
        <v>882</v>
      </c>
      <c r="H61" s="879" t="s">
        <v>18</v>
      </c>
      <c r="I61" s="879" t="s">
        <v>891</v>
      </c>
      <c r="J61" s="846">
        <v>0</v>
      </c>
      <c r="K61" s="846">
        <v>1</v>
      </c>
      <c r="L61" s="816" t="str">
        <f t="shared" si="22"/>
        <v>L</v>
      </c>
      <c r="M61" s="816">
        <f t="shared" si="23"/>
        <v>1</v>
      </c>
      <c r="N61" s="816" t="str">
        <f t="shared" si="24"/>
        <v>U</v>
      </c>
      <c r="O61" s="816">
        <f t="shared" si="54"/>
        <v>0</v>
      </c>
      <c r="P61" s="829">
        <f t="shared" si="55"/>
        <v>-1</v>
      </c>
      <c r="Q61" s="830">
        <v>-0.1</v>
      </c>
      <c r="R61" s="871">
        <f t="shared" si="39"/>
        <v>-0.9</v>
      </c>
      <c r="S61" s="830">
        <v>2.7</v>
      </c>
      <c r="T61" s="871">
        <f t="shared" si="28"/>
        <v>-1.7000000000000002</v>
      </c>
      <c r="U61" s="868">
        <f t="shared" si="56"/>
        <v>1.3</v>
      </c>
      <c r="V61" s="868">
        <f t="shared" si="57"/>
        <v>1.4000000000000001</v>
      </c>
      <c r="W61" s="829">
        <v>10</v>
      </c>
      <c r="X61" s="829">
        <v>10</v>
      </c>
      <c r="Y61" s="829">
        <v>1</v>
      </c>
      <c r="Z61" s="829">
        <v>1</v>
      </c>
      <c r="AA61" s="829">
        <v>47</v>
      </c>
      <c r="AB61" s="829">
        <v>53</v>
      </c>
      <c r="AC61" s="829"/>
      <c r="AD61" s="816" t="str">
        <f t="array" ref="AD61">IF($J61="","",IF(SUM(IF(ISNUMBER(VALUE(RIGHT($AG61:$CN61,1))),VALUE(RIGHT($AG61:$CN61,1)),0))=$J61,"T","F"))</f>
        <v>T</v>
      </c>
      <c r="AE61" s="831">
        <f t="array" ref="AE61">IF($J61="","",SUM(IF(LEFT($AG61:$DZ61,1)="s",1,0))-SUM(IF(RIGHT(LEFT($AG61:$DZ61,2))="-",1,0)))</f>
        <v>0</v>
      </c>
      <c r="AF61" s="816">
        <f t="array" ref="AF61">IF($J61="","",SUM(IF(LEFT($AG61:$DF61,1)="X",1,0)))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3469</v>
      </c>
      <c r="AK61" s="891" t="s">
        <v>32</v>
      </c>
      <c r="AL61" s="891" t="s">
        <v>1877</v>
      </c>
      <c r="AM61" s="891" t="s">
        <v>34</v>
      </c>
      <c r="AN61" s="891" t="s">
        <v>35</v>
      </c>
      <c r="AO61" s="891" t="s">
        <v>32</v>
      </c>
      <c r="AP61" s="891" t="s">
        <v>34</v>
      </c>
      <c r="AQ61" s="891" t="s">
        <v>32</v>
      </c>
      <c r="AR61" s="891" t="s">
        <v>32</v>
      </c>
      <c r="AS61" s="891" t="s">
        <v>34</v>
      </c>
      <c r="AT61" s="891" t="s">
        <v>1877</v>
      </c>
      <c r="AU61" s="891" t="s">
        <v>34</v>
      </c>
      <c r="AV61" s="891" t="s">
        <v>34</v>
      </c>
      <c r="AW61" s="891" t="s">
        <v>32</v>
      </c>
      <c r="AX61" s="904" t="s">
        <v>34</v>
      </c>
      <c r="AY61" s="891" t="s">
        <v>32</v>
      </c>
      <c r="AZ61" s="891" t="s">
        <v>36</v>
      </c>
      <c r="BA61" s="891" t="s">
        <v>36</v>
      </c>
      <c r="BB61" s="891" t="s">
        <v>32</v>
      </c>
      <c r="BC61" s="891" t="s">
        <v>1886</v>
      </c>
      <c r="BD61" s="891" t="s">
        <v>1877</v>
      </c>
      <c r="BE61" s="891" t="s">
        <v>35</v>
      </c>
      <c r="BF61" s="891" t="s">
        <v>36</v>
      </c>
      <c r="BG61" s="891" t="s">
        <v>32</v>
      </c>
      <c r="BH61" s="891" t="s">
        <v>32</v>
      </c>
      <c r="BI61" s="891" t="s">
        <v>32</v>
      </c>
      <c r="BJ61" s="891" t="s">
        <v>35</v>
      </c>
      <c r="BK61" s="891" t="s">
        <v>34</v>
      </c>
      <c r="BL61" s="891"/>
      <c r="BM61" s="891"/>
      <c r="BN61" s="891"/>
      <c r="BO61" s="891"/>
      <c r="BP61" s="910"/>
      <c r="BQ61" s="910"/>
      <c r="BR61" s="891"/>
      <c r="BS61" s="892"/>
      <c r="BT61" s="896"/>
      <c r="BU61" s="892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  <c r="CG61" s="896"/>
      <c r="CH61" s="896"/>
      <c r="CI61" s="896"/>
    </row>
    <row r="62" spans="1:121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7</v>
      </c>
      <c r="G62" s="879" t="s">
        <v>888</v>
      </c>
      <c r="H62" s="879" t="s">
        <v>18</v>
      </c>
      <c r="I62" s="879" t="s">
        <v>891</v>
      </c>
      <c r="J62" s="846">
        <v>3</v>
      </c>
      <c r="K62" s="846">
        <v>2</v>
      </c>
      <c r="L62" s="816" t="str">
        <f t="shared" si="22"/>
        <v>W</v>
      </c>
      <c r="M62" s="816">
        <f t="shared" si="23"/>
        <v>5</v>
      </c>
      <c r="N62" s="816" t="str">
        <f t="shared" si="24"/>
        <v>O</v>
      </c>
      <c r="O62" s="816">
        <f t="shared" si="54"/>
        <v>0.75</v>
      </c>
      <c r="P62" s="829">
        <f t="shared" si="55"/>
        <v>1</v>
      </c>
      <c r="Q62" s="830">
        <v>-0.85</v>
      </c>
      <c r="R62" s="871">
        <f t="shared" si="39"/>
        <v>1.85</v>
      </c>
      <c r="S62" s="830">
        <v>2.7</v>
      </c>
      <c r="T62" s="871">
        <f t="shared" si="28"/>
        <v>2.2999999999999998</v>
      </c>
      <c r="U62" s="868">
        <f t="shared" si="56"/>
        <v>0.92500000000000004</v>
      </c>
      <c r="V62" s="868">
        <f t="shared" si="57"/>
        <v>1.7750000000000001</v>
      </c>
      <c r="W62" s="829">
        <v>8</v>
      </c>
      <c r="X62" s="829">
        <v>21</v>
      </c>
      <c r="Y62" s="829">
        <v>5</v>
      </c>
      <c r="Z62" s="829">
        <v>8</v>
      </c>
      <c r="AA62" s="829">
        <v>34</v>
      </c>
      <c r="AB62" s="829">
        <v>66</v>
      </c>
      <c r="AC62" s="829"/>
      <c r="AD62" s="816" t="str">
        <f t="array" ref="AD62">IF($J62="","",IF(SUM(IF(ISNUMBER(VALUE(RIGHT($AG62:$CN62,1))),VALUE(RIGHT($AG62:$CN62,1)),0))=$J62,"T","F"))</f>
        <v>T</v>
      </c>
      <c r="AE62" s="831">
        <f t="array" ref="AE62">IF($J62="","",SUM(IF(LEFT($AG62:$DZ62,1)="s",1,0))-SUM(IF(RIGHT(LEFT($AG62:$DZ62,2))="-",1,0)))</f>
        <v>0</v>
      </c>
      <c r="AF62" s="816">
        <f t="array" ref="AF62">IF($J62="","",SUM(IF(LEFT($AG62:$DF62,1)="X",1,0)))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1877</v>
      </c>
      <c r="AK62" s="891" t="s">
        <v>32</v>
      </c>
      <c r="AL62" s="891" t="s">
        <v>36</v>
      </c>
      <c r="AM62" s="891" t="s">
        <v>34</v>
      </c>
      <c r="AN62" s="891" t="s">
        <v>32</v>
      </c>
      <c r="AO62" s="891" t="s">
        <v>32</v>
      </c>
      <c r="AP62" s="891" t="s">
        <v>34</v>
      </c>
      <c r="AQ62" s="891" t="s">
        <v>32</v>
      </c>
      <c r="AR62" s="891" t="s">
        <v>32</v>
      </c>
      <c r="AS62" s="891" t="s">
        <v>34</v>
      </c>
      <c r="AT62" s="891" t="s">
        <v>34</v>
      </c>
      <c r="AU62" s="891" t="s">
        <v>34</v>
      </c>
      <c r="AV62" s="891" t="s">
        <v>36</v>
      </c>
      <c r="AW62" s="891" t="s">
        <v>32</v>
      </c>
      <c r="AX62" s="891" t="s">
        <v>35</v>
      </c>
      <c r="AY62" s="891" t="s">
        <v>32</v>
      </c>
      <c r="AZ62" s="891" t="s">
        <v>1877</v>
      </c>
      <c r="BA62" s="891" t="s">
        <v>3483</v>
      </c>
      <c r="BB62" s="891" t="s">
        <v>32</v>
      </c>
      <c r="BC62" s="891" t="s">
        <v>1886</v>
      </c>
      <c r="BD62" s="891" t="s">
        <v>3484</v>
      </c>
      <c r="BE62" s="891" t="s">
        <v>35</v>
      </c>
      <c r="BF62" s="904" t="s">
        <v>3484</v>
      </c>
      <c r="BG62" s="891" t="s">
        <v>32</v>
      </c>
      <c r="BH62" s="891" t="s">
        <v>32</v>
      </c>
      <c r="BI62" s="891" t="s">
        <v>32</v>
      </c>
      <c r="BJ62" s="891" t="s">
        <v>32</v>
      </c>
      <c r="BK62" s="904" t="s">
        <v>35</v>
      </c>
      <c r="BL62" s="891" t="s">
        <v>32</v>
      </c>
      <c r="BM62" s="891" t="s">
        <v>1877</v>
      </c>
      <c r="BN62" s="891"/>
      <c r="BO62" s="891"/>
      <c r="BP62" s="910"/>
      <c r="BQ62" s="910"/>
      <c r="BR62" s="891"/>
      <c r="BS62" s="893"/>
      <c r="BT62" s="896"/>
      <c r="BU62" s="893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  <c r="CG62" s="896"/>
      <c r="CH62" s="896"/>
      <c r="CI62" s="896"/>
    </row>
    <row r="63" spans="1:121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2</v>
      </c>
      <c r="G63" s="879" t="s">
        <v>886</v>
      </c>
      <c r="H63" s="879" t="s">
        <v>22</v>
      </c>
      <c r="I63" s="879" t="s">
        <v>891</v>
      </c>
      <c r="J63" s="846">
        <v>0</v>
      </c>
      <c r="K63" s="846">
        <v>2</v>
      </c>
      <c r="L63" s="816" t="str">
        <f t="shared" si="22"/>
        <v>L</v>
      </c>
      <c r="M63" s="816">
        <f t="shared" si="23"/>
        <v>2</v>
      </c>
      <c r="N63" s="816" t="str">
        <f t="shared" si="24"/>
        <v>U</v>
      </c>
      <c r="O63" s="816">
        <f t="shared" si="54"/>
        <v>0.25</v>
      </c>
      <c r="P63" s="829">
        <f t="shared" si="55"/>
        <v>-1</v>
      </c>
      <c r="Q63" s="830">
        <v>-0.33</v>
      </c>
      <c r="R63" s="871">
        <f t="shared" si="39"/>
        <v>-1.67</v>
      </c>
      <c r="S63" s="830">
        <v>2.23</v>
      </c>
      <c r="T63" s="871">
        <f t="shared" si="28"/>
        <v>-0.22999999999999998</v>
      </c>
      <c r="U63" s="868">
        <f t="shared" si="56"/>
        <v>0.95</v>
      </c>
      <c r="V63" s="868">
        <f t="shared" si="57"/>
        <v>1.28</v>
      </c>
      <c r="W63" s="829">
        <v>11</v>
      </c>
      <c r="X63" s="829">
        <v>20</v>
      </c>
      <c r="Y63" s="829">
        <v>0</v>
      </c>
      <c r="Z63" s="829">
        <v>5</v>
      </c>
      <c r="AA63" s="829">
        <v>54</v>
      </c>
      <c r="AB63" s="829">
        <v>46</v>
      </c>
      <c r="AC63" s="829"/>
      <c r="AD63" s="816" t="str">
        <f t="array" ref="AD63">IF($J63="","",IF(SUM(IF(ISNUMBER(VALUE(RIGHT($AG63:$CN63,1))),VALUE(RIGHT($AG63:$CN63,1)),0))=$J63,"T","F"))</f>
        <v>T</v>
      </c>
      <c r="AE63" s="831">
        <f t="array" ref="AE63">IF($J63="","",SUM(IF(LEFT($AG63:$DZ63,1)="s",1,0))-SUM(IF(RIGHT(LEFT($AG63:$DZ63,2))="-",1,0)))</f>
        <v>0</v>
      </c>
      <c r="AF63" s="816">
        <f t="array" ref="AF63">IF($J63="","",SUM(IF(LEFT($AG63:$DF63,1)="X",1,0)))</f>
        <v>11</v>
      </c>
      <c r="AG63" s="891" t="s">
        <v>1877</v>
      </c>
      <c r="AH63" s="891" t="s">
        <v>34</v>
      </c>
      <c r="AI63" s="891" t="s">
        <v>32</v>
      </c>
      <c r="AJ63" s="904" t="s">
        <v>35</v>
      </c>
      <c r="AK63" s="891" t="s">
        <v>32</v>
      </c>
      <c r="AL63" s="891" t="s">
        <v>36</v>
      </c>
      <c r="AM63" s="904" t="s">
        <v>34</v>
      </c>
      <c r="AN63" s="891" t="s">
        <v>32</v>
      </c>
      <c r="AO63" s="891" t="s">
        <v>32</v>
      </c>
      <c r="AP63" s="904" t="s">
        <v>34</v>
      </c>
      <c r="AQ63" s="891" t="s">
        <v>32</v>
      </c>
      <c r="AR63" s="891" t="s">
        <v>32</v>
      </c>
      <c r="AS63" s="904" t="s">
        <v>34</v>
      </c>
      <c r="AT63" s="891" t="s">
        <v>35</v>
      </c>
      <c r="AU63" s="904" t="s">
        <v>34</v>
      </c>
      <c r="AV63" s="891" t="s">
        <v>36</v>
      </c>
      <c r="AW63" s="891" t="s">
        <v>32</v>
      </c>
      <c r="AX63" s="891" t="s">
        <v>1877</v>
      </c>
      <c r="AY63" s="891" t="s">
        <v>32</v>
      </c>
      <c r="AZ63" s="891" t="s">
        <v>36</v>
      </c>
      <c r="BA63" s="891" t="s">
        <v>32</v>
      </c>
      <c r="BB63" s="891" t="s">
        <v>32</v>
      </c>
      <c r="BC63" s="891" t="s">
        <v>1886</v>
      </c>
      <c r="BD63" s="891" t="s">
        <v>34</v>
      </c>
      <c r="BE63" s="891" t="s">
        <v>35</v>
      </c>
      <c r="BF63" s="891" t="s">
        <v>34</v>
      </c>
      <c r="BG63" s="891" t="s">
        <v>32</v>
      </c>
      <c r="BH63" s="891" t="s">
        <v>32</v>
      </c>
      <c r="BI63" s="891" t="s">
        <v>32</v>
      </c>
      <c r="BJ63" s="891" t="s">
        <v>32</v>
      </c>
      <c r="BK63" s="891" t="s">
        <v>34</v>
      </c>
      <c r="BL63" s="891" t="s">
        <v>1877</v>
      </c>
      <c r="BM63" s="891" t="s">
        <v>1877</v>
      </c>
      <c r="BN63" s="891"/>
      <c r="BO63" s="891"/>
      <c r="BP63" s="910"/>
      <c r="BQ63" s="910"/>
      <c r="BR63" s="891"/>
      <c r="BS63" s="893"/>
      <c r="BT63" s="896"/>
      <c r="BU63" s="893"/>
      <c r="BV63" s="896"/>
      <c r="BW63" s="896"/>
      <c r="BX63" s="897"/>
      <c r="BY63" s="897"/>
      <c r="BZ63" s="897"/>
      <c r="CA63" s="897"/>
      <c r="CB63" s="897"/>
      <c r="CC63" s="896"/>
      <c r="CD63" s="896"/>
      <c r="CE63" s="896"/>
      <c r="CF63" s="896"/>
      <c r="CG63" s="896"/>
      <c r="CH63" s="896"/>
      <c r="CI63" s="896"/>
    </row>
    <row r="64" spans="1:121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11</v>
      </c>
      <c r="G64" s="879" t="s">
        <v>874</v>
      </c>
      <c r="H64" s="879" t="s">
        <v>22</v>
      </c>
      <c r="I64" s="879" t="s">
        <v>891</v>
      </c>
      <c r="J64" s="846">
        <v>0</v>
      </c>
      <c r="K64" s="846">
        <v>1</v>
      </c>
      <c r="L64" s="816" t="str">
        <f t="shared" si="22"/>
        <v>L</v>
      </c>
      <c r="M64" s="816">
        <f t="shared" si="23"/>
        <v>1</v>
      </c>
      <c r="N64" s="816" t="str">
        <f t="shared" si="24"/>
        <v>U</v>
      </c>
      <c r="O64" s="816">
        <f t="shared" si="54"/>
        <v>-0.25</v>
      </c>
      <c r="P64" s="829">
        <f t="shared" si="55"/>
        <v>-1</v>
      </c>
      <c r="Q64" s="830">
        <v>0.18</v>
      </c>
      <c r="R64" s="871">
        <f t="shared" si="39"/>
        <v>-1.18</v>
      </c>
      <c r="S64" s="830">
        <v>2.4300000000000002</v>
      </c>
      <c r="T64" s="871">
        <f t="shared" si="28"/>
        <v>-1.4300000000000002</v>
      </c>
      <c r="U64" s="868">
        <f t="shared" si="56"/>
        <v>1.3050000000000002</v>
      </c>
      <c r="V64" s="868">
        <f t="shared" si="57"/>
        <v>1.125</v>
      </c>
      <c r="W64" s="829">
        <v>5</v>
      </c>
      <c r="X64" s="829">
        <v>13</v>
      </c>
      <c r="Y64" s="829">
        <v>0</v>
      </c>
      <c r="Z64" s="829">
        <v>3</v>
      </c>
      <c r="AA64" s="829">
        <v>52</v>
      </c>
      <c r="AB64" s="829">
        <v>48</v>
      </c>
      <c r="AC64" s="829"/>
      <c r="AD64" s="816" t="str">
        <f t="array" ref="AD64">IF($J64="","",IF(SUM(IF(ISNUMBER(VALUE(RIGHT($AG64:$CN64,1))),VALUE(RIGHT($AG64:$CN64,1)),0))=$J64,"T","F"))</f>
        <v>T</v>
      </c>
      <c r="AE64" s="831">
        <f t="array" ref="AE64">IF($J64="","",SUM(IF(LEFT($AG64:$DZ64,1)="s",1,0))-SUM(IF(RIGHT(LEFT($AG64:$DZ64,2))="-",1,0)))</f>
        <v>0</v>
      </c>
      <c r="AF64" s="816">
        <f t="array" ref="AF64">IF($J64="","",SUM(IF(LEFT($AG64:$DF64,1)="X",1,0)))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32</v>
      </c>
      <c r="AK64" s="891" t="s">
        <v>32</v>
      </c>
      <c r="AL64" s="891" t="s">
        <v>34</v>
      </c>
      <c r="AM64" s="891" t="s">
        <v>34</v>
      </c>
      <c r="AN64" s="891" t="s">
        <v>34</v>
      </c>
      <c r="AO64" s="891" t="s">
        <v>32</v>
      </c>
      <c r="AP64" s="891" t="s">
        <v>1877</v>
      </c>
      <c r="AQ64" s="891" t="s">
        <v>32</v>
      </c>
      <c r="AR64" s="891" t="s">
        <v>32</v>
      </c>
      <c r="AS64" s="891" t="s">
        <v>34</v>
      </c>
      <c r="AT64" s="891" t="s">
        <v>35</v>
      </c>
      <c r="AU64" s="891" t="s">
        <v>35</v>
      </c>
      <c r="AV64" s="891" t="s">
        <v>1877</v>
      </c>
      <c r="AW64" s="891" t="s">
        <v>32</v>
      </c>
      <c r="AX64" s="891" t="s">
        <v>36</v>
      </c>
      <c r="AY64" s="891" t="s">
        <v>32</v>
      </c>
      <c r="AZ64" s="891" t="s">
        <v>36</v>
      </c>
      <c r="BA64" s="891" t="s">
        <v>32</v>
      </c>
      <c r="BB64" s="891" t="s">
        <v>32</v>
      </c>
      <c r="BC64" s="891" t="s">
        <v>1886</v>
      </c>
      <c r="BD64" s="904" t="s">
        <v>34</v>
      </c>
      <c r="BE64" s="891" t="s">
        <v>35</v>
      </c>
      <c r="BF64" s="891" t="s">
        <v>34</v>
      </c>
      <c r="BG64" s="891" t="s">
        <v>32</v>
      </c>
      <c r="BH64" s="891" t="s">
        <v>32</v>
      </c>
      <c r="BI64" s="891" t="s">
        <v>32</v>
      </c>
      <c r="BJ64" s="891" t="s">
        <v>32</v>
      </c>
      <c r="BK64" s="891" t="s">
        <v>34</v>
      </c>
      <c r="BL64" s="891" t="s">
        <v>1877</v>
      </c>
      <c r="BM64" s="891" t="s">
        <v>36</v>
      </c>
      <c r="BN64" s="891"/>
      <c r="BO64" s="891"/>
      <c r="BP64" s="910"/>
      <c r="BQ64" s="910"/>
      <c r="BR64" s="891"/>
      <c r="BS64" s="893"/>
      <c r="BT64" s="896"/>
      <c r="BU64" s="893"/>
      <c r="BV64" s="896"/>
      <c r="BW64" s="896"/>
      <c r="BX64" s="897"/>
      <c r="BY64" s="897"/>
      <c r="BZ64" s="897"/>
      <c r="CA64" s="897"/>
      <c r="CB64" s="897"/>
      <c r="CC64" s="896"/>
      <c r="CD64" s="896"/>
      <c r="CE64" s="896"/>
      <c r="CF64" s="896"/>
      <c r="CG64" s="896"/>
      <c r="CH64" s="896"/>
      <c r="CI64" s="896"/>
    </row>
    <row r="65" spans="1:87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17</v>
      </c>
      <c r="G65" s="879" t="s">
        <v>875</v>
      </c>
      <c r="H65" s="879" t="s">
        <v>18</v>
      </c>
      <c r="I65" s="879" t="s">
        <v>891</v>
      </c>
      <c r="J65" s="846">
        <v>1</v>
      </c>
      <c r="K65" s="846">
        <v>2</v>
      </c>
      <c r="L65" s="816" t="str">
        <f t="shared" si="22"/>
        <v>L</v>
      </c>
      <c r="M65" s="816">
        <f t="shared" si="23"/>
        <v>3</v>
      </c>
      <c r="N65" s="816" t="str">
        <f t="shared" si="24"/>
        <v>O</v>
      </c>
      <c r="O65" s="816">
        <f t="shared" si="54"/>
        <v>0</v>
      </c>
      <c r="P65" s="829">
        <f t="shared" si="55"/>
        <v>-1</v>
      </c>
      <c r="Q65" s="830">
        <v>0.08</v>
      </c>
      <c r="R65" s="871">
        <f t="shared" si="39"/>
        <v>-1.08</v>
      </c>
      <c r="S65" s="830">
        <v>2.5</v>
      </c>
      <c r="T65" s="871">
        <f t="shared" si="28"/>
        <v>0.5</v>
      </c>
      <c r="U65" s="868">
        <f t="shared" si="56"/>
        <v>1.29</v>
      </c>
      <c r="V65" s="868">
        <f t="shared" si="57"/>
        <v>1.21</v>
      </c>
      <c r="W65" s="829">
        <v>12</v>
      </c>
      <c r="X65" s="829">
        <v>21</v>
      </c>
      <c r="Y65" s="829">
        <v>2</v>
      </c>
      <c r="Z65" s="829">
        <v>7</v>
      </c>
      <c r="AA65" s="829">
        <v>50</v>
      </c>
      <c r="AB65" s="829">
        <v>50</v>
      </c>
      <c r="AC65" s="829"/>
      <c r="AD65" s="816" t="str">
        <f t="array" ref="AD65">IF($J65="","",IF(SUM(IF(ISNUMBER(VALUE(RIGHT($AG65:$CN65,1))),VALUE(RIGHT($AG65:$CN65,1)),0))=$J65,"T","F"))</f>
        <v>T</v>
      </c>
      <c r="AE65" s="831">
        <f t="array" ref="AE65">IF($J65="","",SUM(IF(LEFT($AG65:$DZ65,1)="s",1,0))-SUM(IF(RIGHT(LEFT($AG65:$DZ65,2))="-",1,0)))</f>
        <v>0</v>
      </c>
      <c r="AF65" s="816">
        <f t="array" ref="AF65">IF($J65="","",SUM(IF(LEFT($AG65:$DF65,1)="X",1,0)))</f>
        <v>11</v>
      </c>
      <c r="AG65" s="891" t="s">
        <v>1877</v>
      </c>
      <c r="AH65" s="891" t="s">
        <v>34</v>
      </c>
      <c r="AI65" s="891" t="s">
        <v>32</v>
      </c>
      <c r="AJ65" s="891" t="s">
        <v>34</v>
      </c>
      <c r="AK65" s="891" t="s">
        <v>32</v>
      </c>
      <c r="AL65" s="891" t="s">
        <v>1877</v>
      </c>
      <c r="AM65" s="904" t="s">
        <v>34</v>
      </c>
      <c r="AN65" s="891" t="s">
        <v>32</v>
      </c>
      <c r="AO65" s="891" t="s">
        <v>32</v>
      </c>
      <c r="AP65" s="904" t="s">
        <v>34</v>
      </c>
      <c r="AQ65" s="891" t="s">
        <v>32</v>
      </c>
      <c r="AR65" s="891" t="s">
        <v>32</v>
      </c>
      <c r="AS65" s="891" t="s">
        <v>34</v>
      </c>
      <c r="AT65" s="891" t="s">
        <v>36</v>
      </c>
      <c r="AU65" s="891" t="s">
        <v>34</v>
      </c>
      <c r="AV65" s="891" t="s">
        <v>35</v>
      </c>
      <c r="AW65" s="891" t="s">
        <v>32</v>
      </c>
      <c r="AX65" s="891" t="s">
        <v>1877</v>
      </c>
      <c r="AY65" s="891" t="s">
        <v>32</v>
      </c>
      <c r="AZ65" s="891" t="s">
        <v>32</v>
      </c>
      <c r="BA65" s="891" t="s">
        <v>36</v>
      </c>
      <c r="BB65" s="891" t="s">
        <v>32</v>
      </c>
      <c r="BC65" s="891" t="s">
        <v>1886</v>
      </c>
      <c r="BD65" s="891" t="s">
        <v>35</v>
      </c>
      <c r="BE65" s="891" t="s">
        <v>34</v>
      </c>
      <c r="BF65" s="891" t="s">
        <v>3571</v>
      </c>
      <c r="BG65" s="891" t="s">
        <v>32</v>
      </c>
      <c r="BH65" s="891" t="s">
        <v>32</v>
      </c>
      <c r="BI65" s="891" t="s">
        <v>32</v>
      </c>
      <c r="BJ65" s="891" t="s">
        <v>32</v>
      </c>
      <c r="BK65" s="891" t="s">
        <v>35</v>
      </c>
      <c r="BL65" s="891" t="s">
        <v>1877</v>
      </c>
      <c r="BM65" s="891" t="s">
        <v>36</v>
      </c>
      <c r="BN65" s="891"/>
      <c r="BO65" s="891"/>
      <c r="BP65" s="910"/>
      <c r="BQ65" s="910"/>
      <c r="BR65" s="891"/>
      <c r="BS65" s="893"/>
      <c r="BT65" s="896"/>
      <c r="BU65" s="893"/>
      <c r="BV65" s="896"/>
      <c r="BW65" s="896"/>
      <c r="BX65" s="897"/>
      <c r="BY65" s="897"/>
      <c r="BZ65" s="897"/>
      <c r="CA65" s="897"/>
      <c r="CB65" s="897"/>
      <c r="CC65" s="896"/>
      <c r="CD65" s="896"/>
      <c r="CE65" s="896"/>
      <c r="CF65" s="896"/>
      <c r="CG65" s="896"/>
      <c r="CH65" s="896"/>
      <c r="CI65" s="896"/>
    </row>
    <row r="66" spans="1:87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28"/>
        <v/>
      </c>
      <c r="U66" s="868" t="str">
        <f t="shared" si="56"/>
        <v/>
      </c>
      <c r="V66" s="868" t="str">
        <f t="shared" si="57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IF($J66="","",IF(SUM(IF(ISNUMBER(VALUE(RIGHT($AG66:$CN66,1))),VALUE(RIGHT($AG66:$CN66,1)),0))=$J66,"T","F"))</f>
        <v/>
      </c>
      <c r="AE66" s="831" t="str">
        <f t="array" ref="AE66">IF($J66="","",SUM(IF(LEFT($AG66:$DZ66,1)="s",1,0))-SUM(IF(RIGHT(LEFT($AG66:$DZ66,2))="-",1,0)))</f>
        <v/>
      </c>
      <c r="AF66" s="816" t="str">
        <f t="array" ref="AF66">IF($J66="","",SUM(IF(LEFT($AG66:$DF66,1)="X",1,0)))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1"/>
      <c r="BQ66" s="891"/>
      <c r="BR66" s="891"/>
      <c r="BS66" s="893"/>
      <c r="BT66" s="896"/>
      <c r="BU66" s="893"/>
      <c r="BV66" s="896"/>
      <c r="BW66" s="896"/>
      <c r="BX66" s="897"/>
      <c r="BY66" s="897"/>
      <c r="BZ66" s="897"/>
      <c r="CA66" s="897"/>
      <c r="CB66" s="897"/>
      <c r="CC66" s="896"/>
      <c r="CD66" s="896"/>
      <c r="CE66" s="896"/>
      <c r="CF66" s="896"/>
      <c r="CG66" s="896"/>
      <c r="CH66" s="896"/>
      <c r="CI66" s="896"/>
    </row>
    <row r="67" spans="1:87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8"/>
        <v/>
      </c>
      <c r="U67" s="868" t="str">
        <f t="shared" si="56"/>
        <v/>
      </c>
      <c r="V67" s="868" t="str">
        <f t="shared" si="57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IF($J67="","",IF(SUM(IF(ISNUMBER(VALUE(RIGHT($AG67:$CN67,1))),VALUE(RIGHT($AG67:$CN67,1)),0))=$J67,"T","F"))</f>
        <v/>
      </c>
      <c r="AE67" s="831" t="str">
        <f t="array" ref="AE67">IF($J67="","",SUM(IF(LEFT($AG67:$DZ67,1)="s",1,0))-SUM(IF(RIGHT(LEFT($AG67:$DZ67,2))="-",1,0)))</f>
        <v/>
      </c>
      <c r="AF67" s="816" t="str">
        <f t="array" ref="AF67">IF($J67="","",SUM(IF(LEFT($AG67:$DF67,1)="X",1,0)))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3"/>
      <c r="BT67" s="896"/>
      <c r="BU67" s="893"/>
      <c r="BV67" s="896"/>
      <c r="BW67" s="896"/>
      <c r="BX67" s="897"/>
      <c r="BY67" s="897"/>
      <c r="BZ67" s="897"/>
      <c r="CA67" s="897"/>
      <c r="CB67" s="897"/>
      <c r="CC67" s="896"/>
      <c r="CD67" s="896"/>
      <c r="CE67" s="896"/>
      <c r="CF67" s="896"/>
      <c r="CG67" s="896"/>
      <c r="CH67" s="896"/>
      <c r="CI67" s="896"/>
    </row>
    <row r="68" spans="1:87" ht="15">
      <c r="A68" s="843"/>
      <c r="E68" s="816"/>
      <c r="G68" s="828"/>
      <c r="H68" s="828"/>
      <c r="I68" s="828"/>
      <c r="J68" s="428"/>
      <c r="K68" s="428"/>
      <c r="T68" s="829"/>
      <c r="U68" s="829"/>
      <c r="V68" s="829"/>
      <c r="W68" s="829"/>
      <c r="X68" s="829"/>
      <c r="Y68" s="829"/>
      <c r="Z68" s="829"/>
      <c r="AA68" s="829"/>
      <c r="AB68" s="829"/>
      <c r="AC68" s="829"/>
      <c r="AE68" s="831"/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3"/>
      <c r="BT68" s="896"/>
      <c r="BU68" s="893"/>
      <c r="BV68" s="896"/>
      <c r="BW68" s="896"/>
      <c r="BX68" s="897"/>
      <c r="BY68" s="897"/>
      <c r="BZ68" s="897"/>
      <c r="CA68" s="897"/>
      <c r="CB68" s="897"/>
      <c r="CC68" s="896"/>
      <c r="CD68" s="896"/>
      <c r="CE68" s="896"/>
      <c r="CF68" s="896"/>
      <c r="CG68" s="896"/>
      <c r="CH68" s="896"/>
      <c r="CI68" s="896"/>
    </row>
    <row r="69" spans="1:87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3"/>
      <c r="BT69" s="896"/>
      <c r="BU69" s="893"/>
      <c r="BV69" s="896"/>
      <c r="BW69" s="896"/>
      <c r="BX69" s="897"/>
      <c r="BY69" s="897"/>
      <c r="BZ69" s="897"/>
      <c r="CA69" s="897"/>
      <c r="CB69" s="897"/>
      <c r="CC69" s="896"/>
      <c r="CD69" s="896"/>
      <c r="CE69" s="896"/>
      <c r="CF69" s="896"/>
      <c r="CG69" s="896"/>
      <c r="CH69" s="896"/>
      <c r="CI69" s="896"/>
    </row>
    <row r="70" spans="1:87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3"/>
      <c r="BT70" s="896"/>
      <c r="BU70" s="893"/>
      <c r="BV70" s="896"/>
      <c r="BW70" s="896"/>
      <c r="BX70" s="897"/>
      <c r="BY70" s="897"/>
      <c r="BZ70" s="897"/>
      <c r="CA70" s="897"/>
      <c r="CB70" s="897"/>
      <c r="CC70" s="896"/>
      <c r="CD70" s="896"/>
      <c r="CE70" s="896"/>
      <c r="CF70" s="896"/>
      <c r="CG70" s="896"/>
      <c r="CH70" s="896"/>
      <c r="CI70" s="896"/>
    </row>
    <row r="71" spans="1:87" ht="15">
      <c r="A71" s="843"/>
      <c r="D71" s="816" t="str">
        <f>IF(I71=Table!$C$1,VLOOKUP(G71,Table!$B$38:$AO$61,Table!$AO$35-1,FALSE),"")</f>
        <v/>
      </c>
      <c r="E71" s="816"/>
      <c r="F71" s="816" t="str">
        <f>IF(I71="","",IF(I71=Table!$C$1,VLOOKUP(G71,Table!$B$9:$AE$32,Table!$AE$6-1,FALSE),""))</f>
        <v/>
      </c>
      <c r="G71" s="828"/>
      <c r="H71" s="828"/>
      <c r="I71" s="828"/>
      <c r="J71" s="428"/>
      <c r="K71" s="428"/>
      <c r="L71" s="816" t="str">
        <f>IF(J71="","",IF(J71&gt;K71,"W",IF(J71=K71,"D",IF(J71&lt;K71,"L"))))</f>
        <v/>
      </c>
      <c r="M71" s="816" t="str">
        <f>IF(J71="","",J71+K71)</f>
        <v/>
      </c>
      <c r="N71" s="816" t="str">
        <f>IF($J71="","",IF($M71&gt;N$19,"O",IF($M71&lt;N$19,"U",IF($M71=N$19,"-"))))</f>
        <v/>
      </c>
      <c r="R71" s="816" t="str">
        <f>IF(ISBLANK(Q71),"",J71-K71-Q71)</f>
        <v/>
      </c>
      <c r="T71" s="829" t="str">
        <f>IF(ISBLANK(S71),"",J71+K71-S71)</f>
        <v/>
      </c>
      <c r="U71" s="829"/>
      <c r="V71" s="829"/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IF($J71="","",IF(SUM(IF(ISNUMBER(VALUE(RIGHT($AG71:$CN71,1))),VALUE(RIGHT($AG71:$CN71,1)),0))=$J71,"T","F"))</f>
        <v/>
      </c>
      <c r="AE71" s="831" t="str">
        <f t="array" ref="AE71">IF($J71="","",SUM(IF(LEFT($AG71:$DZ71,1)="s",1,0))-SUM(IF(RIGHT(LEFT($AG71:$DZ71,2))="-",1,0)))</f>
        <v/>
      </c>
      <c r="AF71" s="816" t="str">
        <f t="array" ref="AF71">IF($J71="","",SUM(IF(LEFT($AG71:$DF71,1)="X",1,0)))</f>
        <v/>
      </c>
      <c r="AG71" s="897"/>
      <c r="AH71" s="897"/>
      <c r="AI71" s="897"/>
      <c r="AJ71" s="893"/>
      <c r="AK71" s="897"/>
      <c r="AL71" s="897"/>
      <c r="AM71" s="897"/>
      <c r="AN71" s="897"/>
      <c r="AO71" s="897"/>
      <c r="AP71" s="897"/>
      <c r="AQ71" s="897"/>
      <c r="AR71" s="897"/>
      <c r="AS71" s="897"/>
      <c r="AT71" s="897"/>
      <c r="AU71" s="897"/>
      <c r="AV71" s="897"/>
      <c r="AW71" s="897"/>
      <c r="AX71" s="897"/>
      <c r="AY71" s="897"/>
      <c r="AZ71" s="897"/>
      <c r="BA71" s="897"/>
      <c r="BB71" s="897"/>
      <c r="BC71" s="897"/>
      <c r="BD71" s="893"/>
      <c r="BE71" s="893"/>
      <c r="BF71" s="893"/>
      <c r="BG71" s="893"/>
      <c r="BH71" s="893"/>
      <c r="BI71" s="893"/>
      <c r="BJ71" s="893"/>
      <c r="BK71" s="897"/>
      <c r="BL71" s="897"/>
      <c r="BM71" s="897"/>
      <c r="BN71" s="897"/>
      <c r="BO71" s="893"/>
      <c r="BP71" s="897"/>
      <c r="BQ71" s="897"/>
      <c r="BR71" s="897"/>
      <c r="BS71" s="893"/>
      <c r="BT71" s="897"/>
      <c r="BU71" s="893"/>
      <c r="BV71" s="897"/>
      <c r="BW71" s="897"/>
      <c r="BX71" s="897"/>
      <c r="BY71" s="897"/>
      <c r="BZ71" s="897"/>
      <c r="CA71" s="897"/>
      <c r="CB71" s="897"/>
      <c r="CC71" s="897"/>
      <c r="CD71" s="897"/>
      <c r="CE71" s="897"/>
      <c r="CF71" s="897"/>
      <c r="CG71" s="897"/>
      <c r="CH71" s="897"/>
      <c r="CI71" s="897"/>
    </row>
    <row r="72" spans="1:87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>IF(J72="","",IF(J72&gt;K72,"W",IF(J72=K72,"D",IF(J72&lt;K72,"L"))))</f>
        <v/>
      </c>
      <c r="M72" s="816" t="str">
        <f>IF(J72="","",J72+K72)</f>
        <v/>
      </c>
      <c r="N72" s="816" t="str">
        <f>IF($J72="","",IF($M72&gt;N$19,"O",IF($M72&lt;N$19,"U",IF($M72=N$19,"-"))))</f>
        <v/>
      </c>
      <c r="R72" s="816" t="str">
        <f>IF(ISBLANK(Q72),"",J72-K72-Q72)</f>
        <v/>
      </c>
      <c r="T72" s="829" t="str">
        <f>IF(ISBLANK(S72),"",J72+K72-S72)</f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IF($J72="","",IF(SUM(IF(ISNUMBER(VALUE(RIGHT($AG72:$CN72,1))),VALUE(RIGHT($AG72:$CN72,1)),0))=$J72,"T","F"))</f>
        <v/>
      </c>
      <c r="AE72" s="831" t="str">
        <f t="array" ref="AE72">IF($J72="","",SUM(IF(LEFT($AG72:$DZ72,1)="s",1,0))-SUM(IF(RIGHT(LEFT($AG72:$DZ72,2))="-",1,0)))</f>
        <v/>
      </c>
      <c r="AF72" s="816" t="str">
        <f t="array" ref="AF72">IF($J72="","",SUM(IF(LEFT($AG72:$DF72,1)="X",1,0)))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7"/>
      <c r="BD72" s="893"/>
      <c r="BE72" s="893"/>
      <c r="BF72" s="893"/>
      <c r="BG72" s="893"/>
      <c r="BH72" s="893"/>
      <c r="BI72" s="893"/>
      <c r="BJ72" s="893"/>
      <c r="BK72" s="897"/>
      <c r="BL72" s="897"/>
      <c r="BM72" s="897"/>
      <c r="BN72" s="897"/>
      <c r="BO72" s="893"/>
      <c r="BP72" s="897"/>
      <c r="BQ72" s="897"/>
      <c r="BR72" s="897"/>
      <c r="BS72" s="893"/>
      <c r="BT72" s="897"/>
      <c r="BU72" s="893"/>
      <c r="BV72" s="897"/>
      <c r="BW72" s="897"/>
      <c r="BX72" s="897"/>
      <c r="BY72" s="897"/>
      <c r="BZ72" s="897"/>
      <c r="CA72" s="897"/>
      <c r="CB72" s="897"/>
      <c r="CC72" s="897"/>
      <c r="CD72" s="897"/>
      <c r="CE72" s="897"/>
      <c r="CF72" s="897"/>
      <c r="CG72" s="897"/>
      <c r="CH72" s="897"/>
      <c r="CI72" s="897"/>
    </row>
    <row r="73" spans="1:87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>IF(J73="","",IF(J73&gt;K73,"W",IF(J73=K73,"D",IF(J73&lt;K73,"L"))))</f>
        <v/>
      </c>
      <c r="M73" s="816" t="str">
        <f>IF(J73="","",J73+K73)</f>
        <v/>
      </c>
      <c r="N73" s="816" t="str">
        <f>IF($J73="","",IF($M73&gt;N$19,"O",IF($M73&lt;N$19,"U",IF($M73=N$19,"-"))))</f>
        <v/>
      </c>
      <c r="R73" s="816" t="str">
        <f>IF(ISBLANK(Q73),"",J73-K73-Q73)</f>
        <v/>
      </c>
      <c r="T73" s="829" t="str">
        <f>IF(ISBLANK(S73),"",J73+K73-S73)</f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IF($J73="","",IF(SUM(IF(ISNUMBER(VALUE(RIGHT($AG73:$CN73,1))),VALUE(RIGHT($AG73:$CN73,1)),0))=$J73,"T","F"))</f>
        <v/>
      </c>
      <c r="AE73" s="831" t="str">
        <f t="array" ref="AE73">IF($J73="","",SUM(IF(LEFT($AG73:$DZ73,1)="s",1,0))-SUM(IF(RIGHT(LEFT($AG73:$DZ73,2))="-",1,0)))</f>
        <v/>
      </c>
      <c r="AF73" s="816" t="str">
        <f t="array" ref="AF73">IF($J73="","",SUM(IF(LEFT($AG73:$DF73,1)="X",1,0)))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3"/>
      <c r="BE73" s="893"/>
      <c r="BF73" s="893"/>
      <c r="BG73" s="893"/>
      <c r="BH73" s="893"/>
      <c r="BI73" s="893"/>
      <c r="BJ73" s="893"/>
      <c r="BK73" s="897"/>
      <c r="BL73" s="897"/>
      <c r="BM73" s="897"/>
      <c r="BN73" s="897"/>
      <c r="BO73" s="893"/>
      <c r="BP73" s="897"/>
      <c r="BQ73" s="897"/>
      <c r="BR73" s="897"/>
      <c r="BS73" s="893"/>
      <c r="BT73" s="897"/>
      <c r="BU73" s="893"/>
      <c r="BV73" s="897"/>
      <c r="BW73" s="897"/>
      <c r="BX73" s="897"/>
      <c r="BY73" s="897"/>
      <c r="BZ73" s="897"/>
      <c r="CA73" s="897"/>
      <c r="CB73" s="897"/>
      <c r="CC73" s="897"/>
      <c r="CD73" s="897"/>
      <c r="CE73" s="897"/>
      <c r="CF73" s="897"/>
      <c r="CG73" s="897"/>
      <c r="CH73" s="897"/>
      <c r="CI73" s="897"/>
    </row>
    <row r="74" spans="1:87" ht="15">
      <c r="A74" s="844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230"/>
      <c r="H74" s="230"/>
      <c r="I74" s="230"/>
      <c r="J74" s="428"/>
      <c r="K74" s="428"/>
      <c r="L74" s="816" t="str">
        <f>IF(J74="","",IF(J74&gt;K74,"W",IF(J74=K74,"D",IF(J74&lt;K74,"L"))))</f>
        <v/>
      </c>
      <c r="M74" s="816" t="str">
        <f>IF(J74="","",J74+K74)</f>
        <v/>
      </c>
      <c r="N74" s="816" t="str">
        <f>IF($J74="","",IF($M74&gt;N$19,"O",IF($M74&lt;N$19,"U",IF($M74=N$19,"-"))))</f>
        <v/>
      </c>
      <c r="R74" s="816" t="str">
        <f>IF(ISBLANK(Q74),"",J74-K74-Q74)</f>
        <v/>
      </c>
      <c r="T74" s="829" t="str">
        <f>IF(ISBLANK(S74),"",J74+K74-S74)</f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IF($J74="","",IF(SUM(IF(ISNUMBER(VALUE(RIGHT($AG74:$CN74,1))),VALUE(RIGHT($AG74:$CN74,1)),0))=$J74,"T","F"))</f>
        <v/>
      </c>
      <c r="AE74" s="831" t="str">
        <f t="array" ref="AE74">IF($J74="","",SUM(IF(LEFT($AG74:$DZ74,1)="s",1,0))-SUM(IF(RIGHT(LEFT($AG74:$DZ74,2))="-",1,0)))</f>
        <v/>
      </c>
      <c r="AF74" s="816" t="str">
        <f t="array" ref="AF74">IF($J74="","",SUM(IF(LEFT($AG74:$DF74,1)="X",1,0)))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3"/>
      <c r="BE74" s="893"/>
      <c r="BF74" s="893"/>
      <c r="BG74" s="893"/>
      <c r="BH74" s="893"/>
      <c r="BI74" s="893"/>
      <c r="BJ74" s="893"/>
      <c r="BK74" s="897"/>
      <c r="BL74" s="897"/>
      <c r="BM74" s="897"/>
      <c r="BN74" s="897"/>
      <c r="BO74" s="893"/>
      <c r="BP74" s="897"/>
      <c r="BQ74" s="897"/>
      <c r="BR74" s="897"/>
      <c r="BS74" s="893"/>
      <c r="BT74" s="897"/>
      <c r="BU74" s="893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  <c r="CG74" s="897"/>
      <c r="CH74" s="897"/>
      <c r="CI74" s="897"/>
    </row>
    <row r="75" spans="1:87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>IF(J75="","",IF(J75&gt;K75,"W",IF(J75=K75,"D",IF(J75&lt;K75,"L"))))</f>
        <v/>
      </c>
      <c r="M75" s="816" t="str">
        <f>IF(J75="","",J75+K75)</f>
        <v/>
      </c>
      <c r="N75" s="816" t="str">
        <f>IF($J75="","",IF($M75&gt;N$19,"O",IF($M75&lt;N$19,"U",IF($M75=N$19,"-"))))</f>
        <v/>
      </c>
      <c r="R75" s="816" t="str">
        <f>IF(ISBLANK(Q75),"",J75-K75-Q75)</f>
        <v/>
      </c>
      <c r="T75" s="829" t="str">
        <f>IF(ISBLANK(S75),"",J75+K75-S75)</f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IF($J75="","",IF(SUM(IF(ISNUMBER(VALUE(RIGHT($AG75:$CN75,1))),VALUE(RIGHT($AG75:$CN75,1)),0))=$J75,"T","F"))</f>
        <v/>
      </c>
      <c r="AE75" s="831" t="str">
        <f t="array" ref="AE75">IF($J75="","",SUM(IF(LEFT($AG75:$DZ75,1)="s",1,0))-SUM(IF(RIGHT(LEFT($AG75:$DZ75,2))="-",1,0)))</f>
        <v/>
      </c>
      <c r="AF75" s="816" t="str">
        <f t="array" ref="AF75">IF($J75="","",SUM(IF(LEFT($AG75:$DF75,1)="X",1,0)))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3"/>
      <c r="BE75" s="893"/>
      <c r="BF75" s="893"/>
      <c r="BG75" s="893"/>
      <c r="BH75" s="893"/>
      <c r="BI75" s="893"/>
      <c r="BJ75" s="893"/>
      <c r="BK75" s="897"/>
      <c r="BL75" s="897"/>
      <c r="BM75" s="897"/>
      <c r="BN75" s="897"/>
      <c r="BO75" s="893"/>
      <c r="BP75" s="897"/>
      <c r="BQ75" s="897"/>
      <c r="BR75" s="897"/>
      <c r="BS75" s="893"/>
      <c r="BT75" s="897"/>
      <c r="BU75" s="893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  <c r="CG75" s="897"/>
      <c r="CH75" s="897"/>
      <c r="CI75" s="897"/>
    </row>
    <row r="76" spans="1:87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230"/>
      <c r="K76" s="230"/>
      <c r="L76" s="816" t="str">
        <f t="shared" ref="L76:L128" si="58">IF(J76="","",IF(J76&gt;K76,"W",IF(J76=K76,"D",IF(J76&lt;K76,"L"))))</f>
        <v/>
      </c>
      <c r="M76" s="816" t="str">
        <f t="shared" ref="M76:M128" si="59">IF(J76="","",J76+K76)</f>
        <v/>
      </c>
      <c r="N76" s="816" t="str">
        <f t="shared" ref="N76:N128" si="60">IF($J76="","",IF($M76&gt;N$19,"O",IF($M76&lt;N$19,"U",IF($M76=N$19,"-"))))</f>
        <v/>
      </c>
      <c r="R76" s="816" t="str">
        <f t="shared" ref="R76:R128" si="61">IF(ISBLANK(Q76),"",J76-K76-Q76)</f>
        <v/>
      </c>
      <c r="T76" s="829" t="str">
        <f t="shared" ref="T76:T128" si="62">IF(ISBLANK(S76),"",J76+K76-S76)</f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IF($J76="","",IF(SUM(IF(ISNUMBER(VALUE(RIGHT($AG76:$CN76,1))),VALUE(RIGHT($AG76:$CN76,1)),0))=$J76,"T","F"))</f>
        <v/>
      </c>
      <c r="AE76" s="831" t="str">
        <f t="array" ref="AE76">IF($J76="","",SUM(IF(LEFT($AG76:$DZ76,1)="s",1,0))-SUM(IF(RIGHT(LEFT($AG76:$DZ76,2))="-",1,0)))</f>
        <v/>
      </c>
      <c r="AF76" s="816" t="str">
        <f t="array" ref="AF76">IF($J76="","",SUM(IF(LEFT($AG76:$DF76,1)="X",1,0)))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3"/>
      <c r="BE76" s="893"/>
      <c r="BF76" s="893"/>
      <c r="BG76" s="893"/>
      <c r="BH76" s="893"/>
      <c r="BI76" s="893"/>
      <c r="BJ76" s="893"/>
      <c r="BK76" s="897"/>
      <c r="BL76" s="897"/>
      <c r="BM76" s="897"/>
      <c r="BN76" s="897"/>
      <c r="BO76" s="893"/>
      <c r="BP76" s="897"/>
      <c r="BQ76" s="897"/>
      <c r="BR76" s="897"/>
      <c r="BS76" s="893"/>
      <c r="BT76" s="897"/>
      <c r="BU76" s="893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  <c r="CG76" s="897"/>
      <c r="CH76" s="897"/>
      <c r="CI76" s="897"/>
    </row>
    <row r="77" spans="1:87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8"/>
        <v/>
      </c>
      <c r="M77" s="816" t="str">
        <f t="shared" si="59"/>
        <v/>
      </c>
      <c r="N77" s="816" t="str">
        <f t="shared" si="60"/>
        <v/>
      </c>
      <c r="R77" s="816" t="str">
        <f t="shared" si="61"/>
        <v/>
      </c>
      <c r="T77" s="829" t="str">
        <f t="shared" si="62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IF($J77="","",IF(SUM(IF(ISNUMBER(VALUE(RIGHT($AG77:$CN77,1))),VALUE(RIGHT($AG77:$CN77,1)),0))=$J77,"T","F"))</f>
        <v/>
      </c>
      <c r="AE77" s="831" t="str">
        <f t="array" ref="AE77">IF($J77="","",SUM(IF(LEFT($AG77:$DZ77,1)="s",1,0))-SUM(IF(RIGHT(LEFT($AG77:$DZ77,2))="-",1,0)))</f>
        <v/>
      </c>
      <c r="AF77" s="816" t="str">
        <f t="array" ref="AF77">IF($J77="","",SUM(IF(LEFT($AG77:$DF77,1)="X",1,0)))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3"/>
      <c r="BE77" s="893"/>
      <c r="BF77" s="893"/>
      <c r="BG77" s="893"/>
      <c r="BH77" s="893"/>
      <c r="BI77" s="893"/>
      <c r="BJ77" s="893"/>
      <c r="BK77" s="897"/>
      <c r="BL77" s="897"/>
      <c r="BM77" s="897"/>
      <c r="BN77" s="897"/>
      <c r="BO77" s="893"/>
      <c r="BP77" s="897"/>
      <c r="BQ77" s="897"/>
      <c r="BR77" s="897"/>
      <c r="BS77" s="893"/>
      <c r="BT77" s="897"/>
      <c r="BU77" s="893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  <c r="CG77" s="897"/>
      <c r="CH77" s="897"/>
      <c r="CI77" s="897"/>
    </row>
    <row r="78" spans="1:87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8"/>
        <v/>
      </c>
      <c r="M78" s="816" t="str">
        <f t="shared" si="59"/>
        <v/>
      </c>
      <c r="N78" s="816" t="str">
        <f t="shared" si="60"/>
        <v/>
      </c>
      <c r="R78" s="816" t="str">
        <f t="shared" si="61"/>
        <v/>
      </c>
      <c r="T78" s="829" t="str">
        <f t="shared" si="62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IF($J78="","",IF(SUM(IF(ISNUMBER(VALUE(RIGHT($AG78:$CN78,1))),VALUE(RIGHT($AG78:$CN78,1)),0))=$J78,"T","F"))</f>
        <v/>
      </c>
      <c r="AE78" s="831" t="str">
        <f t="array" ref="AE78">IF($J78="","",SUM(IF(LEFT($AG78:$DZ78,1)="s",1,0))-SUM(IF(RIGHT(LEFT($AG78:$DZ78,2))="-",1,0)))</f>
        <v/>
      </c>
      <c r="AF78" s="816" t="str">
        <f t="array" ref="AF78">IF($J78="","",SUM(IF(LEFT($AG78:$DF78,1)="X",1,0)))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3"/>
      <c r="BE78" s="893"/>
      <c r="BF78" s="893"/>
      <c r="BG78" s="893"/>
      <c r="BH78" s="893"/>
      <c r="BI78" s="893"/>
      <c r="BJ78" s="893"/>
      <c r="BK78" s="897"/>
      <c r="BL78" s="897"/>
      <c r="BM78" s="897"/>
      <c r="BN78" s="897"/>
      <c r="BO78" s="893"/>
      <c r="BP78" s="897"/>
      <c r="BQ78" s="897"/>
      <c r="BR78" s="897"/>
      <c r="BS78" s="893"/>
      <c r="BT78" s="897"/>
      <c r="BU78" s="893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  <c r="CG78" s="897"/>
      <c r="CH78" s="897"/>
      <c r="CI78" s="897"/>
    </row>
    <row r="79" spans="1:87" ht="15">
      <c r="A79" s="844"/>
      <c r="D79" s="816" t="str">
        <f>IF(I79=Table!$C$1,VLOOKUP(G79,Table!$B$38:$AO$61,Table!$AO$35-1,FALSE),"")</f>
        <v/>
      </c>
      <c r="E79" s="816" t="s">
        <v>32</v>
      </c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8"/>
        <v/>
      </c>
      <c r="M79" s="816" t="str">
        <f t="shared" si="59"/>
        <v/>
      </c>
      <c r="N79" s="816" t="str">
        <f t="shared" si="60"/>
        <v/>
      </c>
      <c r="R79" s="816" t="str">
        <f t="shared" si="61"/>
        <v/>
      </c>
      <c r="T79" s="829" t="str">
        <f t="shared" si="62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IF($J79="","",IF(SUM(IF(ISNUMBER(VALUE(RIGHT($AG79:$CN79,1))),VALUE(RIGHT($AG79:$CN79,1)),0))=$J79,"T","F"))</f>
        <v/>
      </c>
      <c r="AE79" s="831" t="str">
        <f t="array" ref="AE79">IF($J79="","",SUM(IF(LEFT($AG79:$DZ79,1)="s",1,0))-SUM(IF(RIGHT(LEFT($AG79:$DZ79,2))="-",1,0)))</f>
        <v/>
      </c>
      <c r="AF79" s="816" t="str">
        <f t="array" ref="AF79">IF($J79="","",SUM(IF(LEFT($AG79:$DF79,1)="X",1,0)))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3"/>
      <c r="BE79" s="893"/>
      <c r="BF79" s="893"/>
      <c r="BG79" s="893"/>
      <c r="BH79" s="893"/>
      <c r="BI79" s="893"/>
      <c r="BJ79" s="893"/>
      <c r="BK79" s="897"/>
      <c r="BL79" s="897"/>
      <c r="BM79" s="897"/>
      <c r="BN79" s="897"/>
      <c r="BO79" s="893"/>
      <c r="BP79" s="897"/>
      <c r="BQ79" s="897"/>
      <c r="BR79" s="897"/>
      <c r="BS79" s="893"/>
      <c r="BT79" s="897"/>
      <c r="BU79" s="893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  <c r="CG79" s="897"/>
      <c r="CH79" s="897"/>
      <c r="CI79" s="897"/>
    </row>
    <row r="80" spans="1:87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8"/>
        <v/>
      </c>
      <c r="M80" s="816" t="str">
        <f t="shared" si="59"/>
        <v/>
      </c>
      <c r="N80" s="816" t="str">
        <f t="shared" si="60"/>
        <v/>
      </c>
      <c r="R80" s="816" t="str">
        <f t="shared" si="61"/>
        <v/>
      </c>
      <c r="T80" s="829" t="str">
        <f t="shared" si="62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IF($J80="","",IF(SUM(IF(ISNUMBER(VALUE(RIGHT($AG80:$CN80,1))),VALUE(RIGHT($AG80:$CN80,1)),0))=$J80,"T","F"))</f>
        <v/>
      </c>
      <c r="AE80" s="831" t="str">
        <f t="array" ref="AE80">IF($J80="","",SUM(IF(LEFT($AG80:$DZ80,1)="s",1,0))-SUM(IF(RIGHT(LEFT($AG80:$DZ80,2))="-",1,0)))</f>
        <v/>
      </c>
      <c r="AF80" s="816" t="str">
        <f t="array" ref="AF80">IF($J80="","",SUM(IF(LEFT($AG80:$DF80,1)="X",1,0)))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3"/>
      <c r="BE80" s="893"/>
      <c r="BF80" s="893"/>
      <c r="BG80" s="893"/>
      <c r="BH80" s="893"/>
      <c r="BI80" s="893"/>
      <c r="BJ80" s="893"/>
      <c r="BK80" s="897"/>
      <c r="BL80" s="897"/>
      <c r="BM80" s="897"/>
      <c r="BN80" s="897"/>
      <c r="BO80" s="893"/>
      <c r="BP80" s="897"/>
      <c r="BQ80" s="897"/>
      <c r="BR80" s="897"/>
      <c r="BS80" s="893"/>
      <c r="BT80" s="897"/>
      <c r="BU80" s="893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  <c r="CG80" s="897"/>
      <c r="CH80" s="897"/>
      <c r="CI80" s="897"/>
    </row>
    <row r="81" spans="1:87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8"/>
        <v/>
      </c>
      <c r="M81" s="816" t="str">
        <f t="shared" si="59"/>
        <v/>
      </c>
      <c r="N81" s="816" t="str">
        <f t="shared" si="60"/>
        <v/>
      </c>
      <c r="R81" s="816" t="str">
        <f t="shared" si="61"/>
        <v/>
      </c>
      <c r="T81" s="829" t="str">
        <f t="shared" si="62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IF($J81="","",IF(SUM(IF(ISNUMBER(VALUE(RIGHT($AG81:$CN81,1))),VALUE(RIGHT($AG81:$CN81,1)),0))=$J81,"T","F"))</f>
        <v/>
      </c>
      <c r="AE81" s="831" t="str">
        <f t="array" ref="AE81">IF($J81="","",SUM(IF(LEFT($AG81:$DZ81,1)="s",1,0))-SUM(IF(RIGHT(LEFT($AG81:$DZ81,2))="-",1,0)))</f>
        <v/>
      </c>
      <c r="AF81" s="816" t="str">
        <f t="array" ref="AF81">IF($J81="","",SUM(IF(LEFT($AG81:$DF81,1)="X",1,0)))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3"/>
      <c r="BE81" s="893"/>
      <c r="BF81" s="893"/>
      <c r="BG81" s="893"/>
      <c r="BH81" s="893"/>
      <c r="BI81" s="893"/>
      <c r="BJ81" s="893"/>
      <c r="BK81" s="897"/>
      <c r="BL81" s="897"/>
      <c r="BM81" s="897"/>
      <c r="BN81" s="897"/>
      <c r="BO81" s="893"/>
      <c r="BP81" s="897"/>
      <c r="BQ81" s="897"/>
      <c r="BR81" s="897"/>
      <c r="BS81" s="893"/>
      <c r="BT81" s="897"/>
      <c r="BU81" s="893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  <c r="CG81" s="897"/>
      <c r="CH81" s="897"/>
      <c r="CI81" s="897"/>
    </row>
    <row r="82" spans="1:87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8"/>
        <v/>
      </c>
      <c r="M82" s="816" t="str">
        <f t="shared" si="59"/>
        <v/>
      </c>
      <c r="N82" s="816" t="str">
        <f t="shared" si="60"/>
        <v/>
      </c>
      <c r="R82" s="816" t="str">
        <f t="shared" si="61"/>
        <v/>
      </c>
      <c r="T82" s="829" t="str">
        <f t="shared" si="62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IF($J82="","",IF(SUM(IF(ISNUMBER(VALUE(RIGHT($AG82:$CN82,1))),VALUE(RIGHT($AG82:$CN82,1)),0))=$J82,"T","F"))</f>
        <v/>
      </c>
      <c r="AE82" s="831" t="str">
        <f t="array" ref="AE82">IF($J82="","",SUM(IF(LEFT($AG82:$DZ82,1)="s",1,0))-SUM(IF(RIGHT(LEFT($AG82:$DZ82,2))="-",1,0)))</f>
        <v/>
      </c>
      <c r="AF82" s="816" t="str">
        <f t="array" ref="AF82">IF($J82="","",SUM(IF(LEFT($AG82:$DF82,1)="X",1,0)))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3"/>
      <c r="BE82" s="893"/>
      <c r="BF82" s="893"/>
      <c r="BG82" s="893"/>
      <c r="BH82" s="893"/>
      <c r="BI82" s="893"/>
      <c r="BJ82" s="893"/>
      <c r="BK82" s="897"/>
      <c r="BL82" s="897"/>
      <c r="BM82" s="897"/>
      <c r="BN82" s="897"/>
      <c r="BO82" s="893"/>
      <c r="BP82" s="897"/>
      <c r="BQ82" s="897"/>
      <c r="BR82" s="897"/>
      <c r="BS82" s="893"/>
      <c r="BT82" s="897"/>
      <c r="BU82" s="893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  <c r="CG82" s="897"/>
      <c r="CH82" s="897"/>
      <c r="CI82" s="897"/>
    </row>
    <row r="83" spans="1:87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8"/>
        <v/>
      </c>
      <c r="M83" s="816" t="str">
        <f t="shared" si="59"/>
        <v/>
      </c>
      <c r="N83" s="816" t="str">
        <f t="shared" si="60"/>
        <v/>
      </c>
      <c r="R83" s="816" t="str">
        <f t="shared" si="61"/>
        <v/>
      </c>
      <c r="T83" s="829" t="str">
        <f t="shared" si="62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IF($J83="","",IF(SUM(IF(ISNUMBER(VALUE(RIGHT($AG83:$CN83,1))),VALUE(RIGHT($AG83:$CN83,1)),0))=$J83,"T","F"))</f>
        <v/>
      </c>
      <c r="AE83" s="831" t="str">
        <f t="array" ref="AE83">IF($J83="","",SUM(IF(LEFT($AG83:$DZ83,1)="s",1,0))-SUM(IF(RIGHT(LEFT($AG83:$DZ83,2))="-",1,0)))</f>
        <v/>
      </c>
      <c r="AF83" s="816" t="str">
        <f t="array" ref="AF83">IF($J83="","",SUM(IF(LEFT($AG83:$DF83,1)="X",1,0)))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3"/>
      <c r="BE83" s="893"/>
      <c r="BF83" s="893"/>
      <c r="BG83" s="893"/>
      <c r="BH83" s="893"/>
      <c r="BI83" s="893"/>
      <c r="BJ83" s="893"/>
      <c r="BK83" s="897"/>
      <c r="BL83" s="897"/>
      <c r="BM83" s="897"/>
      <c r="BN83" s="897"/>
      <c r="BO83" s="893"/>
      <c r="BP83" s="897"/>
      <c r="BQ83" s="897"/>
      <c r="BR83" s="897"/>
      <c r="BS83" s="893"/>
      <c r="BT83" s="897"/>
      <c r="BU83" s="893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  <c r="CG83" s="897"/>
      <c r="CH83" s="897"/>
      <c r="CI83" s="897"/>
    </row>
    <row r="84" spans="1:87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787"/>
      <c r="H84" s="833"/>
      <c r="I84" s="833"/>
      <c r="J84" s="833"/>
      <c r="K84" s="833"/>
      <c r="L84" s="816" t="str">
        <f t="shared" si="58"/>
        <v/>
      </c>
      <c r="M84" s="816" t="str">
        <f t="shared" si="59"/>
        <v/>
      </c>
      <c r="N84" s="816" t="str">
        <f t="shared" si="60"/>
        <v/>
      </c>
      <c r="R84" s="816" t="str">
        <f t="shared" si="61"/>
        <v/>
      </c>
      <c r="T84" s="829" t="str">
        <f t="shared" si="62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IF($J84="","",IF(SUM(IF(ISNUMBER(VALUE(RIGHT($AG84:$CN84,1))),VALUE(RIGHT($AG84:$CN84,1)),0))=$J84,"T","F"))</f>
        <v/>
      </c>
      <c r="AE84" s="831" t="str">
        <f t="array" ref="AE84">IF($J84="","",SUM(IF(LEFT($AG84:$DZ84,1)="s",1,0))-SUM(IF(RIGHT(LEFT($AG84:$DZ84,2))="-",1,0)))</f>
        <v/>
      </c>
      <c r="AF84" s="816" t="str">
        <f t="array" ref="AF84">IF($J84="","",SUM(IF(LEFT($AG84:$DF84,1)="X",1,0)))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3"/>
      <c r="BE84" s="893"/>
      <c r="BF84" s="893"/>
      <c r="BG84" s="893"/>
      <c r="BH84" s="893"/>
      <c r="BI84" s="893"/>
      <c r="BJ84" s="893"/>
      <c r="BK84" s="897"/>
      <c r="BL84" s="897"/>
      <c r="BM84" s="897"/>
      <c r="BN84" s="897"/>
      <c r="BO84" s="893"/>
      <c r="BP84" s="897"/>
      <c r="BQ84" s="897"/>
      <c r="BR84" s="897"/>
      <c r="BS84" s="893"/>
      <c r="BT84" s="897"/>
      <c r="BU84" s="893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  <c r="CG84" s="897"/>
      <c r="CH84" s="897"/>
      <c r="CI84" s="897"/>
    </row>
    <row r="85" spans="1:87" ht="15">
      <c r="A85" s="845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833"/>
      <c r="H85" s="833"/>
      <c r="I85" s="833"/>
      <c r="J85" s="833"/>
      <c r="K85" s="833"/>
      <c r="L85" s="816" t="str">
        <f t="shared" si="58"/>
        <v/>
      </c>
      <c r="M85" s="816" t="str">
        <f t="shared" si="59"/>
        <v/>
      </c>
      <c r="N85" s="816" t="str">
        <f t="shared" si="60"/>
        <v/>
      </c>
      <c r="R85" s="816" t="str">
        <f t="shared" si="61"/>
        <v/>
      </c>
      <c r="T85" s="829" t="str">
        <f t="shared" si="62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IF($J85="","",IF(SUM(IF(ISNUMBER(VALUE(RIGHT($AG85:$CN85,1))),VALUE(RIGHT($AG85:$CN85,1)),0))=$J85,"T","F"))</f>
        <v/>
      </c>
      <c r="AE85" s="831" t="str">
        <f t="array" ref="AE85">IF($J85="","",SUM(IF(LEFT($AG85:$DZ85,1)="s",1,0))-SUM(IF(RIGHT(LEFT($AG85:$DZ85,2))="-",1,0)))</f>
        <v/>
      </c>
      <c r="AF85" s="816" t="str">
        <f t="array" ref="AF85">IF($J85="","",SUM(IF(LEFT($AG85:$DF85,1)="X",1,0)))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3"/>
      <c r="BE85" s="893"/>
      <c r="BF85" s="893"/>
      <c r="BG85" s="893"/>
      <c r="BH85" s="893"/>
      <c r="BI85" s="893"/>
      <c r="BJ85" s="893"/>
      <c r="BK85" s="897"/>
      <c r="BL85" s="897"/>
      <c r="BM85" s="897"/>
      <c r="BN85" s="897"/>
      <c r="BO85" s="893"/>
      <c r="BP85" s="897"/>
      <c r="BQ85" s="897"/>
      <c r="BR85" s="897"/>
      <c r="BS85" s="893"/>
      <c r="BT85" s="897"/>
      <c r="BU85" s="893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  <c r="CG85" s="897"/>
      <c r="CH85" s="897"/>
      <c r="CI85" s="897"/>
    </row>
    <row r="86" spans="1:87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8"/>
        <v/>
      </c>
      <c r="M86" s="816" t="str">
        <f t="shared" si="59"/>
        <v/>
      </c>
      <c r="N86" s="816" t="str">
        <f t="shared" si="60"/>
        <v/>
      </c>
      <c r="R86" s="816" t="str">
        <f t="shared" si="61"/>
        <v/>
      </c>
      <c r="T86" s="829" t="str">
        <f t="shared" si="62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IF($J86="","",IF(SUM(IF(ISNUMBER(VALUE(RIGHT($AG86:$CN86,1))),VALUE(RIGHT($AG86:$CN86,1)),0))=$J86,"T","F"))</f>
        <v/>
      </c>
      <c r="AE86" s="831" t="str">
        <f t="array" ref="AE86">IF($J86="","",SUM(IF(LEFT($AG86:$DZ86,1)="s",1,0))-SUM(IF(RIGHT(LEFT($AG86:$DZ86,2))="-",1,0)))</f>
        <v/>
      </c>
      <c r="AF86" s="816" t="str">
        <f t="array" ref="AF86">IF($J86="","",SUM(IF(LEFT($AG86:$DF86,1)="X",1,0)))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3"/>
      <c r="BE86" s="893"/>
      <c r="BF86" s="893"/>
      <c r="BG86" s="893"/>
      <c r="BH86" s="893"/>
      <c r="BI86" s="893"/>
      <c r="BJ86" s="893"/>
      <c r="BK86" s="897"/>
      <c r="BL86" s="897"/>
      <c r="BM86" s="897"/>
      <c r="BN86" s="897"/>
      <c r="BO86" s="893"/>
      <c r="BP86" s="897"/>
      <c r="BQ86" s="897"/>
      <c r="BR86" s="897"/>
      <c r="BS86" s="893"/>
      <c r="BT86" s="897"/>
      <c r="BU86" s="893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  <c r="CG86" s="897"/>
      <c r="CH86" s="897"/>
      <c r="CI86" s="897"/>
    </row>
    <row r="87" spans="1:87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8"/>
        <v/>
      </c>
      <c r="M87" s="816" t="str">
        <f t="shared" si="59"/>
        <v/>
      </c>
      <c r="N87" s="816" t="str">
        <f t="shared" si="60"/>
        <v/>
      </c>
      <c r="R87" s="816" t="str">
        <f t="shared" si="61"/>
        <v/>
      </c>
      <c r="T87" s="829" t="str">
        <f t="shared" si="62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IF($J87="","",IF(SUM(IF(ISNUMBER(VALUE(RIGHT($AG87:$CN87,1))),VALUE(RIGHT($AG87:$CN87,1)),0))=$J87,"T","F"))</f>
        <v/>
      </c>
      <c r="AE87" s="831" t="str">
        <f t="array" ref="AE87">IF($J87="","",SUM(IF(LEFT($AG87:$DZ87,1)="s",1,0))-SUM(IF(RIGHT(LEFT($AG87:$DZ87,2))="-",1,0)))</f>
        <v/>
      </c>
      <c r="AF87" s="816" t="str">
        <f t="array" ref="AF87">IF($J87="","",SUM(IF(LEFT($AG87:$DF87,1)="X",1,0)))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3"/>
      <c r="BE87" s="893"/>
      <c r="BF87" s="893"/>
      <c r="BG87" s="893"/>
      <c r="BH87" s="893"/>
      <c r="BI87" s="893"/>
      <c r="BJ87" s="893"/>
      <c r="BK87" s="897"/>
      <c r="BL87" s="897"/>
      <c r="BM87" s="897"/>
      <c r="BN87" s="897"/>
      <c r="BO87" s="893"/>
      <c r="BP87" s="897"/>
      <c r="BQ87" s="897"/>
      <c r="BR87" s="897"/>
      <c r="BS87" s="893"/>
      <c r="BT87" s="897"/>
      <c r="BU87" s="893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  <c r="CG87" s="897"/>
      <c r="CH87" s="897"/>
      <c r="CI87" s="897"/>
    </row>
    <row r="88" spans="1:87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8"/>
        <v/>
      </c>
      <c r="M88" s="816" t="str">
        <f t="shared" si="59"/>
        <v/>
      </c>
      <c r="N88" s="816" t="str">
        <f t="shared" si="60"/>
        <v/>
      </c>
      <c r="R88" s="816" t="str">
        <f t="shared" si="61"/>
        <v/>
      </c>
      <c r="T88" s="829" t="str">
        <f t="shared" si="62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IF($J88="","",IF(SUM(IF(ISNUMBER(VALUE(RIGHT($AG88:$CN88,1))),VALUE(RIGHT($AG88:$CN88,1)),0))=$J88,"T","F"))</f>
        <v/>
      </c>
      <c r="AE88" s="831" t="str">
        <f t="array" ref="AE88">IF($J88="","",SUM(IF(LEFT($AG88:$DZ88,1)="s",1,0))-SUM(IF(RIGHT(LEFT($AG88:$DZ88,2))="-",1,0)))</f>
        <v/>
      </c>
      <c r="AF88" s="816" t="str">
        <f t="array" ref="AF88">IF($J88="","",SUM(IF(LEFT($AG88:$DF88,1)="X",1,0)))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3"/>
      <c r="BE88" s="893"/>
      <c r="BF88" s="893"/>
      <c r="BG88" s="893"/>
      <c r="BH88" s="893"/>
      <c r="BI88" s="893"/>
      <c r="BJ88" s="893"/>
      <c r="BK88" s="897"/>
      <c r="BL88" s="897"/>
      <c r="BM88" s="897"/>
      <c r="BN88" s="897"/>
      <c r="BO88" s="893"/>
      <c r="BP88" s="897"/>
      <c r="BQ88" s="897"/>
      <c r="BR88" s="897"/>
      <c r="BS88" s="893"/>
      <c r="BT88" s="897"/>
      <c r="BU88" s="893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  <c r="CG88" s="897"/>
      <c r="CH88" s="897"/>
      <c r="CI88" s="897"/>
    </row>
    <row r="89" spans="1:87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8"/>
        <v/>
      </c>
      <c r="M89" s="816" t="str">
        <f t="shared" si="59"/>
        <v/>
      </c>
      <c r="N89" s="816" t="str">
        <f t="shared" si="60"/>
        <v/>
      </c>
      <c r="R89" s="816" t="str">
        <f t="shared" si="61"/>
        <v/>
      </c>
      <c r="T89" s="829" t="str">
        <f t="shared" si="62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IF($J89="","",IF(SUM(IF(ISNUMBER(VALUE(RIGHT($AG89:$CN89,1))),VALUE(RIGHT($AG89:$CN89,1)),0))=$J89,"T","F"))</f>
        <v/>
      </c>
      <c r="AE89" s="831" t="str">
        <f t="array" ref="AE89">IF($J89="","",SUM(IF(LEFT($AG89:$DZ89,1)="s",1,0))-SUM(IF(RIGHT(LEFT($AG89:$DZ89,2))="-",1,0)))</f>
        <v/>
      </c>
      <c r="AF89" s="816" t="str">
        <f t="array" ref="AF89">IF($J89="","",SUM(IF(LEFT($AG89:$DF89,1)="X",1,0)))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3"/>
      <c r="BE89" s="893"/>
      <c r="BF89" s="893"/>
      <c r="BG89" s="893"/>
      <c r="BH89" s="893"/>
      <c r="BI89" s="893"/>
      <c r="BJ89" s="893"/>
      <c r="BK89" s="897"/>
      <c r="BL89" s="897"/>
      <c r="BM89" s="897"/>
      <c r="BN89" s="897"/>
      <c r="BO89" s="893"/>
      <c r="BP89" s="897"/>
      <c r="BQ89" s="897"/>
      <c r="BR89" s="897"/>
      <c r="BS89" s="893"/>
      <c r="BT89" s="897"/>
      <c r="BU89" s="893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  <c r="CG89" s="897"/>
      <c r="CH89" s="897"/>
      <c r="CI89" s="897"/>
    </row>
    <row r="90" spans="1:87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8"/>
        <v/>
      </c>
      <c r="M90" s="816" t="str">
        <f t="shared" si="59"/>
        <v/>
      </c>
      <c r="N90" s="816" t="str">
        <f t="shared" si="60"/>
        <v/>
      </c>
      <c r="R90" s="816" t="str">
        <f t="shared" si="61"/>
        <v/>
      </c>
      <c r="T90" s="829" t="str">
        <f t="shared" si="62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IF($J90="","",IF(SUM(IF(ISNUMBER(VALUE(RIGHT($AG90:$CN90,1))),VALUE(RIGHT($AG90:$CN90,1)),0))=$J90,"T","F"))</f>
        <v/>
      </c>
      <c r="AE90" s="831" t="str">
        <f t="array" ref="AE90">IF($J90="","",SUM(IF(LEFT($AG90:$DZ90,1)="s",1,0))-SUM(IF(RIGHT(LEFT($AG90:$DZ90,2))="-",1,0)))</f>
        <v/>
      </c>
      <c r="AF90" s="816" t="str">
        <f t="array" ref="AF90">IF($J90="","",SUM(IF(LEFT($AG90:$DF90,1)="X",1,0)))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3"/>
      <c r="BE90" s="893"/>
      <c r="BF90" s="893"/>
      <c r="BG90" s="893"/>
      <c r="BH90" s="893"/>
      <c r="BI90" s="893"/>
      <c r="BJ90" s="893"/>
      <c r="BK90" s="897"/>
      <c r="BL90" s="897"/>
      <c r="BM90" s="897"/>
      <c r="BN90" s="897"/>
      <c r="BO90" s="893"/>
      <c r="BP90" s="897"/>
      <c r="BQ90" s="897"/>
      <c r="BR90" s="897"/>
      <c r="BS90" s="893"/>
      <c r="BT90" s="897"/>
      <c r="BU90" s="893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  <c r="CG90" s="897"/>
      <c r="CH90" s="897"/>
      <c r="CI90" s="897"/>
    </row>
    <row r="91" spans="1:87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8"/>
        <v/>
      </c>
      <c r="M91" s="816" t="str">
        <f t="shared" si="59"/>
        <v/>
      </c>
      <c r="N91" s="816" t="str">
        <f t="shared" si="60"/>
        <v/>
      </c>
      <c r="R91" s="816" t="str">
        <f t="shared" si="61"/>
        <v/>
      </c>
      <c r="T91" s="829" t="str">
        <f t="shared" si="62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IF($J91="","",IF(SUM(IF(ISNUMBER(VALUE(RIGHT($AG91:$CN91,1))),VALUE(RIGHT($AG91:$CN91,1)),0))=$J91,"T","F"))</f>
        <v/>
      </c>
      <c r="AE91" s="831" t="str">
        <f t="array" ref="AE91">IF($J91="","",SUM(IF(LEFT($AG91:$DZ91,1)="s",1,0))-SUM(IF(RIGHT(LEFT($AG91:$DZ91,2))="-",1,0)))</f>
        <v/>
      </c>
      <c r="AF91" s="816" t="str">
        <f t="array" ref="AF91">IF($J91="","",SUM(IF(LEFT($AG91:$DF91,1)="X",1,0)))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3"/>
      <c r="BE91" s="893"/>
      <c r="BF91" s="893"/>
      <c r="BG91" s="893"/>
      <c r="BH91" s="893"/>
      <c r="BI91" s="893"/>
      <c r="BJ91" s="893"/>
      <c r="BK91" s="897"/>
      <c r="BL91" s="897"/>
      <c r="BM91" s="897"/>
      <c r="BN91" s="897"/>
      <c r="BO91" s="893"/>
      <c r="BP91" s="897"/>
      <c r="BQ91" s="897"/>
      <c r="BR91" s="897"/>
      <c r="BS91" s="893"/>
      <c r="BT91" s="897"/>
      <c r="BU91" s="893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  <c r="CG91" s="897"/>
      <c r="CH91" s="897"/>
      <c r="CI91" s="897"/>
    </row>
    <row r="92" spans="1:87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8"/>
        <v/>
      </c>
      <c r="M92" s="816" t="str">
        <f t="shared" si="59"/>
        <v/>
      </c>
      <c r="N92" s="816" t="str">
        <f t="shared" si="60"/>
        <v/>
      </c>
      <c r="R92" s="816" t="str">
        <f t="shared" si="61"/>
        <v/>
      </c>
      <c r="T92" s="829" t="str">
        <f t="shared" si="62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IF($J92="","",IF(SUM(IF(ISNUMBER(VALUE(RIGHT($AG92:$CN92,1))),VALUE(RIGHT($AG92:$CN92,1)),0))=$J92,"T","F"))</f>
        <v/>
      </c>
      <c r="AE92" s="831" t="str">
        <f t="array" ref="AE92">IF($J92="","",SUM(IF(LEFT($AG92:$DZ92,1)="s",1,0))-SUM(IF(RIGHT(LEFT($AG92:$DZ92,2))="-",1,0)))</f>
        <v/>
      </c>
      <c r="AF92" s="816" t="str">
        <f t="array" ref="AF92">IF($J92="","",SUM(IF(LEFT($AG92:$DF92,1)="X",1,0)))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3"/>
      <c r="BE92" s="893"/>
      <c r="BF92" s="893"/>
      <c r="BG92" s="893"/>
      <c r="BH92" s="893"/>
      <c r="BI92" s="893"/>
      <c r="BJ92" s="893"/>
      <c r="BK92" s="897"/>
      <c r="BL92" s="897"/>
      <c r="BM92" s="897"/>
      <c r="BN92" s="897"/>
      <c r="BO92" s="893"/>
      <c r="BP92" s="897"/>
      <c r="BQ92" s="897"/>
      <c r="BR92" s="897"/>
      <c r="BS92" s="893"/>
      <c r="BT92" s="897"/>
      <c r="BU92" s="893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  <c r="CG92" s="897"/>
      <c r="CH92" s="897"/>
      <c r="CI92" s="897"/>
    </row>
    <row r="93" spans="1:87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8"/>
        <v/>
      </c>
      <c r="M93" s="816" t="str">
        <f t="shared" si="59"/>
        <v/>
      </c>
      <c r="N93" s="816" t="str">
        <f t="shared" si="60"/>
        <v/>
      </c>
      <c r="R93" s="816" t="str">
        <f t="shared" si="61"/>
        <v/>
      </c>
      <c r="T93" s="829" t="str">
        <f t="shared" si="62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IF($J93="","",IF(SUM(IF(ISNUMBER(VALUE(RIGHT($AG93:$CN93,1))),VALUE(RIGHT($AG93:$CN93,1)),0))=$J93,"T","F"))</f>
        <v/>
      </c>
      <c r="AE93" s="831" t="str">
        <f t="array" ref="AE93">IF($J93="","",SUM(IF(LEFT($AG93:$DZ93,1)="s",1,0))-SUM(IF(RIGHT(LEFT($AG93:$DZ93,2))="-",1,0)))</f>
        <v/>
      </c>
      <c r="AF93" s="816" t="str">
        <f t="array" ref="AF93">IF($J93="","",SUM(IF(LEFT($AG93:$DF93,1)="X",1,0)))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3"/>
      <c r="BE93" s="893"/>
      <c r="BF93" s="893"/>
      <c r="BG93" s="893"/>
      <c r="BH93" s="893"/>
      <c r="BI93" s="893"/>
      <c r="BJ93" s="893"/>
      <c r="BK93" s="897"/>
      <c r="BL93" s="897"/>
      <c r="BM93" s="897"/>
      <c r="BN93" s="897"/>
      <c r="BO93" s="893"/>
      <c r="BP93" s="897"/>
      <c r="BQ93" s="897"/>
      <c r="BR93" s="897"/>
      <c r="BS93" s="893"/>
      <c r="BT93" s="897"/>
      <c r="BU93" s="893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  <c r="CG93" s="897"/>
      <c r="CH93" s="897"/>
      <c r="CI93" s="897"/>
    </row>
    <row r="94" spans="1:87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8"/>
        <v/>
      </c>
      <c r="M94" s="816" t="str">
        <f t="shared" si="59"/>
        <v/>
      </c>
      <c r="N94" s="816" t="str">
        <f t="shared" si="60"/>
        <v/>
      </c>
      <c r="R94" s="816" t="str">
        <f t="shared" si="61"/>
        <v/>
      </c>
      <c r="T94" s="829" t="str">
        <f t="shared" si="62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IF($J94="","",IF(SUM(IF(ISNUMBER(VALUE(RIGHT($AG94:$CN94,1))),VALUE(RIGHT($AG94:$CN94,1)),0))=$J94,"T","F"))</f>
        <v/>
      </c>
      <c r="AE94" s="831" t="str">
        <f t="array" ref="AE94">IF($J94="","",SUM(IF(LEFT($AG94:$DZ94,1)="s",1,0))-SUM(IF(RIGHT(LEFT($AG94:$DZ94,2))="-",1,0)))</f>
        <v/>
      </c>
      <c r="AF94" s="816" t="str">
        <f t="array" ref="AF94">IF($J94="","",SUM(IF(LEFT($AG94:$DF94,1)="X",1,0)))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3"/>
      <c r="BE94" s="893"/>
      <c r="BF94" s="893"/>
      <c r="BG94" s="893"/>
      <c r="BH94" s="893"/>
      <c r="BI94" s="893"/>
      <c r="BJ94" s="893"/>
      <c r="BK94" s="897"/>
      <c r="BL94" s="897"/>
      <c r="BM94" s="897"/>
      <c r="BN94" s="897"/>
      <c r="BO94" s="893"/>
      <c r="BP94" s="897"/>
      <c r="BQ94" s="897"/>
      <c r="BR94" s="897"/>
      <c r="BS94" s="893"/>
      <c r="BT94" s="897"/>
      <c r="BU94" s="893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  <c r="CG94" s="897"/>
      <c r="CH94" s="897"/>
      <c r="CI94" s="897"/>
    </row>
    <row r="95" spans="1:87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8"/>
        <v/>
      </c>
      <c r="M95" s="816" t="str">
        <f t="shared" si="59"/>
        <v/>
      </c>
      <c r="N95" s="816" t="str">
        <f t="shared" si="60"/>
        <v/>
      </c>
      <c r="R95" s="816" t="str">
        <f t="shared" si="61"/>
        <v/>
      </c>
      <c r="T95" s="829" t="str">
        <f t="shared" si="62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IF($J95="","",IF(SUM(IF(ISNUMBER(VALUE(RIGHT($AG95:$CN95,1))),VALUE(RIGHT($AG95:$CN95,1)),0))=$J95,"T","F"))</f>
        <v/>
      </c>
      <c r="AE95" s="831" t="str">
        <f t="array" ref="AE95">IF($J95="","",SUM(IF(LEFT($AG95:$DZ95,1)="s",1,0))-SUM(IF(RIGHT(LEFT($AG95:$DZ95,2))="-",1,0)))</f>
        <v/>
      </c>
      <c r="AF95" s="816" t="str">
        <f t="array" ref="AF95">IF($J95="","",SUM(IF(LEFT($AG95:$DF95,1)="X",1,0)))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3"/>
      <c r="BE95" s="893"/>
      <c r="BF95" s="893"/>
      <c r="BG95" s="893"/>
      <c r="BH95" s="893"/>
      <c r="BI95" s="893"/>
      <c r="BJ95" s="893"/>
      <c r="BK95" s="897"/>
      <c r="BL95" s="897"/>
      <c r="BM95" s="897"/>
      <c r="BN95" s="897"/>
      <c r="BO95" s="893"/>
      <c r="BP95" s="897"/>
      <c r="BQ95" s="897"/>
      <c r="BR95" s="897"/>
      <c r="BS95" s="893"/>
      <c r="BT95" s="897"/>
      <c r="BU95" s="893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  <c r="CG95" s="897"/>
      <c r="CH95" s="897"/>
      <c r="CI95" s="897"/>
    </row>
    <row r="96" spans="1:87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8"/>
        <v/>
      </c>
      <c r="M96" s="816" t="str">
        <f t="shared" si="59"/>
        <v/>
      </c>
      <c r="N96" s="816" t="str">
        <f t="shared" si="60"/>
        <v/>
      </c>
      <c r="R96" s="816" t="str">
        <f t="shared" si="61"/>
        <v/>
      </c>
      <c r="T96" s="829" t="str">
        <f t="shared" si="62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IF($J96="","",IF(SUM(IF(ISNUMBER(VALUE(RIGHT($AG96:$CN96,1))),VALUE(RIGHT($AG96:$CN96,1)),0))=$J96,"T","F"))</f>
        <v/>
      </c>
      <c r="AE96" s="831" t="str">
        <f t="array" ref="AE96">IF($J96="","",SUM(IF(LEFT($AG96:$DZ96,1)="s",1,0))-SUM(IF(RIGHT(LEFT($AG96:$DZ96,2))="-",1,0)))</f>
        <v/>
      </c>
      <c r="AF96" s="816" t="str">
        <f t="array" ref="AF96">IF($J96="","",SUM(IF(LEFT($AG96:$DF96,1)="X",1,0)))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3"/>
      <c r="BE96" s="893"/>
      <c r="BF96" s="893"/>
      <c r="BG96" s="893"/>
      <c r="BH96" s="893"/>
      <c r="BI96" s="893"/>
      <c r="BJ96" s="893"/>
      <c r="BK96" s="897"/>
      <c r="BL96" s="897"/>
      <c r="BM96" s="897"/>
      <c r="BN96" s="897"/>
      <c r="BO96" s="893"/>
      <c r="BP96" s="897"/>
      <c r="BQ96" s="897"/>
      <c r="BR96" s="897"/>
      <c r="BS96" s="893"/>
      <c r="BT96" s="897"/>
      <c r="BU96" s="893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  <c r="CG96" s="897"/>
      <c r="CH96" s="897"/>
      <c r="CI96" s="897"/>
    </row>
    <row r="97" spans="1:87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8"/>
        <v/>
      </c>
      <c r="M97" s="816" t="str">
        <f t="shared" si="59"/>
        <v/>
      </c>
      <c r="N97" s="816" t="str">
        <f t="shared" si="60"/>
        <v/>
      </c>
      <c r="R97" s="816" t="str">
        <f t="shared" si="61"/>
        <v/>
      </c>
      <c r="T97" s="829" t="str">
        <f t="shared" si="62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IF($J97="","",IF(SUM(IF(ISNUMBER(VALUE(RIGHT($AG97:$CN97,1))),VALUE(RIGHT($AG97:$CN97,1)),0))=$J97,"T","F"))</f>
        <v/>
      </c>
      <c r="AE97" s="831" t="str">
        <f t="array" ref="AE97">IF($J97="","",SUM(IF(LEFT($AG97:$DZ97,1)="s",1,0))-SUM(IF(RIGHT(LEFT($AG97:$DZ97,2))="-",1,0)))</f>
        <v/>
      </c>
      <c r="AF97" s="816" t="str">
        <f t="array" ref="AF97">IF($J97="","",SUM(IF(LEFT($AG97:$DF97,1)="X",1,0)))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3"/>
      <c r="BE97" s="893"/>
      <c r="BF97" s="893"/>
      <c r="BG97" s="893"/>
      <c r="BH97" s="893"/>
      <c r="BI97" s="893"/>
      <c r="BJ97" s="893"/>
      <c r="BK97" s="897"/>
      <c r="BL97" s="897"/>
      <c r="BM97" s="897"/>
      <c r="BN97" s="897"/>
      <c r="BO97" s="893"/>
      <c r="BP97" s="897"/>
      <c r="BQ97" s="897"/>
      <c r="BR97" s="897"/>
      <c r="BS97" s="893"/>
      <c r="BT97" s="897"/>
      <c r="BU97" s="893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  <c r="CG97" s="897"/>
      <c r="CH97" s="897"/>
      <c r="CI97" s="897"/>
    </row>
    <row r="98" spans="1:87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8"/>
        <v/>
      </c>
      <c r="M98" s="816" t="str">
        <f t="shared" si="59"/>
        <v/>
      </c>
      <c r="N98" s="816" t="str">
        <f t="shared" si="60"/>
        <v/>
      </c>
      <c r="R98" s="816" t="str">
        <f t="shared" si="61"/>
        <v/>
      </c>
      <c r="T98" s="829" t="str">
        <f t="shared" si="62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IF($J98="","",IF(SUM(IF(ISNUMBER(VALUE(RIGHT($AG98:$CN98,1))),VALUE(RIGHT($AG98:$CN98,1)),0))=$J98,"T","F"))</f>
        <v/>
      </c>
      <c r="AE98" s="831" t="str">
        <f t="array" ref="AE98">IF($J98="","",SUM(IF(LEFT($AG98:$DZ98,1)="s",1,0))-SUM(IF(RIGHT(LEFT($AG98:$DZ98,2))="-",1,0)))</f>
        <v/>
      </c>
      <c r="AF98" s="816" t="str">
        <f t="array" ref="AF98">IF($J98="","",SUM(IF(LEFT($AG98:$DF98,1)="X",1,0)))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3"/>
      <c r="BE98" s="893"/>
      <c r="BF98" s="893"/>
      <c r="BG98" s="893"/>
      <c r="BH98" s="893"/>
      <c r="BI98" s="893"/>
      <c r="BJ98" s="893"/>
      <c r="BK98" s="897"/>
      <c r="BL98" s="897"/>
      <c r="BM98" s="897"/>
      <c r="BN98" s="897"/>
      <c r="BO98" s="893"/>
      <c r="BP98" s="897"/>
      <c r="BQ98" s="897"/>
      <c r="BR98" s="897"/>
      <c r="BS98" s="893"/>
      <c r="BT98" s="897"/>
      <c r="BU98" s="893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  <c r="CG98" s="897"/>
      <c r="CH98" s="897"/>
      <c r="CI98" s="897"/>
    </row>
    <row r="99" spans="1:87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8"/>
        <v/>
      </c>
      <c r="M99" s="816" t="str">
        <f t="shared" si="59"/>
        <v/>
      </c>
      <c r="N99" s="816" t="str">
        <f t="shared" si="60"/>
        <v/>
      </c>
      <c r="R99" s="816" t="str">
        <f t="shared" si="61"/>
        <v/>
      </c>
      <c r="T99" s="829" t="str">
        <f t="shared" si="62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IF($J99="","",IF(SUM(IF(ISNUMBER(VALUE(RIGHT($AG99:$CN99,1))),VALUE(RIGHT($AG99:$CN99,1)),0))=$J99,"T","F"))</f>
        <v/>
      </c>
      <c r="AE99" s="831" t="str">
        <f t="array" ref="AE99">IF($J99="","",SUM(IF(LEFT($AG99:$DZ99,1)="s",1,0))-SUM(IF(RIGHT(LEFT($AG99:$DZ99,2))="-",1,0)))</f>
        <v/>
      </c>
      <c r="AF99" s="816" t="str">
        <f t="array" ref="AF99">IF($J99="","",SUM(IF(LEFT($AG99:$DF99,1)="X",1,0)))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3"/>
      <c r="BE99" s="893"/>
      <c r="BF99" s="893"/>
      <c r="BG99" s="893"/>
      <c r="BH99" s="893"/>
      <c r="BI99" s="893"/>
      <c r="BJ99" s="893"/>
      <c r="BK99" s="897"/>
      <c r="BL99" s="897"/>
      <c r="BM99" s="897"/>
      <c r="BN99" s="897"/>
      <c r="BO99" s="893"/>
      <c r="BP99" s="897"/>
      <c r="BQ99" s="897"/>
      <c r="BR99" s="897"/>
      <c r="BS99" s="893"/>
      <c r="BT99" s="897"/>
      <c r="BU99" s="893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  <c r="CG99" s="897"/>
      <c r="CH99" s="897"/>
      <c r="CI99" s="897"/>
    </row>
    <row r="100" spans="1:87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8"/>
        <v/>
      </c>
      <c r="M100" s="816" t="str">
        <f t="shared" si="59"/>
        <v/>
      </c>
      <c r="N100" s="816" t="str">
        <f t="shared" si="60"/>
        <v/>
      </c>
      <c r="R100" s="816" t="str">
        <f t="shared" si="61"/>
        <v/>
      </c>
      <c r="T100" s="829" t="str">
        <f t="shared" si="62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IF($J100="","",IF(SUM(IF(ISNUMBER(VALUE(RIGHT($AG100:$CN100,1))),VALUE(RIGHT($AG100:$CN100,1)),0))=$J100,"T","F"))</f>
        <v/>
      </c>
      <c r="AE100" s="831" t="str">
        <f t="array" ref="AE100">IF($J100="","",SUM(IF(LEFT($AG100:$DZ100,1)="s",1,0))-SUM(IF(RIGHT(LEFT($AG100:$DZ100,2))="-",1,0)))</f>
        <v/>
      </c>
      <c r="AF100" s="816" t="str">
        <f t="array" ref="AF100">IF($J100="","",SUM(IF(LEFT($AG100:$DF100,1)="X",1,0)))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3"/>
      <c r="BE100" s="893"/>
      <c r="BF100" s="893"/>
      <c r="BG100" s="893"/>
      <c r="BH100" s="893"/>
      <c r="BI100" s="893"/>
      <c r="BJ100" s="893"/>
      <c r="BK100" s="897"/>
      <c r="BL100" s="897"/>
      <c r="BM100" s="897"/>
      <c r="BN100" s="897"/>
      <c r="BO100" s="893"/>
      <c r="BP100" s="897"/>
      <c r="BQ100" s="897"/>
      <c r="BR100" s="897"/>
      <c r="BS100" s="893"/>
      <c r="BT100" s="897"/>
      <c r="BU100" s="893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  <c r="CG100" s="897"/>
      <c r="CH100" s="897"/>
      <c r="CI100" s="897"/>
    </row>
    <row r="101" spans="1:87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8"/>
        <v/>
      </c>
      <c r="M101" s="816" t="str">
        <f t="shared" si="59"/>
        <v/>
      </c>
      <c r="N101" s="816" t="str">
        <f t="shared" si="60"/>
        <v/>
      </c>
      <c r="R101" s="816" t="str">
        <f t="shared" si="61"/>
        <v/>
      </c>
      <c r="T101" s="829" t="str">
        <f t="shared" si="62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IF($J101="","",IF(SUM(IF(ISNUMBER(VALUE(RIGHT($AG101:$CN101,1))),VALUE(RIGHT($AG101:$CN101,1)),0))=$J101,"T","F"))</f>
        <v/>
      </c>
      <c r="AE101" s="831" t="str">
        <f t="array" ref="AE101">IF($J101="","",SUM(IF(LEFT($AG101:$DZ101,1)="s",1,0))-SUM(IF(RIGHT(LEFT($AG101:$DZ101,2))="-",1,0)))</f>
        <v/>
      </c>
      <c r="AF101" s="816" t="str">
        <f t="array" ref="AF101">IF($J101="","",SUM(IF(LEFT($AG101:$DF101,1)="X",1,0)))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3"/>
      <c r="BE101" s="893"/>
      <c r="BF101" s="893"/>
      <c r="BG101" s="893"/>
      <c r="BH101" s="893"/>
      <c r="BI101" s="893"/>
      <c r="BJ101" s="893"/>
      <c r="BK101" s="897"/>
      <c r="BL101" s="897"/>
      <c r="BM101" s="897"/>
      <c r="BN101" s="897"/>
      <c r="BO101" s="893"/>
      <c r="BP101" s="897"/>
      <c r="BQ101" s="897"/>
      <c r="BR101" s="897"/>
      <c r="BS101" s="893"/>
      <c r="BT101" s="897"/>
      <c r="BU101" s="893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  <c r="CG101" s="897"/>
      <c r="CH101" s="897"/>
      <c r="CI101" s="897"/>
    </row>
    <row r="102" spans="1:87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8"/>
        <v/>
      </c>
      <c r="M102" s="816" t="str">
        <f t="shared" si="59"/>
        <v/>
      </c>
      <c r="N102" s="816" t="str">
        <f t="shared" si="60"/>
        <v/>
      </c>
      <c r="R102" s="816" t="str">
        <f t="shared" si="61"/>
        <v/>
      </c>
      <c r="T102" s="829" t="str">
        <f t="shared" si="62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IF($J102="","",IF(SUM(IF(ISNUMBER(VALUE(RIGHT($AG102:$CN102,1))),VALUE(RIGHT($AG102:$CN102,1)),0))=$J102,"T","F"))</f>
        <v/>
      </c>
      <c r="AE102" s="831" t="str">
        <f t="array" ref="AE102">IF($J102="","",SUM(IF(LEFT($AG102:$DZ102,1)="s",1,0))-SUM(IF(RIGHT(LEFT($AG102:$DZ102,2))="-",1,0)))</f>
        <v/>
      </c>
      <c r="AF102" s="816" t="str">
        <f t="array" ref="AF102">IF($J102="","",SUM(IF(LEFT($AG102:$DF102,1)="X",1,0)))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3"/>
      <c r="BE102" s="893"/>
      <c r="BF102" s="893"/>
      <c r="BG102" s="893"/>
      <c r="BH102" s="893"/>
      <c r="BI102" s="893"/>
      <c r="BJ102" s="893"/>
      <c r="BK102" s="897"/>
      <c r="BL102" s="897"/>
      <c r="BM102" s="897"/>
      <c r="BN102" s="897"/>
      <c r="BO102" s="893"/>
      <c r="BP102" s="897"/>
      <c r="BQ102" s="897"/>
      <c r="BR102" s="897"/>
      <c r="BS102" s="893"/>
      <c r="BT102" s="897"/>
      <c r="BU102" s="893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  <c r="CG102" s="897"/>
      <c r="CH102" s="897"/>
      <c r="CI102" s="897"/>
    </row>
    <row r="103" spans="1:87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8"/>
        <v/>
      </c>
      <c r="M103" s="816" t="str">
        <f t="shared" si="59"/>
        <v/>
      </c>
      <c r="N103" s="816" t="str">
        <f t="shared" si="60"/>
        <v/>
      </c>
      <c r="R103" s="816" t="str">
        <f t="shared" si="61"/>
        <v/>
      </c>
      <c r="T103" s="829" t="str">
        <f t="shared" si="62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IF($J103="","",IF(SUM(IF(ISNUMBER(VALUE(RIGHT($AG103:$CN103,1))),VALUE(RIGHT($AG103:$CN103,1)),0))=$J103,"T","F"))</f>
        <v/>
      </c>
      <c r="AE103" s="816" t="str">
        <f t="array" ref="AE103">IF($J103="","",SUM(IF(LEFT($AG103:$DZ103,1)="s",1,0))-SUM(IF(RIGHT(LEFT($AG103:$DZ103,2))="-",1,0)))</f>
        <v/>
      </c>
      <c r="AF103" s="816" t="str">
        <f t="array" ref="AF103">IF($J103="","",SUM(IF(LEFT($AG103:$DF103,1)="X",1,0)))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3"/>
      <c r="BE103" s="893"/>
      <c r="BF103" s="893"/>
      <c r="BG103" s="893"/>
      <c r="BH103" s="893"/>
      <c r="BI103" s="893"/>
      <c r="BJ103" s="893"/>
      <c r="BK103" s="897"/>
      <c r="BL103" s="897"/>
      <c r="BM103" s="897"/>
      <c r="BN103" s="897"/>
      <c r="BO103" s="893"/>
      <c r="BP103" s="897"/>
      <c r="BQ103" s="897"/>
      <c r="BR103" s="897"/>
      <c r="BS103" s="893"/>
      <c r="BT103" s="897"/>
      <c r="BU103" s="893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  <c r="CG103" s="897"/>
      <c r="CH103" s="897"/>
      <c r="CI103" s="897"/>
    </row>
    <row r="104" spans="1:87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8"/>
        <v/>
      </c>
      <c r="M104" s="816" t="str">
        <f t="shared" si="59"/>
        <v/>
      </c>
      <c r="N104" s="816" t="str">
        <f t="shared" si="60"/>
        <v/>
      </c>
      <c r="R104" s="816" t="str">
        <f t="shared" si="61"/>
        <v/>
      </c>
      <c r="T104" s="829" t="str">
        <f t="shared" si="62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IF($J104="","",IF(SUM(IF(ISNUMBER(VALUE(RIGHT($AG104:$CN104,1))),VALUE(RIGHT($AG104:$CN104,1)),0))=$J104,"T","F"))</f>
        <v/>
      </c>
      <c r="AE104" s="816" t="str">
        <f t="array" ref="AE104">IF($J104="","",SUM(IF(LEFT($AG104:$DZ104,1)="s",1,0))-SUM(IF(RIGHT(LEFT($AG104:$DZ104,2))="-",1,0)))</f>
        <v/>
      </c>
      <c r="AF104" s="816" t="str">
        <f t="array" ref="AF104">IF($J104="","",SUM(IF(LEFT($AG104:$DF104,1)="X",1,0)))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3"/>
      <c r="BE104" s="893"/>
      <c r="BF104" s="893"/>
      <c r="BG104" s="893"/>
      <c r="BH104" s="893"/>
      <c r="BI104" s="893"/>
      <c r="BJ104" s="893"/>
      <c r="BK104" s="897"/>
      <c r="BL104" s="897"/>
      <c r="BM104" s="897"/>
      <c r="BN104" s="897"/>
      <c r="BO104" s="893"/>
      <c r="BP104" s="897"/>
      <c r="BQ104" s="897"/>
      <c r="BR104" s="897"/>
      <c r="BS104" s="893"/>
      <c r="BT104" s="897"/>
      <c r="BU104" s="893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  <c r="CG104" s="897"/>
      <c r="CH104" s="897"/>
      <c r="CI104" s="897"/>
    </row>
    <row r="105" spans="1:87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8"/>
        <v/>
      </c>
      <c r="M105" s="816" t="str">
        <f t="shared" si="59"/>
        <v/>
      </c>
      <c r="N105" s="816" t="str">
        <f t="shared" si="60"/>
        <v/>
      </c>
      <c r="R105" s="816" t="str">
        <f t="shared" si="61"/>
        <v/>
      </c>
      <c r="T105" s="829" t="str">
        <f t="shared" si="62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IF($J105="","",IF(SUM(IF(ISNUMBER(VALUE(RIGHT($AG105:$CN105,1))),VALUE(RIGHT($AG105:$CN105,1)),0))=$J105,"T","F"))</f>
        <v/>
      </c>
      <c r="AE105" s="816" t="str">
        <f t="array" ref="AE105">IF($J105="","",SUM(IF(LEFT($AG105:$DZ105,1)="s",1,0))-SUM(IF(RIGHT(LEFT($AG105:$DZ105,2))="-",1,0)))</f>
        <v/>
      </c>
      <c r="AF105" s="816" t="str">
        <f t="array" ref="AF105">IF($J105="","",SUM(IF(LEFT($AG105:$DF105,1)="X",1,0)))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3"/>
      <c r="BE105" s="893"/>
      <c r="BF105" s="893"/>
      <c r="BG105" s="893"/>
      <c r="BH105" s="893"/>
      <c r="BI105" s="893"/>
      <c r="BJ105" s="893"/>
      <c r="BK105" s="897"/>
      <c r="BL105" s="897"/>
      <c r="BM105" s="897"/>
      <c r="BN105" s="897"/>
      <c r="BO105" s="893"/>
      <c r="BP105" s="897"/>
      <c r="BQ105" s="897"/>
      <c r="BR105" s="897"/>
      <c r="BS105" s="893"/>
      <c r="BT105" s="897"/>
      <c r="BU105" s="893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  <c r="CG105" s="897"/>
      <c r="CH105" s="897"/>
      <c r="CI105" s="897"/>
    </row>
    <row r="106" spans="1:87" ht="15"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8"/>
        <v/>
      </c>
      <c r="M106" s="816" t="str">
        <f t="shared" si="59"/>
        <v/>
      </c>
      <c r="N106" s="816" t="str">
        <f t="shared" si="60"/>
        <v/>
      </c>
      <c r="R106" s="816" t="str">
        <f t="shared" si="61"/>
        <v/>
      </c>
      <c r="T106" s="829" t="str">
        <f t="shared" si="62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IF($J106="","",IF(SUM(IF(ISNUMBER(VALUE(RIGHT($AG106:$CN106,1))),VALUE(RIGHT($AG106:$CN106,1)),0))=$J106,"T","F"))</f>
        <v/>
      </c>
      <c r="AE106" s="816" t="str">
        <f t="array" ref="AE106">IF($J106="","",SUM(IF(LEFT($AG106:$DZ106,1)="s",1,0))-SUM(IF(RIGHT(LEFT($AG106:$DZ106,2))="-",1,0)))</f>
        <v/>
      </c>
      <c r="AF106" s="816" t="str">
        <f t="array" ref="AF106">IF($J106="","",SUM(IF(LEFT($AG106:$DF106,1)="X",1,0)))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3"/>
      <c r="BE106" s="893"/>
      <c r="BF106" s="893"/>
      <c r="BG106" s="893"/>
      <c r="BH106" s="893"/>
      <c r="BI106" s="893"/>
      <c r="BJ106" s="893"/>
      <c r="BK106" s="897"/>
      <c r="BL106" s="897"/>
      <c r="BM106" s="897"/>
      <c r="BN106" s="897"/>
      <c r="BO106" s="893"/>
      <c r="BP106" s="897"/>
      <c r="BQ106" s="897"/>
      <c r="BR106" s="897"/>
      <c r="BS106" s="893"/>
      <c r="BT106" s="897"/>
      <c r="BU106" s="893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  <c r="CG106" s="897"/>
      <c r="CH106" s="897"/>
      <c r="CI106" s="897"/>
    </row>
    <row r="107" spans="1:87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8"/>
        <v/>
      </c>
      <c r="M107" s="816" t="str">
        <f t="shared" si="59"/>
        <v/>
      </c>
      <c r="N107" s="816" t="str">
        <f t="shared" si="60"/>
        <v/>
      </c>
      <c r="R107" s="816" t="str">
        <f t="shared" si="61"/>
        <v/>
      </c>
      <c r="T107" s="829" t="str">
        <f t="shared" si="62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IF($J107="","",IF(SUM(IF(ISNUMBER(VALUE(RIGHT($AG107:$CN107,1))),VALUE(RIGHT($AG107:$CN107,1)),0))=$J107,"T","F"))</f>
        <v/>
      </c>
      <c r="AE107" s="816" t="str">
        <f t="array" ref="AE107">IF($J107="","",SUM(IF(LEFT($AG107:$DZ107,1)="s",1,0))-SUM(IF(RIGHT(LEFT($AG107:$DZ107,2))="-",1,0)))</f>
        <v/>
      </c>
      <c r="AF107" s="816" t="str">
        <f t="array" ref="AF107">IF($J107="","",SUM(IF(LEFT($AG107:$DF107,1)="X",1,0)))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3"/>
      <c r="BE107" s="893"/>
      <c r="BF107" s="893"/>
      <c r="BG107" s="893"/>
      <c r="BH107" s="893"/>
      <c r="BI107" s="893"/>
      <c r="BJ107" s="893"/>
      <c r="BK107" s="897"/>
      <c r="BL107" s="897"/>
      <c r="BM107" s="897"/>
      <c r="BN107" s="897"/>
      <c r="BO107" s="893"/>
      <c r="BP107" s="897"/>
      <c r="BQ107" s="897"/>
      <c r="BR107" s="897"/>
      <c r="BS107" s="893"/>
      <c r="BT107" s="897"/>
      <c r="BU107" s="893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  <c r="CG107" s="897"/>
      <c r="CH107" s="897"/>
      <c r="CI107" s="897"/>
    </row>
    <row r="108" spans="1:87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8"/>
        <v/>
      </c>
      <c r="M108" s="816" t="str">
        <f t="shared" si="59"/>
        <v/>
      </c>
      <c r="N108" s="816" t="str">
        <f t="shared" si="60"/>
        <v/>
      </c>
      <c r="R108" s="816" t="str">
        <f t="shared" si="61"/>
        <v/>
      </c>
      <c r="T108" s="829" t="str">
        <f t="shared" si="62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IF($J108="","",IF(SUM(IF(ISNUMBER(VALUE(RIGHT($AG108:$CN108,1))),VALUE(RIGHT($AG108:$CN108,1)),0))=$J108,"T","F"))</f>
        <v/>
      </c>
      <c r="AE108" s="816" t="str">
        <f t="array" ref="AE108">IF($J108="","",SUM(IF(LEFT($AG108:$DZ108,1)="s",1,0))-SUM(IF(RIGHT(LEFT($AG108:$DZ108,2))="-",1,0)))</f>
        <v/>
      </c>
      <c r="AF108" s="816" t="str">
        <f t="array" ref="AF108">IF($J108="","",SUM(IF(LEFT($AG108:$DF108,1)="X",1,0)))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3"/>
      <c r="BE108" s="893"/>
      <c r="BF108" s="893"/>
      <c r="BG108" s="893"/>
      <c r="BH108" s="893"/>
      <c r="BI108" s="893"/>
      <c r="BJ108" s="893"/>
      <c r="BK108" s="897"/>
      <c r="BL108" s="897"/>
      <c r="BM108" s="897"/>
      <c r="BN108" s="897"/>
      <c r="BO108" s="893"/>
      <c r="BP108" s="897"/>
      <c r="BQ108" s="897"/>
      <c r="BR108" s="897"/>
      <c r="BS108" s="893"/>
      <c r="BT108" s="897"/>
      <c r="BU108" s="893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  <c r="CG108" s="897"/>
      <c r="CH108" s="897"/>
      <c r="CI108" s="897"/>
    </row>
    <row r="109" spans="1:87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8"/>
        <v/>
      </c>
      <c r="M109" s="816" t="str">
        <f t="shared" si="59"/>
        <v/>
      </c>
      <c r="N109" s="816" t="str">
        <f t="shared" si="60"/>
        <v/>
      </c>
      <c r="R109" s="816" t="str">
        <f t="shared" si="61"/>
        <v/>
      </c>
      <c r="T109" s="829" t="str">
        <f t="shared" si="62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IF($J109="","",IF(SUM(IF(ISNUMBER(VALUE(RIGHT($AG109:$CN109,1))),VALUE(RIGHT($AG109:$CN109,1)),0))=$J109,"T","F"))</f>
        <v/>
      </c>
      <c r="AE109" s="816" t="str">
        <f t="array" ref="AE109">IF($J109="","",SUM(IF(LEFT($AG109:$DZ109,1)="s",1,0))-SUM(IF(RIGHT(LEFT($AG109:$DZ109,2))="-",1,0)))</f>
        <v/>
      </c>
      <c r="AF109" s="816" t="str">
        <f t="array" ref="AF109">IF($J109="","",SUM(IF(LEFT($AG109:$DF109,1)="X",1,0)))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3"/>
      <c r="BE109" s="893"/>
      <c r="BF109" s="893"/>
      <c r="BG109" s="893"/>
      <c r="BH109" s="893"/>
      <c r="BI109" s="893"/>
      <c r="BJ109" s="893"/>
      <c r="BK109" s="897"/>
      <c r="BL109" s="897"/>
      <c r="BM109" s="897"/>
      <c r="BN109" s="897"/>
      <c r="BO109" s="893"/>
      <c r="BP109" s="897"/>
      <c r="BQ109" s="897"/>
      <c r="BR109" s="897"/>
      <c r="BS109" s="893"/>
      <c r="BT109" s="897"/>
      <c r="BU109" s="893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  <c r="CG109" s="897"/>
      <c r="CH109" s="897"/>
      <c r="CI109" s="897"/>
    </row>
    <row r="110" spans="1:87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8"/>
        <v/>
      </c>
      <c r="M110" s="816" t="str">
        <f t="shared" si="59"/>
        <v/>
      </c>
      <c r="N110" s="816" t="str">
        <f t="shared" si="60"/>
        <v/>
      </c>
      <c r="R110" s="816" t="str">
        <f t="shared" si="61"/>
        <v/>
      </c>
      <c r="T110" s="829" t="str">
        <f t="shared" si="62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IF($J110="","",IF(SUM(IF(ISNUMBER(VALUE(RIGHT($AG110:$CN110,1))),VALUE(RIGHT($AG110:$CN110,1)),0))=$J110,"T","F"))</f>
        <v/>
      </c>
      <c r="AE110" s="816" t="str">
        <f t="array" ref="AE110">IF($J110="","",SUM(IF(LEFT($AG110:$DZ110,1)="s",1,0))-SUM(IF(RIGHT(LEFT($AG110:$DZ110,2))="-",1,0)))</f>
        <v/>
      </c>
      <c r="AF110" s="816" t="str">
        <f t="array" ref="AF110">IF($J110="","",SUM(IF(LEFT($AG110:$DF110,1)="X",1,0)))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3"/>
      <c r="BE110" s="893"/>
      <c r="BF110" s="893"/>
      <c r="BG110" s="893"/>
      <c r="BH110" s="893"/>
      <c r="BI110" s="893"/>
      <c r="BJ110" s="893"/>
      <c r="BK110" s="897"/>
      <c r="BL110" s="897"/>
      <c r="BM110" s="897"/>
      <c r="BN110" s="897"/>
      <c r="BO110" s="893"/>
      <c r="BP110" s="897"/>
      <c r="BQ110" s="897"/>
      <c r="BR110" s="897"/>
      <c r="BS110" s="893"/>
      <c r="BT110" s="897"/>
      <c r="BU110" s="893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  <c r="CG110" s="897"/>
      <c r="CH110" s="897"/>
      <c r="CI110" s="897"/>
    </row>
    <row r="111" spans="1:87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8"/>
        <v/>
      </c>
      <c r="M111" s="816" t="str">
        <f t="shared" si="59"/>
        <v/>
      </c>
      <c r="N111" s="816" t="str">
        <f t="shared" si="60"/>
        <v/>
      </c>
      <c r="R111" s="816" t="str">
        <f t="shared" si="61"/>
        <v/>
      </c>
      <c r="T111" s="829" t="str">
        <f t="shared" si="62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IF($J111="","",IF(SUM(IF(ISNUMBER(VALUE(RIGHT($AG111:$CN111,1))),VALUE(RIGHT($AG111:$CN111,1)),0))=$J111,"T","F"))</f>
        <v/>
      </c>
      <c r="AE111" s="816" t="str">
        <f t="array" ref="AE111">IF($J111="","",SUM(IF(LEFT($AG111:$DZ111,1)="s",1,0))-SUM(IF(RIGHT(LEFT($AG111:$DZ111,2))="-",1,0)))</f>
        <v/>
      </c>
      <c r="AF111" s="816" t="str">
        <f t="array" ref="AF111">IF($J111="","",SUM(IF(LEFT($AG111:$DF111,1)="X",1,0)))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3"/>
      <c r="BE111" s="893"/>
      <c r="BF111" s="893"/>
      <c r="BG111" s="893"/>
      <c r="BH111" s="893"/>
      <c r="BI111" s="893"/>
      <c r="BJ111" s="893"/>
      <c r="BK111" s="897"/>
      <c r="BL111" s="897"/>
      <c r="BM111" s="897"/>
      <c r="BN111" s="897"/>
      <c r="BO111" s="893"/>
      <c r="BP111" s="897"/>
      <c r="BQ111" s="897"/>
      <c r="BR111" s="897"/>
      <c r="BS111" s="893"/>
      <c r="BT111" s="897"/>
      <c r="BU111" s="893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  <c r="CG111" s="897"/>
      <c r="CH111" s="897"/>
      <c r="CI111" s="897"/>
    </row>
    <row r="112" spans="1:87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8"/>
        <v/>
      </c>
      <c r="M112" s="816" t="str">
        <f t="shared" si="59"/>
        <v/>
      </c>
      <c r="N112" s="816" t="str">
        <f t="shared" si="60"/>
        <v/>
      </c>
      <c r="R112" s="816" t="str">
        <f t="shared" si="61"/>
        <v/>
      </c>
      <c r="T112" s="829" t="str">
        <f t="shared" si="62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IF($J112="","",IF(SUM(IF(ISNUMBER(VALUE(RIGHT($AG112:$CN112,1))),VALUE(RIGHT($AG112:$CN112,1)),0))=$J112,"T","F"))</f>
        <v/>
      </c>
      <c r="AE112" s="816" t="str">
        <f t="array" ref="AE112">IF($J112="","",SUM(IF(LEFT($AG112:$DZ112,1)="s",1,0))-SUM(IF(RIGHT(LEFT($AG112:$DZ112,2))="-",1,0)))</f>
        <v/>
      </c>
      <c r="AF112" s="816" t="str">
        <f t="array" ref="AF112">IF($J112="","",SUM(IF(LEFT($AG112:$DF112,1)="X",1,0)))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3"/>
      <c r="BE112" s="893"/>
      <c r="BF112" s="893"/>
      <c r="BG112" s="893"/>
      <c r="BH112" s="893"/>
      <c r="BI112" s="893"/>
      <c r="BJ112" s="893"/>
      <c r="BK112" s="897"/>
      <c r="BL112" s="897"/>
      <c r="BM112" s="897"/>
      <c r="BN112" s="897"/>
      <c r="BO112" s="893"/>
      <c r="BP112" s="897"/>
      <c r="BQ112" s="897"/>
      <c r="BR112" s="897"/>
      <c r="BS112" s="893"/>
      <c r="BT112" s="897"/>
      <c r="BU112" s="893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  <c r="CG112" s="897"/>
      <c r="CH112" s="897"/>
      <c r="CI112" s="897"/>
    </row>
    <row r="113" spans="4:87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8"/>
        <v/>
      </c>
      <c r="M113" s="816" t="str">
        <f t="shared" si="59"/>
        <v/>
      </c>
      <c r="N113" s="816" t="str">
        <f t="shared" si="60"/>
        <v/>
      </c>
      <c r="R113" s="816" t="str">
        <f t="shared" si="61"/>
        <v/>
      </c>
      <c r="T113" s="829" t="str">
        <f t="shared" si="62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IF($J113="","",IF(SUM(IF(ISNUMBER(VALUE(RIGHT($AG113:$CN113,1))),VALUE(RIGHT($AG113:$CN113,1)),0))=$J113,"T","F"))</f>
        <v/>
      </c>
      <c r="AE113" s="816" t="str">
        <f t="array" ref="AE113">IF($J113="","",SUM(IF(LEFT($AG113:$DZ113,1)="s",1,0))-SUM(IF(RIGHT(LEFT($AG113:$DZ113,2))="-",1,0)))</f>
        <v/>
      </c>
      <c r="AF113" s="816" t="str">
        <f t="array" ref="AF113">IF($J113="","",SUM(IF(LEFT($AG113:$DF113,1)="X",1,0)))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3"/>
      <c r="BE113" s="893"/>
      <c r="BF113" s="893"/>
      <c r="BG113" s="893"/>
      <c r="BH113" s="893"/>
      <c r="BI113" s="893"/>
      <c r="BJ113" s="893"/>
      <c r="BK113" s="897"/>
      <c r="BL113" s="897"/>
      <c r="BM113" s="897"/>
      <c r="BN113" s="897"/>
      <c r="BO113" s="893"/>
      <c r="BP113" s="897"/>
      <c r="BQ113" s="897"/>
      <c r="BR113" s="897"/>
      <c r="BS113" s="893"/>
      <c r="BT113" s="897"/>
      <c r="BU113" s="893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  <c r="CG113" s="897"/>
      <c r="CH113" s="897"/>
      <c r="CI113" s="897"/>
    </row>
    <row r="114" spans="4:87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8"/>
        <v/>
      </c>
      <c r="M114" s="816" t="str">
        <f t="shared" si="59"/>
        <v/>
      </c>
      <c r="N114" s="816" t="str">
        <f t="shared" si="60"/>
        <v/>
      </c>
      <c r="R114" s="816" t="str">
        <f t="shared" si="61"/>
        <v/>
      </c>
      <c r="T114" s="829" t="str">
        <f t="shared" si="62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IF($J114="","",IF(SUM(IF(ISNUMBER(VALUE(RIGHT($AG114:$CN114,1))),VALUE(RIGHT($AG114:$CN114,1)),0))=$J114,"T","F"))</f>
        <v/>
      </c>
      <c r="AE114" s="816" t="str">
        <f t="array" ref="AE114">IF($J114="","",SUM(IF(LEFT($AG114:$DZ114,1)="s",1,0))-SUM(IF(RIGHT(LEFT($AG114:$DZ114,2))="-",1,0)))</f>
        <v/>
      </c>
      <c r="AF114" s="816" t="str">
        <f t="array" ref="AF114">IF($J114="","",SUM(IF(LEFT($AG114:$DF114,1)="X",1,0)))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3"/>
      <c r="BE114" s="893"/>
      <c r="BF114" s="893"/>
      <c r="BG114" s="893"/>
      <c r="BH114" s="893"/>
      <c r="BI114" s="893"/>
      <c r="BJ114" s="893"/>
      <c r="BK114" s="897"/>
      <c r="BL114" s="897"/>
      <c r="BM114" s="897"/>
      <c r="BN114" s="897"/>
      <c r="BO114" s="893"/>
      <c r="BP114" s="897"/>
      <c r="BQ114" s="897"/>
      <c r="BR114" s="897"/>
      <c r="BS114" s="893"/>
      <c r="BT114" s="897"/>
      <c r="BU114" s="893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  <c r="CG114" s="897"/>
      <c r="CH114" s="897"/>
      <c r="CI114" s="897"/>
    </row>
    <row r="115" spans="4:87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8"/>
        <v/>
      </c>
      <c r="M115" s="816" t="str">
        <f t="shared" si="59"/>
        <v/>
      </c>
      <c r="N115" s="816" t="str">
        <f t="shared" si="60"/>
        <v/>
      </c>
      <c r="R115" s="816" t="str">
        <f t="shared" si="61"/>
        <v/>
      </c>
      <c r="T115" s="829" t="str">
        <f t="shared" si="62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IF($J115="","",IF(SUM(IF(ISNUMBER(VALUE(RIGHT($AG115:$CN115,1))),VALUE(RIGHT($AG115:$CN115,1)),0))=$J115,"T","F"))</f>
        <v/>
      </c>
      <c r="AE115" s="816" t="str">
        <f t="array" ref="AE115">IF($J115="","",SUM(IF(LEFT($AG115:$DZ115,1)="s",1,0))-SUM(IF(RIGHT(LEFT($AG115:$DZ115,2))="-",1,0)))</f>
        <v/>
      </c>
      <c r="AF115" s="816" t="str">
        <f t="array" ref="AF115">IF($J115="","",SUM(IF(LEFT($AG115:$DF115,1)="X",1,0)))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3"/>
      <c r="BE115" s="893"/>
      <c r="BF115" s="893"/>
      <c r="BG115" s="893"/>
      <c r="BH115" s="893"/>
      <c r="BI115" s="893"/>
      <c r="BJ115" s="893"/>
      <c r="BK115" s="897"/>
      <c r="BL115" s="897"/>
      <c r="BM115" s="897"/>
      <c r="BN115" s="897"/>
      <c r="BO115" s="893"/>
      <c r="BP115" s="897"/>
      <c r="BQ115" s="897"/>
      <c r="BR115" s="897"/>
      <c r="BS115" s="893"/>
      <c r="BT115" s="897"/>
      <c r="BU115" s="893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  <c r="CG115" s="897"/>
      <c r="CH115" s="897"/>
      <c r="CI115" s="897"/>
    </row>
    <row r="116" spans="4:87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8"/>
        <v/>
      </c>
      <c r="M116" s="816" t="str">
        <f t="shared" si="59"/>
        <v/>
      </c>
      <c r="N116" s="816" t="str">
        <f t="shared" si="60"/>
        <v/>
      </c>
      <c r="R116" s="816" t="str">
        <f t="shared" si="61"/>
        <v/>
      </c>
      <c r="T116" s="829" t="str">
        <f t="shared" si="62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IF($J116="","",IF(SUM(IF(ISNUMBER(VALUE(RIGHT($AG116:$CN116,1))),VALUE(RIGHT($AG116:$CN116,1)),0))=$J116,"T","F"))</f>
        <v/>
      </c>
      <c r="AE116" s="816" t="str">
        <f t="array" ref="AE116">IF($J116="","",SUM(IF(LEFT($AG116:$DZ116,1)="s",1,0))-SUM(IF(RIGHT(LEFT($AG116:$DZ116,2))="-",1,0)))</f>
        <v/>
      </c>
      <c r="AF116" s="816" t="str">
        <f t="array" ref="AF116">IF($J116="","",SUM(IF(LEFT($AG116:$DF116,1)="X",1,0)))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3"/>
      <c r="BE116" s="893"/>
      <c r="BF116" s="893"/>
      <c r="BG116" s="893"/>
      <c r="BH116" s="893"/>
      <c r="BI116" s="893"/>
      <c r="BJ116" s="893"/>
      <c r="BK116" s="897"/>
      <c r="BL116" s="897"/>
      <c r="BM116" s="897"/>
      <c r="BN116" s="897"/>
      <c r="BO116" s="893"/>
      <c r="BP116" s="897"/>
      <c r="BQ116" s="897"/>
      <c r="BR116" s="897"/>
      <c r="BS116" s="893"/>
      <c r="BT116" s="897"/>
      <c r="BU116" s="893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  <c r="CG116" s="897"/>
      <c r="CH116" s="897"/>
      <c r="CI116" s="897"/>
    </row>
    <row r="117" spans="4:87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8"/>
        <v/>
      </c>
      <c r="M117" s="816" t="str">
        <f t="shared" si="59"/>
        <v/>
      </c>
      <c r="N117" s="816" t="str">
        <f t="shared" si="60"/>
        <v/>
      </c>
      <c r="R117" s="816" t="str">
        <f t="shared" si="61"/>
        <v/>
      </c>
      <c r="T117" s="829" t="str">
        <f t="shared" si="62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IF($J117="","",IF(SUM(IF(ISNUMBER(VALUE(RIGHT($AG117:$CN117,1))),VALUE(RIGHT($AG117:$CN117,1)),0))=$J117,"T","F"))</f>
        <v/>
      </c>
      <c r="AE117" s="816" t="str">
        <f t="array" ref="AE117">IF($J117="","",SUM(IF(LEFT($AG117:$DZ117,1)="s",1,0))-SUM(IF(RIGHT(LEFT($AG117:$DZ117,2))="-",1,0)))</f>
        <v/>
      </c>
      <c r="AF117" s="816" t="str">
        <f t="array" ref="AF117">IF($J117="","",SUM(IF(LEFT($AG117:$DF117,1)="X",1,0)))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3"/>
      <c r="BE117" s="893"/>
      <c r="BF117" s="893"/>
      <c r="BG117" s="893"/>
      <c r="BH117" s="893"/>
      <c r="BI117" s="893"/>
      <c r="BJ117" s="893"/>
      <c r="BK117" s="897"/>
      <c r="BL117" s="897"/>
      <c r="BM117" s="897"/>
      <c r="BN117" s="897"/>
      <c r="BO117" s="893"/>
      <c r="BP117" s="897"/>
      <c r="BQ117" s="897"/>
      <c r="BR117" s="897"/>
      <c r="BS117" s="893"/>
      <c r="BT117" s="897"/>
      <c r="BU117" s="893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  <c r="CG117" s="897"/>
      <c r="CH117" s="897"/>
      <c r="CI117" s="897"/>
    </row>
    <row r="118" spans="4:87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8"/>
        <v/>
      </c>
      <c r="M118" s="816" t="str">
        <f t="shared" si="59"/>
        <v/>
      </c>
      <c r="N118" s="816" t="str">
        <f t="shared" si="60"/>
        <v/>
      </c>
      <c r="R118" s="816" t="str">
        <f t="shared" si="61"/>
        <v/>
      </c>
      <c r="T118" s="829" t="str">
        <f t="shared" si="62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IF($J118="","",IF(SUM(IF(ISNUMBER(VALUE(RIGHT($AG118:$CN118,1))),VALUE(RIGHT($AG118:$CN118,1)),0))=$J118,"T","F"))</f>
        <v/>
      </c>
      <c r="AE118" s="816" t="str">
        <f t="array" ref="AE118">IF($J118="","",SUM(IF(LEFT($AG118:$DZ118,1)="s",1,0))-SUM(IF(RIGHT(LEFT($AG118:$DZ118,2))="-",1,0)))</f>
        <v/>
      </c>
      <c r="AF118" s="816" t="str">
        <f t="array" ref="AF118">IF($J118="","",SUM(IF(LEFT($AG118:$DF118,1)="X",1,0)))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3"/>
      <c r="BE118" s="893"/>
      <c r="BF118" s="893"/>
      <c r="BG118" s="893"/>
      <c r="BH118" s="893"/>
      <c r="BI118" s="893"/>
      <c r="BJ118" s="893"/>
      <c r="BK118" s="897"/>
      <c r="BL118" s="897"/>
      <c r="BM118" s="897"/>
      <c r="BN118" s="897"/>
      <c r="BO118" s="893"/>
      <c r="BP118" s="897"/>
      <c r="BQ118" s="897"/>
      <c r="BR118" s="897"/>
      <c r="BS118" s="893"/>
      <c r="BT118" s="897"/>
      <c r="BU118" s="893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  <c r="CG118" s="897"/>
      <c r="CH118" s="897"/>
      <c r="CI118" s="897"/>
    </row>
    <row r="119" spans="4:87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8"/>
        <v/>
      </c>
      <c r="M119" s="816" t="str">
        <f t="shared" si="59"/>
        <v/>
      </c>
      <c r="N119" s="816" t="str">
        <f t="shared" si="60"/>
        <v/>
      </c>
      <c r="R119" s="816" t="str">
        <f t="shared" si="61"/>
        <v/>
      </c>
      <c r="T119" s="829" t="str">
        <f t="shared" si="62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IF($J119="","",IF(SUM(IF(ISNUMBER(VALUE(RIGHT($AG119:$CN119,1))),VALUE(RIGHT($AG119:$CN119,1)),0))=$J119,"T","F"))</f>
        <v/>
      </c>
      <c r="AE119" s="816" t="str">
        <f t="array" ref="AE119">IF($J119="","",SUM(IF(LEFT($AG119:$DZ119,1)="s",1,0))-SUM(IF(RIGHT(LEFT($AG119:$DZ119,2))="-",1,0)))</f>
        <v/>
      </c>
      <c r="AF119" s="816" t="str">
        <f t="array" ref="AF119">IF($J119="","",SUM(IF(LEFT($AG119:$DF119,1)="X",1,0)))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3"/>
      <c r="BE119" s="893"/>
      <c r="BF119" s="893"/>
      <c r="BG119" s="893"/>
      <c r="BH119" s="893"/>
      <c r="BI119" s="893"/>
      <c r="BJ119" s="893"/>
      <c r="BK119" s="897"/>
      <c r="BL119" s="897"/>
      <c r="BM119" s="897"/>
      <c r="BN119" s="897"/>
      <c r="BO119" s="893"/>
      <c r="BP119" s="897"/>
      <c r="BQ119" s="897"/>
      <c r="BR119" s="897"/>
      <c r="BS119" s="893"/>
      <c r="BT119" s="897"/>
      <c r="BU119" s="893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  <c r="CG119" s="897"/>
      <c r="CH119" s="897"/>
      <c r="CI119" s="897"/>
    </row>
    <row r="120" spans="4:87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8"/>
        <v/>
      </c>
      <c r="M120" s="816" t="str">
        <f t="shared" si="59"/>
        <v/>
      </c>
      <c r="N120" s="816" t="str">
        <f t="shared" si="60"/>
        <v/>
      </c>
      <c r="R120" s="816" t="str">
        <f t="shared" si="61"/>
        <v/>
      </c>
      <c r="T120" s="829" t="str">
        <f t="shared" si="62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IF($J120="","",IF(SUM(IF(ISNUMBER(VALUE(RIGHT($AG120:$CN120,1))),VALUE(RIGHT($AG120:$CN120,1)),0))=$J120,"T","F"))</f>
        <v/>
      </c>
      <c r="AE120" s="816" t="str">
        <f t="array" ref="AE120">IF($J120="","",SUM(IF(LEFT($AG120:$DZ120,1)="s",1,0))-SUM(IF(RIGHT(LEFT($AG120:$DZ120,2))="-",1,0)))</f>
        <v/>
      </c>
      <c r="AF120" s="816" t="str">
        <f t="array" ref="AF120">IF($J120="","",SUM(IF(LEFT($AG120:$DF120,1)="X",1,0)))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3"/>
      <c r="BE120" s="893"/>
      <c r="BF120" s="893"/>
      <c r="BG120" s="893"/>
      <c r="BH120" s="893"/>
      <c r="BI120" s="893"/>
      <c r="BJ120" s="893"/>
      <c r="BK120" s="897"/>
      <c r="BL120" s="897"/>
      <c r="BM120" s="897"/>
      <c r="BN120" s="897"/>
      <c r="BO120" s="893"/>
      <c r="BP120" s="897"/>
      <c r="BQ120" s="897"/>
      <c r="BR120" s="897"/>
      <c r="BS120" s="893"/>
      <c r="BT120" s="897"/>
      <c r="BU120" s="893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  <c r="CG120" s="897"/>
      <c r="CH120" s="897"/>
      <c r="CI120" s="897"/>
    </row>
    <row r="121" spans="4:87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8"/>
        <v/>
      </c>
      <c r="M121" s="816" t="str">
        <f t="shared" si="59"/>
        <v/>
      </c>
      <c r="N121" s="816" t="str">
        <f t="shared" si="60"/>
        <v/>
      </c>
      <c r="R121" s="816" t="str">
        <f t="shared" si="61"/>
        <v/>
      </c>
      <c r="T121" s="829" t="str">
        <f t="shared" si="62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IF($J121="","",IF(SUM(IF(ISNUMBER(VALUE(RIGHT($AG121:$CN121,1))),VALUE(RIGHT($AG121:$CN121,1)),0))=$J121,"T","F"))</f>
        <v/>
      </c>
      <c r="AE121" s="816" t="str">
        <f t="array" ref="AE121">IF($J121="","",SUM(IF(LEFT($AG121:$DZ121,1)="s",1,0))-SUM(IF(RIGHT(LEFT($AG121:$DZ121,2))="-",1,0)))</f>
        <v/>
      </c>
      <c r="AF121" s="816" t="str">
        <f t="array" ref="AF121">IF($J121="","",SUM(IF(LEFT($AG121:$DF121,1)="X",1,0)))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3"/>
      <c r="BE121" s="893"/>
      <c r="BF121" s="893"/>
      <c r="BG121" s="893"/>
      <c r="BH121" s="893"/>
      <c r="BI121" s="893"/>
      <c r="BJ121" s="893"/>
      <c r="BK121" s="897"/>
      <c r="BL121" s="897"/>
      <c r="BM121" s="897"/>
      <c r="BN121" s="897"/>
      <c r="BO121" s="893"/>
      <c r="BP121" s="897"/>
      <c r="BQ121" s="897"/>
      <c r="BR121" s="897"/>
      <c r="BS121" s="893"/>
      <c r="BT121" s="897"/>
      <c r="BU121" s="893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  <c r="CG121" s="897"/>
      <c r="CH121" s="897"/>
      <c r="CI121" s="897"/>
    </row>
    <row r="122" spans="4:87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8"/>
        <v/>
      </c>
      <c r="M122" s="816" t="str">
        <f t="shared" si="59"/>
        <v/>
      </c>
      <c r="N122" s="816" t="str">
        <f t="shared" si="60"/>
        <v/>
      </c>
      <c r="R122" s="816" t="str">
        <f t="shared" si="61"/>
        <v/>
      </c>
      <c r="T122" s="829" t="str">
        <f t="shared" si="62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IF($J122="","",IF(SUM(IF(ISNUMBER(VALUE(RIGHT($AG122:$CN122,1))),VALUE(RIGHT($AG122:$CN122,1)),0))=$J122,"T","F"))</f>
        <v/>
      </c>
      <c r="AE122" s="816" t="str">
        <f t="array" ref="AE122">IF($J122="","",SUM(IF(LEFT($AG122:$DZ122,1)="s",1,0))-SUM(IF(RIGHT(LEFT($AG122:$DZ122,2))="-",1,0)))</f>
        <v/>
      </c>
      <c r="AF122" s="816" t="str">
        <f t="array" ref="AF122">IF($J122="","",SUM(IF(LEFT($AG122:$DF122,1)="X",1,0)))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3"/>
      <c r="BE122" s="893"/>
      <c r="BF122" s="893"/>
      <c r="BG122" s="893"/>
      <c r="BH122" s="893"/>
      <c r="BI122" s="893"/>
      <c r="BJ122" s="893"/>
      <c r="BK122" s="897"/>
      <c r="BL122" s="897"/>
      <c r="BM122" s="897"/>
      <c r="BN122" s="897"/>
      <c r="BO122" s="893"/>
      <c r="BP122" s="897"/>
      <c r="BQ122" s="897"/>
      <c r="BR122" s="897"/>
      <c r="BS122" s="893"/>
      <c r="BT122" s="897"/>
      <c r="BU122" s="893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  <c r="CG122" s="897"/>
      <c r="CH122" s="897"/>
      <c r="CI122" s="897"/>
    </row>
    <row r="123" spans="4:87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8"/>
        <v/>
      </c>
      <c r="M123" s="816" t="str">
        <f t="shared" si="59"/>
        <v/>
      </c>
      <c r="N123" s="816" t="str">
        <f t="shared" si="60"/>
        <v/>
      </c>
      <c r="R123" s="816" t="str">
        <f t="shared" si="61"/>
        <v/>
      </c>
      <c r="T123" s="829" t="str">
        <f t="shared" si="62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IF($J123="","",IF(SUM(IF(ISNUMBER(VALUE(RIGHT($AG123:$CN123,1))),VALUE(RIGHT($AG123:$CN123,1)),0))=$J123,"T","F"))</f>
        <v/>
      </c>
      <c r="AE123" s="816" t="str">
        <f t="array" ref="AE123">IF($J123="","",SUM(IF(LEFT($AG123:$DZ123,1)="s",1,0))-SUM(IF(RIGHT(LEFT($AG123:$DZ123,2))="-",1,0)))</f>
        <v/>
      </c>
      <c r="AF123" s="816" t="str">
        <f t="array" ref="AF123">IF($J123="","",SUM(IF(LEFT($AG123:$DF123,1)="X",1,0)))</f>
        <v/>
      </c>
    </row>
    <row r="124" spans="4:87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8"/>
        <v/>
      </c>
      <c r="M124" s="816" t="str">
        <f t="shared" si="59"/>
        <v/>
      </c>
      <c r="N124" s="816" t="str">
        <f t="shared" si="60"/>
        <v/>
      </c>
      <c r="R124" s="816" t="str">
        <f t="shared" si="61"/>
        <v/>
      </c>
      <c r="T124" s="829" t="str">
        <f t="shared" si="62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IF($J124="","",IF(SUM(IF(ISNUMBER(VALUE(RIGHT($AG124:$CN124,1))),VALUE(RIGHT($AG124:$CN124,1)),0))=$J124,"T","F"))</f>
        <v/>
      </c>
      <c r="AE124" s="816" t="str">
        <f t="array" ref="AE124">IF($J124="","",SUM(IF(LEFT($AG124:$DZ124,1)="s",1,0))-SUM(IF(RIGHT(LEFT($AG124:$DZ124,2))="-",1,0)))</f>
        <v/>
      </c>
      <c r="AF124" s="816" t="str">
        <f t="array" ref="AF124">IF($J124="","",SUM(IF(LEFT($AG124:$DF124,1)="X",1,0)))</f>
        <v/>
      </c>
    </row>
    <row r="125" spans="4:87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8"/>
        <v/>
      </c>
      <c r="M125" s="816" t="str">
        <f t="shared" si="59"/>
        <v/>
      </c>
      <c r="N125" s="816" t="str">
        <f t="shared" si="60"/>
        <v/>
      </c>
      <c r="R125" s="816" t="str">
        <f t="shared" si="61"/>
        <v/>
      </c>
      <c r="T125" s="829" t="str">
        <f t="shared" si="62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IF($J125="","",IF(SUM(IF(ISNUMBER(VALUE(RIGHT($AG125:$CN125,1))),VALUE(RIGHT($AG125:$CN125,1)),0))=$J125,"T","F"))</f>
        <v/>
      </c>
      <c r="AE125" s="816" t="str">
        <f t="array" ref="AE125">IF($J125="","",SUM(IF(LEFT($AG125:$DZ125,1)="s",1,0))-SUM(IF(RIGHT(LEFT($AG125:$DZ125,2))="-",1,0)))</f>
        <v/>
      </c>
      <c r="AF125" s="816" t="str">
        <f t="array" ref="AF125">IF($J125="","",SUM(IF(LEFT($AG125:$DF125,1)="X",1,0)))</f>
        <v/>
      </c>
    </row>
    <row r="126" spans="4:87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8"/>
        <v/>
      </c>
      <c r="M126" s="816" t="str">
        <f t="shared" si="59"/>
        <v/>
      </c>
      <c r="N126" s="816" t="str">
        <f t="shared" si="60"/>
        <v/>
      </c>
      <c r="R126" s="816" t="str">
        <f t="shared" si="61"/>
        <v/>
      </c>
      <c r="T126" s="829" t="str">
        <f t="shared" si="62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IF($J126="","",IF(SUM(IF(ISNUMBER(VALUE(RIGHT($AG126:$CN126,1))),VALUE(RIGHT($AG126:$CN126,1)),0))=$J126,"T","F"))</f>
        <v/>
      </c>
      <c r="AE126" s="816" t="str">
        <f t="array" ref="AE126">IF($J126="","",SUM(IF(LEFT($AG126:$DZ126,1)="s",1,0))-SUM(IF(RIGHT(LEFT($AG126:$DZ126,2))="-",1,0)))</f>
        <v/>
      </c>
      <c r="AF126" s="816" t="str">
        <f t="array" ref="AF126">IF($J126="","",SUM(IF(LEFT($AG126:$DF126,1)="X",1,0)))</f>
        <v/>
      </c>
    </row>
    <row r="127" spans="4:87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8"/>
        <v/>
      </c>
      <c r="M127" s="816" t="str">
        <f t="shared" si="59"/>
        <v/>
      </c>
      <c r="N127" s="816" t="str">
        <f t="shared" si="60"/>
        <v/>
      </c>
      <c r="R127" s="816" t="str">
        <f t="shared" si="61"/>
        <v/>
      </c>
      <c r="T127" s="829" t="str">
        <f t="shared" si="62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IF($J127="","",IF(SUM(IF(ISNUMBER(VALUE(RIGHT($AG127:$CN127,1))),VALUE(RIGHT($AG127:$CN127,1)),0))=$J127,"T","F"))</f>
        <v/>
      </c>
      <c r="AE127" s="816" t="str">
        <f t="array" ref="AE127">IF($J127="","",SUM(IF(LEFT($AG127:$DZ127,1)="s",1,0))-SUM(IF(RIGHT(LEFT($AG127:$DZ127,2))="-",1,0)))</f>
        <v/>
      </c>
      <c r="AF127" s="816" t="str">
        <f t="array" ref="AF127">IF($J127="","",SUM(IF(LEFT($AG127:$DF127,1)="X",1,0)))</f>
        <v/>
      </c>
    </row>
    <row r="128" spans="4:87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8"/>
        <v/>
      </c>
      <c r="M128" s="816" t="str">
        <f t="shared" si="59"/>
        <v/>
      </c>
      <c r="N128" s="816" t="str">
        <f t="shared" si="60"/>
        <v/>
      </c>
      <c r="R128" s="816" t="str">
        <f t="shared" si="61"/>
        <v/>
      </c>
      <c r="T128" s="829" t="str">
        <f t="shared" si="62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IF($J128="","",IF(SUM(IF(ISNUMBER(VALUE(RIGHT($AG128:$CN128,1))),VALUE(RIGHT($AG128:$CN128,1)),0))=$J128,"T","F"))</f>
        <v/>
      </c>
      <c r="AE128" s="816" t="str">
        <f t="array" ref="AE128">IF($J128="","",SUM(IF(LEFT($AG128:$DZ128,1)="s",1,0))-SUM(IF(RIGHT(LEFT($AG128:$DZ128,2))="-",1,0)))</f>
        <v/>
      </c>
      <c r="AF128" s="816" t="str">
        <f t="array" ref="AF128">IF($J128="","",SUM(IF(LEFT($AG128:$DF128,1)="X",1,0)))</f>
        <v/>
      </c>
    </row>
    <row r="129" spans="7:29">
      <c r="G129" s="833"/>
      <c r="H129" s="833"/>
      <c r="I129" s="833"/>
      <c r="J129" s="833"/>
      <c r="K129" s="833"/>
      <c r="T129" s="829"/>
      <c r="U129" s="829"/>
      <c r="V129" s="829"/>
      <c r="W129" s="829"/>
      <c r="X129" s="829"/>
      <c r="Y129" s="829"/>
      <c r="Z129" s="829"/>
      <c r="AA129" s="829"/>
      <c r="AB129" s="829"/>
      <c r="AC129" s="829"/>
    </row>
    <row r="130" spans="7:29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7:29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7:29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7:29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7:29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7:29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7:29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7:29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7:29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7:29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7:29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7:29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7:29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7:29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7:29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</sheetData>
  <autoFilter ref="A22:DL75">
    <sortState ref="A23:DG72">
      <sortCondition descending="1" ref="AU22:AU72"/>
    </sortState>
  </autoFilter>
  <mergeCells count="3">
    <mergeCell ref="W19:X19"/>
    <mergeCell ref="Y19:Z19"/>
    <mergeCell ref="AA19:AB19"/>
  </mergeCells>
  <phoneticPr fontId="21" type="noConversion"/>
  <conditionalFormatting sqref="AD23:AD305">
    <cfRule type="cellIs" dxfId="1103" priority="97" operator="equal">
      <formula>"T"</formula>
    </cfRule>
  </conditionalFormatting>
  <conditionalFormatting sqref="N23:N305">
    <cfRule type="cellIs" dxfId="1102" priority="104" stopIfTrue="1" operator="equal">
      <formula>"U"</formula>
    </cfRule>
    <cfRule type="cellIs" dxfId="1101" priority="105" stopIfTrue="1" operator="equal">
      <formula>"O"</formula>
    </cfRule>
  </conditionalFormatting>
  <conditionalFormatting sqref="L23:L305">
    <cfRule type="cellIs" dxfId="1100" priority="102" stopIfTrue="1" operator="equal">
      <formula>"W"</formula>
    </cfRule>
    <cfRule type="cellIs" dxfId="1099" priority="103" stopIfTrue="1" operator="equal">
      <formula>"D"</formula>
    </cfRule>
  </conditionalFormatting>
  <conditionalFormatting sqref="AF23:AF305">
    <cfRule type="cellIs" dxfId="1098" priority="100" stopIfTrue="1" operator="notEqual">
      <formula>11</formula>
    </cfRule>
    <cfRule type="cellIs" dxfId="1097" priority="101" stopIfTrue="1" operator="between">
      <formula>0</formula>
      <formula>20</formula>
    </cfRule>
  </conditionalFormatting>
  <conditionalFormatting sqref="AE23:AE305">
    <cfRule type="cellIs" dxfId="1096" priority="98" stopIfTrue="1" operator="notEqual">
      <formula>0</formula>
    </cfRule>
    <cfRule type="cellIs" dxfId="1095" priority="99" stopIfTrue="1" operator="between">
      <formula>0</formula>
      <formula>20</formula>
    </cfRule>
  </conditionalFormatting>
  <conditionalFormatting sqref="CK19:DB19">
    <cfRule type="expression" dxfId="1094" priority="93">
      <formula>CK19="G"</formula>
    </cfRule>
    <cfRule type="expression" dxfId="1093" priority="94">
      <formula>CK19="M"</formula>
    </cfRule>
    <cfRule type="expression" dxfId="1092" priority="95">
      <formula>CK19="D"</formula>
    </cfRule>
    <cfRule type="expression" dxfId="1091" priority="96">
      <formula>CK19="A"</formula>
    </cfRule>
  </conditionalFormatting>
  <conditionalFormatting sqref="BT19:CJ19 BN19 AJ19:BK19 BP19:BQ19">
    <cfRule type="expression" dxfId="1090" priority="89">
      <formula>AJ19="G"</formula>
    </cfRule>
    <cfRule type="expression" dxfId="1089" priority="90">
      <formula>OR(AJ19="M",AJ19="CM",AJ19="LM",AJ19="RM",AJ19="DM",AJ19="AM")</formula>
    </cfRule>
    <cfRule type="expression" dxfId="1088" priority="91">
      <formula>OR(AJ19="D",AJ19="CB",AJ19="LB",AJ19="RB")</formula>
    </cfRule>
    <cfRule type="expression" dxfId="1087" priority="92">
      <formula>OR(AJ19="A",AJ19="CF",AJ19="SS",AJ19="ST",AJ19="RW",AJ19="LW")</formula>
    </cfRule>
  </conditionalFormatting>
  <conditionalFormatting sqref="BT23:CA26 AG45 AI45 AN45:AO45 AQ45:AR45 AV45:BC45 BG45:BJ45 BL45 BR27:CA65 AU23:BN26 BP23:BP26 AU27:BL44 BM27:BP46 BR46:BR70 AK45:AL45 AG23:AT44 AG46:AK70 AL46:BL46 BQ23:BQ70 AL47:BP70">
    <cfRule type="expression" dxfId="1086" priority="87">
      <formula>IF(ISNUMBER(VALUE(RIGHT(AG23,1))),1,0)</formula>
    </cfRule>
  </conditionalFormatting>
  <conditionalFormatting sqref="CC16:CI16 BP16:BX16 AG16:BN16">
    <cfRule type="top10" dxfId="1085" priority="106" stopIfTrue="1" rank="5"/>
  </conditionalFormatting>
  <conditionalFormatting sqref="CC15:CI15 BP15:BX15 AG15:BN15">
    <cfRule type="top10" dxfId="1084" priority="107" rank="11"/>
  </conditionalFormatting>
  <conditionalFormatting sqref="CC17:CI17 BP17:BX17 AG17:BN17">
    <cfRule type="top10" dxfId="1083" priority="108" stopIfTrue="1" rank="5"/>
  </conditionalFormatting>
  <conditionalFormatting sqref="CC14:CI14 BP14:BX14 AG14:BN14">
    <cfRule type="top10" dxfId="1082" priority="109" rank="11"/>
  </conditionalFormatting>
  <conditionalFormatting sqref="AU66:BC66">
    <cfRule type="expression" dxfId="1081" priority="78">
      <formula>IF(ISNUMBER(VALUE(RIGHT(AU66,1))),1,0)</formula>
    </cfRule>
  </conditionalFormatting>
  <conditionalFormatting sqref="BN19 AG19:BK19 BP19:BQ19">
    <cfRule type="cellIs" dxfId="1080" priority="77" operator="equal">
      <formula>"M"</formula>
    </cfRule>
  </conditionalFormatting>
  <conditionalFormatting sqref="BN19 AG19:BK19 BP19:BQ19">
    <cfRule type="cellIs" dxfId="1079" priority="76" operator="equal">
      <formula>"D"</formula>
    </cfRule>
  </conditionalFormatting>
  <conditionalFormatting sqref="BN19 AG19:BK19 BP19:BQ19">
    <cfRule type="cellIs" dxfId="1078" priority="74" operator="equal">
      <formula>"G"</formula>
    </cfRule>
    <cfRule type="cellIs" dxfId="1077" priority="75" operator="equal">
      <formula>"A"</formula>
    </cfRule>
  </conditionalFormatting>
  <conditionalFormatting sqref="BN19 AG19:BK19 BP19:BQ19">
    <cfRule type="containsText" dxfId="1076" priority="71" operator="containsText" text="FW">
      <formula>NOT(ISERROR(SEARCH("FW",AG19)))</formula>
    </cfRule>
    <cfRule type="containsText" dxfId="1075" priority="72" operator="containsText" text="MF">
      <formula>NOT(ISERROR(SEARCH("MF",AG19)))</formula>
    </cfRule>
    <cfRule type="containsText" dxfId="1074" priority="73" operator="containsText" text="DF">
      <formula>NOT(ISERROR(SEARCH("DF",AG19)))</formula>
    </cfRule>
  </conditionalFormatting>
  <conditionalFormatting sqref="BO16">
    <cfRule type="top10" dxfId="1073" priority="67" stopIfTrue="1" rank="5"/>
  </conditionalFormatting>
  <conditionalFormatting sqref="BO15">
    <cfRule type="top10" dxfId="1072" priority="68" rank="11"/>
  </conditionalFormatting>
  <conditionalFormatting sqref="BO17">
    <cfRule type="top10" dxfId="1071" priority="69" stopIfTrue="1" rank="5"/>
  </conditionalFormatting>
  <conditionalFormatting sqref="BO14">
    <cfRule type="top10" dxfId="1070" priority="70" rank="11"/>
  </conditionalFormatting>
  <conditionalFormatting sqref="BL19">
    <cfRule type="expression" dxfId="1069" priority="30">
      <formula>BL19="G"</formula>
    </cfRule>
    <cfRule type="expression" dxfId="1068" priority="31">
      <formula>OR(BL19="M",BL19="CM",BL19="LM",BL19="RM",BL19="DM",BL19="AM")</formula>
    </cfRule>
    <cfRule type="expression" dxfId="1067" priority="32">
      <formula>OR(BL19="D",BL19="CB",BL19="LB",BL19="RB")</formula>
    </cfRule>
    <cfRule type="expression" dxfId="1066" priority="33">
      <formula>OR(BL19="A",BL19="CF",BL19="SS",BL19="ST",BL19="RW",BL19="LW")</formula>
    </cfRule>
  </conditionalFormatting>
  <conditionalFormatting sqref="BL19">
    <cfRule type="cellIs" dxfId="1065" priority="29" operator="equal">
      <formula>"M"</formula>
    </cfRule>
  </conditionalFormatting>
  <conditionalFormatting sqref="BL19">
    <cfRule type="cellIs" dxfId="1064" priority="28" operator="equal">
      <formula>"D"</formula>
    </cfRule>
  </conditionalFormatting>
  <conditionalFormatting sqref="BL19">
    <cfRule type="cellIs" dxfId="1063" priority="26" operator="equal">
      <formula>"G"</formula>
    </cfRule>
    <cfRule type="cellIs" dxfId="1062" priority="27" operator="equal">
      <formula>"A"</formula>
    </cfRule>
  </conditionalFormatting>
  <conditionalFormatting sqref="BL19">
    <cfRule type="containsText" dxfId="1061" priority="23" operator="containsText" text="FW">
      <formula>NOT(ISERROR(SEARCH("FW",BL19)))</formula>
    </cfRule>
    <cfRule type="containsText" dxfId="1060" priority="24" operator="containsText" text="MF">
      <formula>NOT(ISERROR(SEARCH("MF",BL19)))</formula>
    </cfRule>
    <cfRule type="containsText" dxfId="1059" priority="25" operator="containsText" text="DF">
      <formula>NOT(ISERROR(SEARCH("DF",BL19)))</formula>
    </cfRule>
  </conditionalFormatting>
  <conditionalFormatting sqref="AH45">
    <cfRule type="expression" dxfId="1058" priority="22">
      <formula>IF(ISNUMBER(VALUE(RIGHT(AH45,1))),1,0)</formula>
    </cfRule>
  </conditionalFormatting>
  <conditionalFormatting sqref="AJ45">
    <cfRule type="expression" dxfId="1057" priority="21">
      <formula>IF(ISNUMBER(VALUE(RIGHT(AJ45,1))),1,0)</formula>
    </cfRule>
  </conditionalFormatting>
  <conditionalFormatting sqref="AM45">
    <cfRule type="expression" dxfId="1056" priority="20">
      <formula>IF(ISNUMBER(VALUE(RIGHT(AM45,1))),1,0)</formula>
    </cfRule>
  </conditionalFormatting>
  <conditionalFormatting sqref="AP45">
    <cfRule type="expression" dxfId="1055" priority="19">
      <formula>IF(ISNUMBER(VALUE(RIGHT(AP45,1))),1,0)</formula>
    </cfRule>
  </conditionalFormatting>
  <conditionalFormatting sqref="AS45">
    <cfRule type="expression" dxfId="1054" priority="18">
      <formula>IF(ISNUMBER(VALUE(RIGHT(AS45,1))),1,0)</formula>
    </cfRule>
  </conditionalFormatting>
  <conditionalFormatting sqref="AT45">
    <cfRule type="expression" dxfId="1053" priority="17">
      <formula>IF(ISNUMBER(VALUE(RIGHT(AT45,1))),1,0)</formula>
    </cfRule>
  </conditionalFormatting>
  <conditionalFormatting sqref="AU45">
    <cfRule type="expression" dxfId="1052" priority="16">
      <formula>IF(ISNUMBER(VALUE(RIGHT(AU45,1))),1,0)</formula>
    </cfRule>
  </conditionalFormatting>
  <conditionalFormatting sqref="BD45">
    <cfRule type="expression" dxfId="1051" priority="15">
      <formula>IF(ISNUMBER(VALUE(RIGHT(BD45,1))),1,0)</formula>
    </cfRule>
  </conditionalFormatting>
  <conditionalFormatting sqref="BE45">
    <cfRule type="expression" dxfId="1050" priority="14">
      <formula>IF(ISNUMBER(VALUE(RIGHT(BE45,1))),1,0)</formula>
    </cfRule>
  </conditionalFormatting>
  <conditionalFormatting sqref="BK45">
    <cfRule type="expression" dxfId="1049" priority="13">
      <formula>IF(ISNUMBER(VALUE(RIGHT(BK45,1))),1,0)</formula>
    </cfRule>
  </conditionalFormatting>
  <conditionalFormatting sqref="BF45">
    <cfRule type="expression" dxfId="1048" priority="12">
      <formula>IF(ISNUMBER(VALUE(RIGHT(BF45,1))),1,0)</formula>
    </cfRule>
  </conditionalFormatting>
  <conditionalFormatting sqref="BM19">
    <cfRule type="expression" dxfId="1047" priority="8">
      <formula>BM19="G"</formula>
    </cfRule>
    <cfRule type="expression" dxfId="1046" priority="9">
      <formula>OR(BM19="M",BM19="CM",BM19="LM",BM19="RM",BM19="DM",BM19="AM")</formula>
    </cfRule>
    <cfRule type="expression" dxfId="1045" priority="10">
      <formula>OR(BM19="D",BM19="CB",BM19="LB",BM19="RB")</formula>
    </cfRule>
    <cfRule type="expression" dxfId="1044" priority="11">
      <formula>OR(BM19="A",BM19="CF",BM19="SS",BM19="ST",BM19="RW",BM19="LW")</formula>
    </cfRule>
  </conditionalFormatting>
  <conditionalFormatting sqref="BM19">
    <cfRule type="cellIs" dxfId="1043" priority="7" operator="equal">
      <formula>"M"</formula>
    </cfRule>
  </conditionalFormatting>
  <conditionalFormatting sqref="BM19">
    <cfRule type="cellIs" dxfId="1042" priority="6" operator="equal">
      <formula>"D"</formula>
    </cfRule>
  </conditionalFormatting>
  <conditionalFormatting sqref="BM19">
    <cfRule type="cellIs" dxfId="1041" priority="4" operator="equal">
      <formula>"G"</formula>
    </cfRule>
    <cfRule type="cellIs" dxfId="1040" priority="5" operator="equal">
      <formula>"A"</formula>
    </cfRule>
  </conditionalFormatting>
  <conditionalFormatting sqref="BM19">
    <cfRule type="containsText" dxfId="1039" priority="1" operator="containsText" text="FW">
      <formula>NOT(ISERROR(SEARCH("FW",BM19)))</formula>
    </cfRule>
    <cfRule type="containsText" dxfId="1038" priority="2" operator="containsText" text="MF">
      <formula>NOT(ISERROR(SEARCH("MF",BM19)))</formula>
    </cfRule>
    <cfRule type="containsText" dxfId="1037" priority="3" operator="containsText" text="DF">
      <formula>NOT(ISERROR(SEARCH("DF",BM19)))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DQ237"/>
  <sheetViews>
    <sheetView zoomScale="85" zoomScaleNormal="85" workbookViewId="0">
      <pane xSplit="32" ySplit="22" topLeftCell="AG59" activePane="bottomRight" state="frozen"/>
      <selection activeCell="Q57" activeCellId="1" sqref="BA21 Q57"/>
      <selection pane="topRight" activeCell="Q57" activeCellId="1" sqref="BA21 Q57"/>
      <selection pane="bottomLeft" activeCell="Q57" activeCellId="1" sqref="BA21 Q57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6" width="3.75" style="230" customWidth="1"/>
    <col min="37" max="37" width="3.75" bestFit="1" customWidth="1"/>
    <col min="38" max="49" width="3.75" style="230" customWidth="1"/>
    <col min="50" max="52" width="3.75" bestFit="1" customWidth="1"/>
    <col min="53" max="53" width="3.75" customWidth="1"/>
    <col min="54" max="65" width="3.75" style="230" customWidth="1"/>
    <col min="66" max="66" width="3.75" bestFit="1" customWidth="1"/>
    <col min="67" max="68" width="3.75" style="230" customWidth="1"/>
    <col min="69" max="69" width="3.75" bestFit="1" customWidth="1"/>
    <col min="70" max="102" width="3.75" style="230" customWidth="1"/>
    <col min="103" max="16384" width="5.75" style="230"/>
  </cols>
  <sheetData>
    <row r="1" spans="1:90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L1" si="0">AG20</f>
        <v>Tsuyoshi Kodama</v>
      </c>
      <c r="AH1" s="814" t="str">
        <f t="shared" si="0"/>
        <v>Daiki Tomii</v>
      </c>
      <c r="AI1" s="814" t="str">
        <f t="shared" si="0"/>
        <v>Hayato Settsu</v>
      </c>
      <c r="AJ1" s="814"/>
      <c r="AL1" s="814" t="str">
        <f t="shared" si="0"/>
        <v>Naoki Kuriyama</v>
      </c>
      <c r="AM1" s="814" t="str">
        <f t="shared" si="0"/>
        <v>Hirokazu Usami</v>
      </c>
      <c r="AN1" s="814"/>
      <c r="AO1" s="814" t="str">
        <f>AO20</f>
        <v>Takumi Yamada</v>
      </c>
      <c r="AP1" s="814" t="str">
        <f t="shared" si="0"/>
        <v>Tatsuya Ishikawa</v>
      </c>
      <c r="AQ1" s="814"/>
      <c r="AR1" s="814" t="e">
        <f>#REF!</f>
        <v>#REF!</v>
      </c>
      <c r="AS1" s="814" t="str">
        <f>AS20</f>
        <v>Je-Seung Lee</v>
      </c>
      <c r="AT1" s="814" t="str">
        <f>BB20</f>
        <v>Kenji Arabori</v>
      </c>
      <c r="AU1" s="814" t="str">
        <f>AR20</f>
        <v>Rikiya Motegi</v>
      </c>
      <c r="AV1" s="814"/>
      <c r="AW1" s="814" t="str">
        <f>AW20</f>
        <v>Ryosuke Matsuoka</v>
      </c>
      <c r="BB1" s="814" t="str">
        <f>BF20</f>
        <v>Shuto Minami</v>
      </c>
      <c r="BC1" s="814">
        <f>BT20</f>
        <v>0</v>
      </c>
      <c r="BD1" s="814"/>
      <c r="BE1" s="814"/>
      <c r="BF1" s="814" t="str">
        <f>BH20</f>
        <v>Yuji Senuma</v>
      </c>
      <c r="BG1" s="814" t="str">
        <f>BC20</f>
        <v>Yuto Suzuki</v>
      </c>
      <c r="BH1" s="814" t="str">
        <f>BI20</f>
        <v>Toyofumi Sakano</v>
      </c>
      <c r="BI1" s="814"/>
      <c r="BJ1" s="814"/>
      <c r="BK1" s="814"/>
      <c r="BL1" s="814"/>
      <c r="BM1" s="814"/>
      <c r="BO1" s="814">
        <f>BO20</f>
        <v>0</v>
      </c>
      <c r="BP1" s="814">
        <f>BP20</f>
        <v>0</v>
      </c>
      <c r="BR1" s="814">
        <f>BR20</f>
        <v>0</v>
      </c>
      <c r="BS1" s="814">
        <f>BS20</f>
        <v>0</v>
      </c>
      <c r="BT1" s="814" t="e">
        <f>#REF!</f>
        <v>#REF!</v>
      </c>
      <c r="BU1" s="814"/>
      <c r="BV1" s="814"/>
      <c r="BW1" s="814"/>
      <c r="BX1" s="814"/>
      <c r="BY1" s="814">
        <f t="shared" ref="BY1:CE1" si="1">BY20</f>
        <v>0</v>
      </c>
      <c r="BZ1" s="814">
        <f t="shared" si="1"/>
        <v>0</v>
      </c>
      <c r="CA1" s="814">
        <f t="shared" si="1"/>
        <v>0</v>
      </c>
      <c r="CB1" s="814">
        <f t="shared" si="1"/>
        <v>0</v>
      </c>
      <c r="CC1" s="814">
        <f t="shared" si="1"/>
        <v>0</v>
      </c>
      <c r="CD1" s="814">
        <f t="shared" si="1"/>
        <v>0</v>
      </c>
      <c r="CE1" s="814">
        <f t="shared" si="1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</row>
    <row r="2" spans="1:90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SUM(IF(L$23:L$239="",0,1)*IF(ISBLANK($T$1),1,IF($I$23:$I$239=$T$1,1,0)))</f>
        <v>44</v>
      </c>
      <c r="AG2" s="874">
        <f t="array" ref="AG2">SUM(IF(ISBLANK(AG$23:AG$239),0,IF(AG$23:AG$239="susp",0,1))*IF(ISBLANK($T$1),1,IF($I$23:$I$239=$T$1,1,0)))</f>
        <v>44</v>
      </c>
      <c r="AH2" s="874">
        <f t="array" ref="AH2">SUM(IF(ISBLANK(AH$23:AH$239),0,IF(AH$23:AH$239="susp",0,1))*IF(ISBLANK($T$1),1,IF($I$23:$I$239=$T$1,1,0)))</f>
        <v>44</v>
      </c>
      <c r="AI2" s="874">
        <f t="array" ref="AI2">SUM(IF(ISBLANK(AI$23:AI$239),0,IF(AI$23:AI$239="susp",0,1))*IF(ISBLANK($T$1),1,IF($I$23:$I$239=$T$1,1,0)))</f>
        <v>43</v>
      </c>
      <c r="AL2" s="874">
        <f t="array" ref="AL2">SUM(IF(ISBLANK(AL$23:AL$239),0,IF(AL$23:AL$239="susp",0,1))*IF(ISBLANK($T$1),1,IF($I$23:$I$239=$T$1,1,0)))</f>
        <v>44</v>
      </c>
      <c r="AM2" s="874">
        <f t="array" ref="AM2">SUM(IF(ISBLANK(AM$23:AM$239),0,IF(AM$23:AM$239="susp",0,1))*IF(ISBLANK($T$1),1,IF($I$23:$I$239=$T$1,1,0)))</f>
        <v>44</v>
      </c>
      <c r="AO2" s="874">
        <f t="array" ref="AO2">SUM(IF(ISBLANK(AO$23:AO$239),0,IF(AO$23:AO$239="susp",0,1))*IF(ISBLANK($T$1),1,IF($I$23:$I$239=$T$1,1,0)))</f>
        <v>44</v>
      </c>
      <c r="AP2" s="874">
        <f t="array" ref="AP2">SUM(IF(ISBLANK(AP$23:AP$239),0,IF(AP$23:AP$239="susp",0,1))*IF(ISBLANK($T$1),1,IF($I$23:$I$239=$T$1,1,0)))</f>
        <v>43</v>
      </c>
      <c r="AR2" s="874">
        <f t="array" ref="AR2">SUM(IF(ISBLANK(AR$23:AR$239),0,IF(AR$23:AR$239="susp",0,1))*IF(ISBLANK($T$1),1,IF($I$23:$I$239=$T$1,1,0)))</f>
        <v>44</v>
      </c>
      <c r="AS2" s="874">
        <f t="array" ref="AS2">SUM(IF(ISBLANK(AS$23:AS$239),0,IF(AS$23:AS$239="susp",0,1))*IF(ISBLANK($T$1),1,IF($I$23:$I$239=$T$1,1,0)))</f>
        <v>44</v>
      </c>
      <c r="AT2" s="874">
        <f t="array" ref="AT2">SUM(IF(ISBLANK(AT$26:AT$239),0,IF(AT$26:AT$239="susp",0,1))*IF(ISBLANK($T$1),1,IF($I$23:$I$239=$T$1,1,0)))</f>
        <v>41</v>
      </c>
      <c r="AU2" s="874">
        <f t="array" ref="AU2">SUM(IF(ISBLANK(AU$23:AU$239),0,IF(AU$23:AU$239="susp",0,1))*IF(ISBLANK($T$1),1,IF($I$23:$I$239=$T$1,1,0)))</f>
        <v>43</v>
      </c>
      <c r="AW2" s="874">
        <f t="array" ref="AW2">SUM(IF(ISBLANK(AW$23:AW$239),0,IF(AW$23:AW$239="susp",0,1))*IF(ISBLANK($T$1),1,IF($I$23:$I$239=$T$1,1,0)))</f>
        <v>44</v>
      </c>
      <c r="BB2" s="874">
        <f t="array" ref="BB2">SUM(IF(ISBLANK(BB$27:BB$239),0,IF(BB$27:BB$239="susp",0,1))*IF(ISBLANK($T$1),1,IF($I$23:$I$239=$T$1,1,0)))</f>
        <v>40</v>
      </c>
      <c r="BC2" s="874">
        <f t="array" ref="BC2">SUM(IF(ISBLANK(BC$26:BC$239),0,IF(BC$26:BC$239="susp",0,1))*IF(ISBLANK($T$1),1,IF($I$23:$I$239=$T$1,1,0)))</f>
        <v>40</v>
      </c>
      <c r="BF2" s="874">
        <f t="array" ref="BF2">SUM(IF(ISBLANK(BF$41:BF$239),0,IF(BF$41:BF$239="susp",0,1))*IF(ISBLANK($T$1),1,IF($I$23:$I$239=$T$1,1,0)))</f>
        <v>26</v>
      </c>
      <c r="BG2" s="874">
        <f t="array" ref="BG2">SUM(IF(ISBLANK(BG$26:BG$239),0,IF(BG$26:BG$239="susp",0,1))*IF(ISBLANK($T$1),1,IF($I$23:$I$239=$T$1,1,0)))</f>
        <v>41</v>
      </c>
      <c r="BH2" s="874">
        <f t="array" ref="BH2">SUM(IF(ISBLANK(BH$23:BH$239),0,IF(BH$23:BH$239="susp",0,1))*IF(ISBLANK($T$1),1,IF($I$23:$I$239=$T$1,1,0)))</f>
        <v>44</v>
      </c>
      <c r="BO2" s="874">
        <f t="array" ref="BO2">SUM(IF(ISBLANK(BO$23:BO$239),0,IF(BO$23:BO$239="susp",0,1))*IF(ISBLANK($T$1),1,IF($I$23:$I$239=$T$1,1,0)))</f>
        <v>0</v>
      </c>
      <c r="BP2" s="874">
        <f t="array" ref="BP2">SUM(IF(ISBLANK(BP$23:BP$239),0,IF(BP$23:BP$239="susp",0,1))*IF(ISBLANK($T$1),1,IF($I$23:$I$239=$T$1,1,0)))</f>
        <v>0</v>
      </c>
      <c r="BR2" s="874">
        <f t="array" ref="BR2">SUM(IF(ISBLANK(BR$23:BR$239),0,IF(BR$23:BR$239="susp",0,1))*IF(ISBLANK($T$1),1,IF($I$23:$I$239=$T$1,1,0)))</f>
        <v>0</v>
      </c>
      <c r="BS2" s="874">
        <f t="array" ref="BS2">SUM(IF(ISBLANK(BS$23:BS$239),0,IF(BS$23:BS$239="susp",0,1))*IF(ISBLANK($T$1),1,IF($I$23:$I$239=$T$1,1,0)))</f>
        <v>0</v>
      </c>
      <c r="BT2" s="874">
        <f t="array" ref="BT2">SUM(IF(ISBLANK(BT$40:BT$239),0,IF(BT$40:BT$239="susp",0,1))*IF(ISBLANK($T$1),1,IF($I$23:$I$239=$T$1,1,0)))</f>
        <v>0</v>
      </c>
      <c r="BY2" s="874">
        <f t="array" ref="BY2">SUM(IF(ISBLANK(BY$23:BY$239),0,IF(BY$23:BY$239="susp",0,1))*IF(ISBLANK($T$1),1,IF($I$23:$I$239=$T$1,1,0)))</f>
        <v>0</v>
      </c>
      <c r="BZ2" s="874">
        <f t="array" ref="BZ2">SUM(IF(ISBLANK(BZ$23:BZ$239),0,IF(BZ$23:BZ$239="susp",0,1))*IF(ISBLANK($T$1),1,IF($I$23:$I$239=$T$1,1,0)))</f>
        <v>0</v>
      </c>
      <c r="CA2" s="874">
        <f t="array" ref="CA2">SUM(IF(ISBLANK(CA$23:CA$239),0,IF(CA$23:CA$239="susp",0,1))*IF(ISBLANK($T$1),1,IF($I$23:$I$239=$T$1,1,0)))</f>
        <v>0</v>
      </c>
      <c r="CB2" s="874">
        <f t="array" ref="CB2">SUM(IF(ISBLANK(CB$23:CB$239),0,IF(CB$23:CB$239="susp",0,1))*IF(ISBLANK($T$1),1,IF($I$23:$I$239=$T$1,1,0)))</f>
        <v>0</v>
      </c>
      <c r="CC2" s="874">
        <f t="array" ref="CC2">SUM(IF(ISBLANK(CC$23:CC$239),0,IF(CC$23:CC$239="susp",0,1))*IF(ISBLANK($T$1),1,IF($I$23:$I$239=$T$1,1,0)))</f>
        <v>0</v>
      </c>
      <c r="CD2" s="874">
        <f t="array" ref="CD2">SUM(IF(ISBLANK(CD$23:CD$239),0,IF(CD$23:CD$239="susp",0,1))*IF(ISBLANK($T$1),1,IF($I$23:$I$239=$T$1,1,0)))</f>
        <v>0</v>
      </c>
      <c r="CE2" s="874">
        <f t="array" ref="CE2">SUM(IF(ISBLANK(CE$23:CE$239),0,IF(CE$23:CE$239="susp",0,1))*IF(ISBLANK($T$1),1,IF($I$23:$I$239=$T$1,1,0)))</f>
        <v>0</v>
      </c>
      <c r="CF2" s="874">
        <f t="array" ref="CF2">SUM(IF(ISBLANK(CF$23:CF$239),0,IF(CF$23:CF$239="susp",0,1))*IF(ISBLANK($T$1),1,IF($I$23:$I$239=$T$1,1,0)))</f>
        <v>0</v>
      </c>
      <c r="CG2" s="874">
        <f t="array" ref="CG2">SUM(IF(ISBLANK(CG$23:CG$239),0,IF(CG$23:CG$239="susp",0,1))*IF(ISBLANK($T$1),1,IF($I$23:$I$239=$T$1,1,0)))</f>
        <v>0</v>
      </c>
      <c r="CH2" s="874">
        <f t="array" ref="CH2">SUM(IF(ISBLANK(CH$23:CH$239),0,IF(CH$23:CH$239="susp",0,1))*IF(ISBLANK($T$1),1,IF($I$23:$I$239=$T$1,1,0)))</f>
        <v>0</v>
      </c>
      <c r="CI2" s="874">
        <f t="array" ref="CI2">SUM(IF(ISBLANK(CI$23:CI$239),0,IF(CI$23:CI$239="susp",0,1))*IF(ISBLANK($T$1),1,IF($I$23:$I$239=$T$1,1,0)))</f>
        <v>0</v>
      </c>
      <c r="CJ2" s="874">
        <f t="array" ref="CJ2">SUM(IF(ISBLANK(CJ$23:CJ$239),0,IF(CJ$23:CJ$239="susp",0,1))*IF(ISBLANK($T$1),1,IF($I$23:$I$239=$T$1,1,0)))</f>
        <v>16</v>
      </c>
      <c r="CK2" s="874">
        <f t="array" ref="CK2">SUM(IF(ISBLANK(CK$23:CK$239),0,IF(CK$23:CK$239="susp",0,1))*IF(ISBLANK($T$1),1,IF($I$23:$I$239=$T$1,1,0)))</f>
        <v>16</v>
      </c>
      <c r="CL2" s="874">
        <f t="array" ref="CL2">SUM(IF(ISBLANK(CL$23:CL$239),0,IF(CL$23:CL$239="susp",0,1))*IF(ISBLANK($T$1),1,IF($I$23:$I$239=$T$1,1,0)))</f>
        <v>15</v>
      </c>
    </row>
    <row r="3" spans="1:90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SUM(IF(L$23:L$239="W",1,0)*IF(ISBLANK($T$1),1,IF($I$23:$I$239=$T$1,1,0)))</f>
        <v>14</v>
      </c>
      <c r="AG3" s="874">
        <f t="array" ref="AG3">SUM(IF(ISTEXT(AG$23:AG$239),1,0)*IF(($L$23:$L$239)="W",1,0)*IF(ISBLANK($T$1),1,IF($I$23:$I$239=$T$1,1,0)))</f>
        <v>14</v>
      </c>
      <c r="AH3" s="874">
        <f t="array" ref="AH3">SUM(IF(ISTEXT(AH$23:AH$239),1,0)*IF(($L$23:$L$239)="W",1,0)*IF(ISBLANK($T$1),1,IF($I$23:$I$239=$T$1,1,0)))</f>
        <v>14</v>
      </c>
      <c r="AI3" s="874">
        <f t="array" ref="AI3">SUM(IF(ISTEXT(AI$23:AI$239),1,0)*IF(($L$23:$L$239)="W",1,0)*IF(ISBLANK($T$1),1,IF($I$23:$I$239=$T$1,1,0)))</f>
        <v>14</v>
      </c>
      <c r="AL3" s="874">
        <f t="array" ref="AL3">SUM(IF(ISTEXT(AL$23:AL$239),1,0)*IF(($L$23:$L$239)="W",1,0)*IF(ISBLANK($T$1),1,IF($I$23:$I$239=$T$1,1,0)))</f>
        <v>14</v>
      </c>
      <c r="AM3" s="874">
        <f t="array" ref="AM3">SUM(IF(ISTEXT(AM$23:AM$239),1,0)*IF(($L$23:$L$239)="W",1,0)*IF(ISBLANK($T$1),1,IF($I$23:$I$239=$T$1,1,0)))</f>
        <v>14</v>
      </c>
      <c r="AO3" s="874">
        <f t="array" ref="AO3">SUM(IF(ISTEXT(AO$23:AO$239),1,0)*IF(($L$23:$L$239)="W",1,0)*IF(ISBLANK($T$1),1,IF($I$23:$I$239=$T$1,1,0)))</f>
        <v>14</v>
      </c>
      <c r="AP3" s="874">
        <f t="array" ref="AP3">SUM(IF(ISTEXT(AP$23:AP$239),1,0)*IF(($L$23:$L$239)="W",1,0)*IF(ISBLANK($T$1),1,IF($I$23:$I$239=$T$1,1,0)))</f>
        <v>14</v>
      </c>
      <c r="AR3" s="874">
        <f t="array" ref="AR3">SUM(IF(ISTEXT(AR$23:AR$239),1,0)*IF(($L$23:$L$239)="W",1,0)*IF(ISBLANK($T$1),1,IF($I$23:$I$239=$T$1,1,0)))</f>
        <v>14</v>
      </c>
      <c r="AS3" s="874">
        <f t="array" ref="AS3">SUM(IF(ISTEXT(AS$23:AS$239),1,0)*IF(($L$23:$L$239)="W",1,0)*IF(ISBLANK($T$1),1,IF($I$23:$I$239=$T$1,1,0)))</f>
        <v>14</v>
      </c>
      <c r="AT3" s="874" t="e">
        <f t="array" ref="AT3">SUM(IF(ISTEXT(AT$26:AT$239),1,0)*IF(($L$23:$L$239)="W",1,0)*IF(ISBLANK($T$1),1,IF($I$23:$I$239=$T$1,1,0)))</f>
        <v>#N/A</v>
      </c>
      <c r="AU3" s="874">
        <f t="array" ref="AU3">SUM(IF(ISTEXT(AU$23:AU$239),1,0)*IF(($L$23:$L$239)="W",1,0)*IF(ISBLANK($T$1),1,IF($I$23:$I$239=$T$1,1,0)))</f>
        <v>14</v>
      </c>
      <c r="AW3" s="874">
        <f t="array" ref="AW3">SUM(IF(ISTEXT(AW$23:AW$239),1,0)*IF(($L$23:$L$239)="W",1,0)*IF(ISBLANK($T$1),1,IF($I$23:$I$239=$T$1,1,0)))</f>
        <v>14</v>
      </c>
      <c r="BB3" s="874" t="e">
        <f t="array" ref="BB3">SUM(IF(ISTEXT(BB$27:BB$239),1,0)*IF(($L$23:$L$239)="W",1,0)*IF(ISBLANK($T$1),1,IF($I$23:$I$239=$T$1,1,0)))</f>
        <v>#N/A</v>
      </c>
      <c r="BC3" s="874" t="e">
        <f t="array" ref="BC3">SUM(IF(ISTEXT(BC$26:BC$239),1,0)*IF(($L$23:$L$239)="W",1,0)*IF(ISBLANK($T$1),1,IF($I$23:$I$239=$T$1,1,0)))</f>
        <v>#N/A</v>
      </c>
      <c r="BF3" s="874" t="e">
        <f t="array" ref="BF3">SUM(IF(ISTEXT(BF$41:BF$239),1,0)*IF(($L$23:$L$239)="W",1,0)*IF(ISBLANK($T$1),1,IF($I$23:$I$239=$T$1,1,0)))</f>
        <v>#N/A</v>
      </c>
      <c r="BG3" s="874" t="e">
        <f t="array" ref="BG3">SUM(IF(ISTEXT(BG$26:BG$239),1,0)*IF(($L$23:$L$239)="W",1,0)*IF(ISBLANK($T$1),1,IF($I$23:$I$239=$T$1,1,0)))</f>
        <v>#N/A</v>
      </c>
      <c r="BH3" s="874">
        <f t="array" ref="BH3">SUM(IF(ISTEXT(BH$23:BH$239),1,0)*IF(($L$23:$L$239)="W",1,0)*IF(ISBLANK($T$1),1,IF($I$23:$I$239=$T$1,1,0)))</f>
        <v>14</v>
      </c>
      <c r="BO3" s="874">
        <f t="array" ref="BO3">SUM(IF(ISTEXT(BO$23:BO$239),1,0)*IF(($L$23:$L$239)="W",1,0)*IF(ISBLANK($T$1),1,IF($I$23:$I$239=$T$1,1,0)))</f>
        <v>0</v>
      </c>
      <c r="BP3" s="874">
        <f t="array" ref="BP3">SUM(IF(ISTEXT(BP$23:BP$239),1,0)*IF(($L$23:$L$239)="W",1,0)*IF(ISBLANK($T$1),1,IF($I$23:$I$239=$T$1,1,0)))</f>
        <v>0</v>
      </c>
      <c r="BR3" s="874">
        <f t="array" ref="BR3">SUM(IF(ISTEXT(BR$23:BR$239),1,0)*IF(($L$23:$L$239)="W",1,0)*IF(ISBLANK($T$1),1,IF($I$23:$I$239=$T$1,1,0)))</f>
        <v>0</v>
      </c>
      <c r="BS3" s="874">
        <f t="array" ref="BS3">SUM(IF(ISTEXT(BS$23:BS$239),1,0)*IF(($L$23:$L$239)="W",1,0)*IF(ISBLANK($T$1),1,IF($I$23:$I$239=$T$1,1,0)))</f>
        <v>0</v>
      </c>
      <c r="BT3" s="874" t="e">
        <f t="array" ref="BT3">SUM(IF(ISTEXT(BT$40:BT$239),1,0)*IF(($L$23:$L$239)="W",1,0)*IF(ISBLANK($T$1),1,IF($I$23:$I$239=$T$1,1,0)))</f>
        <v>#N/A</v>
      </c>
      <c r="BY3" s="874">
        <f t="array" ref="BY3">SUM(IF(ISTEXT(BY$23:BY$239),1,0)*IF(($L$23:$L$239)="W",1,0)*IF(ISBLANK($T$1),1,IF($I$23:$I$239=$T$1,1,0)))</f>
        <v>0</v>
      </c>
      <c r="BZ3" s="874">
        <f t="array" ref="BZ3">SUM(IF(ISTEXT(BZ$23:BZ$239),1,0)*IF(($L$23:$L$239)="W",1,0)*IF(ISBLANK($T$1),1,IF($I$23:$I$239=$T$1,1,0)))</f>
        <v>0</v>
      </c>
      <c r="CA3" s="874">
        <f t="array" ref="CA3">SUM(IF(ISTEXT(CA$23:CA$239),1,0)*IF(($L$23:$L$239)="W",1,0)*IF(ISBLANK($T$1),1,IF($I$23:$I$239=$T$1,1,0)))</f>
        <v>0</v>
      </c>
      <c r="CB3" s="874">
        <f t="array" ref="CB3">SUM(IF(ISTEXT(CB$23:CB$239),1,0)*IF(($L$23:$L$239)="W",1,0)*IF(ISBLANK($T$1),1,IF($I$23:$I$239=$T$1,1,0)))</f>
        <v>0</v>
      </c>
      <c r="CC3" s="874">
        <f t="array" ref="CC3">SUM(IF(ISTEXT(CC$23:CC$239),1,0)*IF(($L$23:$L$239)="W",1,0)*IF(ISBLANK($T$1),1,IF($I$23:$I$239=$T$1,1,0)))</f>
        <v>0</v>
      </c>
      <c r="CD3" s="874">
        <f t="array" ref="CD3">SUM(IF(ISTEXT(CD$23:CD$239),1,0)*IF(($L$23:$L$239)="W",1,0)*IF(ISBLANK($T$1),1,IF($I$23:$I$239=$T$1,1,0)))</f>
        <v>0</v>
      </c>
      <c r="CE3" s="874">
        <f t="array" ref="CE3">SUM(IF(ISTEXT(CE$23:CE$239),1,0)*IF(($L$23:$L$239)="W",1,0)*IF(ISBLANK($T$1),1,IF($I$23:$I$239=$T$1,1,0)))</f>
        <v>0</v>
      </c>
      <c r="CF3" s="874">
        <f t="array" ref="CF3">SUM(IF(ISTEXT(CF$23:CF$239),1,0)*IF(($L$23:$L$239)="W",1,0)*IF(ISBLANK($T$1),1,IF($I$23:$I$239=$T$1,1,0)))</f>
        <v>0</v>
      </c>
      <c r="CG3" s="874">
        <f t="array" ref="CG3">SUM(IF(ISTEXT(CG$23:CG$239),1,0)*IF(($L$23:$L$239)="W",1,0)*IF(ISBLANK($T$1),1,IF($I$23:$I$239=$T$1,1,0)))</f>
        <v>0</v>
      </c>
      <c r="CH3" s="874">
        <f t="array" ref="CH3">SUM(IF(ISTEXT(CH$23:CH$239),1,0)*IF(($L$23:$L$239)="W",1,0)*IF(ISBLANK($T$1),1,IF($I$23:$I$239=$T$1,1,0)))</f>
        <v>0</v>
      </c>
      <c r="CI3" s="874">
        <f t="array" ref="CI3">SUM(IF(ISTEXT(CI$23:CI$239),1,0)*IF(($L$23:$L$239)="W",1,0)*IF(ISBLANK($T$1),1,IF($I$23:$I$239=$T$1,1,0)))</f>
        <v>0</v>
      </c>
      <c r="CJ3" s="874">
        <f t="array" ref="CJ3">SUM(IF(ISTEXT(CJ$23:CJ$239),1,0)*IF(($L$23:$L$239)="W",1,0)*IF(ISBLANK($T$1),1,IF($I$23:$I$239=$T$1,1,0)))</f>
        <v>7</v>
      </c>
      <c r="CK3" s="874">
        <f t="array" ref="CK3">SUM(IF(ISTEXT(CK$23:CK$239),1,0)*IF(($L$23:$L$239)="W",1,0)*IF(ISBLANK($T$1),1,IF($I$23:$I$239=$T$1,1,0)))</f>
        <v>7</v>
      </c>
      <c r="CL3" s="874">
        <f t="array" ref="CL3">SUM(IF(ISTEXT(CL$23:CL$239),1,0)*IF(($L$23:$L$239)="W",1,0)*IF(ISBLANK($T$1),1,IF($I$23:$I$239=$T$1,1,0)))</f>
        <v>6</v>
      </c>
    </row>
    <row r="4" spans="1:90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SUM(IF(L$23:L$239="D",1,0)*IF(ISBLANK($T$1),1,IF($I$23:$I$239=$T$1,1,0)))</f>
        <v>18</v>
      </c>
      <c r="AG4" s="874">
        <f t="array" ref="AG4">SUM(IF(ISTEXT(AG$23:AG$239),1,0)*IF(($L$23:$L$239)="D",1,0)*IF(ISBLANK($T$1),1,IF($I$23:$I$239=$T$1,1,0)))</f>
        <v>18</v>
      </c>
      <c r="AH4" s="874">
        <f t="array" ref="AH4">SUM(IF(ISTEXT(AH$23:AH$239),1,0)*IF(($L$23:$L$239)="D",1,0)*IF(ISBLANK($T$1),1,IF($I$23:$I$239=$T$1,1,0)))</f>
        <v>18</v>
      </c>
      <c r="AI4" s="874">
        <f t="array" ref="AI4">SUM(IF(ISTEXT(AI$23:AI$239),1,0)*IF(($L$23:$L$239)="D",1,0)*IF(ISBLANK($T$1),1,IF($I$23:$I$239=$T$1,1,0)))</f>
        <v>18</v>
      </c>
      <c r="AL4" s="874">
        <f t="array" ref="AL4">SUM(IF(ISTEXT(AL$23:AL$239),1,0)*IF(($L$23:$L$239)="D",1,0)*IF(ISBLANK($T$1),1,IF($I$23:$I$239=$T$1,1,0)))</f>
        <v>18</v>
      </c>
      <c r="AM4" s="874">
        <f t="array" ref="AM4">SUM(IF(ISTEXT(AM$23:AM$239),1,0)*IF(($L$23:$L$239)="D",1,0)*IF(ISBLANK($T$1),1,IF($I$23:$I$239=$T$1,1,0)))</f>
        <v>18</v>
      </c>
      <c r="AO4" s="874">
        <f t="array" ref="AO4">SUM(IF(ISTEXT(AO$23:AO$239),1,0)*IF(($L$23:$L$239)="D",1,0)*IF(ISBLANK($T$1),1,IF($I$23:$I$239=$T$1,1,0)))</f>
        <v>18</v>
      </c>
      <c r="AP4" s="874">
        <f t="array" ref="AP4">SUM(IF(ISTEXT(AP$23:AP$239),1,0)*IF(($L$23:$L$239)="D",1,0)*IF(ISBLANK($T$1),1,IF($I$23:$I$239=$T$1,1,0)))</f>
        <v>18</v>
      </c>
      <c r="AR4" s="874">
        <f t="array" ref="AR4">SUM(IF(ISTEXT(AR$23:AR$239),1,0)*IF(($L$23:$L$239)="D",1,0)*IF(ISBLANK($T$1),1,IF($I$23:$I$239=$T$1,1,0)))</f>
        <v>18</v>
      </c>
      <c r="AS4" s="874">
        <f t="array" ref="AS4">SUM(IF(ISTEXT(AS$23:AS$239),1,0)*IF(($L$23:$L$239)="D",1,0)*IF(ISBLANK($T$1),1,IF($I$23:$I$239=$T$1,1,0)))</f>
        <v>18</v>
      </c>
      <c r="AT4" s="874" t="e">
        <f t="array" ref="AT4">SUM(IF(ISTEXT(AT$26:AT$239),1,0)*IF(($L$23:$L$239)="D",1,0)*IF(ISBLANK($T$1),1,IF($I$23:$I$239=$T$1,1,0)))</f>
        <v>#N/A</v>
      </c>
      <c r="AU4" s="874">
        <f t="array" ref="AU4">SUM(IF(ISTEXT(AU$23:AU$239),1,0)*IF(($L$23:$L$239)="D",1,0)*IF(ISBLANK($T$1),1,IF($I$23:$I$239=$T$1,1,0)))</f>
        <v>18</v>
      </c>
      <c r="AW4" s="874">
        <f t="array" ref="AW4">SUM(IF(ISTEXT(AW$23:AW$239),1,0)*IF(($L$23:$L$239)="D",1,0)*IF(ISBLANK($T$1),1,IF($I$23:$I$239=$T$1,1,0)))</f>
        <v>18</v>
      </c>
      <c r="BB4" s="874" t="e">
        <f t="array" ref="BB4">SUM(IF(ISTEXT(BB$27:BB$239),1,0)*IF(($L$23:$L$239)="D",1,0)*IF(ISBLANK($T$1),1,IF($I$23:$I$239=$T$1,1,0)))</f>
        <v>#N/A</v>
      </c>
      <c r="BC4" s="874" t="e">
        <f t="array" ref="BC4">SUM(IF(ISTEXT(BC$26:BC$239),1,0)*IF(($L$23:$L$239)="D",1,0)*IF(ISBLANK($T$1),1,IF($I$23:$I$239=$T$1,1,0)))</f>
        <v>#N/A</v>
      </c>
      <c r="BF4" s="874" t="e">
        <f t="array" ref="BF4">SUM(IF(ISTEXT(BF$41:BF$239),1,0)*IF(($L$23:$L$239)="D",1,0)*IF(ISBLANK($T$1),1,IF($I$23:$I$239=$T$1,1,0)))</f>
        <v>#N/A</v>
      </c>
      <c r="BG4" s="874" t="e">
        <f t="array" ref="BG4">SUM(IF(ISTEXT(BG$26:BG$239),1,0)*IF(($L$23:$L$239)="D",1,0)*IF(ISBLANK($T$1),1,IF($I$23:$I$239=$T$1,1,0)))</f>
        <v>#N/A</v>
      </c>
      <c r="BH4" s="874">
        <f t="array" ref="BH4">SUM(IF(ISTEXT(BH$23:BH$239),1,0)*IF(($L$23:$L$239)="D",1,0)*IF(ISBLANK($T$1),1,IF($I$23:$I$239=$T$1,1,0)))</f>
        <v>18</v>
      </c>
      <c r="BO4" s="874">
        <f t="array" ref="BO4">SUM(IF(ISTEXT(BO$23:BO$239),1,0)*IF(($L$23:$L$239)="D",1,0)*IF(ISBLANK($T$1),1,IF($I$23:$I$239=$T$1,1,0)))</f>
        <v>0</v>
      </c>
      <c r="BP4" s="874">
        <f t="array" ref="BP4">SUM(IF(ISTEXT(BP$23:BP$239),1,0)*IF(($L$23:$L$239)="D",1,0)*IF(ISBLANK($T$1),1,IF($I$23:$I$239=$T$1,1,0)))</f>
        <v>0</v>
      </c>
      <c r="BR4" s="874">
        <f t="array" ref="BR4">SUM(IF(ISTEXT(BR$23:BR$239),1,0)*IF(($L$23:$L$239)="D",1,0)*IF(ISBLANK($T$1),1,IF($I$23:$I$239=$T$1,1,0)))</f>
        <v>0</v>
      </c>
      <c r="BS4" s="874">
        <f t="array" ref="BS4">SUM(IF(ISTEXT(BS$23:BS$239),1,0)*IF(($L$23:$L$239)="D",1,0)*IF(ISBLANK($T$1),1,IF($I$23:$I$239=$T$1,1,0)))</f>
        <v>0</v>
      </c>
      <c r="BT4" s="874" t="e">
        <f t="array" ref="BT4">SUM(IF(ISTEXT(BT$40:BT$239),1,0)*IF(($L$23:$L$239)="D",1,0)*IF(ISBLANK($T$1),1,IF($I$23:$I$239=$T$1,1,0)))</f>
        <v>#N/A</v>
      </c>
      <c r="BY4" s="874">
        <f t="array" ref="BY4">SUM(IF(ISTEXT(BY$23:BY$239),1,0)*IF(($L$23:$L$239)="D",1,0)*IF(ISBLANK($T$1),1,IF($I$23:$I$239=$T$1,1,0)))</f>
        <v>0</v>
      </c>
      <c r="BZ4" s="874">
        <f t="array" ref="BZ4">SUM(IF(ISTEXT(BZ$23:BZ$239),1,0)*IF(($L$23:$L$239)="D",1,0)*IF(ISBLANK($T$1),1,IF($I$23:$I$239=$T$1,1,0)))</f>
        <v>0</v>
      </c>
      <c r="CA4" s="874">
        <f t="array" ref="CA4">SUM(IF(ISTEXT(CA$23:CA$239),1,0)*IF(($L$23:$L$239)="D",1,0)*IF(ISBLANK($T$1),1,IF($I$23:$I$239=$T$1,1,0)))</f>
        <v>0</v>
      </c>
      <c r="CB4" s="874">
        <f t="array" ref="CB4">SUM(IF(ISTEXT(CB$23:CB$239),1,0)*IF(($L$23:$L$239)="D",1,0)*IF(ISBLANK($T$1),1,IF($I$23:$I$239=$T$1,1,0)))</f>
        <v>0</v>
      </c>
      <c r="CC4" s="874">
        <f t="array" ref="CC4">SUM(IF(ISTEXT(CC$23:CC$239),1,0)*IF(($L$23:$L$239)="D",1,0)*IF(ISBLANK($T$1),1,IF($I$23:$I$239=$T$1,1,0)))</f>
        <v>0</v>
      </c>
      <c r="CD4" s="874">
        <f t="array" ref="CD4">SUM(IF(ISTEXT(CD$23:CD$239),1,0)*IF(($L$23:$L$239)="D",1,0)*IF(ISBLANK($T$1),1,IF($I$23:$I$239=$T$1,1,0)))</f>
        <v>0</v>
      </c>
      <c r="CE4" s="874">
        <f t="array" ref="CE4">SUM(IF(ISTEXT(CE$23:CE$239),1,0)*IF(($L$23:$L$239)="D",1,0)*IF(ISBLANK($T$1),1,IF($I$23:$I$239=$T$1,1,0)))</f>
        <v>0</v>
      </c>
      <c r="CF4" s="874">
        <f t="array" ref="CF4">SUM(IF(ISTEXT(CF$23:CF$239),1,0)*IF(($L$23:$L$239)="D",1,0)*IF(ISBLANK($T$1),1,IF($I$23:$I$239=$T$1,1,0)))</f>
        <v>0</v>
      </c>
      <c r="CG4" s="874">
        <f t="array" ref="CG4">SUM(IF(ISTEXT(CG$23:CG$239),1,0)*IF(($L$23:$L$239)="D",1,0)*IF(ISBLANK($T$1),1,IF($I$23:$I$239=$T$1,1,0)))</f>
        <v>0</v>
      </c>
      <c r="CH4" s="874">
        <f t="array" ref="CH4">SUM(IF(ISTEXT(CH$23:CH$239),1,0)*IF(($L$23:$L$239)="D",1,0)*IF(ISBLANK($T$1),1,IF($I$23:$I$239=$T$1,1,0)))</f>
        <v>0</v>
      </c>
      <c r="CI4" s="874">
        <f t="array" ref="CI4">SUM(IF(ISTEXT(CI$23:CI$239),1,0)*IF(($L$23:$L$239)="D",1,0)*IF(ISBLANK($T$1),1,IF($I$23:$I$239=$T$1,1,0)))</f>
        <v>0</v>
      </c>
      <c r="CJ4" s="874">
        <f t="array" ref="CJ4">SUM(IF(ISTEXT(CJ$23:CJ$239),1,0)*IF(($L$23:$L$239)="D",1,0)*IF(ISBLANK($T$1),1,IF($I$23:$I$239=$T$1,1,0)))</f>
        <v>6</v>
      </c>
      <c r="CK4" s="874">
        <f t="array" ref="CK4">SUM(IF(ISTEXT(CK$23:CK$239),1,0)*IF(($L$23:$L$239)="D",1,0)*IF(ISBLANK($T$1),1,IF($I$23:$I$239=$T$1,1,0)))</f>
        <v>6</v>
      </c>
      <c r="CL4" s="874">
        <f t="array" ref="CL4">SUM(IF(ISTEXT(CL$23:CL$239),1,0)*IF(($L$23:$L$239)="D",1,0)*IF(ISBLANK($T$1),1,IF($I$23:$I$239=$T$1,1,0)))</f>
        <v>6</v>
      </c>
    </row>
    <row r="5" spans="1:90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SUM(IF(L$23:L$239="L",1,0)*IF(ISBLANK($T$1),1,IF($I$23:$I$239=$T$1,1,0)))</f>
        <v>12</v>
      </c>
      <c r="AG5" s="874">
        <f t="array" ref="AG5">SUM(IF(ISTEXT(AG$23:AG$239),1,0)*IF(($L$23:$L$239)="L",1,0)*IF(ISBLANK($T$1),1,IF($I$23:$I$239=$T$1,1,0)))</f>
        <v>12</v>
      </c>
      <c r="AH5" s="874">
        <f t="array" ref="AH5">SUM(IF(ISTEXT(AH$23:AH$239),1,0)*IF(($L$23:$L$239)="L",1,0)*IF(ISBLANK($T$1),1,IF($I$23:$I$239=$T$1,1,0)))</f>
        <v>12</v>
      </c>
      <c r="AI5" s="874">
        <f t="array" ref="AI5">SUM(IF(ISTEXT(AI$23:AI$239),1,0)*IF(($L$23:$L$239)="L",1,0)*IF(ISBLANK($T$1),1,IF($I$23:$I$239=$T$1,1,0)))</f>
        <v>11</v>
      </c>
      <c r="AL5" s="874">
        <f t="array" ref="AL5">SUM(IF(ISTEXT(AL$23:AL$239),1,0)*IF(($L$23:$L$239)="L",1,0)*IF(ISBLANK($T$1),1,IF($I$23:$I$239=$T$1,1,0)))</f>
        <v>12</v>
      </c>
      <c r="AM5" s="874">
        <f t="array" ref="AM5">SUM(IF(ISTEXT(AM$23:AM$239),1,0)*IF(($L$23:$L$239)="L",1,0)*IF(ISBLANK($T$1),1,IF($I$23:$I$239=$T$1,1,0)))</f>
        <v>12</v>
      </c>
      <c r="AO5" s="874">
        <f t="array" ref="AO5">SUM(IF(ISTEXT(AO$23:AO$239),1,0)*IF(($L$23:$L$239)="L",1,0)*IF(ISBLANK($T$1),1,IF($I$23:$I$239=$T$1,1,0)))</f>
        <v>12</v>
      </c>
      <c r="AP5" s="874">
        <f t="array" ref="AP5">SUM(IF(ISTEXT(AP$23:AP$239),1,0)*IF(($L$23:$L$239)="L",1,0)*IF(ISBLANK($T$1),1,IF($I$23:$I$239=$T$1,1,0)))</f>
        <v>11</v>
      </c>
      <c r="AR5" s="874">
        <f t="array" ref="AR5">SUM(IF(ISTEXT(AR$23:AR$239),1,0)*IF(($L$23:$L$239)="L",1,0)*IF(ISBLANK($T$1),1,IF($I$23:$I$239=$T$1,1,0)))</f>
        <v>12</v>
      </c>
      <c r="AS5" s="874">
        <f t="array" ref="AS5">SUM(IF(ISTEXT(AS$23:AS$239),1,0)*IF(($L$23:$L$239)="L",1,0)*IF(ISBLANK($T$1),1,IF($I$23:$I$239=$T$1,1,0)))</f>
        <v>12</v>
      </c>
      <c r="AT5" s="874" t="e">
        <f t="array" ref="AT5">SUM(IF(ISTEXT(AT$26:AT$239),1,0)*IF(($L$23:$L$239)="L",1,0)*IF(ISBLANK($T$1),1,IF($I$23:$I$239=$T$1,1,0)))</f>
        <v>#N/A</v>
      </c>
      <c r="AU5" s="874">
        <f t="array" ref="AU5">SUM(IF(ISTEXT(AU$23:AU$239),1,0)*IF(($L$23:$L$239)="L",1,0)*IF(ISBLANK($T$1),1,IF($I$23:$I$239=$T$1,1,0)))</f>
        <v>11</v>
      </c>
      <c r="AW5" s="874">
        <f t="array" ref="AW5">SUM(IF(ISTEXT(AW$23:AW$239),1,0)*IF(($L$23:$L$239)="L",1,0)*IF(ISBLANK($T$1),1,IF($I$23:$I$239=$T$1,1,0)))</f>
        <v>12</v>
      </c>
      <c r="BB5" s="874" t="e">
        <f t="array" ref="BB5">SUM(IF(ISTEXT(BB$27:BB$239),1,0)*IF(($L$23:$L$239)="L",1,0)*IF(ISBLANK($T$1),1,IF($I$23:$I$239=$T$1,1,0)))</f>
        <v>#N/A</v>
      </c>
      <c r="BC5" s="874" t="e">
        <f t="array" ref="BC5">SUM(IF(ISTEXT(BC$26:BC$239),1,0)*IF(($L$23:$L$239)="L",1,0)*IF(ISBLANK($T$1),1,IF($I$23:$I$239=$T$1,1,0)))</f>
        <v>#N/A</v>
      </c>
      <c r="BF5" s="874" t="e">
        <f t="array" ref="BF5">SUM(IF(ISTEXT(BF$41:BF$239),1,0)*IF(($L$23:$L$239)="L",1,0)*IF(ISBLANK($T$1),1,IF($I$23:$I$239=$T$1,1,0)))</f>
        <v>#N/A</v>
      </c>
      <c r="BG5" s="874" t="e">
        <f t="array" ref="BG5">SUM(IF(ISTEXT(BG$26:BG$239),1,0)*IF(($L$23:$L$239)="L",1,0)*IF(ISBLANK($T$1),1,IF($I$23:$I$239=$T$1,1,0)))</f>
        <v>#N/A</v>
      </c>
      <c r="BH5" s="874">
        <f t="array" ref="BH5">SUM(IF(ISTEXT(BH$23:BH$239),1,0)*IF(($L$23:$L$239)="L",1,0)*IF(ISBLANK($T$1),1,IF($I$23:$I$239=$T$1,1,0)))</f>
        <v>12</v>
      </c>
      <c r="BO5" s="874">
        <f t="array" ref="BO5">SUM(IF(ISTEXT(BO$23:BO$239),1,0)*IF(($L$23:$L$239)="L",1,0)*IF(ISBLANK($T$1),1,IF($I$23:$I$239=$T$1,1,0)))</f>
        <v>0</v>
      </c>
      <c r="BP5" s="874">
        <f t="array" ref="BP5">SUM(IF(ISTEXT(BP$23:BP$239),1,0)*IF(($L$23:$L$239)="L",1,0)*IF(ISBLANK($T$1),1,IF($I$23:$I$239=$T$1,1,0)))</f>
        <v>0</v>
      </c>
      <c r="BR5" s="874">
        <f t="array" ref="BR5">SUM(IF(ISTEXT(BR$23:BR$239),1,0)*IF(($L$23:$L$239)="L",1,0)*IF(ISBLANK($T$1),1,IF($I$23:$I$239=$T$1,1,0)))</f>
        <v>0</v>
      </c>
      <c r="BS5" s="874">
        <f t="array" ref="BS5">SUM(IF(ISTEXT(BS$23:BS$239),1,0)*IF(($L$23:$L$239)="L",1,0)*IF(ISBLANK($T$1),1,IF($I$23:$I$239=$T$1,1,0)))</f>
        <v>0</v>
      </c>
      <c r="BT5" s="874" t="e">
        <f t="array" ref="BT5">SUM(IF(ISTEXT(BT$40:BT$239),1,0)*IF(($L$23:$L$239)="L",1,0)*IF(ISBLANK($T$1),1,IF($I$23:$I$239=$T$1,1,0)))</f>
        <v>#N/A</v>
      </c>
      <c r="BY5" s="874">
        <f t="array" ref="BY5">SUM(IF(ISTEXT(BY$23:BY$239),1,0)*IF(($L$23:$L$239)="L",1,0)*IF(ISBLANK($T$1),1,IF($I$23:$I$239=$T$1,1,0)))</f>
        <v>0</v>
      </c>
      <c r="BZ5" s="874">
        <f t="array" ref="BZ5">SUM(IF(ISTEXT(BZ$23:BZ$239),1,0)*IF(($L$23:$L$239)="L",1,0)*IF(ISBLANK($T$1),1,IF($I$23:$I$239=$T$1,1,0)))</f>
        <v>0</v>
      </c>
      <c r="CA5" s="874">
        <f t="array" ref="CA5">SUM(IF(ISTEXT(CA$23:CA$239),1,0)*IF(($L$23:$L$239)="L",1,0)*IF(ISBLANK($T$1),1,IF($I$23:$I$239=$T$1,1,0)))</f>
        <v>0</v>
      </c>
      <c r="CB5" s="874">
        <f t="array" ref="CB5">SUM(IF(ISTEXT(CB$23:CB$239),1,0)*IF(($L$23:$L$239)="L",1,0)*IF(ISBLANK($T$1),1,IF($I$23:$I$239=$T$1,1,0)))</f>
        <v>0</v>
      </c>
      <c r="CC5" s="874">
        <f t="array" ref="CC5">SUM(IF(ISTEXT(CC$23:CC$239),1,0)*IF(($L$23:$L$239)="L",1,0)*IF(ISBLANK($T$1),1,IF($I$23:$I$239=$T$1,1,0)))</f>
        <v>0</v>
      </c>
      <c r="CD5" s="874">
        <f t="array" ref="CD5">SUM(IF(ISTEXT(CD$23:CD$239),1,0)*IF(($L$23:$L$239)="L",1,0)*IF(ISBLANK($T$1),1,IF($I$23:$I$239=$T$1,1,0)))</f>
        <v>0</v>
      </c>
      <c r="CE5" s="874">
        <f t="array" ref="CE5">SUM(IF(ISTEXT(CE$23:CE$239),1,0)*IF(($L$23:$L$239)="L",1,0)*IF(ISBLANK($T$1),1,IF($I$23:$I$239=$T$1,1,0)))</f>
        <v>0</v>
      </c>
      <c r="CF5" s="874">
        <f t="array" ref="CF5">SUM(IF(ISTEXT(CF$23:CF$239),1,0)*IF(($L$23:$L$239)="L",1,0)*IF(ISBLANK($T$1),1,IF($I$23:$I$239=$T$1,1,0)))</f>
        <v>0</v>
      </c>
      <c r="CG5" s="874">
        <f t="array" ref="CG5">SUM(IF(ISTEXT(CG$23:CG$239),1,0)*IF(($L$23:$L$239)="L",1,0)*IF(ISBLANK($T$1),1,IF($I$23:$I$239=$T$1,1,0)))</f>
        <v>0</v>
      </c>
      <c r="CH5" s="874">
        <f t="array" ref="CH5">SUM(IF(ISTEXT(CH$23:CH$239),1,0)*IF(($L$23:$L$239)="L",1,0)*IF(ISBLANK($T$1),1,IF($I$23:$I$239=$T$1,1,0)))</f>
        <v>0</v>
      </c>
      <c r="CI5" s="874">
        <f t="array" ref="CI5">SUM(IF(ISTEXT(CI$23:CI$239),1,0)*IF(($L$23:$L$239)="L",1,0)*IF(ISBLANK($T$1),1,IF($I$23:$I$239=$T$1,1,0)))</f>
        <v>0</v>
      </c>
      <c r="CJ5" s="874">
        <f t="array" ref="CJ5">SUM(IF(ISTEXT(CJ$23:CJ$239),1,0)*IF(($L$23:$L$239)="L",1,0)*IF(ISBLANK($T$1),1,IF($I$23:$I$239=$T$1,1,0)))</f>
        <v>3</v>
      </c>
      <c r="CK5" s="874">
        <f t="array" ref="CK5">SUM(IF(ISTEXT(CK$23:CK$239),1,0)*IF(($L$23:$L$239)="L",1,0)*IF(ISBLANK($T$1),1,IF($I$23:$I$239=$T$1,1,0)))</f>
        <v>3</v>
      </c>
      <c r="CL5" s="874">
        <f t="array" ref="CL5">SUM(IF(ISTEXT(CL$23:CL$239),1,0)*IF(($L$23:$L$239)="L",1,0)*IF(ISBLANK($T$1),1,IF($I$23:$I$239=$T$1,1,0)))</f>
        <v>3</v>
      </c>
    </row>
    <row r="6" spans="1:90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60</v>
      </c>
      <c r="AG6" s="874">
        <f t="shared" ref="AG6:CL6" si="2">AG$3*3+AG$4</f>
        <v>60</v>
      </c>
      <c r="AH6" s="874">
        <f t="shared" si="2"/>
        <v>60</v>
      </c>
      <c r="AI6" s="874">
        <f t="shared" si="2"/>
        <v>60</v>
      </c>
      <c r="AL6" s="874">
        <f t="shared" si="2"/>
        <v>60</v>
      </c>
      <c r="AM6" s="874">
        <f t="shared" si="2"/>
        <v>60</v>
      </c>
      <c r="AO6" s="874">
        <f>AO$3*3+AO$4</f>
        <v>60</v>
      </c>
      <c r="AP6" s="874">
        <f t="shared" si="2"/>
        <v>60</v>
      </c>
      <c r="AR6" s="874">
        <f>AR$3*3+AR$4</f>
        <v>60</v>
      </c>
      <c r="AS6" s="874">
        <f>AS$3*3+AS$4</f>
        <v>60</v>
      </c>
      <c r="AT6" s="874" t="e">
        <f t="shared" si="2"/>
        <v>#N/A</v>
      </c>
      <c r="AU6" s="874">
        <f t="shared" si="2"/>
        <v>60</v>
      </c>
      <c r="AW6" s="874">
        <f>AW$3*3+AW$4</f>
        <v>60</v>
      </c>
      <c r="BB6" s="874" t="e">
        <f>BB$3*3+BB$4</f>
        <v>#N/A</v>
      </c>
      <c r="BC6" s="874" t="e">
        <f>BC$3*3+BC$4</f>
        <v>#N/A</v>
      </c>
      <c r="BF6" s="874" t="e">
        <f>BF$3*3+BF$4</f>
        <v>#N/A</v>
      </c>
      <c r="BG6" s="874" t="e">
        <f>BG$3*3+BG$4</f>
        <v>#N/A</v>
      </c>
      <c r="BH6" s="874">
        <f>BH$3*3+BH$4</f>
        <v>60</v>
      </c>
      <c r="BO6" s="874">
        <f>BO$3*3+BO$4</f>
        <v>0</v>
      </c>
      <c r="BP6" s="874">
        <f>BP$3*3+BP$4</f>
        <v>0</v>
      </c>
      <c r="BR6" s="874">
        <f>BR$3*3+BR$4</f>
        <v>0</v>
      </c>
      <c r="BS6" s="874">
        <f>BS$3*3+BS$4</f>
        <v>0</v>
      </c>
      <c r="BT6" s="874" t="e">
        <f t="shared" si="2"/>
        <v>#N/A</v>
      </c>
      <c r="BY6" s="874">
        <f t="shared" ref="BY6:CE6" si="3">BY$3*3+BY$4</f>
        <v>0</v>
      </c>
      <c r="BZ6" s="874">
        <f t="shared" si="3"/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3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27</v>
      </c>
      <c r="CK6" s="874">
        <f t="shared" si="2"/>
        <v>27</v>
      </c>
      <c r="CL6" s="874">
        <f t="shared" si="2"/>
        <v>24</v>
      </c>
    </row>
    <row r="7" spans="1:90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L7" si="4">AF6/AF2</f>
        <v>1.3636363636363635</v>
      </c>
      <c r="AG7" s="874">
        <f t="shared" si="4"/>
        <v>1.3636363636363635</v>
      </c>
      <c r="AH7" s="874">
        <f t="shared" si="4"/>
        <v>1.3636363636363635</v>
      </c>
      <c r="AI7" s="874">
        <f t="shared" si="4"/>
        <v>1.3953488372093024</v>
      </c>
      <c r="AL7" s="874">
        <f t="shared" si="4"/>
        <v>1.3636363636363635</v>
      </c>
      <c r="AM7" s="874">
        <f t="shared" si="4"/>
        <v>1.3636363636363635</v>
      </c>
      <c r="AO7" s="874">
        <f>AO6/AO2</f>
        <v>1.3636363636363635</v>
      </c>
      <c r="AP7" s="874">
        <f t="shared" si="4"/>
        <v>1.3953488372093024</v>
      </c>
      <c r="AR7" s="874">
        <f>AR6/AR2</f>
        <v>1.3636363636363635</v>
      </c>
      <c r="AS7" s="874">
        <f>AS6/AS2</f>
        <v>1.3636363636363635</v>
      </c>
      <c r="AT7" s="874" t="e">
        <f t="shared" ref="AT7" si="5">AT6/AT2</f>
        <v>#N/A</v>
      </c>
      <c r="AU7" s="874">
        <f t="shared" si="4"/>
        <v>1.3953488372093024</v>
      </c>
      <c r="AW7" s="874">
        <f>AW6/AW2</f>
        <v>1.3636363636363635</v>
      </c>
      <c r="BB7" s="874" t="e">
        <f>BB6/BB2</f>
        <v>#N/A</v>
      </c>
      <c r="BC7" s="874" t="e">
        <f>BC6/BC2</f>
        <v>#N/A</v>
      </c>
      <c r="BF7" s="874" t="e">
        <f>BF6/BF2</f>
        <v>#N/A</v>
      </c>
      <c r="BG7" s="874" t="e">
        <f>BG6/BG2</f>
        <v>#N/A</v>
      </c>
      <c r="BH7" s="874">
        <f>BH6/BH2</f>
        <v>1.3636363636363635</v>
      </c>
      <c r="BO7" s="874" t="e">
        <f>BO6/BO2</f>
        <v>#DIV/0!</v>
      </c>
      <c r="BP7" s="874" t="e">
        <f>BP6/BP2</f>
        <v>#DIV/0!</v>
      </c>
      <c r="BR7" s="874" t="e">
        <f>BR6/BR2</f>
        <v>#DIV/0!</v>
      </c>
      <c r="BS7" s="874" t="e">
        <f>BS6/BS2</f>
        <v>#DIV/0!</v>
      </c>
      <c r="BT7" s="874" t="e">
        <f t="shared" si="4"/>
        <v>#N/A</v>
      </c>
      <c r="BY7" s="874" t="e">
        <f t="shared" ref="BY7:CE7" si="6">BY6/BY2</f>
        <v>#DIV/0!</v>
      </c>
      <c r="BZ7" s="874" t="e">
        <f t="shared" si="6"/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6"/>
        <v>#DIV/0!</v>
      </c>
      <c r="CF7" s="874" t="e">
        <f t="shared" si="4"/>
        <v>#DIV/0!</v>
      </c>
      <c r="CG7" s="874" t="e">
        <f t="shared" si="4"/>
        <v>#DIV/0!</v>
      </c>
      <c r="CH7" s="874" t="e">
        <f t="shared" si="4"/>
        <v>#DIV/0!</v>
      </c>
      <c r="CI7" s="874" t="e">
        <f t="shared" si="4"/>
        <v>#DIV/0!</v>
      </c>
      <c r="CJ7" s="874">
        <f t="shared" si="4"/>
        <v>1.6875</v>
      </c>
      <c r="CK7" s="874">
        <f t="shared" si="4"/>
        <v>1.6875</v>
      </c>
      <c r="CL7" s="874">
        <f t="shared" si="4"/>
        <v>1.6</v>
      </c>
    </row>
    <row r="8" spans="1:90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SUM(IF(($T$23:$T$239)="",0,$T$23:$T$239)*IF(ISBLANK($T$1),1,IF($I$23:$I$239=$T$1,1,0)))</f>
        <v>-4.8199999999999985</v>
      </c>
      <c r="AG8" s="874">
        <f t="array" ref="AG8">SUM(IF(ISTEXT(AG$23:AG$239),1,0)*IF(($T$23:$T$239)="",0,$T$23:$T$239)*IF(ISBLANK($T$1),1,IF($I$23:$I$239=$T$1,1,0)))</f>
        <v>-4.8199999999999985</v>
      </c>
      <c r="AH8" s="874">
        <f t="array" ref="AH8">SUM(IF(ISTEXT(AH$23:AH$239),1,0)*IF(($T$23:$T$239)="",0,$T$23:$T$239)*IF(ISBLANK($T$1),1,IF($I$23:$I$239=$T$1,1,0)))</f>
        <v>-4.8199999999999985</v>
      </c>
      <c r="AI8" s="874">
        <f t="array" ref="AI8">SUM(IF(ISTEXT(AI$23:AI$239),1,0)*IF(($T$23:$T$239)="",0,$T$23:$T$239)*IF(ISBLANK($T$1),1,IF($I$23:$I$239=$T$1,1,0)))</f>
        <v>-4.6699999999999982</v>
      </c>
      <c r="AL8" s="874">
        <f t="array" ref="AL8">SUM(IF(ISTEXT(AL$23:AL$239),1,0)*IF(($T$23:$T$239)="",0,$T$23:$T$239)*IF(ISBLANK($T$1),1,IF($I$23:$I$239=$T$1,1,0)))</f>
        <v>-4.8199999999999985</v>
      </c>
      <c r="AM8" s="874">
        <f t="array" ref="AM8">SUM(IF(ISTEXT(AM$23:AM$239),1,0)*IF(($T$23:$T$239)="",0,$T$23:$T$239)*IF(ISBLANK($T$1),1,IF($I$23:$I$239=$T$1,1,0)))</f>
        <v>-4.8199999999999985</v>
      </c>
      <c r="AO8" s="874">
        <f t="array" ref="AO8">SUM(IF(ISTEXT(AO$23:AO$239),1,0)*IF(($T$23:$T$239)="",0,$T$23:$T$239)*IF(ISBLANK($T$1),1,IF($I$23:$I$239=$T$1,1,0)))</f>
        <v>-4.8199999999999985</v>
      </c>
      <c r="AP8" s="874">
        <f t="array" ref="AP8">SUM(IF(ISTEXT(AP$23:AP$239),1,0)*IF(($T$23:$T$239)="",0,$T$23:$T$239)*IF(ISBLANK($T$1),1,IF($I$23:$I$239=$T$1,1,0)))</f>
        <v>-4.6699999999999982</v>
      </c>
      <c r="AR8" s="874">
        <f t="array" ref="AR8">SUM(IF(ISTEXT(AR$23:AR$239),1,0)*IF(($T$23:$T$239)="",0,$T$23:$T$239)*IF(ISBLANK($T$1),1,IF($I$23:$I$239=$T$1,1,0)))</f>
        <v>-4.8199999999999985</v>
      </c>
      <c r="AS8" s="874">
        <f t="array" ref="AS8">SUM(IF(ISTEXT(AS$23:AS$239),1,0)*IF(($T$23:$T$239)="",0,$T$23:$T$239)*IF(ISBLANK($T$1),1,IF($I$23:$I$239=$T$1,1,0)))</f>
        <v>-4.8199999999999985</v>
      </c>
      <c r="AT8" s="874" t="e">
        <f t="array" ref="AT8">SUM(IF(ISTEXT(AT$26:AT$239),1,0)*IF(($T$23:$T$239)="",0,$T$23:$T$239)*IF(ISBLANK($T$1),1,IF($I$23:$I$239=$T$1,1,0)))</f>
        <v>#N/A</v>
      </c>
      <c r="AU8" s="874">
        <f t="array" ref="AU8">SUM(IF(ISTEXT(AU$23:AU$239),1,0)*IF(($T$23:$T$239)="",0,$T$23:$T$239)*IF(ISBLANK($T$1),1,IF($I$23:$I$239=$T$1,1,0)))</f>
        <v>-4.6699999999999982</v>
      </c>
      <c r="AW8" s="874">
        <f t="array" ref="AW8">SUM(IF(ISTEXT(AW$23:AW$239),1,0)*IF(($T$23:$T$239)="",0,$T$23:$T$239)*IF(ISBLANK($T$1),1,IF($I$23:$I$239=$T$1,1,0)))</f>
        <v>-4.8199999999999985</v>
      </c>
      <c r="BB8" s="874" t="e">
        <f t="array" ref="BB8">SUM(IF(ISTEXT(BB$27:BB$239),1,0)*IF(($T$23:$T$239)="",0,$T$23:$T$239)*IF(ISBLANK($T$1),1,IF($I$23:$I$239=$T$1,1,0)))</f>
        <v>#N/A</v>
      </c>
      <c r="BC8" s="874" t="e">
        <f t="array" ref="BC8">SUM(IF(ISTEXT(BC$26:BC$239),1,0)*IF(($T$23:$T$239)="",0,$T$23:$T$239)*IF(ISBLANK($T$1),1,IF($I$23:$I$239=$T$1,1,0)))</f>
        <v>#N/A</v>
      </c>
      <c r="BF8" s="874" t="e">
        <f t="array" ref="BF8">SUM(IF(ISTEXT(BF$41:BF$239),1,0)*IF(($T$23:$T$239)="",0,$T$23:$T$239)*IF(ISBLANK($T$1),1,IF($I$23:$I$239=$T$1,1,0)))</f>
        <v>#N/A</v>
      </c>
      <c r="BG8" s="874" t="e">
        <f t="array" ref="BG8">SUM(IF(ISTEXT(BG$26:BG$239),1,0)*IF(($T$23:$T$239)="",0,$T$23:$T$239)*IF(ISBLANK($T$1),1,IF($I$23:$I$239=$T$1,1,0)))</f>
        <v>#N/A</v>
      </c>
      <c r="BH8" s="874">
        <f t="array" ref="BH8">SUM(IF(ISTEXT(BH$23:BH$239),1,0)*IF(($T$23:$T$239)="",0,$T$23:$T$239)*IF(ISBLANK($T$1),1,IF($I$23:$I$239=$T$1,1,0)))</f>
        <v>-4.8199999999999985</v>
      </c>
      <c r="BO8" s="874">
        <f t="array" ref="BO8">SUM(IF(ISTEXT(BO$23:BO$239),1,0)*IF(($T$23:$T$239)="",0,$T$23:$T$239)*IF(ISBLANK($T$1),1,IF($I$23:$I$239=$T$1,1,0)))</f>
        <v>0</v>
      </c>
      <c r="BP8" s="874">
        <f t="array" ref="BP8">SUM(IF(ISTEXT(BP$23:BP$239),1,0)*IF(($T$23:$T$239)="",0,$T$23:$T$239)*IF(ISBLANK($T$1),1,IF($I$23:$I$239=$T$1,1,0)))</f>
        <v>0</v>
      </c>
      <c r="BR8" s="874">
        <f t="array" ref="BR8">SUM(IF(ISTEXT(BR$23:BR$239),1,0)*IF(($T$23:$T$239)="",0,$T$23:$T$239)*IF(ISBLANK($T$1),1,IF($I$23:$I$239=$T$1,1,0)))</f>
        <v>0</v>
      </c>
      <c r="BS8" s="874">
        <f t="array" ref="BS8">SUM(IF(ISTEXT(BS$23:BS$239),1,0)*IF(($T$23:$T$239)="",0,$T$23:$T$239)*IF(ISBLANK($T$1),1,IF($I$23:$I$239=$T$1,1,0)))</f>
        <v>0</v>
      </c>
      <c r="BT8" s="874" t="e">
        <f t="array" ref="BT8">SUM(IF(ISTEXT(BT$40:BT$239),1,0)*IF(($T$23:$T$239)="",0,$T$23:$T$239)*IF(ISBLANK($T$1),1,IF($I$23:$I$239=$T$1,1,0)))</f>
        <v>#N/A</v>
      </c>
      <c r="BY8" s="874">
        <f t="array" ref="BY8">SUM(IF(ISTEXT(BY$23:BY$239),1,0)*IF(($T$23:$T$239)="",0,$T$23:$T$239)*IF(ISBLANK($T$1),1,IF($I$23:$I$239=$T$1,1,0)))</f>
        <v>0</v>
      </c>
      <c r="BZ8" s="874">
        <f t="array" ref="BZ8">SUM(IF(ISTEXT(BZ$23:BZ$239),1,0)*IF(($T$23:$T$239)="",0,$T$23:$T$239)*IF(ISBLANK($T$1),1,IF($I$23:$I$239=$T$1,1,0)))</f>
        <v>0</v>
      </c>
      <c r="CA8" s="874">
        <f t="array" ref="CA8">SUM(IF(ISTEXT(CA$23:CA$239),1,0)*IF(($T$23:$T$239)="",0,$T$23:$T$239)*IF(ISBLANK($T$1),1,IF($I$23:$I$239=$T$1,1,0)))</f>
        <v>0</v>
      </c>
      <c r="CB8" s="874">
        <f t="array" ref="CB8">SUM(IF(ISTEXT(CB$23:CB$239),1,0)*IF(($T$23:$T$239)="",0,$T$23:$T$239)*IF(ISBLANK($T$1),1,IF($I$23:$I$239=$T$1,1,0)))</f>
        <v>0</v>
      </c>
      <c r="CC8" s="874">
        <f t="array" ref="CC8">SUM(IF(ISTEXT(CC$23:CC$239),1,0)*IF(($T$23:$T$239)="",0,$T$23:$T$239)*IF(ISBLANK($T$1),1,IF($I$23:$I$239=$T$1,1,0)))</f>
        <v>0</v>
      </c>
      <c r="CD8" s="874">
        <f t="array" ref="CD8">SUM(IF(ISTEXT(CD$23:CD$239),1,0)*IF(($T$23:$T$239)="",0,$T$23:$T$239)*IF(ISBLANK($T$1),1,IF($I$23:$I$239=$T$1,1,0)))</f>
        <v>0</v>
      </c>
      <c r="CE8" s="874">
        <f t="array" ref="CE8">SUM(IF(ISTEXT(CE$23:CE$239),1,0)*IF(($T$23:$T$239)="",0,$T$23:$T$239)*IF(ISBLANK($T$1),1,IF($I$23:$I$239=$T$1,1,0)))</f>
        <v>0</v>
      </c>
      <c r="CF8" s="874">
        <f t="array" ref="CF8">SUM(IF(ISTEXT(CF$23:CF$239),1,0)*IF(($T$23:$T$239)="",0,$T$23:$T$239)*IF(ISBLANK($T$1),1,IF($I$23:$I$239=$T$1,1,0)))</f>
        <v>0</v>
      </c>
      <c r="CG8" s="874">
        <f t="array" ref="CG8">SUM(IF(ISTEXT(CG$23:CG$239),1,0)*IF(($T$23:$T$239)="",0,$T$23:$T$239)*IF(ISBLANK($T$1),1,IF($I$23:$I$239=$T$1,1,0)))</f>
        <v>0</v>
      </c>
      <c r="CH8" s="874">
        <f t="array" ref="CH8">SUM(IF(ISTEXT(CH$23:CH$239),1,0)*IF(($T$23:$T$239)="",0,$T$23:$T$239)*IF(ISBLANK($T$1),1,IF($I$23:$I$239=$T$1,1,0)))</f>
        <v>0</v>
      </c>
      <c r="CI8" s="874">
        <f t="array" ref="CI8">SUM(IF(ISTEXT(CI$23:CI$239),1,0)*IF(($T$23:$T$239)="",0,$T$23:$T$239)*IF(ISBLANK($T$1),1,IF($I$23:$I$239=$T$1,1,0)))</f>
        <v>0</v>
      </c>
      <c r="CJ8" s="874">
        <f t="array" ref="CJ8">SUM(IF(ISTEXT(CJ$23:CJ$239),1,0)*IF(($T$23:$T$239)="",0,$T$23:$T$239)*IF(ISBLANK($T$1),1,IF($I$23:$I$239=$T$1,1,0)))</f>
        <v>-3.45</v>
      </c>
      <c r="CK8" s="874">
        <f t="array" ref="CK8">SUM(IF(ISTEXT(CK$23:CK$239),1,0)*IF(($T$23:$T$239)="",0,$T$23:$T$239)*IF(ISBLANK($T$1),1,IF($I$23:$I$239=$T$1,1,0)))</f>
        <v>-3.45</v>
      </c>
      <c r="CL8" s="874">
        <f t="array" ref="CL8">SUM(IF(ISTEXT(CL$23:CL$239),1,0)*IF(($T$23:$T$239)="",0,$T$23:$T$239)*IF(ISBLANK($T$1),1,IF($I$23:$I$239=$T$1,1,0)))</f>
        <v>-1.9200000000000004</v>
      </c>
    </row>
    <row r="9" spans="1:90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L9" si="7">AF8/AF2</f>
        <v>-0.10954545454545452</v>
      </c>
      <c r="AG9" s="874">
        <f t="shared" si="7"/>
        <v>-0.10954545454545452</v>
      </c>
      <c r="AH9" s="874">
        <f t="shared" si="7"/>
        <v>-0.10954545454545452</v>
      </c>
      <c r="AI9" s="874">
        <f t="shared" si="7"/>
        <v>-0.10860465116279065</v>
      </c>
      <c r="AL9" s="874">
        <f t="shared" si="7"/>
        <v>-0.10954545454545452</v>
      </c>
      <c r="AM9" s="874">
        <f t="shared" si="7"/>
        <v>-0.10954545454545452</v>
      </c>
      <c r="AO9" s="874">
        <f>AO8/AO2</f>
        <v>-0.10954545454545452</v>
      </c>
      <c r="AP9" s="874">
        <f t="shared" si="7"/>
        <v>-0.10860465116279065</v>
      </c>
      <c r="AR9" s="874">
        <f>AR8/AR2</f>
        <v>-0.10954545454545452</v>
      </c>
      <c r="AS9" s="874">
        <f>AS8/AS2</f>
        <v>-0.10954545454545452</v>
      </c>
      <c r="AT9" s="874" t="e">
        <f t="shared" ref="AT9" si="8">AT8/AT2</f>
        <v>#N/A</v>
      </c>
      <c r="AU9" s="874">
        <f t="shared" si="7"/>
        <v>-0.10860465116279065</v>
      </c>
      <c r="AW9" s="874">
        <f>AW8/AW2</f>
        <v>-0.10954545454545452</v>
      </c>
      <c r="BB9" s="874" t="e">
        <f>BB8/BB2</f>
        <v>#N/A</v>
      </c>
      <c r="BC9" s="874" t="e">
        <f>BC8/BC2</f>
        <v>#N/A</v>
      </c>
      <c r="BF9" s="874" t="e">
        <f>BF8/BF2</f>
        <v>#N/A</v>
      </c>
      <c r="BG9" s="874" t="e">
        <f>BG8/BG2</f>
        <v>#N/A</v>
      </c>
      <c r="BH9" s="874">
        <f>BH8/BH2</f>
        <v>-0.10954545454545452</v>
      </c>
      <c r="BO9" s="874" t="e">
        <f>BO8/BO2</f>
        <v>#DIV/0!</v>
      </c>
      <c r="BP9" s="874" t="e">
        <f>BP8/BP2</f>
        <v>#DIV/0!</v>
      </c>
      <c r="BR9" s="874" t="e">
        <f>BR8/BR2</f>
        <v>#DIV/0!</v>
      </c>
      <c r="BS9" s="874" t="e">
        <f>BS8/BS2</f>
        <v>#DIV/0!</v>
      </c>
      <c r="BT9" s="874" t="e">
        <f t="shared" si="7"/>
        <v>#N/A</v>
      </c>
      <c r="BY9" s="874" t="e">
        <f t="shared" ref="BY9:CE9" si="9">BY8/BY2</f>
        <v>#DIV/0!</v>
      </c>
      <c r="BZ9" s="874" t="e">
        <f t="shared" si="9"/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9"/>
        <v>#DIV/0!</v>
      </c>
      <c r="CF9" s="874" t="e">
        <f t="shared" si="7"/>
        <v>#DIV/0!</v>
      </c>
      <c r="CG9" s="874" t="e">
        <f t="shared" si="7"/>
        <v>#DIV/0!</v>
      </c>
      <c r="CH9" s="874" t="e">
        <f t="shared" si="7"/>
        <v>#DIV/0!</v>
      </c>
      <c r="CI9" s="874" t="e">
        <f t="shared" si="7"/>
        <v>#DIV/0!</v>
      </c>
      <c r="CJ9" s="874">
        <f t="shared" si="7"/>
        <v>-0.21562500000000001</v>
      </c>
      <c r="CK9" s="874">
        <f t="shared" si="7"/>
        <v>-0.21562500000000001</v>
      </c>
      <c r="CL9" s="874">
        <f t="shared" si="7"/>
        <v>-0.12800000000000003</v>
      </c>
    </row>
    <row r="10" spans="1:90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SUM(IF(ISBLANK($T$1),$J$23:$J$239,IF($I$23:$I$239=$T$1,$J$23:$J$239,0)))</f>
        <v>45</v>
      </c>
      <c r="AG10" s="874">
        <f t="array" ref="AG10">SUM(IF(ISBLANK(AG$23:AG$239),0,IF(ISNUMBER(VALUE(RIGHT(AG$23:AG$239,1))),RIGHT(AG$23:AG$239,1),0)*IF(ISBLANK($T$1),1,IF($I$23:$I$239=$T$1,1,0))))</f>
        <v>0</v>
      </c>
      <c r="AH10" s="874">
        <f t="array" ref="AH10">SUM(IF(ISBLANK(AH$23:AH$239),0,IF(ISNUMBER(VALUE(RIGHT(AH$23:AH$239,1))),RIGHT(AH$23:AH$239,1),0)*IF(ISBLANK($T$1),1,IF($I$23:$I$239=$T$1,1,0))))</f>
        <v>0</v>
      </c>
      <c r="AI10" s="874">
        <f t="array" ref="AI10">SUM(IF(ISBLANK(AI$23:AI$239),0,IF(ISNUMBER(VALUE(RIGHT(AI$23:AI$239,1))),RIGHT(AI$23:AI$239,1),0)*IF(ISBLANK($T$1),1,IF($I$23:$I$239=$T$1,1,0))))</f>
        <v>0</v>
      </c>
      <c r="AL10" s="874">
        <f t="array" ref="AL10">SUM(IF(ISBLANK(AL$23:AL$239),0,IF(ISNUMBER(VALUE(RIGHT(AL$23:AL$239,1))),RIGHT(AL$23:AL$239,1),0)*IF(ISBLANK($T$1),1,IF($I$23:$I$239=$T$1,1,0))))</f>
        <v>2</v>
      </c>
      <c r="AM10" s="874">
        <f t="array" ref="AM10">SUM(IF(ISBLANK(AM$23:AM$239),0,IF(ISNUMBER(VALUE(RIGHT(AM$23:AM$239,1))),RIGHT(AM$23:AM$239,1),0)*IF(ISBLANK($T$1),1,IF($I$23:$I$239=$T$1,1,0))))</f>
        <v>0</v>
      </c>
      <c r="AO10" s="874">
        <f t="array" ref="AO10">SUM(IF(ISBLANK(AO$23:AO$239),0,IF(ISNUMBER(VALUE(RIGHT(AO$23:AO$239,1))),RIGHT(AO$23:AO$239,1),0)*IF(ISBLANK($T$1),1,IF($I$23:$I$239=$T$1,1,0))))</f>
        <v>1</v>
      </c>
      <c r="AP10" s="874">
        <f t="array" ref="AP10">SUM(IF(ISBLANK(AP$23:AP$239),0,IF(ISNUMBER(VALUE(RIGHT(AP$23:AP$239,1))),RIGHT(AP$23:AP$239,1),0)*IF(ISBLANK($T$1),1,IF($I$23:$I$239=$T$1,1,0))))</f>
        <v>0</v>
      </c>
      <c r="AR10" s="874">
        <f t="array" ref="AR10">SUM(IF(ISBLANK(AR$23:AR$239),0,IF(ISNUMBER(VALUE(RIGHT(AR$23:AR$239,1))),RIGHT(AR$23:AR$239,1),0)*IF(ISBLANK($T$1),1,IF($I$23:$I$239=$T$1,1,0))))</f>
        <v>1</v>
      </c>
      <c r="AS10" s="874">
        <f t="array" ref="AS10">SUM(IF(ISBLANK(AS$23:AS$239),0,IF(ISNUMBER(VALUE(RIGHT(AS$23:AS$239,1))),RIGHT(AS$23:AS$239,1),0)*IF(ISBLANK($T$1),1,IF($I$23:$I$239=$T$1,1,0))))</f>
        <v>0</v>
      </c>
      <c r="AT10" s="874">
        <f t="array" ref="AT10">SUM(IF(ISBLANK(AT$26:AT$239),0,IF(ISNUMBER(VALUE(RIGHT(AT$26:AT$239,1))),RIGHT(AT$26:AT$239,1),0)*IF(ISBLANK($T$1),1,IF($I$23:$I$239=$T$1,1,0))))</f>
        <v>1</v>
      </c>
      <c r="AU10" s="874">
        <f t="array" ref="AU10">SUM(IF(ISBLANK(AU$23:AU$239),0,IF(ISNUMBER(VALUE(RIGHT(AU$23:AU$239,1))),RIGHT(AU$23:AU$239,1),0)*IF(ISBLANK($T$1),1,IF($I$23:$I$239=$T$1,1,0))))</f>
        <v>0</v>
      </c>
      <c r="AW10" s="874">
        <f t="array" ref="AW10">SUM(IF(ISBLANK(AW$23:AW$239),0,IF(ISNUMBER(VALUE(RIGHT(AW$23:AW$239,1))),RIGHT(AW$23:AW$239,1),0)*IF(ISBLANK($T$1),1,IF($I$23:$I$239=$T$1,1,0))))</f>
        <v>0</v>
      </c>
      <c r="BB10" s="874">
        <f t="array" ref="BB10">SUM(IF(ISBLANK(BB$27:BB$239),0,IF(ISNUMBER(VALUE(RIGHT(BB$27:BB$239,1))),RIGHT(BB$27:BB$239,1),0)*IF(ISBLANK($T$1),1,IF($I$23:$I$239=$T$1,1,0))))</f>
        <v>0</v>
      </c>
      <c r="BC10" s="874">
        <f t="array" ref="BC10">SUM(IF(ISBLANK(BC$26:BC$239),0,IF(ISNUMBER(VALUE(RIGHT(BC$26:BC$239,1))),RIGHT(BC$26:BC$239,1),0)*IF(ISBLANK($T$1),1,IF($I$23:$I$239=$T$1,1,0))))</f>
        <v>4</v>
      </c>
      <c r="BF10" s="874">
        <f t="array" ref="BF10">SUM(IF(ISBLANK(BF$41:BF$239),0,IF(ISNUMBER(VALUE(RIGHT(BF$41:BF$239,1))),RIGHT(BF$41:BF$239,1),0)*IF(ISBLANK($T$1),1,IF($I$23:$I$239=$T$1,1,0))))</f>
        <v>0</v>
      </c>
      <c r="BG10" s="874">
        <f t="array" ref="BG10">SUM(IF(ISBLANK(BG$26:BG$239),0,IF(ISNUMBER(VALUE(RIGHT(BG$26:BG$239,1))),RIGHT(BG$26:BG$239,1),0)*IF(ISBLANK($T$1),1,IF($I$23:$I$239=$T$1,1,0))))</f>
        <v>2</v>
      </c>
      <c r="BH10" s="874">
        <f t="array" ref="BH10">SUM(IF(ISBLANK(BH$23:BH$239),0,IF(ISNUMBER(VALUE(RIGHT(BH$23:BH$239,1))),RIGHT(BH$23:BH$239,1),0)*IF(ISBLANK($T$1),1,IF($I$23:$I$239=$T$1,1,0))))</f>
        <v>9</v>
      </c>
      <c r="BO10" s="874">
        <f t="array" ref="BO10">SUM(IF(ISBLANK(BO$23:BO$239),0,IF(ISNUMBER(VALUE(RIGHT(BO$23:BO$239,1))),RIGHT(BO$23:BO$239,1),0)*IF(ISBLANK($T$1),1,IF($I$23:$I$239=$T$1,1,0))))</f>
        <v>0</v>
      </c>
      <c r="BP10" s="874">
        <f t="array" ref="BP10">SUM(IF(ISBLANK(BP$23:BP$239),0,IF(ISNUMBER(VALUE(RIGHT(BP$23:BP$239,1))),RIGHT(BP$23:BP$239,1),0)*IF(ISBLANK($T$1),1,IF($I$23:$I$239=$T$1,1,0))))</f>
        <v>0</v>
      </c>
      <c r="BR10" s="874">
        <f t="array" ref="BR10">SUM(IF(ISBLANK(BR$23:BR$239),0,IF(ISNUMBER(VALUE(RIGHT(BR$23:BR$239,1))),RIGHT(BR$23:BR$239,1),0)*IF(ISBLANK($T$1),1,IF($I$23:$I$239=$T$1,1,0))))</f>
        <v>0</v>
      </c>
      <c r="BS10" s="874">
        <f t="array" ref="BS10">SUM(IF(ISBLANK(BS$23:BS$239),0,IF(ISNUMBER(VALUE(RIGHT(BS$23:BS$239,1))),RIGHT(BS$23:BS$239,1),0)*IF(ISBLANK($T$1),1,IF($I$23:$I$239=$T$1,1,0))))</f>
        <v>0</v>
      </c>
      <c r="BT10" s="874">
        <f t="array" ref="BT10">SUM(IF(ISBLANK(BT$40:BT$239),0,IF(ISNUMBER(VALUE(RIGHT(BT$40:BT$239,1))),RIGHT(BT$40:BT$239,1),0)*IF(ISBLANK($T$1),1,IF($I$23:$I$239=$T$1,1,0))))</f>
        <v>0</v>
      </c>
      <c r="BY10" s="874">
        <f t="array" ref="BY10">SUM(IF(ISBLANK(BY$23:BY$239),0,IF(ISNUMBER(VALUE(RIGHT(BY$23:BY$239,1))),RIGHT(BY$23:BY$239,1),0)*IF(ISBLANK($T$1),1,IF($I$23:$I$239=$T$1,1,0))))</f>
        <v>0</v>
      </c>
      <c r="BZ10" s="874">
        <f t="array" ref="BZ10">SUM(IF(ISBLANK(BZ$23:BZ$239),0,IF(ISNUMBER(VALUE(RIGHT(BZ$23:BZ$239,1))),RIGHT(BZ$23:BZ$239,1),0)*IF(ISBLANK($T$1),1,IF($I$23:$I$239=$T$1,1,0))))</f>
        <v>0</v>
      </c>
      <c r="CA10" s="874">
        <f t="array" ref="CA10">SUM(IF(ISBLANK(CA$23:CA$239),0,IF(ISNUMBER(VALUE(RIGHT(CA$23:CA$239,1))),RIGHT(CA$23:CA$239,1),0)*IF(ISBLANK($T$1),1,IF($I$23:$I$239=$T$1,1,0))))</f>
        <v>0</v>
      </c>
      <c r="CB10" s="874">
        <f t="array" ref="CB10">SUM(IF(ISBLANK(CB$23:CB$239),0,IF(ISNUMBER(VALUE(RIGHT(CB$23:CB$239,1))),RIGHT(CB$23:CB$239,1),0)*IF(ISBLANK($T$1),1,IF($I$23:$I$239=$T$1,1,0))))</f>
        <v>0</v>
      </c>
      <c r="CC10" s="874">
        <f t="array" ref="CC10">SUM(IF(ISBLANK(CC$23:CC$239),0,IF(ISNUMBER(VALUE(RIGHT(CC$23:CC$239,1))),RIGHT(CC$23:CC$239,1),0)*IF(ISBLANK($T$1),1,IF($I$23:$I$239=$T$1,1,0))))</f>
        <v>0</v>
      </c>
      <c r="CD10" s="874">
        <f t="array" ref="CD10">SUM(IF(ISBLANK(CD$23:CD$239),0,IF(ISNUMBER(VALUE(RIGHT(CD$23:CD$239,1))),RIGHT(CD$23:CD$239,1),0)*IF(ISBLANK($T$1),1,IF($I$23:$I$239=$T$1,1,0))))</f>
        <v>0</v>
      </c>
      <c r="CE10" s="874">
        <f t="array" ref="CE10">SUM(IF(ISBLANK(CE$23:CE$239),0,IF(ISNUMBER(VALUE(RIGHT(CE$23:CE$239,1))),RIGHT(CE$23:CE$239,1),0)*IF(ISBLANK($T$1),1,IF($I$23:$I$239=$T$1,1,0))))</f>
        <v>0</v>
      </c>
      <c r="CF10" s="874">
        <f t="array" ref="CF10">SUM(IF(ISBLANK(CF$23:CF$239),0,IF(ISNUMBER(VALUE(RIGHT(CF$23:CF$239,1))),RIGHT(CF$23:CF$239,1),0)*IF(ISBLANK($T$1),1,IF($I$23:$I$239=$T$1,1,0))))</f>
        <v>0</v>
      </c>
      <c r="CG10" s="874">
        <f t="array" ref="CG10">SUM(IF(ISBLANK(CG$23:CG$239),0,IF(ISNUMBER(VALUE(RIGHT(CG$23:CG$239,1))),RIGHT(CG$23:CG$239,1),0)*IF(ISBLANK($T$1),1,IF($I$23:$I$239=$T$1,1,0))))</f>
        <v>0</v>
      </c>
      <c r="CH10" s="874">
        <f t="array" ref="CH10">SUM(IF(ISBLANK(CH$23:CH$239),0,IF(ISNUMBER(VALUE(RIGHT(CH$23:CH$239,1))),RIGHT(CH$23:CH$239,1),0)*IF(ISBLANK($T$1),1,IF($I$23:$I$239=$T$1,1,0))))</f>
        <v>0</v>
      </c>
      <c r="CI10" s="874">
        <f t="array" ref="CI10">SUM(IF(ISBLANK(CI$23:CI$239),0,IF(ISNUMBER(VALUE(RIGHT(CI$23:CI$239,1))),RIGHT(CI$23:CI$239,1),0)*IF(ISBLANK($T$1),1,IF($I$23:$I$239=$T$1,1,0))))</f>
        <v>0</v>
      </c>
      <c r="CJ10" s="874">
        <f t="array" ref="CJ10">SUM(IF(ISBLANK(CJ$23:CJ$239),0,IF(ISNUMBER(VALUE(RIGHT(CJ$23:CJ$239,1))),RIGHT(CJ$23:CJ$239,1),0)*IF(ISBLANK($T$1),1,IF($I$23:$I$239=$T$1,1,0))))</f>
        <v>0</v>
      </c>
      <c r="CK10" s="874">
        <f t="array" ref="CK10">SUM(IF(ISBLANK(CK$23:CK$239),0,IF(ISNUMBER(VALUE(RIGHT(CK$23:CK$239,1))),RIGHT(CK$23:CK$239,1),0)*IF(ISBLANK($T$1),1,IF($I$23:$I$239=$T$1,1,0))))</f>
        <v>0</v>
      </c>
      <c r="CL10" s="874">
        <f t="array" ref="CL10">SUM(IF(ISBLANK(CL$23:CL$239),0,IF(ISNUMBER(VALUE(RIGHT(CL$23:CL$239,1))),RIGHT(CL$23:CL$239,1),0)*IF(ISBLANK($T$1),1,IF($I$23:$I$239=$T$1,1,0))))</f>
        <v>0</v>
      </c>
    </row>
    <row r="11" spans="1:90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L11" si="10">AF10/AF2</f>
        <v>1.0227272727272727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L11" s="874">
        <f t="shared" si="10"/>
        <v>4.5454545454545456E-2</v>
      </c>
      <c r="AM11" s="874">
        <f t="shared" si="10"/>
        <v>0</v>
      </c>
      <c r="AO11" s="874">
        <f>AO10/AO2</f>
        <v>2.2727272727272728E-2</v>
      </c>
      <c r="AP11" s="874">
        <f t="shared" si="10"/>
        <v>0</v>
      </c>
      <c r="AR11" s="874">
        <f>AR10/AR2</f>
        <v>2.2727272727272728E-2</v>
      </c>
      <c r="AS11" s="874">
        <f>AS10/AS2</f>
        <v>0</v>
      </c>
      <c r="AT11" s="874">
        <f t="shared" ref="AT11" si="11">AT10/AT2</f>
        <v>2.4390243902439025E-2</v>
      </c>
      <c r="AU11" s="874">
        <f t="shared" si="10"/>
        <v>0</v>
      </c>
      <c r="AW11" s="874">
        <f>AW10/AW2</f>
        <v>0</v>
      </c>
      <c r="BB11" s="874">
        <f>BB10/BB2</f>
        <v>0</v>
      </c>
      <c r="BC11" s="874">
        <f>BC10/BC2</f>
        <v>0.1</v>
      </c>
      <c r="BF11" s="874">
        <f>BF10/BF2</f>
        <v>0</v>
      </c>
      <c r="BG11" s="874">
        <f>BG10/BG2</f>
        <v>4.878048780487805E-2</v>
      </c>
      <c r="BH11" s="874">
        <f>BH10/BH2</f>
        <v>0.20454545454545456</v>
      </c>
      <c r="BO11" s="874" t="e">
        <f>BO10/BO2</f>
        <v>#DIV/0!</v>
      </c>
      <c r="BP11" s="874" t="e">
        <f>BP10/BP2</f>
        <v>#DIV/0!</v>
      </c>
      <c r="BR11" s="874" t="e">
        <f>BR10/BR2</f>
        <v>#DIV/0!</v>
      </c>
      <c r="BS11" s="874" t="e">
        <f>BS10/BS2</f>
        <v>#DIV/0!</v>
      </c>
      <c r="BT11" s="874" t="e">
        <f t="shared" si="10"/>
        <v>#DIV/0!</v>
      </c>
      <c r="BY11" s="874" t="e">
        <f t="shared" ref="BY11:CE11" si="12">BY10/BY2</f>
        <v>#DIV/0!</v>
      </c>
      <c r="BZ11" s="874" t="e">
        <f t="shared" si="12"/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2"/>
        <v>#DIV/0!</v>
      </c>
      <c r="CF11" s="874" t="e">
        <f t="shared" si="10"/>
        <v>#DIV/0!</v>
      </c>
      <c r="CG11" s="874" t="e">
        <f t="shared" si="10"/>
        <v>#DIV/0!</v>
      </c>
      <c r="CH11" s="874" t="e">
        <f t="shared" si="10"/>
        <v>#DIV/0!</v>
      </c>
      <c r="CI11" s="874" t="e">
        <f t="shared" si="10"/>
        <v>#DIV/0!</v>
      </c>
      <c r="CJ11" s="874">
        <f t="shared" si="10"/>
        <v>0</v>
      </c>
      <c r="CK11" s="874">
        <f t="shared" si="10"/>
        <v>0</v>
      </c>
      <c r="CL11" s="874">
        <f t="shared" si="10"/>
        <v>0</v>
      </c>
    </row>
    <row r="12" spans="1:90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SUM(IF(ISBLANK($T$1),$K$23:$K$239,IF($I$23:$I$239=$T$1,$K$23:$K$239,0)))</f>
        <v>52</v>
      </c>
      <c r="AG12" s="874">
        <f t="array" ref="AG12">SUM(IF(ISBLANK(AG$23:AG$239),0,$K23:$K239)*IF(ISBLANK($T$1),1,IF($I$23:$I$239=$T$1,1,0)))</f>
        <v>52</v>
      </c>
      <c r="AH12" s="874">
        <f t="array" ref="AH12">SUM(IF(ISBLANK(AH$23:AH$239),0,$K23:$K239)*IF(ISBLANK($T$1),1,IF($I$23:$I$239=$T$1,1,0)))</f>
        <v>52</v>
      </c>
      <c r="AI12" s="874">
        <f t="array" ref="AI12">SUM(IF(ISBLANK(AI$23:AI$239),0,$K23:$K239)*IF(ISBLANK($T$1),1,IF($I$23:$I$239=$T$1,1,0)))</f>
        <v>50</v>
      </c>
      <c r="AL12" s="874">
        <f t="array" ref="AL12">SUM(IF(ISBLANK(AL$23:AL$239),0,$K23:$K239)*IF(ISBLANK($T$1),1,IF($I$23:$I$239=$T$1,1,0)))</f>
        <v>52</v>
      </c>
      <c r="AM12" s="874">
        <f t="array" ref="AM12">SUM(IF(ISBLANK(AM$23:AM$239),0,$K23:$K239)*IF(ISBLANK($T$1),1,IF($I$23:$I$239=$T$1,1,0)))</f>
        <v>52</v>
      </c>
      <c r="AO12" s="874">
        <f t="array" ref="AO12">SUM(IF(ISBLANK(AO$23:AO$239),0,$K23:$K239)*IF(ISBLANK($T$1),1,IF($I$23:$I$239=$T$1,1,0)))</f>
        <v>52</v>
      </c>
      <c r="AP12" s="874">
        <f t="array" ref="AP12">SUM(IF(ISBLANK(AP$23:AP$239),0,$K23:$K239)*IF(ISBLANK($T$1),1,IF($I$23:$I$239=$T$1,1,0)))</f>
        <v>50</v>
      </c>
      <c r="AR12" s="874">
        <f t="array" ref="AR12">SUM(IF(ISBLANK(AR$23:AR$239),0,$K23:$K239)*IF(ISBLANK($T$1),1,IF($I$23:$I$239=$T$1,1,0)))</f>
        <v>52</v>
      </c>
      <c r="AS12" s="874">
        <f t="array" ref="AS12">SUM(IF(ISBLANK(AS$23:AS$239),0,$K23:$K239)*IF(ISBLANK($T$1),1,IF($I$23:$I$239=$T$1,1,0)))</f>
        <v>52</v>
      </c>
      <c r="AT12" s="874" t="e">
        <f t="array" ref="AT12">SUM(IF(ISBLANK(AT$26:AT$239),0,$K23:$K239)*IF(ISBLANK($T$1),1,IF($I$23:$I$239=$T$1,1,0)))</f>
        <v>#N/A</v>
      </c>
      <c r="AU12" s="874">
        <f t="array" ref="AU12">SUM(IF(ISBLANK(AU$23:AU$239),0,$K23:$K239)*IF(ISBLANK($T$1),1,IF($I$23:$I$239=$T$1,1,0)))</f>
        <v>50</v>
      </c>
      <c r="AW12" s="874">
        <f t="array" ref="AW12">SUM(IF(ISBLANK(AW$23:AW$239),0,$K23:$K239)*IF(ISBLANK($T$1),1,IF($I$23:$I$239=$T$1,1,0)))</f>
        <v>52</v>
      </c>
      <c r="BB12" s="874" t="e">
        <f t="array" ref="BB12">SUM(IF(ISBLANK(BB$27:BB$239),0,$K23:$K239)*IF(ISBLANK($T$1),1,IF($I$23:$I$239=$T$1,1,0)))</f>
        <v>#N/A</v>
      </c>
      <c r="BC12" s="874" t="e">
        <f t="array" ref="BC12">SUM(IF(ISBLANK(BC$26:BC$239),0,$K23:$K239)*IF(ISBLANK($T$1),1,IF($I$23:$I$239=$T$1,1,0)))</f>
        <v>#N/A</v>
      </c>
      <c r="BF12" s="874" t="e">
        <f t="array" ref="BF12">SUM(IF(ISBLANK(BF$41:BF$239),0,$K23:$K239)*IF(ISBLANK($T$1),1,IF($I$23:$I$239=$T$1,1,0)))</f>
        <v>#N/A</v>
      </c>
      <c r="BG12" s="874" t="e">
        <f t="array" ref="BG12">SUM(IF(ISBLANK(BG$26:BG$239),0,$K23:$K239)*IF(ISBLANK($T$1),1,IF($I$23:$I$239=$T$1,1,0)))</f>
        <v>#N/A</v>
      </c>
      <c r="BH12" s="874">
        <f t="array" ref="BH12">SUM(IF(ISBLANK(BH$23:BH$239),0,$K23:$K239)*IF(ISBLANK($T$1),1,IF($I$23:$I$239=$T$1,1,0)))</f>
        <v>52</v>
      </c>
      <c r="BO12" s="874">
        <f t="array" ref="BO12">SUM(IF(ISBLANK(BO$23:BO$239),0,$K23:$K239)*IF(ISBLANK($T$1),1,IF($I$23:$I$239=$T$1,1,0)))</f>
        <v>0</v>
      </c>
      <c r="BP12" s="874">
        <f t="array" ref="BP12">SUM(IF(ISBLANK(BP$23:BP$239),0,$K23:$K239)*IF(ISBLANK($T$1),1,IF($I$23:$I$239=$T$1,1,0)))</f>
        <v>0</v>
      </c>
      <c r="BR12" s="874">
        <f t="array" ref="BR12">SUM(IF(ISBLANK(BR$23:BR$239),0,$K23:$K239)*IF(ISBLANK($T$1),1,IF($I$23:$I$239=$T$1,1,0)))</f>
        <v>0</v>
      </c>
      <c r="BS12" s="874">
        <f t="array" ref="BS12">SUM(IF(ISBLANK(BS$23:BS$239),0,$K23:$K239)*IF(ISBLANK($T$1),1,IF($I$23:$I$239=$T$1,1,0)))</f>
        <v>0</v>
      </c>
      <c r="BT12" s="874" t="e">
        <f t="array" ref="BT12">SUM(IF(ISBLANK(BT$40:BT$239),0,$K23:$K239)*IF(ISBLANK($T$1),1,IF($I$23:$I$239=$T$1,1,0)))</f>
        <v>#N/A</v>
      </c>
      <c r="BY12" s="874">
        <f t="array" ref="BY12">SUM(IF(ISBLANK(BY$23:BY$239),0,$K23:$K239)*IF(ISBLANK($T$1),1,IF($I$23:$I$239=$T$1,1,0)))</f>
        <v>0</v>
      </c>
      <c r="BZ12" s="874">
        <f t="array" ref="BZ12">SUM(IF(ISBLANK(BZ$23:BZ$239),0,$K23:$K239)*IF(ISBLANK($T$1),1,IF($I$23:$I$239=$T$1,1,0)))</f>
        <v>0</v>
      </c>
      <c r="CA12" s="874">
        <f t="array" ref="CA12">SUM(IF(ISBLANK(CA$23:CA$239),0,$K23:$K239)*IF(ISBLANK($T$1),1,IF($I$23:$I$239=$T$1,1,0)))</f>
        <v>0</v>
      </c>
      <c r="CB12" s="874">
        <f t="array" ref="CB12">SUM(IF(ISBLANK(CB$23:CB$239),0,$K23:$K239)*IF(ISBLANK($T$1),1,IF($I$23:$I$239=$T$1,1,0)))</f>
        <v>0</v>
      </c>
      <c r="CC12" s="874">
        <f t="array" ref="CC12">SUM(IF(ISBLANK(CC$23:CC$239),0,$K23:$K239)*IF(ISBLANK($T$1),1,IF($I$23:$I$239=$T$1,1,0)))</f>
        <v>0</v>
      </c>
      <c r="CD12" s="874">
        <f t="array" ref="CD12">SUM(IF(ISBLANK(CD$23:CD$239),0,$K23:$K239)*IF(ISBLANK($T$1),1,IF($I$23:$I$239=$T$1,1,0)))</f>
        <v>0</v>
      </c>
      <c r="CE12" s="874">
        <f t="array" ref="CE12">SUM(IF(ISBLANK(CE$23:CE$239),0,$K23:$K239)*IF(ISBLANK($T$1),1,IF($I$23:$I$239=$T$1,1,0)))</f>
        <v>0</v>
      </c>
      <c r="CF12" s="874">
        <f t="array" ref="CF12">SUM(IF(ISBLANK(CF$23:CF$239),0,$K23:$K239)*IF(ISBLANK($T$1),1,IF($I$23:$I$239=$T$1,1,0)))</f>
        <v>0</v>
      </c>
      <c r="CG12" s="874">
        <f t="array" ref="CG12">SUM(IF(ISBLANK(CG$23:CG$239),0,$K23:$K239)*IF(ISBLANK($T$1),1,IF($I$23:$I$239=$T$1,1,0)))</f>
        <v>0</v>
      </c>
      <c r="CH12" s="874">
        <f t="array" ref="CH12">SUM(IF(ISBLANK(CH$23:CH$239),0,$K23:$K239)*IF(ISBLANK($T$1),1,IF($I$23:$I$239=$T$1,1,0)))</f>
        <v>0</v>
      </c>
      <c r="CI12" s="874">
        <f t="array" ref="CI12">SUM(IF(ISBLANK(CI$23:CI$239),0,$K23:$K239)*IF(ISBLANK($T$1),1,IF($I$23:$I$239=$T$1,1,0)))</f>
        <v>0</v>
      </c>
      <c r="CJ12" s="874">
        <f t="array" ref="CJ12">SUM(IF(ISBLANK(CJ$23:CJ$239),0,$K23:$K239)*IF(ISBLANK($T$1),1,IF($I$23:$I$239=$T$1,1,0)))</f>
        <v>15</v>
      </c>
      <c r="CK12" s="874">
        <f t="array" ref="CK12">SUM(IF(ISBLANK(CK$23:CK$239),0,$K23:$K239)*IF(ISBLANK($T$1),1,IF($I$23:$I$239=$T$1,1,0)))</f>
        <v>15</v>
      </c>
      <c r="CL12" s="874">
        <f t="array" ref="CL12">SUM(IF(ISBLANK(CL$23:CL$239),0,$K23:$K239)*IF(ISBLANK($T$1),1,IF($I$23:$I$239=$T$1,1,0)))</f>
        <v>15</v>
      </c>
    </row>
    <row r="13" spans="1:90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L13" si="13">AF12/AF2</f>
        <v>1.1818181818181819</v>
      </c>
      <c r="AG13" s="874">
        <f t="shared" si="13"/>
        <v>1.1818181818181819</v>
      </c>
      <c r="AH13" s="874">
        <f t="shared" si="13"/>
        <v>1.1818181818181819</v>
      </c>
      <c r="AI13" s="874">
        <f t="shared" si="13"/>
        <v>1.1627906976744187</v>
      </c>
      <c r="AL13" s="874">
        <f t="shared" si="13"/>
        <v>1.1818181818181819</v>
      </c>
      <c r="AM13" s="874">
        <f t="shared" si="13"/>
        <v>1.1818181818181819</v>
      </c>
      <c r="AO13" s="874">
        <f>AO12/AO2</f>
        <v>1.1818181818181819</v>
      </c>
      <c r="AP13" s="874">
        <f t="shared" si="13"/>
        <v>1.1627906976744187</v>
      </c>
      <c r="AR13" s="874">
        <f>AR12/AR2</f>
        <v>1.1818181818181819</v>
      </c>
      <c r="AS13" s="874">
        <f>AS12/AS2</f>
        <v>1.1818181818181819</v>
      </c>
      <c r="AT13" s="874" t="e">
        <f t="shared" ref="AT13" si="14">AT12/AT2</f>
        <v>#N/A</v>
      </c>
      <c r="AU13" s="874">
        <f t="shared" si="13"/>
        <v>1.1627906976744187</v>
      </c>
      <c r="AW13" s="874">
        <f>AW12/AW2</f>
        <v>1.1818181818181819</v>
      </c>
      <c r="BB13" s="874" t="e">
        <f>BB12/BB2</f>
        <v>#N/A</v>
      </c>
      <c r="BC13" s="874" t="e">
        <f>BC12/BC2</f>
        <v>#N/A</v>
      </c>
      <c r="BF13" s="874" t="e">
        <f>BF12/BF2</f>
        <v>#N/A</v>
      </c>
      <c r="BG13" s="874" t="e">
        <f>BG12/BG2</f>
        <v>#N/A</v>
      </c>
      <c r="BH13" s="874">
        <f>BH12/BH2</f>
        <v>1.1818181818181819</v>
      </c>
      <c r="BO13" s="874" t="e">
        <f>BO12/BO2</f>
        <v>#DIV/0!</v>
      </c>
      <c r="BP13" s="874" t="e">
        <f>BP12/BP2</f>
        <v>#DIV/0!</v>
      </c>
      <c r="BR13" s="874" t="e">
        <f>BR12/BR2</f>
        <v>#DIV/0!</v>
      </c>
      <c r="BS13" s="874" t="e">
        <f>BS12/BS2</f>
        <v>#DIV/0!</v>
      </c>
      <c r="BT13" s="874" t="e">
        <f t="shared" si="13"/>
        <v>#N/A</v>
      </c>
      <c r="BY13" s="874" t="e">
        <f t="shared" ref="BY13:CE13" si="15">BY12/BY2</f>
        <v>#DIV/0!</v>
      </c>
      <c r="BZ13" s="874" t="e">
        <f t="shared" si="15"/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5"/>
        <v>#DIV/0!</v>
      </c>
      <c r="CF13" s="874" t="e">
        <f t="shared" si="13"/>
        <v>#DIV/0!</v>
      </c>
      <c r="CG13" s="874" t="e">
        <f t="shared" si="13"/>
        <v>#DIV/0!</v>
      </c>
      <c r="CH13" s="874" t="e">
        <f t="shared" si="13"/>
        <v>#DIV/0!</v>
      </c>
      <c r="CI13" s="874" t="e">
        <f t="shared" si="13"/>
        <v>#DIV/0!</v>
      </c>
      <c r="CJ13" s="874">
        <f t="shared" si="13"/>
        <v>0.9375</v>
      </c>
      <c r="CK13" s="874">
        <f t="shared" si="13"/>
        <v>0.9375</v>
      </c>
      <c r="CL13" s="874">
        <f t="shared" si="13"/>
        <v>1</v>
      </c>
    </row>
    <row r="14" spans="1:90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16">AG15+AG16</f>
        <v>39</v>
      </c>
      <c r="AH14" s="849">
        <f t="shared" ref="AH14:AL14" si="17">AH15+AH16</f>
        <v>5</v>
      </c>
      <c r="AI14" s="849">
        <f t="shared" si="17"/>
        <v>0</v>
      </c>
      <c r="AJ14" s="902">
        <f t="shared" ref="AJ14" si="18">AJ15+AJ16</f>
        <v>4</v>
      </c>
      <c r="AK14" s="849">
        <f t="shared" si="17"/>
        <v>23</v>
      </c>
      <c r="AL14" s="849">
        <f t="shared" si="17"/>
        <v>12</v>
      </c>
      <c r="AM14" s="902">
        <f t="shared" ref="AM14:AZ14" si="19">AM15+AM16</f>
        <v>3</v>
      </c>
      <c r="AN14" s="902">
        <f t="shared" si="19"/>
        <v>40</v>
      </c>
      <c r="AO14" s="902">
        <f t="shared" si="19"/>
        <v>33</v>
      </c>
      <c r="AP14" s="902">
        <f t="shared" si="19"/>
        <v>9</v>
      </c>
      <c r="AQ14" s="902">
        <f t="shared" si="19"/>
        <v>20</v>
      </c>
      <c r="AR14" s="902">
        <f t="shared" si="19"/>
        <v>35</v>
      </c>
      <c r="AS14" s="902">
        <f t="shared" si="19"/>
        <v>3</v>
      </c>
      <c r="AT14" s="902">
        <f t="shared" si="19"/>
        <v>37</v>
      </c>
      <c r="AU14" s="902">
        <f t="shared" si="19"/>
        <v>0</v>
      </c>
      <c r="AV14" s="902">
        <f t="shared" si="19"/>
        <v>2</v>
      </c>
      <c r="AW14" s="902">
        <f t="shared" si="19"/>
        <v>13</v>
      </c>
      <c r="AX14" s="902">
        <f t="shared" si="19"/>
        <v>23</v>
      </c>
      <c r="AY14" s="902">
        <f t="shared" si="19"/>
        <v>37</v>
      </c>
      <c r="AZ14" s="902">
        <f t="shared" si="19"/>
        <v>21</v>
      </c>
      <c r="BA14" s="902">
        <f t="shared" ref="BA14:BK14" si="20">BA15+BA16</f>
        <v>26</v>
      </c>
      <c r="BB14" s="902">
        <f t="shared" si="20"/>
        <v>17</v>
      </c>
      <c r="BC14" s="902">
        <f t="shared" si="20"/>
        <v>32</v>
      </c>
      <c r="BD14" s="902">
        <f t="shared" si="20"/>
        <v>10</v>
      </c>
      <c r="BE14" s="902">
        <f t="shared" ref="BE14" si="21">BE15+BE16</f>
        <v>3</v>
      </c>
      <c r="BF14" s="902">
        <f t="shared" si="20"/>
        <v>2</v>
      </c>
      <c r="BG14" s="902">
        <f t="shared" si="20"/>
        <v>39</v>
      </c>
      <c r="BH14" s="902">
        <f t="shared" si="20"/>
        <v>39</v>
      </c>
      <c r="BI14" s="902">
        <f t="shared" si="20"/>
        <v>44</v>
      </c>
      <c r="BJ14" s="902">
        <f t="shared" si="20"/>
        <v>20</v>
      </c>
      <c r="BK14" s="902">
        <f t="shared" si="20"/>
        <v>15</v>
      </c>
      <c r="BL14" s="902">
        <f t="shared" ref="BL14" si="22">BL15+BL16</f>
        <v>9</v>
      </c>
      <c r="BM14" s="889"/>
      <c r="BN14" s="889"/>
      <c r="BO14" s="889"/>
      <c r="BP14" s="889"/>
      <c r="BQ14" s="889"/>
      <c r="BR14" s="889"/>
      <c r="BS14" s="889"/>
      <c r="BT14" s="889"/>
      <c r="BU14" s="890"/>
      <c r="BV14" s="890"/>
      <c r="BW14" s="890"/>
      <c r="BX14" s="890"/>
      <c r="BY14" s="889"/>
      <c r="BZ14" s="889"/>
      <c r="CA14" s="889"/>
      <c r="CB14" s="889"/>
      <c r="CC14" s="889"/>
      <c r="CD14" s="889"/>
      <c r="CE14" s="889"/>
    </row>
    <row r="15" spans="1:90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AVERAGEIFS($Q$23:$Q$206,$H$23:$H$206,"H",$I$23:$I$206,Table!$C$1)</f>
        <v>0.21190476190476187</v>
      </c>
      <c r="S15" s="858">
        <f>AVERAGEIFS($Q$23:$Q$206,$H$23:$H$206,"A",$I$23:$I$206,Table!$C$1)</f>
        <v>-0.13571428571428573</v>
      </c>
      <c r="AF15" s="848" t="s">
        <v>821</v>
      </c>
      <c r="AG15" s="850">
        <f t="array" ref="AG15">SUM(IF(LEFT(AG23:AG160,1)="X",1,0))</f>
        <v>39</v>
      </c>
      <c r="AH15" s="850">
        <f t="array" ref="AH15">SUM(IF(LEFT(AH23:AH160,1)="X",1,0))</f>
        <v>5</v>
      </c>
      <c r="AI15" s="850">
        <f t="array" ref="AI15">SUM(IF(LEFT(AI23:AI160,1)="X",1,0))</f>
        <v>0</v>
      </c>
      <c r="AJ15" s="903">
        <f t="array" ref="AJ15">SUM(IF(LEFT(AJ23:AJ160,1)="X",1,0))</f>
        <v>2</v>
      </c>
      <c r="AK15" s="850">
        <f t="array" ref="AK15">SUM(IF(LEFT(AK23:AK160,1)="X",1,0))</f>
        <v>20</v>
      </c>
      <c r="AL15" s="850">
        <f t="array" ref="AL15">SUM(IF(LEFT(AL23:AL160,1)="X",1,0))</f>
        <v>9</v>
      </c>
      <c r="AM15" s="903">
        <f t="array" ref="AM15">SUM(IF(LEFT(AM23:AM160,1)="X",1,0))</f>
        <v>3</v>
      </c>
      <c r="AN15" s="903">
        <f t="array" ref="AN15">SUM(IF(LEFT(AN23:AN160,1)="X",1,0))</f>
        <v>40</v>
      </c>
      <c r="AO15" s="903">
        <f t="array" ref="AO15">SUM(IF(LEFT(AO23:AO160,1)="X",1,0))</f>
        <v>26</v>
      </c>
      <c r="AP15" s="903">
        <f t="array" ref="AP15">SUM(IF(LEFT(AP23:AP160,1)="X",1,0))</f>
        <v>4</v>
      </c>
      <c r="AQ15" s="903">
        <f t="array" ref="AQ15">SUM(IF(LEFT(AQ23:AQ160,1)="X",1,0))</f>
        <v>20</v>
      </c>
      <c r="AR15" s="903">
        <f t="array" ref="AR15">SUM(IF(LEFT(AR23:AR160,1)="X",1,0))</f>
        <v>32</v>
      </c>
      <c r="AS15" s="903">
        <f t="array" ref="AS15">SUM(IF(LEFT(AS23:AS160,1)="X",1,0))</f>
        <v>2</v>
      </c>
      <c r="AT15" s="903">
        <f t="array" ref="AT15">SUM(IF(LEFT(AT23:AT160,1)="X",1,0))</f>
        <v>35</v>
      </c>
      <c r="AU15" s="903">
        <f t="array" ref="AU15">SUM(IF(LEFT(AU23:AU160,1)="X",1,0))</f>
        <v>0</v>
      </c>
      <c r="AV15" s="903">
        <f t="array" ref="AV15">SUM(IF(LEFT(AV23:AV160,1)="X",1,0))</f>
        <v>2</v>
      </c>
      <c r="AW15" s="903">
        <f t="array" ref="AW15">SUM(IF(LEFT(AW23:AW160,1)="X",1,0))</f>
        <v>6</v>
      </c>
      <c r="AX15" s="903">
        <f t="array" ref="AX15">SUM(IF(LEFT(AX23:AX160,1)="X",1,0))</f>
        <v>18</v>
      </c>
      <c r="AY15" s="903">
        <f t="array" ref="AY15">SUM(IF(LEFT(AY23:AY160,1)="X",1,0))</f>
        <v>36</v>
      </c>
      <c r="AZ15" s="903">
        <f t="array" ref="AZ15">SUM(IF(LEFT(AZ23:AZ160,1)="X",1,0))</f>
        <v>17</v>
      </c>
      <c r="BA15" s="903">
        <f t="array" ref="BA15">SUM(IF(LEFT(BA23:BA160,1)="X",1,0))</f>
        <v>16</v>
      </c>
      <c r="BB15" s="903">
        <f t="array" ref="BB15">SUM(IF(LEFT(BB23:BB160,1)="X",1,0))</f>
        <v>7</v>
      </c>
      <c r="BC15" s="903">
        <f t="array" ref="BC15">SUM(IF(LEFT(BC23:BC160,1)="X",1,0))</f>
        <v>23</v>
      </c>
      <c r="BD15" s="903">
        <f t="array" ref="BD15">SUM(IF(LEFT(BD23:BD160,1)="X",1,0))</f>
        <v>9</v>
      </c>
      <c r="BE15" s="903">
        <f t="array" ref="BE15">SUM(IF(LEFT(BE23:BE160,1)="X",1,0))</f>
        <v>0</v>
      </c>
      <c r="BF15" s="903">
        <f t="array" ref="BF15">SUM(IF(LEFT(BF23:BF160,1)="X",1,0))</f>
        <v>2</v>
      </c>
      <c r="BG15" s="903">
        <f t="array" ref="BG15">SUM(IF(LEFT(BG23:BG160,1)="X",1,0))</f>
        <v>28</v>
      </c>
      <c r="BH15" s="903">
        <f t="array" ref="BH15">SUM(IF(LEFT(BH23:BH160,1)="X",1,0))</f>
        <v>35</v>
      </c>
      <c r="BI15" s="903">
        <f t="array" ref="BI15">SUM(IF(LEFT(BI23:BI160,1)="X",1,0))</f>
        <v>41</v>
      </c>
      <c r="BJ15" s="903">
        <f t="array" ref="BJ15">SUM(IF(LEFT(BJ23:BJ160,1)="X",1,0))</f>
        <v>2</v>
      </c>
      <c r="BK15" s="903">
        <f t="array" ref="BK15">SUM(IF(LEFT(BK23:BK160,1)="X",1,0))</f>
        <v>2</v>
      </c>
      <c r="BL15" s="903">
        <f t="array" ref="BL15">SUM(IF(LEFT(BL23:BL160,1)="X",1,0))</f>
        <v>3</v>
      </c>
      <c r="BM15" s="889"/>
      <c r="BN15" s="889"/>
      <c r="BO15" s="889"/>
      <c r="BP15" s="889"/>
      <c r="BQ15" s="889"/>
      <c r="BR15" s="889"/>
      <c r="BS15" s="889"/>
      <c r="BT15" s="889"/>
      <c r="BU15" s="890"/>
      <c r="BV15" s="890"/>
      <c r="BW15" s="890"/>
      <c r="BX15" s="890"/>
      <c r="BY15" s="889"/>
      <c r="BZ15" s="889"/>
      <c r="CA15" s="889"/>
      <c r="CB15" s="889"/>
      <c r="CC15" s="889"/>
      <c r="CD15" s="889"/>
      <c r="CE15" s="889"/>
    </row>
    <row r="16" spans="1:90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AVERAGEIF($H$23:$H$203,"=H",$J$23:$J$203)</f>
        <v>1.3181818181818181</v>
      </c>
      <c r="J16" s="858">
        <f>AVERAGEIF($H$23:$H$207,"=H",$K$23:$K$207)</f>
        <v>1.0454545454545454</v>
      </c>
      <c r="K16" s="858">
        <f>I16-J16</f>
        <v>0.27272727272727271</v>
      </c>
      <c r="L16" s="857">
        <f>COUNTIFS($L$23:$L$203,"=W",$H$23:$H$203,"=H")</f>
        <v>9</v>
      </c>
      <c r="M16" s="857">
        <f>COUNTIFS($L$23:$L$203,"=D",$H$23:$H$203,"=H")</f>
        <v>10</v>
      </c>
      <c r="N16" s="863">
        <f>COUNTIFS($L$23:$L$203,"=L",$H$23:$H$203,"=H")</f>
        <v>3</v>
      </c>
      <c r="O16" s="858">
        <f>SUM(I16:J16)</f>
        <v>2.3636363636363633</v>
      </c>
      <c r="Q16" s="861" t="s">
        <v>212</v>
      </c>
      <c r="R16" s="858">
        <f>AVERAGEIFS($S$23:$S$204,$H$23:$H$204,"H",$I$23:$I$204,Table!$C$1)</f>
        <v>2.2990476190476192</v>
      </c>
      <c r="S16" s="858">
        <f>AVERAGEIFS($S$23:$S$204,$H$23:$H$204,"A",$I$23:$I$204,Table!$C$1)</f>
        <v>2.3114285714285714</v>
      </c>
      <c r="AF16" s="848" t="s">
        <v>724</v>
      </c>
      <c r="AG16" s="850">
        <f t="array" ref="AG16">SUM(IF(LEFT(AG23:AG161,1)="s",1,0))</f>
        <v>0</v>
      </c>
      <c r="AH16" s="850">
        <f t="array" ref="AH16">SUM(IF(LEFT(AH23:AH161,1)="s",1,0))</f>
        <v>0</v>
      </c>
      <c r="AI16" s="850">
        <f t="array" ref="AI16">SUM(IF(LEFT(AI23:AI161,1)="s",1,0))</f>
        <v>0</v>
      </c>
      <c r="AJ16" s="903">
        <f t="array" ref="AJ16">SUM(IF(LEFT(AJ23:AJ161,1)="s",1,0))</f>
        <v>2</v>
      </c>
      <c r="AK16" s="850">
        <f t="array" ref="AK16">SUM(IF(LEFT(AK23:AK161,1)="s",1,0))</f>
        <v>3</v>
      </c>
      <c r="AL16" s="850">
        <f t="array" ref="AL16">SUM(IF(LEFT(AL23:AL161,1)="s",1,0))</f>
        <v>3</v>
      </c>
      <c r="AM16" s="903">
        <f t="array" ref="AM16">SUM(IF(LEFT(AM23:AM161,1)="s",1,0))</f>
        <v>0</v>
      </c>
      <c r="AN16" s="903">
        <f t="array" ref="AN16">SUM(IF(LEFT(AN23:AN161,1)="s",1,0))</f>
        <v>0</v>
      </c>
      <c r="AO16" s="903">
        <f t="array" ref="AO16">SUM(IF(LEFT(AO23:AO161,1)="s",1,0))</f>
        <v>7</v>
      </c>
      <c r="AP16" s="903">
        <f t="array" ref="AP16">SUM(IF(LEFT(AP23:AP161,1)="s",1,0))</f>
        <v>5</v>
      </c>
      <c r="AQ16" s="903">
        <f t="array" ref="AQ16">SUM(IF(LEFT(AQ23:AQ161,1)="s",1,0))</f>
        <v>0</v>
      </c>
      <c r="AR16" s="903">
        <f t="array" ref="AR16">SUM(IF(LEFT(AR23:AR161,1)="s",1,0))</f>
        <v>3</v>
      </c>
      <c r="AS16" s="903">
        <f t="array" ref="AS16">SUM(IF(LEFT(AS23:AS161,1)="s",1,0))</f>
        <v>1</v>
      </c>
      <c r="AT16" s="903">
        <f t="array" ref="AT16">SUM(IF(LEFT(AT23:AT161,1)="s",1,0))</f>
        <v>2</v>
      </c>
      <c r="AU16" s="903">
        <f t="array" ref="AU16">SUM(IF(LEFT(AU23:AU161,1)="s",1,0))</f>
        <v>0</v>
      </c>
      <c r="AV16" s="903">
        <f t="array" ref="AV16">SUM(IF(LEFT(AV23:AV161,1)="s",1,0))</f>
        <v>0</v>
      </c>
      <c r="AW16" s="903">
        <f t="array" ref="AW16">SUM(IF(LEFT(AW23:AW161,1)="s",1,0))</f>
        <v>7</v>
      </c>
      <c r="AX16" s="903">
        <f t="array" ref="AX16">SUM(IF(LEFT(AX23:AX161,1)="s",1,0))</f>
        <v>5</v>
      </c>
      <c r="AY16" s="903">
        <f t="array" ref="AY16">SUM(IF(LEFT(AY23:AY161,1)="s",1,0))</f>
        <v>1</v>
      </c>
      <c r="AZ16" s="903">
        <f t="array" ref="AZ16">SUM(IF(LEFT(AZ23:AZ161,1)="s",1,0))</f>
        <v>4</v>
      </c>
      <c r="BA16" s="903">
        <f t="array" ref="BA16">SUM(IF(LEFT(BA23:BA161,1)="s",1,0))</f>
        <v>10</v>
      </c>
      <c r="BB16" s="903">
        <f t="array" ref="BB16">SUM(IF(LEFT(BB23:BB161,1)="s",1,0))</f>
        <v>10</v>
      </c>
      <c r="BC16" s="903">
        <f t="array" ref="BC16">SUM(IF(LEFT(BC23:BC161,1)="s",1,0))</f>
        <v>9</v>
      </c>
      <c r="BD16" s="903">
        <f t="array" ref="BD16">SUM(IF(LEFT(BD23:BD161,1)="s",1,0))</f>
        <v>1</v>
      </c>
      <c r="BE16" s="903">
        <f t="array" ref="BE16">SUM(IF(LEFT(BE23:BE161,1)="s",1,0))</f>
        <v>3</v>
      </c>
      <c r="BF16" s="903">
        <f t="array" ref="BF16">SUM(IF(LEFT(BF23:BF161,1)="s",1,0))</f>
        <v>0</v>
      </c>
      <c r="BG16" s="903">
        <f t="array" ref="BG16">SUM(IF(LEFT(BG23:BG161,1)="s",1,0))</f>
        <v>11</v>
      </c>
      <c r="BH16" s="903">
        <f t="array" ref="BH16">SUM(IF(LEFT(BH23:BH161,1)="s",1,0))</f>
        <v>4</v>
      </c>
      <c r="BI16" s="903">
        <f t="array" ref="BI16">SUM(IF(LEFT(BI23:BI161,1)="s",1,0))</f>
        <v>3</v>
      </c>
      <c r="BJ16" s="903">
        <f t="array" ref="BJ16">SUM(IF(LEFT(BJ23:BJ161,1)="s",1,0))</f>
        <v>18</v>
      </c>
      <c r="BK16" s="903">
        <f t="array" ref="BK16">SUM(IF(LEFT(BK23:BK161,1)="s",1,0))</f>
        <v>13</v>
      </c>
      <c r="BL16" s="903">
        <f t="array" ref="BL16">SUM(IF(LEFT(BL23:BL161,1)="s",1,0))</f>
        <v>6</v>
      </c>
      <c r="BM16" s="889"/>
      <c r="BN16" s="889"/>
      <c r="BO16" s="889"/>
      <c r="BP16" s="889"/>
      <c r="BQ16" s="889"/>
      <c r="BR16" s="889"/>
      <c r="BS16" s="889"/>
      <c r="BT16" s="889"/>
      <c r="BU16" s="890"/>
      <c r="BV16" s="890"/>
      <c r="BW16" s="890"/>
      <c r="BX16" s="890"/>
      <c r="BY16" s="889"/>
      <c r="BZ16" s="889"/>
      <c r="CA16" s="889"/>
      <c r="CB16" s="889"/>
      <c r="CC16" s="889"/>
      <c r="CD16" s="889"/>
      <c r="CE16" s="889"/>
    </row>
    <row r="17" spans="1:116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AVERAGEIF($H$23:$H$203,"=A",$J$23:$J$203)</f>
        <v>0.72727272727272729</v>
      </c>
      <c r="J17" s="860">
        <f>AVERAGEIF($H$23:$H$207,"=A",$K$23:$K$207)</f>
        <v>1.3181818181818181</v>
      </c>
      <c r="K17" s="858">
        <f>I17-J17</f>
        <v>-0.59090909090909083</v>
      </c>
      <c r="L17" s="857">
        <f>COUNTIFS($L$23:$L$203,"=W",$H$23:$H$203,"=A")</f>
        <v>5</v>
      </c>
      <c r="M17" s="857">
        <f>COUNTIFS($L$23:$L$203,"=D",$H$23:$H$203,"=A")</f>
        <v>8</v>
      </c>
      <c r="N17" s="863">
        <f>COUNTIFS($L$23:$L$203,"=L",$H$23:$H$203,"=A")</f>
        <v>9</v>
      </c>
      <c r="O17" s="858">
        <f>SUM(I17:J17)</f>
        <v>2.0454545454545454</v>
      </c>
      <c r="Q17" s="848"/>
      <c r="R17" s="859"/>
      <c r="S17" s="855"/>
      <c r="AF17" s="848" t="s">
        <v>718</v>
      </c>
      <c r="AG17" s="850">
        <f t="array" ref="AG17">SUM(IF(ISNUMBER(VALUE(RIGHT(AG23:AG169,1))),VALUE(RIGHT(AG23:AG169,1)),0))</f>
        <v>0</v>
      </c>
      <c r="AH17" s="850">
        <f t="array" ref="AH17">SUM(IF(ISNUMBER(VALUE(RIGHT(AH23:AH169,1))),VALUE(RIGHT(AH23:AH169,1)),0))</f>
        <v>0</v>
      </c>
      <c r="AI17" s="850">
        <f t="array" ref="AI17">SUM(IF(ISNUMBER(VALUE(RIGHT(AI23:AI169,1))),VALUE(RIGHT(AI23:AI169,1)),0))</f>
        <v>0</v>
      </c>
      <c r="AJ17" s="903">
        <f t="array" ref="AJ17">SUM(IF(ISNUMBER(VALUE(RIGHT(AJ23:AJ169,1))),VALUE(RIGHT(AJ23:AJ169,1)),0))</f>
        <v>0</v>
      </c>
      <c r="AK17" s="850">
        <f t="array" ref="AK17">SUM(IF(ISNUMBER(VALUE(RIGHT(AK23:AK169,1))),VALUE(RIGHT(AK23:AK169,1)),0))</f>
        <v>0</v>
      </c>
      <c r="AL17" s="850">
        <f t="array" ref="AL17">SUM(IF(ISNUMBER(VALUE(RIGHT(AL23:AL169,1))),VALUE(RIGHT(AL23:AL169,1)),0))</f>
        <v>2</v>
      </c>
      <c r="AM17" s="903">
        <f t="array" ref="AM17">SUM(IF(ISNUMBER(VALUE(RIGHT(AM23:AM169,1))),VALUE(RIGHT(AM23:AM169,1)),0))</f>
        <v>0</v>
      </c>
      <c r="AN17" s="903">
        <f t="array" ref="AN17">SUM(IF(ISNUMBER(VALUE(RIGHT(AN23:AN169,1))),VALUE(RIGHT(AN23:AN169,1)),0))</f>
        <v>0</v>
      </c>
      <c r="AO17" s="903">
        <f t="array" ref="AO17">SUM(IF(ISNUMBER(VALUE(RIGHT(AO23:AO169,1))),VALUE(RIGHT(AO23:AO169,1)),0))</f>
        <v>1</v>
      </c>
      <c r="AP17" s="903">
        <f t="array" ref="AP17">SUM(IF(ISNUMBER(VALUE(RIGHT(AP23:AP169,1))),VALUE(RIGHT(AP23:AP169,1)),0))</f>
        <v>0</v>
      </c>
      <c r="AQ17" s="903">
        <f t="array" ref="AQ17">SUM(IF(ISNUMBER(VALUE(RIGHT(AQ23:AQ169,1))),VALUE(RIGHT(AQ23:AQ169,1)),0))</f>
        <v>1</v>
      </c>
      <c r="AR17" s="903">
        <f t="array" ref="AR17">SUM(IF(ISNUMBER(VALUE(RIGHT(AR23:AR169,1))),VALUE(RIGHT(AR23:AR169,1)),0))</f>
        <v>1</v>
      </c>
      <c r="AS17" s="903">
        <f t="array" ref="AS17">SUM(IF(ISNUMBER(VALUE(RIGHT(AS23:AS169,1))),VALUE(RIGHT(AS23:AS169,1)),0))</f>
        <v>0</v>
      </c>
      <c r="AT17" s="903">
        <f t="array" ref="AT17">SUM(IF(ISNUMBER(VALUE(RIGHT(AT23:AT169,1))),VALUE(RIGHT(AT23:AT169,1)),0))</f>
        <v>1</v>
      </c>
      <c r="AU17" s="903">
        <f t="array" ref="AU17">SUM(IF(ISNUMBER(VALUE(RIGHT(AU23:AU169,1))),VALUE(RIGHT(AU23:AU169,1)),0))</f>
        <v>0</v>
      </c>
      <c r="AV17" s="903">
        <f t="array" ref="AV17">SUM(IF(ISNUMBER(VALUE(RIGHT(AV23:AV169,1))),VALUE(RIGHT(AV23:AV169,1)),0))</f>
        <v>0</v>
      </c>
      <c r="AW17" s="903">
        <f t="array" ref="AW17">SUM(IF(ISNUMBER(VALUE(RIGHT(AW23:AW169,1))),VALUE(RIGHT(AW23:AW169,1)),0))</f>
        <v>0</v>
      </c>
      <c r="AX17" s="903">
        <f t="array" ref="AX17">SUM(IF(ISNUMBER(VALUE(RIGHT(AX23:AX169,1))),VALUE(RIGHT(AX23:AX169,1)),0))</f>
        <v>0</v>
      </c>
      <c r="AY17" s="903">
        <f t="array" ref="AY17">SUM(IF(ISNUMBER(VALUE(RIGHT(AY23:AY169,1))),VALUE(RIGHT(AY23:AY169,1)),0))</f>
        <v>0</v>
      </c>
      <c r="AZ17" s="903">
        <f t="array" ref="AZ17">SUM(IF(ISNUMBER(VALUE(RIGHT(AZ23:AZ169,1))),VALUE(RIGHT(AZ23:AZ169,1)),0))</f>
        <v>1</v>
      </c>
      <c r="BA17" s="903">
        <f t="array" ref="BA17">SUM(IF(ISNUMBER(VALUE(RIGHT(BA23:BA169,1))),VALUE(RIGHT(BA23:BA169,1)),0))</f>
        <v>4</v>
      </c>
      <c r="BB17" s="903">
        <f t="array" ref="BB17">SUM(IF(ISNUMBER(VALUE(RIGHT(BB23:BB169,1))),VALUE(RIGHT(BB23:BB169,1)),0))</f>
        <v>0</v>
      </c>
      <c r="BC17" s="903">
        <f t="array" ref="BC17">SUM(IF(ISNUMBER(VALUE(RIGHT(BC23:BC169,1))),VALUE(RIGHT(BC23:BC169,1)),0))</f>
        <v>5</v>
      </c>
      <c r="BD17" s="903">
        <f t="array" ref="BD17">SUM(IF(ISNUMBER(VALUE(RIGHT(BD23:BD169,1))),VALUE(RIGHT(BD23:BD169,1)),0))</f>
        <v>0</v>
      </c>
      <c r="BE17" s="903">
        <f t="array" ref="BE17">SUM(IF(ISNUMBER(VALUE(RIGHT(BE23:BE169,1))),VALUE(RIGHT(BE23:BE169,1)),0))</f>
        <v>0</v>
      </c>
      <c r="BF17" s="903">
        <f t="array" ref="BF17">SUM(IF(ISNUMBER(VALUE(RIGHT(BF23:BF169,1))),VALUE(RIGHT(BF23:BF169,1)),0))</f>
        <v>0</v>
      </c>
      <c r="BG17" s="903">
        <f t="array" ref="BG17">SUM(IF(ISNUMBER(VALUE(RIGHT(BG23:BG169,1))),VALUE(RIGHT(BG23:BG169,1)),0))</f>
        <v>2</v>
      </c>
      <c r="BH17" s="903">
        <f t="array" ref="BH17">SUM(IF(ISNUMBER(VALUE(RIGHT(BH23:BH169,1))),VALUE(RIGHT(BH23:BH169,1)),0))</f>
        <v>9</v>
      </c>
      <c r="BI17" s="903">
        <f t="array" ref="BI17">SUM(IF(ISNUMBER(VALUE(RIGHT(BI23:BI169,1))),VALUE(RIGHT(BI23:BI169,1)),0))</f>
        <v>13</v>
      </c>
      <c r="BJ17" s="903">
        <f t="array" ref="BJ17">SUM(IF(ISNUMBER(VALUE(RIGHT(BJ23:BJ169,1))),VALUE(RIGHT(BJ23:BJ169,1)),0))</f>
        <v>2</v>
      </c>
      <c r="BK17" s="903">
        <f t="array" ref="BK17">SUM(IF(ISNUMBER(VALUE(RIGHT(BK23:BK169,1))),VALUE(RIGHT(BK23:BK169,1)),0))</f>
        <v>2</v>
      </c>
      <c r="BL17" s="903">
        <f t="array" ref="BL17">SUM(IF(ISNUMBER(VALUE(RIGHT(BL23:BL169,1))),VALUE(RIGHT(BL23:BL169,1)),0))</f>
        <v>0</v>
      </c>
      <c r="BM17" s="889"/>
      <c r="BN17" s="889"/>
      <c r="BO17" s="889"/>
      <c r="BP17" s="889"/>
      <c r="BQ17" s="889"/>
      <c r="BR17" s="889"/>
      <c r="BS17" s="889"/>
      <c r="BT17" s="889"/>
      <c r="BU17" s="890"/>
      <c r="BV17" s="890"/>
      <c r="BW17" s="890"/>
      <c r="BX17" s="890"/>
      <c r="BY17" s="889"/>
      <c r="BZ17" s="889"/>
      <c r="CA17" s="889"/>
      <c r="CB17" s="889"/>
      <c r="CC17" s="889"/>
      <c r="CD17" s="889"/>
      <c r="CE17" s="889"/>
    </row>
    <row r="18" spans="1:116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AVERAGEIFS($Y$23:$Y$206,$H$23:$H$206,"H",$I$23:$I$206,Table!$C$1)</f>
        <v>3.7619047619047619</v>
      </c>
      <c r="S18" s="858">
        <f>AVERAGEIFS($Y$23:$Y$206,$H$23:$H$206,"A",$I$23:$I$206,Table!$C$1)</f>
        <v>3</v>
      </c>
      <c r="AG18" s="876">
        <v>1</v>
      </c>
      <c r="AH18" s="876">
        <v>23</v>
      </c>
      <c r="AI18" s="876">
        <v>28</v>
      </c>
      <c r="AJ18" s="876">
        <v>33</v>
      </c>
      <c r="AK18" s="876">
        <v>2</v>
      </c>
      <c r="AL18" s="876">
        <v>3</v>
      </c>
      <c r="AM18" s="876">
        <v>4</v>
      </c>
      <c r="AN18" s="876">
        <v>5</v>
      </c>
      <c r="AO18" s="876">
        <v>6</v>
      </c>
      <c r="AP18" s="876">
        <v>13</v>
      </c>
      <c r="AQ18" s="876">
        <v>15</v>
      </c>
      <c r="AR18" s="876">
        <v>20</v>
      </c>
      <c r="AS18" s="876">
        <v>22</v>
      </c>
      <c r="AT18" s="876">
        <v>27</v>
      </c>
      <c r="AU18" s="876">
        <v>30</v>
      </c>
      <c r="AV18" s="876">
        <v>29</v>
      </c>
      <c r="AW18" s="876">
        <v>7</v>
      </c>
      <c r="AX18" s="876">
        <v>8</v>
      </c>
      <c r="AY18" s="876">
        <v>14</v>
      </c>
      <c r="AZ18" s="876">
        <v>16</v>
      </c>
      <c r="BA18" s="876">
        <v>17</v>
      </c>
      <c r="BB18" s="876">
        <v>24</v>
      </c>
      <c r="BC18" s="876">
        <v>10</v>
      </c>
      <c r="BD18" s="876">
        <v>31</v>
      </c>
      <c r="BE18" s="876">
        <v>32</v>
      </c>
      <c r="BF18" s="876">
        <v>18</v>
      </c>
      <c r="BG18" s="876">
        <v>25</v>
      </c>
      <c r="BH18" s="876">
        <v>9</v>
      </c>
      <c r="BI18" s="876">
        <v>11</v>
      </c>
      <c r="BJ18" s="876">
        <v>26</v>
      </c>
      <c r="BK18" s="876">
        <v>39</v>
      </c>
      <c r="BL18" s="876">
        <v>19</v>
      </c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</row>
    <row r="19" spans="1:116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AVERAGEIFS($Z$23:$Z$204,$H$23:$H$204,"H",$I$23:$I$204,Table!$C$1)</f>
        <v>4.1904761904761907</v>
      </c>
      <c r="S19" s="858">
        <f>AVERAGEIFS($Z$23:$Z$204,$H$23:$H$204,"A",$I$23:$I$204,Table!$C$1)</f>
        <v>3.1904761904761907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3353</v>
      </c>
      <c r="AK19" s="901" t="s">
        <v>2056</v>
      </c>
      <c r="AL19" s="901" t="s">
        <v>2057</v>
      </c>
      <c r="AM19" s="901" t="s">
        <v>2058</v>
      </c>
      <c r="AN19" s="901" t="s">
        <v>2057</v>
      </c>
      <c r="AO19" s="901" t="s">
        <v>2058</v>
      </c>
      <c r="AP19" s="901" t="s">
        <v>2056</v>
      </c>
      <c r="AQ19" s="901" t="s">
        <v>2057</v>
      </c>
      <c r="AR19" s="901" t="s">
        <v>2057</v>
      </c>
      <c r="AS19" s="901" t="s">
        <v>2053</v>
      </c>
      <c r="AT19" s="901" t="s">
        <v>2056</v>
      </c>
      <c r="AU19" s="901" t="s">
        <v>2053</v>
      </c>
      <c r="AV19" s="901" t="s">
        <v>2054</v>
      </c>
      <c r="AW19" s="901" t="s">
        <v>2060</v>
      </c>
      <c r="AX19" s="901" t="s">
        <v>2061</v>
      </c>
      <c r="AY19" s="901" t="s">
        <v>2062</v>
      </c>
      <c r="AZ19" s="901" t="s">
        <v>2061</v>
      </c>
      <c r="BA19" s="901" t="s">
        <v>2054</v>
      </c>
      <c r="BB19" s="901" t="s">
        <v>2059</v>
      </c>
      <c r="BC19" s="901" t="s">
        <v>2065</v>
      </c>
      <c r="BD19" s="901" t="s">
        <v>2897</v>
      </c>
      <c r="BE19" s="901" t="s">
        <v>3218</v>
      </c>
      <c r="BF19" s="901" t="s">
        <v>2063</v>
      </c>
      <c r="BG19" s="901" t="s">
        <v>2064</v>
      </c>
      <c r="BH19" s="901" t="s">
        <v>2063</v>
      </c>
      <c r="BI19" s="901" t="s">
        <v>2063</v>
      </c>
      <c r="BJ19" s="901" t="s">
        <v>2055</v>
      </c>
      <c r="BK19" s="901" t="s">
        <v>2063</v>
      </c>
      <c r="BL19" s="901" t="s">
        <v>2935</v>
      </c>
      <c r="BO19" s="877"/>
      <c r="BP19" s="877"/>
      <c r="BQ19" s="877"/>
      <c r="BR19" s="877"/>
      <c r="BS19" s="877"/>
      <c r="BT19" s="877"/>
      <c r="BU19" s="428"/>
      <c r="BV19" s="428"/>
      <c r="BW19" s="428"/>
      <c r="BX19" s="428"/>
      <c r="BY19" s="877"/>
      <c r="BZ19" s="877"/>
      <c r="CA19" s="877"/>
      <c r="CB19" s="877"/>
      <c r="CC19" s="877"/>
      <c r="CD19" s="877"/>
      <c r="CE19" s="877"/>
      <c r="CF19" s="428"/>
      <c r="CG19" s="876"/>
      <c r="CH19" s="876"/>
      <c r="CI19" s="876"/>
    </row>
    <row r="20" spans="1:116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11</v>
      </c>
      <c r="G20" s="822" t="str">
        <f ca="1">MID(CELL("filename",A1),FIND("]",CELL("filename",A1))+1,LEN(CELL("filename",A1))-FIND("]",CELL("filename",A1)))</f>
        <v>Montedio Yamagata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1535</v>
      </c>
      <c r="AH20" s="887" t="s">
        <v>1536</v>
      </c>
      <c r="AI20" s="887" t="s">
        <v>1537</v>
      </c>
      <c r="AJ20" s="887" t="s">
        <v>3355</v>
      </c>
      <c r="AK20" s="887" t="s">
        <v>1538</v>
      </c>
      <c r="AL20" s="887" t="s">
        <v>2289</v>
      </c>
      <c r="AM20" s="887" t="s">
        <v>2291</v>
      </c>
      <c r="AN20" s="887" t="s">
        <v>3293</v>
      </c>
      <c r="AO20" s="887" t="s">
        <v>2824</v>
      </c>
      <c r="AP20" s="887" t="s">
        <v>1539</v>
      </c>
      <c r="AQ20" s="887" t="s">
        <v>1540</v>
      </c>
      <c r="AR20" s="887" t="s">
        <v>2978</v>
      </c>
      <c r="AS20" s="887" t="s">
        <v>1541</v>
      </c>
      <c r="AT20" s="887" t="s">
        <v>1543</v>
      </c>
      <c r="AU20" s="887" t="s">
        <v>1913</v>
      </c>
      <c r="AV20" s="887" t="s">
        <v>1547</v>
      </c>
      <c r="AW20" s="887" t="s">
        <v>2825</v>
      </c>
      <c r="AX20" s="887" t="s">
        <v>1544</v>
      </c>
      <c r="AY20" s="887" t="s">
        <v>2010</v>
      </c>
      <c r="AZ20" s="887" t="s">
        <v>2293</v>
      </c>
      <c r="BA20" s="887" t="s">
        <v>1545</v>
      </c>
      <c r="BB20" s="887" t="s">
        <v>1542</v>
      </c>
      <c r="BC20" s="887" t="s">
        <v>1548</v>
      </c>
      <c r="BD20" s="887" t="s">
        <v>2896</v>
      </c>
      <c r="BE20" s="887" t="s">
        <v>3219</v>
      </c>
      <c r="BF20" s="887" t="s">
        <v>2295</v>
      </c>
      <c r="BG20" s="887" t="s">
        <v>1546</v>
      </c>
      <c r="BH20" s="887" t="s">
        <v>2920</v>
      </c>
      <c r="BI20" s="887" t="s">
        <v>1549</v>
      </c>
      <c r="BJ20" s="887" t="s">
        <v>1550</v>
      </c>
      <c r="BK20" s="887" t="s">
        <v>1551</v>
      </c>
      <c r="BL20" s="887" t="s">
        <v>2936</v>
      </c>
      <c r="BO20" s="887"/>
      <c r="BP20" s="864"/>
      <c r="BQ20" s="864"/>
      <c r="BR20" s="864"/>
      <c r="BS20" s="864"/>
      <c r="BT20" s="864"/>
      <c r="BU20" s="847"/>
      <c r="BV20" s="847"/>
      <c r="BW20" s="847"/>
      <c r="BX20" s="847"/>
      <c r="BY20" s="864"/>
      <c r="BZ20" s="864"/>
      <c r="CA20" s="864"/>
      <c r="CB20" s="864"/>
      <c r="CC20" s="864"/>
      <c r="CD20" s="864"/>
      <c r="CE20" s="86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</row>
    <row r="21" spans="1:116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1648</v>
      </c>
      <c r="AH21" s="886" t="s">
        <v>1088</v>
      </c>
      <c r="AI21" s="886" t="s">
        <v>987</v>
      </c>
      <c r="AJ21" s="886" t="s">
        <v>3354</v>
      </c>
      <c r="AK21" s="886" t="s">
        <v>1089</v>
      </c>
      <c r="AL21" s="886" t="s">
        <v>2290</v>
      </c>
      <c r="AM21" s="886" t="s">
        <v>2292</v>
      </c>
      <c r="AN21" s="886" t="s">
        <v>947</v>
      </c>
      <c r="AO21" s="886" t="s">
        <v>2826</v>
      </c>
      <c r="AP21" s="886" t="s">
        <v>988</v>
      </c>
      <c r="AQ21" s="886" t="s">
        <v>1090</v>
      </c>
      <c r="AR21" s="886" t="s">
        <v>899</v>
      </c>
      <c r="AS21" s="886" t="s">
        <v>989</v>
      </c>
      <c r="AT21" s="886" t="s">
        <v>1091</v>
      </c>
      <c r="AU21" s="886" t="s">
        <v>1092</v>
      </c>
      <c r="AV21" s="886" t="s">
        <v>1649</v>
      </c>
      <c r="AW21" s="886" t="s">
        <v>2827</v>
      </c>
      <c r="AX21" s="886" t="s">
        <v>1093</v>
      </c>
      <c r="AY21" s="886" t="s">
        <v>1094</v>
      </c>
      <c r="AZ21" s="886" t="s">
        <v>2294</v>
      </c>
      <c r="BA21" s="886" t="s">
        <v>1021</v>
      </c>
      <c r="BB21" s="886" t="s">
        <v>990</v>
      </c>
      <c r="BC21" s="886" t="s">
        <v>1095</v>
      </c>
      <c r="BD21" s="886" t="s">
        <v>2895</v>
      </c>
      <c r="BE21" s="886" t="s">
        <v>3220</v>
      </c>
      <c r="BF21" s="886" t="s">
        <v>2296</v>
      </c>
      <c r="BG21" s="886" t="s">
        <v>991</v>
      </c>
      <c r="BH21" s="886" t="s">
        <v>903</v>
      </c>
      <c r="BI21" s="886" t="s">
        <v>905</v>
      </c>
      <c r="BJ21" s="886" t="s">
        <v>1650</v>
      </c>
      <c r="BK21" s="886" t="s">
        <v>1096</v>
      </c>
      <c r="BL21" s="886" t="s">
        <v>2937</v>
      </c>
      <c r="BM21" s="886" t="s">
        <v>3414</v>
      </c>
      <c r="BO21" s="886"/>
      <c r="BP21" s="864"/>
      <c r="BQ21" s="864"/>
      <c r="BR21" s="864"/>
      <c r="BS21" s="864"/>
      <c r="BT21" s="864"/>
      <c r="BU21" s="847"/>
      <c r="BV21" s="847"/>
      <c r="BW21" s="847"/>
      <c r="BX21" s="847"/>
      <c r="BY21" s="864"/>
      <c r="BZ21" s="864"/>
      <c r="CA21" s="864"/>
      <c r="CB21" s="864"/>
      <c r="CC21" s="864"/>
      <c r="CD21" s="864"/>
      <c r="CE21" s="86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</row>
    <row r="22" spans="1:116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W22" s="829"/>
      <c r="AX22" s="829"/>
      <c r="AY22" s="829"/>
      <c r="AZ22" s="829"/>
      <c r="BA22" s="829"/>
      <c r="BB22" s="829"/>
      <c r="BC22" s="829"/>
      <c r="BF22" s="829"/>
      <c r="BG22" s="829"/>
      <c r="BH22" s="829"/>
      <c r="BI22" s="829"/>
      <c r="BJ22" s="829"/>
      <c r="BK22" s="829"/>
      <c r="BL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</row>
    <row r="23" spans="1:116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12</v>
      </c>
      <c r="G23" s="879" t="s">
        <v>879</v>
      </c>
      <c r="H23" s="879" t="s">
        <v>18</v>
      </c>
      <c r="I23" s="879" t="s">
        <v>891</v>
      </c>
      <c r="J23" s="846">
        <v>2</v>
      </c>
      <c r="K23" s="846">
        <v>1</v>
      </c>
      <c r="L23" s="816" t="str">
        <f>IF(J23="","",IF(J23&gt;K23,"W",IF(J23=K23,"D",IF(J23&lt;K23,"L"))))</f>
        <v>W</v>
      </c>
      <c r="M23" s="816">
        <f>IF(J23="","",J23+K23)</f>
        <v>3</v>
      </c>
      <c r="N23" s="816" t="str">
        <f>IF($J23="","",IF($M23&gt;N$19,"O",IF($M23&lt;N$19,"U",IF($M23=N$19,"-"))))</f>
        <v>O</v>
      </c>
      <c r="O23" s="816">
        <f t="shared" ref="O23:O58" si="23">IF(Q23="","",IF(SIGN(Q23)&lt;&gt;1,VLOOKUP(ABS(Q23),SUP_HDC,3,TRUE),-VLOOKUP(ABS(Q23),SUP_HDC,3,TRUE)))</f>
        <v>0.25</v>
      </c>
      <c r="P23" s="829">
        <f>IF(O23="","",IF((J23-K23+O23)&gt;=0.5,1,IF((J23-K23+O23)=0.25,0.5,IF((J23-K23+O23)&lt;=-0.5,-1,IF((J23-K23+O23)=-0.25,-0.5,0)))))</f>
        <v>1</v>
      </c>
      <c r="Q23" s="830">
        <v>-0.27</v>
      </c>
      <c r="R23" s="871">
        <f>IF(ISBLANK(Q23),"",J23-K23-Q23)</f>
        <v>1.27</v>
      </c>
      <c r="S23" s="830">
        <v>2.2000000000000002</v>
      </c>
      <c r="T23" s="871">
        <f>IF(ISBLANK(S23),"",J23+K23-S23)</f>
        <v>0.79999999999999982</v>
      </c>
      <c r="U23" s="868">
        <f>IF(Q23="","",(Q23+S23)/2)</f>
        <v>0.96500000000000008</v>
      </c>
      <c r="V23" s="868">
        <f>IF(Q23="","",S23-U23)</f>
        <v>1.2350000000000001</v>
      </c>
      <c r="W23" s="829">
        <v>7</v>
      </c>
      <c r="X23" s="829">
        <v>7</v>
      </c>
      <c r="Y23" s="829">
        <v>3</v>
      </c>
      <c r="Z23" s="829">
        <v>1</v>
      </c>
      <c r="AA23" s="829">
        <v>43</v>
      </c>
      <c r="AB23" s="829">
        <v>57</v>
      </c>
      <c r="AC23" s="829"/>
      <c r="AD23" s="816" t="str">
        <f t="array" ref="AD23">IF($J23="","",IF(SUM(IF(ISNUMBER(VALUE(RIGHT($AG23:$DX23,1))),VALUE(RIGHT($AG23:$DX23,1)),0))=$J23,"T","F"))</f>
        <v>T</v>
      </c>
      <c r="AE23" s="831">
        <f t="array" ref="AE23">IF($J23="","",SUM(IF(LEFT($AG23:$DX23,1)="s",1,0))-SUM(IF(RIGHT(LEFT($AG23:$DX23,2))="-",1,0)))</f>
        <v>0</v>
      </c>
      <c r="AF23" s="816">
        <f t="array" ref="AF23">IF($J23="","",SUM(IF(LEFT($AG23:$DX23,1)="X",1,0)))</f>
        <v>11</v>
      </c>
      <c r="AG23" s="891" t="s">
        <v>34</v>
      </c>
      <c r="AH23" s="891" t="s">
        <v>1877</v>
      </c>
      <c r="AI23" s="891" t="s">
        <v>32</v>
      </c>
      <c r="AJ23" s="891"/>
      <c r="AK23" s="891" t="s">
        <v>35</v>
      </c>
      <c r="AL23" s="891" t="s">
        <v>2007</v>
      </c>
      <c r="AM23" s="891" t="s">
        <v>1884</v>
      </c>
      <c r="AN23" s="891" t="s">
        <v>34</v>
      </c>
      <c r="AO23" s="891" t="s">
        <v>36</v>
      </c>
      <c r="AP23" s="891" t="s">
        <v>36</v>
      </c>
      <c r="AQ23" s="891" t="s">
        <v>34</v>
      </c>
      <c r="AR23" s="891" t="s">
        <v>34</v>
      </c>
      <c r="AS23" s="891" t="s">
        <v>32</v>
      </c>
      <c r="AT23" s="891" t="s">
        <v>32</v>
      </c>
      <c r="AU23" s="891" t="s">
        <v>32</v>
      </c>
      <c r="AW23" s="891" t="s">
        <v>36</v>
      </c>
      <c r="AX23" s="891" t="s">
        <v>35</v>
      </c>
      <c r="AY23" s="891" t="s">
        <v>34</v>
      </c>
      <c r="AZ23" s="891" t="s">
        <v>2007</v>
      </c>
      <c r="BA23" s="891" t="s">
        <v>32</v>
      </c>
      <c r="BB23" s="891" t="s">
        <v>1877</v>
      </c>
      <c r="BC23" s="891" t="s">
        <v>1879</v>
      </c>
      <c r="BD23" s="910"/>
      <c r="BE23" s="910"/>
      <c r="BF23" s="891" t="s">
        <v>35</v>
      </c>
      <c r="BG23" s="891" t="s">
        <v>32</v>
      </c>
      <c r="BH23" s="891" t="s">
        <v>1879</v>
      </c>
      <c r="BI23" s="891" t="s">
        <v>34</v>
      </c>
      <c r="BJ23" s="891" t="s">
        <v>1877</v>
      </c>
      <c r="BK23" s="891" t="s">
        <v>1877</v>
      </c>
      <c r="BL23" s="910"/>
      <c r="BO23" s="891"/>
      <c r="BP23" s="891"/>
      <c r="BQ23" s="891"/>
      <c r="BR23" s="891"/>
      <c r="BS23" s="891"/>
      <c r="BT23" s="891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896"/>
      <c r="CF23" s="428"/>
      <c r="CG23" s="428"/>
      <c r="CH23" s="428"/>
      <c r="CI23" s="428"/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</row>
    <row r="24" spans="1:116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6</v>
      </c>
      <c r="G24" s="879" t="s">
        <v>876</v>
      </c>
      <c r="H24" s="879" t="s">
        <v>18</v>
      </c>
      <c r="I24" s="879" t="s">
        <v>891</v>
      </c>
      <c r="J24" s="846">
        <v>1</v>
      </c>
      <c r="K24" s="846">
        <v>1</v>
      </c>
      <c r="L24" s="816" t="str">
        <f>IF(J24="","",IF(J24&gt;K24,"W",IF(J24=K24,"D",IF(J24&lt;K24,"L"))))</f>
        <v>D</v>
      </c>
      <c r="M24" s="816">
        <f>IF(J24="","",J24+K24)</f>
        <v>2</v>
      </c>
      <c r="N24" s="816" t="str">
        <f t="shared" ref="N24:N30" si="24">IF($J24="","",IF($M24&gt;N$19,"O",IF($M24&lt;N$19,"U",IF($M24=N$19,"-"))))</f>
        <v>U</v>
      </c>
      <c r="O24" s="816">
        <f t="shared" si="23"/>
        <v>0.25</v>
      </c>
      <c r="P24" s="829">
        <f t="shared" ref="P24:P58" si="25">IF(O24="","",IF((J24-K24+O24)&gt;=0.5,1,IF((J24-K24+O24)=0.25,0.5,IF((J24-K24+O24)&lt;=-0.5,-1,IF((J24-K24+O24)=-0.25,-0.5,0)))))</f>
        <v>0.5</v>
      </c>
      <c r="Q24" s="830">
        <v>-0.17</v>
      </c>
      <c r="R24" s="871">
        <f t="shared" ref="R24:R30" si="26">IF(ISBLANK(Q24),"",J24-K24-Q24)</f>
        <v>0.17</v>
      </c>
      <c r="S24" s="830">
        <v>2.25</v>
      </c>
      <c r="T24" s="871">
        <f t="shared" ref="T24:T69" si="27">IF(ISBLANK(S24),"",J24+K24-S24)</f>
        <v>-0.25</v>
      </c>
      <c r="U24" s="868">
        <f t="shared" ref="U24:U58" si="28">IF(Q24="","",(Q24+S24)/2)</f>
        <v>1.04</v>
      </c>
      <c r="V24" s="868">
        <f t="shared" ref="V24:V58" si="29">IF(Q24="","",S24-U24)</f>
        <v>1.21</v>
      </c>
      <c r="W24" s="829">
        <v>6</v>
      </c>
      <c r="X24" s="829">
        <v>11</v>
      </c>
      <c r="Y24" s="829">
        <v>2</v>
      </c>
      <c r="Z24" s="829">
        <v>4</v>
      </c>
      <c r="AA24" s="829">
        <v>43</v>
      </c>
      <c r="AB24" s="829">
        <v>57</v>
      </c>
      <c r="AD24" s="816" t="str">
        <f t="array" ref="AD24">IF($J24="","",IF(SUM(IF(ISNUMBER(VALUE(RIGHT($AG24:$DX24,1))),VALUE(RIGHT($AG24:$DX24,1)),0))=$J24,"T","F"))</f>
        <v>T</v>
      </c>
      <c r="AE24" s="831">
        <f t="array" ref="AE24">IF($J24="","",SUM(IF(LEFT($AG24:$DX24,1)="s",1,0))-SUM(IF(RIGHT(LEFT($AG24:$DX24,2))="-",1,0)))</f>
        <v>0</v>
      </c>
      <c r="AF24" s="816">
        <f t="array" ref="AF24">IF($J24="","",SUM(IF(LEFT($AG24:$DX24,1)="X",1,0)))</f>
        <v>11</v>
      </c>
      <c r="AG24" s="904" t="s">
        <v>34</v>
      </c>
      <c r="AH24" s="891" t="s">
        <v>1877</v>
      </c>
      <c r="AI24" s="891" t="s">
        <v>32</v>
      </c>
      <c r="AJ24" s="891"/>
      <c r="AK24" s="891" t="s">
        <v>35</v>
      </c>
      <c r="AL24" s="891" t="s">
        <v>2007</v>
      </c>
      <c r="AM24" s="891" t="s">
        <v>1884</v>
      </c>
      <c r="AN24" s="891" t="s">
        <v>34</v>
      </c>
      <c r="AO24" s="891" t="s">
        <v>1877</v>
      </c>
      <c r="AP24" s="891" t="s">
        <v>1877</v>
      </c>
      <c r="AQ24" s="891" t="s">
        <v>34</v>
      </c>
      <c r="AR24" s="904" t="s">
        <v>34</v>
      </c>
      <c r="AS24" s="891" t="s">
        <v>32</v>
      </c>
      <c r="AT24" s="891" t="s">
        <v>36</v>
      </c>
      <c r="AU24" s="891" t="s">
        <v>32</v>
      </c>
      <c r="AW24" s="891" t="s">
        <v>1877</v>
      </c>
      <c r="AX24" s="891" t="s">
        <v>34</v>
      </c>
      <c r="AY24" s="891" t="s">
        <v>34</v>
      </c>
      <c r="AZ24" s="891" t="s">
        <v>2007</v>
      </c>
      <c r="BA24" s="891" t="s">
        <v>32</v>
      </c>
      <c r="BB24" s="891" t="s">
        <v>32</v>
      </c>
      <c r="BC24" s="891" t="s">
        <v>34</v>
      </c>
      <c r="BD24" s="910"/>
      <c r="BE24" s="910"/>
      <c r="BF24" s="891" t="s">
        <v>35</v>
      </c>
      <c r="BG24" s="891" t="s">
        <v>36</v>
      </c>
      <c r="BH24" s="891" t="s">
        <v>34</v>
      </c>
      <c r="BI24" s="891" t="s">
        <v>1947</v>
      </c>
      <c r="BJ24" s="891" t="s">
        <v>36</v>
      </c>
      <c r="BK24" s="891"/>
      <c r="BL24" s="910"/>
      <c r="BO24" s="891"/>
      <c r="BP24" s="891"/>
      <c r="BQ24" s="891"/>
      <c r="BR24" s="891"/>
      <c r="BS24" s="891"/>
      <c r="BT24" s="891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896"/>
      <c r="CF24" s="428"/>
      <c r="CG24" s="428"/>
      <c r="CH24" s="428"/>
      <c r="CI24" s="428"/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  <c r="CP24" s="230" t="s">
        <v>32</v>
      </c>
    </row>
    <row r="25" spans="1:116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21</v>
      </c>
      <c r="G25" s="879" t="s">
        <v>890</v>
      </c>
      <c r="H25" s="879" t="s">
        <v>18</v>
      </c>
      <c r="I25" s="879" t="s">
        <v>891</v>
      </c>
      <c r="J25" s="846">
        <v>1</v>
      </c>
      <c r="K25" s="846">
        <v>1</v>
      </c>
      <c r="L25" s="816" t="str">
        <f>IF(J25="","",IF(J25&gt;K25,"W",IF(J25=K25,"D",IF(J25&lt;K25,"L"))))</f>
        <v>D</v>
      </c>
      <c r="M25" s="816">
        <f>IF(J25="","",J25+K25)</f>
        <v>2</v>
      </c>
      <c r="N25" s="816" t="str">
        <f t="shared" si="24"/>
        <v>U</v>
      </c>
      <c r="O25" s="816">
        <f t="shared" si="23"/>
        <v>-0.25</v>
      </c>
      <c r="P25" s="829">
        <f t="shared" si="25"/>
        <v>-0.5</v>
      </c>
      <c r="Q25" s="830">
        <v>0.27</v>
      </c>
      <c r="R25" s="871">
        <f t="shared" si="26"/>
        <v>-0.27</v>
      </c>
      <c r="S25" s="830">
        <v>2.17</v>
      </c>
      <c r="T25" s="871">
        <f t="shared" si="27"/>
        <v>-0.16999999999999993</v>
      </c>
      <c r="U25" s="868">
        <f t="shared" si="28"/>
        <v>1.22</v>
      </c>
      <c r="V25" s="868">
        <f t="shared" si="29"/>
        <v>0.95</v>
      </c>
      <c r="W25" s="829">
        <v>9</v>
      </c>
      <c r="X25" s="829">
        <v>7</v>
      </c>
      <c r="Y25" s="829">
        <v>5</v>
      </c>
      <c r="Z25" s="829">
        <v>3</v>
      </c>
      <c r="AA25" s="829">
        <v>52</v>
      </c>
      <c r="AB25" s="829">
        <v>48</v>
      </c>
      <c r="AC25" s="829"/>
      <c r="AD25" s="816" t="str">
        <f t="array" ref="AD25">IF($J25="","",IF(SUM(IF(ISNUMBER(VALUE(RIGHT($AG25:$DX25,1))),VALUE(RIGHT($AG25:$DX25,1)),0))=$J25,"T","F"))</f>
        <v>T</v>
      </c>
      <c r="AE25" s="831">
        <f t="array" ref="AE25">IF($J25="","",SUM(IF(LEFT($AG25:$DX25,1)="s",1,0))-SUM(IF(RIGHT(LEFT($AG25:$DX25,2))="-",1,0)))</f>
        <v>0</v>
      </c>
      <c r="AF25" s="816">
        <f t="array" ref="AF25">IF($J25="","",SUM(IF(LEFT($AG25:$DX25,1)="X",1,0)))</f>
        <v>11</v>
      </c>
      <c r="AG25" s="891" t="s">
        <v>34</v>
      </c>
      <c r="AH25" s="891" t="s">
        <v>1877</v>
      </c>
      <c r="AI25" s="891" t="s">
        <v>32</v>
      </c>
      <c r="AJ25" s="891"/>
      <c r="AK25" s="891" t="s">
        <v>32</v>
      </c>
      <c r="AL25" s="891" t="s">
        <v>2007</v>
      </c>
      <c r="AM25" s="891" t="s">
        <v>1884</v>
      </c>
      <c r="AN25" s="891" t="s">
        <v>34</v>
      </c>
      <c r="AO25" s="891" t="s">
        <v>36</v>
      </c>
      <c r="AP25" s="891" t="s">
        <v>1877</v>
      </c>
      <c r="AQ25" s="891" t="s">
        <v>34</v>
      </c>
      <c r="AR25" s="891" t="s">
        <v>34</v>
      </c>
      <c r="AS25" s="891" t="s">
        <v>32</v>
      </c>
      <c r="AT25" s="891" t="s">
        <v>35</v>
      </c>
      <c r="AU25" s="891" t="s">
        <v>32</v>
      </c>
      <c r="AW25" s="891" t="s">
        <v>34</v>
      </c>
      <c r="AX25" s="891" t="s">
        <v>34</v>
      </c>
      <c r="AY25" s="891" t="s">
        <v>32</v>
      </c>
      <c r="AZ25" s="891" t="s">
        <v>2007</v>
      </c>
      <c r="BA25" s="891" t="s">
        <v>1877</v>
      </c>
      <c r="BB25" s="891" t="s">
        <v>36</v>
      </c>
      <c r="BC25" s="891" t="s">
        <v>34</v>
      </c>
      <c r="BD25" s="910"/>
      <c r="BE25" s="910"/>
      <c r="BF25" s="891" t="s">
        <v>2008</v>
      </c>
      <c r="BG25" s="891" t="s">
        <v>35</v>
      </c>
      <c r="BH25" s="891" t="s">
        <v>1964</v>
      </c>
      <c r="BI25" s="891" t="s">
        <v>35</v>
      </c>
      <c r="BJ25" s="891" t="s">
        <v>1877</v>
      </c>
      <c r="BK25" s="891" t="s">
        <v>36</v>
      </c>
      <c r="BL25" s="910"/>
      <c r="BO25" s="891"/>
      <c r="BP25" s="891"/>
      <c r="BQ25" s="891"/>
      <c r="BR25" s="891"/>
      <c r="BS25" s="891"/>
      <c r="BT25" s="891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896"/>
      <c r="CF25" s="428"/>
      <c r="CG25" s="428"/>
      <c r="CH25" s="428"/>
      <c r="CI25" s="428"/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  <c r="CP25" s="230" t="s">
        <v>32</v>
      </c>
    </row>
    <row r="26" spans="1:116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19</v>
      </c>
      <c r="G26" s="879" t="s">
        <v>885</v>
      </c>
      <c r="H26" s="879" t="s">
        <v>22</v>
      </c>
      <c r="I26" s="879" t="s">
        <v>891</v>
      </c>
      <c r="J26" s="846">
        <v>0</v>
      </c>
      <c r="K26" s="846">
        <v>0</v>
      </c>
      <c r="L26" s="816" t="str">
        <f t="shared" ref="L26:L30" si="30">IF(J26="","",IF(J26&gt;K26,"W",IF(J26=K26,"D",IF(J26&lt;K26,"L"))))</f>
        <v>D</v>
      </c>
      <c r="M26" s="816">
        <f t="shared" ref="M26:M30" si="31">IF(J26="","",J26+K26)</f>
        <v>0</v>
      </c>
      <c r="N26" s="816" t="str">
        <f t="shared" si="24"/>
        <v>U</v>
      </c>
      <c r="O26" s="816">
        <f t="shared" si="23"/>
        <v>-0.75</v>
      </c>
      <c r="P26" s="829">
        <f t="shared" si="25"/>
        <v>-1</v>
      </c>
      <c r="Q26" s="830">
        <v>0.77</v>
      </c>
      <c r="R26" s="871">
        <f t="shared" si="26"/>
        <v>-0.77</v>
      </c>
      <c r="S26" s="830">
        <v>2.31</v>
      </c>
      <c r="T26" s="871">
        <f t="shared" si="27"/>
        <v>-2.31</v>
      </c>
      <c r="U26" s="868">
        <f t="shared" si="28"/>
        <v>1.54</v>
      </c>
      <c r="V26" s="868">
        <f t="shared" si="29"/>
        <v>0.77</v>
      </c>
      <c r="W26" s="829">
        <v>7</v>
      </c>
      <c r="X26" s="829">
        <v>18</v>
      </c>
      <c r="Y26" s="829">
        <v>2</v>
      </c>
      <c r="Z26" s="829">
        <v>3</v>
      </c>
      <c r="AA26" s="829">
        <v>49</v>
      </c>
      <c r="AB26" s="829">
        <v>51</v>
      </c>
      <c r="AC26" s="829"/>
      <c r="AD26" s="816" t="str">
        <f t="array" ref="AD26">IF($J26="","",IF(SUM(IF(ISNUMBER(VALUE(RIGHT($AG26:$DX26,1))),VALUE(RIGHT($AG26:$DX26,1)),0))=$J26,"T","F"))</f>
        <v>T</v>
      </c>
      <c r="AE26" s="831">
        <f t="array" ref="AE26">IF($J26="","",SUM(IF(LEFT($AG26:$DX26,1)="s",1,0))-SUM(IF(RIGHT(LEFT($AG26:$DX26,2))="-",1,0)))</f>
        <v>0</v>
      </c>
      <c r="AF26" s="816">
        <f t="array" ref="AF26">IF($J26="","",SUM(IF(LEFT($AG26:$DX26,1)="X",1,0)))</f>
        <v>11</v>
      </c>
      <c r="AG26" s="891" t="s">
        <v>34</v>
      </c>
      <c r="AH26" s="891" t="s">
        <v>1877</v>
      </c>
      <c r="AI26" s="891" t="s">
        <v>32</v>
      </c>
      <c r="AJ26" s="891"/>
      <c r="AK26" s="891" t="s">
        <v>1877</v>
      </c>
      <c r="AL26" s="891" t="s">
        <v>1884</v>
      </c>
      <c r="AM26" s="891" t="s">
        <v>1884</v>
      </c>
      <c r="AN26" s="891" t="s">
        <v>34</v>
      </c>
      <c r="AO26" s="891" t="s">
        <v>36</v>
      </c>
      <c r="AP26" s="891" t="s">
        <v>34</v>
      </c>
      <c r="AQ26" s="904" t="s">
        <v>35</v>
      </c>
      <c r="AR26" s="891" t="s">
        <v>1877</v>
      </c>
      <c r="AS26" s="891" t="s">
        <v>32</v>
      </c>
      <c r="AT26" s="891" t="s">
        <v>35</v>
      </c>
      <c r="AU26" s="891" t="s">
        <v>32</v>
      </c>
      <c r="AV26" s="891" t="s">
        <v>32</v>
      </c>
      <c r="AW26" s="891" t="s">
        <v>32</v>
      </c>
      <c r="AX26" s="904" t="s">
        <v>34</v>
      </c>
      <c r="AY26" s="891" t="s">
        <v>34</v>
      </c>
      <c r="AZ26" s="891" t="s">
        <v>1884</v>
      </c>
      <c r="BA26" s="891" t="s">
        <v>36</v>
      </c>
      <c r="BB26" s="891" t="s">
        <v>35</v>
      </c>
      <c r="BC26" s="891" t="s">
        <v>34</v>
      </c>
      <c r="BD26" s="910"/>
      <c r="BE26" s="910"/>
      <c r="BF26" s="891" t="s">
        <v>2105</v>
      </c>
      <c r="BG26" s="891" t="s">
        <v>1877</v>
      </c>
      <c r="BH26" s="891" t="s">
        <v>34</v>
      </c>
      <c r="BI26" s="891" t="s">
        <v>34</v>
      </c>
      <c r="BJ26" s="891" t="s">
        <v>32</v>
      </c>
      <c r="BK26" s="891" t="s">
        <v>36</v>
      </c>
      <c r="BL26" s="910"/>
      <c r="BM26" s="891"/>
      <c r="BN26" s="891"/>
      <c r="BO26" s="891"/>
      <c r="BP26" s="891"/>
      <c r="BQ26" s="891"/>
      <c r="BR26" s="891"/>
      <c r="BS26" s="891"/>
      <c r="BT26" s="891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896"/>
      <c r="CF26" s="4"/>
      <c r="CG26" s="4"/>
      <c r="CH26" s="4"/>
      <c r="CI26" s="4"/>
      <c r="CJ26" s="4" t="s">
        <v>32</v>
      </c>
      <c r="CK26" s="4" t="s">
        <v>32</v>
      </c>
      <c r="CL26" s="4" t="s">
        <v>32</v>
      </c>
      <c r="CM26" s="6" t="s">
        <v>32</v>
      </c>
      <c r="CN26" s="6" t="s">
        <v>32</v>
      </c>
      <c r="CO26" s="6" t="s">
        <v>32</v>
      </c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20"/>
    </row>
    <row r="27" spans="1:116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4</v>
      </c>
      <c r="G27" s="879" t="s">
        <v>1084</v>
      </c>
      <c r="H27" s="879" t="s">
        <v>22</v>
      </c>
      <c r="I27" s="879" t="s">
        <v>891</v>
      </c>
      <c r="J27" s="846">
        <v>0</v>
      </c>
      <c r="K27" s="846">
        <v>0</v>
      </c>
      <c r="L27" s="816" t="str">
        <f t="shared" si="30"/>
        <v>D</v>
      </c>
      <c r="M27" s="816">
        <f t="shared" si="31"/>
        <v>0</v>
      </c>
      <c r="N27" s="816" t="str">
        <f t="shared" si="24"/>
        <v>U</v>
      </c>
      <c r="O27" s="816">
        <f t="shared" si="23"/>
        <v>0</v>
      </c>
      <c r="P27" s="829">
        <f t="shared" si="25"/>
        <v>0</v>
      </c>
      <c r="Q27" s="830">
        <v>0.1</v>
      </c>
      <c r="R27" s="871">
        <f t="shared" si="26"/>
        <v>-0.1</v>
      </c>
      <c r="S27" s="830">
        <v>2.2799999999999998</v>
      </c>
      <c r="T27" s="871">
        <f t="shared" si="27"/>
        <v>-2.2799999999999998</v>
      </c>
      <c r="U27" s="868">
        <f t="shared" si="28"/>
        <v>1.19</v>
      </c>
      <c r="V27" s="868">
        <f t="shared" si="29"/>
        <v>1.0899999999999999</v>
      </c>
      <c r="W27" s="829">
        <v>8</v>
      </c>
      <c r="X27" s="829">
        <v>16</v>
      </c>
      <c r="Y27" s="829">
        <v>4</v>
      </c>
      <c r="Z27" s="829">
        <v>2</v>
      </c>
      <c r="AA27" s="829">
        <v>47</v>
      </c>
      <c r="AB27" s="829">
        <v>53</v>
      </c>
      <c r="AC27" s="829"/>
      <c r="AD27" s="816" t="str">
        <f t="array" ref="AD27">IF($J27="","",IF(SUM(IF(ISNUMBER(VALUE(RIGHT($AG27:$DX27,1))),VALUE(RIGHT($AG27:$DX27,1)),0))=$J27,"T","F"))</f>
        <v>T</v>
      </c>
      <c r="AE27" s="831">
        <f t="array" ref="AE27">IF($J27="","",SUM(IF(LEFT($AG27:$DX27,1)="s",1,0))-SUM(IF(RIGHT(LEFT($AG27:$DX27,2))="-",1,0)))</f>
        <v>0</v>
      </c>
      <c r="AF27" s="816">
        <f t="array" ref="AF27">IF($J27="","",SUM(IF(LEFT($AG27:$DX27,1)="X",1,0)))</f>
        <v>11</v>
      </c>
      <c r="AG27" s="891" t="s">
        <v>34</v>
      </c>
      <c r="AH27" s="891" t="s">
        <v>1877</v>
      </c>
      <c r="AI27" s="891" t="s">
        <v>32</v>
      </c>
      <c r="AJ27" s="891"/>
      <c r="AK27" s="891" t="s">
        <v>35</v>
      </c>
      <c r="AL27" s="891" t="s">
        <v>1884</v>
      </c>
      <c r="AM27" s="891" t="s">
        <v>1884</v>
      </c>
      <c r="AN27" s="891" t="s">
        <v>34</v>
      </c>
      <c r="AO27" s="891" t="s">
        <v>36</v>
      </c>
      <c r="AP27" s="891" t="s">
        <v>1877</v>
      </c>
      <c r="AQ27" s="891" t="s">
        <v>34</v>
      </c>
      <c r="AR27" s="891" t="s">
        <v>34</v>
      </c>
      <c r="AS27" s="891" t="s">
        <v>32</v>
      </c>
      <c r="AT27" s="891" t="s">
        <v>1877</v>
      </c>
      <c r="AU27" s="891" t="s">
        <v>32</v>
      </c>
      <c r="AV27" s="891" t="s">
        <v>32</v>
      </c>
      <c r="AW27" s="891" t="s">
        <v>1877</v>
      </c>
      <c r="AX27" s="891" t="s">
        <v>34</v>
      </c>
      <c r="AY27" s="891" t="s">
        <v>34</v>
      </c>
      <c r="AZ27" s="891" t="s">
        <v>1884</v>
      </c>
      <c r="BA27" s="891" t="s">
        <v>32</v>
      </c>
      <c r="BB27" s="891" t="s">
        <v>35</v>
      </c>
      <c r="BC27" s="891" t="s">
        <v>34</v>
      </c>
      <c r="BD27" s="910"/>
      <c r="BE27" s="910"/>
      <c r="BF27" s="891" t="s">
        <v>1884</v>
      </c>
      <c r="BG27" s="891" t="s">
        <v>36</v>
      </c>
      <c r="BH27" s="891" t="s">
        <v>35</v>
      </c>
      <c r="BI27" s="891" t="s">
        <v>34</v>
      </c>
      <c r="BJ27" s="891" t="s">
        <v>32</v>
      </c>
      <c r="BK27" s="891" t="s">
        <v>36</v>
      </c>
      <c r="BL27" s="910"/>
      <c r="BM27" s="891"/>
      <c r="BN27" s="891"/>
      <c r="BO27" s="891"/>
      <c r="BP27" s="891"/>
      <c r="BQ27" s="891"/>
      <c r="BR27" s="891"/>
      <c r="BS27" s="891"/>
      <c r="BT27" s="891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896"/>
      <c r="CF27" s="865"/>
      <c r="CG27" s="865"/>
      <c r="CH27" s="865"/>
      <c r="CI27" s="865"/>
      <c r="CJ27" s="865" t="s">
        <v>32</v>
      </c>
      <c r="CK27" s="865" t="s">
        <v>32</v>
      </c>
      <c r="CL27" s="865" t="s">
        <v>32</v>
      </c>
      <c r="CM27" s="4" t="s">
        <v>32</v>
      </c>
      <c r="CN27" s="6" t="s">
        <v>32</v>
      </c>
      <c r="CO27" s="6" t="s">
        <v>32</v>
      </c>
      <c r="CP27" s="6" t="s">
        <v>32</v>
      </c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</row>
    <row r="28" spans="1:116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2</v>
      </c>
      <c r="G28" s="879" t="s">
        <v>886</v>
      </c>
      <c r="H28" s="879" t="s">
        <v>18</v>
      </c>
      <c r="I28" s="879" t="s">
        <v>891</v>
      </c>
      <c r="J28" s="846">
        <v>0</v>
      </c>
      <c r="K28" s="846">
        <v>2</v>
      </c>
      <c r="L28" s="816" t="str">
        <f t="shared" si="30"/>
        <v>L</v>
      </c>
      <c r="M28" s="816">
        <f t="shared" si="31"/>
        <v>2</v>
      </c>
      <c r="N28" s="816" t="str">
        <f t="shared" si="24"/>
        <v>U</v>
      </c>
      <c r="O28" s="816">
        <f t="shared" si="23"/>
        <v>0</v>
      </c>
      <c r="P28" s="829">
        <f t="shared" si="25"/>
        <v>-1</v>
      </c>
      <c r="Q28" s="830">
        <v>0.08</v>
      </c>
      <c r="R28" s="871">
        <f t="shared" si="26"/>
        <v>-2.08</v>
      </c>
      <c r="S28" s="830">
        <v>2.0299999999999998</v>
      </c>
      <c r="T28" s="871">
        <f t="shared" si="27"/>
        <v>-2.9999999999999805E-2</v>
      </c>
      <c r="U28" s="868">
        <f t="shared" si="28"/>
        <v>1.0549999999999999</v>
      </c>
      <c r="V28" s="868">
        <f t="shared" si="29"/>
        <v>0.97499999999999987</v>
      </c>
      <c r="W28" s="829">
        <v>16</v>
      </c>
      <c r="X28" s="829">
        <v>12</v>
      </c>
      <c r="Y28" s="829">
        <v>5</v>
      </c>
      <c r="Z28" s="829">
        <v>2</v>
      </c>
      <c r="AA28" s="829">
        <v>57</v>
      </c>
      <c r="AB28" s="829">
        <v>43</v>
      </c>
      <c r="AC28" s="829"/>
      <c r="AD28" s="816" t="str">
        <f t="array" ref="AD28">IF($J28="","",IF(SUM(IF(ISNUMBER(VALUE(RIGHT($AG28:$DX28,1))),VALUE(RIGHT($AG28:$DX28,1)),0))=$J28,"T","F"))</f>
        <v>T</v>
      </c>
      <c r="AE28" s="831">
        <f t="array" ref="AE28">IF($J28="","",SUM(IF(LEFT($AG28:$DX28,1)="s",1,0))-SUM(IF(RIGHT(LEFT($AG28:$DX28,2))="-",1,0)))</f>
        <v>0</v>
      </c>
      <c r="AF28" s="816">
        <f t="array" ref="AF28">IF($J28="","",SUM(IF(LEFT($AG28:$DX28,1)="X",1,0)))</f>
        <v>11</v>
      </c>
      <c r="AG28" s="891" t="s">
        <v>34</v>
      </c>
      <c r="AH28" s="891" t="s">
        <v>1877</v>
      </c>
      <c r="AI28" s="891" t="s">
        <v>32</v>
      </c>
      <c r="AJ28" s="891"/>
      <c r="AK28" s="891" t="s">
        <v>34</v>
      </c>
      <c r="AL28" s="891" t="s">
        <v>1884</v>
      </c>
      <c r="AM28" s="891" t="s">
        <v>2171</v>
      </c>
      <c r="AN28" s="891" t="s">
        <v>34</v>
      </c>
      <c r="AO28" s="891" t="s">
        <v>32</v>
      </c>
      <c r="AP28" s="891" t="s">
        <v>34</v>
      </c>
      <c r="AQ28" s="891" t="s">
        <v>32</v>
      </c>
      <c r="AR28" s="891" t="s">
        <v>34</v>
      </c>
      <c r="AS28" s="891" t="s">
        <v>1877</v>
      </c>
      <c r="AT28" s="891" t="s">
        <v>1877</v>
      </c>
      <c r="AU28" s="891" t="s">
        <v>32</v>
      </c>
      <c r="AV28" s="891" t="s">
        <v>32</v>
      </c>
      <c r="AW28" s="891" t="s">
        <v>1877</v>
      </c>
      <c r="AX28" s="891" t="s">
        <v>36</v>
      </c>
      <c r="AY28" s="904" t="s">
        <v>35</v>
      </c>
      <c r="AZ28" s="891" t="s">
        <v>1884</v>
      </c>
      <c r="BA28" s="904" t="s">
        <v>34</v>
      </c>
      <c r="BB28" s="891" t="s">
        <v>35</v>
      </c>
      <c r="BC28" s="891" t="s">
        <v>36</v>
      </c>
      <c r="BD28" s="910"/>
      <c r="BE28" s="910"/>
      <c r="BF28" s="891" t="s">
        <v>1884</v>
      </c>
      <c r="BG28" s="891" t="s">
        <v>34</v>
      </c>
      <c r="BH28" s="891" t="s">
        <v>35</v>
      </c>
      <c r="BI28" s="891" t="s">
        <v>34</v>
      </c>
      <c r="BJ28" s="891" t="s">
        <v>32</v>
      </c>
      <c r="BK28" s="904" t="s">
        <v>36</v>
      </c>
      <c r="BL28" s="910"/>
      <c r="BM28" s="891"/>
      <c r="BN28" s="891"/>
      <c r="BO28" s="891"/>
      <c r="BP28" s="891"/>
      <c r="BQ28" s="891"/>
      <c r="BR28" s="891"/>
      <c r="BS28" s="891"/>
      <c r="BT28" s="891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896"/>
      <c r="CF28" s="4"/>
      <c r="CG28" s="4"/>
      <c r="CH28" s="4"/>
      <c r="CI28" s="4"/>
      <c r="CJ28" s="4" t="s">
        <v>32</v>
      </c>
      <c r="CK28" s="4" t="s">
        <v>32</v>
      </c>
      <c r="CL28" s="4" t="s">
        <v>32</v>
      </c>
      <c r="CM28" s="4" t="s">
        <v>32</v>
      </c>
      <c r="CN28" s="6" t="s">
        <v>32</v>
      </c>
      <c r="CO28" s="6" t="s">
        <v>32</v>
      </c>
      <c r="CP28" s="6" t="s">
        <v>32</v>
      </c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</row>
    <row r="29" spans="1:116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9</v>
      </c>
      <c r="G29" s="879" t="s">
        <v>1083</v>
      </c>
      <c r="H29" s="879" t="s">
        <v>22</v>
      </c>
      <c r="I29" s="879" t="s">
        <v>891</v>
      </c>
      <c r="J29" s="846">
        <v>3</v>
      </c>
      <c r="K29" s="846">
        <v>2</v>
      </c>
      <c r="L29" s="816" t="str">
        <f t="shared" si="30"/>
        <v>W</v>
      </c>
      <c r="M29" s="816">
        <f t="shared" si="31"/>
        <v>5</v>
      </c>
      <c r="N29" s="816" t="str">
        <f t="shared" si="24"/>
        <v>O</v>
      </c>
      <c r="O29" s="816">
        <f t="shared" si="23"/>
        <v>-0.25</v>
      </c>
      <c r="P29" s="829">
        <f t="shared" si="25"/>
        <v>1</v>
      </c>
      <c r="Q29" s="830">
        <v>0.15</v>
      </c>
      <c r="R29" s="871">
        <f t="shared" si="26"/>
        <v>0.85</v>
      </c>
      <c r="S29" s="830">
        <v>2.0099999999999998</v>
      </c>
      <c r="T29" s="871">
        <f t="shared" si="27"/>
        <v>2.99</v>
      </c>
      <c r="U29" s="868">
        <f t="shared" si="28"/>
        <v>1.0799999999999998</v>
      </c>
      <c r="V29" s="868">
        <f t="shared" si="29"/>
        <v>0.92999999999999994</v>
      </c>
      <c r="W29" s="829">
        <v>11</v>
      </c>
      <c r="X29" s="829">
        <v>16</v>
      </c>
      <c r="Y29" s="829">
        <v>3</v>
      </c>
      <c r="Z29" s="829">
        <v>9</v>
      </c>
      <c r="AA29" s="829">
        <v>41</v>
      </c>
      <c r="AB29" s="829">
        <v>59</v>
      </c>
      <c r="AC29" s="829"/>
      <c r="AD29" s="816" t="str">
        <f t="array" ref="AD29">IF($J29="","",IF(SUM(IF(ISNUMBER(VALUE(RIGHT($AG29:$DX29,1))),VALUE(RIGHT($AG29:$DX29,1)),0))=$J29,"T","F"))</f>
        <v>T</v>
      </c>
      <c r="AE29" s="831">
        <f t="array" ref="AE29">IF($J29="","",SUM(IF(LEFT($AG29:$DX29,1)="s",1,0))-SUM(IF(RIGHT(LEFT($AG29:$DX29,2))="-",1,0)))</f>
        <v>0</v>
      </c>
      <c r="AF29" s="816">
        <f t="array" ref="AF29">IF($J29="","",SUM(IF(LEFT($AG29:$DX29,1)="X",1,0)))</f>
        <v>11</v>
      </c>
      <c r="AG29" s="891" t="s">
        <v>34</v>
      </c>
      <c r="AH29" s="891" t="s">
        <v>1877</v>
      </c>
      <c r="AI29" s="891" t="s">
        <v>32</v>
      </c>
      <c r="AJ29" s="891"/>
      <c r="AK29" s="891" t="s">
        <v>35</v>
      </c>
      <c r="AL29" s="891" t="s">
        <v>1884</v>
      </c>
      <c r="AM29" s="891" t="s">
        <v>1884</v>
      </c>
      <c r="AN29" s="891" t="s">
        <v>34</v>
      </c>
      <c r="AO29" s="904" t="s">
        <v>36</v>
      </c>
      <c r="AP29" s="891" t="s">
        <v>1877</v>
      </c>
      <c r="AQ29" s="891" t="s">
        <v>32</v>
      </c>
      <c r="AR29" s="891" t="s">
        <v>34</v>
      </c>
      <c r="AS29" s="891" t="s">
        <v>32</v>
      </c>
      <c r="AT29" s="891" t="s">
        <v>34</v>
      </c>
      <c r="AU29" s="891" t="s">
        <v>32</v>
      </c>
      <c r="AV29" s="891" t="s">
        <v>1877</v>
      </c>
      <c r="AW29" s="891" t="s">
        <v>36</v>
      </c>
      <c r="AX29" s="891" t="s">
        <v>36</v>
      </c>
      <c r="AY29" s="891" t="s">
        <v>34</v>
      </c>
      <c r="AZ29" s="891" t="s">
        <v>1884</v>
      </c>
      <c r="BA29" s="891" t="s">
        <v>35</v>
      </c>
      <c r="BB29" s="891" t="s">
        <v>32</v>
      </c>
      <c r="BC29" s="891" t="s">
        <v>2188</v>
      </c>
      <c r="BD29" s="910"/>
      <c r="BE29" s="910"/>
      <c r="BF29" s="891" t="s">
        <v>1884</v>
      </c>
      <c r="BG29" s="891" t="s">
        <v>35</v>
      </c>
      <c r="BH29" s="891" t="s">
        <v>2202</v>
      </c>
      <c r="BI29" s="891" t="s">
        <v>2188</v>
      </c>
      <c r="BJ29" s="891" t="s">
        <v>32</v>
      </c>
      <c r="BK29" s="891" t="s">
        <v>1877</v>
      </c>
      <c r="BL29" s="910"/>
      <c r="BM29" s="891"/>
      <c r="BN29" s="891"/>
      <c r="BO29" s="891"/>
      <c r="BP29" s="891"/>
      <c r="BQ29" s="891"/>
      <c r="BR29" s="891"/>
      <c r="BS29" s="891"/>
      <c r="BT29" s="891"/>
      <c r="BU29" s="896"/>
      <c r="BV29" s="896"/>
      <c r="BW29" s="896"/>
      <c r="BX29" s="896"/>
      <c r="BY29" s="896"/>
      <c r="BZ29" s="896"/>
      <c r="CA29" s="896"/>
      <c r="CB29" s="896"/>
      <c r="CC29" s="896"/>
      <c r="CD29" s="896"/>
      <c r="CE29" s="891"/>
      <c r="CF29" s="4"/>
      <c r="CG29" s="4"/>
      <c r="CH29" s="4"/>
      <c r="CI29" s="4"/>
      <c r="CJ29" s="4" t="s">
        <v>32</v>
      </c>
      <c r="CK29" s="4" t="s">
        <v>32</v>
      </c>
      <c r="CL29" s="4" t="s">
        <v>32</v>
      </c>
      <c r="CM29" s="4" t="s">
        <v>32</v>
      </c>
      <c r="CN29" s="6" t="s">
        <v>32</v>
      </c>
      <c r="CO29" s="6" t="s">
        <v>32</v>
      </c>
      <c r="CP29" s="6" t="s">
        <v>32</v>
      </c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</row>
    <row r="30" spans="1:116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5</v>
      </c>
      <c r="G30" s="879" t="s">
        <v>889</v>
      </c>
      <c r="H30" s="879" t="s">
        <v>22</v>
      </c>
      <c r="I30" s="879" t="s">
        <v>891</v>
      </c>
      <c r="J30" s="846">
        <v>1</v>
      </c>
      <c r="K30" s="846">
        <v>0</v>
      </c>
      <c r="L30" s="816" t="str">
        <f t="shared" si="30"/>
        <v>W</v>
      </c>
      <c r="M30" s="816">
        <f t="shared" si="31"/>
        <v>1</v>
      </c>
      <c r="N30" s="816" t="str">
        <f t="shared" si="24"/>
        <v>U</v>
      </c>
      <c r="O30" s="816">
        <f t="shared" si="23"/>
        <v>-0.25</v>
      </c>
      <c r="P30" s="829">
        <f t="shared" si="25"/>
        <v>1</v>
      </c>
      <c r="Q30" s="830">
        <v>0.25</v>
      </c>
      <c r="R30" s="871">
        <f t="shared" si="26"/>
        <v>0.75</v>
      </c>
      <c r="S30" s="830">
        <v>2.25</v>
      </c>
      <c r="T30" s="871">
        <f t="shared" si="27"/>
        <v>-1.25</v>
      </c>
      <c r="U30" s="868">
        <f t="shared" si="28"/>
        <v>1.25</v>
      </c>
      <c r="V30" s="868">
        <f t="shared" si="29"/>
        <v>1</v>
      </c>
      <c r="W30" s="829">
        <v>10</v>
      </c>
      <c r="X30" s="829">
        <v>24</v>
      </c>
      <c r="Y30" s="829">
        <v>4</v>
      </c>
      <c r="Z30" s="829">
        <v>7</v>
      </c>
      <c r="AA30" s="829">
        <v>45</v>
      </c>
      <c r="AB30" s="829">
        <v>55</v>
      </c>
      <c r="AC30" s="829"/>
      <c r="AD30" s="816" t="str">
        <f t="array" ref="AD30">IF($J30="","",IF(SUM(IF(ISNUMBER(VALUE(RIGHT($AG30:$DX30,1))),VALUE(RIGHT($AG30:$DX30,1)),0))=$J30,"T","F"))</f>
        <v>T</v>
      </c>
      <c r="AE30" s="831">
        <f t="array" ref="AE30">IF($J30="","",SUM(IF(LEFT($AG30:$DX30,1)="s",1,0))-SUM(IF(RIGHT(LEFT($AG30:$DX30,2))="-",1,0)))</f>
        <v>0</v>
      </c>
      <c r="AF30" s="816">
        <f t="array" ref="AF30">IF($J30="","",SUM(IF(LEFT($AG30:$DX30,1)="X",1,0)))</f>
        <v>11</v>
      </c>
      <c r="AG30" s="891" t="s">
        <v>34</v>
      </c>
      <c r="AH30" s="891" t="s">
        <v>1877</v>
      </c>
      <c r="AI30" s="891" t="s">
        <v>32</v>
      </c>
      <c r="AJ30" s="891"/>
      <c r="AK30" s="891" t="s">
        <v>35</v>
      </c>
      <c r="AL30" s="891" t="s">
        <v>1884</v>
      </c>
      <c r="AM30" s="891" t="s">
        <v>2229</v>
      </c>
      <c r="AN30" s="891" t="s">
        <v>34</v>
      </c>
      <c r="AO30" s="891" t="s">
        <v>36</v>
      </c>
      <c r="AP30" s="891" t="s">
        <v>32</v>
      </c>
      <c r="AQ30" s="891" t="s">
        <v>32</v>
      </c>
      <c r="AR30" s="891" t="s">
        <v>34</v>
      </c>
      <c r="AS30" s="891" t="s">
        <v>1877</v>
      </c>
      <c r="AT30" s="891" t="s">
        <v>34</v>
      </c>
      <c r="AU30" s="891" t="s">
        <v>32</v>
      </c>
      <c r="AV30" s="891" t="s">
        <v>32</v>
      </c>
      <c r="AW30" s="891" t="s">
        <v>36</v>
      </c>
      <c r="AX30" s="891" t="s">
        <v>1877</v>
      </c>
      <c r="AY30" s="891" t="s">
        <v>34</v>
      </c>
      <c r="AZ30" s="891" t="s">
        <v>1884</v>
      </c>
      <c r="BA30" s="891" t="s">
        <v>34</v>
      </c>
      <c r="BB30" s="891" t="s">
        <v>36</v>
      </c>
      <c r="BC30" s="891" t="s">
        <v>34</v>
      </c>
      <c r="BD30" s="910"/>
      <c r="BE30" s="910"/>
      <c r="BF30" s="891" t="s">
        <v>1884</v>
      </c>
      <c r="BG30" s="891" t="s">
        <v>2230</v>
      </c>
      <c r="BH30" s="891" t="s">
        <v>34</v>
      </c>
      <c r="BI30" s="891" t="s">
        <v>35</v>
      </c>
      <c r="BJ30" s="891" t="s">
        <v>32</v>
      </c>
      <c r="BK30" s="891" t="s">
        <v>1877</v>
      </c>
      <c r="BL30" s="910"/>
      <c r="BM30" s="891"/>
      <c r="BN30" s="891"/>
      <c r="BO30" s="891"/>
      <c r="BP30" s="891"/>
      <c r="BQ30" s="891"/>
      <c r="BR30" s="891"/>
      <c r="BS30" s="891"/>
      <c r="BT30" s="891"/>
      <c r="BU30" s="896"/>
      <c r="BV30" s="896"/>
      <c r="BW30" s="896"/>
      <c r="BX30" s="896"/>
      <c r="BY30" s="891"/>
      <c r="BZ30" s="891"/>
      <c r="CA30" s="891"/>
      <c r="CB30" s="891"/>
      <c r="CC30" s="891"/>
      <c r="CD30" s="891"/>
      <c r="CE30" s="891"/>
      <c r="CF30" s="428"/>
      <c r="CG30" s="428"/>
      <c r="CH30" s="428"/>
      <c r="CI30" s="428"/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  <c r="CP30" s="230" t="s">
        <v>32</v>
      </c>
    </row>
    <row r="31" spans="1:116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13</v>
      </c>
      <c r="G31" s="879" t="s">
        <v>884</v>
      </c>
      <c r="H31" s="879" t="s">
        <v>18</v>
      </c>
      <c r="I31" s="879" t="s">
        <v>891</v>
      </c>
      <c r="J31" s="846">
        <v>1</v>
      </c>
      <c r="K31" s="846">
        <v>2</v>
      </c>
      <c r="L31" s="816" t="str">
        <f>IF(J31="","",IF(J31&gt;K31,"W",IF(J31=K31,"D",IF(J31&lt;K31,"L"))))</f>
        <v>L</v>
      </c>
      <c r="M31" s="816">
        <f>IF(J31="","",J31+K31)</f>
        <v>3</v>
      </c>
      <c r="N31" s="816" t="str">
        <f>IF($J31="","",IF($M31&gt;N$19,"O",IF($M31&lt;N$19,"U",IF($M31=N$19,"-"))))</f>
        <v>O</v>
      </c>
      <c r="O31" s="816">
        <f t="shared" si="23"/>
        <v>0</v>
      </c>
      <c r="P31" s="829">
        <f t="shared" si="25"/>
        <v>-1</v>
      </c>
      <c r="Q31" s="830">
        <v>-0.01</v>
      </c>
      <c r="R31" s="871">
        <f>IF(ISBLANK(Q31),"",J31-K31-Q31)</f>
        <v>-0.99</v>
      </c>
      <c r="S31" s="830">
        <v>2.08</v>
      </c>
      <c r="T31" s="871">
        <f t="shared" si="27"/>
        <v>0.91999999999999993</v>
      </c>
      <c r="U31" s="868">
        <f t="shared" si="28"/>
        <v>1.0350000000000001</v>
      </c>
      <c r="V31" s="868">
        <f t="shared" si="29"/>
        <v>1.0449999999999999</v>
      </c>
      <c r="W31" s="829">
        <v>16</v>
      </c>
      <c r="X31" s="829">
        <v>9</v>
      </c>
      <c r="Y31" s="829">
        <v>3</v>
      </c>
      <c r="Z31" s="829">
        <v>3</v>
      </c>
      <c r="AA31" s="829">
        <v>65</v>
      </c>
      <c r="AB31" s="829">
        <v>35</v>
      </c>
      <c r="AC31" s="829"/>
      <c r="AD31" s="816" t="str">
        <f t="array" ref="AD31">IF($J31="","",IF(SUM(IF(ISNUMBER(VALUE(RIGHT($AG31:$DX31,1))),VALUE(RIGHT($AG31:$DX31,1)),0))=$J31,"T","F"))</f>
        <v>T</v>
      </c>
      <c r="AE31" s="831">
        <f t="array" ref="AE31">IF($J31="","",SUM(IF(LEFT($AG31:$DX31,1)="s",1,0))-SUM(IF(RIGHT(LEFT($AG31:$DX31,2))="-",1,0)))</f>
        <v>0</v>
      </c>
      <c r="AF31" s="816">
        <f t="array" ref="AF31">IF($J31="","",SUM(IF(LEFT($AG31:$DX31,1)="X",1,0)))</f>
        <v>11</v>
      </c>
      <c r="AG31" s="891" t="s">
        <v>34</v>
      </c>
      <c r="AH31" s="891" t="s">
        <v>1877</v>
      </c>
      <c r="AI31" s="891" t="s">
        <v>32</v>
      </c>
      <c r="AJ31" s="891"/>
      <c r="AK31" s="891" t="s">
        <v>36</v>
      </c>
      <c r="AL31" s="891" t="s">
        <v>1884</v>
      </c>
      <c r="AM31" s="891" t="s">
        <v>2319</v>
      </c>
      <c r="AN31" s="891" t="s">
        <v>34</v>
      </c>
      <c r="AO31" s="891" t="s">
        <v>34</v>
      </c>
      <c r="AP31" s="891" t="s">
        <v>32</v>
      </c>
      <c r="AQ31" s="891" t="s">
        <v>32</v>
      </c>
      <c r="AR31" s="891" t="s">
        <v>34</v>
      </c>
      <c r="AS31" s="891" t="s">
        <v>1877</v>
      </c>
      <c r="AT31" s="891" t="s">
        <v>34</v>
      </c>
      <c r="AU31" s="891" t="s">
        <v>32</v>
      </c>
      <c r="AV31" s="891" t="s">
        <v>32</v>
      </c>
      <c r="AW31" s="891" t="s">
        <v>1877</v>
      </c>
      <c r="AX31" s="891" t="s">
        <v>34</v>
      </c>
      <c r="AY31" s="904" t="s">
        <v>35</v>
      </c>
      <c r="AZ31" s="891" t="s">
        <v>1884</v>
      </c>
      <c r="BA31" s="891" t="s">
        <v>36</v>
      </c>
      <c r="BB31" s="891" t="s">
        <v>1877</v>
      </c>
      <c r="BC31" s="891" t="s">
        <v>35</v>
      </c>
      <c r="BD31" s="910"/>
      <c r="BE31" s="910"/>
      <c r="BF31" s="891" t="s">
        <v>1884</v>
      </c>
      <c r="BG31" s="891" t="s">
        <v>34</v>
      </c>
      <c r="BH31" s="891" t="s">
        <v>35</v>
      </c>
      <c r="BI31" s="904" t="s">
        <v>34</v>
      </c>
      <c r="BJ31" s="891" t="s">
        <v>32</v>
      </c>
      <c r="BK31" s="891" t="s">
        <v>2320</v>
      </c>
      <c r="BL31" s="910"/>
      <c r="BM31" s="891"/>
      <c r="BN31" s="891"/>
      <c r="BO31" s="891"/>
      <c r="BP31" s="891"/>
      <c r="BQ31" s="891"/>
      <c r="BR31" s="891"/>
      <c r="BS31" s="891"/>
      <c r="BT31" s="891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896"/>
      <c r="CF31" s="428"/>
      <c r="CG31" s="428"/>
      <c r="CH31" s="428"/>
      <c r="CI31" s="428"/>
      <c r="CJ31" s="230" t="s">
        <v>32</v>
      </c>
      <c r="CK31" s="230" t="s">
        <v>32</v>
      </c>
      <c r="CL31" s="230" t="s">
        <v>32</v>
      </c>
      <c r="CM31" s="230" t="s">
        <v>32</v>
      </c>
      <c r="CN31" s="230" t="s">
        <v>32</v>
      </c>
      <c r="CO31" s="230" t="s">
        <v>32</v>
      </c>
      <c r="CP31" s="230" t="s">
        <v>32</v>
      </c>
    </row>
    <row r="32" spans="1:116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15</v>
      </c>
      <c r="G32" s="879" t="s">
        <v>881</v>
      </c>
      <c r="H32" s="879" t="s">
        <v>18</v>
      </c>
      <c r="I32" s="879" t="s">
        <v>891</v>
      </c>
      <c r="J32" s="846">
        <v>0</v>
      </c>
      <c r="K32" s="846">
        <v>2</v>
      </c>
      <c r="L32" s="816" t="str">
        <f t="shared" ref="L32:L66" si="32">IF(J32="","",IF(J32&gt;K32,"W",IF(J32=K32,"D",IF(J32&lt;K32,"L"))))</f>
        <v>L</v>
      </c>
      <c r="M32" s="816">
        <f t="shared" ref="M32:M66" si="33">IF(J32="","",J32+K32)</f>
        <v>2</v>
      </c>
      <c r="N32" s="816" t="str">
        <f t="shared" ref="N32:N66" si="34">IF($J32="","",IF($M32&gt;N$19,"O",IF($M32&lt;N$19,"U",IF($M32=N$19,"-"))))</f>
        <v>U</v>
      </c>
      <c r="O32" s="816">
        <f t="shared" si="23"/>
        <v>0.25</v>
      </c>
      <c r="P32" s="829">
        <f t="shared" si="25"/>
        <v>-1</v>
      </c>
      <c r="Q32" s="830">
        <v>-0.15</v>
      </c>
      <c r="R32" s="871">
        <f t="shared" ref="R32:R66" si="35">IF(ISBLANK(Q32),"",J32-K32-Q32)</f>
        <v>-1.85</v>
      </c>
      <c r="S32" s="830">
        <v>2.15</v>
      </c>
      <c r="T32" s="871">
        <f t="shared" si="27"/>
        <v>-0.14999999999999991</v>
      </c>
      <c r="U32" s="868">
        <f t="shared" si="28"/>
        <v>1</v>
      </c>
      <c r="V32" s="868">
        <f t="shared" si="29"/>
        <v>1.1499999999999999</v>
      </c>
      <c r="W32" s="829">
        <v>9</v>
      </c>
      <c r="X32" s="829">
        <v>9</v>
      </c>
      <c r="Y32" s="829">
        <v>2</v>
      </c>
      <c r="Z32" s="829">
        <v>3</v>
      </c>
      <c r="AA32" s="829">
        <v>56</v>
      </c>
      <c r="AB32" s="829">
        <v>44</v>
      </c>
      <c r="AC32" s="829"/>
      <c r="AD32" s="816" t="str">
        <f t="array" ref="AD32">IF($J32="","",IF(SUM(IF(ISNUMBER(VALUE(RIGHT($AG32:$DX32,1))),VALUE(RIGHT($AG32:$DX32,1)),0))=$J32,"T","F"))</f>
        <v>T</v>
      </c>
      <c r="AE32" s="831">
        <f t="array" ref="AE32">IF($J32="","",SUM(IF(LEFT($AG32:$DX32,1)="s",1,0))-SUM(IF(RIGHT(LEFT($AG32:$DX32,2))="-",1,0)))</f>
        <v>0</v>
      </c>
      <c r="AF32" s="816">
        <f t="array" ref="AF32">IF($J32="","",SUM(IF(LEFT($AG32:$DX32,1)="X",1,0)))</f>
        <v>11</v>
      </c>
      <c r="AG32" s="891" t="s">
        <v>2333</v>
      </c>
      <c r="AH32" s="891" t="s">
        <v>2358</v>
      </c>
      <c r="AI32" s="891"/>
      <c r="AJ32" s="891"/>
      <c r="AK32" s="891" t="s">
        <v>871</v>
      </c>
      <c r="AL32" s="891" t="s">
        <v>2007</v>
      </c>
      <c r="AM32" s="891" t="s">
        <v>1884</v>
      </c>
      <c r="AN32" s="891" t="s">
        <v>2334</v>
      </c>
      <c r="AO32" s="891" t="s">
        <v>2353</v>
      </c>
      <c r="AP32" s="891"/>
      <c r="AQ32" s="891"/>
      <c r="AR32" s="891" t="s">
        <v>2334</v>
      </c>
      <c r="AS32" s="891" t="s">
        <v>2351</v>
      </c>
      <c r="AT32" s="891" t="s">
        <v>2334</v>
      </c>
      <c r="AU32" s="891"/>
      <c r="AV32" s="891"/>
      <c r="AW32" s="891" t="s">
        <v>2351</v>
      </c>
      <c r="AX32" s="891" t="s">
        <v>2334</v>
      </c>
      <c r="AY32" s="891" t="s">
        <v>2334</v>
      </c>
      <c r="AZ32" s="891" t="s">
        <v>2007</v>
      </c>
      <c r="BA32" s="891" t="s">
        <v>2353</v>
      </c>
      <c r="BB32" s="891" t="s">
        <v>2350</v>
      </c>
      <c r="BC32" s="891"/>
      <c r="BD32" s="910"/>
      <c r="BE32" s="910"/>
      <c r="BF32" s="891" t="s">
        <v>2008</v>
      </c>
      <c r="BG32" s="891" t="s">
        <v>2350</v>
      </c>
      <c r="BH32" s="891" t="s">
        <v>2334</v>
      </c>
      <c r="BI32" s="904" t="s">
        <v>2334</v>
      </c>
      <c r="BJ32" s="891" t="s">
        <v>2351</v>
      </c>
      <c r="BK32" s="891" t="s">
        <v>2350</v>
      </c>
      <c r="BL32" s="910"/>
      <c r="BM32" s="891"/>
      <c r="BN32" s="891"/>
      <c r="BO32" s="891"/>
      <c r="BP32" s="891"/>
      <c r="BQ32" s="891"/>
      <c r="BR32" s="896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896"/>
      <c r="CF32" s="428"/>
      <c r="CG32" s="428"/>
      <c r="CH32" s="428"/>
      <c r="CI32" s="428"/>
      <c r="CJ32" s="230" t="s">
        <v>32</v>
      </c>
      <c r="CK32" s="230" t="s">
        <v>32</v>
      </c>
      <c r="CL32" s="230" t="s">
        <v>32</v>
      </c>
      <c r="CM32" s="230" t="s">
        <v>32</v>
      </c>
      <c r="CN32" s="230" t="s">
        <v>32</v>
      </c>
      <c r="CO32" s="230" t="s">
        <v>32</v>
      </c>
      <c r="CP32" s="230" t="s">
        <v>32</v>
      </c>
    </row>
    <row r="33" spans="1:121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14</v>
      </c>
      <c r="G33" s="879" t="s">
        <v>873</v>
      </c>
      <c r="H33" s="879" t="s">
        <v>22</v>
      </c>
      <c r="I33" s="879" t="s">
        <v>891</v>
      </c>
      <c r="J33" s="846">
        <v>0</v>
      </c>
      <c r="K33" s="846">
        <v>0</v>
      </c>
      <c r="L33" s="816" t="str">
        <f t="shared" si="32"/>
        <v>D</v>
      </c>
      <c r="M33" s="816">
        <f t="shared" si="33"/>
        <v>0</v>
      </c>
      <c r="N33" s="816" t="str">
        <f t="shared" si="34"/>
        <v>U</v>
      </c>
      <c r="O33" s="816">
        <f t="shared" si="23"/>
        <v>-0.25</v>
      </c>
      <c r="P33" s="829">
        <f t="shared" si="25"/>
        <v>-0.5</v>
      </c>
      <c r="Q33" s="830">
        <v>0.25</v>
      </c>
      <c r="R33" s="871">
        <f t="shared" si="35"/>
        <v>-0.25</v>
      </c>
      <c r="S33" s="830">
        <v>2.15</v>
      </c>
      <c r="T33" s="871">
        <f t="shared" si="27"/>
        <v>-2.15</v>
      </c>
      <c r="U33" s="868">
        <f t="shared" si="28"/>
        <v>1.2</v>
      </c>
      <c r="V33" s="868">
        <f t="shared" si="29"/>
        <v>0.95</v>
      </c>
      <c r="W33" s="829">
        <v>15</v>
      </c>
      <c r="X33" s="829">
        <v>10</v>
      </c>
      <c r="Y33" s="829">
        <v>3</v>
      </c>
      <c r="Z33" s="829">
        <v>4</v>
      </c>
      <c r="AA33" s="829">
        <v>50</v>
      </c>
      <c r="AB33" s="829">
        <v>50</v>
      </c>
      <c r="AC33" s="829"/>
      <c r="AD33" s="816" t="str">
        <f t="array" ref="AD33">IF($J33="","",IF(SUM(IF(ISNUMBER(VALUE(RIGHT($AG33:$DX33,1))),VALUE(RIGHT($AG33:$DX33,1)),0))=$J33,"T","F"))</f>
        <v>T</v>
      </c>
      <c r="AE33" s="831">
        <f t="array" ref="AE33">IF($J33="","",SUM(IF(LEFT($AG33:$DX33,1)="s",1,0))-SUM(IF(RIGHT(LEFT($AG33:$DX33,2))="-",1,0)))</f>
        <v>0</v>
      </c>
      <c r="AF33" s="816">
        <f t="array" ref="AF33">IF($J33="","",SUM(IF(LEFT($AG33:$DX33,1)="X",1,0)))</f>
        <v>11</v>
      </c>
      <c r="AG33" s="891" t="s">
        <v>34</v>
      </c>
      <c r="AH33" s="891" t="s">
        <v>1877</v>
      </c>
      <c r="AI33" s="891" t="s">
        <v>32</v>
      </c>
      <c r="AJ33" s="891"/>
      <c r="AK33" s="891" t="s">
        <v>35</v>
      </c>
      <c r="AL33" s="891" t="s">
        <v>1884</v>
      </c>
      <c r="AM33" s="891" t="s">
        <v>1884</v>
      </c>
      <c r="AN33" s="891" t="s">
        <v>34</v>
      </c>
      <c r="AO33" s="891" t="s">
        <v>35</v>
      </c>
      <c r="AP33" s="891" t="s">
        <v>32</v>
      </c>
      <c r="AQ33" s="891" t="s">
        <v>32</v>
      </c>
      <c r="AR33" s="904" t="s">
        <v>34</v>
      </c>
      <c r="AS33" s="891" t="s">
        <v>1877</v>
      </c>
      <c r="AT33" s="891" t="s">
        <v>34</v>
      </c>
      <c r="AU33" s="891" t="s">
        <v>32</v>
      </c>
      <c r="AV33" s="891" t="s">
        <v>32</v>
      </c>
      <c r="AW33" s="891" t="s">
        <v>1877</v>
      </c>
      <c r="AX33" s="904" t="s">
        <v>34</v>
      </c>
      <c r="AY33" s="904" t="s">
        <v>35</v>
      </c>
      <c r="AZ33" s="891" t="s">
        <v>1884</v>
      </c>
      <c r="BA33" s="891" t="s">
        <v>1877</v>
      </c>
      <c r="BB33" s="891" t="s">
        <v>36</v>
      </c>
      <c r="BC33" s="891" t="s">
        <v>2430</v>
      </c>
      <c r="BD33" s="910"/>
      <c r="BE33" s="910"/>
      <c r="BF33" s="891" t="s">
        <v>1884</v>
      </c>
      <c r="BG33" s="891" t="s">
        <v>34</v>
      </c>
      <c r="BH33" s="891" t="s">
        <v>34</v>
      </c>
      <c r="BI33" s="891" t="s">
        <v>34</v>
      </c>
      <c r="BJ33" s="891" t="s">
        <v>36</v>
      </c>
      <c r="BK33" s="891" t="s">
        <v>36</v>
      </c>
      <c r="BL33" s="910"/>
      <c r="BM33" s="891"/>
      <c r="BN33" s="891"/>
      <c r="BO33" s="891"/>
      <c r="BP33" s="891"/>
      <c r="BQ33" s="891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428"/>
      <c r="CG33" s="428"/>
      <c r="CH33" s="428"/>
      <c r="CI33" s="428"/>
    </row>
    <row r="34" spans="1:121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3</v>
      </c>
      <c r="G34" s="879" t="s">
        <v>1085</v>
      </c>
      <c r="H34" s="879" t="s">
        <v>22</v>
      </c>
      <c r="I34" s="879" t="s">
        <v>891</v>
      </c>
      <c r="J34" s="846">
        <v>0</v>
      </c>
      <c r="K34" s="846">
        <v>0</v>
      </c>
      <c r="L34" s="816" t="str">
        <f t="shared" si="32"/>
        <v>D</v>
      </c>
      <c r="M34" s="816">
        <f t="shared" si="33"/>
        <v>0</v>
      </c>
      <c r="N34" s="816" t="str">
        <f t="shared" si="34"/>
        <v>U</v>
      </c>
      <c r="O34" s="816">
        <f t="shared" si="23"/>
        <v>0</v>
      </c>
      <c r="P34" s="829">
        <f t="shared" si="25"/>
        <v>0</v>
      </c>
      <c r="Q34" s="830">
        <v>-0.05</v>
      </c>
      <c r="R34" s="871">
        <f t="shared" si="35"/>
        <v>0.05</v>
      </c>
      <c r="S34" s="830">
        <v>2.38</v>
      </c>
      <c r="T34" s="871">
        <f t="shared" si="27"/>
        <v>-2.38</v>
      </c>
      <c r="U34" s="868">
        <f t="shared" si="28"/>
        <v>1.165</v>
      </c>
      <c r="V34" s="868">
        <f t="shared" si="29"/>
        <v>1.2149999999999999</v>
      </c>
      <c r="W34" s="829">
        <v>16</v>
      </c>
      <c r="X34" s="829">
        <v>9</v>
      </c>
      <c r="Y34" s="829">
        <v>4</v>
      </c>
      <c r="Z34" s="829">
        <v>2</v>
      </c>
      <c r="AA34" s="829">
        <v>45</v>
      </c>
      <c r="AB34" s="829">
        <v>55</v>
      </c>
      <c r="AC34" s="829"/>
      <c r="AD34" s="816" t="str">
        <f t="array" ref="AD34">IF($J34="","",IF(SUM(IF(ISNUMBER(VALUE(RIGHT($AG34:$DX34,1))),VALUE(RIGHT($AG34:$DX34,1)),0))=$J34,"T","F"))</f>
        <v>T</v>
      </c>
      <c r="AE34" s="831">
        <f t="array" ref="AE34">IF($J34="","",SUM(IF(LEFT($AG34:$DX34,1)="s",1,0))-SUM(IF(RIGHT(LEFT($AG34:$DX34,2))="-",1,0)))</f>
        <v>0</v>
      </c>
      <c r="AF34" s="816">
        <f t="array" ref="AF34">IF($J34="","",SUM(IF(LEFT($AG34:$DX34,1)="X",1,0)))</f>
        <v>11</v>
      </c>
      <c r="AG34" s="891" t="s">
        <v>34</v>
      </c>
      <c r="AH34" s="891" t="s">
        <v>1877</v>
      </c>
      <c r="AI34" s="891" t="s">
        <v>32</v>
      </c>
      <c r="AJ34" s="891"/>
      <c r="AK34" s="891" t="s">
        <v>1877</v>
      </c>
      <c r="AL34" s="891" t="s">
        <v>1884</v>
      </c>
      <c r="AM34" s="891" t="s">
        <v>1884</v>
      </c>
      <c r="AN34" s="891" t="s">
        <v>34</v>
      </c>
      <c r="AO34" s="891" t="s">
        <v>35</v>
      </c>
      <c r="AP34" s="891" t="s">
        <v>32</v>
      </c>
      <c r="AQ34" s="891" t="s">
        <v>32</v>
      </c>
      <c r="AR34" s="891" t="s">
        <v>34</v>
      </c>
      <c r="AS34" s="891" t="s">
        <v>1877</v>
      </c>
      <c r="AT34" s="891" t="s">
        <v>34</v>
      </c>
      <c r="AU34" s="891" t="s">
        <v>32</v>
      </c>
      <c r="AV34" s="891" t="s">
        <v>32</v>
      </c>
      <c r="AW34" s="891" t="s">
        <v>1877</v>
      </c>
      <c r="AX34" s="891" t="s">
        <v>34</v>
      </c>
      <c r="AY34" s="904" t="s">
        <v>35</v>
      </c>
      <c r="AZ34" s="891" t="s">
        <v>1884</v>
      </c>
      <c r="BA34" s="891" t="s">
        <v>36</v>
      </c>
      <c r="BB34" s="891" t="s">
        <v>34</v>
      </c>
      <c r="BC34" s="891" t="s">
        <v>1886</v>
      </c>
      <c r="BD34" s="910"/>
      <c r="BE34" s="910"/>
      <c r="BF34" s="891" t="s">
        <v>1884</v>
      </c>
      <c r="BG34" s="891" t="s">
        <v>34</v>
      </c>
      <c r="BH34" s="891" t="s">
        <v>34</v>
      </c>
      <c r="BI34" s="891" t="s">
        <v>36</v>
      </c>
      <c r="BJ34" s="891" t="s">
        <v>36</v>
      </c>
      <c r="BK34" s="891" t="s">
        <v>35</v>
      </c>
      <c r="BL34" s="910"/>
      <c r="BM34" s="891"/>
      <c r="BN34" s="891"/>
      <c r="BO34" s="891"/>
      <c r="BP34" s="891"/>
      <c r="BQ34" s="891"/>
      <c r="BR34" s="891"/>
      <c r="BS34" s="891"/>
      <c r="BT34" s="891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896"/>
      <c r="CF34" s="428"/>
      <c r="CG34" s="428"/>
      <c r="CH34" s="428"/>
      <c r="CI34" s="428"/>
      <c r="CM34" s="4" t="s">
        <v>32</v>
      </c>
      <c r="CN34" s="6" t="s">
        <v>32</v>
      </c>
      <c r="CO34" s="6" t="s">
        <v>32</v>
      </c>
      <c r="CP34" s="6" t="s">
        <v>32</v>
      </c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</row>
    <row r="35" spans="1:121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17</v>
      </c>
      <c r="G35" s="879" t="s">
        <v>875</v>
      </c>
      <c r="H35" s="879" t="s">
        <v>18</v>
      </c>
      <c r="I35" s="879" t="s">
        <v>891</v>
      </c>
      <c r="J35" s="846">
        <v>1</v>
      </c>
      <c r="K35" s="846">
        <v>1</v>
      </c>
      <c r="L35" s="816" t="str">
        <f t="shared" si="32"/>
        <v>D</v>
      </c>
      <c r="M35" s="816">
        <f t="shared" si="33"/>
        <v>2</v>
      </c>
      <c r="N35" s="816" t="str">
        <f t="shared" si="34"/>
        <v>U</v>
      </c>
      <c r="O35" s="816">
        <f t="shared" si="23"/>
        <v>0</v>
      </c>
      <c r="P35" s="829">
        <f t="shared" si="25"/>
        <v>0</v>
      </c>
      <c r="Q35" s="830">
        <v>0.1</v>
      </c>
      <c r="R35" s="871">
        <f t="shared" si="35"/>
        <v>-0.1</v>
      </c>
      <c r="S35" s="830">
        <v>2.04</v>
      </c>
      <c r="T35" s="871">
        <f t="shared" si="27"/>
        <v>-4.0000000000000036E-2</v>
      </c>
      <c r="U35" s="868">
        <f t="shared" si="28"/>
        <v>1.07</v>
      </c>
      <c r="V35" s="868">
        <f t="shared" si="29"/>
        <v>0.97</v>
      </c>
      <c r="W35" s="829">
        <v>9</v>
      </c>
      <c r="X35" s="829">
        <v>8</v>
      </c>
      <c r="Y35" s="829">
        <v>2</v>
      </c>
      <c r="Z35" s="829">
        <v>3</v>
      </c>
      <c r="AA35" s="829">
        <v>58</v>
      </c>
      <c r="AB35" s="829">
        <v>42</v>
      </c>
      <c r="AC35" s="829"/>
      <c r="AD35" s="816" t="str">
        <f t="array" ref="AD35">IF($J35="","",IF(SUM(IF(ISNUMBER(VALUE(RIGHT($AG35:$DX35,1))),VALUE(RIGHT($AG35:$DX35,1)),0))=$J35,"T","F"))</f>
        <v>T</v>
      </c>
      <c r="AE35" s="831">
        <f t="array" ref="AE35">IF($J35="","",SUM(IF(LEFT($AG35:$DX35,1)="s",1,0))-SUM(IF(RIGHT(LEFT($AG35:$DX35,2))="-",1,0)))</f>
        <v>0</v>
      </c>
      <c r="AF35" s="816">
        <f t="array" ref="AF35">IF($J35="","",SUM(IF(LEFT($AG35:$DX35,1)="X",1,0)))</f>
        <v>11</v>
      </c>
      <c r="AG35" s="891" t="s">
        <v>34</v>
      </c>
      <c r="AH35" s="891" t="s">
        <v>1877</v>
      </c>
      <c r="AI35" s="891" t="s">
        <v>32</v>
      </c>
      <c r="AJ35" s="891"/>
      <c r="AK35" s="891" t="s">
        <v>1877</v>
      </c>
      <c r="AL35" s="891" t="s">
        <v>1884</v>
      </c>
      <c r="AM35" s="891" t="s">
        <v>1884</v>
      </c>
      <c r="AN35" s="891" t="s">
        <v>34</v>
      </c>
      <c r="AO35" s="891" t="s">
        <v>35</v>
      </c>
      <c r="AP35" s="891" t="s">
        <v>32</v>
      </c>
      <c r="AQ35" s="891" t="s">
        <v>32</v>
      </c>
      <c r="AR35" s="891" t="s">
        <v>34</v>
      </c>
      <c r="AS35" s="891" t="s">
        <v>1877</v>
      </c>
      <c r="AT35" s="891" t="s">
        <v>34</v>
      </c>
      <c r="AU35" s="891" t="s">
        <v>32</v>
      </c>
      <c r="AV35" s="891" t="s">
        <v>1877</v>
      </c>
      <c r="AW35" s="891" t="s">
        <v>35</v>
      </c>
      <c r="AX35" s="891" t="s">
        <v>34</v>
      </c>
      <c r="AY35" s="891" t="s">
        <v>2476</v>
      </c>
      <c r="AZ35" s="891" t="s">
        <v>1884</v>
      </c>
      <c r="BA35" s="891" t="s">
        <v>2478</v>
      </c>
      <c r="BB35" s="891" t="s">
        <v>34</v>
      </c>
      <c r="BC35" s="891" t="s">
        <v>1886</v>
      </c>
      <c r="BD35" s="910"/>
      <c r="BE35" s="910"/>
      <c r="BF35" s="891" t="s">
        <v>1884</v>
      </c>
      <c r="BG35" s="891" t="s">
        <v>34</v>
      </c>
      <c r="BH35" s="891" t="s">
        <v>34</v>
      </c>
      <c r="BI35" s="891" t="s">
        <v>36</v>
      </c>
      <c r="BJ35" s="891" t="s">
        <v>36</v>
      </c>
      <c r="BK35" s="891" t="s">
        <v>35</v>
      </c>
      <c r="BL35" s="910"/>
      <c r="BM35" s="891"/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1"/>
      <c r="CC35" s="896"/>
      <c r="CD35" s="896"/>
      <c r="CE35" s="896"/>
      <c r="CF35" s="428"/>
      <c r="CG35" s="428"/>
      <c r="CH35" s="428"/>
      <c r="CI35" s="428"/>
      <c r="CJ35" s="230" t="s">
        <v>32</v>
      </c>
      <c r="CK35" s="230" t="s">
        <v>32</v>
      </c>
      <c r="CL35" s="230" t="s">
        <v>32</v>
      </c>
      <c r="CM35" s="230" t="s">
        <v>32</v>
      </c>
      <c r="CN35" s="230" t="s">
        <v>32</v>
      </c>
      <c r="CO35" s="230" t="s">
        <v>32</v>
      </c>
      <c r="CP35" s="230" t="s">
        <v>32</v>
      </c>
    </row>
    <row r="36" spans="1:121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8</v>
      </c>
      <c r="G36" s="879" t="s">
        <v>880</v>
      </c>
      <c r="H36" s="879" t="s">
        <v>22</v>
      </c>
      <c r="I36" s="879" t="s">
        <v>891</v>
      </c>
      <c r="J36" s="846">
        <v>1</v>
      </c>
      <c r="K36" s="846">
        <v>0</v>
      </c>
      <c r="L36" s="816" t="str">
        <f t="shared" si="32"/>
        <v>W</v>
      </c>
      <c r="M36" s="816">
        <f t="shared" si="33"/>
        <v>1</v>
      </c>
      <c r="N36" s="816" t="str">
        <f t="shared" si="34"/>
        <v>U</v>
      </c>
      <c r="O36" s="816">
        <f t="shared" si="23"/>
        <v>0.25</v>
      </c>
      <c r="P36" s="829">
        <f t="shared" si="25"/>
        <v>1</v>
      </c>
      <c r="Q36" s="830">
        <v>-0.21</v>
      </c>
      <c r="R36" s="871">
        <f t="shared" si="35"/>
        <v>1.21</v>
      </c>
      <c r="S36" s="830">
        <v>2.11</v>
      </c>
      <c r="T36" s="871">
        <f t="shared" si="27"/>
        <v>-1.1099999999999999</v>
      </c>
      <c r="U36" s="868">
        <f t="shared" si="28"/>
        <v>0.95</v>
      </c>
      <c r="V36" s="868">
        <f t="shared" si="29"/>
        <v>1.1599999999999999</v>
      </c>
      <c r="W36" s="829">
        <v>10</v>
      </c>
      <c r="X36" s="829">
        <v>12</v>
      </c>
      <c r="Y36" s="829">
        <v>1</v>
      </c>
      <c r="Z36" s="829">
        <v>4</v>
      </c>
      <c r="AA36" s="829">
        <v>50</v>
      </c>
      <c r="AB36" s="829">
        <v>50</v>
      </c>
      <c r="AC36" s="829"/>
      <c r="AD36" s="816" t="str">
        <f t="array" ref="AD36">IF($J36="","",IF(SUM(IF(ISNUMBER(VALUE(RIGHT($AG36:$DX36,1))),VALUE(RIGHT($AG36:$DX36,1)),0))=$J36,"T","F"))</f>
        <v>T</v>
      </c>
      <c r="AE36" s="831">
        <f t="array" ref="AE36">IF($J36="","",SUM(IF(LEFT($AG36:$DX36,1)="s",1,0))-SUM(IF(RIGHT(LEFT($AG36:$DX36,2))="-",1,0)))</f>
        <v>0</v>
      </c>
      <c r="AF36" s="816">
        <f t="array" ref="AF36">IF($J36="","",SUM(IF(LEFT($AG36:$DX36,1)="X",1,0)))</f>
        <v>11</v>
      </c>
      <c r="AG36" s="891" t="s">
        <v>34</v>
      </c>
      <c r="AH36" s="891" t="s">
        <v>1877</v>
      </c>
      <c r="AI36" s="891" t="s">
        <v>32</v>
      </c>
      <c r="AJ36" s="891"/>
      <c r="AK36" s="891" t="s">
        <v>36</v>
      </c>
      <c r="AL36" s="891" t="s">
        <v>1884</v>
      </c>
      <c r="AM36" s="891" t="s">
        <v>1884</v>
      </c>
      <c r="AN36" s="891" t="s">
        <v>34</v>
      </c>
      <c r="AO36" s="891" t="s">
        <v>35</v>
      </c>
      <c r="AP36" s="891" t="s">
        <v>32</v>
      </c>
      <c r="AQ36" s="891" t="s">
        <v>32</v>
      </c>
      <c r="AR36" s="891" t="s">
        <v>34</v>
      </c>
      <c r="AS36" s="891" t="s">
        <v>36</v>
      </c>
      <c r="AT36" s="891" t="s">
        <v>34</v>
      </c>
      <c r="AU36" s="891" t="s">
        <v>32</v>
      </c>
      <c r="AV36" s="891" t="s">
        <v>1877</v>
      </c>
      <c r="AW36" s="891" t="s">
        <v>1877</v>
      </c>
      <c r="AX36" s="891" t="s">
        <v>34</v>
      </c>
      <c r="AY36" s="891" t="s">
        <v>34</v>
      </c>
      <c r="AZ36" s="891" t="s">
        <v>1884</v>
      </c>
      <c r="BA36" s="891" t="s">
        <v>1877</v>
      </c>
      <c r="BB36" s="891" t="s">
        <v>35</v>
      </c>
      <c r="BC36" s="891" t="s">
        <v>1886</v>
      </c>
      <c r="BD36" s="910"/>
      <c r="BE36" s="910"/>
      <c r="BF36" s="891" t="s">
        <v>1884</v>
      </c>
      <c r="BG36" s="891" t="s">
        <v>35</v>
      </c>
      <c r="BH36" s="904" t="s">
        <v>34</v>
      </c>
      <c r="BI36" s="891" t="s">
        <v>2484</v>
      </c>
      <c r="BJ36" s="891" t="s">
        <v>36</v>
      </c>
      <c r="BK36" s="891"/>
      <c r="BL36" s="910"/>
      <c r="BM36" s="891"/>
      <c r="BN36" s="891"/>
      <c r="BO36" s="891"/>
      <c r="BP36" s="891"/>
      <c r="BQ36" s="891"/>
      <c r="BR36" s="891"/>
      <c r="BS36" s="891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896"/>
      <c r="CF36" s="428"/>
      <c r="CG36" s="428"/>
      <c r="CH36" s="428"/>
      <c r="CI36" s="428"/>
      <c r="CN36" s="4" t="s">
        <v>32</v>
      </c>
      <c r="CO36" s="4" t="s">
        <v>32</v>
      </c>
      <c r="CP36" s="4" t="s">
        <v>32</v>
      </c>
      <c r="CQ36" s="4" t="s">
        <v>32</v>
      </c>
      <c r="CR36" s="4" t="s">
        <v>32</v>
      </c>
      <c r="CS36" s="4" t="s">
        <v>32</v>
      </c>
      <c r="CT36" s="6" t="s">
        <v>32</v>
      </c>
      <c r="CU36" s="6" t="s">
        <v>32</v>
      </c>
      <c r="CV36" s="6" t="s">
        <v>32</v>
      </c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</row>
    <row r="37" spans="1:121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20</v>
      </c>
      <c r="G37" s="879" t="s">
        <v>882</v>
      </c>
      <c r="H37" s="879" t="s">
        <v>22</v>
      </c>
      <c r="I37" s="879" t="s">
        <v>891</v>
      </c>
      <c r="J37" s="846">
        <v>3</v>
      </c>
      <c r="K37" s="846">
        <v>2</v>
      </c>
      <c r="L37" s="816" t="str">
        <f t="shared" si="32"/>
        <v>W</v>
      </c>
      <c r="M37" s="816">
        <f t="shared" si="33"/>
        <v>5</v>
      </c>
      <c r="N37" s="816" t="str">
        <f t="shared" si="34"/>
        <v>O</v>
      </c>
      <c r="O37" s="816">
        <f t="shared" si="23"/>
        <v>-0.25</v>
      </c>
      <c r="P37" s="829">
        <f t="shared" si="25"/>
        <v>1</v>
      </c>
      <c r="Q37" s="830">
        <v>0.28000000000000003</v>
      </c>
      <c r="R37" s="871">
        <f t="shared" si="35"/>
        <v>0.72</v>
      </c>
      <c r="S37" s="830">
        <v>2.27</v>
      </c>
      <c r="T37" s="871">
        <f t="shared" si="27"/>
        <v>2.73</v>
      </c>
      <c r="U37" s="868">
        <f t="shared" si="28"/>
        <v>1.2749999999999999</v>
      </c>
      <c r="V37" s="868">
        <f t="shared" si="29"/>
        <v>0.99500000000000011</v>
      </c>
      <c r="W37" s="829">
        <v>12</v>
      </c>
      <c r="X37" s="829">
        <v>10</v>
      </c>
      <c r="Y37" s="829">
        <v>4</v>
      </c>
      <c r="Z37" s="829">
        <v>4</v>
      </c>
      <c r="AA37" s="829">
        <v>50</v>
      </c>
      <c r="AB37" s="829">
        <v>50</v>
      </c>
      <c r="AC37" s="829"/>
      <c r="AD37" s="816" t="str">
        <f t="array" ref="AD37">IF($J37="","",IF(SUM(IF(ISNUMBER(VALUE(RIGHT($AG37:$DX37,1))),VALUE(RIGHT($AG37:$DX37,1)),0))=$J37,"T","F"))</f>
        <v>T</v>
      </c>
      <c r="AE37" s="831">
        <f t="array" ref="AE37">IF($J37="","",SUM(IF(LEFT($AG37:$DX37,1)="s",1,0))-SUM(IF(RIGHT(LEFT($AG37:$DX37,2))="-",1,0)))</f>
        <v>0</v>
      </c>
      <c r="AF37" s="816">
        <f t="array" ref="AF37">IF($J37="","",SUM(IF(LEFT($AG37:$DX37,1)="X",1,0)))</f>
        <v>11</v>
      </c>
      <c r="AG37" s="891" t="s">
        <v>34</v>
      </c>
      <c r="AH37" s="891" t="s">
        <v>1877</v>
      </c>
      <c r="AI37" s="891" t="s">
        <v>32</v>
      </c>
      <c r="AJ37" s="891"/>
      <c r="AK37" s="891" t="s">
        <v>34</v>
      </c>
      <c r="AL37" s="891" t="s">
        <v>1884</v>
      </c>
      <c r="AM37" s="891" t="s">
        <v>1877</v>
      </c>
      <c r="AN37" s="891" t="s">
        <v>34</v>
      </c>
      <c r="AO37" s="891" t="s">
        <v>35</v>
      </c>
      <c r="AP37" s="891" t="s">
        <v>32</v>
      </c>
      <c r="AQ37" s="891" t="s">
        <v>32</v>
      </c>
      <c r="AR37" s="891" t="s">
        <v>34</v>
      </c>
      <c r="AS37" s="891" t="s">
        <v>1877</v>
      </c>
      <c r="AT37" s="891" t="s">
        <v>34</v>
      </c>
      <c r="AU37" s="891" t="s">
        <v>32</v>
      </c>
      <c r="AV37" s="891" t="s">
        <v>32</v>
      </c>
      <c r="AW37" s="891" t="s">
        <v>36</v>
      </c>
      <c r="AX37" s="891" t="s">
        <v>35</v>
      </c>
      <c r="AY37" s="891" t="s">
        <v>34</v>
      </c>
      <c r="AZ37" s="891" t="s">
        <v>2512</v>
      </c>
      <c r="BA37" s="891" t="s">
        <v>36</v>
      </c>
      <c r="BB37" s="891" t="s">
        <v>2549</v>
      </c>
      <c r="BC37" s="891" t="s">
        <v>1877</v>
      </c>
      <c r="BD37" s="910"/>
      <c r="BE37" s="910"/>
      <c r="BF37" s="891" t="s">
        <v>2512</v>
      </c>
      <c r="BG37" s="891" t="s">
        <v>35</v>
      </c>
      <c r="BH37" s="904" t="s">
        <v>2505</v>
      </c>
      <c r="BI37" s="891" t="s">
        <v>2505</v>
      </c>
      <c r="BJ37" s="891" t="s">
        <v>2513</v>
      </c>
      <c r="BK37" s="891"/>
      <c r="BL37" s="910"/>
      <c r="BM37" s="891"/>
      <c r="BN37" s="891"/>
      <c r="BO37" s="891"/>
      <c r="BP37" s="891"/>
      <c r="BQ37" s="891"/>
      <c r="BR37" s="891"/>
      <c r="BS37" s="891"/>
      <c r="BT37" s="891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428"/>
      <c r="CG37" s="428"/>
      <c r="CH37" s="428"/>
      <c r="CI37" s="428"/>
      <c r="CJ37" s="230" t="s">
        <v>32</v>
      </c>
      <c r="CK37" s="230" t="s">
        <v>32</v>
      </c>
      <c r="CL37" s="230" t="s">
        <v>32</v>
      </c>
      <c r="CM37" s="230" t="s">
        <v>32</v>
      </c>
      <c r="CN37" s="230" t="s">
        <v>32</v>
      </c>
      <c r="CO37" s="230" t="s">
        <v>32</v>
      </c>
      <c r="CP37" s="230" t="s">
        <v>32</v>
      </c>
    </row>
    <row r="38" spans="1:121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</v>
      </c>
      <c r="G38" s="879" t="s">
        <v>1086</v>
      </c>
      <c r="H38" s="879" t="s">
        <v>18</v>
      </c>
      <c r="I38" s="879" t="s">
        <v>891</v>
      </c>
      <c r="J38" s="846">
        <v>1</v>
      </c>
      <c r="K38" s="846">
        <v>0</v>
      </c>
      <c r="L38" s="816" t="str">
        <f t="shared" si="32"/>
        <v>W</v>
      </c>
      <c r="M38" s="816">
        <f t="shared" si="33"/>
        <v>1</v>
      </c>
      <c r="N38" s="816" t="str">
        <f t="shared" si="34"/>
        <v>U</v>
      </c>
      <c r="O38" s="816">
        <f t="shared" si="23"/>
        <v>0.5</v>
      </c>
      <c r="P38" s="829">
        <f t="shared" si="25"/>
        <v>1</v>
      </c>
      <c r="Q38" s="830">
        <v>-0.51</v>
      </c>
      <c r="R38" s="871">
        <f t="shared" si="35"/>
        <v>1.51</v>
      </c>
      <c r="S38" s="830">
        <v>2.2200000000000002</v>
      </c>
      <c r="T38" s="871">
        <f t="shared" si="27"/>
        <v>-1.2200000000000002</v>
      </c>
      <c r="U38" s="868">
        <f t="shared" si="28"/>
        <v>0.85500000000000009</v>
      </c>
      <c r="V38" s="868">
        <f t="shared" si="29"/>
        <v>1.3650000000000002</v>
      </c>
      <c r="W38" s="829">
        <v>13</v>
      </c>
      <c r="X38" s="829">
        <v>14</v>
      </c>
      <c r="Y38" s="829">
        <v>3</v>
      </c>
      <c r="Z38" s="829">
        <v>4</v>
      </c>
      <c r="AA38" s="829">
        <v>47</v>
      </c>
      <c r="AB38" s="829">
        <v>53</v>
      </c>
      <c r="AC38" s="829"/>
      <c r="AD38" s="816" t="str">
        <f t="array" ref="AD38">IF($J38="","",IF(SUM(IF(ISNUMBER(VALUE(RIGHT($AG38:$DX38,1))),VALUE(RIGHT($AG38:$DX38,1)),0))=$J38,"T","F"))</f>
        <v>T</v>
      </c>
      <c r="AE38" s="831">
        <f t="array" ref="AE38">IF($J38="","",SUM(IF(LEFT($AG38:$DX38,1)="s",1,0))-SUM(IF(RIGHT(LEFT($AG38:$DX38,2))="-",1,0)))</f>
        <v>0</v>
      </c>
      <c r="AF38" s="816">
        <f t="array" ref="AF38">IF($J38="","",SUM(IF(LEFT($AG38:$DX38,1)="X",1,0)))</f>
        <v>11</v>
      </c>
      <c r="AG38" s="891" t="s">
        <v>34</v>
      </c>
      <c r="AH38" s="891" t="s">
        <v>1877</v>
      </c>
      <c r="AI38" s="891" t="s">
        <v>32</v>
      </c>
      <c r="AJ38" s="891"/>
      <c r="AK38" s="891" t="s">
        <v>34</v>
      </c>
      <c r="AL38" s="891" t="s">
        <v>1884</v>
      </c>
      <c r="AM38" s="891" t="s">
        <v>1877</v>
      </c>
      <c r="AN38" s="891" t="s">
        <v>34</v>
      </c>
      <c r="AO38" s="904" t="s">
        <v>35</v>
      </c>
      <c r="AP38" s="891" t="s">
        <v>32</v>
      </c>
      <c r="AQ38" s="891" t="s">
        <v>32</v>
      </c>
      <c r="AR38" s="891" t="s">
        <v>34</v>
      </c>
      <c r="AS38" s="891" t="s">
        <v>1877</v>
      </c>
      <c r="AT38" s="891" t="s">
        <v>34</v>
      </c>
      <c r="AU38" s="891" t="s">
        <v>32</v>
      </c>
      <c r="AV38" s="891" t="s">
        <v>32</v>
      </c>
      <c r="AW38" s="891" t="s">
        <v>1877</v>
      </c>
      <c r="AX38" s="891" t="s">
        <v>35</v>
      </c>
      <c r="AY38" s="891" t="s">
        <v>34</v>
      </c>
      <c r="AZ38" s="891" t="s">
        <v>1884</v>
      </c>
      <c r="BA38" s="891" t="s">
        <v>36</v>
      </c>
      <c r="BB38" s="891" t="s">
        <v>2549</v>
      </c>
      <c r="BC38" s="891" t="s">
        <v>32</v>
      </c>
      <c r="BD38" s="910"/>
      <c r="BE38" s="910"/>
      <c r="BF38" s="891" t="s">
        <v>1884</v>
      </c>
      <c r="BG38" s="891" t="s">
        <v>34</v>
      </c>
      <c r="BH38" s="891" t="s">
        <v>34</v>
      </c>
      <c r="BI38" s="891" t="s">
        <v>35</v>
      </c>
      <c r="BJ38" s="891" t="s">
        <v>36</v>
      </c>
      <c r="BK38" s="891" t="s">
        <v>2537</v>
      </c>
      <c r="BL38" s="910"/>
      <c r="BM38" s="891"/>
      <c r="BN38" s="891"/>
      <c r="BO38" s="891"/>
      <c r="BP38" s="891"/>
      <c r="BQ38" s="891"/>
      <c r="BR38" s="896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896"/>
      <c r="CF38" s="428"/>
      <c r="CG38" s="428"/>
      <c r="CH38" s="428"/>
      <c r="CI38" s="428"/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  <c r="CP38" s="230" t="s">
        <v>32</v>
      </c>
    </row>
    <row r="39" spans="1:121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18</v>
      </c>
      <c r="G39" s="879" t="s">
        <v>887</v>
      </c>
      <c r="H39" s="879" t="s">
        <v>18</v>
      </c>
      <c r="I39" s="879" t="s">
        <v>891</v>
      </c>
      <c r="J39" s="846">
        <v>1</v>
      </c>
      <c r="K39" s="908">
        <v>1</v>
      </c>
      <c r="L39" s="816" t="str">
        <f t="shared" si="32"/>
        <v>D</v>
      </c>
      <c r="M39" s="816">
        <f t="shared" si="33"/>
        <v>2</v>
      </c>
      <c r="N39" s="816" t="str">
        <f t="shared" si="34"/>
        <v>U</v>
      </c>
      <c r="O39" s="816">
        <f t="shared" si="23"/>
        <v>0</v>
      </c>
      <c r="P39" s="829">
        <f t="shared" si="25"/>
        <v>0</v>
      </c>
      <c r="Q39" s="830">
        <v>-0.02</v>
      </c>
      <c r="R39" s="871">
        <f t="shared" si="35"/>
        <v>0.02</v>
      </c>
      <c r="S39" s="830">
        <v>2.4500000000000002</v>
      </c>
      <c r="T39" s="871">
        <f t="shared" si="27"/>
        <v>-0.45000000000000018</v>
      </c>
      <c r="U39" s="868">
        <f t="shared" si="28"/>
        <v>1.2150000000000001</v>
      </c>
      <c r="V39" s="868">
        <f t="shared" si="29"/>
        <v>1.2350000000000001</v>
      </c>
      <c r="W39" s="829">
        <v>11</v>
      </c>
      <c r="X39" s="829">
        <v>10</v>
      </c>
      <c r="Y39" s="829">
        <v>2</v>
      </c>
      <c r="Z39" s="829">
        <v>2</v>
      </c>
      <c r="AA39" s="829">
        <v>43</v>
      </c>
      <c r="AB39" s="829">
        <v>57</v>
      </c>
      <c r="AC39" s="829"/>
      <c r="AD39" s="816" t="str">
        <f t="array" ref="AD39">IF($J39="","",IF(SUM(IF(ISNUMBER(VALUE(RIGHT($AG39:$DX39,1))),VALUE(RIGHT($AG39:$DX39,1)),0))=$J39,"T","F"))</f>
        <v>T</v>
      </c>
      <c r="AE39" s="831">
        <f t="array" ref="AE39">IF($J39="","",SUM(IF(LEFT($AG39:$DX39,1)="s",1,0))-SUM(IF(RIGHT(LEFT($AG39:$DX39,2))="-",1,0)))</f>
        <v>0</v>
      </c>
      <c r="AF39" s="816">
        <f t="array" ref="AF39">IF($J39="","",SUM(IF(LEFT($AG39:$DX39,1)="X",1,0)))</f>
        <v>11</v>
      </c>
      <c r="AG39" s="891" t="s">
        <v>34</v>
      </c>
      <c r="AH39" s="891" t="s">
        <v>1877</v>
      </c>
      <c r="AI39" s="891" t="s">
        <v>32</v>
      </c>
      <c r="AJ39" s="891"/>
      <c r="AK39" s="891" t="s">
        <v>35</v>
      </c>
      <c r="AL39" s="891" t="s">
        <v>32</v>
      </c>
      <c r="AM39" s="891" t="s">
        <v>1877</v>
      </c>
      <c r="AN39" s="891" t="s">
        <v>34</v>
      </c>
      <c r="AO39" s="891" t="s">
        <v>34</v>
      </c>
      <c r="AP39" s="891" t="s">
        <v>32</v>
      </c>
      <c r="AQ39" s="891" t="s">
        <v>32</v>
      </c>
      <c r="AR39" s="891" t="s">
        <v>34</v>
      </c>
      <c r="AS39" s="891" t="s">
        <v>1877</v>
      </c>
      <c r="AT39" s="891" t="s">
        <v>34</v>
      </c>
      <c r="AU39" s="891" t="s">
        <v>32</v>
      </c>
      <c r="AV39" s="891" t="s">
        <v>32</v>
      </c>
      <c r="AW39" s="891" t="s">
        <v>1877</v>
      </c>
      <c r="AX39" s="891" t="s">
        <v>35</v>
      </c>
      <c r="AY39" s="891" t="s">
        <v>34</v>
      </c>
      <c r="AZ39" s="891" t="s">
        <v>32</v>
      </c>
      <c r="BA39" s="904" t="s">
        <v>2561</v>
      </c>
      <c r="BB39" s="891" t="s">
        <v>1886</v>
      </c>
      <c r="BC39" s="891" t="s">
        <v>32</v>
      </c>
      <c r="BD39" s="910"/>
      <c r="BE39" s="910"/>
      <c r="BF39" s="891" t="s">
        <v>1884</v>
      </c>
      <c r="BG39" s="891" t="s">
        <v>34</v>
      </c>
      <c r="BH39" s="891" t="s">
        <v>34</v>
      </c>
      <c r="BI39" s="891" t="s">
        <v>35</v>
      </c>
      <c r="BJ39" s="891" t="s">
        <v>36</v>
      </c>
      <c r="BK39" s="891" t="s">
        <v>36</v>
      </c>
      <c r="BL39" s="910"/>
      <c r="BM39" s="891"/>
      <c r="BN39" s="891"/>
      <c r="BO39" s="891"/>
      <c r="BP39" s="891"/>
      <c r="BQ39" s="891"/>
      <c r="BR39" s="896"/>
      <c r="BS39" s="891"/>
      <c r="BT39" s="891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896"/>
      <c r="CF39" s="428"/>
      <c r="CG39" s="428"/>
      <c r="CH39" s="428"/>
      <c r="CI39" s="428"/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</row>
    <row r="40" spans="1:121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22</v>
      </c>
      <c r="G40" s="879" t="s">
        <v>1087</v>
      </c>
      <c r="H40" s="879" t="s">
        <v>22</v>
      </c>
      <c r="I40" s="879" t="s">
        <v>891</v>
      </c>
      <c r="J40" s="846">
        <v>1</v>
      </c>
      <c r="K40" s="846">
        <v>0</v>
      </c>
      <c r="L40" s="816" t="str">
        <f t="shared" si="32"/>
        <v>W</v>
      </c>
      <c r="M40" s="816">
        <f t="shared" si="33"/>
        <v>1</v>
      </c>
      <c r="N40" s="816" t="str">
        <f t="shared" si="34"/>
        <v>U</v>
      </c>
      <c r="O40" s="816">
        <f t="shared" si="23"/>
        <v>-0.75</v>
      </c>
      <c r="P40" s="829">
        <f t="shared" si="25"/>
        <v>0.5</v>
      </c>
      <c r="Q40" s="830">
        <v>0.8</v>
      </c>
      <c r="R40" s="871">
        <f t="shared" si="35"/>
        <v>0.19999999999999996</v>
      </c>
      <c r="S40" s="830">
        <v>2.5299999999999998</v>
      </c>
      <c r="T40" s="871">
        <f t="shared" si="27"/>
        <v>-1.5299999999999998</v>
      </c>
      <c r="U40" s="868">
        <f t="shared" si="28"/>
        <v>1.665</v>
      </c>
      <c r="V40" s="868">
        <f t="shared" si="29"/>
        <v>0.86499999999999977</v>
      </c>
      <c r="W40" s="829">
        <v>15</v>
      </c>
      <c r="X40" s="829">
        <v>13</v>
      </c>
      <c r="Y40" s="829">
        <v>4</v>
      </c>
      <c r="Z40" s="829">
        <v>4</v>
      </c>
      <c r="AA40" s="829">
        <v>41</v>
      </c>
      <c r="AB40" s="829">
        <v>59</v>
      </c>
      <c r="AC40" s="829"/>
      <c r="AD40" s="816" t="str">
        <f t="array" ref="AD40">IF($J40="","",IF(SUM(IF(ISNUMBER(VALUE(RIGHT($AG40:$DX40,1))),VALUE(RIGHT($AG40:$DX40,1)),0))=$J40,"T","F"))</f>
        <v>T</v>
      </c>
      <c r="AE40" s="831">
        <f t="array" ref="AE40">IF($J40="","",SUM(IF(LEFT($AG40:$DX40,1)="s",1,0))-SUM(IF(RIGHT(LEFT($AG40:$DX40,2))="-",1,0)))</f>
        <v>0</v>
      </c>
      <c r="AF40" s="816">
        <f t="array" ref="AF40">IF($J40="","",SUM(IF(LEFT($AG40:$DX40,1)="X",1,0)))</f>
        <v>11</v>
      </c>
      <c r="AG40" s="891" t="s">
        <v>34</v>
      </c>
      <c r="AH40" s="891" t="s">
        <v>1877</v>
      </c>
      <c r="AI40" s="891" t="s">
        <v>32</v>
      </c>
      <c r="AJ40" s="891"/>
      <c r="AK40" s="891" t="s">
        <v>34</v>
      </c>
      <c r="AL40" s="891" t="s">
        <v>32</v>
      </c>
      <c r="AM40" s="891" t="s">
        <v>1877</v>
      </c>
      <c r="AN40" s="891" t="s">
        <v>34</v>
      </c>
      <c r="AO40" s="891" t="s">
        <v>34</v>
      </c>
      <c r="AP40" s="891" t="s">
        <v>32</v>
      </c>
      <c r="AQ40" s="891" t="s">
        <v>32</v>
      </c>
      <c r="AR40" s="891" t="s">
        <v>34</v>
      </c>
      <c r="AS40" s="891" t="s">
        <v>1877</v>
      </c>
      <c r="AT40" s="891" t="s">
        <v>34</v>
      </c>
      <c r="AU40" s="891" t="s">
        <v>32</v>
      </c>
      <c r="AV40" s="891" t="s">
        <v>32</v>
      </c>
      <c r="AW40" s="891" t="s">
        <v>36</v>
      </c>
      <c r="AX40" s="891" t="s">
        <v>1877</v>
      </c>
      <c r="AY40" s="891" t="s">
        <v>34</v>
      </c>
      <c r="AZ40" s="891" t="s">
        <v>32</v>
      </c>
      <c r="BA40" s="891" t="s">
        <v>35</v>
      </c>
      <c r="BB40" s="891" t="s">
        <v>1886</v>
      </c>
      <c r="BC40" s="891" t="s">
        <v>32</v>
      </c>
      <c r="BD40" s="910"/>
      <c r="BE40" s="910"/>
      <c r="BF40" s="891" t="s">
        <v>1884</v>
      </c>
      <c r="BG40" s="891" t="s">
        <v>35</v>
      </c>
      <c r="BH40" s="891" t="s">
        <v>34</v>
      </c>
      <c r="BI40" s="891" t="s">
        <v>2585</v>
      </c>
      <c r="BJ40" s="891" t="s">
        <v>36</v>
      </c>
      <c r="BK40" s="891" t="s">
        <v>36</v>
      </c>
      <c r="BL40" s="910"/>
      <c r="BM40" s="891"/>
      <c r="BN40" s="891"/>
      <c r="BO40" s="891"/>
      <c r="BP40" s="891"/>
      <c r="BQ40" s="891"/>
      <c r="BR40" s="896"/>
      <c r="BS40" s="891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896"/>
      <c r="CF40" s="4"/>
      <c r="CG40" s="4"/>
      <c r="CH40" s="4"/>
      <c r="CI40" s="4"/>
      <c r="CJ40" s="6" t="s">
        <v>32</v>
      </c>
      <c r="CK40" s="6" t="s">
        <v>32</v>
      </c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</row>
    <row r="41" spans="1:121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10</v>
      </c>
      <c r="G41" s="879" t="s">
        <v>883</v>
      </c>
      <c r="H41" s="879" t="s">
        <v>18</v>
      </c>
      <c r="I41" s="879" t="s">
        <v>891</v>
      </c>
      <c r="J41" s="846">
        <v>1</v>
      </c>
      <c r="K41" s="846">
        <v>0</v>
      </c>
      <c r="L41" s="816" t="str">
        <f t="shared" si="32"/>
        <v>W</v>
      </c>
      <c r="M41" s="816">
        <f t="shared" si="33"/>
        <v>1</v>
      </c>
      <c r="N41" s="816" t="str">
        <f t="shared" si="34"/>
        <v>U</v>
      </c>
      <c r="O41" s="816">
        <f t="shared" si="23"/>
        <v>0</v>
      </c>
      <c r="P41" s="829">
        <f t="shared" si="25"/>
        <v>1</v>
      </c>
      <c r="Q41" s="830">
        <v>-0.12</v>
      </c>
      <c r="R41" s="871">
        <f t="shared" si="35"/>
        <v>1.1200000000000001</v>
      </c>
      <c r="S41" s="830">
        <v>2.21</v>
      </c>
      <c r="T41" s="871">
        <f t="shared" si="27"/>
        <v>-1.21</v>
      </c>
      <c r="U41" s="868">
        <f t="shared" si="28"/>
        <v>1.0449999999999999</v>
      </c>
      <c r="V41" s="868">
        <f t="shared" si="29"/>
        <v>1.165</v>
      </c>
      <c r="W41" s="829">
        <v>13</v>
      </c>
      <c r="X41" s="829">
        <v>12</v>
      </c>
      <c r="Y41" s="829">
        <v>2</v>
      </c>
      <c r="Z41" s="829">
        <v>1</v>
      </c>
      <c r="AA41" s="829">
        <v>53</v>
      </c>
      <c r="AB41" s="829">
        <v>47</v>
      </c>
      <c r="AC41" s="829"/>
      <c r="AD41" s="816" t="str">
        <f t="array" ref="AD41">IF($J41="","",IF(SUM(IF(ISNUMBER(VALUE(RIGHT($AG41:$DX41,1))),VALUE(RIGHT($AG41:$DX41,1)),0))=$J41,"T","F"))</f>
        <v>T</v>
      </c>
      <c r="AE41" s="831">
        <f t="array" ref="AE41">IF($J41="","",SUM(IF(LEFT($AG41:$DX41,1)="s",1,0))-SUM(IF(RIGHT(LEFT($AG41:$DX41,2))="-",1,0)))</f>
        <v>0</v>
      </c>
      <c r="AF41" s="816">
        <f t="array" ref="AF41">IF($J41="","",SUM(IF(LEFT($AG41:$DX41,1)="X",1,0)))</f>
        <v>11</v>
      </c>
      <c r="AG41" s="891" t="s">
        <v>34</v>
      </c>
      <c r="AH41" s="891" t="s">
        <v>1877</v>
      </c>
      <c r="AI41" s="891" t="s">
        <v>32</v>
      </c>
      <c r="AJ41" s="891"/>
      <c r="AK41" s="891" t="s">
        <v>34</v>
      </c>
      <c r="AL41" s="891" t="s">
        <v>32</v>
      </c>
      <c r="AM41" s="891" t="s">
        <v>1877</v>
      </c>
      <c r="AN41" s="891" t="s">
        <v>34</v>
      </c>
      <c r="AO41" s="891" t="s">
        <v>35</v>
      </c>
      <c r="AP41" s="891" t="s">
        <v>32</v>
      </c>
      <c r="AQ41" s="891" t="s">
        <v>32</v>
      </c>
      <c r="AR41" s="891" t="s">
        <v>34</v>
      </c>
      <c r="AS41" s="891" t="s">
        <v>1877</v>
      </c>
      <c r="AT41" s="891" t="s">
        <v>34</v>
      </c>
      <c r="AU41" s="891" t="s">
        <v>32</v>
      </c>
      <c r="AV41" s="891" t="s">
        <v>32</v>
      </c>
      <c r="AW41" s="891" t="s">
        <v>36</v>
      </c>
      <c r="AX41" s="891" t="s">
        <v>1877</v>
      </c>
      <c r="AY41" s="891" t="s">
        <v>34</v>
      </c>
      <c r="AZ41" s="891" t="s">
        <v>32</v>
      </c>
      <c r="BA41" s="904" t="s">
        <v>35</v>
      </c>
      <c r="BB41" s="891" t="s">
        <v>36</v>
      </c>
      <c r="BC41" s="891" t="s">
        <v>32</v>
      </c>
      <c r="BD41" s="910"/>
      <c r="BE41" s="910"/>
      <c r="BF41" s="891" t="s">
        <v>32</v>
      </c>
      <c r="BG41" s="891" t="s">
        <v>35</v>
      </c>
      <c r="BH41" s="891" t="s">
        <v>2672</v>
      </c>
      <c r="BI41" s="891" t="s">
        <v>34</v>
      </c>
      <c r="BJ41" s="891" t="s">
        <v>36</v>
      </c>
      <c r="BK41" s="891"/>
      <c r="BL41" s="910"/>
      <c r="BM41" s="891"/>
      <c r="BN41" s="891"/>
      <c r="BO41" s="891"/>
      <c r="BP41" s="891"/>
      <c r="BQ41" s="891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428"/>
      <c r="CG41" s="428"/>
      <c r="CH41" s="428"/>
      <c r="CI41" s="428"/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  <c r="CP41" s="230" t="s">
        <v>32</v>
      </c>
    </row>
    <row r="42" spans="1:121" ht="15">
      <c r="A42" s="912">
        <v>6382</v>
      </c>
      <c r="B42" s="894"/>
      <c r="C42" s="894"/>
      <c r="D42" s="894"/>
      <c r="E42" s="894"/>
      <c r="F42" s="894"/>
      <c r="G42" s="828" t="s">
        <v>886</v>
      </c>
      <c r="H42" s="828" t="s">
        <v>22</v>
      </c>
      <c r="I42" s="828" t="s">
        <v>2649</v>
      </c>
      <c r="J42" s="913">
        <v>0</v>
      </c>
      <c r="K42" s="895">
        <v>0</v>
      </c>
      <c r="L42" s="816" t="str">
        <f t="shared" ref="L42" si="36">IF(J42="","",IF(J42&gt;K42,"W",IF(J42=K42,"D",IF(J42&lt;K42,"L"))))</f>
        <v>D</v>
      </c>
      <c r="M42" s="816">
        <f t="shared" ref="M42" si="37">IF(J42="","",J42+K42)</f>
        <v>0</v>
      </c>
      <c r="N42" s="816" t="str">
        <f t="shared" si="34"/>
        <v>U</v>
      </c>
      <c r="O42" s="816" t="str">
        <f t="shared" ref="O42" si="38">IF(Q42="","",IF(SIGN(Q42)&lt;&gt;1,VLOOKUP(ABS(Q42),SUP_HDC,3,TRUE),-VLOOKUP(ABS(Q42),SUP_HDC,3,TRUE)))</f>
        <v/>
      </c>
      <c r="P42" s="829" t="str">
        <f t="shared" ref="P42" si="39">IF(O42="","",IF((J42-K42+O42)&gt;=0.5,1,IF((J42-K42+O42)=0.25,0.5,IF((J42-K42+O42)&lt;=-0.5,-1,IF((J42-K42+O42)=-0.25,-0.5,0)))))</f>
        <v/>
      </c>
      <c r="Q42" s="830"/>
      <c r="R42" s="871" t="str">
        <f t="shared" ref="R42" si="40">IF(ISBLANK(Q42),"",J42-K42-Q42)</f>
        <v/>
      </c>
      <c r="S42" s="830"/>
      <c r="T42" s="871" t="str">
        <f t="shared" ref="T42" si="41">IF(ISBLANK(S42),"",J42+K42-S42)</f>
        <v/>
      </c>
      <c r="U42" s="868" t="str">
        <f t="shared" ref="U42" si="42">IF(Q42="","",(Q42+S42)/2)</f>
        <v/>
      </c>
      <c r="V42" s="868" t="str">
        <f t="shared" ref="V42" si="43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IF($J42="","",IF(SUM(IF(ISNUMBER(VALUE(RIGHT($AG42:$DX42,1))),VALUE(RIGHT($AG42:$DX42,1)),0))=$J42,"T","F"))</f>
        <v>T</v>
      </c>
      <c r="AE42" s="831">
        <f t="array" ref="AE42">IF($J42="","",SUM(IF(LEFT($AG42:$DX42,1)="s",1,0))-SUM(IF(RIGHT(LEFT($AG42:$DX42,2))="-",1,0)))</f>
        <v>0</v>
      </c>
      <c r="AF42" s="816">
        <f t="array" ref="AF42">IF($J42="","",SUM(IF(LEFT($AG42:$DX42,1)="X",1,0)))</f>
        <v>11</v>
      </c>
      <c r="AG42" s="891" t="s">
        <v>32</v>
      </c>
      <c r="AH42" s="891" t="s">
        <v>34</v>
      </c>
      <c r="AI42" s="891" t="s">
        <v>1877</v>
      </c>
      <c r="AJ42" s="891"/>
      <c r="AK42" s="891" t="s">
        <v>32</v>
      </c>
      <c r="AL42" s="891" t="s">
        <v>34</v>
      </c>
      <c r="AM42" s="891" t="s">
        <v>34</v>
      </c>
      <c r="AN42" s="891" t="s">
        <v>32</v>
      </c>
      <c r="AO42" s="891" t="s">
        <v>34</v>
      </c>
      <c r="AP42" s="891" t="s">
        <v>34</v>
      </c>
      <c r="AQ42" s="891" t="s">
        <v>32</v>
      </c>
      <c r="AR42" s="891" t="s">
        <v>32</v>
      </c>
      <c r="AS42" s="891" t="s">
        <v>35</v>
      </c>
      <c r="AT42" s="891" t="s">
        <v>1877</v>
      </c>
      <c r="AU42" s="891" t="s">
        <v>1877</v>
      </c>
      <c r="AV42" s="891" t="s">
        <v>35</v>
      </c>
      <c r="AW42" s="891" t="s">
        <v>34</v>
      </c>
      <c r="AX42" s="891" t="s">
        <v>34</v>
      </c>
      <c r="AY42" s="891" t="s">
        <v>32</v>
      </c>
      <c r="AZ42" s="891" t="s">
        <v>32</v>
      </c>
      <c r="BA42" s="891" t="s">
        <v>1877</v>
      </c>
      <c r="BB42" s="891" t="s">
        <v>36</v>
      </c>
      <c r="BC42" s="891" t="s">
        <v>32</v>
      </c>
      <c r="BD42" s="910"/>
      <c r="BE42" s="910"/>
      <c r="BF42" s="891" t="s">
        <v>32</v>
      </c>
      <c r="BG42" s="891" t="s">
        <v>36</v>
      </c>
      <c r="BH42" s="891" t="s">
        <v>36</v>
      </c>
      <c r="BI42" s="891" t="s">
        <v>35</v>
      </c>
      <c r="BJ42" s="909" t="s">
        <v>34</v>
      </c>
      <c r="BK42" s="891" t="s">
        <v>2731</v>
      </c>
      <c r="BL42" s="910"/>
      <c r="BM42" s="891"/>
      <c r="BN42" s="891"/>
      <c r="BO42" s="891"/>
      <c r="BP42" s="891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428"/>
      <c r="CG42" s="428"/>
      <c r="CH42" s="428"/>
      <c r="CI42" s="428"/>
    </row>
    <row r="43" spans="1:121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7</v>
      </c>
      <c r="G43" s="879" t="s">
        <v>888</v>
      </c>
      <c r="H43" s="879" t="s">
        <v>22</v>
      </c>
      <c r="I43" s="879" t="s">
        <v>891</v>
      </c>
      <c r="J43" s="846">
        <v>1</v>
      </c>
      <c r="K43" s="846">
        <v>6</v>
      </c>
      <c r="L43" s="816" t="str">
        <f t="shared" si="32"/>
        <v>L</v>
      </c>
      <c r="M43" s="816">
        <f t="shared" si="33"/>
        <v>7</v>
      </c>
      <c r="N43" s="816" t="str">
        <f t="shared" si="34"/>
        <v>O</v>
      </c>
      <c r="O43" s="816">
        <f t="shared" si="23"/>
        <v>0</v>
      </c>
      <c r="P43" s="829">
        <f t="shared" si="25"/>
        <v>-1</v>
      </c>
      <c r="Q43" s="830">
        <v>0.05</v>
      </c>
      <c r="R43" s="871">
        <f t="shared" si="35"/>
        <v>-5.05</v>
      </c>
      <c r="S43" s="830">
        <v>2.35</v>
      </c>
      <c r="T43" s="871">
        <f t="shared" si="27"/>
        <v>4.6500000000000004</v>
      </c>
      <c r="U43" s="868">
        <f t="shared" si="28"/>
        <v>1.2</v>
      </c>
      <c r="V43" s="868">
        <f t="shared" si="29"/>
        <v>1.1500000000000001</v>
      </c>
      <c r="W43" s="829">
        <v>14</v>
      </c>
      <c r="X43" s="829">
        <v>17</v>
      </c>
      <c r="Y43" s="829">
        <v>4</v>
      </c>
      <c r="Z43" s="829">
        <v>8</v>
      </c>
      <c r="AA43" s="829">
        <v>52</v>
      </c>
      <c r="AB43" s="829">
        <v>48</v>
      </c>
      <c r="AC43" s="829"/>
      <c r="AD43" s="816" t="str">
        <f t="array" ref="AD43">IF($J43="","",IF(SUM(IF(ISNUMBER(VALUE(RIGHT($AG43:$DX43,1))),VALUE(RIGHT($AG43:$DX43,1)),0))=$J43,"T","F"))</f>
        <v>T</v>
      </c>
      <c r="AE43" s="831">
        <f t="array" ref="AE43">IF($J43="","",SUM(IF(LEFT($AG43:$DX43,1)="s",1,0))-SUM(IF(RIGHT(LEFT($AG43:$DX43,2))="-",1,0)))</f>
        <v>0</v>
      </c>
      <c r="AF43" s="816">
        <f t="array" ref="AF43">IF($J43="","",SUM(IF(LEFT($AG43:$DX43,1)="X",1,0)))</f>
        <v>11</v>
      </c>
      <c r="AG43" s="891" t="s">
        <v>34</v>
      </c>
      <c r="AH43" s="891" t="s">
        <v>1877</v>
      </c>
      <c r="AI43" s="891" t="s">
        <v>32</v>
      </c>
      <c r="AJ43" s="891"/>
      <c r="AK43" s="891" t="s">
        <v>35</v>
      </c>
      <c r="AL43" s="891" t="s">
        <v>1877</v>
      </c>
      <c r="AM43" s="891" t="s">
        <v>1877</v>
      </c>
      <c r="AN43" s="891" t="s">
        <v>34</v>
      </c>
      <c r="AO43" s="891" t="s">
        <v>35</v>
      </c>
      <c r="AP43" s="891" t="s">
        <v>32</v>
      </c>
      <c r="AQ43" s="891" t="s">
        <v>32</v>
      </c>
      <c r="AR43" s="891" t="s">
        <v>34</v>
      </c>
      <c r="AS43" s="891" t="s">
        <v>32</v>
      </c>
      <c r="AT43" s="891" t="s">
        <v>34</v>
      </c>
      <c r="AU43" s="891" t="s">
        <v>32</v>
      </c>
      <c r="AV43" s="891" t="s">
        <v>32</v>
      </c>
      <c r="AW43" s="891" t="s">
        <v>1877</v>
      </c>
      <c r="AX43" s="891" t="s">
        <v>36</v>
      </c>
      <c r="AY43" s="891" t="s">
        <v>34</v>
      </c>
      <c r="AZ43" s="891" t="s">
        <v>32</v>
      </c>
      <c r="BA43" s="891" t="s">
        <v>35</v>
      </c>
      <c r="BB43" s="891" t="s">
        <v>36</v>
      </c>
      <c r="BC43" s="891" t="s">
        <v>32</v>
      </c>
      <c r="BD43" s="910"/>
      <c r="BE43" s="910"/>
      <c r="BF43" s="891" t="s">
        <v>32</v>
      </c>
      <c r="BG43" s="904" t="s">
        <v>34</v>
      </c>
      <c r="BH43" s="891" t="s">
        <v>2734</v>
      </c>
      <c r="BI43" s="891" t="s">
        <v>34</v>
      </c>
      <c r="BJ43" s="891" t="s">
        <v>36</v>
      </c>
      <c r="BK43" s="891" t="s">
        <v>2731</v>
      </c>
      <c r="BL43" s="910"/>
      <c r="BM43" s="891"/>
      <c r="BN43" s="891"/>
      <c r="BO43" s="891"/>
      <c r="BP43" s="891"/>
      <c r="BQ43" s="891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428"/>
      <c r="CG43" s="428"/>
      <c r="CH43" s="428"/>
      <c r="CI43" s="428"/>
    </row>
    <row r="44" spans="1:121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16</v>
      </c>
      <c r="G44" s="879" t="s">
        <v>872</v>
      </c>
      <c r="H44" s="879" t="s">
        <v>22</v>
      </c>
      <c r="I44" s="879" t="s">
        <v>891</v>
      </c>
      <c r="J44" s="846">
        <v>1</v>
      </c>
      <c r="K44" s="846">
        <v>3</v>
      </c>
      <c r="L44" s="816" t="str">
        <f>IF(J44="","",IF(J44&gt;K44,"W",IF(J44=K44,"D",IF(J44&lt;K44,"L"))))</f>
        <v>L</v>
      </c>
      <c r="M44" s="816">
        <f>IF(J44="","",J44+K44)</f>
        <v>4</v>
      </c>
      <c r="N44" s="816" t="str">
        <f>IF($J44="","",IF($M44&gt;N$19,"O",IF($M44&lt;N$19,"U",IF($M44=N$19,"-"))))</f>
        <v>O</v>
      </c>
      <c r="O44" s="816">
        <f>IF(Q44="","",IF(SIGN(Q44)&lt;&gt;1,VLOOKUP(ABS(Q44),SUP_HDC,3,TRUE),-VLOOKUP(ABS(Q44),SUP_HDC,3,TRUE)))</f>
        <v>-0.25</v>
      </c>
      <c r="P44" s="829">
        <f>IF(O44="","",IF((J44-K44+O44)&gt;=0.5,1,IF((J44-K44+O44)=0.25,0.5,IF((J44-K44+O44)&lt;=-0.5,-1,IF((J44-K44+O44)=-0.25,-0.5,0)))))</f>
        <v>-1</v>
      </c>
      <c r="Q44" s="830">
        <v>0.2</v>
      </c>
      <c r="R44" s="871">
        <f t="shared" si="35"/>
        <v>-2.2000000000000002</v>
      </c>
      <c r="S44" s="830">
        <v>2.23</v>
      </c>
      <c r="T44" s="871">
        <f>IF(ISBLANK(S44),"",J44+K44-S44)</f>
        <v>1.77</v>
      </c>
      <c r="U44" s="868">
        <f>IF(Q44="","",(Q44+S44)/2)</f>
        <v>1.2150000000000001</v>
      </c>
      <c r="V44" s="868">
        <f>IF(Q44="","",S44-U44)</f>
        <v>1.0149999999999999</v>
      </c>
      <c r="W44" s="829">
        <v>7</v>
      </c>
      <c r="X44" s="829">
        <v>10</v>
      </c>
      <c r="Y44" s="829">
        <v>3</v>
      </c>
      <c r="Z44" s="829">
        <v>4</v>
      </c>
      <c r="AA44" s="829">
        <v>59</v>
      </c>
      <c r="AB44" s="829">
        <v>41</v>
      </c>
      <c r="AC44" s="829"/>
      <c r="AD44" s="816" t="str">
        <f t="array" ref="AD44">IF($J44="","",IF(SUM(IF(ISNUMBER(VALUE(RIGHT($AG44:$DX44,1))),VALUE(RIGHT($AG44:$DX44,1)),0))=$J44,"T","F"))</f>
        <v>T</v>
      </c>
      <c r="AE44" s="831">
        <f t="array" ref="AE44">IF($J44="","",SUM(IF(LEFT($AG44:$DX44,1)="s",1,0))-SUM(IF(RIGHT(LEFT($AG44:$DX44,2))="-",1,0)))</f>
        <v>0</v>
      </c>
      <c r="AF44" s="816">
        <f t="array" ref="AF44">IF($J44="","",SUM(IF(LEFT($AG44:$DX44,1)="X",1,0)))</f>
        <v>11</v>
      </c>
      <c r="AG44" s="891" t="s">
        <v>34</v>
      </c>
      <c r="AH44" s="891" t="s">
        <v>1877</v>
      </c>
      <c r="AI44" s="891" t="s">
        <v>32</v>
      </c>
      <c r="AJ44" s="891"/>
      <c r="AK44" s="891" t="s">
        <v>34</v>
      </c>
      <c r="AL44" s="891" t="s">
        <v>1877</v>
      </c>
      <c r="AM44" s="891" t="s">
        <v>35</v>
      </c>
      <c r="AN44" s="891" t="s">
        <v>34</v>
      </c>
      <c r="AO44" s="891" t="s">
        <v>32</v>
      </c>
      <c r="AP44" s="891" t="s">
        <v>32</v>
      </c>
      <c r="AQ44" s="891" t="s">
        <v>1877</v>
      </c>
      <c r="AR44" s="891" t="s">
        <v>36</v>
      </c>
      <c r="AS44" s="891" t="s">
        <v>32</v>
      </c>
      <c r="AT44" s="891" t="s">
        <v>35</v>
      </c>
      <c r="AU44" s="891" t="s">
        <v>32</v>
      </c>
      <c r="AV44" s="891" t="s">
        <v>32</v>
      </c>
      <c r="AW44" s="891" t="s">
        <v>32</v>
      </c>
      <c r="AX44" s="891" t="s">
        <v>34</v>
      </c>
      <c r="AY44" s="891" t="s">
        <v>34</v>
      </c>
      <c r="AZ44" s="891" t="s">
        <v>32</v>
      </c>
      <c r="BA44" s="891" t="s">
        <v>1877</v>
      </c>
      <c r="BB44" s="891" t="s">
        <v>34</v>
      </c>
      <c r="BC44" s="891" t="s">
        <v>2793</v>
      </c>
      <c r="BD44" s="910"/>
      <c r="BE44" s="910"/>
      <c r="BF44" s="891" t="s">
        <v>32</v>
      </c>
      <c r="BG44" s="891" t="s">
        <v>35</v>
      </c>
      <c r="BH44" s="891" t="s">
        <v>34</v>
      </c>
      <c r="BI44" s="891" t="s">
        <v>34</v>
      </c>
      <c r="BJ44" s="891" t="s">
        <v>36</v>
      </c>
      <c r="BK44" s="891" t="s">
        <v>2731</v>
      </c>
      <c r="BL44" s="910"/>
      <c r="BM44" s="891"/>
      <c r="BN44" s="891"/>
      <c r="BO44" s="891"/>
      <c r="BP44" s="891"/>
      <c r="BQ44" s="891"/>
      <c r="BR44" s="896"/>
      <c r="BS44" s="896"/>
      <c r="BT44" s="891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896"/>
      <c r="CF44" s="428"/>
      <c r="CG44" s="428"/>
      <c r="CH44" s="428"/>
      <c r="CI44" s="428"/>
    </row>
    <row r="45" spans="1:121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20</v>
      </c>
      <c r="G45" s="879" t="s">
        <v>882</v>
      </c>
      <c r="H45" s="879" t="s">
        <v>18</v>
      </c>
      <c r="I45" s="879" t="s">
        <v>891</v>
      </c>
      <c r="J45" s="846">
        <v>0</v>
      </c>
      <c r="K45" s="846">
        <v>2</v>
      </c>
      <c r="L45" s="816" t="str">
        <f t="shared" si="32"/>
        <v>L</v>
      </c>
      <c r="M45" s="816">
        <f t="shared" si="33"/>
        <v>2</v>
      </c>
      <c r="N45" s="816" t="str">
        <f t="shared" si="34"/>
        <v>U</v>
      </c>
      <c r="O45" s="816">
        <f t="shared" si="23"/>
        <v>0</v>
      </c>
      <c r="P45" s="829">
        <f t="shared" si="25"/>
        <v>-1</v>
      </c>
      <c r="Q45" s="830">
        <v>-0.01</v>
      </c>
      <c r="R45" s="871">
        <f t="shared" si="35"/>
        <v>-1.99</v>
      </c>
      <c r="S45" s="830">
        <v>2.4</v>
      </c>
      <c r="T45" s="871">
        <f t="shared" si="27"/>
        <v>-0.39999999999999991</v>
      </c>
      <c r="U45" s="868">
        <f t="shared" si="28"/>
        <v>1.1950000000000001</v>
      </c>
      <c r="V45" s="868">
        <f t="shared" si="29"/>
        <v>1.2049999999999998</v>
      </c>
      <c r="W45" s="829">
        <v>12</v>
      </c>
      <c r="X45" s="829">
        <v>8</v>
      </c>
      <c r="Y45" s="829">
        <v>4</v>
      </c>
      <c r="Z45" s="829">
        <v>2</v>
      </c>
      <c r="AA45" s="829">
        <v>55</v>
      </c>
      <c r="AB45" s="829">
        <v>45</v>
      </c>
      <c r="AC45" s="829"/>
      <c r="AD45" s="816" t="str">
        <f t="array" ref="AD45">IF($J45="","",IF(SUM(IF(ISNUMBER(VALUE(RIGHT($AG45:$DX45,1))),VALUE(RIGHT($AG45:$DX45,1)),0))=$J45,"T","F"))</f>
        <v>T</v>
      </c>
      <c r="AE45" s="831">
        <f t="array" ref="AE45">IF($J45="","",SUM(IF(LEFT($AG45:$DX45,1)="s",1,0))-SUM(IF(RIGHT(LEFT($AG45:$DX45,2))="-",1,0)))</f>
        <v>0</v>
      </c>
      <c r="AF45" s="816">
        <f t="array" ref="AF45">IF($J45="","",SUM(IF(LEFT($AG45:$DX45,1)="X",1,0)))</f>
        <v>11</v>
      </c>
      <c r="AG45" s="891" t="s">
        <v>34</v>
      </c>
      <c r="AH45" s="891" t="s">
        <v>32</v>
      </c>
      <c r="AI45" s="891" t="s">
        <v>1877</v>
      </c>
      <c r="AJ45" s="891"/>
      <c r="AK45" s="891" t="s">
        <v>35</v>
      </c>
      <c r="AL45" s="891" t="s">
        <v>1877</v>
      </c>
      <c r="AM45" s="891" t="s">
        <v>35</v>
      </c>
      <c r="AN45" s="891" t="s">
        <v>34</v>
      </c>
      <c r="AO45" s="891" t="s">
        <v>1886</v>
      </c>
      <c r="AP45" s="891" t="s">
        <v>1877</v>
      </c>
      <c r="AQ45" s="891" t="s">
        <v>34</v>
      </c>
      <c r="AR45" s="891" t="s">
        <v>34</v>
      </c>
      <c r="AS45" s="891" t="s">
        <v>32</v>
      </c>
      <c r="AT45" s="891" t="s">
        <v>34</v>
      </c>
      <c r="AU45" s="891" t="s">
        <v>32</v>
      </c>
      <c r="AV45" s="891" t="s">
        <v>32</v>
      </c>
      <c r="AW45" s="891" t="s">
        <v>2842</v>
      </c>
      <c r="AX45" s="891" t="s">
        <v>34</v>
      </c>
      <c r="AY45" s="891" t="s">
        <v>34</v>
      </c>
      <c r="AZ45" s="904" t="s">
        <v>36</v>
      </c>
      <c r="BA45" s="891" t="s">
        <v>1877</v>
      </c>
      <c r="BB45" s="891" t="s">
        <v>32</v>
      </c>
      <c r="BC45" s="891" t="s">
        <v>36</v>
      </c>
      <c r="BD45" s="910"/>
      <c r="BE45" s="910"/>
      <c r="BF45" s="891" t="s">
        <v>32</v>
      </c>
      <c r="BG45" s="906" t="s">
        <v>2848</v>
      </c>
      <c r="BH45" s="891" t="s">
        <v>32</v>
      </c>
      <c r="BI45" s="891" t="s">
        <v>34</v>
      </c>
      <c r="BJ45" s="891" t="s">
        <v>35</v>
      </c>
      <c r="BK45" s="891" t="s">
        <v>2731</v>
      </c>
      <c r="BL45" s="910"/>
      <c r="BM45" s="891"/>
      <c r="BN45" s="891"/>
      <c r="BO45" s="891"/>
      <c r="BP45" s="891"/>
      <c r="BQ45" s="891"/>
      <c r="BR45" s="896"/>
      <c r="BS45" s="891"/>
      <c r="BT45" s="896"/>
      <c r="BU45" s="896"/>
      <c r="BV45" s="896"/>
      <c r="BW45" s="896"/>
      <c r="BX45" s="896"/>
      <c r="BY45" s="891"/>
      <c r="BZ45" s="891"/>
      <c r="CA45" s="891"/>
      <c r="CB45" s="891"/>
      <c r="CC45" s="891"/>
      <c r="CD45" s="891"/>
      <c r="CE45" s="891"/>
      <c r="CF45" s="428"/>
      <c r="CG45" s="428"/>
      <c r="CH45" s="428"/>
      <c r="CI45" s="428"/>
    </row>
    <row r="46" spans="1:121" ht="15">
      <c r="A46" s="912">
        <v>6403</v>
      </c>
      <c r="B46" s="894"/>
      <c r="C46" s="894"/>
      <c r="D46" s="894"/>
      <c r="E46" s="894"/>
      <c r="F46" s="894"/>
      <c r="G46" s="828" t="s">
        <v>2760</v>
      </c>
      <c r="H46" s="828" t="s">
        <v>2759</v>
      </c>
      <c r="I46" s="828" t="s">
        <v>2649</v>
      </c>
      <c r="J46" s="895">
        <v>0</v>
      </c>
      <c r="K46" s="895">
        <v>5</v>
      </c>
      <c r="L46" s="816" t="str">
        <f t="shared" si="32"/>
        <v>L</v>
      </c>
      <c r="M46" s="816">
        <f t="shared" si="33"/>
        <v>5</v>
      </c>
      <c r="N46" s="816" t="str">
        <f t="shared" si="34"/>
        <v>O</v>
      </c>
      <c r="O46" s="816"/>
      <c r="P46" s="829"/>
      <c r="Q46" s="830"/>
      <c r="R46" s="871" t="str">
        <f t="shared" si="35"/>
        <v/>
      </c>
      <c r="S46" s="830"/>
      <c r="T46" s="871" t="str">
        <f t="shared" si="27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E46" s="831"/>
      <c r="AG46" s="891" t="s">
        <v>34</v>
      </c>
      <c r="AH46" s="891" t="s">
        <v>32</v>
      </c>
      <c r="AI46" s="891" t="s">
        <v>1877</v>
      </c>
      <c r="AJ46" s="891"/>
      <c r="AK46" s="891" t="s">
        <v>32</v>
      </c>
      <c r="AL46" s="891" t="s">
        <v>34</v>
      </c>
      <c r="AM46" s="891" t="s">
        <v>32</v>
      </c>
      <c r="AN46" s="891" t="s">
        <v>1877</v>
      </c>
      <c r="AO46" s="891" t="s">
        <v>1886</v>
      </c>
      <c r="AP46" s="904" t="s">
        <v>34</v>
      </c>
      <c r="AQ46" s="891" t="s">
        <v>1877</v>
      </c>
      <c r="AR46" s="891" t="s">
        <v>34</v>
      </c>
      <c r="AS46" s="891" t="s">
        <v>34</v>
      </c>
      <c r="AT46" s="891" t="s">
        <v>34</v>
      </c>
      <c r="AU46" s="891" t="s">
        <v>1877</v>
      </c>
      <c r="AV46" s="891" t="s">
        <v>35</v>
      </c>
      <c r="AW46" s="891" t="s">
        <v>1886</v>
      </c>
      <c r="AX46" s="891" t="s">
        <v>36</v>
      </c>
      <c r="AY46" s="891" t="s">
        <v>35</v>
      </c>
      <c r="AZ46" s="891" t="s">
        <v>36</v>
      </c>
      <c r="BA46" s="891" t="s">
        <v>35</v>
      </c>
      <c r="BB46" s="891" t="s">
        <v>32</v>
      </c>
      <c r="BC46" s="891" t="s">
        <v>34</v>
      </c>
      <c r="BD46" s="910"/>
      <c r="BE46" s="891"/>
      <c r="BF46" s="891" t="s">
        <v>32</v>
      </c>
      <c r="BG46" s="891" t="s">
        <v>34</v>
      </c>
      <c r="BH46" s="891" t="s">
        <v>32</v>
      </c>
      <c r="BI46" s="891" t="s">
        <v>36</v>
      </c>
      <c r="BJ46" s="891"/>
      <c r="BK46" s="891" t="s">
        <v>1886</v>
      </c>
      <c r="BL46" s="910"/>
      <c r="BM46" s="891"/>
      <c r="BN46" s="891"/>
      <c r="BO46" s="891"/>
      <c r="BP46" s="891"/>
      <c r="BQ46" s="891"/>
      <c r="BR46" s="896"/>
      <c r="BS46" s="891"/>
      <c r="BT46" s="896"/>
      <c r="BU46" s="896"/>
      <c r="BV46" s="896"/>
      <c r="BW46" s="896"/>
      <c r="BX46" s="896"/>
      <c r="BY46" s="891"/>
      <c r="BZ46" s="891"/>
      <c r="CA46" s="891"/>
      <c r="CB46" s="891"/>
      <c r="CC46" s="891"/>
      <c r="CD46" s="891"/>
      <c r="CE46" s="891"/>
      <c r="CF46" s="428"/>
      <c r="CG46" s="428"/>
      <c r="CH46" s="428"/>
      <c r="CI46" s="428"/>
    </row>
    <row r="47" spans="1:121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3</v>
      </c>
      <c r="G47" s="879" t="s">
        <v>1085</v>
      </c>
      <c r="H47" s="879" t="s">
        <v>18</v>
      </c>
      <c r="I47" s="879" t="s">
        <v>891</v>
      </c>
      <c r="J47" s="846">
        <v>0</v>
      </c>
      <c r="K47" s="846">
        <v>1</v>
      </c>
      <c r="L47" s="816" t="str">
        <f t="shared" si="32"/>
        <v>L</v>
      </c>
      <c r="M47" s="816">
        <f t="shared" si="33"/>
        <v>1</v>
      </c>
      <c r="N47" s="816" t="str">
        <f t="shared" si="34"/>
        <v>U</v>
      </c>
      <c r="O47" s="816">
        <f t="shared" si="23"/>
        <v>0.25</v>
      </c>
      <c r="P47" s="829">
        <f t="shared" si="25"/>
        <v>-1</v>
      </c>
      <c r="Q47" s="830">
        <v>-0.33</v>
      </c>
      <c r="R47" s="871">
        <f t="shared" si="35"/>
        <v>-0.66999999999999993</v>
      </c>
      <c r="S47" s="830">
        <v>2.48</v>
      </c>
      <c r="T47" s="871">
        <f t="shared" si="27"/>
        <v>-1.48</v>
      </c>
      <c r="U47" s="868">
        <f t="shared" si="28"/>
        <v>1.075</v>
      </c>
      <c r="V47" s="868">
        <f t="shared" si="29"/>
        <v>1.405</v>
      </c>
      <c r="W47" s="829">
        <v>13</v>
      </c>
      <c r="X47" s="829">
        <v>7</v>
      </c>
      <c r="Y47" s="829">
        <v>4</v>
      </c>
      <c r="Z47" s="829">
        <v>3</v>
      </c>
      <c r="AA47" s="829">
        <v>56</v>
      </c>
      <c r="AB47" s="829">
        <v>44</v>
      </c>
      <c r="AC47" s="829"/>
      <c r="AD47" s="816" t="str">
        <f t="array" ref="AD47">IF($J47="","",IF(SUM(IF(ISNUMBER(VALUE(RIGHT($AG47:$DX47,1))),VALUE(RIGHT($AG47:$DX47,1)),0))=$J47,"T","F"))</f>
        <v>T</v>
      </c>
      <c r="AE47" s="831">
        <f t="array" ref="AE47">IF($J47="","",SUM(IF(LEFT($AG47:$DX47,1)="s",1,0))-SUM(IF(RIGHT(LEFT($AG47:$DX47,2))="-",1,0)))</f>
        <v>0</v>
      </c>
      <c r="AF47" s="816">
        <f t="array" ref="AF47">IF($J47="","",SUM(IF(LEFT($AG47:$DX47,1)="X",1,0)))</f>
        <v>11</v>
      </c>
      <c r="AG47" s="891" t="s">
        <v>34</v>
      </c>
      <c r="AH47" s="891" t="s">
        <v>32</v>
      </c>
      <c r="AI47" s="891" t="s">
        <v>1877</v>
      </c>
      <c r="AJ47" s="891"/>
      <c r="AK47" s="891" t="s">
        <v>32</v>
      </c>
      <c r="AL47" s="891" t="s">
        <v>1877</v>
      </c>
      <c r="AM47" s="891" t="s">
        <v>32</v>
      </c>
      <c r="AN47" s="891" t="s">
        <v>34</v>
      </c>
      <c r="AO47" s="891" t="s">
        <v>1886</v>
      </c>
      <c r="AP47" s="891" t="s">
        <v>36</v>
      </c>
      <c r="AQ47" s="891" t="s">
        <v>34</v>
      </c>
      <c r="AR47" s="904" t="s">
        <v>34</v>
      </c>
      <c r="AS47" s="891" t="s">
        <v>1877</v>
      </c>
      <c r="AT47" s="891" t="s">
        <v>35</v>
      </c>
      <c r="AU47" s="891" t="s">
        <v>32</v>
      </c>
      <c r="AV47" s="891" t="s">
        <v>32</v>
      </c>
      <c r="AW47" s="891" t="s">
        <v>1886</v>
      </c>
      <c r="AX47" s="891" t="s">
        <v>35</v>
      </c>
      <c r="AY47" s="891" t="s">
        <v>34</v>
      </c>
      <c r="AZ47" s="891" t="s">
        <v>35</v>
      </c>
      <c r="BA47" s="891" t="s">
        <v>36</v>
      </c>
      <c r="BB47" s="891" t="s">
        <v>32</v>
      </c>
      <c r="BC47" s="904" t="s">
        <v>34</v>
      </c>
      <c r="BD47" s="915"/>
      <c r="BE47" s="891"/>
      <c r="BF47" s="891" t="s">
        <v>32</v>
      </c>
      <c r="BG47" s="891" t="s">
        <v>34</v>
      </c>
      <c r="BH47" s="891" t="s">
        <v>2919</v>
      </c>
      <c r="BI47" s="904" t="s">
        <v>34</v>
      </c>
      <c r="BJ47" s="891" t="s">
        <v>36</v>
      </c>
      <c r="BK47" s="891" t="s">
        <v>2731</v>
      </c>
      <c r="BL47" s="910"/>
      <c r="BM47" s="891"/>
      <c r="BN47" s="891"/>
      <c r="BO47" s="891"/>
      <c r="BP47" s="891"/>
      <c r="BQ47" s="891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428"/>
      <c r="CG47" s="428"/>
      <c r="CH47" s="428"/>
      <c r="CI47" s="428"/>
    </row>
    <row r="48" spans="1:121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</v>
      </c>
      <c r="G48" s="879" t="s">
        <v>1086</v>
      </c>
      <c r="H48" s="879" t="s">
        <v>22</v>
      </c>
      <c r="I48" s="879" t="s">
        <v>891</v>
      </c>
      <c r="J48" s="846">
        <v>3</v>
      </c>
      <c r="K48" s="846">
        <v>0</v>
      </c>
      <c r="L48" s="816" t="str">
        <f t="shared" si="32"/>
        <v>W</v>
      </c>
      <c r="M48" s="816">
        <f t="shared" si="33"/>
        <v>3</v>
      </c>
      <c r="N48" s="816" t="str">
        <f t="shared" si="34"/>
        <v>O</v>
      </c>
      <c r="O48" s="816">
        <f t="shared" si="23"/>
        <v>0.25</v>
      </c>
      <c r="P48" s="829">
        <f t="shared" si="25"/>
        <v>1</v>
      </c>
      <c r="Q48" s="830">
        <v>-0.16</v>
      </c>
      <c r="R48" s="871">
        <f t="shared" si="35"/>
        <v>3.16</v>
      </c>
      <c r="S48" s="830">
        <v>2.2200000000000002</v>
      </c>
      <c r="T48" s="871">
        <f t="shared" si="27"/>
        <v>0.7799999999999998</v>
      </c>
      <c r="U48" s="868">
        <f t="shared" si="28"/>
        <v>1.03</v>
      </c>
      <c r="V48" s="868">
        <f t="shared" si="29"/>
        <v>1.1900000000000002</v>
      </c>
      <c r="W48" s="829">
        <v>14</v>
      </c>
      <c r="X48" s="829">
        <v>5</v>
      </c>
      <c r="Y48" s="829">
        <v>4</v>
      </c>
      <c r="Z48" s="829">
        <v>5</v>
      </c>
      <c r="AA48" s="829">
        <v>49</v>
      </c>
      <c r="AB48" s="829">
        <v>51</v>
      </c>
      <c r="AC48" s="829"/>
      <c r="AD48" s="816" t="str">
        <f t="array" ref="AD48">IF($J48="","",IF(SUM(IF(ISNUMBER(VALUE(RIGHT($AG48:$DX48,1))),VALUE(RIGHT($AG48:$DX48,1)),0))=$J48,"T","F"))</f>
        <v>T</v>
      </c>
      <c r="AE48" s="831">
        <f t="array" ref="AE48">IF($J48="","",SUM(IF(LEFT($AG48:$DX48,1)="s",1,0))-SUM(IF(RIGHT(LEFT($AG48:$DX48,2))="-",1,0)))</f>
        <v>0</v>
      </c>
      <c r="AF48" s="816">
        <f t="array" ref="AF48">IF($J48="","",SUM(IF(LEFT($AG48:$DX48,1)="X",1,0)))</f>
        <v>11</v>
      </c>
      <c r="AG48" s="891" t="s">
        <v>34</v>
      </c>
      <c r="AH48" s="891" t="s">
        <v>1877</v>
      </c>
      <c r="AI48" s="891" t="s">
        <v>32</v>
      </c>
      <c r="AJ48" s="891"/>
      <c r="AK48" s="891" t="s">
        <v>32</v>
      </c>
      <c r="AL48" s="891" t="s">
        <v>36</v>
      </c>
      <c r="AM48" s="891" t="s">
        <v>32</v>
      </c>
      <c r="AN48" s="891" t="s">
        <v>34</v>
      </c>
      <c r="AO48" s="891" t="s">
        <v>1886</v>
      </c>
      <c r="AP48" s="891" t="s">
        <v>1877</v>
      </c>
      <c r="AQ48" s="891" t="s">
        <v>2900</v>
      </c>
      <c r="AR48" s="891" t="s">
        <v>35</v>
      </c>
      <c r="AS48" s="891" t="s">
        <v>1877</v>
      </c>
      <c r="AT48" s="891" t="s">
        <v>34</v>
      </c>
      <c r="AU48" s="891" t="s">
        <v>32</v>
      </c>
      <c r="AV48" s="891" t="s">
        <v>32</v>
      </c>
      <c r="AW48" s="891" t="s">
        <v>2898</v>
      </c>
      <c r="AX48" s="891" t="s">
        <v>1877</v>
      </c>
      <c r="AY48" s="891" t="s">
        <v>34</v>
      </c>
      <c r="AZ48" s="891" t="s">
        <v>34</v>
      </c>
      <c r="BA48" s="891" t="s">
        <v>36</v>
      </c>
      <c r="BB48" s="891" t="s">
        <v>32</v>
      </c>
      <c r="BC48" s="891" t="s">
        <v>34</v>
      </c>
      <c r="BD48" s="891" t="s">
        <v>34</v>
      </c>
      <c r="BE48" s="891"/>
      <c r="BF48" s="891" t="s">
        <v>32</v>
      </c>
      <c r="BG48" s="891" t="s">
        <v>35</v>
      </c>
      <c r="BH48" s="891" t="s">
        <v>2919</v>
      </c>
      <c r="BI48" s="891" t="s">
        <v>2899</v>
      </c>
      <c r="BJ48" s="891" t="s">
        <v>36</v>
      </c>
      <c r="BK48" s="891" t="s">
        <v>1886</v>
      </c>
      <c r="BL48" s="891"/>
      <c r="BM48" s="891"/>
      <c r="BN48" s="891"/>
      <c r="BO48" s="891"/>
      <c r="BP48" s="891"/>
      <c r="BQ48" s="891"/>
      <c r="BR48" s="896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428"/>
      <c r="CG48" s="428"/>
      <c r="CH48" s="428"/>
      <c r="CI48" s="428"/>
    </row>
    <row r="49" spans="1:87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4</v>
      </c>
      <c r="G49" s="879" t="s">
        <v>1084</v>
      </c>
      <c r="H49" s="879" t="s">
        <v>18</v>
      </c>
      <c r="I49" s="879" t="s">
        <v>891</v>
      </c>
      <c r="J49" s="846">
        <v>0</v>
      </c>
      <c r="K49" s="846">
        <v>2</v>
      </c>
      <c r="L49" s="816" t="str">
        <f t="shared" si="32"/>
        <v>L</v>
      </c>
      <c r="M49" s="816">
        <f t="shared" si="33"/>
        <v>2</v>
      </c>
      <c r="N49" s="816" t="str">
        <f t="shared" si="34"/>
        <v>U</v>
      </c>
      <c r="O49" s="816">
        <f t="shared" si="23"/>
        <v>0.5</v>
      </c>
      <c r="P49" s="829">
        <f t="shared" si="25"/>
        <v>-1</v>
      </c>
      <c r="Q49" s="830">
        <v>-0.44</v>
      </c>
      <c r="R49" s="871">
        <f t="shared" si="35"/>
        <v>-1.56</v>
      </c>
      <c r="S49" s="830">
        <v>2.33</v>
      </c>
      <c r="T49" s="871">
        <f t="shared" si="27"/>
        <v>-0.33000000000000007</v>
      </c>
      <c r="U49" s="868">
        <f t="shared" si="28"/>
        <v>0.94500000000000006</v>
      </c>
      <c r="V49" s="868">
        <f t="shared" si="29"/>
        <v>1.385</v>
      </c>
      <c r="W49" s="829">
        <v>13</v>
      </c>
      <c r="X49" s="829">
        <v>12</v>
      </c>
      <c r="Y49" s="829">
        <v>2</v>
      </c>
      <c r="Z49" s="829">
        <v>5</v>
      </c>
      <c r="AA49" s="829">
        <v>51</v>
      </c>
      <c r="AB49" s="829">
        <v>49</v>
      </c>
      <c r="AC49" s="829"/>
      <c r="AD49" s="816" t="str">
        <f t="array" ref="AD49">IF($J49="","",IF(SUM(IF(ISNUMBER(VALUE(RIGHT($AG49:$DX49,1))),VALUE(RIGHT($AG49:$DX49,1)),0))=$J49,"T","F"))</f>
        <v>T</v>
      </c>
      <c r="AE49" s="831">
        <f t="array" ref="AE49">IF($J49="","",SUM(IF(LEFT($AG49:$DX49,1)="s",1,0))-SUM(IF(RIGHT(LEFT($AG49:$DX49,2))="-",1,0)))</f>
        <v>0</v>
      </c>
      <c r="AF49" s="816">
        <f t="array" ref="AF49">IF($J49="","",SUM(IF(LEFT($AG49:$DX49,1)="X",1,0)))</f>
        <v>11</v>
      </c>
      <c r="AG49" s="891" t="s">
        <v>34</v>
      </c>
      <c r="AH49" s="891" t="s">
        <v>1877</v>
      </c>
      <c r="AI49" s="891" t="s">
        <v>32</v>
      </c>
      <c r="AJ49" s="891"/>
      <c r="AK49" s="891" t="s">
        <v>32</v>
      </c>
      <c r="AL49" s="891" t="s">
        <v>1877</v>
      </c>
      <c r="AM49" s="891" t="s">
        <v>32</v>
      </c>
      <c r="AN49" s="904" t="s">
        <v>34</v>
      </c>
      <c r="AO49" s="891" t="s">
        <v>2953</v>
      </c>
      <c r="AP49" s="891" t="s">
        <v>1877</v>
      </c>
      <c r="AQ49" s="904" t="s">
        <v>34</v>
      </c>
      <c r="AR49" s="904" t="s">
        <v>34</v>
      </c>
      <c r="AS49" s="891" t="s">
        <v>32</v>
      </c>
      <c r="AT49" s="891" t="s">
        <v>34</v>
      </c>
      <c r="AU49" s="891" t="s">
        <v>32</v>
      </c>
      <c r="AV49" s="891" t="s">
        <v>32</v>
      </c>
      <c r="AW49" s="891" t="s">
        <v>2954</v>
      </c>
      <c r="AX49" s="891" t="s">
        <v>32</v>
      </c>
      <c r="AY49" s="891" t="s">
        <v>35</v>
      </c>
      <c r="AZ49" s="891" t="s">
        <v>34</v>
      </c>
      <c r="BA49" s="891" t="s">
        <v>36</v>
      </c>
      <c r="BB49" s="891" t="s">
        <v>32</v>
      </c>
      <c r="BC49" s="891" t="s">
        <v>34</v>
      </c>
      <c r="BD49" s="891" t="s">
        <v>35</v>
      </c>
      <c r="BE49" s="891"/>
      <c r="BF49" s="891" t="s">
        <v>32</v>
      </c>
      <c r="BG49" s="891" t="s">
        <v>34</v>
      </c>
      <c r="BH49" s="891" t="s">
        <v>1877</v>
      </c>
      <c r="BI49" s="891" t="s">
        <v>35</v>
      </c>
      <c r="BJ49" s="891" t="s">
        <v>32</v>
      </c>
      <c r="BK49" s="891" t="s">
        <v>36</v>
      </c>
      <c r="BL49" s="891" t="s">
        <v>36</v>
      </c>
      <c r="BM49" s="891"/>
      <c r="BN49" s="891"/>
      <c r="BO49" s="891"/>
      <c r="BP49" s="891"/>
      <c r="BQ49" s="891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896"/>
      <c r="CF49" s="428"/>
      <c r="CG49" s="428"/>
      <c r="CH49" s="428"/>
      <c r="CI49" s="428"/>
    </row>
    <row r="50" spans="1:87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22</v>
      </c>
      <c r="G50" s="879" t="s">
        <v>1087</v>
      </c>
      <c r="H50" s="879" t="s">
        <v>18</v>
      </c>
      <c r="I50" s="879" t="s">
        <v>891</v>
      </c>
      <c r="J50" s="846">
        <v>1</v>
      </c>
      <c r="K50" s="846">
        <v>0</v>
      </c>
      <c r="L50" s="816" t="str">
        <f t="shared" si="32"/>
        <v>W</v>
      </c>
      <c r="M50" s="816">
        <f t="shared" si="33"/>
        <v>1</v>
      </c>
      <c r="N50" s="816" t="str">
        <f t="shared" si="34"/>
        <v>U</v>
      </c>
      <c r="O50" s="816">
        <f t="shared" si="23"/>
        <v>-0.5</v>
      </c>
      <c r="P50" s="829">
        <f t="shared" si="25"/>
        <v>1</v>
      </c>
      <c r="Q50" s="830">
        <v>0.7</v>
      </c>
      <c r="R50" s="871">
        <f t="shared" si="35"/>
        <v>0.30000000000000004</v>
      </c>
      <c r="S50" s="830">
        <v>2.38</v>
      </c>
      <c r="T50" s="871">
        <f t="shared" si="27"/>
        <v>-1.38</v>
      </c>
      <c r="U50" s="868">
        <f t="shared" si="28"/>
        <v>1.54</v>
      </c>
      <c r="V50" s="868">
        <f t="shared" si="29"/>
        <v>0.83999999999999986</v>
      </c>
      <c r="W50" s="829">
        <v>9</v>
      </c>
      <c r="X50" s="829">
        <v>10</v>
      </c>
      <c r="Y50" s="829">
        <v>3</v>
      </c>
      <c r="Z50" s="829">
        <v>2</v>
      </c>
      <c r="AA50" s="829">
        <v>57</v>
      </c>
      <c r="AB50" s="829">
        <v>43</v>
      </c>
      <c r="AC50" s="829"/>
      <c r="AD50" s="816" t="str">
        <f t="array" ref="AD50">IF($J50="","",IF(SUM(IF(ISNUMBER(VALUE(RIGHT($AG50:$DX50,1))),VALUE(RIGHT($AG50:$DX50,1)),0))=$J50,"T","F"))</f>
        <v>T</v>
      </c>
      <c r="AE50" s="831">
        <f t="array" ref="AE50">IF($J50="","",SUM(IF(LEFT($AG50:$DX50,1)="s",1,0))-SUM(IF(RIGHT(LEFT($AG50:$DX50,2))="-",1,0)))</f>
        <v>0</v>
      </c>
      <c r="AF50" s="816">
        <f t="array" ref="AF50">IF($J50="","",SUM(IF(LEFT($AG50:$DX50,1)="X",1,0)))</f>
        <v>11</v>
      </c>
      <c r="AG50" s="891" t="s">
        <v>34</v>
      </c>
      <c r="AH50" s="891" t="s">
        <v>1877</v>
      </c>
      <c r="AI50" s="891" t="s">
        <v>32</v>
      </c>
      <c r="AJ50" s="891"/>
      <c r="AK50" s="891" t="s">
        <v>3003</v>
      </c>
      <c r="AL50" s="891" t="s">
        <v>35</v>
      </c>
      <c r="AM50" s="891" t="s">
        <v>32</v>
      </c>
      <c r="AN50" s="891" t="s">
        <v>32</v>
      </c>
      <c r="AO50" s="891" t="s">
        <v>35</v>
      </c>
      <c r="AP50" s="891" t="s">
        <v>36</v>
      </c>
      <c r="AQ50" s="904" t="s">
        <v>34</v>
      </c>
      <c r="AR50" s="891" t="s">
        <v>3001</v>
      </c>
      <c r="AS50" s="891" t="s">
        <v>32</v>
      </c>
      <c r="AT50" s="891" t="s">
        <v>34</v>
      </c>
      <c r="AU50" s="891" t="s">
        <v>32</v>
      </c>
      <c r="AV50" s="891" t="s">
        <v>32</v>
      </c>
      <c r="AW50" s="891" t="s">
        <v>3004</v>
      </c>
      <c r="AX50" s="891" t="s">
        <v>32</v>
      </c>
      <c r="AY50" s="891" t="s">
        <v>34</v>
      </c>
      <c r="AZ50" s="891" t="s">
        <v>36</v>
      </c>
      <c r="BA50" s="891" t="s">
        <v>34</v>
      </c>
      <c r="BB50" s="891" t="s">
        <v>32</v>
      </c>
      <c r="BC50" s="891" t="s">
        <v>34</v>
      </c>
      <c r="BD50" s="891" t="s">
        <v>1877</v>
      </c>
      <c r="BE50" s="891"/>
      <c r="BF50" s="891" t="s">
        <v>32</v>
      </c>
      <c r="BG50" s="891" t="s">
        <v>1877</v>
      </c>
      <c r="BH50" s="891" t="s">
        <v>3005</v>
      </c>
      <c r="BI50" s="891" t="s">
        <v>34</v>
      </c>
      <c r="BJ50" s="891" t="s">
        <v>1877</v>
      </c>
      <c r="BK50" s="891" t="s">
        <v>36</v>
      </c>
      <c r="BL50" s="891" t="s">
        <v>35</v>
      </c>
      <c r="BM50" s="891"/>
      <c r="BN50" s="891"/>
      <c r="BO50" s="891"/>
      <c r="BP50" s="891"/>
      <c r="BQ50" s="891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428"/>
      <c r="CG50" s="428"/>
      <c r="CH50" s="428"/>
      <c r="CI50" s="428"/>
    </row>
    <row r="51" spans="1:87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17</v>
      </c>
      <c r="G51" s="879" t="s">
        <v>875</v>
      </c>
      <c r="H51" s="879" t="s">
        <v>22</v>
      </c>
      <c r="I51" s="879" t="s">
        <v>891</v>
      </c>
      <c r="J51" s="846">
        <v>2</v>
      </c>
      <c r="K51" s="846">
        <v>1</v>
      </c>
      <c r="L51" s="816" t="str">
        <f t="shared" si="32"/>
        <v>W</v>
      </c>
      <c r="M51" s="816">
        <f t="shared" si="33"/>
        <v>3</v>
      </c>
      <c r="N51" s="816" t="str">
        <f t="shared" si="34"/>
        <v>O</v>
      </c>
      <c r="O51" s="816">
        <f t="shared" si="23"/>
        <v>-0.5</v>
      </c>
      <c r="P51" s="829">
        <f t="shared" si="25"/>
        <v>1</v>
      </c>
      <c r="Q51" s="830">
        <v>0.63</v>
      </c>
      <c r="R51" s="871">
        <f t="shared" si="35"/>
        <v>0.37</v>
      </c>
      <c r="S51" s="830">
        <v>2.38</v>
      </c>
      <c r="T51" s="871">
        <f t="shared" si="27"/>
        <v>0.62000000000000011</v>
      </c>
      <c r="U51" s="868">
        <f t="shared" si="28"/>
        <v>1.5049999999999999</v>
      </c>
      <c r="V51" s="868">
        <f t="shared" si="29"/>
        <v>0.875</v>
      </c>
      <c r="W51" s="829">
        <v>9</v>
      </c>
      <c r="X51" s="829">
        <v>9</v>
      </c>
      <c r="Y51" s="829">
        <v>4</v>
      </c>
      <c r="Z51" s="829">
        <v>3</v>
      </c>
      <c r="AA51" s="829">
        <v>48</v>
      </c>
      <c r="AB51" s="829">
        <v>52</v>
      </c>
      <c r="AC51" s="829"/>
      <c r="AD51" s="816" t="str">
        <f t="array" ref="AD51">IF($J51="","",IF(SUM(IF(ISNUMBER(VALUE(RIGHT($AG51:$DX51,1))),VALUE(RIGHT($AG51:$DX51,1)),0))=$J51,"T","F"))</f>
        <v>T</v>
      </c>
      <c r="AE51" s="831">
        <f t="array" ref="AE51">IF($J51="","",SUM(IF(LEFT($AG51:$DX51,1)="s",1,0))-SUM(IF(RIGHT(LEFT($AG51:$DX51,2))="-",1,0)))</f>
        <v>0</v>
      </c>
      <c r="AF51" s="816">
        <f t="array" ref="AF51">IF($J51="","",SUM(IF(LEFT($AG51:$DX51,1)="X",1,0)))</f>
        <v>11</v>
      </c>
      <c r="AG51" s="904" t="s">
        <v>34</v>
      </c>
      <c r="AH51" s="891" t="s">
        <v>1877</v>
      </c>
      <c r="AI51" s="891" t="s">
        <v>32</v>
      </c>
      <c r="AJ51" s="891"/>
      <c r="AK51" s="891" t="s">
        <v>3062</v>
      </c>
      <c r="AL51" s="891" t="s">
        <v>36</v>
      </c>
      <c r="AM51" s="891" t="s">
        <v>32</v>
      </c>
      <c r="AN51" s="891" t="s">
        <v>35</v>
      </c>
      <c r="AO51" s="891" t="s">
        <v>34</v>
      </c>
      <c r="AP51" s="891" t="s">
        <v>1877</v>
      </c>
      <c r="AQ51" s="891" t="s">
        <v>34</v>
      </c>
      <c r="AR51" s="891" t="s">
        <v>1877</v>
      </c>
      <c r="AS51" s="891" t="s">
        <v>32</v>
      </c>
      <c r="AT51" s="891" t="s">
        <v>34</v>
      </c>
      <c r="AU51" s="891" t="s">
        <v>32</v>
      </c>
      <c r="AV51" s="891" t="s">
        <v>32</v>
      </c>
      <c r="AW51" s="891" t="s">
        <v>32</v>
      </c>
      <c r="AX51" s="891" t="s">
        <v>32</v>
      </c>
      <c r="AY51" s="891" t="s">
        <v>34</v>
      </c>
      <c r="AZ51" s="891" t="s">
        <v>3063</v>
      </c>
      <c r="BA51" s="891" t="s">
        <v>32</v>
      </c>
      <c r="BB51" s="891" t="s">
        <v>32</v>
      </c>
      <c r="BC51" s="891" t="s">
        <v>36</v>
      </c>
      <c r="BD51" s="891" t="s">
        <v>34</v>
      </c>
      <c r="BE51" s="891"/>
      <c r="BF51" s="891" t="s">
        <v>32</v>
      </c>
      <c r="BG51" s="891" t="s">
        <v>35</v>
      </c>
      <c r="BH51" s="891" t="s">
        <v>3063</v>
      </c>
      <c r="BI51" s="891" t="s">
        <v>35</v>
      </c>
      <c r="BJ51" s="891" t="s">
        <v>32</v>
      </c>
      <c r="BK51" s="891" t="s">
        <v>1877</v>
      </c>
      <c r="BL51" s="891" t="s">
        <v>36</v>
      </c>
      <c r="BM51" s="891"/>
      <c r="BN51" s="891"/>
      <c r="BO51" s="891"/>
      <c r="BP51" s="891"/>
      <c r="BQ51" s="891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428"/>
      <c r="CG51" s="428"/>
      <c r="CH51" s="428"/>
      <c r="CI51" s="428"/>
    </row>
    <row r="52" spans="1:87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8</v>
      </c>
      <c r="G52" s="879" t="s">
        <v>880</v>
      </c>
      <c r="H52" s="879" t="s">
        <v>18</v>
      </c>
      <c r="I52" s="879" t="s">
        <v>891</v>
      </c>
      <c r="J52" s="846">
        <v>2</v>
      </c>
      <c r="K52" s="846">
        <v>3</v>
      </c>
      <c r="L52" s="816" t="str">
        <f t="shared" si="32"/>
        <v>L</v>
      </c>
      <c r="M52" s="816">
        <f t="shared" si="33"/>
        <v>5</v>
      </c>
      <c r="N52" s="816" t="str">
        <f t="shared" si="34"/>
        <v>O</v>
      </c>
      <c r="O52" s="816">
        <f t="shared" si="23"/>
        <v>0.25</v>
      </c>
      <c r="P52" s="829">
        <f t="shared" si="25"/>
        <v>-1</v>
      </c>
      <c r="Q52" s="830">
        <v>-0.38</v>
      </c>
      <c r="R52" s="871">
        <f t="shared" si="35"/>
        <v>-0.62</v>
      </c>
      <c r="S52" s="830">
        <v>2.33</v>
      </c>
      <c r="T52" s="871">
        <f t="shared" si="27"/>
        <v>2.67</v>
      </c>
      <c r="U52" s="868">
        <f t="shared" si="28"/>
        <v>0.97500000000000009</v>
      </c>
      <c r="V52" s="868">
        <f t="shared" si="29"/>
        <v>1.355</v>
      </c>
      <c r="W52" s="829">
        <v>7</v>
      </c>
      <c r="X52" s="829">
        <v>26</v>
      </c>
      <c r="Y52" s="829">
        <v>2</v>
      </c>
      <c r="Z52" s="829">
        <v>11</v>
      </c>
      <c r="AA52" s="829">
        <v>46</v>
      </c>
      <c r="AB52" s="829">
        <v>54</v>
      </c>
      <c r="AC52" s="829"/>
      <c r="AD52" s="816" t="str">
        <f t="array" ref="AD52">IF($J52="","",IF(SUM(IF(ISNUMBER(VALUE(RIGHT($AG52:$DX52,1))),VALUE(RIGHT($AG52:$DX52,1)),0))=$J52,"T","F"))</f>
        <v>T</v>
      </c>
      <c r="AE52" s="831">
        <f t="array" ref="AE52">IF($J52="","",SUM(IF(LEFT($AG52:$DX52,1)="s",1,0))-SUM(IF(RIGHT(LEFT($AG52:$DX52,2))="-",1,0)))</f>
        <v>0</v>
      </c>
      <c r="AF52" s="816">
        <f t="array" ref="AF52">IF($J52="","",SUM(IF(LEFT($AG52:$DX52,1)="X",1,0)))</f>
        <v>11</v>
      </c>
      <c r="AG52" s="891" t="s">
        <v>34</v>
      </c>
      <c r="AH52" s="891" t="s">
        <v>1877</v>
      </c>
      <c r="AI52" s="891" t="s">
        <v>32</v>
      </c>
      <c r="AJ52" s="891"/>
      <c r="AK52" s="891" t="s">
        <v>32</v>
      </c>
      <c r="AL52" s="891" t="s">
        <v>1877</v>
      </c>
      <c r="AM52" s="891" t="s">
        <v>32</v>
      </c>
      <c r="AN52" s="904" t="s">
        <v>34</v>
      </c>
      <c r="AO52" s="891" t="s">
        <v>1877</v>
      </c>
      <c r="AP52" s="891" t="s">
        <v>1877</v>
      </c>
      <c r="AQ52" s="891" t="s">
        <v>34</v>
      </c>
      <c r="AR52" s="891" t="s">
        <v>34</v>
      </c>
      <c r="AS52" s="891" t="s">
        <v>32</v>
      </c>
      <c r="AT52" s="891" t="s">
        <v>3088</v>
      </c>
      <c r="AU52" s="891" t="s">
        <v>32</v>
      </c>
      <c r="AV52" s="891" t="s">
        <v>32</v>
      </c>
      <c r="AW52" s="891" t="s">
        <v>32</v>
      </c>
      <c r="AX52" s="891" t="s">
        <v>32</v>
      </c>
      <c r="AY52" s="891" t="s">
        <v>34</v>
      </c>
      <c r="AZ52" s="891" t="s">
        <v>36</v>
      </c>
      <c r="BA52" s="891" t="s">
        <v>3091</v>
      </c>
      <c r="BB52" s="891" t="s">
        <v>32</v>
      </c>
      <c r="BC52" s="904" t="s">
        <v>34</v>
      </c>
      <c r="BD52" s="891" t="s">
        <v>32</v>
      </c>
      <c r="BE52" s="891"/>
      <c r="BF52" s="891" t="s">
        <v>32</v>
      </c>
      <c r="BG52" s="891" t="s">
        <v>36</v>
      </c>
      <c r="BH52" s="891" t="s">
        <v>34</v>
      </c>
      <c r="BI52" s="891" t="s">
        <v>35</v>
      </c>
      <c r="BJ52" s="891" t="s">
        <v>32</v>
      </c>
      <c r="BK52" s="891" t="s">
        <v>36</v>
      </c>
      <c r="BL52" s="891" t="s">
        <v>35</v>
      </c>
      <c r="BM52" s="891"/>
      <c r="BN52" s="891"/>
      <c r="BO52" s="891"/>
      <c r="BP52" s="891"/>
      <c r="BQ52" s="891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428"/>
      <c r="CG52" s="428"/>
      <c r="CH52" s="428"/>
      <c r="CI52" s="428"/>
    </row>
    <row r="53" spans="1:87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6</v>
      </c>
      <c r="G53" s="879" t="s">
        <v>876</v>
      </c>
      <c r="H53" s="879" t="s">
        <v>22</v>
      </c>
      <c r="I53" s="879" t="s">
        <v>891</v>
      </c>
      <c r="J53" s="846">
        <v>2</v>
      </c>
      <c r="K53" s="846">
        <v>2</v>
      </c>
      <c r="L53" s="816" t="str">
        <f t="shared" si="32"/>
        <v>D</v>
      </c>
      <c r="M53" s="816">
        <f t="shared" si="33"/>
        <v>4</v>
      </c>
      <c r="N53" s="816" t="str">
        <f t="shared" si="34"/>
        <v>O</v>
      </c>
      <c r="O53" s="816">
        <f t="shared" si="23"/>
        <v>0.25</v>
      </c>
      <c r="P53" s="829">
        <f t="shared" si="25"/>
        <v>0.5</v>
      </c>
      <c r="Q53" s="830">
        <v>-0.25</v>
      </c>
      <c r="R53" s="871">
        <f t="shared" si="35"/>
        <v>0.25</v>
      </c>
      <c r="S53" s="830">
        <v>2.42</v>
      </c>
      <c r="T53" s="871">
        <f t="shared" si="27"/>
        <v>1.58</v>
      </c>
      <c r="U53" s="868">
        <f t="shared" si="28"/>
        <v>1.085</v>
      </c>
      <c r="V53" s="868">
        <f t="shared" si="29"/>
        <v>1.335</v>
      </c>
      <c r="W53" s="829">
        <v>11</v>
      </c>
      <c r="X53" s="829">
        <v>11</v>
      </c>
      <c r="Y53" s="829">
        <v>3</v>
      </c>
      <c r="Z53" s="829">
        <v>4</v>
      </c>
      <c r="AA53" s="829">
        <v>45</v>
      </c>
      <c r="AB53" s="829">
        <v>55</v>
      </c>
      <c r="AC53" s="829"/>
      <c r="AD53" s="816" t="str">
        <f t="array" ref="AD53">IF($J53="","",IF(SUM(IF(ISNUMBER(VALUE(RIGHT($AG53:$DX53,1))),VALUE(RIGHT($AG53:$DX53,1)),0))=$J53,"T","F"))</f>
        <v>T</v>
      </c>
      <c r="AE53" s="831">
        <f t="array" ref="AE53">IF($J53="","",SUM(IF(LEFT($AG53:$DX53,1)="s",1,0))-SUM(IF(RIGHT(LEFT($AG53:$DX53,2))="-",1,0)))</f>
        <v>0</v>
      </c>
      <c r="AF53" s="816">
        <f t="array" ref="AF53">IF($J53="","",SUM(IF(LEFT($AG53:$DX53,1)="X",1,0)))</f>
        <v>11</v>
      </c>
      <c r="AG53" s="891" t="s">
        <v>34</v>
      </c>
      <c r="AH53" s="891" t="s">
        <v>1877</v>
      </c>
      <c r="AI53" s="891" t="s">
        <v>32</v>
      </c>
      <c r="AJ53" s="891"/>
      <c r="AK53" s="891" t="s">
        <v>32</v>
      </c>
      <c r="AL53" s="891" t="s">
        <v>1877</v>
      </c>
      <c r="AM53" s="891" t="s">
        <v>32</v>
      </c>
      <c r="AN53" s="891" t="s">
        <v>34</v>
      </c>
      <c r="AO53" s="891" t="s">
        <v>3114</v>
      </c>
      <c r="AP53" s="891" t="s">
        <v>32</v>
      </c>
      <c r="AQ53" s="891" t="s">
        <v>34</v>
      </c>
      <c r="AR53" s="891" t="s">
        <v>1877</v>
      </c>
      <c r="AS53" s="891" t="s">
        <v>32</v>
      </c>
      <c r="AT53" s="891" t="s">
        <v>34</v>
      </c>
      <c r="AU53" s="891" t="s">
        <v>32</v>
      </c>
      <c r="AV53" s="891" t="s">
        <v>32</v>
      </c>
      <c r="AW53" s="891" t="s">
        <v>32</v>
      </c>
      <c r="AX53" s="891" t="s">
        <v>36</v>
      </c>
      <c r="AY53" s="891" t="s">
        <v>34</v>
      </c>
      <c r="AZ53" s="904" t="s">
        <v>35</v>
      </c>
      <c r="BA53" s="891" t="s">
        <v>32</v>
      </c>
      <c r="BB53" s="891" t="s">
        <v>32</v>
      </c>
      <c r="BC53" s="891" t="s">
        <v>36</v>
      </c>
      <c r="BD53" s="904" t="s">
        <v>35</v>
      </c>
      <c r="BE53" s="891"/>
      <c r="BF53" s="891" t="s">
        <v>32</v>
      </c>
      <c r="BG53" s="891" t="s">
        <v>34</v>
      </c>
      <c r="BH53" s="891" t="s">
        <v>34</v>
      </c>
      <c r="BI53" s="891" t="s">
        <v>35</v>
      </c>
      <c r="BJ53" s="891" t="s">
        <v>3115</v>
      </c>
      <c r="BK53" s="891" t="s">
        <v>32</v>
      </c>
      <c r="BL53" s="891" t="s">
        <v>1877</v>
      </c>
      <c r="BM53" s="891" t="s">
        <v>32</v>
      </c>
      <c r="BN53" s="891"/>
      <c r="BO53" s="891"/>
      <c r="BP53" s="891"/>
      <c r="BQ53" s="891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428"/>
      <c r="CG53" s="428"/>
      <c r="CH53" s="428"/>
      <c r="CI53" s="428"/>
    </row>
    <row r="54" spans="1:87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7</v>
      </c>
      <c r="G54" s="879" t="s">
        <v>888</v>
      </c>
      <c r="H54" s="879" t="s">
        <v>18</v>
      </c>
      <c r="I54" s="879" t="s">
        <v>891</v>
      </c>
      <c r="J54" s="846">
        <v>1</v>
      </c>
      <c r="K54" s="846">
        <v>1</v>
      </c>
      <c r="L54" s="816" t="str">
        <f t="shared" si="32"/>
        <v>D</v>
      </c>
      <c r="M54" s="816">
        <f t="shared" si="33"/>
        <v>2</v>
      </c>
      <c r="N54" s="816" t="str">
        <f t="shared" si="34"/>
        <v>U</v>
      </c>
      <c r="O54" s="816">
        <f t="shared" si="23"/>
        <v>0.75</v>
      </c>
      <c r="P54" s="829">
        <f t="shared" si="25"/>
        <v>1</v>
      </c>
      <c r="Q54" s="830">
        <v>-0.71</v>
      </c>
      <c r="R54" s="871">
        <f t="shared" si="35"/>
        <v>0.71</v>
      </c>
      <c r="S54" s="830">
        <v>2.5499999999999998</v>
      </c>
      <c r="T54" s="871">
        <f t="shared" si="27"/>
        <v>-0.54999999999999982</v>
      </c>
      <c r="U54" s="868">
        <f t="shared" si="28"/>
        <v>0.91999999999999993</v>
      </c>
      <c r="V54" s="868">
        <f t="shared" si="29"/>
        <v>1.63</v>
      </c>
      <c r="W54" s="829">
        <v>16</v>
      </c>
      <c r="X54" s="829">
        <v>10</v>
      </c>
      <c r="Y54" s="829">
        <v>2</v>
      </c>
      <c r="Z54" s="829">
        <v>4</v>
      </c>
      <c r="AA54" s="829">
        <v>44</v>
      </c>
      <c r="AB54" s="829">
        <v>56</v>
      </c>
      <c r="AC54" s="829"/>
      <c r="AD54" s="816" t="str">
        <f t="array" ref="AD54">IF($J54="","",IF(SUM(IF(ISNUMBER(VALUE(RIGHT($AG54:$DX54,1))),VALUE(RIGHT($AG54:$DX54,1)),0))=$J54,"T","F"))</f>
        <v>T</v>
      </c>
      <c r="AE54" s="831">
        <f t="array" ref="AE54">IF($J54="","",SUM(IF(LEFT($AG54:$DX54,1)="s",1,0))-SUM(IF(RIGHT(LEFT($AG54:$DX54,2))="-",1,0)))</f>
        <v>0</v>
      </c>
      <c r="AF54" s="816">
        <f t="array" ref="AF54">IF($J54="","",SUM(IF(LEFT($AG54:$DX54,1)="X",1,0)))</f>
        <v>11</v>
      </c>
      <c r="AG54" s="891" t="s">
        <v>3160</v>
      </c>
      <c r="AH54" s="891" t="s">
        <v>1877</v>
      </c>
      <c r="AI54" s="891" t="s">
        <v>32</v>
      </c>
      <c r="AJ54" s="891"/>
      <c r="AK54" s="891" t="s">
        <v>32</v>
      </c>
      <c r="AL54" s="891" t="s">
        <v>32</v>
      </c>
      <c r="AM54" s="891" t="s">
        <v>32</v>
      </c>
      <c r="AN54" s="891" t="s">
        <v>34</v>
      </c>
      <c r="AO54" s="891" t="s">
        <v>35</v>
      </c>
      <c r="AP54" s="891" t="s">
        <v>36</v>
      </c>
      <c r="AQ54" s="904" t="s">
        <v>34</v>
      </c>
      <c r="AR54" s="891" t="s">
        <v>34</v>
      </c>
      <c r="AS54" s="891" t="s">
        <v>32</v>
      </c>
      <c r="AT54" s="891" t="s">
        <v>34</v>
      </c>
      <c r="AU54" s="891" t="s">
        <v>32</v>
      </c>
      <c r="AV54" s="891" t="s">
        <v>32</v>
      </c>
      <c r="AW54" s="891" t="s">
        <v>32</v>
      </c>
      <c r="AX54" s="891" t="s">
        <v>32</v>
      </c>
      <c r="AY54" s="891" t="s">
        <v>34</v>
      </c>
      <c r="AZ54" s="891" t="s">
        <v>35</v>
      </c>
      <c r="BA54" s="891" t="s">
        <v>35</v>
      </c>
      <c r="BB54" s="891" t="s">
        <v>36</v>
      </c>
      <c r="BC54" s="891" t="s">
        <v>36</v>
      </c>
      <c r="BD54" s="891" t="s">
        <v>32</v>
      </c>
      <c r="BE54" s="891"/>
      <c r="BF54" s="891" t="s">
        <v>32</v>
      </c>
      <c r="BG54" s="891" t="s">
        <v>1877</v>
      </c>
      <c r="BH54" s="891" t="s">
        <v>34</v>
      </c>
      <c r="BI54" s="891" t="s">
        <v>3147</v>
      </c>
      <c r="BJ54" s="891" t="s">
        <v>32</v>
      </c>
      <c r="BK54" s="891" t="s">
        <v>2731</v>
      </c>
      <c r="BL54" s="891" t="s">
        <v>1877</v>
      </c>
      <c r="BM54" s="891"/>
      <c r="BN54" s="891"/>
      <c r="BO54" s="891"/>
      <c r="BP54" s="891"/>
      <c r="BQ54" s="891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428"/>
      <c r="CG54" s="428"/>
      <c r="CH54" s="428"/>
      <c r="CI54" s="428"/>
    </row>
    <row r="55" spans="1:87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13</v>
      </c>
      <c r="G55" s="879" t="s">
        <v>884</v>
      </c>
      <c r="H55" s="879" t="s">
        <v>22</v>
      </c>
      <c r="I55" s="879" t="s">
        <v>891</v>
      </c>
      <c r="J55" s="846">
        <v>1</v>
      </c>
      <c r="K55" s="846">
        <v>1</v>
      </c>
      <c r="L55" s="816" t="str">
        <f t="shared" si="32"/>
        <v>D</v>
      </c>
      <c r="M55" s="816">
        <f t="shared" si="33"/>
        <v>2</v>
      </c>
      <c r="N55" s="816" t="str">
        <f t="shared" si="34"/>
        <v>U</v>
      </c>
      <c r="O55" s="816">
        <f t="shared" ref="O55" si="44">IF(Q55="","",IF(SIGN(Q55)&lt;&gt;1,VLOOKUP(ABS(Q55),SUP_HDC,3,TRUE),-VLOOKUP(ABS(Q55),SUP_HDC,3,TRUE)))</f>
        <v>0</v>
      </c>
      <c r="P55" s="829">
        <f t="shared" ref="P55" si="45">IF(O55="","",IF((J55-K55+O55)&gt;=0.5,1,IF((J55-K55+O55)=0.25,0.5,IF((J55-K55+O55)&lt;=-0.5,-1,IF((J55-K55+O55)=-0.25,-0.5,0)))))</f>
        <v>0</v>
      </c>
      <c r="Q55" s="830">
        <v>0.03</v>
      </c>
      <c r="R55" s="871">
        <f t="shared" si="35"/>
        <v>-0.03</v>
      </c>
      <c r="S55" s="830">
        <v>2.15</v>
      </c>
      <c r="T55" s="871">
        <f t="shared" ref="T55" si="46">IF(ISBLANK(S55),"",J55+K55-S55)</f>
        <v>-0.14999999999999991</v>
      </c>
      <c r="U55" s="868">
        <f t="shared" ref="U55" si="47">IF(Q55="","",(Q55+S55)/2)</f>
        <v>1.0899999999999999</v>
      </c>
      <c r="V55" s="868">
        <f t="shared" ref="V55" si="48">IF(Q55="","",S55-U55)</f>
        <v>1.06</v>
      </c>
      <c r="W55" s="829">
        <v>15</v>
      </c>
      <c r="X55" s="829">
        <v>3</v>
      </c>
      <c r="Y55" s="829">
        <v>4</v>
      </c>
      <c r="Z55" s="829">
        <v>1</v>
      </c>
      <c r="AA55" s="829">
        <v>63</v>
      </c>
      <c r="AB55" s="829">
        <v>37</v>
      </c>
      <c r="AC55" s="829"/>
      <c r="AD55" s="816" t="str">
        <f t="array" ref="AD55">IF($J55="","",IF(SUM(IF(ISNUMBER(VALUE(RIGHT($AG55:$DX55,1))),VALUE(RIGHT($AG55:$DX55,1)),0))=$J55,"T","F"))</f>
        <v>T</v>
      </c>
      <c r="AE55" s="831">
        <f t="array" ref="AE55">IF($J55="","",SUM(IF(LEFT($AG55:$DX55,1)="s",1,0))-SUM(IF(RIGHT(LEFT($AG55:$DX55,2))="-",1,0)))</f>
        <v>0</v>
      </c>
      <c r="AF55" s="816">
        <f t="array" ref="AF55">IF($J55="","",SUM(IF(LEFT($AG55:$DX55,1)="X",1,0)))</f>
        <v>11</v>
      </c>
      <c r="AG55" s="891" t="s">
        <v>34</v>
      </c>
      <c r="AH55" s="891" t="s">
        <v>1877</v>
      </c>
      <c r="AI55" s="891" t="s">
        <v>32</v>
      </c>
      <c r="AJ55" s="891"/>
      <c r="AK55" s="891" t="s">
        <v>32</v>
      </c>
      <c r="AL55" s="891" t="s">
        <v>3171</v>
      </c>
      <c r="AM55" s="891" t="s">
        <v>32</v>
      </c>
      <c r="AN55" s="891" t="s">
        <v>34</v>
      </c>
      <c r="AO55" s="891" t="s">
        <v>35</v>
      </c>
      <c r="AP55" s="891" t="s">
        <v>32</v>
      </c>
      <c r="AQ55" s="891" t="s">
        <v>3170</v>
      </c>
      <c r="AR55" s="891" t="s">
        <v>1877</v>
      </c>
      <c r="AS55" s="891" t="s">
        <v>32</v>
      </c>
      <c r="AT55" s="891" t="s">
        <v>34</v>
      </c>
      <c r="AU55" s="891" t="s">
        <v>32</v>
      </c>
      <c r="AV55" s="891" t="s">
        <v>32</v>
      </c>
      <c r="AW55" s="891" t="s">
        <v>32</v>
      </c>
      <c r="AX55" s="891" t="s">
        <v>32</v>
      </c>
      <c r="AY55" s="891" t="s">
        <v>34</v>
      </c>
      <c r="AZ55" s="891" t="s">
        <v>34</v>
      </c>
      <c r="BA55" s="891" t="s">
        <v>32</v>
      </c>
      <c r="BB55" s="891" t="s">
        <v>36</v>
      </c>
      <c r="BC55" s="891" t="s">
        <v>34</v>
      </c>
      <c r="BD55" s="891" t="s">
        <v>35</v>
      </c>
      <c r="BE55" s="891"/>
      <c r="BF55" s="891" t="s">
        <v>32</v>
      </c>
      <c r="BG55" s="891" t="s">
        <v>36</v>
      </c>
      <c r="BH55" s="891" t="s">
        <v>34</v>
      </c>
      <c r="BI55" s="891" t="s">
        <v>35</v>
      </c>
      <c r="BJ55" s="891" t="s">
        <v>32</v>
      </c>
      <c r="BK55" s="891" t="s">
        <v>1886</v>
      </c>
      <c r="BL55" s="891" t="s">
        <v>36</v>
      </c>
      <c r="BM55" s="891"/>
      <c r="BN55" s="891"/>
      <c r="BO55" s="891"/>
      <c r="BP55" s="891"/>
      <c r="BQ55" s="891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428"/>
      <c r="CG55" s="428"/>
      <c r="CH55" s="428"/>
      <c r="CI55" s="428"/>
    </row>
    <row r="56" spans="1:87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12</v>
      </c>
      <c r="G56" s="879" t="s">
        <v>879</v>
      </c>
      <c r="H56" s="879" t="s">
        <v>22</v>
      </c>
      <c r="I56" s="879" t="s">
        <v>891</v>
      </c>
      <c r="J56" s="846">
        <v>2</v>
      </c>
      <c r="K56" s="846">
        <v>2</v>
      </c>
      <c r="L56" s="816" t="str">
        <f t="shared" si="32"/>
        <v>D</v>
      </c>
      <c r="M56" s="816">
        <f t="shared" si="33"/>
        <v>4</v>
      </c>
      <c r="N56" s="816" t="str">
        <f t="shared" si="34"/>
        <v>O</v>
      </c>
      <c r="O56" s="816">
        <f t="shared" ref="O56" si="49">IF(Q56="","",IF(SIGN(Q56)&lt;&gt;1,VLOOKUP(ABS(Q56),SUP_HDC,3,TRUE),-VLOOKUP(ABS(Q56),SUP_HDC,3,TRUE)))</f>
        <v>0</v>
      </c>
      <c r="P56" s="829">
        <f t="shared" ref="P56" si="50">IF(O56="","",IF((J56-K56+O56)&gt;=0.5,1,IF((J56-K56+O56)=0.25,0.5,IF((J56-K56+O56)&lt;=-0.5,-1,IF((J56-K56+O56)=-0.25,-0.5,0)))))</f>
        <v>0</v>
      </c>
      <c r="Q56" s="830">
        <v>0.1</v>
      </c>
      <c r="R56" s="871">
        <f t="shared" si="35"/>
        <v>-0.1</v>
      </c>
      <c r="S56" s="830">
        <v>2.2000000000000002</v>
      </c>
      <c r="T56" s="871">
        <f t="shared" ref="T56" si="51">IF(ISBLANK(S56),"",J56+K56-S56)</f>
        <v>1.7999999999999998</v>
      </c>
      <c r="U56" s="868">
        <f t="shared" ref="U56" si="52">IF(Q56="","",(Q56+S56)/2)</f>
        <v>1.1500000000000001</v>
      </c>
      <c r="V56" s="868">
        <f t="shared" ref="V56" si="53">IF(Q56="","",S56-U56)</f>
        <v>1.05</v>
      </c>
      <c r="W56" s="829">
        <v>9</v>
      </c>
      <c r="X56" s="829">
        <v>14</v>
      </c>
      <c r="Y56" s="829">
        <v>5</v>
      </c>
      <c r="Z56" s="829">
        <v>5</v>
      </c>
      <c r="AA56" s="829">
        <v>54</v>
      </c>
      <c r="AB56" s="829">
        <v>46</v>
      </c>
      <c r="AC56" s="829"/>
      <c r="AD56" s="816" t="str">
        <f t="array" ref="AD56">IF($J56="","",IF(SUM(IF(ISNUMBER(VALUE(RIGHT($AG56:$DX56,1))),VALUE(RIGHT($AG56:$DX56,1)),0))=$J56,"T","F"))</f>
        <v>T</v>
      </c>
      <c r="AE56" s="831">
        <f t="array" ref="AE56">IF($J56="","",SUM(IF(LEFT($AG56:$DX56,1)="s",1,0))-SUM(IF(RIGHT(LEFT($AG56:$DX56,2))="-",1,0)))</f>
        <v>0</v>
      </c>
      <c r="AF56" s="816">
        <f t="array" ref="AF56">IF($J56="","",SUM(IF(LEFT($AG56:$DX56,1)="X",1,0)))</f>
        <v>11</v>
      </c>
      <c r="AG56" s="891" t="s">
        <v>34</v>
      </c>
      <c r="AH56" s="891" t="s">
        <v>1877</v>
      </c>
      <c r="AI56" s="891" t="s">
        <v>32</v>
      </c>
      <c r="AJ56" s="891"/>
      <c r="AK56" s="891" t="s">
        <v>32</v>
      </c>
      <c r="AL56" s="891" t="s">
        <v>34</v>
      </c>
      <c r="AM56" s="891" t="s">
        <v>32</v>
      </c>
      <c r="AN56" s="904" t="s">
        <v>34</v>
      </c>
      <c r="AO56" s="891" t="s">
        <v>34</v>
      </c>
      <c r="AP56" s="891" t="s">
        <v>32</v>
      </c>
      <c r="AQ56" s="891" t="s">
        <v>1877</v>
      </c>
      <c r="AR56" s="891" t="s">
        <v>36</v>
      </c>
      <c r="AS56" s="891" t="s">
        <v>32</v>
      </c>
      <c r="AT56" s="891" t="s">
        <v>34</v>
      </c>
      <c r="AU56" s="891" t="s">
        <v>32</v>
      </c>
      <c r="AV56" s="891" t="s">
        <v>32</v>
      </c>
      <c r="AW56" s="891" t="s">
        <v>32</v>
      </c>
      <c r="AX56" s="891" t="s">
        <v>32</v>
      </c>
      <c r="AY56" s="891" t="s">
        <v>34</v>
      </c>
      <c r="AZ56" s="891" t="s">
        <v>35</v>
      </c>
      <c r="BA56" s="891" t="s">
        <v>32</v>
      </c>
      <c r="BB56" s="891" t="s">
        <v>1877</v>
      </c>
      <c r="BC56" s="891" t="s">
        <v>34</v>
      </c>
      <c r="BD56" s="891" t="s">
        <v>35</v>
      </c>
      <c r="BE56" s="891" t="s">
        <v>3221</v>
      </c>
      <c r="BF56" s="891" t="s">
        <v>32</v>
      </c>
      <c r="BG56" s="891" t="s">
        <v>36</v>
      </c>
      <c r="BH56" s="891" t="s">
        <v>3222</v>
      </c>
      <c r="BI56" s="891" t="s">
        <v>3223</v>
      </c>
      <c r="BJ56" s="891" t="s">
        <v>32</v>
      </c>
      <c r="BK56" s="891" t="s">
        <v>3217</v>
      </c>
      <c r="BL56" s="891"/>
      <c r="BM56" s="891"/>
      <c r="BN56" s="891"/>
      <c r="BO56" s="891"/>
      <c r="BP56" s="891"/>
      <c r="BQ56" s="891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428"/>
      <c r="CG56" s="428"/>
      <c r="CH56" s="428"/>
      <c r="CI56" s="428"/>
    </row>
    <row r="57" spans="1:87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16</v>
      </c>
      <c r="G57" s="879" t="s">
        <v>872</v>
      </c>
      <c r="H57" s="879" t="s">
        <v>18</v>
      </c>
      <c r="I57" s="879" t="s">
        <v>891</v>
      </c>
      <c r="J57" s="846">
        <v>0</v>
      </c>
      <c r="K57" s="846">
        <v>0</v>
      </c>
      <c r="L57" s="816" t="str">
        <f t="shared" si="32"/>
        <v>D</v>
      </c>
      <c r="M57" s="816">
        <f t="shared" si="33"/>
        <v>0</v>
      </c>
      <c r="N57" s="816" t="str">
        <f t="shared" si="34"/>
        <v>U</v>
      </c>
      <c r="O57" s="816">
        <f t="shared" si="23"/>
        <v>0</v>
      </c>
      <c r="P57" s="829">
        <f t="shared" si="25"/>
        <v>0</v>
      </c>
      <c r="Q57" s="830">
        <v>-0.1</v>
      </c>
      <c r="R57" s="871">
        <f t="shared" si="35"/>
        <v>0.1</v>
      </c>
      <c r="S57" s="830">
        <v>2.35</v>
      </c>
      <c r="T57" s="871">
        <f t="shared" si="27"/>
        <v>-2.35</v>
      </c>
      <c r="U57" s="868">
        <f t="shared" si="28"/>
        <v>1.125</v>
      </c>
      <c r="V57" s="868">
        <f t="shared" si="29"/>
        <v>1.2250000000000001</v>
      </c>
      <c r="W57" s="829">
        <v>9</v>
      </c>
      <c r="X57" s="829">
        <v>16</v>
      </c>
      <c r="Y57" s="829">
        <v>4</v>
      </c>
      <c r="Z57" s="829">
        <v>3</v>
      </c>
      <c r="AA57" s="829">
        <v>55</v>
      </c>
      <c r="AB57" s="829">
        <v>45</v>
      </c>
      <c r="AC57" s="829"/>
      <c r="AD57" s="816" t="str">
        <f t="array" ref="AD57">IF($J57="","",IF(SUM(IF(ISNUMBER(VALUE(RIGHT($AG57:$DX57,1))),VALUE(RIGHT($AG57:$DX57,1)),0))=$J57,"T","F"))</f>
        <v>T</v>
      </c>
      <c r="AE57" s="831">
        <f t="array" ref="AE57">IF($J57="","",SUM(IF(LEFT($AG57:$DX57,1)="s",1,0))-SUM(IF(RIGHT(LEFT($AG57:$DX57,2))="-",1,0)))</f>
        <v>0</v>
      </c>
      <c r="AF57" s="816">
        <f t="array" ref="AF57">IF($J57="","",SUM(IF(LEFT($AG57:$DX57,1)="X",1,0)))</f>
        <v>11</v>
      </c>
      <c r="AG57" s="891" t="s">
        <v>3260</v>
      </c>
      <c r="AH57" s="891" t="s">
        <v>1877</v>
      </c>
      <c r="AI57" s="891" t="s">
        <v>32</v>
      </c>
      <c r="AJ57" s="891"/>
      <c r="AK57" s="891" t="s">
        <v>1877</v>
      </c>
      <c r="AL57" s="891" t="s">
        <v>1877</v>
      </c>
      <c r="AM57" s="891" t="s">
        <v>32</v>
      </c>
      <c r="AN57" s="904" t="s">
        <v>34</v>
      </c>
      <c r="AO57" s="904" t="s">
        <v>34</v>
      </c>
      <c r="AP57" s="891" t="s">
        <v>32</v>
      </c>
      <c r="AQ57" s="891" t="s">
        <v>34</v>
      </c>
      <c r="AR57" s="891" t="s">
        <v>1877</v>
      </c>
      <c r="AS57" s="891" t="s">
        <v>32</v>
      </c>
      <c r="AT57" s="891" t="s">
        <v>34</v>
      </c>
      <c r="AU57" s="891" t="s">
        <v>32</v>
      </c>
      <c r="AV57" s="891" t="s">
        <v>32</v>
      </c>
      <c r="AW57" s="891" t="s">
        <v>32</v>
      </c>
      <c r="AX57" s="891" t="s">
        <v>32</v>
      </c>
      <c r="AY57" s="891" t="s">
        <v>34</v>
      </c>
      <c r="AZ57" s="904" t="s">
        <v>35</v>
      </c>
      <c r="BA57" s="891" t="s">
        <v>32</v>
      </c>
      <c r="BB57" s="891" t="s">
        <v>32</v>
      </c>
      <c r="BC57" s="891" t="s">
        <v>34</v>
      </c>
      <c r="BD57" s="891" t="s">
        <v>35</v>
      </c>
      <c r="BE57" s="891" t="s">
        <v>32</v>
      </c>
      <c r="BF57" s="891" t="s">
        <v>32</v>
      </c>
      <c r="BG57" s="891" t="s">
        <v>36</v>
      </c>
      <c r="BH57" s="891" t="s">
        <v>35</v>
      </c>
      <c r="BI57" s="891" t="s">
        <v>34</v>
      </c>
      <c r="BJ57" s="891" t="s">
        <v>36</v>
      </c>
      <c r="BK57" s="891" t="s">
        <v>1886</v>
      </c>
      <c r="BL57" s="891" t="s">
        <v>36</v>
      </c>
      <c r="BM57" s="891"/>
      <c r="BN57" s="891"/>
      <c r="BO57" s="891"/>
      <c r="BP57" s="891"/>
      <c r="BQ57" s="891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428"/>
      <c r="CG57" s="428"/>
      <c r="CH57" s="428"/>
      <c r="CI57" s="428"/>
    </row>
    <row r="58" spans="1:87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21</v>
      </c>
      <c r="G58" s="879" t="s">
        <v>890</v>
      </c>
      <c r="H58" s="879" t="s">
        <v>22</v>
      </c>
      <c r="I58" s="879" t="s">
        <v>891</v>
      </c>
      <c r="J58" s="846">
        <v>0</v>
      </c>
      <c r="K58" s="846">
        <v>1</v>
      </c>
      <c r="L58" s="816" t="str">
        <f t="shared" si="32"/>
        <v>L</v>
      </c>
      <c r="M58" s="816">
        <f t="shared" si="33"/>
        <v>1</v>
      </c>
      <c r="N58" s="816" t="str">
        <f t="shared" si="34"/>
        <v>U</v>
      </c>
      <c r="O58" s="816">
        <f t="shared" si="23"/>
        <v>-0.5</v>
      </c>
      <c r="P58" s="829">
        <f t="shared" si="25"/>
        <v>-1</v>
      </c>
      <c r="Q58" s="830">
        <v>0.51</v>
      </c>
      <c r="R58" s="871">
        <f t="shared" si="35"/>
        <v>-1.51</v>
      </c>
      <c r="S58" s="830">
        <v>2.2400000000000002</v>
      </c>
      <c r="T58" s="871">
        <f t="shared" si="27"/>
        <v>-1.2400000000000002</v>
      </c>
      <c r="U58" s="868">
        <f t="shared" si="28"/>
        <v>1.375</v>
      </c>
      <c r="V58" s="868">
        <f t="shared" si="29"/>
        <v>0.86500000000000021</v>
      </c>
      <c r="W58" s="829">
        <v>14</v>
      </c>
      <c r="X58" s="829">
        <v>7</v>
      </c>
      <c r="Y58" s="829">
        <v>6</v>
      </c>
      <c r="Z58" s="829">
        <v>3</v>
      </c>
      <c r="AA58" s="829">
        <v>54</v>
      </c>
      <c r="AB58" s="829">
        <v>46</v>
      </c>
      <c r="AC58" s="829"/>
      <c r="AD58" s="816" t="str">
        <f t="array" ref="AD58">IF($J58="","",IF(SUM(IF(ISNUMBER(VALUE(RIGHT($AG58:$DX58,1))),VALUE(RIGHT($AG58:$DX58,1)),0))=$J58,"T","F"))</f>
        <v>T</v>
      </c>
      <c r="AE58" s="831">
        <f t="array" ref="AE58">IF($J58="","",SUM(IF(LEFT($AG58:$DX58,1)="s",1,0))-SUM(IF(RIGHT(LEFT($AG58:$DX58,2))="-",1,0)))</f>
        <v>0</v>
      </c>
      <c r="AF58" s="816">
        <f t="array" ref="AF58">IF($J58="","",SUM(IF(LEFT($AG58:$DX58,1)="X",1,0)))</f>
        <v>11</v>
      </c>
      <c r="AG58" s="891" t="s">
        <v>34</v>
      </c>
      <c r="AH58" s="891" t="s">
        <v>1877</v>
      </c>
      <c r="AI58" s="891" t="s">
        <v>32</v>
      </c>
      <c r="AJ58" s="891"/>
      <c r="AK58" s="891"/>
      <c r="AL58" s="891" t="s">
        <v>34</v>
      </c>
      <c r="AM58" s="891" t="s">
        <v>32</v>
      </c>
      <c r="AN58" s="891" t="s">
        <v>3328</v>
      </c>
      <c r="AO58" s="891" t="s">
        <v>35</v>
      </c>
      <c r="AP58" s="891" t="s">
        <v>32</v>
      </c>
      <c r="AQ58" s="891" t="s">
        <v>34</v>
      </c>
      <c r="AR58" s="891" t="s">
        <v>1877</v>
      </c>
      <c r="AS58" s="891" t="s">
        <v>32</v>
      </c>
      <c r="AT58" s="891" t="s">
        <v>34</v>
      </c>
      <c r="AU58" s="891" t="s">
        <v>32</v>
      </c>
      <c r="AV58" s="891" t="s">
        <v>32</v>
      </c>
      <c r="AW58" s="891" t="s">
        <v>35</v>
      </c>
      <c r="AX58" s="891" t="s">
        <v>32</v>
      </c>
      <c r="AY58" s="891" t="s">
        <v>34</v>
      </c>
      <c r="AZ58" s="891" t="s">
        <v>34</v>
      </c>
      <c r="BA58" s="891" t="s">
        <v>1877</v>
      </c>
      <c r="BB58" s="904" t="s">
        <v>36</v>
      </c>
      <c r="BC58" s="891" t="s">
        <v>35</v>
      </c>
      <c r="BD58" s="891" t="s">
        <v>32</v>
      </c>
      <c r="BE58" s="891" t="s">
        <v>32</v>
      </c>
      <c r="BF58" s="891" t="s">
        <v>32</v>
      </c>
      <c r="BG58" s="891" t="s">
        <v>36</v>
      </c>
      <c r="BH58" s="891" t="s">
        <v>34</v>
      </c>
      <c r="BI58" s="891" t="s">
        <v>34</v>
      </c>
      <c r="BJ58" s="891" t="s">
        <v>36</v>
      </c>
      <c r="BK58" s="891" t="s">
        <v>2731</v>
      </c>
      <c r="BL58" s="891"/>
      <c r="BM58" s="891"/>
      <c r="BN58" s="891"/>
      <c r="BO58" s="891"/>
      <c r="BP58" s="891"/>
      <c r="BQ58" s="891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428"/>
      <c r="CG58" s="428"/>
      <c r="CH58" s="428"/>
      <c r="CI58" s="428"/>
    </row>
    <row r="59" spans="1:87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2</v>
      </c>
      <c r="G59" s="879" t="s">
        <v>886</v>
      </c>
      <c r="H59" s="879" t="s">
        <v>22</v>
      </c>
      <c r="I59" s="879" t="s">
        <v>891</v>
      </c>
      <c r="J59" s="846">
        <v>0</v>
      </c>
      <c r="K59" s="846">
        <v>0</v>
      </c>
      <c r="L59" s="816" t="str">
        <f t="shared" ref="L59" si="54">IF(J59="","",IF(J59&gt;K59,"W",IF(J59=K59,"D",IF(J59&lt;K59,"L"))))</f>
        <v>D</v>
      </c>
      <c r="M59" s="816">
        <f t="shared" ref="M59" si="55">IF(J59="","",J59+K59)</f>
        <v>0</v>
      </c>
      <c r="N59" s="816" t="str">
        <f t="shared" si="34"/>
        <v>U</v>
      </c>
      <c r="O59" s="816">
        <f t="shared" ref="O59:O66" si="56">IF(Q59="","",IF(SIGN(Q59)&lt;&gt;1,VLOOKUP(ABS(Q59),SUP_HDC,3,TRUE),-VLOOKUP(ABS(Q59),SUP_HDC,3,TRUE)))</f>
        <v>-0.25</v>
      </c>
      <c r="P59" s="829">
        <f t="shared" ref="P59:P66" si="57">IF(O59="","",IF((J59-K59+O59)&gt;=0.5,1,IF((J59-K59+O59)=0.25,0.5,IF((J59-K59+O59)&lt;=-0.5,-1,IF((J59-K59+O59)=-0.25,-0.5,0)))))</f>
        <v>-0.5</v>
      </c>
      <c r="Q59" s="830">
        <v>0.2</v>
      </c>
      <c r="R59" s="871">
        <f t="shared" si="35"/>
        <v>-0.2</v>
      </c>
      <c r="S59" s="830">
        <v>2.15</v>
      </c>
      <c r="T59" s="871">
        <f t="shared" ref="T59" si="58">IF(ISBLANK(S59),"",J59+K59-S59)</f>
        <v>-2.15</v>
      </c>
      <c r="U59" s="868">
        <f t="shared" ref="U59:U69" si="59">IF(Q59="","",(Q59+S59)/2)</f>
        <v>1.175</v>
      </c>
      <c r="V59" s="868">
        <f t="shared" ref="V59:V69" si="60">IF(Q59="","",S59-U59)</f>
        <v>0.97499999999999987</v>
      </c>
      <c r="W59" s="829">
        <v>9</v>
      </c>
      <c r="X59" s="829">
        <v>16</v>
      </c>
      <c r="Y59" s="829">
        <v>2</v>
      </c>
      <c r="Z59" s="829">
        <v>3</v>
      </c>
      <c r="AA59" s="829">
        <v>56</v>
      </c>
      <c r="AB59" s="829">
        <v>44</v>
      </c>
      <c r="AC59" s="829"/>
      <c r="AD59" s="816" t="str">
        <f t="array" ref="AD59">IF($J59="","",IF(SUM(IF(ISNUMBER(VALUE(RIGHT($AG59:$CJ59,1))),VALUE(RIGHT($AG59:$CJ59,1)),0))=$J59,"T","F"))</f>
        <v>T</v>
      </c>
      <c r="AE59" s="831">
        <f t="array" ref="AE59">IF($J59="","",SUM(IF(LEFT($AG59:$DV59,1)="s",1,0))-SUM(IF(RIGHT(LEFT($AG59:$DV59,2))="-",1,0)))</f>
        <v>0</v>
      </c>
      <c r="AF59" s="816">
        <f t="array" ref="AF59">IF($J59="","",SUM(IF(LEFT($AG59:$DB59,1)="X",1,0)))</f>
        <v>11</v>
      </c>
      <c r="AG59" s="891" t="s">
        <v>34</v>
      </c>
      <c r="AH59" s="891" t="s">
        <v>1877</v>
      </c>
      <c r="AI59" s="891" t="s">
        <v>32</v>
      </c>
      <c r="AJ59" s="904" t="s">
        <v>34</v>
      </c>
      <c r="AK59" s="891" t="s">
        <v>36</v>
      </c>
      <c r="AL59" s="891" t="s">
        <v>32</v>
      </c>
      <c r="AM59" s="891" t="s">
        <v>32</v>
      </c>
      <c r="AN59" s="891" t="s">
        <v>34</v>
      </c>
      <c r="AO59" s="891" t="s">
        <v>1877</v>
      </c>
      <c r="AP59" s="891" t="s">
        <v>32</v>
      </c>
      <c r="AQ59" s="891" t="s">
        <v>32</v>
      </c>
      <c r="AR59" s="891" t="s">
        <v>34</v>
      </c>
      <c r="AS59" s="891" t="s">
        <v>32</v>
      </c>
      <c r="AT59" s="891" t="s">
        <v>35</v>
      </c>
      <c r="AU59" s="891" t="s">
        <v>32</v>
      </c>
      <c r="AV59" s="891" t="s">
        <v>32</v>
      </c>
      <c r="AW59" s="891" t="s">
        <v>32</v>
      </c>
      <c r="AX59" s="891" t="s">
        <v>32</v>
      </c>
      <c r="AY59" s="891" t="s">
        <v>34</v>
      </c>
      <c r="AZ59" s="891" t="s">
        <v>35</v>
      </c>
      <c r="BA59" s="891" t="s">
        <v>1877</v>
      </c>
      <c r="BB59" s="891" t="s">
        <v>32</v>
      </c>
      <c r="BC59" s="904" t="s">
        <v>35</v>
      </c>
      <c r="BD59" s="891" t="s">
        <v>34</v>
      </c>
      <c r="BE59" s="891" t="s">
        <v>32</v>
      </c>
      <c r="BF59" s="891" t="s">
        <v>32</v>
      </c>
      <c r="BG59" s="891" t="s">
        <v>34</v>
      </c>
      <c r="BH59" s="891" t="s">
        <v>36</v>
      </c>
      <c r="BI59" s="891" t="s">
        <v>34</v>
      </c>
      <c r="BJ59" s="891" t="s">
        <v>1877</v>
      </c>
      <c r="BK59" s="891" t="s">
        <v>2731</v>
      </c>
      <c r="BL59" s="891" t="s">
        <v>36</v>
      </c>
      <c r="BM59" s="891"/>
      <c r="BN59" s="891"/>
      <c r="BO59" s="891"/>
      <c r="BP59" s="891"/>
      <c r="BQ59" s="891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428"/>
      <c r="CG59" s="428"/>
      <c r="CH59" s="428"/>
      <c r="CI59" s="428"/>
    </row>
    <row r="60" spans="1:87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5</v>
      </c>
      <c r="G60" s="879" t="s">
        <v>889</v>
      </c>
      <c r="H60" s="879" t="s">
        <v>18</v>
      </c>
      <c r="I60" s="879" t="s">
        <v>891</v>
      </c>
      <c r="J60" s="846">
        <v>1</v>
      </c>
      <c r="K60" s="846">
        <v>3</v>
      </c>
      <c r="L60" s="816" t="str">
        <f t="shared" si="32"/>
        <v>L</v>
      </c>
      <c r="M60" s="816">
        <f t="shared" si="33"/>
        <v>4</v>
      </c>
      <c r="N60" s="816" t="str">
        <f t="shared" si="34"/>
        <v>O</v>
      </c>
      <c r="O60" s="816">
        <f t="shared" si="56"/>
        <v>0.25</v>
      </c>
      <c r="P60" s="829">
        <f t="shared" si="57"/>
        <v>-1</v>
      </c>
      <c r="Q60" s="830">
        <v>-0.33</v>
      </c>
      <c r="R60" s="871">
        <f t="shared" si="35"/>
        <v>-1.67</v>
      </c>
      <c r="S60" s="830">
        <v>2.61</v>
      </c>
      <c r="T60" s="871">
        <f t="shared" si="27"/>
        <v>1.3900000000000001</v>
      </c>
      <c r="U60" s="868">
        <f t="shared" si="59"/>
        <v>1.1399999999999999</v>
      </c>
      <c r="V60" s="868">
        <f t="shared" si="60"/>
        <v>1.47</v>
      </c>
      <c r="W60" s="829">
        <v>15</v>
      </c>
      <c r="X60" s="829">
        <v>12</v>
      </c>
      <c r="Y60" s="829">
        <v>5</v>
      </c>
      <c r="Z60" s="829">
        <v>6</v>
      </c>
      <c r="AA60" s="829">
        <v>56</v>
      </c>
      <c r="AB60" s="829">
        <v>44</v>
      </c>
      <c r="AC60" s="829"/>
      <c r="AD60" s="816" t="str">
        <f t="array" ref="AD60">IF($J60="","",IF(SUM(IF(ISNUMBER(VALUE(RIGHT($AG60:$CJ60,1))),VALUE(RIGHT($AG60:$CJ60,1)),0))=$J60,"T","F"))</f>
        <v>T</v>
      </c>
      <c r="AE60" s="831">
        <f t="array" ref="AE60">IF($J60="","",SUM(IF(LEFT($AG60:$DV60,1)="s",1,0))-SUM(IF(RIGHT(LEFT($AG60:$DV60,2))="-",1,0)))</f>
        <v>0</v>
      </c>
      <c r="AF60" s="816">
        <f t="array" ref="AF60">IF($J60="","",SUM(IF(LEFT($AG60:$DB60,1)="X",1,0)))</f>
        <v>11</v>
      </c>
      <c r="AG60" s="891" t="s">
        <v>34</v>
      </c>
      <c r="AH60" s="891" t="s">
        <v>1877</v>
      </c>
      <c r="AI60" s="891" t="s">
        <v>32</v>
      </c>
      <c r="AJ60" s="891" t="s">
        <v>34</v>
      </c>
      <c r="AK60" s="891" t="s">
        <v>32</v>
      </c>
      <c r="AL60" s="891" t="s">
        <v>32</v>
      </c>
      <c r="AM60" s="891" t="s">
        <v>32</v>
      </c>
      <c r="AN60" s="891" t="s">
        <v>34</v>
      </c>
      <c r="AO60" s="891" t="s">
        <v>36</v>
      </c>
      <c r="AP60" s="891" t="s">
        <v>1877</v>
      </c>
      <c r="AQ60" s="891" t="s">
        <v>32</v>
      </c>
      <c r="AR60" s="904" t="s">
        <v>35</v>
      </c>
      <c r="AS60" s="891" t="s">
        <v>32</v>
      </c>
      <c r="AT60" s="891" t="s">
        <v>34</v>
      </c>
      <c r="AU60" s="891" t="s">
        <v>32</v>
      </c>
      <c r="AV60" s="891" t="s">
        <v>32</v>
      </c>
      <c r="AW60" s="891" t="s">
        <v>1877</v>
      </c>
      <c r="AX60" s="891" t="s">
        <v>32</v>
      </c>
      <c r="AY60" s="891" t="s">
        <v>32</v>
      </c>
      <c r="AZ60" s="891" t="s">
        <v>35</v>
      </c>
      <c r="BA60" s="891" t="s">
        <v>34</v>
      </c>
      <c r="BB60" s="891" t="s">
        <v>32</v>
      </c>
      <c r="BC60" s="891" t="s">
        <v>35</v>
      </c>
      <c r="BD60" s="891" t="s">
        <v>34</v>
      </c>
      <c r="BE60" s="891" t="s">
        <v>32</v>
      </c>
      <c r="BF60" s="891" t="s">
        <v>32</v>
      </c>
      <c r="BG60" s="891" t="s">
        <v>36</v>
      </c>
      <c r="BH60" s="891" t="s">
        <v>34</v>
      </c>
      <c r="BI60" s="891" t="s">
        <v>34</v>
      </c>
      <c r="BJ60" s="891" t="s">
        <v>1877</v>
      </c>
      <c r="BK60" s="891" t="s">
        <v>1886</v>
      </c>
      <c r="BL60" s="891" t="s">
        <v>36</v>
      </c>
      <c r="BM60" s="891">
        <v>1</v>
      </c>
      <c r="BN60" s="891"/>
      <c r="BO60" s="891"/>
      <c r="BP60" s="891"/>
      <c r="BQ60" s="891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428"/>
      <c r="CG60" s="428"/>
      <c r="CH60" s="428"/>
      <c r="CI60" s="428"/>
    </row>
    <row r="61" spans="1:87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10</v>
      </c>
      <c r="G61" s="879" t="s">
        <v>883</v>
      </c>
      <c r="H61" s="879" t="s">
        <v>22</v>
      </c>
      <c r="I61" s="879" t="s">
        <v>891</v>
      </c>
      <c r="J61" s="908">
        <v>2</v>
      </c>
      <c r="K61" s="846">
        <v>0</v>
      </c>
      <c r="L61" s="816" t="str">
        <f t="shared" si="32"/>
        <v>W</v>
      </c>
      <c r="M61" s="816">
        <f t="shared" si="33"/>
        <v>2</v>
      </c>
      <c r="N61" s="816" t="str">
        <f t="shared" si="34"/>
        <v>U</v>
      </c>
      <c r="O61" s="816">
        <f t="shared" si="56"/>
        <v>0</v>
      </c>
      <c r="P61" s="829">
        <f t="shared" si="57"/>
        <v>1</v>
      </c>
      <c r="Q61" s="830">
        <v>0.05</v>
      </c>
      <c r="R61" s="871">
        <f t="shared" si="35"/>
        <v>1.95</v>
      </c>
      <c r="S61" s="830">
        <v>2.42</v>
      </c>
      <c r="T61" s="871">
        <f t="shared" si="27"/>
        <v>-0.41999999999999993</v>
      </c>
      <c r="U61" s="868">
        <f t="shared" si="59"/>
        <v>1.2349999999999999</v>
      </c>
      <c r="V61" s="868">
        <f t="shared" si="60"/>
        <v>1.1850000000000001</v>
      </c>
      <c r="W61" s="829">
        <v>16</v>
      </c>
      <c r="X61" s="829">
        <v>17</v>
      </c>
      <c r="Y61" s="829">
        <v>3</v>
      </c>
      <c r="Z61" s="829">
        <v>4</v>
      </c>
      <c r="AA61" s="829">
        <v>50</v>
      </c>
      <c r="AB61" s="829">
        <v>50</v>
      </c>
      <c r="AC61" s="829"/>
      <c r="AD61" s="816" t="str">
        <f t="array" ref="AD61">IF($J61="","",IF(SUM(IF(ISNUMBER(VALUE(RIGHT($AG61:$CJ61,1))),VALUE(RIGHT($AG61:$CJ61,1)),0))=$J61,"T","F"))</f>
        <v>T</v>
      </c>
      <c r="AE61" s="831">
        <f t="array" ref="AE61">IF($J61="","",SUM(IF(LEFT($AG61:$DV61,1)="s",1,0))-SUM(IF(RIGHT(LEFT($AG61:$DV61,2))="-",1,0)))</f>
        <v>0</v>
      </c>
      <c r="AF61" s="816">
        <f t="array" ref="AF61">IF($J61="","",SUM(IF(LEFT($AG61:$DB61,1)="X",1,0)))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36</v>
      </c>
      <c r="AK61" s="904" t="s">
        <v>34</v>
      </c>
      <c r="AL61" s="891" t="s">
        <v>32</v>
      </c>
      <c r="AM61" s="891" t="s">
        <v>32</v>
      </c>
      <c r="AN61" s="904" t="s">
        <v>34</v>
      </c>
      <c r="AO61" s="891" t="s">
        <v>34</v>
      </c>
      <c r="AP61" s="891" t="s">
        <v>1877</v>
      </c>
      <c r="AQ61" s="891" t="s">
        <v>34</v>
      </c>
      <c r="AR61" s="891" t="s">
        <v>36</v>
      </c>
      <c r="AS61" s="891" t="s">
        <v>32</v>
      </c>
      <c r="AT61" s="891" t="s">
        <v>32</v>
      </c>
      <c r="AU61" s="891" t="s">
        <v>32</v>
      </c>
      <c r="AV61" s="891" t="s">
        <v>32</v>
      </c>
      <c r="AW61" s="891" t="s">
        <v>32</v>
      </c>
      <c r="AX61" s="891" t="s">
        <v>32</v>
      </c>
      <c r="AY61" s="891" t="s">
        <v>34</v>
      </c>
      <c r="AZ61" s="891" t="s">
        <v>35</v>
      </c>
      <c r="BA61" s="891" t="s">
        <v>3422</v>
      </c>
      <c r="BB61" s="891" t="s">
        <v>32</v>
      </c>
      <c r="BC61" s="891" t="s">
        <v>36</v>
      </c>
      <c r="BD61" s="891" t="s">
        <v>32</v>
      </c>
      <c r="BE61" s="891" t="s">
        <v>32</v>
      </c>
      <c r="BF61" s="891" t="s">
        <v>32</v>
      </c>
      <c r="BG61" s="909" t="s">
        <v>34</v>
      </c>
      <c r="BH61" s="891" t="s">
        <v>35</v>
      </c>
      <c r="BI61" s="891" t="s">
        <v>3424</v>
      </c>
      <c r="BJ61" s="891" t="s">
        <v>1877</v>
      </c>
      <c r="BK61" s="891" t="s">
        <v>1886</v>
      </c>
      <c r="BL61" s="891" t="s">
        <v>1877</v>
      </c>
      <c r="BM61" s="891"/>
      <c r="BN61" s="891"/>
      <c r="BO61" s="891"/>
      <c r="BP61" s="891"/>
      <c r="BQ61" s="891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</row>
    <row r="62" spans="1:87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19</v>
      </c>
      <c r="G62" s="879" t="s">
        <v>885</v>
      </c>
      <c r="H62" s="879" t="s">
        <v>18</v>
      </c>
      <c r="I62" s="879" t="s">
        <v>891</v>
      </c>
      <c r="J62" s="846">
        <v>0</v>
      </c>
      <c r="K62" s="846">
        <v>0</v>
      </c>
      <c r="L62" s="816" t="str">
        <f t="shared" si="32"/>
        <v>D</v>
      </c>
      <c r="M62" s="816">
        <f t="shared" si="33"/>
        <v>0</v>
      </c>
      <c r="N62" s="816" t="str">
        <f t="shared" si="34"/>
        <v>U</v>
      </c>
      <c r="O62" s="816">
        <f t="shared" si="56"/>
        <v>0</v>
      </c>
      <c r="P62" s="829">
        <f t="shared" si="57"/>
        <v>0</v>
      </c>
      <c r="Q62" s="830">
        <v>0.08</v>
      </c>
      <c r="R62" s="871">
        <f t="shared" si="35"/>
        <v>-0.08</v>
      </c>
      <c r="S62" s="830">
        <v>2.35</v>
      </c>
      <c r="T62" s="871">
        <f t="shared" si="27"/>
        <v>-2.35</v>
      </c>
      <c r="U62" s="868">
        <f t="shared" si="59"/>
        <v>1.2150000000000001</v>
      </c>
      <c r="V62" s="868">
        <f t="shared" si="60"/>
        <v>1.135</v>
      </c>
      <c r="W62" s="829">
        <v>7</v>
      </c>
      <c r="X62" s="829">
        <v>9</v>
      </c>
      <c r="Y62" s="829">
        <v>3</v>
      </c>
      <c r="Z62" s="829">
        <v>0</v>
      </c>
      <c r="AA62" s="829">
        <v>48</v>
      </c>
      <c r="AB62" s="829">
        <v>52</v>
      </c>
      <c r="AC62" s="829"/>
      <c r="AD62" s="816" t="str">
        <f t="array" ref="AD62">IF($J62="","",IF(SUM(IF(ISNUMBER(VALUE(RIGHT($AG62:$CJ62,1))),VALUE(RIGHT($AG62:$CJ62,1)),0))=$J62,"T","F"))</f>
        <v>T</v>
      </c>
      <c r="AE62" s="831">
        <f t="array" ref="AE62">IF($J62="","",SUM(IF(LEFT($AG62:$DV62,1)="s",1,0))-SUM(IF(RIGHT(LEFT($AG62:$DV62,2))="-",1,0)))</f>
        <v>0</v>
      </c>
      <c r="AF62" s="816">
        <f t="array" ref="AF62">IF($J62="","",SUM(IF(LEFT($AG62:$DB62,1)="X",1,0)))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32</v>
      </c>
      <c r="AK62" s="891" t="s">
        <v>34</v>
      </c>
      <c r="AL62" s="891" t="s">
        <v>34</v>
      </c>
      <c r="AM62" s="891" t="s">
        <v>32</v>
      </c>
      <c r="AN62" s="891" t="s">
        <v>34</v>
      </c>
      <c r="AO62" s="891" t="s">
        <v>1877</v>
      </c>
      <c r="AP62" s="891" t="s">
        <v>32</v>
      </c>
      <c r="AQ62" s="891" t="s">
        <v>34</v>
      </c>
      <c r="AR62" s="891" t="s">
        <v>1877</v>
      </c>
      <c r="AS62" s="891" t="s">
        <v>32</v>
      </c>
      <c r="AT62" s="891" t="s">
        <v>36</v>
      </c>
      <c r="AU62" s="891" t="s">
        <v>32</v>
      </c>
      <c r="AV62" s="891" t="s">
        <v>32</v>
      </c>
      <c r="AW62" s="891" t="s">
        <v>32</v>
      </c>
      <c r="AX62" s="891" t="s">
        <v>1877</v>
      </c>
      <c r="AY62" s="891" t="s">
        <v>34</v>
      </c>
      <c r="AZ62" s="891" t="s">
        <v>1877</v>
      </c>
      <c r="BA62" s="904" t="s">
        <v>34</v>
      </c>
      <c r="BB62" s="891" t="s">
        <v>32</v>
      </c>
      <c r="BC62" s="891" t="s">
        <v>34</v>
      </c>
      <c r="BD62" s="891" t="s">
        <v>32</v>
      </c>
      <c r="BE62" s="891" t="s">
        <v>36</v>
      </c>
      <c r="BF62" s="891" t="s">
        <v>32</v>
      </c>
      <c r="BG62" s="891" t="s">
        <v>3465</v>
      </c>
      <c r="BH62" s="891" t="s">
        <v>35</v>
      </c>
      <c r="BI62" s="891" t="s">
        <v>34</v>
      </c>
      <c r="BJ62" s="891" t="s">
        <v>32</v>
      </c>
      <c r="BK62" s="891" t="s">
        <v>1886</v>
      </c>
      <c r="BL62" s="904" t="s">
        <v>35</v>
      </c>
      <c r="BM62" s="891"/>
      <c r="BN62" s="891"/>
      <c r="BO62" s="891"/>
      <c r="BP62" s="891"/>
      <c r="BQ62" s="891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</row>
    <row r="63" spans="1:87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15</v>
      </c>
      <c r="G63" s="879" t="s">
        <v>881</v>
      </c>
      <c r="H63" s="879" t="s">
        <v>22</v>
      </c>
      <c r="I63" s="879" t="s">
        <v>891</v>
      </c>
      <c r="J63" s="846">
        <v>2</v>
      </c>
      <c r="K63" s="846">
        <v>2</v>
      </c>
      <c r="L63" s="816" t="str">
        <f t="shared" si="32"/>
        <v>D</v>
      </c>
      <c r="M63" s="816">
        <f t="shared" si="33"/>
        <v>4</v>
      </c>
      <c r="N63" s="816" t="str">
        <f t="shared" si="34"/>
        <v>O</v>
      </c>
      <c r="O63" s="816">
        <f t="shared" si="56"/>
        <v>-0.5</v>
      </c>
      <c r="P63" s="829">
        <f t="shared" si="57"/>
        <v>-1</v>
      </c>
      <c r="Q63" s="830">
        <v>0.45</v>
      </c>
      <c r="R63" s="871">
        <f t="shared" si="35"/>
        <v>-0.45</v>
      </c>
      <c r="S63" s="830">
        <v>2.58</v>
      </c>
      <c r="T63" s="871">
        <f t="shared" si="27"/>
        <v>1.42</v>
      </c>
      <c r="U63" s="868">
        <f t="shared" si="59"/>
        <v>1.5150000000000001</v>
      </c>
      <c r="V63" s="868">
        <f t="shared" si="60"/>
        <v>1.0649999999999999</v>
      </c>
      <c r="W63" s="829">
        <v>14</v>
      </c>
      <c r="X63" s="829">
        <v>9</v>
      </c>
      <c r="Y63" s="829">
        <v>3</v>
      </c>
      <c r="Z63" s="829">
        <v>4</v>
      </c>
      <c r="AA63" s="829">
        <v>52</v>
      </c>
      <c r="AB63" s="829">
        <v>48</v>
      </c>
      <c r="AC63" s="829"/>
      <c r="AD63" s="816" t="str">
        <f t="array" ref="AD63">IF($J63="","",IF(SUM(IF(ISNUMBER(VALUE(RIGHT($AG63:$CJ63,1))),VALUE(RIGHT($AG63:$CJ63,1)),0))=$J63,"T","F"))</f>
        <v>T</v>
      </c>
      <c r="AE63" s="831">
        <f t="array" ref="AE63">IF($J63="","",SUM(IF(LEFT($AG63:$DV63,1)="s",1,0))-SUM(IF(RIGHT(LEFT($AG63:$DV63,2))="-",1,0)))</f>
        <v>0</v>
      </c>
      <c r="AF63" s="816">
        <f t="array" ref="AF63">IF($J63="","",SUM(IF(LEFT($AG63:$DB63,1)="X",1,0)))</f>
        <v>11</v>
      </c>
      <c r="AG63" s="891" t="s">
        <v>1877</v>
      </c>
      <c r="AH63" s="891" t="s">
        <v>34</v>
      </c>
      <c r="AI63" s="891" t="s">
        <v>1886</v>
      </c>
      <c r="AJ63" s="891" t="s">
        <v>32</v>
      </c>
      <c r="AK63" s="891" t="s">
        <v>34</v>
      </c>
      <c r="AL63" s="891" t="s">
        <v>36</v>
      </c>
      <c r="AM63" s="891" t="s">
        <v>32</v>
      </c>
      <c r="AN63" s="891" t="s">
        <v>34</v>
      </c>
      <c r="AO63" s="891" t="s">
        <v>34</v>
      </c>
      <c r="AP63" s="891" t="s">
        <v>32</v>
      </c>
      <c r="AQ63" s="891" t="s">
        <v>34</v>
      </c>
      <c r="AR63" s="891" t="s">
        <v>34</v>
      </c>
      <c r="AS63" s="891" t="s">
        <v>32</v>
      </c>
      <c r="AT63" s="891" t="s">
        <v>1877</v>
      </c>
      <c r="AU63" s="891" t="s">
        <v>32</v>
      </c>
      <c r="AV63" s="891" t="s">
        <v>32</v>
      </c>
      <c r="AW63" s="891" t="s">
        <v>35</v>
      </c>
      <c r="AX63" s="891" t="s">
        <v>32</v>
      </c>
      <c r="AY63" s="891" t="s">
        <v>36</v>
      </c>
      <c r="AZ63" s="891" t="s">
        <v>35</v>
      </c>
      <c r="BA63" s="891" t="s">
        <v>3503</v>
      </c>
      <c r="BB63" s="891" t="s">
        <v>32</v>
      </c>
      <c r="BC63" s="891" t="s">
        <v>36</v>
      </c>
      <c r="BD63" s="891" t="s">
        <v>32</v>
      </c>
      <c r="BE63" s="891" t="s">
        <v>32</v>
      </c>
      <c r="BF63" s="891" t="s">
        <v>32</v>
      </c>
      <c r="BG63" s="891" t="s">
        <v>3504</v>
      </c>
      <c r="BH63" s="891" t="s">
        <v>34</v>
      </c>
      <c r="BI63" s="891" t="s">
        <v>3484</v>
      </c>
      <c r="BJ63" s="891" t="s">
        <v>1877</v>
      </c>
      <c r="BK63" s="891" t="s">
        <v>1886</v>
      </c>
      <c r="BL63" s="891" t="s">
        <v>1877</v>
      </c>
      <c r="BM63" s="891"/>
      <c r="BN63" s="891"/>
      <c r="BO63" s="891"/>
      <c r="BP63" s="891"/>
      <c r="BQ63" s="891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</row>
    <row r="64" spans="1:87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9</v>
      </c>
      <c r="G64" s="879" t="s">
        <v>1083</v>
      </c>
      <c r="H64" s="879" t="s">
        <v>18</v>
      </c>
      <c r="I64" s="879" t="s">
        <v>891</v>
      </c>
      <c r="J64" s="846">
        <v>1</v>
      </c>
      <c r="K64" s="846">
        <v>1</v>
      </c>
      <c r="L64" s="816" t="str">
        <f t="shared" si="32"/>
        <v>D</v>
      </c>
      <c r="M64" s="816">
        <f t="shared" si="33"/>
        <v>2</v>
      </c>
      <c r="N64" s="816" t="str">
        <f t="shared" si="34"/>
        <v>U</v>
      </c>
      <c r="O64" s="816">
        <f t="shared" si="56"/>
        <v>0.25</v>
      </c>
      <c r="P64" s="829">
        <f t="shared" si="57"/>
        <v>0.5</v>
      </c>
      <c r="Q64" s="830">
        <v>-0.35</v>
      </c>
      <c r="R64" s="871">
        <f t="shared" si="35"/>
        <v>0.35</v>
      </c>
      <c r="S64" s="830">
        <v>2.5299999999999998</v>
      </c>
      <c r="T64" s="871">
        <f t="shared" si="27"/>
        <v>-0.5299999999999998</v>
      </c>
      <c r="U64" s="868">
        <f t="shared" si="59"/>
        <v>1.0899999999999999</v>
      </c>
      <c r="V64" s="868">
        <f t="shared" si="60"/>
        <v>1.44</v>
      </c>
      <c r="W64" s="829">
        <v>8</v>
      </c>
      <c r="X64" s="829">
        <v>16</v>
      </c>
      <c r="Y64" s="829">
        <v>2</v>
      </c>
      <c r="Z64" s="829">
        <v>5</v>
      </c>
      <c r="AA64" s="829">
        <v>50</v>
      </c>
      <c r="AB64" s="829">
        <v>50</v>
      </c>
      <c r="AC64" s="829"/>
      <c r="AD64" s="816" t="str">
        <f t="array" ref="AD64">IF($J64="","",IF(SUM(IF(ISNUMBER(VALUE(RIGHT($AG64:$CJ64,1))),VALUE(RIGHT($AG64:$CJ64,1)),0))=$J64,"T","F"))</f>
        <v>T</v>
      </c>
      <c r="AE64" s="831">
        <f t="array" ref="AE64">IF($J64="","",SUM(IF(LEFT($AG64:$DV64,1)="s",1,0))-SUM(IF(RIGHT(LEFT($AG64:$DV64,2))="-",1,0)))</f>
        <v>0</v>
      </c>
      <c r="AF64" s="816">
        <f t="array" ref="AF64">IF($J64="","",SUM(IF(LEFT($AG64:$DB64,1)="X",1,0)))</f>
        <v>11</v>
      </c>
      <c r="AG64" s="891" t="s">
        <v>1877</v>
      </c>
      <c r="AH64" s="891" t="s">
        <v>34</v>
      </c>
      <c r="AI64" s="891" t="s">
        <v>1886</v>
      </c>
      <c r="AJ64" s="891" t="s">
        <v>36</v>
      </c>
      <c r="AK64" s="891" t="s">
        <v>34</v>
      </c>
      <c r="AL64" s="891" t="s">
        <v>32</v>
      </c>
      <c r="AM64" s="891" t="s">
        <v>32</v>
      </c>
      <c r="AN64" s="891" t="s">
        <v>34</v>
      </c>
      <c r="AO64" s="891" t="s">
        <v>34</v>
      </c>
      <c r="AP64" s="891" t="s">
        <v>32</v>
      </c>
      <c r="AQ64" s="891" t="s">
        <v>35</v>
      </c>
      <c r="AR64" s="891" t="s">
        <v>34</v>
      </c>
      <c r="AS64" s="891" t="s">
        <v>32</v>
      </c>
      <c r="AT64" s="891" t="s">
        <v>1877</v>
      </c>
      <c r="AU64" s="891" t="s">
        <v>32</v>
      </c>
      <c r="AV64" s="891" t="s">
        <v>32</v>
      </c>
      <c r="AW64" s="891" t="s">
        <v>34</v>
      </c>
      <c r="AX64" s="891" t="s">
        <v>32</v>
      </c>
      <c r="AY64" s="891" t="s">
        <v>32</v>
      </c>
      <c r="AZ64" s="891" t="s">
        <v>35</v>
      </c>
      <c r="BA64" s="891" t="s">
        <v>1877</v>
      </c>
      <c r="BB64" s="891" t="s">
        <v>32</v>
      </c>
      <c r="BC64" s="891" t="s">
        <v>36</v>
      </c>
      <c r="BD64" s="891" t="s">
        <v>1877</v>
      </c>
      <c r="BE64" s="891" t="s">
        <v>32</v>
      </c>
      <c r="BF64" s="891" t="s">
        <v>32</v>
      </c>
      <c r="BG64" s="891" t="s">
        <v>34</v>
      </c>
      <c r="BH64" s="891" t="s">
        <v>35</v>
      </c>
      <c r="BI64" s="891" t="s">
        <v>3516</v>
      </c>
      <c r="BJ64" s="891" t="s">
        <v>36</v>
      </c>
      <c r="BK64" s="891" t="s">
        <v>2731</v>
      </c>
      <c r="BL64" s="891"/>
      <c r="BM64" s="891"/>
      <c r="BN64" s="891"/>
      <c r="BO64" s="891"/>
      <c r="BP64" s="891"/>
      <c r="BQ64" s="891"/>
      <c r="BR64" s="896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  <c r="CE64" s="896"/>
    </row>
    <row r="65" spans="1:83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14</v>
      </c>
      <c r="G65" s="879" t="s">
        <v>873</v>
      </c>
      <c r="H65" s="879" t="s">
        <v>18</v>
      </c>
      <c r="I65" s="879" t="s">
        <v>891</v>
      </c>
      <c r="J65" s="846">
        <v>1</v>
      </c>
      <c r="K65" s="846">
        <v>0</v>
      </c>
      <c r="L65" s="816" t="str">
        <f t="shared" si="32"/>
        <v>W</v>
      </c>
      <c r="M65" s="816">
        <f t="shared" si="33"/>
        <v>1</v>
      </c>
      <c r="N65" s="816" t="str">
        <f t="shared" si="34"/>
        <v>U</v>
      </c>
      <c r="O65" s="816">
        <f t="shared" si="56"/>
        <v>0.25</v>
      </c>
      <c r="P65" s="829">
        <f t="shared" si="57"/>
        <v>1</v>
      </c>
      <c r="Q65" s="830">
        <v>-0.18</v>
      </c>
      <c r="R65" s="871">
        <f t="shared" si="35"/>
        <v>1.18</v>
      </c>
      <c r="S65" s="830">
        <v>2.4300000000000002</v>
      </c>
      <c r="T65" s="871">
        <f t="shared" si="27"/>
        <v>-1.4300000000000002</v>
      </c>
      <c r="U65" s="868">
        <f t="shared" si="59"/>
        <v>1.125</v>
      </c>
      <c r="V65" s="868">
        <f t="shared" si="60"/>
        <v>1.3050000000000002</v>
      </c>
      <c r="W65" s="829">
        <v>13</v>
      </c>
      <c r="X65" s="829">
        <v>5</v>
      </c>
      <c r="Y65" s="829">
        <v>3</v>
      </c>
      <c r="Z65" s="829">
        <v>0</v>
      </c>
      <c r="AA65" s="829">
        <v>48</v>
      </c>
      <c r="AB65" s="829">
        <v>52</v>
      </c>
      <c r="AC65" s="829"/>
      <c r="AD65" s="816" t="str">
        <f t="array" ref="AD65">IF($J65="","",IF(SUM(IF(ISNUMBER(VALUE(RIGHT($AG65:$CJ65,1))),VALUE(RIGHT($AG65:$CJ65,1)),0))=$J65,"T","F"))</f>
        <v>T</v>
      </c>
      <c r="AE65" s="831">
        <f t="array" ref="AE65">IF($J65="","",SUM(IF(LEFT($AG65:$DV65,1)="s",1,0))-SUM(IF(RIGHT(LEFT($AG65:$DV65,2))="-",1,0)))</f>
        <v>0</v>
      </c>
      <c r="AF65" s="816">
        <f t="array" ref="AF65">IF($J65="","",SUM(IF(LEFT($AG65:$DB65,1)="X",1,0)))</f>
        <v>11</v>
      </c>
      <c r="AG65" s="891" t="s">
        <v>34</v>
      </c>
      <c r="AH65" s="891" t="s">
        <v>1877</v>
      </c>
      <c r="AI65" s="891" t="s">
        <v>1886</v>
      </c>
      <c r="AJ65" s="891" t="s">
        <v>1877</v>
      </c>
      <c r="AK65" s="891" t="s">
        <v>32</v>
      </c>
      <c r="AL65" s="891" t="s">
        <v>34</v>
      </c>
      <c r="AM65" s="891" t="s">
        <v>32</v>
      </c>
      <c r="AN65" s="891" t="s">
        <v>34</v>
      </c>
      <c r="AO65" s="891" t="s">
        <v>34</v>
      </c>
      <c r="AP65" s="891" t="s">
        <v>1877</v>
      </c>
      <c r="AQ65" s="891" t="s">
        <v>32</v>
      </c>
      <c r="AR65" s="891" t="s">
        <v>35</v>
      </c>
      <c r="AS65" s="891" t="s">
        <v>32</v>
      </c>
      <c r="AT65" s="891" t="s">
        <v>34</v>
      </c>
      <c r="AU65" s="891" t="s">
        <v>32</v>
      </c>
      <c r="AV65" s="891" t="s">
        <v>32</v>
      </c>
      <c r="AW65" s="891" t="s">
        <v>36</v>
      </c>
      <c r="AX65" s="891" t="s">
        <v>32</v>
      </c>
      <c r="AY65" s="891" t="s">
        <v>32</v>
      </c>
      <c r="AZ65" s="891" t="s">
        <v>35</v>
      </c>
      <c r="BA65" s="891" t="s">
        <v>34</v>
      </c>
      <c r="BB65" s="891" t="s">
        <v>32</v>
      </c>
      <c r="BC65" s="891" t="s">
        <v>34</v>
      </c>
      <c r="BD65" s="891" t="s">
        <v>36</v>
      </c>
      <c r="BE65" s="891" t="s">
        <v>1877</v>
      </c>
      <c r="BF65" s="891" t="s">
        <v>32</v>
      </c>
      <c r="BG65" s="891" t="s">
        <v>35</v>
      </c>
      <c r="BH65" s="891" t="s">
        <v>36</v>
      </c>
      <c r="BI65" s="891" t="s">
        <v>3559</v>
      </c>
      <c r="BJ65" s="891"/>
      <c r="BK65" s="891" t="s">
        <v>2731</v>
      </c>
      <c r="BL65" s="891"/>
      <c r="BM65" s="891"/>
      <c r="BN65" s="891"/>
      <c r="BO65" s="891"/>
      <c r="BP65" s="891"/>
      <c r="BQ65" s="891"/>
      <c r="BR65" s="896"/>
      <c r="BS65" s="896"/>
      <c r="BT65" s="897"/>
      <c r="BU65" s="897"/>
      <c r="BV65" s="897"/>
      <c r="BW65" s="897"/>
      <c r="BX65" s="897"/>
      <c r="BY65" s="896"/>
      <c r="BZ65" s="896"/>
      <c r="CA65" s="896"/>
      <c r="CB65" s="896"/>
      <c r="CC65" s="896"/>
      <c r="CD65" s="896"/>
      <c r="CE65" s="896"/>
    </row>
    <row r="66" spans="1:83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18</v>
      </c>
      <c r="G66" s="879" t="s">
        <v>887</v>
      </c>
      <c r="H66" s="879" t="s">
        <v>22</v>
      </c>
      <c r="I66" s="879" t="s">
        <v>891</v>
      </c>
      <c r="J66" s="846">
        <v>4</v>
      </c>
      <c r="K66" s="846">
        <v>1</v>
      </c>
      <c r="L66" s="816" t="str">
        <f t="shared" si="32"/>
        <v>W</v>
      </c>
      <c r="M66" s="816">
        <f t="shared" si="33"/>
        <v>5</v>
      </c>
      <c r="N66" s="816" t="str">
        <f t="shared" si="34"/>
        <v>O</v>
      </c>
      <c r="O66" s="816">
        <f t="shared" si="56"/>
        <v>-0.25</v>
      </c>
      <c r="P66" s="829">
        <f t="shared" si="57"/>
        <v>1</v>
      </c>
      <c r="Q66" s="830">
        <v>0.3</v>
      </c>
      <c r="R66" s="871">
        <f t="shared" si="35"/>
        <v>2.7</v>
      </c>
      <c r="S66" s="830">
        <v>2.65</v>
      </c>
      <c r="T66" s="871">
        <f t="shared" si="27"/>
        <v>2.35</v>
      </c>
      <c r="U66" s="868">
        <f t="shared" si="59"/>
        <v>1.4749999999999999</v>
      </c>
      <c r="V66" s="868">
        <f t="shared" si="60"/>
        <v>1.175</v>
      </c>
      <c r="W66" s="829">
        <v>21</v>
      </c>
      <c r="X66" s="829">
        <v>11</v>
      </c>
      <c r="Y66" s="829">
        <v>9</v>
      </c>
      <c r="Z66" s="829">
        <v>5</v>
      </c>
      <c r="AA66" s="829">
        <v>46</v>
      </c>
      <c r="AB66" s="829">
        <v>54</v>
      </c>
      <c r="AC66" s="829"/>
      <c r="AD66" s="816" t="str">
        <f t="array" ref="AD66">IF($J66="","",IF(SUM(IF(ISNUMBER(VALUE(RIGHT($AG66:$CJ66,1))),VALUE(RIGHT($AG66:$CJ66,1)),0))=$J66,"T","F"))</f>
        <v>T</v>
      </c>
      <c r="AE66" s="831">
        <f t="array" ref="AE66">IF($J66="","",SUM(IF(LEFT($AG66:$DV66,1)="s",1,0))-SUM(IF(RIGHT(LEFT($AG66:$DV66,2))="-",1,0)))</f>
        <v>0</v>
      </c>
      <c r="AF66" s="816">
        <f t="array" ref="AF66">IF($J66="","",SUM(IF(LEFT($AG66:$DB66,1)="X",1,0)))</f>
        <v>11</v>
      </c>
      <c r="AG66" s="891" t="s">
        <v>34</v>
      </c>
      <c r="AH66" s="891" t="s">
        <v>1877</v>
      </c>
      <c r="AI66" s="891" t="s">
        <v>1886</v>
      </c>
      <c r="AJ66" s="891" t="s">
        <v>1877</v>
      </c>
      <c r="AK66" s="891" t="s">
        <v>32</v>
      </c>
      <c r="AL66" s="891" t="s">
        <v>3571</v>
      </c>
      <c r="AM66" s="891" t="s">
        <v>32</v>
      </c>
      <c r="AN66" s="891" t="s">
        <v>34</v>
      </c>
      <c r="AO66" s="891" t="s">
        <v>34</v>
      </c>
      <c r="AP66" s="891" t="s">
        <v>36</v>
      </c>
      <c r="AQ66" s="891" t="s">
        <v>32</v>
      </c>
      <c r="AR66" s="891" t="s">
        <v>3571</v>
      </c>
      <c r="AS66" s="891" t="s">
        <v>32</v>
      </c>
      <c r="AT66" s="891" t="s">
        <v>34</v>
      </c>
      <c r="AU66" s="891" t="s">
        <v>32</v>
      </c>
      <c r="AV66" s="891" t="s">
        <v>32</v>
      </c>
      <c r="AW66" s="891" t="s">
        <v>1877</v>
      </c>
      <c r="AX66" s="891" t="s">
        <v>32</v>
      </c>
      <c r="AY66" s="891" t="s">
        <v>32</v>
      </c>
      <c r="AZ66" s="891" t="s">
        <v>35</v>
      </c>
      <c r="BA66" s="891" t="s">
        <v>34</v>
      </c>
      <c r="BB66" s="891" t="s">
        <v>32</v>
      </c>
      <c r="BC66" s="891" t="s">
        <v>3583</v>
      </c>
      <c r="BD66" s="891" t="s">
        <v>1877</v>
      </c>
      <c r="BE66" s="891" t="s">
        <v>36</v>
      </c>
      <c r="BF66" s="891" t="s">
        <v>32</v>
      </c>
      <c r="BG66" s="891" t="s">
        <v>35</v>
      </c>
      <c r="BH66" s="891" t="s">
        <v>36</v>
      </c>
      <c r="BI66" s="891" t="s">
        <v>35</v>
      </c>
      <c r="BJ66" s="891"/>
      <c r="BK66" s="891" t="s">
        <v>2731</v>
      </c>
      <c r="BL66" s="891"/>
      <c r="BM66" s="891"/>
      <c r="BN66" s="891"/>
      <c r="BO66" s="891"/>
      <c r="BP66" s="891"/>
      <c r="BQ66" s="891"/>
      <c r="BR66" s="896"/>
      <c r="BS66" s="896"/>
      <c r="BT66" s="897"/>
      <c r="BU66" s="897"/>
      <c r="BV66" s="897"/>
      <c r="BW66" s="897"/>
      <c r="BX66" s="897"/>
      <c r="BY66" s="896"/>
      <c r="BZ66" s="896"/>
      <c r="CA66" s="896"/>
      <c r="CB66" s="896"/>
      <c r="CC66" s="896"/>
      <c r="CD66" s="896"/>
      <c r="CE66" s="896"/>
    </row>
    <row r="67" spans="1:83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7"/>
        <v/>
      </c>
      <c r="U67" s="868" t="str">
        <f t="shared" si="59"/>
        <v/>
      </c>
      <c r="V67" s="868" t="str">
        <f t="shared" si="60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IF($J67="","",IF(SUM(IF(ISNUMBER(VALUE(RIGHT($AG67:$CJ67,1))),VALUE(RIGHT($AG67:$CJ67,1)),0))=$J67,"T","F"))</f>
        <v/>
      </c>
      <c r="AE67" s="831" t="str">
        <f t="array" ref="AE67">IF($J67="","",SUM(IF(LEFT($AG67:$DV67,1)="s",1,0))-SUM(IF(RIGHT(LEFT($AG67:$DV67,2))="-",1,0)))</f>
        <v/>
      </c>
      <c r="AF67" s="816" t="str">
        <f t="array" ref="AF67">IF($J67="","",SUM(IF(LEFT($AG67:$DB67,1)="X",1,0)))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6"/>
      <c r="BS67" s="896"/>
      <c r="BT67" s="897"/>
      <c r="BU67" s="897"/>
      <c r="BV67" s="897"/>
      <c r="BW67" s="897"/>
      <c r="BX67" s="897"/>
      <c r="BY67" s="896"/>
      <c r="BZ67" s="896"/>
      <c r="CA67" s="896"/>
      <c r="CB67" s="896"/>
      <c r="CC67" s="896"/>
      <c r="CD67" s="896"/>
      <c r="CE67" s="896"/>
    </row>
    <row r="68" spans="1:83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7"/>
        <v/>
      </c>
      <c r="U68" s="868" t="str">
        <f t="shared" si="59"/>
        <v/>
      </c>
      <c r="V68" s="868" t="str">
        <f t="shared" si="60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IF($J68="","",IF(SUM(IF(ISNUMBER(VALUE(RIGHT($AG68:$CJ68,1))),VALUE(RIGHT($AG68:$CJ68,1)),0))=$J68,"T","F"))</f>
        <v/>
      </c>
      <c r="AE68" s="831" t="str">
        <f t="array" ref="AE68">IF($J68="","",SUM(IF(LEFT($AG68:$DV68,1)="s",1,0))-SUM(IF(RIGHT(LEFT($AG68:$DV68,2))="-",1,0)))</f>
        <v/>
      </c>
      <c r="AF68" s="816" t="str">
        <f t="array" ref="AF68">IF($J68="","",SUM(IF(LEFT($AG68:$DB68,1)="X",1,0)))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6"/>
      <c r="BS68" s="896"/>
      <c r="BT68" s="897"/>
      <c r="BU68" s="897"/>
      <c r="BV68" s="897"/>
      <c r="BW68" s="897"/>
      <c r="BX68" s="897"/>
      <c r="BY68" s="896"/>
      <c r="BZ68" s="896"/>
      <c r="CA68" s="896"/>
      <c r="CB68" s="896"/>
      <c r="CC68" s="896"/>
      <c r="CD68" s="896"/>
      <c r="CE68" s="896"/>
    </row>
    <row r="69" spans="1:83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71" t="str">
        <f t="shared" si="27"/>
        <v/>
      </c>
      <c r="U69" s="868" t="str">
        <f t="shared" si="59"/>
        <v/>
      </c>
      <c r="V69" s="868" t="str">
        <f t="shared" si="60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IF($J69="","",IF(SUM(IF(ISNUMBER(VALUE(RIGHT($AG69:$CJ69,1))),VALUE(RIGHT($AG69:$CJ69,1)),0))=$J69,"T","F"))</f>
        <v/>
      </c>
      <c r="AE69" s="831" t="str">
        <f t="array" ref="AE69">IF($J69="","",SUM(IF(LEFT($AG69:$DV69,1)="s",1,0))-SUM(IF(RIGHT(LEFT($AG69:$DV69,2))="-",1,0)))</f>
        <v/>
      </c>
      <c r="AF69" s="816" t="str">
        <f t="array" ref="AF69">IF($J69="","",SUM(IF(LEFT($AG69:$DB69,1)="X",1,0)))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6"/>
      <c r="BS69" s="896"/>
      <c r="BT69" s="897"/>
      <c r="BU69" s="897"/>
      <c r="BV69" s="897"/>
      <c r="BW69" s="897"/>
      <c r="BX69" s="897"/>
      <c r="BY69" s="896"/>
      <c r="BZ69" s="896"/>
      <c r="CA69" s="896"/>
      <c r="CB69" s="896"/>
      <c r="CC69" s="896"/>
      <c r="CD69" s="896"/>
      <c r="CE69" s="896"/>
    </row>
    <row r="70" spans="1:83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6"/>
      <c r="BS70" s="896"/>
      <c r="BT70" s="897"/>
      <c r="BU70" s="897"/>
      <c r="BV70" s="897"/>
      <c r="BW70" s="897"/>
      <c r="BX70" s="897"/>
      <c r="BY70" s="896"/>
      <c r="BZ70" s="896"/>
      <c r="CA70" s="896"/>
      <c r="CB70" s="896"/>
      <c r="CC70" s="896"/>
      <c r="CD70" s="896"/>
      <c r="CE70" s="896"/>
    </row>
    <row r="71" spans="1:83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6"/>
      <c r="BS71" s="896"/>
      <c r="BT71" s="897"/>
      <c r="BU71" s="897"/>
      <c r="BV71" s="897"/>
      <c r="BW71" s="897"/>
      <c r="BX71" s="897"/>
      <c r="BY71" s="896"/>
      <c r="BZ71" s="896"/>
      <c r="CA71" s="896"/>
      <c r="CB71" s="896"/>
      <c r="CC71" s="896"/>
      <c r="CD71" s="896"/>
      <c r="CE71" s="896"/>
    </row>
    <row r="72" spans="1:83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6"/>
      <c r="AH72" s="896"/>
      <c r="AI72" s="896"/>
      <c r="AJ72" s="896"/>
      <c r="AK72" s="893"/>
      <c r="AL72" s="896"/>
      <c r="AM72" s="896"/>
      <c r="AN72" s="896"/>
      <c r="AO72" s="896"/>
      <c r="AP72" s="896"/>
      <c r="AQ72" s="896"/>
      <c r="AR72" s="896"/>
      <c r="AS72" s="896"/>
      <c r="AT72" s="896"/>
      <c r="AU72" s="896"/>
      <c r="AV72" s="896"/>
      <c r="AW72" s="896"/>
      <c r="AX72" s="896"/>
      <c r="AY72" s="896"/>
      <c r="AZ72" s="896"/>
      <c r="BA72" s="896"/>
      <c r="BB72" s="896"/>
      <c r="BC72" s="893"/>
      <c r="BD72" s="893"/>
      <c r="BE72" s="893"/>
      <c r="BF72" s="893"/>
      <c r="BG72" s="893"/>
      <c r="BH72" s="893"/>
      <c r="BI72" s="896"/>
      <c r="BJ72" s="896"/>
      <c r="BK72" s="896"/>
      <c r="BL72" s="896"/>
      <c r="BM72" s="896"/>
      <c r="BN72" s="893"/>
      <c r="BO72" s="896"/>
      <c r="BP72" s="896"/>
      <c r="BQ72" s="893"/>
      <c r="BR72" s="896"/>
      <c r="BS72" s="896"/>
      <c r="BT72" s="897"/>
      <c r="BU72" s="897"/>
      <c r="BV72" s="897"/>
      <c r="BW72" s="897"/>
      <c r="BX72" s="897"/>
      <c r="BY72" s="896"/>
      <c r="BZ72" s="896"/>
      <c r="CA72" s="896"/>
      <c r="CB72" s="896"/>
      <c r="CC72" s="896"/>
      <c r="CD72" s="896"/>
      <c r="CE72" s="896"/>
    </row>
    <row r="73" spans="1:83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ref="L73:L130" si="61">IF(J73="","",IF(J73&gt;K73,"W",IF(J73=K73,"D",IF(J73&lt;K73,"L"))))</f>
        <v/>
      </c>
      <c r="M73" s="816" t="str">
        <f t="shared" ref="M73:M130" si="62">IF(J73="","",J73+K73)</f>
        <v/>
      </c>
      <c r="N73" s="816" t="str">
        <f t="shared" ref="N73:N130" si="63">IF($J73="","",IF($M73&gt;N$19,"O",IF($M73&lt;N$19,"U",IF($M73=N$19,"-"))))</f>
        <v/>
      </c>
      <c r="R73" s="816" t="str">
        <f t="shared" ref="R73:R130" si="64">IF(ISBLANK(Q73),"",J73-K73-Q73)</f>
        <v/>
      </c>
      <c r="T73" s="829" t="str">
        <f t="shared" ref="T73:T130" si="65">IF(ISBLANK(S73),"",J73+K73-S73)</f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IF($J73="","",IF(SUM(IF(ISNUMBER(VALUE(RIGHT($AG73:$CJ73,1))),VALUE(RIGHT($AG73:$CJ73,1)),0))=$J73,"T","F"))</f>
        <v/>
      </c>
      <c r="AE73" s="831" t="str">
        <f t="array" ref="AE73">IF($J73="","",SUM(IF(LEFT($AG73:$DV73,1)="s",1,0))-SUM(IF(RIGHT(LEFT($AG73:$DV73,2))="-",1,0)))</f>
        <v/>
      </c>
      <c r="AF73" s="816" t="str">
        <f t="array" ref="AF73">IF($J73="","",SUM(IF(LEFT($AG73:$DB73,1)="X",1,0)))</f>
        <v/>
      </c>
      <c r="AG73" s="897"/>
      <c r="AH73" s="897"/>
      <c r="AI73" s="897"/>
      <c r="AJ73" s="897"/>
      <c r="AK73" s="893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3"/>
      <c r="BD73" s="893"/>
      <c r="BE73" s="893"/>
      <c r="BF73" s="893"/>
      <c r="BG73" s="893"/>
      <c r="BH73" s="893"/>
      <c r="BI73" s="897"/>
      <c r="BJ73" s="897"/>
      <c r="BK73" s="897"/>
      <c r="BL73" s="897"/>
      <c r="BM73" s="897"/>
      <c r="BN73" s="893"/>
      <c r="BO73" s="897"/>
      <c r="BP73" s="897"/>
      <c r="BQ73" s="893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  <c r="CE73" s="897"/>
    </row>
    <row r="74" spans="1:83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61"/>
        <v/>
      </c>
      <c r="M74" s="816" t="str">
        <f t="shared" si="62"/>
        <v/>
      </c>
      <c r="N74" s="816" t="str">
        <f t="shared" si="63"/>
        <v/>
      </c>
      <c r="R74" s="816" t="str">
        <f t="shared" si="64"/>
        <v/>
      </c>
      <c r="T74" s="829" t="str">
        <f t="shared" si="65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IF($J74="","",IF(SUM(IF(ISNUMBER(VALUE(RIGHT($AG74:$CJ74,1))),VALUE(RIGHT($AG74:$CJ74,1)),0))=$J74,"T","F"))</f>
        <v/>
      </c>
      <c r="AE74" s="831" t="str">
        <f t="array" ref="AE74">IF($J74="","",SUM(IF(LEFT($AG74:$DV74,1)="s",1,0))-SUM(IF(RIGHT(LEFT($AG74:$DV74,2))="-",1,0)))</f>
        <v/>
      </c>
      <c r="AF74" s="816" t="str">
        <f t="array" ref="AF74">IF($J74="","",SUM(IF(LEFT($AG74:$DB74,1)="X",1,0)))</f>
        <v/>
      </c>
      <c r="AG74" s="897"/>
      <c r="AH74" s="897"/>
      <c r="AI74" s="897"/>
      <c r="AJ74" s="897"/>
      <c r="AK74" s="893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3"/>
      <c r="BD74" s="893"/>
      <c r="BE74" s="893"/>
      <c r="BF74" s="893"/>
      <c r="BG74" s="893"/>
      <c r="BH74" s="893"/>
      <c r="BI74" s="897"/>
      <c r="BJ74" s="897"/>
      <c r="BK74" s="897"/>
      <c r="BL74" s="897"/>
      <c r="BM74" s="897"/>
      <c r="BN74" s="893"/>
      <c r="BO74" s="897"/>
      <c r="BP74" s="897"/>
      <c r="BQ74" s="893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</row>
    <row r="75" spans="1:83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61"/>
        <v/>
      </c>
      <c r="M75" s="816" t="str">
        <f t="shared" si="62"/>
        <v/>
      </c>
      <c r="N75" s="816" t="str">
        <f t="shared" si="63"/>
        <v/>
      </c>
      <c r="R75" s="816" t="str">
        <f t="shared" si="64"/>
        <v/>
      </c>
      <c r="T75" s="829" t="str">
        <f t="shared" si="65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IF($J75="","",IF(SUM(IF(ISNUMBER(VALUE(RIGHT($AG75:$CJ75,1))),VALUE(RIGHT($AG75:$CJ75,1)),0))=$J75,"T","F"))</f>
        <v/>
      </c>
      <c r="AE75" s="831" t="str">
        <f t="array" ref="AE75">IF($J75="","",SUM(IF(LEFT($AG75:$DV75,1)="s",1,0))-SUM(IF(RIGHT(LEFT($AG75:$DV75,2))="-",1,0)))</f>
        <v/>
      </c>
      <c r="AF75" s="816" t="str">
        <f t="array" ref="AF75">IF($J75="","",SUM(IF(LEFT($AG75:$DB75,1)="X",1,0)))</f>
        <v/>
      </c>
      <c r="AG75" s="897"/>
      <c r="AH75" s="897"/>
      <c r="AI75" s="897"/>
      <c r="AJ75" s="897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3"/>
      <c r="BD75" s="893"/>
      <c r="BE75" s="893"/>
      <c r="BF75" s="893"/>
      <c r="BG75" s="893"/>
      <c r="BH75" s="893"/>
      <c r="BI75" s="897"/>
      <c r="BJ75" s="897"/>
      <c r="BK75" s="897"/>
      <c r="BL75" s="897"/>
      <c r="BM75" s="897"/>
      <c r="BN75" s="893"/>
      <c r="BO75" s="897"/>
      <c r="BP75" s="897"/>
      <c r="BQ75" s="893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</row>
    <row r="76" spans="1:83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61"/>
        <v/>
      </c>
      <c r="M76" s="816" t="str">
        <f t="shared" si="62"/>
        <v/>
      </c>
      <c r="N76" s="816" t="str">
        <f t="shared" si="63"/>
        <v/>
      </c>
      <c r="R76" s="816" t="str">
        <f t="shared" si="64"/>
        <v/>
      </c>
      <c r="T76" s="829" t="str">
        <f t="shared" si="65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IF($J76="","",IF(SUM(IF(ISNUMBER(VALUE(RIGHT($AG76:$CJ76,1))),VALUE(RIGHT($AG76:$CJ76,1)),0))=$J76,"T","F"))</f>
        <v/>
      </c>
      <c r="AE76" s="831" t="str">
        <f t="array" ref="AE76">IF($J76="","",SUM(IF(LEFT($AG76:$DV76,1)="s",1,0))-SUM(IF(RIGHT(LEFT($AG76:$DV76,2))="-",1,0)))</f>
        <v/>
      </c>
      <c r="AF76" s="816" t="str">
        <f t="array" ref="AF76">IF($J76="","",SUM(IF(LEFT($AG76:$DB76,1)="X",1,0)))</f>
        <v/>
      </c>
      <c r="AG76" s="897"/>
      <c r="AH76" s="897"/>
      <c r="AI76" s="897"/>
      <c r="AJ76" s="897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3"/>
      <c r="BD76" s="893"/>
      <c r="BE76" s="893"/>
      <c r="BF76" s="893"/>
      <c r="BG76" s="893"/>
      <c r="BH76" s="893"/>
      <c r="BI76" s="897"/>
      <c r="BJ76" s="897"/>
      <c r="BK76" s="897"/>
      <c r="BL76" s="897"/>
      <c r="BM76" s="897"/>
      <c r="BN76" s="893"/>
      <c r="BO76" s="897"/>
      <c r="BP76" s="897"/>
      <c r="BQ76" s="893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</row>
    <row r="77" spans="1:83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428"/>
      <c r="K77" s="428"/>
      <c r="L77" s="816" t="str">
        <f t="shared" si="61"/>
        <v/>
      </c>
      <c r="M77" s="816" t="str">
        <f t="shared" si="62"/>
        <v/>
      </c>
      <c r="N77" s="816" t="str">
        <f t="shared" si="63"/>
        <v/>
      </c>
      <c r="R77" s="816" t="str">
        <f t="shared" si="64"/>
        <v/>
      </c>
      <c r="T77" s="829" t="str">
        <f t="shared" si="65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IF($J77="","",IF(SUM(IF(ISNUMBER(VALUE(RIGHT($AG77:$CJ77,1))),VALUE(RIGHT($AG77:$CJ77,1)),0))=$J77,"T","F"))</f>
        <v/>
      </c>
      <c r="AE77" s="831" t="str">
        <f t="array" ref="AE77">IF($J77="","",SUM(IF(LEFT($AG77:$DV77,1)="s",1,0))-SUM(IF(RIGHT(LEFT($AG77:$DV77,2))="-",1,0)))</f>
        <v/>
      </c>
      <c r="AF77" s="816" t="str">
        <f t="array" ref="AF77">IF($J77="","",SUM(IF(LEFT($AG77:$DB77,1)="X",1,0)))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3"/>
      <c r="BD77" s="893"/>
      <c r="BE77" s="893"/>
      <c r="BF77" s="893"/>
      <c r="BG77" s="893"/>
      <c r="BH77" s="893"/>
      <c r="BI77" s="897"/>
      <c r="BJ77" s="897"/>
      <c r="BK77" s="897"/>
      <c r="BL77" s="897"/>
      <c r="BM77" s="897"/>
      <c r="BN77" s="893"/>
      <c r="BO77" s="897"/>
      <c r="BP77" s="897"/>
      <c r="BQ77" s="893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</row>
    <row r="78" spans="1:83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61"/>
        <v/>
      </c>
      <c r="M78" s="816" t="str">
        <f t="shared" si="62"/>
        <v/>
      </c>
      <c r="N78" s="816" t="str">
        <f t="shared" si="63"/>
        <v/>
      </c>
      <c r="R78" s="816" t="str">
        <f t="shared" si="64"/>
        <v/>
      </c>
      <c r="T78" s="829" t="str">
        <f t="shared" si="65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IF($J78="","",IF(SUM(IF(ISNUMBER(VALUE(RIGHT($AG78:$CJ78,1))),VALUE(RIGHT($AG78:$CJ78,1)),0))=$J78,"T","F"))</f>
        <v/>
      </c>
      <c r="AE78" s="831" t="str">
        <f t="array" ref="AE78">IF($J78="","",SUM(IF(LEFT($AG78:$DV78,1)="s",1,0))-SUM(IF(RIGHT(LEFT($AG78:$DV78,2))="-",1,0)))</f>
        <v/>
      </c>
      <c r="AF78" s="816" t="str">
        <f t="array" ref="AF78">IF($J78="","",SUM(IF(LEFT($AG78:$DB78,1)="X",1,0)))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3"/>
      <c r="BD78" s="893"/>
      <c r="BE78" s="893"/>
      <c r="BF78" s="893"/>
      <c r="BG78" s="893"/>
      <c r="BH78" s="893"/>
      <c r="BI78" s="897"/>
      <c r="BJ78" s="897"/>
      <c r="BK78" s="897"/>
      <c r="BL78" s="897"/>
      <c r="BM78" s="897"/>
      <c r="BN78" s="893"/>
      <c r="BO78" s="897"/>
      <c r="BP78" s="897"/>
      <c r="BQ78" s="893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</row>
    <row r="79" spans="1:83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1"/>
        <v/>
      </c>
      <c r="M79" s="816" t="str">
        <f t="shared" si="62"/>
        <v/>
      </c>
      <c r="N79" s="816" t="str">
        <f t="shared" si="63"/>
        <v/>
      </c>
      <c r="R79" s="816" t="str">
        <f t="shared" si="64"/>
        <v/>
      </c>
      <c r="T79" s="829" t="str">
        <f t="shared" si="65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IF($J79="","",IF(SUM(IF(ISNUMBER(VALUE(RIGHT($AG79:$CJ79,1))),VALUE(RIGHT($AG79:$CJ79,1)),0))=$J79,"T","F"))</f>
        <v/>
      </c>
      <c r="AE79" s="831" t="str">
        <f t="array" ref="AE79">IF($J79="","",SUM(IF(LEFT($AG79:$DV79,1)="s",1,0))-SUM(IF(RIGHT(LEFT($AG79:$DV79,2))="-",1,0)))</f>
        <v/>
      </c>
      <c r="AF79" s="816" t="str">
        <f t="array" ref="AF79">IF($J79="","",SUM(IF(LEFT($AG79:$DB79,1)="X",1,0)))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3"/>
      <c r="BD79" s="893"/>
      <c r="BE79" s="893"/>
      <c r="BF79" s="893"/>
      <c r="BG79" s="893"/>
      <c r="BH79" s="893"/>
      <c r="BI79" s="897"/>
      <c r="BJ79" s="897"/>
      <c r="BK79" s="897"/>
      <c r="BL79" s="897"/>
      <c r="BM79" s="897"/>
      <c r="BN79" s="893"/>
      <c r="BO79" s="897"/>
      <c r="BP79" s="897"/>
      <c r="BQ79" s="893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</row>
    <row r="80" spans="1:83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1"/>
        <v/>
      </c>
      <c r="M80" s="816" t="str">
        <f t="shared" si="62"/>
        <v/>
      </c>
      <c r="N80" s="816" t="str">
        <f t="shared" si="63"/>
        <v/>
      </c>
      <c r="R80" s="816" t="str">
        <f t="shared" si="64"/>
        <v/>
      </c>
      <c r="T80" s="829" t="str">
        <f t="shared" si="65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IF($J80="","",IF(SUM(IF(ISNUMBER(VALUE(RIGHT($AG80:$CJ80,1))),VALUE(RIGHT($AG80:$CJ80,1)),0))=$J80,"T","F"))</f>
        <v/>
      </c>
      <c r="AE80" s="831" t="str">
        <f t="array" ref="AE80">IF($J80="","",SUM(IF(LEFT($AG80:$DV80,1)="s",1,0))-SUM(IF(RIGHT(LEFT($AG80:$DV80,2))="-",1,0)))</f>
        <v/>
      </c>
      <c r="AF80" s="816" t="str">
        <f t="array" ref="AF80">IF($J80="","",SUM(IF(LEFT($AG80:$DB80,1)="X",1,0)))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3"/>
      <c r="BD80" s="893"/>
      <c r="BE80" s="893"/>
      <c r="BF80" s="893"/>
      <c r="BG80" s="893"/>
      <c r="BH80" s="893"/>
      <c r="BI80" s="897"/>
      <c r="BJ80" s="897"/>
      <c r="BK80" s="897"/>
      <c r="BL80" s="897"/>
      <c r="BM80" s="897"/>
      <c r="BN80" s="893"/>
      <c r="BO80" s="897"/>
      <c r="BP80" s="897"/>
      <c r="BQ80" s="893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</row>
    <row r="81" spans="1:83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1"/>
        <v/>
      </c>
      <c r="M81" s="816" t="str">
        <f t="shared" si="62"/>
        <v/>
      </c>
      <c r="N81" s="816" t="str">
        <f t="shared" si="63"/>
        <v/>
      </c>
      <c r="R81" s="816" t="str">
        <f t="shared" si="64"/>
        <v/>
      </c>
      <c r="T81" s="829" t="str">
        <f t="shared" si="65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IF($J81="","",IF(SUM(IF(ISNUMBER(VALUE(RIGHT($AG81:$CJ81,1))),VALUE(RIGHT($AG81:$CJ81,1)),0))=$J81,"T","F"))</f>
        <v/>
      </c>
      <c r="AE81" s="831" t="str">
        <f t="array" ref="AE81">IF($J81="","",SUM(IF(LEFT($AG81:$DV81,1)="s",1,0))-SUM(IF(RIGHT(LEFT($AG81:$DV81,2))="-",1,0)))</f>
        <v/>
      </c>
      <c r="AF81" s="816" t="str">
        <f t="array" ref="AF81">IF($J81="","",SUM(IF(LEFT($AG81:$DB81,1)="X",1,0)))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3"/>
      <c r="BD81" s="893"/>
      <c r="BE81" s="893"/>
      <c r="BF81" s="893"/>
      <c r="BG81" s="893"/>
      <c r="BH81" s="893"/>
      <c r="BI81" s="897"/>
      <c r="BJ81" s="897"/>
      <c r="BK81" s="897"/>
      <c r="BL81" s="897"/>
      <c r="BM81" s="897"/>
      <c r="BN81" s="893"/>
      <c r="BO81" s="897"/>
      <c r="BP81" s="897"/>
      <c r="BQ81" s="893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</row>
    <row r="82" spans="1:83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1"/>
        <v/>
      </c>
      <c r="M82" s="816" t="str">
        <f t="shared" si="62"/>
        <v/>
      </c>
      <c r="N82" s="816" t="str">
        <f t="shared" si="63"/>
        <v/>
      </c>
      <c r="R82" s="816" t="str">
        <f t="shared" si="64"/>
        <v/>
      </c>
      <c r="T82" s="829" t="str">
        <f t="shared" si="65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IF($J82="","",IF(SUM(IF(ISNUMBER(VALUE(RIGHT($AG82:$CJ82,1))),VALUE(RIGHT($AG82:$CJ82,1)),0))=$J82,"T","F"))</f>
        <v/>
      </c>
      <c r="AE82" s="831" t="str">
        <f t="array" ref="AE82">IF($J82="","",SUM(IF(LEFT($AG82:$DV82,1)="s",1,0))-SUM(IF(RIGHT(LEFT($AG82:$DV82,2))="-",1,0)))</f>
        <v/>
      </c>
      <c r="AF82" s="816" t="str">
        <f t="array" ref="AF82">IF($J82="","",SUM(IF(LEFT($AG82:$DB82,1)="X",1,0)))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3"/>
      <c r="BD82" s="893"/>
      <c r="BE82" s="893"/>
      <c r="BF82" s="893"/>
      <c r="BG82" s="893"/>
      <c r="BH82" s="893"/>
      <c r="BI82" s="897"/>
      <c r="BJ82" s="897"/>
      <c r="BK82" s="897"/>
      <c r="BL82" s="897"/>
      <c r="BM82" s="897"/>
      <c r="BN82" s="893"/>
      <c r="BO82" s="897"/>
      <c r="BP82" s="897"/>
      <c r="BQ82" s="893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</row>
    <row r="83" spans="1:83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1"/>
        <v/>
      </c>
      <c r="M83" s="816" t="str">
        <f t="shared" si="62"/>
        <v/>
      </c>
      <c r="N83" s="816" t="str">
        <f t="shared" si="63"/>
        <v/>
      </c>
      <c r="R83" s="816" t="str">
        <f t="shared" si="64"/>
        <v/>
      </c>
      <c r="T83" s="829" t="str">
        <f t="shared" si="65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IF($J83="","",IF(SUM(IF(ISNUMBER(VALUE(RIGHT($AG83:$CJ83,1))),VALUE(RIGHT($AG83:$CJ83,1)),0))=$J83,"T","F"))</f>
        <v/>
      </c>
      <c r="AE83" s="831" t="str">
        <f t="array" ref="AE83">IF($J83="","",SUM(IF(LEFT($AG83:$DV83,1)="s",1,0))-SUM(IF(RIGHT(LEFT($AG83:$DV83,2))="-",1,0)))</f>
        <v/>
      </c>
      <c r="AF83" s="816" t="str">
        <f t="array" ref="AF83">IF($J83="","",SUM(IF(LEFT($AG83:$DB83,1)="X",1,0)))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3"/>
      <c r="BD83" s="893"/>
      <c r="BE83" s="893"/>
      <c r="BF83" s="893"/>
      <c r="BG83" s="893"/>
      <c r="BH83" s="893"/>
      <c r="BI83" s="897"/>
      <c r="BJ83" s="897"/>
      <c r="BK83" s="897"/>
      <c r="BL83" s="897"/>
      <c r="BM83" s="897"/>
      <c r="BN83" s="893"/>
      <c r="BO83" s="897"/>
      <c r="BP83" s="897"/>
      <c r="BQ83" s="893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</row>
    <row r="84" spans="1:83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1"/>
        <v/>
      </c>
      <c r="M84" s="816" t="str">
        <f t="shared" si="62"/>
        <v/>
      </c>
      <c r="N84" s="816" t="str">
        <f t="shared" si="63"/>
        <v/>
      </c>
      <c r="R84" s="816" t="str">
        <f t="shared" si="64"/>
        <v/>
      </c>
      <c r="T84" s="829" t="str">
        <f t="shared" si="65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IF($J84="","",IF(SUM(IF(ISNUMBER(VALUE(RIGHT($AG84:$CJ84,1))),VALUE(RIGHT($AG84:$CJ84,1)),0))=$J84,"T","F"))</f>
        <v/>
      </c>
      <c r="AE84" s="831" t="str">
        <f t="array" ref="AE84">IF($J84="","",SUM(IF(LEFT($AG84:$DV84,1)="s",1,0))-SUM(IF(RIGHT(LEFT($AG84:$DV84,2))="-",1,0)))</f>
        <v/>
      </c>
      <c r="AF84" s="816" t="str">
        <f t="array" ref="AF84">IF($J84="","",SUM(IF(LEFT($AG84:$DB84,1)="X",1,0)))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3"/>
      <c r="BD84" s="893"/>
      <c r="BE84" s="893"/>
      <c r="BF84" s="893"/>
      <c r="BG84" s="893"/>
      <c r="BH84" s="893"/>
      <c r="BI84" s="897"/>
      <c r="BJ84" s="897"/>
      <c r="BK84" s="897"/>
      <c r="BL84" s="897"/>
      <c r="BM84" s="897"/>
      <c r="BN84" s="893"/>
      <c r="BO84" s="897"/>
      <c r="BP84" s="897"/>
      <c r="BQ84" s="893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</row>
    <row r="85" spans="1:83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1"/>
        <v/>
      </c>
      <c r="M85" s="816" t="str">
        <f t="shared" si="62"/>
        <v/>
      </c>
      <c r="N85" s="816" t="str">
        <f t="shared" si="63"/>
        <v/>
      </c>
      <c r="R85" s="816" t="str">
        <f t="shared" si="64"/>
        <v/>
      </c>
      <c r="T85" s="829" t="str">
        <f t="shared" si="65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IF($J85="","",IF(SUM(IF(ISNUMBER(VALUE(RIGHT($AG85:$CJ85,1))),VALUE(RIGHT($AG85:$CJ85,1)),0))=$J85,"T","F"))</f>
        <v/>
      </c>
      <c r="AE85" s="831" t="str">
        <f t="array" ref="AE85">IF($J85="","",SUM(IF(LEFT($AG85:$DV85,1)="s",1,0))-SUM(IF(RIGHT(LEFT($AG85:$DV85,2))="-",1,0)))</f>
        <v/>
      </c>
      <c r="AF85" s="816" t="str">
        <f t="array" ref="AF85">IF($J85="","",SUM(IF(LEFT($AG85:$DB85,1)="X",1,0)))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3"/>
      <c r="BD85" s="893"/>
      <c r="BE85" s="893"/>
      <c r="BF85" s="893"/>
      <c r="BG85" s="893"/>
      <c r="BH85" s="893"/>
      <c r="BI85" s="897"/>
      <c r="BJ85" s="897"/>
      <c r="BK85" s="897"/>
      <c r="BL85" s="897"/>
      <c r="BM85" s="897"/>
      <c r="BN85" s="893"/>
      <c r="BO85" s="897"/>
      <c r="BP85" s="897"/>
      <c r="BQ85" s="893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</row>
    <row r="86" spans="1:83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787"/>
      <c r="H86" s="833"/>
      <c r="I86" s="833"/>
      <c r="J86" s="833"/>
      <c r="K86" s="833"/>
      <c r="L86" s="816" t="str">
        <f t="shared" si="61"/>
        <v/>
      </c>
      <c r="M86" s="816" t="str">
        <f t="shared" si="62"/>
        <v/>
      </c>
      <c r="N86" s="816" t="str">
        <f t="shared" si="63"/>
        <v/>
      </c>
      <c r="R86" s="816" t="str">
        <f t="shared" si="64"/>
        <v/>
      </c>
      <c r="T86" s="829" t="str">
        <f t="shared" si="65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IF($J86="","",IF(SUM(IF(ISNUMBER(VALUE(RIGHT($AG86:$CJ86,1))),VALUE(RIGHT($AG86:$CJ86,1)),0))=$J86,"T","F"))</f>
        <v/>
      </c>
      <c r="AE86" s="831" t="str">
        <f t="array" ref="AE86">IF($J86="","",SUM(IF(LEFT($AG86:$DV86,1)="s",1,0))-SUM(IF(RIGHT(LEFT($AG86:$DV86,2))="-",1,0)))</f>
        <v/>
      </c>
      <c r="AF86" s="816" t="str">
        <f t="array" ref="AF86">IF($J86="","",SUM(IF(LEFT($AG86:$DB86,1)="X",1,0)))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3"/>
      <c r="BD86" s="893"/>
      <c r="BE86" s="893"/>
      <c r="BF86" s="893"/>
      <c r="BG86" s="893"/>
      <c r="BH86" s="893"/>
      <c r="BI86" s="897"/>
      <c r="BJ86" s="897"/>
      <c r="BK86" s="897"/>
      <c r="BL86" s="897"/>
      <c r="BM86" s="897"/>
      <c r="BN86" s="893"/>
      <c r="BO86" s="897"/>
      <c r="BP86" s="897"/>
      <c r="BQ86" s="893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</row>
    <row r="87" spans="1:83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61"/>
        <v/>
      </c>
      <c r="M87" s="816" t="str">
        <f t="shared" si="62"/>
        <v/>
      </c>
      <c r="N87" s="816" t="str">
        <f t="shared" si="63"/>
        <v/>
      </c>
      <c r="R87" s="816" t="str">
        <f t="shared" si="64"/>
        <v/>
      </c>
      <c r="T87" s="829" t="str">
        <f t="shared" si="65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IF($J87="","",IF(SUM(IF(ISNUMBER(VALUE(RIGHT($AG87:$CJ87,1))),VALUE(RIGHT($AG87:$CJ87,1)),0))=$J87,"T","F"))</f>
        <v/>
      </c>
      <c r="AE87" s="831" t="str">
        <f t="array" ref="AE87">IF($J87="","",SUM(IF(LEFT($AG87:$DV87,1)="s",1,0))-SUM(IF(RIGHT(LEFT($AG87:$DV87,2))="-",1,0)))</f>
        <v/>
      </c>
      <c r="AF87" s="816" t="str">
        <f t="array" ref="AF87">IF($J87="","",SUM(IF(LEFT($AG87:$DB87,1)="X",1,0)))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3"/>
      <c r="BD87" s="893"/>
      <c r="BE87" s="893"/>
      <c r="BF87" s="893"/>
      <c r="BG87" s="893"/>
      <c r="BH87" s="893"/>
      <c r="BI87" s="897"/>
      <c r="BJ87" s="897"/>
      <c r="BK87" s="897"/>
      <c r="BL87" s="897"/>
      <c r="BM87" s="897"/>
      <c r="BN87" s="893"/>
      <c r="BO87" s="897"/>
      <c r="BP87" s="897"/>
      <c r="BQ87" s="893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</row>
    <row r="88" spans="1:83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1"/>
        <v/>
      </c>
      <c r="M88" s="816" t="str">
        <f t="shared" si="62"/>
        <v/>
      </c>
      <c r="N88" s="816" t="str">
        <f t="shared" si="63"/>
        <v/>
      </c>
      <c r="R88" s="816" t="str">
        <f t="shared" si="64"/>
        <v/>
      </c>
      <c r="T88" s="829" t="str">
        <f t="shared" si="65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IF($J88="","",IF(SUM(IF(ISNUMBER(VALUE(RIGHT($AG88:$CJ88,1))),VALUE(RIGHT($AG88:$CJ88,1)),0))=$J88,"T","F"))</f>
        <v/>
      </c>
      <c r="AE88" s="831" t="str">
        <f t="array" ref="AE88">IF($J88="","",SUM(IF(LEFT($AG88:$DV88,1)="s",1,0))-SUM(IF(RIGHT(LEFT($AG88:$DV88,2))="-",1,0)))</f>
        <v/>
      </c>
      <c r="AF88" s="816" t="str">
        <f t="array" ref="AF88">IF($J88="","",SUM(IF(LEFT($AG88:$DB88,1)="X",1,0)))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3"/>
      <c r="BD88" s="893"/>
      <c r="BE88" s="893"/>
      <c r="BF88" s="893"/>
      <c r="BG88" s="893"/>
      <c r="BH88" s="893"/>
      <c r="BI88" s="897"/>
      <c r="BJ88" s="897"/>
      <c r="BK88" s="897"/>
      <c r="BL88" s="897"/>
      <c r="BM88" s="897"/>
      <c r="BN88" s="893"/>
      <c r="BO88" s="897"/>
      <c r="BP88" s="897"/>
      <c r="BQ88" s="893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</row>
    <row r="89" spans="1:83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1"/>
        <v/>
      </c>
      <c r="M89" s="816" t="str">
        <f t="shared" si="62"/>
        <v/>
      </c>
      <c r="N89" s="816" t="str">
        <f t="shared" si="63"/>
        <v/>
      </c>
      <c r="R89" s="816" t="str">
        <f t="shared" si="64"/>
        <v/>
      </c>
      <c r="T89" s="829" t="str">
        <f t="shared" si="65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IF($J89="","",IF(SUM(IF(ISNUMBER(VALUE(RIGHT($AG89:$CJ89,1))),VALUE(RIGHT($AG89:$CJ89,1)),0))=$J89,"T","F"))</f>
        <v/>
      </c>
      <c r="AE89" s="831" t="str">
        <f t="array" ref="AE89">IF($J89="","",SUM(IF(LEFT($AG89:$DV89,1)="s",1,0))-SUM(IF(RIGHT(LEFT($AG89:$DV89,2))="-",1,0)))</f>
        <v/>
      </c>
      <c r="AF89" s="816" t="str">
        <f t="array" ref="AF89">IF($J89="","",SUM(IF(LEFT($AG89:$DB89,1)="X",1,0)))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3"/>
      <c r="BD89" s="893"/>
      <c r="BE89" s="893"/>
      <c r="BF89" s="893"/>
      <c r="BG89" s="893"/>
      <c r="BH89" s="893"/>
      <c r="BI89" s="897"/>
      <c r="BJ89" s="897"/>
      <c r="BK89" s="897"/>
      <c r="BL89" s="897"/>
      <c r="BM89" s="897"/>
      <c r="BN89" s="893"/>
      <c r="BO89" s="897"/>
      <c r="BP89" s="897"/>
      <c r="BQ89" s="893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</row>
    <row r="90" spans="1:83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1"/>
        <v/>
      </c>
      <c r="M90" s="816" t="str">
        <f t="shared" si="62"/>
        <v/>
      </c>
      <c r="N90" s="816" t="str">
        <f t="shared" si="63"/>
        <v/>
      </c>
      <c r="R90" s="816" t="str">
        <f t="shared" si="64"/>
        <v/>
      </c>
      <c r="T90" s="829" t="str">
        <f t="shared" si="65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IF($J90="","",IF(SUM(IF(ISNUMBER(VALUE(RIGHT($AG90:$CJ90,1))),VALUE(RIGHT($AG90:$CJ90,1)),0))=$J90,"T","F"))</f>
        <v/>
      </c>
      <c r="AE90" s="831" t="str">
        <f t="array" ref="AE90">IF($J90="","",SUM(IF(LEFT($AG90:$DV90,1)="s",1,0))-SUM(IF(RIGHT(LEFT($AG90:$DV90,2))="-",1,0)))</f>
        <v/>
      </c>
      <c r="AF90" s="816" t="str">
        <f t="array" ref="AF90">IF($J90="","",SUM(IF(LEFT($AG90:$DB90,1)="X",1,0)))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3"/>
      <c r="BD90" s="893"/>
      <c r="BE90" s="893"/>
      <c r="BF90" s="893"/>
      <c r="BG90" s="893"/>
      <c r="BH90" s="893"/>
      <c r="BI90" s="897"/>
      <c r="BJ90" s="897"/>
      <c r="BK90" s="897"/>
      <c r="BL90" s="897"/>
      <c r="BM90" s="897"/>
      <c r="BN90" s="893"/>
      <c r="BO90" s="897"/>
      <c r="BP90" s="897"/>
      <c r="BQ90" s="893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</row>
    <row r="91" spans="1:83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1"/>
        <v/>
      </c>
      <c r="M91" s="816" t="str">
        <f t="shared" si="62"/>
        <v/>
      </c>
      <c r="N91" s="816" t="str">
        <f t="shared" si="63"/>
        <v/>
      </c>
      <c r="R91" s="816" t="str">
        <f t="shared" si="64"/>
        <v/>
      </c>
      <c r="T91" s="829" t="str">
        <f t="shared" si="65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IF($J91="","",IF(SUM(IF(ISNUMBER(VALUE(RIGHT($AG91:$CJ91,1))),VALUE(RIGHT($AG91:$CJ91,1)),0))=$J91,"T","F"))</f>
        <v/>
      </c>
      <c r="AE91" s="831" t="str">
        <f t="array" ref="AE91">IF($J91="","",SUM(IF(LEFT($AG91:$DV91,1)="s",1,0))-SUM(IF(RIGHT(LEFT($AG91:$DV91,2))="-",1,0)))</f>
        <v/>
      </c>
      <c r="AF91" s="816" t="str">
        <f t="array" ref="AF91">IF($J91="","",SUM(IF(LEFT($AG91:$DB91,1)="X",1,0)))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3"/>
      <c r="BD91" s="893"/>
      <c r="BE91" s="893"/>
      <c r="BF91" s="893"/>
      <c r="BG91" s="893"/>
      <c r="BH91" s="893"/>
      <c r="BI91" s="897"/>
      <c r="BJ91" s="897"/>
      <c r="BK91" s="897"/>
      <c r="BL91" s="897"/>
      <c r="BM91" s="897"/>
      <c r="BN91" s="893"/>
      <c r="BO91" s="897"/>
      <c r="BP91" s="897"/>
      <c r="BQ91" s="893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</row>
    <row r="92" spans="1:83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1"/>
        <v/>
      </c>
      <c r="M92" s="816" t="str">
        <f t="shared" si="62"/>
        <v/>
      </c>
      <c r="N92" s="816" t="str">
        <f t="shared" si="63"/>
        <v/>
      </c>
      <c r="R92" s="816" t="str">
        <f t="shared" si="64"/>
        <v/>
      </c>
      <c r="T92" s="829" t="str">
        <f t="shared" si="65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IF($J92="","",IF(SUM(IF(ISNUMBER(VALUE(RIGHT($AG92:$CJ92,1))),VALUE(RIGHT($AG92:$CJ92,1)),0))=$J92,"T","F"))</f>
        <v/>
      </c>
      <c r="AE92" s="831" t="str">
        <f t="array" ref="AE92">IF($J92="","",SUM(IF(LEFT($AG92:$DV92,1)="s",1,0))-SUM(IF(RIGHT(LEFT($AG92:$DV92,2))="-",1,0)))</f>
        <v/>
      </c>
      <c r="AF92" s="816" t="str">
        <f t="array" ref="AF92">IF($J92="","",SUM(IF(LEFT($AG92:$DB92,1)="X",1,0)))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3"/>
      <c r="BD92" s="893"/>
      <c r="BE92" s="893"/>
      <c r="BF92" s="893"/>
      <c r="BG92" s="893"/>
      <c r="BH92" s="893"/>
      <c r="BI92" s="897"/>
      <c r="BJ92" s="897"/>
      <c r="BK92" s="897"/>
      <c r="BL92" s="897"/>
      <c r="BM92" s="897"/>
      <c r="BN92" s="893"/>
      <c r="BO92" s="897"/>
      <c r="BP92" s="897"/>
      <c r="BQ92" s="893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</row>
    <row r="93" spans="1:83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1"/>
        <v/>
      </c>
      <c r="M93" s="816" t="str">
        <f t="shared" si="62"/>
        <v/>
      </c>
      <c r="N93" s="816" t="str">
        <f t="shared" si="63"/>
        <v/>
      </c>
      <c r="R93" s="816" t="str">
        <f t="shared" si="64"/>
        <v/>
      </c>
      <c r="T93" s="829" t="str">
        <f t="shared" si="65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IF($J93="","",IF(SUM(IF(ISNUMBER(VALUE(RIGHT($AG93:$CJ93,1))),VALUE(RIGHT($AG93:$CJ93,1)),0))=$J93,"T","F"))</f>
        <v/>
      </c>
      <c r="AE93" s="831" t="str">
        <f t="array" ref="AE93">IF($J93="","",SUM(IF(LEFT($AG93:$DV93,1)="s",1,0))-SUM(IF(RIGHT(LEFT($AG93:$DV93,2))="-",1,0)))</f>
        <v/>
      </c>
      <c r="AF93" s="816" t="str">
        <f t="array" ref="AF93">IF($J93="","",SUM(IF(LEFT($AG93:$DB93,1)="X",1,0)))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3"/>
      <c r="BD93" s="893"/>
      <c r="BE93" s="893"/>
      <c r="BF93" s="893"/>
      <c r="BG93" s="893"/>
      <c r="BH93" s="893"/>
      <c r="BI93" s="897"/>
      <c r="BJ93" s="897"/>
      <c r="BK93" s="897"/>
      <c r="BL93" s="897"/>
      <c r="BM93" s="897"/>
      <c r="BN93" s="893"/>
      <c r="BO93" s="897"/>
      <c r="BP93" s="897"/>
      <c r="BQ93" s="893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</row>
    <row r="94" spans="1:83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1"/>
        <v/>
      </c>
      <c r="M94" s="816" t="str">
        <f t="shared" si="62"/>
        <v/>
      </c>
      <c r="N94" s="816" t="str">
        <f t="shared" si="63"/>
        <v/>
      </c>
      <c r="R94" s="816" t="str">
        <f t="shared" si="64"/>
        <v/>
      </c>
      <c r="T94" s="829" t="str">
        <f t="shared" si="65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IF($J94="","",IF(SUM(IF(ISNUMBER(VALUE(RIGHT($AG94:$CJ94,1))),VALUE(RIGHT($AG94:$CJ94,1)),0))=$J94,"T","F"))</f>
        <v/>
      </c>
      <c r="AE94" s="831" t="str">
        <f t="array" ref="AE94">IF($J94="","",SUM(IF(LEFT($AG94:$DV94,1)="s",1,0))-SUM(IF(RIGHT(LEFT($AG94:$DV94,2))="-",1,0)))</f>
        <v/>
      </c>
      <c r="AF94" s="816" t="str">
        <f t="array" ref="AF94">IF($J94="","",SUM(IF(LEFT($AG94:$DB94,1)="X",1,0)))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3"/>
      <c r="BD94" s="893"/>
      <c r="BE94" s="893"/>
      <c r="BF94" s="893"/>
      <c r="BG94" s="893"/>
      <c r="BH94" s="893"/>
      <c r="BI94" s="897"/>
      <c r="BJ94" s="897"/>
      <c r="BK94" s="897"/>
      <c r="BL94" s="897"/>
      <c r="BM94" s="897"/>
      <c r="BN94" s="893"/>
      <c r="BO94" s="897"/>
      <c r="BP94" s="897"/>
      <c r="BQ94" s="893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</row>
    <row r="95" spans="1:83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1"/>
        <v/>
      </c>
      <c r="M95" s="816" t="str">
        <f t="shared" si="62"/>
        <v/>
      </c>
      <c r="N95" s="816" t="str">
        <f t="shared" si="63"/>
        <v/>
      </c>
      <c r="R95" s="816" t="str">
        <f t="shared" si="64"/>
        <v/>
      </c>
      <c r="T95" s="829" t="str">
        <f t="shared" si="65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IF($J95="","",IF(SUM(IF(ISNUMBER(VALUE(RIGHT($AG95:$CJ95,1))),VALUE(RIGHT($AG95:$CJ95,1)),0))=$J95,"T","F"))</f>
        <v/>
      </c>
      <c r="AE95" s="831" t="str">
        <f t="array" ref="AE95">IF($J95="","",SUM(IF(LEFT($AG95:$DV95,1)="s",1,0))-SUM(IF(RIGHT(LEFT($AG95:$DV95,2))="-",1,0)))</f>
        <v/>
      </c>
      <c r="AF95" s="816" t="str">
        <f t="array" ref="AF95">IF($J95="","",SUM(IF(LEFT($AG95:$DB95,1)="X",1,0)))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3"/>
      <c r="BD95" s="893"/>
      <c r="BE95" s="893"/>
      <c r="BF95" s="893"/>
      <c r="BG95" s="893"/>
      <c r="BH95" s="893"/>
      <c r="BI95" s="897"/>
      <c r="BJ95" s="897"/>
      <c r="BK95" s="897"/>
      <c r="BL95" s="897"/>
      <c r="BM95" s="897"/>
      <c r="BN95" s="893"/>
      <c r="BO95" s="897"/>
      <c r="BP95" s="897"/>
      <c r="BQ95" s="893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</row>
    <row r="96" spans="1:83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1"/>
        <v/>
      </c>
      <c r="M96" s="816" t="str">
        <f t="shared" si="62"/>
        <v/>
      </c>
      <c r="N96" s="816" t="str">
        <f t="shared" si="63"/>
        <v/>
      </c>
      <c r="R96" s="816" t="str">
        <f t="shared" si="64"/>
        <v/>
      </c>
      <c r="T96" s="829" t="str">
        <f t="shared" si="65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IF($J96="","",IF(SUM(IF(ISNUMBER(VALUE(RIGHT($AG96:$CJ96,1))),VALUE(RIGHT($AG96:$CJ96,1)),0))=$J96,"T","F"))</f>
        <v/>
      </c>
      <c r="AE96" s="831" t="str">
        <f t="array" ref="AE96">IF($J96="","",SUM(IF(LEFT($AG96:$DV96,1)="s",1,0))-SUM(IF(RIGHT(LEFT($AG96:$DV96,2))="-",1,0)))</f>
        <v/>
      </c>
      <c r="AF96" s="816" t="str">
        <f t="array" ref="AF96">IF($J96="","",SUM(IF(LEFT($AG96:$DB96,1)="X",1,0)))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3"/>
      <c r="BD96" s="893"/>
      <c r="BE96" s="893"/>
      <c r="BF96" s="893"/>
      <c r="BG96" s="893"/>
      <c r="BH96" s="893"/>
      <c r="BI96" s="897"/>
      <c r="BJ96" s="897"/>
      <c r="BK96" s="897"/>
      <c r="BL96" s="897"/>
      <c r="BM96" s="897"/>
      <c r="BN96" s="893"/>
      <c r="BO96" s="897"/>
      <c r="BP96" s="897"/>
      <c r="BQ96" s="893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</row>
    <row r="97" spans="1:83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1"/>
        <v/>
      </c>
      <c r="M97" s="816" t="str">
        <f t="shared" si="62"/>
        <v/>
      </c>
      <c r="N97" s="816" t="str">
        <f t="shared" si="63"/>
        <v/>
      </c>
      <c r="R97" s="816" t="str">
        <f t="shared" si="64"/>
        <v/>
      </c>
      <c r="T97" s="829" t="str">
        <f t="shared" si="65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IF($J97="","",IF(SUM(IF(ISNUMBER(VALUE(RIGHT($AG97:$CJ97,1))),VALUE(RIGHT($AG97:$CJ97,1)),0))=$J97,"T","F"))</f>
        <v/>
      </c>
      <c r="AE97" s="831" t="str">
        <f t="array" ref="AE97">IF($J97="","",SUM(IF(LEFT($AG97:$DV97,1)="s",1,0))-SUM(IF(RIGHT(LEFT($AG97:$DV97,2))="-",1,0)))</f>
        <v/>
      </c>
      <c r="AF97" s="816" t="str">
        <f t="array" ref="AF97">IF($J97="","",SUM(IF(LEFT($AG97:$DB97,1)="X",1,0)))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3"/>
      <c r="BD97" s="893"/>
      <c r="BE97" s="893"/>
      <c r="BF97" s="893"/>
      <c r="BG97" s="893"/>
      <c r="BH97" s="893"/>
      <c r="BI97" s="897"/>
      <c r="BJ97" s="897"/>
      <c r="BK97" s="897"/>
      <c r="BL97" s="897"/>
      <c r="BM97" s="897"/>
      <c r="BN97" s="893"/>
      <c r="BO97" s="897"/>
      <c r="BP97" s="897"/>
      <c r="BQ97" s="893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</row>
    <row r="98" spans="1:83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1"/>
        <v/>
      </c>
      <c r="M98" s="816" t="str">
        <f t="shared" si="62"/>
        <v/>
      </c>
      <c r="N98" s="816" t="str">
        <f t="shared" si="63"/>
        <v/>
      </c>
      <c r="R98" s="816" t="str">
        <f t="shared" si="64"/>
        <v/>
      </c>
      <c r="T98" s="829" t="str">
        <f t="shared" si="65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IF($J98="","",IF(SUM(IF(ISNUMBER(VALUE(RIGHT($AG98:$CJ98,1))),VALUE(RIGHT($AG98:$CJ98,1)),0))=$J98,"T","F"))</f>
        <v/>
      </c>
      <c r="AE98" s="831" t="str">
        <f t="array" ref="AE98">IF($J98="","",SUM(IF(LEFT($AG98:$DV98,1)="s",1,0))-SUM(IF(RIGHT(LEFT($AG98:$DV98,2))="-",1,0)))</f>
        <v/>
      </c>
      <c r="AF98" s="816" t="str">
        <f t="array" ref="AF98">IF($J98="","",SUM(IF(LEFT($AG98:$DB98,1)="X",1,0)))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3"/>
      <c r="BD98" s="893"/>
      <c r="BE98" s="893"/>
      <c r="BF98" s="893"/>
      <c r="BG98" s="893"/>
      <c r="BH98" s="893"/>
      <c r="BI98" s="897"/>
      <c r="BJ98" s="897"/>
      <c r="BK98" s="897"/>
      <c r="BL98" s="897"/>
      <c r="BM98" s="897"/>
      <c r="BN98" s="893"/>
      <c r="BO98" s="897"/>
      <c r="BP98" s="897"/>
      <c r="BQ98" s="893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</row>
    <row r="99" spans="1:83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1"/>
        <v/>
      </c>
      <c r="M99" s="816" t="str">
        <f t="shared" si="62"/>
        <v/>
      </c>
      <c r="N99" s="816" t="str">
        <f t="shared" si="63"/>
        <v/>
      </c>
      <c r="R99" s="816" t="str">
        <f t="shared" si="64"/>
        <v/>
      </c>
      <c r="T99" s="829" t="str">
        <f t="shared" si="65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IF($J99="","",IF(SUM(IF(ISNUMBER(VALUE(RIGHT($AG99:$CJ99,1))),VALUE(RIGHT($AG99:$CJ99,1)),0))=$J99,"T","F"))</f>
        <v/>
      </c>
      <c r="AE99" s="831" t="str">
        <f t="array" ref="AE99">IF($J99="","",SUM(IF(LEFT($AG99:$DV99,1)="s",1,0))-SUM(IF(RIGHT(LEFT($AG99:$DV99,2))="-",1,0)))</f>
        <v/>
      </c>
      <c r="AF99" s="816" t="str">
        <f t="array" ref="AF99">IF($J99="","",SUM(IF(LEFT($AG99:$DB99,1)="X",1,0)))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3"/>
      <c r="BD99" s="893"/>
      <c r="BE99" s="893"/>
      <c r="BF99" s="893"/>
      <c r="BG99" s="893"/>
      <c r="BH99" s="893"/>
      <c r="BI99" s="897"/>
      <c r="BJ99" s="897"/>
      <c r="BK99" s="897"/>
      <c r="BL99" s="897"/>
      <c r="BM99" s="897"/>
      <c r="BN99" s="893"/>
      <c r="BO99" s="897"/>
      <c r="BP99" s="897"/>
      <c r="BQ99" s="893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</row>
    <row r="100" spans="1:83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1"/>
        <v/>
      </c>
      <c r="M100" s="816" t="str">
        <f t="shared" si="62"/>
        <v/>
      </c>
      <c r="N100" s="816" t="str">
        <f t="shared" si="63"/>
        <v/>
      </c>
      <c r="R100" s="816" t="str">
        <f t="shared" si="64"/>
        <v/>
      </c>
      <c r="T100" s="829" t="str">
        <f t="shared" si="65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IF($J100="","",IF(SUM(IF(ISNUMBER(VALUE(RIGHT($AG100:$CJ100,1))),VALUE(RIGHT($AG100:$CJ100,1)),0))=$J100,"T","F"))</f>
        <v/>
      </c>
      <c r="AE100" s="831" t="str">
        <f t="array" ref="AE100">IF($J100="","",SUM(IF(LEFT($AG100:$DV100,1)="s",1,0))-SUM(IF(RIGHT(LEFT($AG100:$DV100,2))="-",1,0)))</f>
        <v/>
      </c>
      <c r="AF100" s="816" t="str">
        <f t="array" ref="AF100">IF($J100="","",SUM(IF(LEFT($AG100:$DB100,1)="X",1,0)))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3"/>
      <c r="BD100" s="893"/>
      <c r="BE100" s="893"/>
      <c r="BF100" s="893"/>
      <c r="BG100" s="893"/>
      <c r="BH100" s="893"/>
      <c r="BI100" s="897"/>
      <c r="BJ100" s="897"/>
      <c r="BK100" s="897"/>
      <c r="BL100" s="897"/>
      <c r="BM100" s="897"/>
      <c r="BN100" s="893"/>
      <c r="BO100" s="897"/>
      <c r="BP100" s="897"/>
      <c r="BQ100" s="893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</row>
    <row r="101" spans="1:83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1"/>
        <v/>
      </c>
      <c r="M101" s="816" t="str">
        <f t="shared" si="62"/>
        <v/>
      </c>
      <c r="N101" s="816" t="str">
        <f t="shared" si="63"/>
        <v/>
      </c>
      <c r="R101" s="816" t="str">
        <f t="shared" si="64"/>
        <v/>
      </c>
      <c r="T101" s="829" t="str">
        <f t="shared" si="65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IF($J101="","",IF(SUM(IF(ISNUMBER(VALUE(RIGHT($AG101:$CJ101,1))),VALUE(RIGHT($AG101:$CJ101,1)),0))=$J101,"T","F"))</f>
        <v/>
      </c>
      <c r="AE101" s="831" t="str">
        <f t="array" ref="AE101">IF($J101="","",SUM(IF(LEFT($AG101:$DV101,1)="s",1,0))-SUM(IF(RIGHT(LEFT($AG101:$DV101,2))="-",1,0)))</f>
        <v/>
      </c>
      <c r="AF101" s="816" t="str">
        <f t="array" ref="AF101">IF($J101="","",SUM(IF(LEFT($AG101:$DB101,1)="X",1,0)))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3"/>
      <c r="BD101" s="893"/>
      <c r="BE101" s="893"/>
      <c r="BF101" s="893"/>
      <c r="BG101" s="893"/>
      <c r="BH101" s="893"/>
      <c r="BI101" s="897"/>
      <c r="BJ101" s="897"/>
      <c r="BK101" s="897"/>
      <c r="BL101" s="897"/>
      <c r="BM101" s="897"/>
      <c r="BN101" s="893"/>
      <c r="BO101" s="897"/>
      <c r="BP101" s="897"/>
      <c r="BQ101" s="893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</row>
    <row r="102" spans="1:83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1"/>
        <v/>
      </c>
      <c r="M102" s="816" t="str">
        <f t="shared" si="62"/>
        <v/>
      </c>
      <c r="N102" s="816" t="str">
        <f t="shared" si="63"/>
        <v/>
      </c>
      <c r="R102" s="816" t="str">
        <f t="shared" si="64"/>
        <v/>
      </c>
      <c r="T102" s="829" t="str">
        <f t="shared" si="65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IF($J102="","",IF(SUM(IF(ISNUMBER(VALUE(RIGHT($AG102:$CJ102,1))),VALUE(RIGHT($AG102:$CJ102,1)),0))=$J102,"T","F"))</f>
        <v/>
      </c>
      <c r="AE102" s="831" t="str">
        <f t="array" ref="AE102">IF($J102="","",SUM(IF(LEFT($AG102:$DV102,1)="s",1,0))-SUM(IF(RIGHT(LEFT($AG102:$DV102,2))="-",1,0)))</f>
        <v/>
      </c>
      <c r="AF102" s="816" t="str">
        <f t="array" ref="AF102">IF($J102="","",SUM(IF(LEFT($AG102:$DB102,1)="X",1,0)))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3"/>
      <c r="BD102" s="893"/>
      <c r="BE102" s="893"/>
      <c r="BF102" s="893"/>
      <c r="BG102" s="893"/>
      <c r="BH102" s="893"/>
      <c r="BI102" s="897"/>
      <c r="BJ102" s="897"/>
      <c r="BK102" s="897"/>
      <c r="BL102" s="897"/>
      <c r="BM102" s="897"/>
      <c r="BN102" s="893"/>
      <c r="BO102" s="897"/>
      <c r="BP102" s="897"/>
      <c r="BQ102" s="893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</row>
    <row r="103" spans="1:83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1"/>
        <v/>
      </c>
      <c r="M103" s="816" t="str">
        <f t="shared" si="62"/>
        <v/>
      </c>
      <c r="N103" s="816" t="str">
        <f t="shared" si="63"/>
        <v/>
      </c>
      <c r="R103" s="816" t="str">
        <f t="shared" si="64"/>
        <v/>
      </c>
      <c r="T103" s="829" t="str">
        <f t="shared" si="65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IF($J103="","",IF(SUM(IF(ISNUMBER(VALUE(RIGHT($AG103:$CJ103,1))),VALUE(RIGHT($AG103:$CJ103,1)),0))=$J103,"T","F"))</f>
        <v/>
      </c>
      <c r="AE103" s="831" t="str">
        <f t="array" ref="AE103">IF($J103="","",SUM(IF(LEFT($AG103:$DV103,1)="s",1,0))-SUM(IF(RIGHT(LEFT($AG103:$DV103,2))="-",1,0)))</f>
        <v/>
      </c>
      <c r="AF103" s="816" t="str">
        <f t="array" ref="AF103">IF($J103="","",SUM(IF(LEFT($AG103:$DB103,1)="X",1,0)))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3"/>
      <c r="BD103" s="893"/>
      <c r="BE103" s="893"/>
      <c r="BF103" s="893"/>
      <c r="BG103" s="893"/>
      <c r="BH103" s="893"/>
      <c r="BI103" s="897"/>
      <c r="BJ103" s="897"/>
      <c r="BK103" s="897"/>
      <c r="BL103" s="897"/>
      <c r="BM103" s="897"/>
      <c r="BN103" s="893"/>
      <c r="BO103" s="897"/>
      <c r="BP103" s="897"/>
      <c r="BQ103" s="893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</row>
    <row r="104" spans="1:83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1"/>
        <v/>
      </c>
      <c r="M104" s="816" t="str">
        <f t="shared" si="62"/>
        <v/>
      </c>
      <c r="N104" s="816" t="str">
        <f t="shared" si="63"/>
        <v/>
      </c>
      <c r="R104" s="816" t="str">
        <f t="shared" si="64"/>
        <v/>
      </c>
      <c r="T104" s="829" t="str">
        <f t="shared" si="65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IF($J104="","",IF(SUM(IF(ISNUMBER(VALUE(RIGHT($AG104:$CJ104,1))),VALUE(RIGHT($AG104:$CJ104,1)),0))=$J104,"T","F"))</f>
        <v/>
      </c>
      <c r="AE104" s="831" t="str">
        <f t="array" ref="AE104">IF($J104="","",SUM(IF(LEFT($AG104:$DV104,1)="s",1,0))-SUM(IF(RIGHT(LEFT($AG104:$DV104,2))="-",1,0)))</f>
        <v/>
      </c>
      <c r="AF104" s="816" t="str">
        <f t="array" ref="AF104">IF($J104="","",SUM(IF(LEFT($AG104:$DB104,1)="X",1,0)))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3"/>
      <c r="BD104" s="893"/>
      <c r="BE104" s="893"/>
      <c r="BF104" s="893"/>
      <c r="BG104" s="893"/>
      <c r="BH104" s="893"/>
      <c r="BI104" s="897"/>
      <c r="BJ104" s="897"/>
      <c r="BK104" s="897"/>
      <c r="BL104" s="897"/>
      <c r="BM104" s="897"/>
      <c r="BN104" s="893"/>
      <c r="BO104" s="897"/>
      <c r="BP104" s="897"/>
      <c r="BQ104" s="893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</row>
    <row r="105" spans="1:83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1"/>
        <v/>
      </c>
      <c r="M105" s="816" t="str">
        <f t="shared" si="62"/>
        <v/>
      </c>
      <c r="N105" s="816" t="str">
        <f t="shared" si="63"/>
        <v/>
      </c>
      <c r="R105" s="816" t="str">
        <f t="shared" si="64"/>
        <v/>
      </c>
      <c r="T105" s="829" t="str">
        <f t="shared" si="65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IF($J105="","",IF(SUM(IF(ISNUMBER(VALUE(RIGHT($AG105:$CJ105,1))),VALUE(RIGHT($AG105:$CJ105,1)),0))=$J105,"T","F"))</f>
        <v/>
      </c>
      <c r="AE105" s="816" t="str">
        <f t="array" ref="AE105">IF($J105="","",SUM(IF(LEFT($AG105:$DV105,1)="s",1,0))-SUM(IF(RIGHT(LEFT($AG105:$DV105,2))="-",1,0)))</f>
        <v/>
      </c>
      <c r="AF105" s="816" t="str">
        <f t="array" ref="AF105">IF($J105="","",SUM(IF(LEFT($AG105:$DB105,1)="X",1,0)))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3"/>
      <c r="BD105" s="893"/>
      <c r="BE105" s="893"/>
      <c r="BF105" s="893"/>
      <c r="BG105" s="893"/>
      <c r="BH105" s="893"/>
      <c r="BI105" s="897"/>
      <c r="BJ105" s="897"/>
      <c r="BK105" s="897"/>
      <c r="BL105" s="897"/>
      <c r="BM105" s="897"/>
      <c r="BN105" s="893"/>
      <c r="BO105" s="897"/>
      <c r="BP105" s="897"/>
      <c r="BQ105" s="893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</row>
    <row r="106" spans="1:83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1"/>
        <v/>
      </c>
      <c r="M106" s="816" t="str">
        <f t="shared" si="62"/>
        <v/>
      </c>
      <c r="N106" s="816" t="str">
        <f t="shared" si="63"/>
        <v/>
      </c>
      <c r="R106" s="816" t="str">
        <f t="shared" si="64"/>
        <v/>
      </c>
      <c r="T106" s="829" t="str">
        <f t="shared" si="65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IF($J106="","",IF(SUM(IF(ISNUMBER(VALUE(RIGHT($AG106:$CJ106,1))),VALUE(RIGHT($AG106:$CJ106,1)),0))=$J106,"T","F"))</f>
        <v/>
      </c>
      <c r="AE106" s="816" t="str">
        <f t="array" ref="AE106">IF($J106="","",SUM(IF(LEFT($AG106:$DV106,1)="s",1,0))-SUM(IF(RIGHT(LEFT($AG106:$DV106,2))="-",1,0)))</f>
        <v/>
      </c>
      <c r="AF106" s="816" t="str">
        <f t="array" ref="AF106">IF($J106="","",SUM(IF(LEFT($AG106:$DB106,1)="X",1,0)))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3"/>
      <c r="BD106" s="893"/>
      <c r="BE106" s="893"/>
      <c r="BF106" s="893"/>
      <c r="BG106" s="893"/>
      <c r="BH106" s="893"/>
      <c r="BI106" s="897"/>
      <c r="BJ106" s="897"/>
      <c r="BK106" s="897"/>
      <c r="BL106" s="897"/>
      <c r="BM106" s="897"/>
      <c r="BN106" s="893"/>
      <c r="BO106" s="897"/>
      <c r="BP106" s="897"/>
      <c r="BQ106" s="893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</row>
    <row r="107" spans="1:83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1"/>
        <v/>
      </c>
      <c r="M107" s="816" t="str">
        <f t="shared" si="62"/>
        <v/>
      </c>
      <c r="N107" s="816" t="str">
        <f t="shared" si="63"/>
        <v/>
      </c>
      <c r="R107" s="816" t="str">
        <f t="shared" si="64"/>
        <v/>
      </c>
      <c r="T107" s="829" t="str">
        <f t="shared" si="65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IF($J107="","",IF(SUM(IF(ISNUMBER(VALUE(RIGHT($AG107:$CJ107,1))),VALUE(RIGHT($AG107:$CJ107,1)),0))=$J107,"T","F"))</f>
        <v/>
      </c>
      <c r="AE107" s="816" t="str">
        <f t="array" ref="AE107">IF($J107="","",SUM(IF(LEFT($AG107:$DV107,1)="s",1,0))-SUM(IF(RIGHT(LEFT($AG107:$DV107,2))="-",1,0)))</f>
        <v/>
      </c>
      <c r="AF107" s="816" t="str">
        <f t="array" ref="AF107">IF($J107="","",SUM(IF(LEFT($AG107:$DB107,1)="X",1,0)))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3"/>
      <c r="BD107" s="893"/>
      <c r="BE107" s="893"/>
      <c r="BF107" s="893"/>
      <c r="BG107" s="893"/>
      <c r="BH107" s="893"/>
      <c r="BI107" s="897"/>
      <c r="BJ107" s="897"/>
      <c r="BK107" s="897"/>
      <c r="BL107" s="897"/>
      <c r="BM107" s="897"/>
      <c r="BN107" s="893"/>
      <c r="BO107" s="897"/>
      <c r="BP107" s="897"/>
      <c r="BQ107" s="893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</row>
    <row r="108" spans="1:83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1"/>
        <v/>
      </c>
      <c r="M108" s="816" t="str">
        <f t="shared" si="62"/>
        <v/>
      </c>
      <c r="N108" s="816" t="str">
        <f t="shared" si="63"/>
        <v/>
      </c>
      <c r="R108" s="816" t="str">
        <f t="shared" si="64"/>
        <v/>
      </c>
      <c r="T108" s="829" t="str">
        <f t="shared" si="65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IF($J108="","",IF(SUM(IF(ISNUMBER(VALUE(RIGHT($AG108:$CJ108,1))),VALUE(RIGHT($AG108:$CJ108,1)),0))=$J108,"T","F"))</f>
        <v/>
      </c>
      <c r="AE108" s="816" t="str">
        <f t="array" ref="AE108">IF($J108="","",SUM(IF(LEFT($AG108:$DV108,1)="s",1,0))-SUM(IF(RIGHT(LEFT($AG108:$DV108,2))="-",1,0)))</f>
        <v/>
      </c>
      <c r="AF108" s="816" t="str">
        <f t="array" ref="AF108">IF($J108="","",SUM(IF(LEFT($AG108:$DB108,1)="X",1,0)))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3"/>
      <c r="BD108" s="893"/>
      <c r="BE108" s="893"/>
      <c r="BF108" s="893"/>
      <c r="BG108" s="893"/>
      <c r="BH108" s="893"/>
      <c r="BI108" s="897"/>
      <c r="BJ108" s="897"/>
      <c r="BK108" s="897"/>
      <c r="BL108" s="897"/>
      <c r="BM108" s="897"/>
      <c r="BN108" s="893"/>
      <c r="BO108" s="897"/>
      <c r="BP108" s="897"/>
      <c r="BQ108" s="893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</row>
    <row r="109" spans="1:83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1"/>
        <v/>
      </c>
      <c r="M109" s="816" t="str">
        <f t="shared" si="62"/>
        <v/>
      </c>
      <c r="N109" s="816" t="str">
        <f t="shared" si="63"/>
        <v/>
      </c>
      <c r="R109" s="816" t="str">
        <f t="shared" si="64"/>
        <v/>
      </c>
      <c r="T109" s="829" t="str">
        <f t="shared" si="65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IF($J109="","",IF(SUM(IF(ISNUMBER(VALUE(RIGHT($AG109:$CJ109,1))),VALUE(RIGHT($AG109:$CJ109,1)),0))=$J109,"T","F"))</f>
        <v/>
      </c>
      <c r="AE109" s="816" t="str">
        <f t="array" ref="AE109">IF($J109="","",SUM(IF(LEFT($AG109:$DV109,1)="s",1,0))-SUM(IF(RIGHT(LEFT($AG109:$DV109,2))="-",1,0)))</f>
        <v/>
      </c>
      <c r="AF109" s="816" t="str">
        <f t="array" ref="AF109">IF($J109="","",SUM(IF(LEFT($AG109:$DB109,1)="X",1,0)))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3"/>
      <c r="BD109" s="893"/>
      <c r="BE109" s="893"/>
      <c r="BF109" s="893"/>
      <c r="BG109" s="893"/>
      <c r="BH109" s="893"/>
      <c r="BI109" s="897"/>
      <c r="BJ109" s="897"/>
      <c r="BK109" s="897"/>
      <c r="BL109" s="897"/>
      <c r="BM109" s="897"/>
      <c r="BN109" s="893"/>
      <c r="BO109" s="897"/>
      <c r="BP109" s="897"/>
      <c r="BQ109" s="893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</row>
    <row r="110" spans="1:83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1"/>
        <v/>
      </c>
      <c r="M110" s="816" t="str">
        <f t="shared" si="62"/>
        <v/>
      </c>
      <c r="N110" s="816" t="str">
        <f t="shared" si="63"/>
        <v/>
      </c>
      <c r="R110" s="816" t="str">
        <f t="shared" si="64"/>
        <v/>
      </c>
      <c r="T110" s="829" t="str">
        <f t="shared" si="65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IF($J110="","",IF(SUM(IF(ISNUMBER(VALUE(RIGHT($AG110:$CJ110,1))),VALUE(RIGHT($AG110:$CJ110,1)),0))=$J110,"T","F"))</f>
        <v/>
      </c>
      <c r="AE110" s="816" t="str">
        <f t="array" ref="AE110">IF($J110="","",SUM(IF(LEFT($AG110:$DV110,1)="s",1,0))-SUM(IF(RIGHT(LEFT($AG110:$DV110,2))="-",1,0)))</f>
        <v/>
      </c>
      <c r="AF110" s="816" t="str">
        <f t="array" ref="AF110">IF($J110="","",SUM(IF(LEFT($AG110:$DB110,1)="X",1,0)))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3"/>
      <c r="BD110" s="893"/>
      <c r="BE110" s="893"/>
      <c r="BF110" s="893"/>
      <c r="BG110" s="893"/>
      <c r="BH110" s="893"/>
      <c r="BI110" s="897"/>
      <c r="BJ110" s="897"/>
      <c r="BK110" s="897"/>
      <c r="BL110" s="897"/>
      <c r="BM110" s="897"/>
      <c r="BN110" s="893"/>
      <c r="BO110" s="897"/>
      <c r="BP110" s="897"/>
      <c r="BQ110" s="893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</row>
    <row r="111" spans="1:83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1"/>
        <v/>
      </c>
      <c r="M111" s="816" t="str">
        <f t="shared" si="62"/>
        <v/>
      </c>
      <c r="N111" s="816" t="str">
        <f t="shared" si="63"/>
        <v/>
      </c>
      <c r="R111" s="816" t="str">
        <f t="shared" si="64"/>
        <v/>
      </c>
      <c r="T111" s="829" t="str">
        <f t="shared" si="65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IF($J111="","",IF(SUM(IF(ISNUMBER(VALUE(RIGHT($AG111:$CJ111,1))),VALUE(RIGHT($AG111:$CJ111,1)),0))=$J111,"T","F"))</f>
        <v/>
      </c>
      <c r="AE111" s="816" t="str">
        <f t="array" ref="AE111">IF($J111="","",SUM(IF(LEFT($AG111:$DV111,1)="s",1,0))-SUM(IF(RIGHT(LEFT($AG111:$DV111,2))="-",1,0)))</f>
        <v/>
      </c>
      <c r="AF111" s="816" t="str">
        <f t="array" ref="AF111">IF($J111="","",SUM(IF(LEFT($AG111:$DB111,1)="X",1,0)))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3"/>
      <c r="BD111" s="893"/>
      <c r="BE111" s="893"/>
      <c r="BF111" s="893"/>
      <c r="BG111" s="893"/>
      <c r="BH111" s="893"/>
      <c r="BI111" s="897"/>
      <c r="BJ111" s="897"/>
      <c r="BK111" s="897"/>
      <c r="BL111" s="897"/>
      <c r="BM111" s="897"/>
      <c r="BN111" s="893"/>
      <c r="BO111" s="897"/>
      <c r="BP111" s="897"/>
      <c r="BQ111" s="893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</row>
    <row r="112" spans="1:83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1"/>
        <v/>
      </c>
      <c r="M112" s="816" t="str">
        <f t="shared" si="62"/>
        <v/>
      </c>
      <c r="N112" s="816" t="str">
        <f t="shared" si="63"/>
        <v/>
      </c>
      <c r="R112" s="816" t="str">
        <f t="shared" si="64"/>
        <v/>
      </c>
      <c r="T112" s="829" t="str">
        <f t="shared" si="65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IF($J112="","",IF(SUM(IF(ISNUMBER(VALUE(RIGHT($AG112:$CJ112,1))),VALUE(RIGHT($AG112:$CJ112,1)),0))=$J112,"T","F"))</f>
        <v/>
      </c>
      <c r="AE112" s="816" t="str">
        <f t="array" ref="AE112">IF($J112="","",SUM(IF(LEFT($AG112:$DV112,1)="s",1,0))-SUM(IF(RIGHT(LEFT($AG112:$DV112,2))="-",1,0)))</f>
        <v/>
      </c>
      <c r="AF112" s="816" t="str">
        <f t="array" ref="AF112">IF($J112="","",SUM(IF(LEFT($AG112:$DB112,1)="X",1,0)))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3"/>
      <c r="BD112" s="893"/>
      <c r="BE112" s="893"/>
      <c r="BF112" s="893"/>
      <c r="BG112" s="893"/>
      <c r="BH112" s="893"/>
      <c r="BI112" s="897"/>
      <c r="BJ112" s="897"/>
      <c r="BK112" s="897"/>
      <c r="BL112" s="897"/>
      <c r="BM112" s="897"/>
      <c r="BN112" s="893"/>
      <c r="BO112" s="897"/>
      <c r="BP112" s="897"/>
      <c r="BQ112" s="893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</row>
    <row r="113" spans="4:83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1"/>
        <v/>
      </c>
      <c r="M113" s="816" t="str">
        <f t="shared" si="62"/>
        <v/>
      </c>
      <c r="N113" s="816" t="str">
        <f t="shared" si="63"/>
        <v/>
      </c>
      <c r="R113" s="816" t="str">
        <f t="shared" si="64"/>
        <v/>
      </c>
      <c r="T113" s="829" t="str">
        <f t="shared" si="65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IF($J113="","",IF(SUM(IF(ISNUMBER(VALUE(RIGHT($AG113:$CJ113,1))),VALUE(RIGHT($AG113:$CJ113,1)),0))=$J113,"T","F"))</f>
        <v/>
      </c>
      <c r="AE113" s="816" t="str">
        <f t="array" ref="AE113">IF($J113="","",SUM(IF(LEFT($AG113:$DV113,1)="s",1,0))-SUM(IF(RIGHT(LEFT($AG113:$DV113,2))="-",1,0)))</f>
        <v/>
      </c>
      <c r="AF113" s="816" t="str">
        <f t="array" ref="AF113">IF($J113="","",SUM(IF(LEFT($AG113:$DB113,1)="X",1,0)))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3"/>
      <c r="BD113" s="893"/>
      <c r="BE113" s="893"/>
      <c r="BF113" s="893"/>
      <c r="BG113" s="893"/>
      <c r="BH113" s="893"/>
      <c r="BI113" s="897"/>
      <c r="BJ113" s="897"/>
      <c r="BK113" s="897"/>
      <c r="BL113" s="897"/>
      <c r="BM113" s="897"/>
      <c r="BN113" s="893"/>
      <c r="BO113" s="897"/>
      <c r="BP113" s="897"/>
      <c r="BQ113" s="893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</row>
    <row r="114" spans="4:83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1"/>
        <v/>
      </c>
      <c r="M114" s="816" t="str">
        <f t="shared" si="62"/>
        <v/>
      </c>
      <c r="N114" s="816" t="str">
        <f t="shared" si="63"/>
        <v/>
      </c>
      <c r="R114" s="816" t="str">
        <f t="shared" si="64"/>
        <v/>
      </c>
      <c r="T114" s="829" t="str">
        <f t="shared" si="65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IF($J114="","",IF(SUM(IF(ISNUMBER(VALUE(RIGHT($AG114:$CJ114,1))),VALUE(RIGHT($AG114:$CJ114,1)),0))=$J114,"T","F"))</f>
        <v/>
      </c>
      <c r="AE114" s="816" t="str">
        <f t="array" ref="AE114">IF($J114="","",SUM(IF(LEFT($AG114:$DV114,1)="s",1,0))-SUM(IF(RIGHT(LEFT($AG114:$DV114,2))="-",1,0)))</f>
        <v/>
      </c>
      <c r="AF114" s="816" t="str">
        <f t="array" ref="AF114">IF($J114="","",SUM(IF(LEFT($AG114:$DB114,1)="X",1,0)))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3"/>
      <c r="BD114" s="893"/>
      <c r="BE114" s="893"/>
      <c r="BF114" s="893"/>
      <c r="BG114" s="893"/>
      <c r="BH114" s="893"/>
      <c r="BI114" s="897"/>
      <c r="BJ114" s="897"/>
      <c r="BK114" s="897"/>
      <c r="BL114" s="897"/>
      <c r="BM114" s="897"/>
      <c r="BN114" s="893"/>
      <c r="BO114" s="897"/>
      <c r="BP114" s="897"/>
      <c r="BQ114" s="893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</row>
    <row r="115" spans="4:83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1"/>
        <v/>
      </c>
      <c r="M115" s="816" t="str">
        <f t="shared" si="62"/>
        <v/>
      </c>
      <c r="N115" s="816" t="str">
        <f t="shared" si="63"/>
        <v/>
      </c>
      <c r="R115" s="816" t="str">
        <f t="shared" si="64"/>
        <v/>
      </c>
      <c r="T115" s="829" t="str">
        <f t="shared" si="65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IF($J115="","",IF(SUM(IF(ISNUMBER(VALUE(RIGHT($AG115:$CJ115,1))),VALUE(RIGHT($AG115:$CJ115,1)),0))=$J115,"T","F"))</f>
        <v/>
      </c>
      <c r="AE115" s="816" t="str">
        <f t="array" ref="AE115">IF($J115="","",SUM(IF(LEFT($AG115:$DV115,1)="s",1,0))-SUM(IF(RIGHT(LEFT($AG115:$DV115,2))="-",1,0)))</f>
        <v/>
      </c>
      <c r="AF115" s="816" t="str">
        <f t="array" ref="AF115">IF($J115="","",SUM(IF(LEFT($AG115:$DB115,1)="X",1,0)))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3"/>
      <c r="BD115" s="893"/>
      <c r="BE115" s="893"/>
      <c r="BF115" s="893"/>
      <c r="BG115" s="893"/>
      <c r="BH115" s="893"/>
      <c r="BI115" s="897"/>
      <c r="BJ115" s="897"/>
      <c r="BK115" s="897"/>
      <c r="BL115" s="897"/>
      <c r="BM115" s="897"/>
      <c r="BN115" s="893"/>
      <c r="BO115" s="897"/>
      <c r="BP115" s="897"/>
      <c r="BQ115" s="893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</row>
    <row r="116" spans="4:83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1"/>
        <v/>
      </c>
      <c r="M116" s="816" t="str">
        <f t="shared" si="62"/>
        <v/>
      </c>
      <c r="N116" s="816" t="str">
        <f t="shared" si="63"/>
        <v/>
      </c>
      <c r="R116" s="816" t="str">
        <f t="shared" si="64"/>
        <v/>
      </c>
      <c r="T116" s="829" t="str">
        <f t="shared" si="65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IF($J116="","",IF(SUM(IF(ISNUMBER(VALUE(RIGHT($AG116:$CJ116,1))),VALUE(RIGHT($AG116:$CJ116,1)),0))=$J116,"T","F"))</f>
        <v/>
      </c>
      <c r="AE116" s="816" t="str">
        <f t="array" ref="AE116">IF($J116="","",SUM(IF(LEFT($AG116:$DV116,1)="s",1,0))-SUM(IF(RIGHT(LEFT($AG116:$DV116,2))="-",1,0)))</f>
        <v/>
      </c>
      <c r="AF116" s="816" t="str">
        <f t="array" ref="AF116">IF($J116="","",SUM(IF(LEFT($AG116:$DB116,1)="X",1,0)))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3"/>
      <c r="BD116" s="893"/>
      <c r="BE116" s="893"/>
      <c r="BF116" s="893"/>
      <c r="BG116" s="893"/>
      <c r="BH116" s="893"/>
      <c r="BI116" s="897"/>
      <c r="BJ116" s="897"/>
      <c r="BK116" s="897"/>
      <c r="BL116" s="897"/>
      <c r="BM116" s="897"/>
      <c r="BN116" s="893"/>
      <c r="BO116" s="897"/>
      <c r="BP116" s="897"/>
      <c r="BQ116" s="893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</row>
    <row r="117" spans="4:83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1"/>
        <v/>
      </c>
      <c r="M117" s="816" t="str">
        <f t="shared" si="62"/>
        <v/>
      </c>
      <c r="N117" s="816" t="str">
        <f t="shared" si="63"/>
        <v/>
      </c>
      <c r="R117" s="816" t="str">
        <f t="shared" si="64"/>
        <v/>
      </c>
      <c r="T117" s="829" t="str">
        <f t="shared" si="65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IF($J117="","",IF(SUM(IF(ISNUMBER(VALUE(RIGHT($AG117:$CJ117,1))),VALUE(RIGHT($AG117:$CJ117,1)),0))=$J117,"T","F"))</f>
        <v/>
      </c>
      <c r="AE117" s="816" t="str">
        <f t="array" ref="AE117">IF($J117="","",SUM(IF(LEFT($AG117:$DV117,1)="s",1,0))-SUM(IF(RIGHT(LEFT($AG117:$DV117,2))="-",1,0)))</f>
        <v/>
      </c>
      <c r="AF117" s="816" t="str">
        <f t="array" ref="AF117">IF($J117="","",SUM(IF(LEFT($AG117:$DB117,1)="X",1,0)))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3"/>
      <c r="BD117" s="893"/>
      <c r="BE117" s="893"/>
      <c r="BF117" s="893"/>
      <c r="BG117" s="893"/>
      <c r="BH117" s="893"/>
      <c r="BI117" s="897"/>
      <c r="BJ117" s="897"/>
      <c r="BK117" s="897"/>
      <c r="BL117" s="897"/>
      <c r="BM117" s="897"/>
      <c r="BN117" s="893"/>
      <c r="BO117" s="897"/>
      <c r="BP117" s="897"/>
      <c r="BQ117" s="893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</row>
    <row r="118" spans="4:83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1"/>
        <v/>
      </c>
      <c r="M118" s="816" t="str">
        <f t="shared" si="62"/>
        <v/>
      </c>
      <c r="N118" s="816" t="str">
        <f t="shared" si="63"/>
        <v/>
      </c>
      <c r="R118" s="816" t="str">
        <f t="shared" si="64"/>
        <v/>
      </c>
      <c r="T118" s="829" t="str">
        <f t="shared" si="65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IF($J118="","",IF(SUM(IF(ISNUMBER(VALUE(RIGHT($AG118:$CJ118,1))),VALUE(RIGHT($AG118:$CJ118,1)),0))=$J118,"T","F"))</f>
        <v/>
      </c>
      <c r="AE118" s="816" t="str">
        <f t="array" ref="AE118">IF($J118="","",SUM(IF(LEFT($AG118:$DV118,1)="s",1,0))-SUM(IF(RIGHT(LEFT($AG118:$DV118,2))="-",1,0)))</f>
        <v/>
      </c>
      <c r="AF118" s="816" t="str">
        <f t="array" ref="AF118">IF($J118="","",SUM(IF(LEFT($AG118:$DB118,1)="X",1,0)))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3"/>
      <c r="BD118" s="893"/>
      <c r="BE118" s="893"/>
      <c r="BF118" s="893"/>
      <c r="BG118" s="893"/>
      <c r="BH118" s="893"/>
      <c r="BI118" s="897"/>
      <c r="BJ118" s="897"/>
      <c r="BK118" s="897"/>
      <c r="BL118" s="897"/>
      <c r="BM118" s="897"/>
      <c r="BN118" s="893"/>
      <c r="BO118" s="897"/>
      <c r="BP118" s="897"/>
      <c r="BQ118" s="893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</row>
    <row r="119" spans="4:83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1"/>
        <v/>
      </c>
      <c r="M119" s="816" t="str">
        <f t="shared" si="62"/>
        <v/>
      </c>
      <c r="N119" s="816" t="str">
        <f t="shared" si="63"/>
        <v/>
      </c>
      <c r="R119" s="816" t="str">
        <f t="shared" si="64"/>
        <v/>
      </c>
      <c r="T119" s="829" t="str">
        <f t="shared" si="65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IF($J119="","",IF(SUM(IF(ISNUMBER(VALUE(RIGHT($AG119:$CJ119,1))),VALUE(RIGHT($AG119:$CJ119,1)),0))=$J119,"T","F"))</f>
        <v/>
      </c>
      <c r="AE119" s="816" t="str">
        <f t="array" ref="AE119">IF($J119="","",SUM(IF(LEFT($AG119:$DV119,1)="s",1,0))-SUM(IF(RIGHT(LEFT($AG119:$DV119,2))="-",1,0)))</f>
        <v/>
      </c>
      <c r="AF119" s="816" t="str">
        <f t="array" ref="AF119">IF($J119="","",SUM(IF(LEFT($AG119:$DB119,1)="X",1,0)))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3"/>
      <c r="BD119" s="893"/>
      <c r="BE119" s="893"/>
      <c r="BF119" s="893"/>
      <c r="BG119" s="893"/>
      <c r="BH119" s="893"/>
      <c r="BI119" s="897"/>
      <c r="BJ119" s="897"/>
      <c r="BK119" s="897"/>
      <c r="BL119" s="897"/>
      <c r="BM119" s="897"/>
      <c r="BN119" s="893"/>
      <c r="BO119" s="897"/>
      <c r="BP119" s="897"/>
      <c r="BQ119" s="893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</row>
    <row r="120" spans="4:83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1"/>
        <v/>
      </c>
      <c r="M120" s="816" t="str">
        <f t="shared" si="62"/>
        <v/>
      </c>
      <c r="N120" s="816" t="str">
        <f t="shared" si="63"/>
        <v/>
      </c>
      <c r="R120" s="816" t="str">
        <f t="shared" si="64"/>
        <v/>
      </c>
      <c r="T120" s="829" t="str">
        <f t="shared" si="65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IF($J120="","",IF(SUM(IF(ISNUMBER(VALUE(RIGHT($AG120:$CJ120,1))),VALUE(RIGHT($AG120:$CJ120,1)),0))=$J120,"T","F"))</f>
        <v/>
      </c>
      <c r="AE120" s="816" t="str">
        <f t="array" ref="AE120">IF($J120="","",SUM(IF(LEFT($AG120:$DV120,1)="s",1,0))-SUM(IF(RIGHT(LEFT($AG120:$DV120,2))="-",1,0)))</f>
        <v/>
      </c>
      <c r="AF120" s="816" t="str">
        <f t="array" ref="AF120">IF($J120="","",SUM(IF(LEFT($AG120:$DB120,1)="X",1,0)))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3"/>
      <c r="BD120" s="893"/>
      <c r="BE120" s="893"/>
      <c r="BF120" s="893"/>
      <c r="BG120" s="893"/>
      <c r="BH120" s="893"/>
      <c r="BI120" s="897"/>
      <c r="BJ120" s="897"/>
      <c r="BK120" s="897"/>
      <c r="BL120" s="897"/>
      <c r="BM120" s="897"/>
      <c r="BN120" s="893"/>
      <c r="BO120" s="897"/>
      <c r="BP120" s="897"/>
      <c r="BQ120" s="893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</row>
    <row r="121" spans="4:83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1"/>
        <v/>
      </c>
      <c r="M121" s="816" t="str">
        <f t="shared" si="62"/>
        <v/>
      </c>
      <c r="N121" s="816" t="str">
        <f t="shared" si="63"/>
        <v/>
      </c>
      <c r="R121" s="816" t="str">
        <f t="shared" si="64"/>
        <v/>
      </c>
      <c r="T121" s="829" t="str">
        <f t="shared" si="65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IF($J121="","",IF(SUM(IF(ISNUMBER(VALUE(RIGHT($AG121:$CJ121,1))),VALUE(RIGHT($AG121:$CJ121,1)),0))=$J121,"T","F"))</f>
        <v/>
      </c>
      <c r="AE121" s="816" t="str">
        <f t="array" ref="AE121">IF($J121="","",SUM(IF(LEFT($AG121:$DV121,1)="s",1,0))-SUM(IF(RIGHT(LEFT($AG121:$DV121,2))="-",1,0)))</f>
        <v/>
      </c>
      <c r="AF121" s="816" t="str">
        <f t="array" ref="AF121">IF($J121="","",SUM(IF(LEFT($AG121:$DB121,1)="X",1,0)))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3"/>
      <c r="BD121" s="893"/>
      <c r="BE121" s="893"/>
      <c r="BF121" s="893"/>
      <c r="BG121" s="893"/>
      <c r="BH121" s="893"/>
      <c r="BI121" s="897"/>
      <c r="BJ121" s="897"/>
      <c r="BK121" s="897"/>
      <c r="BL121" s="897"/>
      <c r="BM121" s="897"/>
      <c r="BN121" s="893"/>
      <c r="BO121" s="897"/>
      <c r="BP121" s="897"/>
      <c r="BQ121" s="893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</row>
    <row r="122" spans="4:83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1"/>
        <v/>
      </c>
      <c r="M122" s="816" t="str">
        <f t="shared" si="62"/>
        <v/>
      </c>
      <c r="N122" s="816" t="str">
        <f t="shared" si="63"/>
        <v/>
      </c>
      <c r="R122" s="816" t="str">
        <f t="shared" si="64"/>
        <v/>
      </c>
      <c r="T122" s="829" t="str">
        <f t="shared" si="65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IF($J122="","",IF(SUM(IF(ISNUMBER(VALUE(RIGHT($AG122:$CJ122,1))),VALUE(RIGHT($AG122:$CJ122,1)),0))=$J122,"T","F"))</f>
        <v/>
      </c>
      <c r="AE122" s="816" t="str">
        <f t="array" ref="AE122">IF($J122="","",SUM(IF(LEFT($AG122:$DV122,1)="s",1,0))-SUM(IF(RIGHT(LEFT($AG122:$DV122,2))="-",1,0)))</f>
        <v/>
      </c>
      <c r="AF122" s="816" t="str">
        <f t="array" ref="AF122">IF($J122="","",SUM(IF(LEFT($AG122:$DB122,1)="X",1,0)))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3"/>
      <c r="BD122" s="893"/>
      <c r="BE122" s="893"/>
      <c r="BF122" s="893"/>
      <c r="BG122" s="893"/>
      <c r="BH122" s="893"/>
      <c r="BI122" s="897"/>
      <c r="BJ122" s="897"/>
      <c r="BK122" s="897"/>
      <c r="BL122" s="897"/>
      <c r="BM122" s="897"/>
      <c r="BN122" s="893"/>
      <c r="BO122" s="897"/>
      <c r="BP122" s="897"/>
      <c r="BQ122" s="893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</row>
    <row r="123" spans="4:83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1"/>
        <v/>
      </c>
      <c r="M123" s="816" t="str">
        <f t="shared" si="62"/>
        <v/>
      </c>
      <c r="N123" s="816" t="str">
        <f t="shared" si="63"/>
        <v/>
      </c>
      <c r="R123" s="816" t="str">
        <f t="shared" si="64"/>
        <v/>
      </c>
      <c r="T123" s="829" t="str">
        <f t="shared" si="65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IF($J123="","",IF(SUM(IF(ISNUMBER(VALUE(RIGHT($AG123:$CJ123,1))),VALUE(RIGHT($AG123:$CJ123,1)),0))=$J123,"T","F"))</f>
        <v/>
      </c>
      <c r="AE123" s="816" t="str">
        <f t="array" ref="AE123">IF($J123="","",SUM(IF(LEFT($AG123:$DV123,1)="s",1,0))-SUM(IF(RIGHT(LEFT($AG123:$DV123,2))="-",1,0)))</f>
        <v/>
      </c>
      <c r="AF123" s="816" t="str">
        <f t="array" ref="AF123">IF($J123="","",SUM(IF(LEFT($AG123:$DB123,1)="X",1,0)))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3"/>
      <c r="BD123" s="893"/>
      <c r="BE123" s="893"/>
      <c r="BF123" s="893"/>
      <c r="BG123" s="893"/>
      <c r="BH123" s="893"/>
      <c r="BI123" s="897"/>
      <c r="BJ123" s="897"/>
      <c r="BK123" s="897"/>
      <c r="BL123" s="897"/>
      <c r="BM123" s="897"/>
      <c r="BN123" s="893"/>
      <c r="BO123" s="897"/>
      <c r="BP123" s="897"/>
      <c r="BQ123" s="893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</row>
    <row r="124" spans="4:83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1"/>
        <v/>
      </c>
      <c r="M124" s="816" t="str">
        <f t="shared" si="62"/>
        <v/>
      </c>
      <c r="N124" s="816" t="str">
        <f t="shared" si="63"/>
        <v/>
      </c>
      <c r="R124" s="816" t="str">
        <f t="shared" si="64"/>
        <v/>
      </c>
      <c r="T124" s="829" t="str">
        <f t="shared" si="65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IF($J124="","",IF(SUM(IF(ISNUMBER(VALUE(RIGHT($AG124:$CJ124,1))),VALUE(RIGHT($AG124:$CJ124,1)),0))=$J124,"T","F"))</f>
        <v/>
      </c>
      <c r="AE124" s="816" t="str">
        <f t="array" ref="AE124">IF($J124="","",SUM(IF(LEFT($AG124:$DV124,1)="s",1,0))-SUM(IF(RIGHT(LEFT($AG124:$DV124,2))="-",1,0)))</f>
        <v/>
      </c>
      <c r="AF124" s="816" t="str">
        <f t="array" ref="AF124">IF($J124="","",SUM(IF(LEFT($AG124:$DB124,1)="X",1,0)))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3"/>
      <c r="BD124" s="893"/>
      <c r="BE124" s="893"/>
      <c r="BF124" s="893"/>
      <c r="BG124" s="893"/>
      <c r="BH124" s="893"/>
      <c r="BI124" s="897"/>
      <c r="BJ124" s="897"/>
      <c r="BK124" s="897"/>
      <c r="BL124" s="897"/>
      <c r="BM124" s="897"/>
      <c r="BN124" s="893"/>
      <c r="BO124" s="897"/>
      <c r="BP124" s="897"/>
      <c r="BQ124" s="893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</row>
    <row r="125" spans="4:83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1"/>
        <v/>
      </c>
      <c r="M125" s="816" t="str">
        <f t="shared" si="62"/>
        <v/>
      </c>
      <c r="N125" s="816" t="str">
        <f t="shared" si="63"/>
        <v/>
      </c>
      <c r="R125" s="816" t="str">
        <f t="shared" si="64"/>
        <v/>
      </c>
      <c r="T125" s="829" t="str">
        <f t="shared" si="65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IF($J125="","",IF(SUM(IF(ISNUMBER(VALUE(RIGHT($AG125:$CJ125,1))),VALUE(RIGHT($AG125:$CJ125,1)),0))=$J125,"T","F"))</f>
        <v/>
      </c>
      <c r="AE125" s="816" t="str">
        <f t="array" ref="AE125">IF($J125="","",SUM(IF(LEFT($AG125:$DV125,1)="s",1,0))-SUM(IF(RIGHT(LEFT($AG125:$DV125,2))="-",1,0)))</f>
        <v/>
      </c>
      <c r="AF125" s="816" t="str">
        <f t="array" ref="AF125">IF($J125="","",SUM(IF(LEFT($AG125:$DB125,1)="X",1,0)))</f>
        <v/>
      </c>
    </row>
    <row r="126" spans="4:83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1"/>
        <v/>
      </c>
      <c r="M126" s="816" t="str">
        <f t="shared" si="62"/>
        <v/>
      </c>
      <c r="N126" s="816" t="str">
        <f t="shared" si="63"/>
        <v/>
      </c>
      <c r="R126" s="816" t="str">
        <f t="shared" si="64"/>
        <v/>
      </c>
      <c r="T126" s="829" t="str">
        <f t="shared" si="65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IF($J126="","",IF(SUM(IF(ISNUMBER(VALUE(RIGHT($AG126:$CJ126,1))),VALUE(RIGHT($AG126:$CJ126,1)),0))=$J126,"T","F"))</f>
        <v/>
      </c>
      <c r="AE126" s="816" t="str">
        <f t="array" ref="AE126">IF($J126="","",SUM(IF(LEFT($AG126:$DV126,1)="s",1,0))-SUM(IF(RIGHT(LEFT($AG126:$DV126,2))="-",1,0)))</f>
        <v/>
      </c>
      <c r="AF126" s="816" t="str">
        <f t="array" ref="AF126">IF($J126="","",SUM(IF(LEFT($AG126:$DB126,1)="X",1,0)))</f>
        <v/>
      </c>
    </row>
    <row r="127" spans="4:83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1"/>
        <v/>
      </c>
      <c r="M127" s="816" t="str">
        <f t="shared" si="62"/>
        <v/>
      </c>
      <c r="N127" s="816" t="str">
        <f t="shared" si="63"/>
        <v/>
      </c>
      <c r="R127" s="816" t="str">
        <f t="shared" si="64"/>
        <v/>
      </c>
      <c r="T127" s="829" t="str">
        <f t="shared" si="65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IF($J127="","",IF(SUM(IF(ISNUMBER(VALUE(RIGHT($AG127:$CJ127,1))),VALUE(RIGHT($AG127:$CJ127,1)),0))=$J127,"T","F"))</f>
        <v/>
      </c>
      <c r="AE127" s="816" t="str">
        <f t="array" ref="AE127">IF($J127="","",SUM(IF(LEFT($AG127:$DV127,1)="s",1,0))-SUM(IF(RIGHT(LEFT($AG127:$DV127,2))="-",1,0)))</f>
        <v/>
      </c>
      <c r="AF127" s="816" t="str">
        <f t="array" ref="AF127">IF($J127="","",SUM(IF(LEFT($AG127:$DB127,1)="X",1,0)))</f>
        <v/>
      </c>
    </row>
    <row r="128" spans="4:83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1"/>
        <v/>
      </c>
      <c r="M128" s="816" t="str">
        <f t="shared" si="62"/>
        <v/>
      </c>
      <c r="N128" s="816" t="str">
        <f t="shared" si="63"/>
        <v/>
      </c>
      <c r="R128" s="816" t="str">
        <f t="shared" si="64"/>
        <v/>
      </c>
      <c r="T128" s="829" t="str">
        <f t="shared" si="65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IF($J128="","",IF(SUM(IF(ISNUMBER(VALUE(RIGHT($AG128:$CJ128,1))),VALUE(RIGHT($AG128:$CJ128,1)),0))=$J128,"T","F"))</f>
        <v/>
      </c>
      <c r="AE128" s="816" t="str">
        <f t="array" ref="AE128">IF($J128="","",SUM(IF(LEFT($AG128:$DV128,1)="s",1,0))-SUM(IF(RIGHT(LEFT($AG128:$DV128,2))="-",1,0)))</f>
        <v/>
      </c>
      <c r="AF128" s="816" t="str">
        <f t="array" ref="AF128">IF($J128="","",SUM(IF(LEFT($AG128:$DB128,1)="X",1,0)))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1"/>
        <v/>
      </c>
      <c r="M129" s="816" t="str">
        <f t="shared" si="62"/>
        <v/>
      </c>
      <c r="N129" s="816" t="str">
        <f t="shared" si="63"/>
        <v/>
      </c>
      <c r="R129" s="816" t="str">
        <f t="shared" si="64"/>
        <v/>
      </c>
      <c r="T129" s="829" t="str">
        <f t="shared" si="65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IF($J129="","",IF(SUM(IF(ISNUMBER(VALUE(RIGHT($AG129:$CJ129,1))),VALUE(RIGHT($AG129:$CJ129,1)),0))=$J129,"T","F"))</f>
        <v/>
      </c>
      <c r="AE129" s="816" t="str">
        <f t="array" ref="AE129">IF($J129="","",SUM(IF(LEFT($AG129:$DV129,1)="s",1,0))-SUM(IF(RIGHT(LEFT($AG129:$DV129,2))="-",1,0)))</f>
        <v/>
      </c>
      <c r="AF129" s="816" t="str">
        <f t="array" ref="AF129">IF($J129="","",SUM(IF(LEFT($AG129:$DB129,1)="X",1,0)))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1"/>
        <v/>
      </c>
      <c r="M130" s="816" t="str">
        <f t="shared" si="62"/>
        <v/>
      </c>
      <c r="N130" s="816" t="str">
        <f t="shared" si="63"/>
        <v/>
      </c>
      <c r="R130" s="816" t="str">
        <f t="shared" si="64"/>
        <v/>
      </c>
      <c r="T130" s="829" t="str">
        <f t="shared" si="65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IF($J130="","",IF(SUM(IF(ISNUMBER(VALUE(RIGHT($AG130:$CJ130,1))),VALUE(RIGHT($AG130:$CJ130,1)),0))=$J130,"T","F"))</f>
        <v/>
      </c>
      <c r="AE130" s="816" t="str">
        <f t="array" ref="AE130">IF($J130="","",SUM(IF(LEFT($AG130:$DV130,1)="s",1,0))-SUM(IF(RIGHT(LEFT($AG130:$DV130,2))="-",1,0)))</f>
        <v/>
      </c>
      <c r="AF130" s="816" t="str">
        <f t="array" ref="AF130">IF($J130="","",SUM(IF(LEFT($AG130:$DB130,1)="X",1,0)))</f>
        <v/>
      </c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</sheetData>
  <autoFilter ref="A22:DH77"/>
  <mergeCells count="3">
    <mergeCell ref="W19:X19"/>
    <mergeCell ref="Y19:Z19"/>
    <mergeCell ref="AA19:AB19"/>
  </mergeCells>
  <phoneticPr fontId="21" type="noConversion"/>
  <conditionalFormatting sqref="AD23:AD307">
    <cfRule type="cellIs" dxfId="1036" priority="54" operator="equal">
      <formula>"T"</formula>
    </cfRule>
  </conditionalFormatting>
  <conditionalFormatting sqref="N23:N307">
    <cfRule type="cellIs" dxfId="1035" priority="61" stopIfTrue="1" operator="equal">
      <formula>"U"</formula>
    </cfRule>
    <cfRule type="cellIs" dxfId="1034" priority="62" stopIfTrue="1" operator="equal">
      <formula>"O"</formula>
    </cfRule>
  </conditionalFormatting>
  <conditionalFormatting sqref="L23:L307">
    <cfRule type="cellIs" dxfId="1033" priority="59" stopIfTrue="1" operator="equal">
      <formula>"W"</formula>
    </cfRule>
    <cfRule type="cellIs" dxfId="1032" priority="60" stopIfTrue="1" operator="equal">
      <formula>"D"</formula>
    </cfRule>
  </conditionalFormatting>
  <conditionalFormatting sqref="AF23:AF307">
    <cfRule type="cellIs" dxfId="1031" priority="57" stopIfTrue="1" operator="notEqual">
      <formula>11</formula>
    </cfRule>
    <cfRule type="cellIs" dxfId="1030" priority="58" stopIfTrue="1" operator="between">
      <formula>0</formula>
      <formula>20</formula>
    </cfRule>
  </conditionalFormatting>
  <conditionalFormatting sqref="AE23:AE307">
    <cfRule type="cellIs" dxfId="1029" priority="55" stopIfTrue="1" operator="notEqual">
      <formula>0</formula>
    </cfRule>
    <cfRule type="cellIs" dxfId="1028" priority="56" stopIfTrue="1" operator="between">
      <formula>0</formula>
      <formula>20</formula>
    </cfRule>
  </conditionalFormatting>
  <conditionalFormatting sqref="CG19:CX19">
    <cfRule type="expression" dxfId="1027" priority="50">
      <formula>CG19="G"</formula>
    </cfRule>
    <cfRule type="expression" dxfId="1026" priority="51">
      <formula>CG19="M"</formula>
    </cfRule>
    <cfRule type="expression" dxfId="1025" priority="52">
      <formula>CG19="D"</formula>
    </cfRule>
    <cfRule type="expression" dxfId="1024" priority="53">
      <formula>CG19="A"</formula>
    </cfRule>
  </conditionalFormatting>
  <conditionalFormatting sqref="BO19:CF19 AK19:BC19 BF19:BL19">
    <cfRule type="expression" dxfId="1023" priority="46">
      <formula>AK19="G"</formula>
    </cfRule>
    <cfRule type="expression" dxfId="1022" priority="47">
      <formula>OR(AK19="M",AK19="CM",AK19="LM",AK19="RM",AK19="DM",AK19="AM")</formula>
    </cfRule>
    <cfRule type="expression" dxfId="1021" priority="48">
      <formula>OR(AK19="D",AK19="CB",AK19="LB",AK19="RB")</formula>
    </cfRule>
    <cfRule type="expression" dxfId="1020" priority="49">
      <formula>OR(AK19="A",AK19="CF",AK19="SS",AK19="ST",AK19="RW",AK19="LW")</formula>
    </cfRule>
  </conditionalFormatting>
  <conditionalFormatting sqref="BP23:BW67 AW23:BA25 BB23:BB26 BC23:BC25 BO23:BQ40 BF23:BL26 AN23:AU25 AG23:AL37 BM41:BQ48 AN26:BC37 BF26:BO47 AG38:BC48 BL48:BO48 BL49:BQ49 AG49:BD54 BF50:BQ54 BF48:BK49 AG55:BQ71">
    <cfRule type="expression" dxfId="1019" priority="44">
      <formula>IF(ISNUMBER(VALUE(RIGHT(AG23,1))),1,0)</formula>
    </cfRule>
  </conditionalFormatting>
  <conditionalFormatting sqref="BY16:CE16 BP16:BT16 AG16:BL16">
    <cfRule type="top10" dxfId="1018" priority="63" stopIfTrue="1" rank="5"/>
  </conditionalFormatting>
  <conditionalFormatting sqref="BY15:CE15 BP15:BT15 AG15:BL15">
    <cfRule type="top10" dxfId="1017" priority="64" rank="11"/>
  </conditionalFormatting>
  <conditionalFormatting sqref="BY17:CE17 BP17:BT17 AG17:BL17">
    <cfRule type="top10" dxfId="1016" priority="65" stopIfTrue="1" rank="5"/>
  </conditionalFormatting>
  <conditionalFormatting sqref="BY14:CE14 BP14:BT14 AG14:BL14">
    <cfRule type="top10" dxfId="1015" priority="66" rank="11"/>
  </conditionalFormatting>
  <conditionalFormatting sqref="AR28">
    <cfRule type="expression" dxfId="1014" priority="43">
      <formula>IF(ISNUMBER(VALUE(RIGHT(AR28,1))),1,0)</formula>
    </cfRule>
  </conditionalFormatting>
  <conditionalFormatting sqref="AG56:BJ56">
    <cfRule type="expression" dxfId="1013" priority="41">
      <formula>IF(ISNUMBER(VALUE(RIGHT(AG56,1))),1,0)</formula>
    </cfRule>
  </conditionalFormatting>
  <conditionalFormatting sqref="AG68:BL68">
    <cfRule type="expression" dxfId="1012" priority="40">
      <formula>IF(ISNUMBER(VALUE(RIGHT(AG68,1))),1,0)</formula>
    </cfRule>
  </conditionalFormatting>
  <conditionalFormatting sqref="AG69:BL69">
    <cfRule type="expression" dxfId="1011" priority="39">
      <formula>IF(ISNUMBER(VALUE(RIGHT(AG69,1))),1,0)</formula>
    </cfRule>
  </conditionalFormatting>
  <conditionalFormatting sqref="AG19:BC19 BF19:BL19">
    <cfRule type="cellIs" dxfId="1010" priority="38" operator="equal">
      <formula>"M"</formula>
    </cfRule>
  </conditionalFormatting>
  <conditionalFormatting sqref="AG19:BC19 BF19:BL19">
    <cfRule type="cellIs" dxfId="1009" priority="37" operator="equal">
      <formula>"D"</formula>
    </cfRule>
  </conditionalFormatting>
  <conditionalFormatting sqref="AG19:BC19 BF19:BL19">
    <cfRule type="cellIs" dxfId="1008" priority="35" operator="equal">
      <formula>"G"</formula>
    </cfRule>
    <cfRule type="cellIs" dxfId="1007" priority="36" operator="equal">
      <formula>"A"</formula>
    </cfRule>
  </conditionalFormatting>
  <conditionalFormatting sqref="AG19:BC19 BF19:BL19">
    <cfRule type="containsText" dxfId="1006" priority="32" operator="containsText" text="FW">
      <formula>NOT(ISERROR(SEARCH("FW",AG19)))</formula>
    </cfRule>
    <cfRule type="containsText" dxfId="1005" priority="33" operator="containsText" text="MF">
      <formula>NOT(ISERROR(SEARCH("MF",AG19)))</formula>
    </cfRule>
    <cfRule type="containsText" dxfId="1004" priority="34" operator="containsText" text="DF">
      <formula>NOT(ISERROR(SEARCH("DF",AG19)))</formula>
    </cfRule>
  </conditionalFormatting>
  <conditionalFormatting sqref="BM16:BO16">
    <cfRule type="top10" dxfId="1003" priority="28" stopIfTrue="1" rank="5"/>
  </conditionalFormatting>
  <conditionalFormatting sqref="BM15:BO15">
    <cfRule type="top10" dxfId="1002" priority="29" rank="11"/>
  </conditionalFormatting>
  <conditionalFormatting sqref="BM17:BO17">
    <cfRule type="top10" dxfId="1001" priority="30" stopIfTrue="1" rank="5"/>
  </conditionalFormatting>
  <conditionalFormatting sqref="BM14:BO14">
    <cfRule type="top10" dxfId="1000" priority="31" rank="11"/>
  </conditionalFormatting>
  <conditionalFormatting sqref="AM23:AM37">
    <cfRule type="expression" dxfId="999" priority="16">
      <formula>IF(ISNUMBER(VALUE(RIGHT(AM23,1))),1,0)</formula>
    </cfRule>
  </conditionalFormatting>
  <conditionalFormatting sqref="BD19:BE19">
    <cfRule type="expression" dxfId="998" priority="12">
      <formula>BD19="G"</formula>
    </cfRule>
    <cfRule type="expression" dxfId="997" priority="13">
      <formula>OR(BD19="M",BD19="CM",BD19="LM",BD19="RM",BD19="DM",BD19="AM")</formula>
    </cfRule>
    <cfRule type="expression" dxfId="996" priority="14">
      <formula>OR(BD19="D",BD19="CB",BD19="LB",BD19="RB")</formula>
    </cfRule>
    <cfRule type="expression" dxfId="995" priority="15">
      <formula>OR(BD19="A",BD19="CF",BD19="SS",BD19="ST",BD19="RW",BD19="LW")</formula>
    </cfRule>
  </conditionalFormatting>
  <conditionalFormatting sqref="BD19:BE19">
    <cfRule type="cellIs" dxfId="994" priority="11" operator="equal">
      <formula>"M"</formula>
    </cfRule>
  </conditionalFormatting>
  <conditionalFormatting sqref="BD19:BE19">
    <cfRule type="cellIs" dxfId="993" priority="10" operator="equal">
      <formula>"D"</formula>
    </cfRule>
  </conditionalFormatting>
  <conditionalFormatting sqref="BD19:BE19">
    <cfRule type="cellIs" dxfId="992" priority="8" operator="equal">
      <formula>"G"</formula>
    </cfRule>
    <cfRule type="cellIs" dxfId="991" priority="9" operator="equal">
      <formula>"A"</formula>
    </cfRule>
  </conditionalFormatting>
  <conditionalFormatting sqref="BD19:BE19">
    <cfRule type="containsText" dxfId="990" priority="5" operator="containsText" text="FW">
      <formula>NOT(ISERROR(SEARCH("FW",BD19)))</formula>
    </cfRule>
    <cfRule type="containsText" dxfId="989" priority="6" operator="containsText" text="MF">
      <formula>NOT(ISERROR(SEARCH("MF",BD19)))</formula>
    </cfRule>
    <cfRule type="containsText" dxfId="988" priority="7" operator="containsText" text="DF">
      <formula>NOT(ISERROR(SEARCH("DF",BD19)))</formula>
    </cfRule>
  </conditionalFormatting>
  <conditionalFormatting sqref="BD48">
    <cfRule type="expression" dxfId="987" priority="4">
      <formula>IF(ISNUMBER(VALUE(RIGHT(BD48,1))),1,0)</formula>
    </cfRule>
  </conditionalFormatting>
  <conditionalFormatting sqref="BD26:BE45 BD46">
    <cfRule type="expression" dxfId="986" priority="3">
      <formula>IF(ISNUMBER(VALUE(RIGHT(BD26,1))),1,0)</formula>
    </cfRule>
  </conditionalFormatting>
  <conditionalFormatting sqref="BD23:BE25">
    <cfRule type="expression" dxfId="985" priority="2">
      <formula>IF(ISNUMBER(VALUE(RIGHT(BD23,1))),1,0)</formula>
    </cfRule>
  </conditionalFormatting>
  <conditionalFormatting sqref="BE46:BE54">
    <cfRule type="expression" dxfId="984" priority="1">
      <formula>IF(ISNUMBER(VALUE(RIGHT(BE46,1))),1,0)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3"/>
  <sheetViews>
    <sheetView workbookViewId="0">
      <selection sqref="A1:XFD1048576"/>
    </sheetView>
  </sheetViews>
  <sheetFormatPr defaultColWidth="9.125" defaultRowHeight="13.5"/>
  <cols>
    <col min="1" max="1" width="24.125" style="230" customWidth="1"/>
    <col min="2" max="3" width="50.75" style="230" customWidth="1"/>
    <col min="4" max="16384" width="9.125" style="230"/>
  </cols>
  <sheetData>
    <row r="1" spans="1:3">
      <c r="A1" s="840" t="s">
        <v>709</v>
      </c>
      <c r="B1" s="338" t="s">
        <v>710</v>
      </c>
      <c r="C1" s="840" t="s">
        <v>711</v>
      </c>
    </row>
    <row r="2" spans="1:3">
      <c r="A2" s="840" t="s">
        <v>712</v>
      </c>
      <c r="B2" s="338" t="s">
        <v>713</v>
      </c>
      <c r="C2" s="840"/>
    </row>
    <row r="3" spans="1:3">
      <c r="A3" s="840" t="s">
        <v>714</v>
      </c>
      <c r="B3" s="338" t="s">
        <v>715</v>
      </c>
      <c r="C3" s="840"/>
    </row>
    <row r="4" spans="1:3" ht="27">
      <c r="A4" s="840" t="s">
        <v>716</v>
      </c>
      <c r="B4" s="338"/>
      <c r="C4" s="840" t="s">
        <v>717</v>
      </c>
    </row>
    <row r="5" spans="1:3">
      <c r="A5" s="840" t="s">
        <v>718</v>
      </c>
      <c r="B5" s="338" t="s">
        <v>719</v>
      </c>
      <c r="C5" s="840"/>
    </row>
    <row r="6" spans="1:3">
      <c r="A6" s="840" t="s">
        <v>720</v>
      </c>
      <c r="B6" s="338"/>
      <c r="C6" s="840" t="s">
        <v>721</v>
      </c>
    </row>
    <row r="7" spans="1:3" ht="27">
      <c r="A7" s="338" t="s">
        <v>722</v>
      </c>
      <c r="B7" s="338" t="s">
        <v>723</v>
      </c>
      <c r="C7" s="338" t="s">
        <v>721</v>
      </c>
    </row>
    <row r="8" spans="1:3">
      <c r="A8" s="840" t="s">
        <v>724</v>
      </c>
      <c r="B8" s="338" t="s">
        <v>725</v>
      </c>
      <c r="C8" s="841"/>
    </row>
    <row r="9" spans="1:3" ht="27">
      <c r="A9" s="840" t="s">
        <v>726</v>
      </c>
      <c r="B9" s="842" t="s">
        <v>727</v>
      </c>
      <c r="C9" s="840" t="s">
        <v>728</v>
      </c>
    </row>
    <row r="10" spans="1:3" ht="40.5">
      <c r="A10" s="840" t="s">
        <v>729</v>
      </c>
      <c r="B10" s="842" t="s">
        <v>730</v>
      </c>
      <c r="C10" s="840" t="s">
        <v>731</v>
      </c>
    </row>
    <row r="11" spans="1:3" ht="40.5">
      <c r="A11" s="840" t="s">
        <v>732</v>
      </c>
      <c r="B11" s="338" t="s">
        <v>733</v>
      </c>
      <c r="C11" s="842"/>
    </row>
    <row r="12" spans="1:3" ht="27">
      <c r="A12" s="840" t="s">
        <v>734</v>
      </c>
      <c r="B12" s="338"/>
      <c r="C12" s="840" t="s">
        <v>735</v>
      </c>
    </row>
    <row r="21" spans="1:2">
      <c r="A21" s="230" t="s">
        <v>805</v>
      </c>
      <c r="B21" s="230" t="s">
        <v>806</v>
      </c>
    </row>
    <row r="22" spans="1:2">
      <c r="A22" s="230" t="s">
        <v>807</v>
      </c>
      <c r="B22" s="230" t="s">
        <v>808</v>
      </c>
    </row>
    <row r="23" spans="1:2">
      <c r="A23" s="230" t="s">
        <v>809</v>
      </c>
      <c r="B23" s="230" t="s">
        <v>810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G183"/>
  <sheetViews>
    <sheetView workbookViewId="0">
      <selection activeCell="A2" sqref="A2"/>
    </sheetView>
  </sheetViews>
  <sheetFormatPr defaultColWidth="9.125" defaultRowHeight="13.5"/>
  <cols>
    <col min="1" max="1" width="9.125" style="837"/>
    <col min="2" max="2" width="10.75" style="230" bestFit="1" customWidth="1"/>
    <col min="3" max="3" width="9.125" style="837"/>
    <col min="4" max="4" width="13" style="837" customWidth="1"/>
    <col min="5" max="13" width="9.125" style="837"/>
    <col min="14" max="14" width="9.125" style="230"/>
    <col min="15" max="15" width="18.625" style="837" bestFit="1" customWidth="1"/>
    <col min="16" max="17" width="9.125" style="837"/>
    <col min="18" max="18" width="10.75" style="837" bestFit="1" customWidth="1"/>
    <col min="19" max="23" width="0.75" style="837" customWidth="1"/>
    <col min="24" max="16384" width="9.125" style="837"/>
  </cols>
  <sheetData>
    <row r="1" spans="1:33">
      <c r="A1" s="215" t="s">
        <v>739</v>
      </c>
      <c r="B1" s="215" t="s">
        <v>775</v>
      </c>
      <c r="C1" s="215" t="s">
        <v>737</v>
      </c>
      <c r="D1" s="215" t="s">
        <v>765</v>
      </c>
      <c r="E1" s="215">
        <v>41335</v>
      </c>
      <c r="F1" s="215" t="s">
        <v>750</v>
      </c>
      <c r="G1" s="837" t="s">
        <v>786</v>
      </c>
      <c r="H1" s="837" t="s">
        <v>811</v>
      </c>
      <c r="L1" s="837" t="s">
        <v>0</v>
      </c>
      <c r="N1" s="230" t="str">
        <f>IF(D1=$L$2,"H","A")</f>
        <v>A</v>
      </c>
      <c r="O1" s="837" t="str">
        <f t="shared" ref="O1:O50" si="0">IF(D1=$L$2,F1,D1)</f>
        <v>Start</v>
      </c>
      <c r="P1" s="837" t="str">
        <f>N1</f>
        <v>A</v>
      </c>
      <c r="R1" s="837" t="str">
        <f>B1</f>
        <v>18/03/13</v>
      </c>
      <c r="X1" s="838" t="str">
        <f t="shared" ref="X1:X32" si="1">IFERROR(VLOOKUP(TRIM(O1),$AE$1:$AF$16,2,0),"")</f>
        <v>Start</v>
      </c>
      <c r="Y1" s="838" t="str">
        <f t="shared" ref="Y1:Y32" si="2">IF(P1="","",P1)</f>
        <v>A</v>
      </c>
      <c r="AE1" s="837" t="s">
        <v>756</v>
      </c>
      <c r="AF1" s="837" t="s">
        <v>756</v>
      </c>
      <c r="AG1" s="839"/>
    </row>
    <row r="2" spans="1:33">
      <c r="A2" s="215" t="s">
        <v>789</v>
      </c>
      <c r="B2" s="215">
        <v>41337</v>
      </c>
      <c r="C2" s="215" t="s">
        <v>737</v>
      </c>
      <c r="D2" s="215" t="s">
        <v>750</v>
      </c>
      <c r="E2" s="215">
        <v>36557</v>
      </c>
      <c r="F2" s="215" t="s">
        <v>766</v>
      </c>
      <c r="G2" s="837" t="s">
        <v>786</v>
      </c>
      <c r="H2" s="837" t="s">
        <v>811</v>
      </c>
      <c r="L2" s="215" t="s">
        <v>750</v>
      </c>
      <c r="N2" s="230" t="str">
        <f t="shared" ref="N2:N50" si="3">IF(D2=$L$2,"H","A")</f>
        <v>H</v>
      </c>
      <c r="O2" s="837" t="str">
        <f t="shared" si="0"/>
        <v>Strømsgodset</v>
      </c>
      <c r="P2" s="837" t="str">
        <f t="shared" ref="P2:P50" si="4">N2</f>
        <v>H</v>
      </c>
      <c r="R2" s="837">
        <f t="shared" ref="R2:R50" si="5">B2</f>
        <v>41337</v>
      </c>
      <c r="X2" s="838" t="str">
        <f t="shared" si="1"/>
        <v>Stromsgodset</v>
      </c>
      <c r="Y2" s="838" t="str">
        <f t="shared" si="2"/>
        <v>H</v>
      </c>
      <c r="AE2" s="837" t="s">
        <v>759</v>
      </c>
      <c r="AF2" s="837" t="s">
        <v>759</v>
      </c>
    </row>
    <row r="3" spans="1:33">
      <c r="A3" s="215" t="s">
        <v>739</v>
      </c>
      <c r="B3" s="215">
        <v>41490</v>
      </c>
      <c r="C3" s="215" t="s">
        <v>737</v>
      </c>
      <c r="D3" s="215" t="s">
        <v>756</v>
      </c>
      <c r="E3" s="215">
        <v>41367</v>
      </c>
      <c r="F3" s="215" t="s">
        <v>750</v>
      </c>
      <c r="G3" s="837" t="s">
        <v>786</v>
      </c>
      <c r="H3" s="837" t="s">
        <v>811</v>
      </c>
      <c r="N3" s="230" t="str">
        <f t="shared" si="3"/>
        <v>A</v>
      </c>
      <c r="O3" s="837" t="str">
        <f t="shared" si="0"/>
        <v>Aalesund</v>
      </c>
      <c r="P3" s="837" t="str">
        <f t="shared" si="4"/>
        <v>A</v>
      </c>
      <c r="R3" s="837">
        <f t="shared" si="5"/>
        <v>41490</v>
      </c>
      <c r="X3" s="838" t="str">
        <f t="shared" si="1"/>
        <v>Aalesund</v>
      </c>
      <c r="Y3" s="838" t="str">
        <f t="shared" si="2"/>
        <v>A</v>
      </c>
      <c r="AE3" s="837" t="s">
        <v>760</v>
      </c>
      <c r="AF3" s="837" t="s">
        <v>760</v>
      </c>
    </row>
    <row r="4" spans="1:33">
      <c r="A4" s="215" t="s">
        <v>739</v>
      </c>
      <c r="B4" s="215" t="s">
        <v>740</v>
      </c>
      <c r="C4" s="215" t="s">
        <v>737</v>
      </c>
      <c r="D4" s="215" t="s">
        <v>750</v>
      </c>
      <c r="E4" s="215" t="s">
        <v>812</v>
      </c>
      <c r="F4" s="215" t="s">
        <v>760</v>
      </c>
      <c r="G4" s="837" t="s">
        <v>786</v>
      </c>
      <c r="H4" s="837" t="s">
        <v>811</v>
      </c>
      <c r="N4" s="230" t="str">
        <f t="shared" si="3"/>
        <v>H</v>
      </c>
      <c r="O4" s="837" t="str">
        <f t="shared" si="0"/>
        <v>Haugesund</v>
      </c>
      <c r="P4" s="837" t="str">
        <f t="shared" si="4"/>
        <v>H</v>
      </c>
      <c r="R4" s="837" t="str">
        <f t="shared" si="5"/>
        <v>15/04/13</v>
      </c>
      <c r="X4" s="838" t="str">
        <f t="shared" si="1"/>
        <v>Haugesund</v>
      </c>
      <c r="Y4" s="838" t="str">
        <f t="shared" si="2"/>
        <v>H</v>
      </c>
      <c r="AE4" s="837" t="s">
        <v>750</v>
      </c>
      <c r="AF4" s="837" t="s">
        <v>768</v>
      </c>
    </row>
    <row r="5" spans="1:33">
      <c r="A5" s="215" t="s">
        <v>739</v>
      </c>
      <c r="B5" s="215" t="s">
        <v>776</v>
      </c>
      <c r="C5" s="215" t="s">
        <v>737</v>
      </c>
      <c r="D5" s="215" t="s">
        <v>752</v>
      </c>
      <c r="E5" s="215">
        <v>0</v>
      </c>
      <c r="F5" s="215" t="s">
        <v>750</v>
      </c>
      <c r="H5" s="837" t="s">
        <v>738</v>
      </c>
      <c r="N5" s="230" t="str">
        <f t="shared" si="3"/>
        <v>A</v>
      </c>
      <c r="O5" s="837" t="str">
        <f t="shared" si="0"/>
        <v>Sandnes Ulf</v>
      </c>
      <c r="P5" s="837" t="str">
        <f t="shared" si="4"/>
        <v>A</v>
      </c>
      <c r="R5" s="837" t="str">
        <f t="shared" si="5"/>
        <v>22/04/13</v>
      </c>
      <c r="X5" s="838" t="str">
        <f t="shared" si="1"/>
        <v>Sandnes</v>
      </c>
      <c r="Y5" s="838" t="str">
        <f t="shared" si="2"/>
        <v>A</v>
      </c>
      <c r="AE5" s="837" t="s">
        <v>761</v>
      </c>
      <c r="AF5" s="837" t="s">
        <v>769</v>
      </c>
    </row>
    <row r="6" spans="1:33">
      <c r="A6" s="215" t="s">
        <v>739</v>
      </c>
      <c r="B6" s="215" t="s">
        <v>778</v>
      </c>
      <c r="C6" s="215" t="s">
        <v>737</v>
      </c>
      <c r="D6" s="215" t="s">
        <v>758</v>
      </c>
      <c r="E6" s="215">
        <v>0</v>
      </c>
      <c r="F6" s="215" t="s">
        <v>750</v>
      </c>
      <c r="H6" s="837" t="s">
        <v>738</v>
      </c>
      <c r="N6" s="230" t="str">
        <f t="shared" si="3"/>
        <v>A</v>
      </c>
      <c r="O6" s="837" t="str">
        <f t="shared" si="0"/>
        <v>Sarpsborg 08</v>
      </c>
      <c r="P6" s="837" t="str">
        <f t="shared" si="4"/>
        <v>A</v>
      </c>
      <c r="R6" s="837" t="str">
        <f t="shared" si="5"/>
        <v>29/04/13</v>
      </c>
      <c r="X6" s="838" t="str">
        <f t="shared" si="1"/>
        <v>Sarpsborg</v>
      </c>
      <c r="Y6" s="838" t="str">
        <f t="shared" si="2"/>
        <v>A</v>
      </c>
      <c r="AE6" s="837" t="s">
        <v>762</v>
      </c>
      <c r="AF6" s="837" t="s">
        <v>762</v>
      </c>
    </row>
    <row r="7" spans="1:33">
      <c r="A7" s="215" t="s">
        <v>739</v>
      </c>
      <c r="B7" s="215">
        <v>41430</v>
      </c>
      <c r="C7" s="215" t="s">
        <v>737</v>
      </c>
      <c r="D7" s="215" t="s">
        <v>750</v>
      </c>
      <c r="E7" s="215">
        <v>0</v>
      </c>
      <c r="F7" s="215" t="s">
        <v>754</v>
      </c>
      <c r="H7" s="837" t="s">
        <v>738</v>
      </c>
      <c r="N7" s="230" t="str">
        <f t="shared" si="3"/>
        <v>H</v>
      </c>
      <c r="O7" s="837" t="str">
        <f t="shared" si="0"/>
        <v>Tromsø</v>
      </c>
      <c r="P7" s="837" t="str">
        <f t="shared" si="4"/>
        <v>H</v>
      </c>
      <c r="R7" s="837">
        <f t="shared" si="5"/>
        <v>41430</v>
      </c>
      <c r="X7" s="838" t="str">
        <f t="shared" si="1"/>
        <v>Tromso</v>
      </c>
      <c r="Y7" s="838" t="str">
        <f t="shared" si="2"/>
        <v>H</v>
      </c>
      <c r="AE7" s="837" t="s">
        <v>763</v>
      </c>
      <c r="AF7" s="837" t="s">
        <v>763</v>
      </c>
    </row>
    <row r="8" spans="1:33">
      <c r="A8" s="215" t="s">
        <v>813</v>
      </c>
      <c r="B8" s="215">
        <v>41522</v>
      </c>
      <c r="C8" s="215" t="s">
        <v>737</v>
      </c>
      <c r="D8" s="215" t="s">
        <v>767</v>
      </c>
      <c r="E8" s="215">
        <v>4.1666666666666664E-2</v>
      </c>
      <c r="F8" s="215" t="s">
        <v>750</v>
      </c>
      <c r="H8" s="837" t="s">
        <v>738</v>
      </c>
      <c r="N8" s="230" t="str">
        <f t="shared" si="3"/>
        <v>A</v>
      </c>
      <c r="O8" s="837" t="str">
        <f t="shared" si="0"/>
        <v>Vålerenga</v>
      </c>
      <c r="P8" s="837" t="str">
        <f t="shared" si="4"/>
        <v>A</v>
      </c>
      <c r="R8" s="837">
        <f t="shared" si="5"/>
        <v>41522</v>
      </c>
      <c r="X8" s="838" t="str">
        <f t="shared" si="1"/>
        <v>Valerenga</v>
      </c>
      <c r="Y8" s="838" t="str">
        <f t="shared" si="2"/>
        <v>A</v>
      </c>
      <c r="AE8" s="837" t="s">
        <v>757</v>
      </c>
      <c r="AF8" s="837" t="s">
        <v>757</v>
      </c>
    </row>
    <row r="9" spans="1:33">
      <c r="A9" s="215" t="s">
        <v>215</v>
      </c>
      <c r="B9" s="215" t="s">
        <v>814</v>
      </c>
      <c r="C9" s="215" t="s">
        <v>737</v>
      </c>
      <c r="D9" s="215" t="s">
        <v>750</v>
      </c>
      <c r="E9" s="215">
        <v>4.1666666666666664E-2</v>
      </c>
      <c r="F9" s="215" t="s">
        <v>757</v>
      </c>
      <c r="H9" s="837" t="s">
        <v>738</v>
      </c>
      <c r="N9" s="230" t="str">
        <f t="shared" si="3"/>
        <v>H</v>
      </c>
      <c r="O9" s="837" t="str">
        <f t="shared" si="0"/>
        <v>Rosenborg</v>
      </c>
      <c r="P9" s="837" t="str">
        <f t="shared" si="4"/>
        <v>H</v>
      </c>
      <c r="R9" s="837" t="str">
        <f t="shared" si="5"/>
        <v>14/05/13</v>
      </c>
      <c r="X9" s="838" t="str">
        <f t="shared" si="1"/>
        <v>Rosenborg</v>
      </c>
      <c r="Y9" s="838" t="str">
        <f t="shared" si="2"/>
        <v>H</v>
      </c>
      <c r="AE9" s="837" t="s">
        <v>752</v>
      </c>
      <c r="AF9" s="837" t="s">
        <v>770</v>
      </c>
    </row>
    <row r="10" spans="1:33">
      <c r="A10" s="215" t="s">
        <v>736</v>
      </c>
      <c r="B10" s="215" t="s">
        <v>741</v>
      </c>
      <c r="C10" s="215" t="s">
        <v>737</v>
      </c>
      <c r="D10" s="215" t="s">
        <v>751</v>
      </c>
      <c r="E10" s="215">
        <v>0</v>
      </c>
      <c r="F10" s="215" t="s">
        <v>750</v>
      </c>
      <c r="H10" s="837" t="s">
        <v>738</v>
      </c>
      <c r="N10" s="230" t="str">
        <f t="shared" si="3"/>
        <v>A</v>
      </c>
      <c r="O10" s="837" t="str">
        <f t="shared" si="0"/>
        <v>Viking</v>
      </c>
      <c r="P10" s="837" t="str">
        <f t="shared" si="4"/>
        <v>A</v>
      </c>
      <c r="R10" s="837" t="str">
        <f t="shared" si="5"/>
        <v>17/05/13</v>
      </c>
      <c r="X10" s="838" t="str">
        <f t="shared" si="1"/>
        <v>Viking</v>
      </c>
      <c r="Y10" s="838" t="str">
        <f t="shared" si="2"/>
        <v>A</v>
      </c>
      <c r="AE10" s="837" t="s">
        <v>758</v>
      </c>
      <c r="AF10" s="837" t="s">
        <v>771</v>
      </c>
    </row>
    <row r="11" spans="1:33">
      <c r="A11" s="215" t="s">
        <v>215</v>
      </c>
      <c r="B11" s="215" t="s">
        <v>742</v>
      </c>
      <c r="C11" s="215" t="s">
        <v>737</v>
      </c>
      <c r="D11" s="215" t="s">
        <v>750</v>
      </c>
      <c r="E11" s="215">
        <v>0</v>
      </c>
      <c r="F11" s="215" t="s">
        <v>761</v>
      </c>
      <c r="H11" s="837" t="s">
        <v>738</v>
      </c>
      <c r="N11" s="230" t="str">
        <f t="shared" si="3"/>
        <v>H</v>
      </c>
      <c r="O11" s="837" t="str">
        <f t="shared" si="0"/>
        <v>Lillestrøm</v>
      </c>
      <c r="P11" s="837" t="str">
        <f t="shared" si="4"/>
        <v>H</v>
      </c>
      <c r="R11" s="837" t="str">
        <f t="shared" si="5"/>
        <v>21/05/13</v>
      </c>
      <c r="X11" s="838" t="str">
        <f t="shared" si="1"/>
        <v>Lillestrom</v>
      </c>
      <c r="Y11" s="838" t="str">
        <f t="shared" si="2"/>
        <v>H</v>
      </c>
      <c r="AE11" s="837" t="s">
        <v>764</v>
      </c>
      <c r="AF11" s="837" t="s">
        <v>764</v>
      </c>
    </row>
    <row r="12" spans="1:33">
      <c r="A12" s="215" t="s">
        <v>214</v>
      </c>
      <c r="B12" s="215" t="s">
        <v>815</v>
      </c>
      <c r="C12" s="215" t="s">
        <v>737</v>
      </c>
      <c r="D12" s="215" t="s">
        <v>762</v>
      </c>
      <c r="E12" s="215">
        <v>0.89583333333333337</v>
      </c>
      <c r="F12" s="215" t="s">
        <v>750</v>
      </c>
      <c r="H12" s="837" t="s">
        <v>738</v>
      </c>
      <c r="N12" s="230" t="str">
        <f t="shared" si="3"/>
        <v>A</v>
      </c>
      <c r="O12" s="837" t="str">
        <f t="shared" si="0"/>
        <v>Molde</v>
      </c>
      <c r="P12" s="837" t="str">
        <f t="shared" si="4"/>
        <v>A</v>
      </c>
      <c r="R12" s="837" t="str">
        <f t="shared" si="5"/>
        <v>25/05/13</v>
      </c>
      <c r="X12" s="838" t="str">
        <f t="shared" si="1"/>
        <v>Molde</v>
      </c>
      <c r="Y12" s="838" t="str">
        <f t="shared" si="2"/>
        <v>A</v>
      </c>
      <c r="AE12" s="837" t="s">
        <v>765</v>
      </c>
      <c r="AF12" s="837" t="s">
        <v>765</v>
      </c>
    </row>
    <row r="13" spans="1:33">
      <c r="A13" s="215" t="s">
        <v>739</v>
      </c>
      <c r="B13" s="215" t="s">
        <v>743</v>
      </c>
      <c r="C13" s="215" t="s">
        <v>737</v>
      </c>
      <c r="D13" s="215" t="s">
        <v>750</v>
      </c>
      <c r="E13" s="215">
        <v>0</v>
      </c>
      <c r="F13" s="215" t="s">
        <v>763</v>
      </c>
      <c r="H13" s="837" t="s">
        <v>738</v>
      </c>
      <c r="N13" s="230" t="str">
        <f t="shared" si="3"/>
        <v>H</v>
      </c>
      <c r="O13" s="837" t="str">
        <f t="shared" si="0"/>
        <v>Odd</v>
      </c>
      <c r="P13" s="837" t="str">
        <f t="shared" si="4"/>
        <v>H</v>
      </c>
      <c r="R13" s="837" t="str">
        <f t="shared" si="5"/>
        <v>24/06/13</v>
      </c>
      <c r="X13" s="838" t="str">
        <f t="shared" si="1"/>
        <v>Odd</v>
      </c>
      <c r="Y13" s="838" t="str">
        <f t="shared" si="2"/>
        <v>H</v>
      </c>
      <c r="AE13" s="837" t="s">
        <v>766</v>
      </c>
      <c r="AF13" s="837" t="s">
        <v>772</v>
      </c>
    </row>
    <row r="14" spans="1:33">
      <c r="A14" s="215" t="s">
        <v>739</v>
      </c>
      <c r="B14" s="215">
        <v>41281</v>
      </c>
      <c r="C14" s="215" t="s">
        <v>737</v>
      </c>
      <c r="D14" s="215" t="s">
        <v>764</v>
      </c>
      <c r="E14" s="215">
        <v>0</v>
      </c>
      <c r="F14" s="215" t="s">
        <v>750</v>
      </c>
      <c r="H14" s="837" t="s">
        <v>738</v>
      </c>
      <c r="N14" s="230" t="str">
        <f t="shared" si="3"/>
        <v>A</v>
      </c>
      <c r="O14" s="837" t="str">
        <f t="shared" si="0"/>
        <v>Sogndal</v>
      </c>
      <c r="P14" s="837" t="str">
        <f t="shared" si="4"/>
        <v>A</v>
      </c>
      <c r="R14" s="837">
        <f t="shared" si="5"/>
        <v>41281</v>
      </c>
      <c r="X14" s="838" t="str">
        <f t="shared" si="1"/>
        <v>Sogndal</v>
      </c>
      <c r="Y14" s="838" t="str">
        <f t="shared" si="2"/>
        <v>A</v>
      </c>
      <c r="AE14" s="837" t="s">
        <v>754</v>
      </c>
      <c r="AF14" s="837" t="s">
        <v>773</v>
      </c>
    </row>
    <row r="15" spans="1:33">
      <c r="A15" s="215" t="s">
        <v>739</v>
      </c>
      <c r="B15" s="215">
        <v>41493</v>
      </c>
      <c r="C15" s="215" t="s">
        <v>737</v>
      </c>
      <c r="D15" s="215" t="s">
        <v>750</v>
      </c>
      <c r="E15" s="215">
        <v>0</v>
      </c>
      <c r="F15" s="215" t="s">
        <v>759</v>
      </c>
      <c r="H15" s="837" t="s">
        <v>738</v>
      </c>
      <c r="N15" s="230" t="str">
        <f t="shared" si="3"/>
        <v>H</v>
      </c>
      <c r="O15" s="837" t="str">
        <f t="shared" si="0"/>
        <v>Brann</v>
      </c>
      <c r="P15" s="837" t="str">
        <f t="shared" si="4"/>
        <v>H</v>
      </c>
      <c r="R15" s="837">
        <f t="shared" si="5"/>
        <v>41493</v>
      </c>
      <c r="X15" s="838" t="str">
        <f t="shared" si="1"/>
        <v>Brann</v>
      </c>
      <c r="Y15" s="838" t="str">
        <f t="shared" si="2"/>
        <v>H</v>
      </c>
      <c r="AE15" s="837" t="s">
        <v>767</v>
      </c>
      <c r="AF15" s="837" t="s">
        <v>774</v>
      </c>
    </row>
    <row r="16" spans="1:33">
      <c r="A16" s="215" t="s">
        <v>739</v>
      </c>
      <c r="B16" s="215" t="s">
        <v>777</v>
      </c>
      <c r="C16" s="215" t="s">
        <v>737</v>
      </c>
      <c r="D16" s="215" t="s">
        <v>750</v>
      </c>
      <c r="E16" s="215">
        <v>0</v>
      </c>
      <c r="F16" s="215" t="s">
        <v>767</v>
      </c>
      <c r="H16" s="837" t="s">
        <v>738</v>
      </c>
      <c r="N16" s="230" t="str">
        <f t="shared" si="3"/>
        <v>H</v>
      </c>
      <c r="O16" s="837" t="str">
        <f t="shared" si="0"/>
        <v>Vålerenga</v>
      </c>
      <c r="P16" s="837" t="str">
        <f t="shared" si="4"/>
        <v>H</v>
      </c>
      <c r="R16" s="837" t="str">
        <f t="shared" si="5"/>
        <v>15/07/13</v>
      </c>
      <c r="X16" s="838" t="str">
        <f t="shared" si="1"/>
        <v>Valerenga</v>
      </c>
      <c r="Y16" s="838" t="str">
        <f t="shared" si="2"/>
        <v>H</v>
      </c>
      <c r="AE16" s="837" t="s">
        <v>751</v>
      </c>
      <c r="AF16" s="837" t="s">
        <v>751</v>
      </c>
    </row>
    <row r="17" spans="1:59">
      <c r="A17" s="215" t="s">
        <v>739</v>
      </c>
      <c r="B17" s="215" t="s">
        <v>744</v>
      </c>
      <c r="C17" s="215" t="s">
        <v>737</v>
      </c>
      <c r="D17" s="215" t="s">
        <v>766</v>
      </c>
      <c r="E17" s="215">
        <v>0</v>
      </c>
      <c r="F17" s="215" t="s">
        <v>750</v>
      </c>
      <c r="H17" s="837" t="s">
        <v>738</v>
      </c>
      <c r="N17" s="230" t="str">
        <f t="shared" si="3"/>
        <v>A</v>
      </c>
      <c r="O17" s="837" t="str">
        <f t="shared" si="0"/>
        <v>Strømsgodset</v>
      </c>
      <c r="P17" s="837" t="str">
        <f t="shared" si="4"/>
        <v>A</v>
      </c>
      <c r="R17" s="837" t="str">
        <f t="shared" si="5"/>
        <v>29/07/13</v>
      </c>
      <c r="X17" s="838" t="str">
        <f t="shared" si="1"/>
        <v>Stromsgodset</v>
      </c>
      <c r="Y17" s="838" t="str">
        <f t="shared" si="2"/>
        <v>A</v>
      </c>
    </row>
    <row r="18" spans="1:59">
      <c r="A18" s="215" t="s">
        <v>739</v>
      </c>
      <c r="B18" s="215">
        <v>41402</v>
      </c>
      <c r="C18" s="215" t="s">
        <v>737</v>
      </c>
      <c r="D18" s="215" t="s">
        <v>750</v>
      </c>
      <c r="E18" s="215">
        <v>0</v>
      </c>
      <c r="F18" s="215" t="s">
        <v>756</v>
      </c>
      <c r="H18" s="837" t="s">
        <v>738</v>
      </c>
      <c r="N18" s="230" t="str">
        <f t="shared" si="3"/>
        <v>H</v>
      </c>
      <c r="O18" s="837" t="str">
        <f t="shared" si="0"/>
        <v>Aalesund</v>
      </c>
      <c r="P18" s="837" t="str">
        <f t="shared" si="4"/>
        <v>H</v>
      </c>
      <c r="R18" s="837">
        <f t="shared" si="5"/>
        <v>41402</v>
      </c>
      <c r="X18" s="838" t="str">
        <f t="shared" si="1"/>
        <v>Aalesund</v>
      </c>
      <c r="Y18" s="838" t="str">
        <f t="shared" si="2"/>
        <v>H</v>
      </c>
    </row>
    <row r="19" spans="1:59">
      <c r="A19" s="215" t="s">
        <v>739</v>
      </c>
      <c r="B19" s="215">
        <v>41616</v>
      </c>
      <c r="C19" s="215" t="s">
        <v>737</v>
      </c>
      <c r="D19" s="215" t="s">
        <v>760</v>
      </c>
      <c r="E19" s="215">
        <v>0</v>
      </c>
      <c r="F19" s="215" t="s">
        <v>750</v>
      </c>
      <c r="H19" s="837" t="s">
        <v>738</v>
      </c>
      <c r="N19" s="230" t="str">
        <f t="shared" si="3"/>
        <v>A</v>
      </c>
      <c r="O19" s="837" t="str">
        <f t="shared" si="0"/>
        <v>Haugesund</v>
      </c>
      <c r="P19" s="837" t="str">
        <f t="shared" si="4"/>
        <v>A</v>
      </c>
      <c r="R19" s="837">
        <f t="shared" si="5"/>
        <v>41616</v>
      </c>
      <c r="X19" s="838" t="str">
        <f t="shared" si="1"/>
        <v>Haugesund</v>
      </c>
      <c r="Y19" s="838" t="str">
        <f t="shared" si="2"/>
        <v>A</v>
      </c>
    </row>
    <row r="20" spans="1:59">
      <c r="A20" s="215" t="s">
        <v>739</v>
      </c>
      <c r="B20" s="215" t="s">
        <v>745</v>
      </c>
      <c r="C20" s="215" t="s">
        <v>737</v>
      </c>
      <c r="D20" s="215" t="s">
        <v>750</v>
      </c>
      <c r="E20" s="215">
        <v>0</v>
      </c>
      <c r="F20" s="215" t="s">
        <v>752</v>
      </c>
      <c r="H20" s="837" t="s">
        <v>738</v>
      </c>
      <c r="N20" s="230" t="str">
        <f t="shared" si="3"/>
        <v>H</v>
      </c>
      <c r="O20" s="837" t="str">
        <f t="shared" si="0"/>
        <v>Sandnes Ulf</v>
      </c>
      <c r="P20" s="837" t="str">
        <f t="shared" si="4"/>
        <v>H</v>
      </c>
      <c r="R20" s="837" t="str">
        <f t="shared" si="5"/>
        <v>19/08/13</v>
      </c>
      <c r="X20" s="838" t="str">
        <f t="shared" si="1"/>
        <v>Sandnes</v>
      </c>
      <c r="Y20" s="838" t="str">
        <f t="shared" si="2"/>
        <v>H</v>
      </c>
    </row>
    <row r="21" spans="1:59">
      <c r="A21" s="215" t="s">
        <v>739</v>
      </c>
      <c r="B21" s="215" t="s">
        <v>746</v>
      </c>
      <c r="C21" s="215" t="s">
        <v>737</v>
      </c>
      <c r="D21" s="215" t="s">
        <v>750</v>
      </c>
      <c r="E21" s="215">
        <v>0</v>
      </c>
      <c r="F21" s="215" t="s">
        <v>758</v>
      </c>
      <c r="H21" s="837" t="s">
        <v>738</v>
      </c>
      <c r="N21" s="230" t="str">
        <f t="shared" si="3"/>
        <v>H</v>
      </c>
      <c r="O21" s="837" t="str">
        <f t="shared" si="0"/>
        <v>Sarpsborg 08</v>
      </c>
      <c r="P21" s="837" t="str">
        <f t="shared" si="4"/>
        <v>H</v>
      </c>
      <c r="R21" s="837" t="str">
        <f t="shared" si="5"/>
        <v>26/08/13</v>
      </c>
      <c r="X21" s="838" t="str">
        <f t="shared" si="1"/>
        <v>Sarpsborg</v>
      </c>
      <c r="Y21" s="838" t="str">
        <f t="shared" si="2"/>
        <v>H</v>
      </c>
    </row>
    <row r="22" spans="1:59">
      <c r="A22" s="215" t="s">
        <v>739</v>
      </c>
      <c r="B22" s="215">
        <v>41314</v>
      </c>
      <c r="C22" s="215" t="s">
        <v>737</v>
      </c>
      <c r="D22" s="215" t="s">
        <v>754</v>
      </c>
      <c r="E22" s="215">
        <v>0</v>
      </c>
      <c r="F22" s="215" t="s">
        <v>750</v>
      </c>
      <c r="H22" s="837" t="s">
        <v>738</v>
      </c>
      <c r="N22" s="230" t="str">
        <f t="shared" si="3"/>
        <v>A</v>
      </c>
      <c r="O22" s="837" t="str">
        <f t="shared" si="0"/>
        <v>Tromsø</v>
      </c>
      <c r="P22" s="837" t="str">
        <f t="shared" si="4"/>
        <v>A</v>
      </c>
      <c r="R22" s="837">
        <f t="shared" si="5"/>
        <v>41314</v>
      </c>
      <c r="X22" s="838" t="str">
        <f t="shared" si="1"/>
        <v>Tromso</v>
      </c>
      <c r="Y22" s="838" t="str">
        <f t="shared" si="2"/>
        <v>A</v>
      </c>
    </row>
    <row r="23" spans="1:59">
      <c r="A23" s="215" t="s">
        <v>739</v>
      </c>
      <c r="B23" s="215" t="s">
        <v>747</v>
      </c>
      <c r="C23" s="215" t="s">
        <v>737</v>
      </c>
      <c r="D23" s="215" t="s">
        <v>750</v>
      </c>
      <c r="E23" s="215">
        <v>0</v>
      </c>
      <c r="F23" s="215" t="s">
        <v>765</v>
      </c>
      <c r="H23" s="837" t="s">
        <v>738</v>
      </c>
      <c r="N23" s="230" t="str">
        <f t="shared" si="3"/>
        <v>H</v>
      </c>
      <c r="O23" s="837" t="str">
        <f t="shared" si="0"/>
        <v>Start</v>
      </c>
      <c r="P23" s="837" t="str">
        <f t="shared" si="4"/>
        <v>H</v>
      </c>
      <c r="R23" s="837" t="str">
        <f t="shared" si="5"/>
        <v>16/09/13</v>
      </c>
      <c r="X23" s="832" t="str">
        <f t="shared" si="1"/>
        <v>Start</v>
      </c>
      <c r="Y23" s="832" t="str">
        <f t="shared" si="2"/>
        <v>H</v>
      </c>
      <c r="Z23" s="230"/>
      <c r="AA23" s="230"/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>
      <c r="A24" s="215" t="s">
        <v>739</v>
      </c>
      <c r="B24" s="215" t="s">
        <v>748</v>
      </c>
      <c r="C24" s="215" t="s">
        <v>737</v>
      </c>
      <c r="D24" s="215" t="s">
        <v>761</v>
      </c>
      <c r="E24" s="215">
        <v>0</v>
      </c>
      <c r="F24" s="215" t="s">
        <v>750</v>
      </c>
      <c r="H24" s="837" t="s">
        <v>738</v>
      </c>
      <c r="N24" s="230" t="str">
        <f t="shared" si="3"/>
        <v>A</v>
      </c>
      <c r="O24" s="837" t="str">
        <f t="shared" si="0"/>
        <v>Lillestrøm</v>
      </c>
      <c r="P24" s="837" t="str">
        <f t="shared" si="4"/>
        <v>A</v>
      </c>
      <c r="R24" s="837" t="str">
        <f t="shared" si="5"/>
        <v>23/09/13</v>
      </c>
      <c r="X24" s="832" t="str">
        <f t="shared" si="1"/>
        <v>Lillestrom</v>
      </c>
      <c r="Y24" s="832" t="str">
        <f t="shared" si="2"/>
        <v>A</v>
      </c>
      <c r="Z24" s="230"/>
      <c r="AA24" s="230"/>
      <c r="AB24" s="230"/>
      <c r="AC24" s="230"/>
      <c r="AD24" s="230"/>
      <c r="AE24" s="230"/>
      <c r="AF24" s="230"/>
      <c r="AG24" s="230"/>
      <c r="AH24" s="230"/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>
      <c r="A25" s="215" t="s">
        <v>739</v>
      </c>
      <c r="B25" s="215" t="s">
        <v>749</v>
      </c>
      <c r="C25" s="215" t="s">
        <v>737</v>
      </c>
      <c r="D25" s="215" t="s">
        <v>750</v>
      </c>
      <c r="E25" s="215">
        <v>0</v>
      </c>
      <c r="F25" s="215" t="s">
        <v>751</v>
      </c>
      <c r="H25" s="837" t="s">
        <v>738</v>
      </c>
      <c r="N25" s="230" t="str">
        <f t="shared" si="3"/>
        <v>H</v>
      </c>
      <c r="O25" s="837" t="str">
        <f t="shared" si="0"/>
        <v>Viking</v>
      </c>
      <c r="P25" s="837" t="str">
        <f t="shared" si="4"/>
        <v>H</v>
      </c>
      <c r="R25" s="837" t="str">
        <f t="shared" si="5"/>
        <v>30/09/13</v>
      </c>
      <c r="X25" s="832" t="str">
        <f t="shared" si="1"/>
        <v>Viking</v>
      </c>
      <c r="Y25" s="832" t="str">
        <f t="shared" si="2"/>
        <v>H</v>
      </c>
      <c r="Z25" s="230"/>
      <c r="AA25" s="230"/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>
      <c r="A26" s="837" t="s">
        <v>739</v>
      </c>
      <c r="B26" s="230">
        <v>41465</v>
      </c>
      <c r="C26" s="837" t="s">
        <v>737</v>
      </c>
      <c r="D26" s="837" t="s">
        <v>757</v>
      </c>
      <c r="E26" s="837">
        <v>0</v>
      </c>
      <c r="F26" s="837" t="s">
        <v>750</v>
      </c>
      <c r="H26" s="837" t="s">
        <v>738</v>
      </c>
      <c r="N26" s="230" t="str">
        <f t="shared" si="3"/>
        <v>A</v>
      </c>
      <c r="O26" s="837" t="str">
        <f t="shared" si="0"/>
        <v>Rosenborg</v>
      </c>
      <c r="P26" s="837" t="str">
        <f t="shared" si="4"/>
        <v>A</v>
      </c>
      <c r="R26" s="837">
        <f t="shared" si="5"/>
        <v>41465</v>
      </c>
      <c r="X26" s="832" t="str">
        <f t="shared" si="1"/>
        <v>Rosenborg</v>
      </c>
      <c r="Y26" s="832" t="str">
        <f t="shared" si="2"/>
        <v>A</v>
      </c>
      <c r="Z26" s="230"/>
      <c r="AA26" s="230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>
      <c r="A27" s="837" t="s">
        <v>739</v>
      </c>
      <c r="B27" s="230" t="s">
        <v>753</v>
      </c>
      <c r="C27" s="837" t="s">
        <v>737</v>
      </c>
      <c r="D27" s="837" t="s">
        <v>750</v>
      </c>
      <c r="E27" s="837">
        <v>0</v>
      </c>
      <c r="F27" s="837" t="s">
        <v>762</v>
      </c>
      <c r="H27" s="837" t="s">
        <v>738</v>
      </c>
      <c r="N27" s="230" t="str">
        <f t="shared" si="3"/>
        <v>H</v>
      </c>
      <c r="O27" s="837" t="str">
        <f t="shared" si="0"/>
        <v>Molde</v>
      </c>
      <c r="P27" s="837" t="str">
        <f t="shared" si="4"/>
        <v>H</v>
      </c>
      <c r="R27" s="837" t="str">
        <f t="shared" si="5"/>
        <v>21/10/13</v>
      </c>
      <c r="X27" s="832" t="str">
        <f t="shared" si="1"/>
        <v>Molde</v>
      </c>
      <c r="Y27" s="832" t="str">
        <f t="shared" si="2"/>
        <v>H</v>
      </c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>
      <c r="A28" s="837" t="s">
        <v>739</v>
      </c>
      <c r="B28" s="230" t="s">
        <v>755</v>
      </c>
      <c r="C28" s="837" t="s">
        <v>737</v>
      </c>
      <c r="D28" s="837" t="s">
        <v>759</v>
      </c>
      <c r="E28" s="837">
        <v>4.1666666666666664E-2</v>
      </c>
      <c r="F28" s="837" t="s">
        <v>750</v>
      </c>
      <c r="H28" s="837" t="s">
        <v>738</v>
      </c>
      <c r="N28" s="230" t="str">
        <f t="shared" si="3"/>
        <v>A</v>
      </c>
      <c r="O28" s="837" t="str">
        <f t="shared" si="0"/>
        <v>Brann</v>
      </c>
      <c r="P28" s="837" t="str">
        <f t="shared" si="4"/>
        <v>A</v>
      </c>
      <c r="R28" s="837" t="str">
        <f t="shared" si="5"/>
        <v>28/10/13</v>
      </c>
      <c r="X28" s="832" t="str">
        <f t="shared" si="1"/>
        <v>Brann</v>
      </c>
      <c r="Y28" s="832" t="str">
        <f t="shared" si="2"/>
        <v>A</v>
      </c>
      <c r="Z28" s="230"/>
      <c r="AA28" s="230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>
      <c r="A29" s="837" t="s">
        <v>739</v>
      </c>
      <c r="B29" s="230">
        <v>41375</v>
      </c>
      <c r="C29" s="837" t="s">
        <v>737</v>
      </c>
      <c r="D29" s="837" t="s">
        <v>750</v>
      </c>
      <c r="E29" s="837">
        <v>4.1666666666666664E-2</v>
      </c>
      <c r="F29" s="837" t="s">
        <v>764</v>
      </c>
      <c r="N29" s="230" t="str">
        <f t="shared" si="3"/>
        <v>H</v>
      </c>
      <c r="O29" s="837" t="str">
        <f t="shared" si="0"/>
        <v>Sogndal</v>
      </c>
      <c r="P29" s="837" t="str">
        <f t="shared" si="4"/>
        <v>H</v>
      </c>
      <c r="R29" s="837">
        <f t="shared" si="5"/>
        <v>41375</v>
      </c>
      <c r="X29" s="832" t="str">
        <f t="shared" si="1"/>
        <v>Sogndal</v>
      </c>
      <c r="Y29" s="832" t="str">
        <f t="shared" si="2"/>
        <v>H</v>
      </c>
      <c r="Z29" s="230"/>
      <c r="AA29" s="230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0"/>
      <c r="AP29" s="230"/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>
      <c r="A30" s="837" t="s">
        <v>739</v>
      </c>
      <c r="B30" s="230">
        <v>41589</v>
      </c>
      <c r="C30" s="837" t="s">
        <v>737</v>
      </c>
      <c r="D30" s="837" t="s">
        <v>816</v>
      </c>
      <c r="E30" s="837">
        <v>4.1666666666666664E-2</v>
      </c>
      <c r="F30" s="837" t="s">
        <v>750</v>
      </c>
      <c r="N30" s="230" t="str">
        <f t="shared" si="3"/>
        <v>A</v>
      </c>
      <c r="O30" s="837" t="str">
        <f t="shared" si="0"/>
        <v>Odd</v>
      </c>
      <c r="P30" s="837" t="str">
        <f t="shared" si="4"/>
        <v>A</v>
      </c>
      <c r="R30" s="837">
        <f t="shared" si="5"/>
        <v>41589</v>
      </c>
      <c r="X30" s="832" t="str">
        <f t="shared" si="1"/>
        <v>Odd</v>
      </c>
      <c r="Y30" s="832" t="str">
        <f t="shared" si="2"/>
        <v>A</v>
      </c>
      <c r="Z30" s="230"/>
      <c r="AA30" s="230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>
      <c r="A31" s="837" t="s">
        <v>787</v>
      </c>
      <c r="N31" s="230" t="str">
        <f t="shared" si="3"/>
        <v>A</v>
      </c>
      <c r="O31" s="837">
        <f t="shared" si="0"/>
        <v>0</v>
      </c>
      <c r="P31" s="837" t="str">
        <f t="shared" si="4"/>
        <v>A</v>
      </c>
      <c r="R31" s="837">
        <f t="shared" si="5"/>
        <v>0</v>
      </c>
      <c r="X31" s="832" t="str">
        <f t="shared" si="1"/>
        <v/>
      </c>
      <c r="Y31" s="832" t="str">
        <f t="shared" si="2"/>
        <v>A</v>
      </c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>
      <c r="N32" s="230" t="str">
        <f t="shared" si="3"/>
        <v>A</v>
      </c>
      <c r="O32" s="837">
        <f t="shared" si="0"/>
        <v>0</v>
      </c>
      <c r="P32" s="837" t="str">
        <f t="shared" si="4"/>
        <v>A</v>
      </c>
      <c r="R32" s="837">
        <f t="shared" si="5"/>
        <v>0</v>
      </c>
      <c r="X32" s="832" t="str">
        <f t="shared" si="1"/>
        <v/>
      </c>
      <c r="Y32" s="832" t="str">
        <f t="shared" si="2"/>
        <v>A</v>
      </c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14:59">
      <c r="N33" s="230" t="str">
        <f t="shared" si="3"/>
        <v>A</v>
      </c>
      <c r="O33" s="837">
        <f t="shared" si="0"/>
        <v>0</v>
      </c>
      <c r="P33" s="837" t="str">
        <f t="shared" si="4"/>
        <v>A</v>
      </c>
      <c r="R33" s="837">
        <f t="shared" si="5"/>
        <v>0</v>
      </c>
      <c r="X33" s="832" t="str">
        <f t="shared" ref="X33:X50" si="6">IFERROR(VLOOKUP(TRIM(O33),$AE$1:$AF$16,2,0),"")</f>
        <v/>
      </c>
      <c r="Y33" s="832" t="str">
        <f t="shared" ref="Y33:Y55" si="7">IF(P33="","",P33)</f>
        <v>A</v>
      </c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4:59">
      <c r="N34" s="230" t="str">
        <f t="shared" si="3"/>
        <v>A</v>
      </c>
      <c r="O34" s="837">
        <f t="shared" si="0"/>
        <v>0</v>
      </c>
      <c r="P34" s="837" t="str">
        <f t="shared" si="4"/>
        <v>A</v>
      </c>
      <c r="R34" s="837">
        <f t="shared" si="5"/>
        <v>0</v>
      </c>
      <c r="X34" s="832" t="str">
        <f t="shared" si="6"/>
        <v/>
      </c>
      <c r="Y34" s="832" t="str">
        <f t="shared" si="7"/>
        <v>A</v>
      </c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14:59">
      <c r="N35" s="230" t="str">
        <f t="shared" si="3"/>
        <v>A</v>
      </c>
      <c r="O35" s="837">
        <f t="shared" si="0"/>
        <v>0</v>
      </c>
      <c r="P35" s="837" t="str">
        <f t="shared" si="4"/>
        <v>A</v>
      </c>
      <c r="R35" s="837">
        <f t="shared" si="5"/>
        <v>0</v>
      </c>
      <c r="X35" s="832" t="str">
        <f t="shared" si="6"/>
        <v/>
      </c>
      <c r="Y35" s="832" t="str">
        <f t="shared" si="7"/>
        <v>A</v>
      </c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4:59">
      <c r="N36" s="230" t="str">
        <f t="shared" si="3"/>
        <v>A</v>
      </c>
      <c r="O36" s="837">
        <f t="shared" si="0"/>
        <v>0</v>
      </c>
      <c r="P36" s="837" t="str">
        <f t="shared" si="4"/>
        <v>A</v>
      </c>
      <c r="R36" s="837">
        <f t="shared" si="5"/>
        <v>0</v>
      </c>
      <c r="X36" s="832" t="str">
        <f t="shared" si="6"/>
        <v/>
      </c>
      <c r="Y36" s="832" t="str">
        <f t="shared" si="7"/>
        <v>A</v>
      </c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4:59">
      <c r="N37" s="230" t="str">
        <f t="shared" si="3"/>
        <v>A</v>
      </c>
      <c r="O37" s="837">
        <f t="shared" si="0"/>
        <v>0</v>
      </c>
      <c r="P37" s="837" t="str">
        <f t="shared" si="4"/>
        <v>A</v>
      </c>
      <c r="R37" s="837">
        <f t="shared" si="5"/>
        <v>0</v>
      </c>
      <c r="X37" s="832" t="str">
        <f t="shared" si="6"/>
        <v/>
      </c>
      <c r="Y37" s="832" t="str">
        <f t="shared" si="7"/>
        <v>A</v>
      </c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4:59">
      <c r="N38" s="230" t="str">
        <f t="shared" si="3"/>
        <v>A</v>
      </c>
      <c r="O38" s="837">
        <f t="shared" si="0"/>
        <v>0</v>
      </c>
      <c r="P38" s="837" t="str">
        <f t="shared" si="4"/>
        <v>A</v>
      </c>
      <c r="R38" s="837">
        <f t="shared" si="5"/>
        <v>0</v>
      </c>
      <c r="X38" s="832" t="str">
        <f t="shared" si="6"/>
        <v/>
      </c>
      <c r="Y38" s="832" t="str">
        <f t="shared" si="7"/>
        <v>A</v>
      </c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14:59">
      <c r="N39" s="230" t="str">
        <f t="shared" si="3"/>
        <v>A</v>
      </c>
      <c r="O39" s="837">
        <f t="shared" si="0"/>
        <v>0</v>
      </c>
      <c r="P39" s="837" t="str">
        <f t="shared" si="4"/>
        <v>A</v>
      </c>
      <c r="R39" s="837">
        <f t="shared" si="5"/>
        <v>0</v>
      </c>
      <c r="X39" s="832" t="str">
        <f t="shared" si="6"/>
        <v/>
      </c>
      <c r="Y39" s="832" t="str">
        <f t="shared" si="7"/>
        <v>A</v>
      </c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14:59">
      <c r="N40" s="230" t="str">
        <f t="shared" si="3"/>
        <v>A</v>
      </c>
      <c r="O40" s="837">
        <f t="shared" si="0"/>
        <v>0</v>
      </c>
      <c r="P40" s="837" t="str">
        <f t="shared" si="4"/>
        <v>A</v>
      </c>
      <c r="R40" s="837">
        <f t="shared" si="5"/>
        <v>0</v>
      </c>
      <c r="X40" s="832" t="str">
        <f t="shared" si="6"/>
        <v/>
      </c>
      <c r="Y40" s="832" t="str">
        <f t="shared" si="7"/>
        <v>A</v>
      </c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14:59">
      <c r="N41" s="230" t="str">
        <f t="shared" si="3"/>
        <v>A</v>
      </c>
      <c r="O41" s="837">
        <f t="shared" si="0"/>
        <v>0</v>
      </c>
      <c r="P41" s="837" t="str">
        <f t="shared" si="4"/>
        <v>A</v>
      </c>
      <c r="R41" s="837">
        <f t="shared" si="5"/>
        <v>0</v>
      </c>
      <c r="X41" s="832" t="str">
        <f t="shared" si="6"/>
        <v/>
      </c>
      <c r="Y41" s="832" t="str">
        <f t="shared" si="7"/>
        <v>A</v>
      </c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  <c r="AP41" s="230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14:59">
      <c r="N42" s="230" t="str">
        <f t="shared" si="3"/>
        <v>A</v>
      </c>
      <c r="O42" s="837">
        <f t="shared" si="0"/>
        <v>0</v>
      </c>
      <c r="P42" s="837" t="str">
        <f t="shared" si="4"/>
        <v>A</v>
      </c>
      <c r="R42" s="837">
        <f t="shared" si="5"/>
        <v>0</v>
      </c>
      <c r="X42" s="832" t="str">
        <f t="shared" si="6"/>
        <v/>
      </c>
      <c r="Y42" s="832" t="str">
        <f t="shared" si="7"/>
        <v>A</v>
      </c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14:59">
      <c r="N43" s="230" t="str">
        <f t="shared" si="3"/>
        <v>A</v>
      </c>
      <c r="O43" s="837">
        <f t="shared" si="0"/>
        <v>0</v>
      </c>
      <c r="P43" s="837" t="str">
        <f t="shared" si="4"/>
        <v>A</v>
      </c>
      <c r="R43" s="837">
        <f t="shared" si="5"/>
        <v>0</v>
      </c>
      <c r="X43" s="832" t="str">
        <f t="shared" si="6"/>
        <v/>
      </c>
      <c r="Y43" s="832" t="str">
        <f t="shared" si="7"/>
        <v>A</v>
      </c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14:59">
      <c r="N44" s="230" t="str">
        <f t="shared" si="3"/>
        <v>A</v>
      </c>
      <c r="O44" s="837">
        <f t="shared" si="0"/>
        <v>0</v>
      </c>
      <c r="P44" s="837" t="str">
        <f t="shared" si="4"/>
        <v>A</v>
      </c>
      <c r="R44" s="837">
        <f t="shared" si="5"/>
        <v>0</v>
      </c>
      <c r="X44" s="832" t="str">
        <f t="shared" si="6"/>
        <v/>
      </c>
      <c r="Y44" s="832" t="str">
        <f t="shared" si="7"/>
        <v>A</v>
      </c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14:59">
      <c r="N45" s="230" t="str">
        <f t="shared" si="3"/>
        <v>A</v>
      </c>
      <c r="O45" s="837">
        <f t="shared" si="0"/>
        <v>0</v>
      </c>
      <c r="P45" s="837" t="str">
        <f t="shared" si="4"/>
        <v>A</v>
      </c>
      <c r="R45" s="837">
        <f t="shared" si="5"/>
        <v>0</v>
      </c>
      <c r="X45" s="832" t="str">
        <f t="shared" si="6"/>
        <v/>
      </c>
      <c r="Y45" s="832" t="str">
        <f t="shared" si="7"/>
        <v>A</v>
      </c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14:59">
      <c r="N46" s="230" t="str">
        <f t="shared" si="3"/>
        <v>A</v>
      </c>
      <c r="O46" s="837">
        <f t="shared" si="0"/>
        <v>0</v>
      </c>
      <c r="P46" s="837" t="str">
        <f t="shared" si="4"/>
        <v>A</v>
      </c>
      <c r="R46" s="837">
        <f t="shared" si="5"/>
        <v>0</v>
      </c>
      <c r="X46" s="832" t="str">
        <f t="shared" si="6"/>
        <v/>
      </c>
      <c r="Y46" s="832" t="str">
        <f t="shared" si="7"/>
        <v>A</v>
      </c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14:59">
      <c r="N47" s="230" t="str">
        <f t="shared" si="3"/>
        <v>A</v>
      </c>
      <c r="O47" s="837">
        <f t="shared" si="0"/>
        <v>0</v>
      </c>
      <c r="P47" s="837" t="str">
        <f t="shared" si="4"/>
        <v>A</v>
      </c>
      <c r="R47" s="837">
        <f t="shared" si="5"/>
        <v>0</v>
      </c>
      <c r="X47" s="832" t="str">
        <f t="shared" si="6"/>
        <v/>
      </c>
      <c r="Y47" s="832" t="str">
        <f t="shared" si="7"/>
        <v>A</v>
      </c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14:59">
      <c r="N48" s="230" t="str">
        <f t="shared" si="3"/>
        <v>A</v>
      </c>
      <c r="O48" s="837">
        <f t="shared" si="0"/>
        <v>0</v>
      </c>
      <c r="P48" s="837" t="str">
        <f t="shared" si="4"/>
        <v>A</v>
      </c>
      <c r="R48" s="837">
        <f t="shared" si="5"/>
        <v>0</v>
      </c>
      <c r="X48" s="832" t="str">
        <f t="shared" si="6"/>
        <v/>
      </c>
      <c r="Y48" s="832" t="str">
        <f t="shared" si="7"/>
        <v>A</v>
      </c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5:59">
      <c r="N49" s="230" t="str">
        <f t="shared" si="3"/>
        <v>A</v>
      </c>
      <c r="O49" s="837">
        <f t="shared" si="0"/>
        <v>0</v>
      </c>
      <c r="P49" s="837" t="str">
        <f t="shared" si="4"/>
        <v>A</v>
      </c>
      <c r="R49" s="837">
        <f t="shared" si="5"/>
        <v>0</v>
      </c>
      <c r="X49" s="832" t="str">
        <f t="shared" si="6"/>
        <v/>
      </c>
      <c r="Y49" s="832" t="str">
        <f t="shared" si="7"/>
        <v>A</v>
      </c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5:59">
      <c r="N50" s="230" t="str">
        <f t="shared" si="3"/>
        <v>A</v>
      </c>
      <c r="O50" s="837">
        <f t="shared" si="0"/>
        <v>0</v>
      </c>
      <c r="P50" s="837" t="str">
        <f t="shared" si="4"/>
        <v>A</v>
      </c>
      <c r="R50" s="837">
        <f t="shared" si="5"/>
        <v>0</v>
      </c>
      <c r="X50" s="230" t="str">
        <f t="shared" si="6"/>
        <v/>
      </c>
      <c r="Y50" s="230" t="str">
        <f t="shared" si="7"/>
        <v>A</v>
      </c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5:59">
      <c r="X51" s="230" t="str">
        <f>IFERROR(VLOOKUP(O51,$AE$1:$AF$16,2,0),"")</f>
        <v/>
      </c>
      <c r="Y51" s="230" t="str">
        <f t="shared" si="7"/>
        <v/>
      </c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5:59">
      <c r="X52" s="230" t="str">
        <f>IFERROR(VLOOKUP(O52,$AE$1:$AF$16,2,0),"")</f>
        <v/>
      </c>
      <c r="Y52" s="230" t="str">
        <f t="shared" si="7"/>
        <v/>
      </c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5:59">
      <c r="X53" s="230" t="str">
        <f>IFERROR(VLOOKUP(O53,$AE$1:$AF$16,2,0),"")</f>
        <v/>
      </c>
      <c r="Y53" s="230" t="str">
        <f t="shared" si="7"/>
        <v/>
      </c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5:59">
      <c r="X54" s="230" t="str">
        <f>IFERROR(VLOOKUP(O54,$AE$1:$AF$16,2,0),"")</f>
        <v/>
      </c>
      <c r="Y54" s="230" t="str">
        <f t="shared" si="7"/>
        <v/>
      </c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5:59">
      <c r="X55" s="230" t="str">
        <f>IFERROR(VLOOKUP(O55,$AE$1:$AF$16,2,0),"")</f>
        <v/>
      </c>
      <c r="Y55" s="230" t="str">
        <f t="shared" si="7"/>
        <v/>
      </c>
      <c r="Z55" s="230"/>
      <c r="AA55" s="230"/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5:59">
      <c r="X56" s="230"/>
      <c r="Y56" s="230"/>
      <c r="Z56" s="230"/>
      <c r="AA56" s="230"/>
      <c r="AB56" s="230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5:59"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5:59">
      <c r="E58" s="837" t="str">
        <f>LEFT(E60,1)</f>
        <v>N</v>
      </c>
      <c r="X58" s="230"/>
      <c r="Y58" s="230"/>
      <c r="Z58" s="230"/>
      <c r="AA58" s="230"/>
      <c r="AB58" s="230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5:59">
      <c r="E59" s="837">
        <v>2</v>
      </c>
      <c r="F59" s="837">
        <v>3</v>
      </c>
      <c r="G59" s="837">
        <v>4</v>
      </c>
      <c r="H59" s="837">
        <v>5</v>
      </c>
      <c r="I59" s="837">
        <v>6</v>
      </c>
      <c r="J59" s="837">
        <v>7</v>
      </c>
      <c r="K59" s="837">
        <v>8</v>
      </c>
      <c r="L59" s="837">
        <v>9</v>
      </c>
      <c r="M59" s="837">
        <v>10</v>
      </c>
      <c r="N59" s="837">
        <v>11</v>
      </c>
      <c r="O59" s="837">
        <v>12</v>
      </c>
      <c r="P59" s="837">
        <v>13</v>
      </c>
      <c r="Q59" s="837">
        <v>15</v>
      </c>
      <c r="R59" s="837">
        <v>16</v>
      </c>
      <c r="W59" s="837">
        <v>17</v>
      </c>
      <c r="X59" s="230">
        <v>18</v>
      </c>
      <c r="Y59" s="230">
        <v>19</v>
      </c>
      <c r="Z59" s="230">
        <v>21</v>
      </c>
      <c r="AA59" s="230">
        <v>22</v>
      </c>
      <c r="AB59" s="230">
        <v>23</v>
      </c>
      <c r="AC59" s="230">
        <v>24</v>
      </c>
      <c r="AD59" s="230">
        <v>27</v>
      </c>
      <c r="AE59" s="230">
        <v>28</v>
      </c>
      <c r="AF59" s="230">
        <v>29</v>
      </c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5:59">
      <c r="E60" s="230" t="s">
        <v>216</v>
      </c>
      <c r="F60" s="230" t="s">
        <v>218</v>
      </c>
      <c r="G60" s="230" t="s">
        <v>219</v>
      </c>
      <c r="H60" s="230" t="s">
        <v>220</v>
      </c>
      <c r="I60" s="230" t="s">
        <v>222</v>
      </c>
      <c r="J60" s="230" t="s">
        <v>223</v>
      </c>
      <c r="K60" s="230" t="s">
        <v>224</v>
      </c>
      <c r="L60" s="230" t="s">
        <v>225</v>
      </c>
      <c r="M60" s="230" t="s">
        <v>226</v>
      </c>
      <c r="N60" s="230" t="s">
        <v>228</v>
      </c>
      <c r="O60" s="230" t="s">
        <v>229</v>
      </c>
      <c r="P60" s="230" t="s">
        <v>230</v>
      </c>
      <c r="Q60" s="230" t="s">
        <v>232</v>
      </c>
      <c r="R60" s="230" t="s">
        <v>233</v>
      </c>
      <c r="S60" s="230"/>
      <c r="T60" s="230"/>
      <c r="U60" s="230"/>
      <c r="V60" s="230"/>
      <c r="W60" s="230" t="s">
        <v>234</v>
      </c>
      <c r="X60" s="230" t="s">
        <v>235</v>
      </c>
      <c r="Y60" s="230" t="s">
        <v>236</v>
      </c>
      <c r="Z60" s="230" t="s">
        <v>237</v>
      </c>
      <c r="AA60" s="230" t="s">
        <v>238</v>
      </c>
      <c r="AB60" s="230" t="s">
        <v>239</v>
      </c>
      <c r="AC60" s="230" t="s">
        <v>240</v>
      </c>
      <c r="AD60" s="230" t="s">
        <v>241</v>
      </c>
      <c r="AE60" s="230" t="s">
        <v>242</v>
      </c>
      <c r="AF60" s="230" t="s">
        <v>243</v>
      </c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5:59">
      <c r="E61" s="837" t="s">
        <v>217</v>
      </c>
      <c r="F61" s="837" t="s">
        <v>217</v>
      </c>
      <c r="G61" s="837" t="s">
        <v>217</v>
      </c>
      <c r="H61" s="837" t="s">
        <v>221</v>
      </c>
      <c r="I61" s="837" t="s">
        <v>217</v>
      </c>
      <c r="J61" s="837" t="s">
        <v>221</v>
      </c>
      <c r="K61" s="837" t="s">
        <v>221</v>
      </c>
      <c r="L61" s="837" t="s">
        <v>221</v>
      </c>
      <c r="M61" s="837" t="s">
        <v>227</v>
      </c>
      <c r="N61" s="837" t="s">
        <v>221</v>
      </c>
      <c r="O61" s="837" t="s">
        <v>227</v>
      </c>
      <c r="P61" s="837" t="s">
        <v>231</v>
      </c>
      <c r="Q61" s="837" t="s">
        <v>221</v>
      </c>
      <c r="R61" s="837" t="s">
        <v>217</v>
      </c>
      <c r="W61" s="837" t="s">
        <v>217</v>
      </c>
      <c r="X61" s="230" t="s">
        <v>221</v>
      </c>
      <c r="Y61" s="230" t="s">
        <v>227</v>
      </c>
      <c r="Z61" s="230" t="s">
        <v>227</v>
      </c>
      <c r="AA61" s="230" t="s">
        <v>227</v>
      </c>
      <c r="AB61" s="230" t="s">
        <v>217</v>
      </c>
      <c r="AC61" s="230" t="s">
        <v>221</v>
      </c>
      <c r="AD61" s="230" t="s">
        <v>231</v>
      </c>
      <c r="AE61" s="230" t="s">
        <v>221</v>
      </c>
      <c r="AF61" s="230" t="s">
        <v>221</v>
      </c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5:59">
      <c r="E62" s="837" t="s">
        <v>3</v>
      </c>
      <c r="F62" s="837" t="s">
        <v>3</v>
      </c>
      <c r="G62" s="837" t="s">
        <v>3</v>
      </c>
      <c r="H62" s="837" t="s">
        <v>201</v>
      </c>
      <c r="I62" s="837" t="s">
        <v>3</v>
      </c>
      <c r="J62" s="837" t="s">
        <v>201</v>
      </c>
      <c r="K62" s="837" t="s">
        <v>201</v>
      </c>
      <c r="L62" s="837" t="s">
        <v>201</v>
      </c>
      <c r="M62" s="837" t="s">
        <v>18</v>
      </c>
      <c r="N62" s="230" t="s">
        <v>201</v>
      </c>
      <c r="O62" s="837" t="s">
        <v>18</v>
      </c>
      <c r="P62" s="837" t="s">
        <v>200</v>
      </c>
      <c r="Q62" s="837" t="s">
        <v>201</v>
      </c>
      <c r="R62" s="837" t="str">
        <f>IF(R61=$E$61,"D",IF(R61=$H$61,"M",IF(R61=$M$61,"A",IF(R61=$P$61,"G",""))))</f>
        <v>D</v>
      </c>
      <c r="W62" s="837" t="str">
        <f t="shared" ref="W62:AF62" si="8">IF(W61=$E$61,"D",IF(W61=$H$61,"M",IF(W61=$M$61,"A",IF(W61=$P$61,"G",""))))</f>
        <v>D</v>
      </c>
      <c r="X62" s="230" t="str">
        <f t="shared" si="8"/>
        <v>M</v>
      </c>
      <c r="Y62" s="230" t="str">
        <f t="shared" si="8"/>
        <v>A</v>
      </c>
      <c r="Z62" s="230" t="str">
        <f t="shared" si="8"/>
        <v>A</v>
      </c>
      <c r="AA62" s="230" t="str">
        <f t="shared" si="8"/>
        <v>A</v>
      </c>
      <c r="AB62" s="230" t="str">
        <f t="shared" si="8"/>
        <v>D</v>
      </c>
      <c r="AC62" s="230" t="str">
        <f t="shared" si="8"/>
        <v>M</v>
      </c>
      <c r="AD62" s="230" t="str">
        <f t="shared" si="8"/>
        <v>G</v>
      </c>
      <c r="AE62" s="230" t="str">
        <f t="shared" si="8"/>
        <v>M</v>
      </c>
      <c r="AF62" s="230" t="str">
        <f t="shared" si="8"/>
        <v>M</v>
      </c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5:59"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5:59">
      <c r="E64" s="837">
        <v>1</v>
      </c>
      <c r="F64" s="837">
        <v>20</v>
      </c>
      <c r="G64" s="837">
        <v>2</v>
      </c>
      <c r="H64" s="837">
        <v>3</v>
      </c>
      <c r="I64" s="837">
        <v>4</v>
      </c>
      <c r="J64" s="837">
        <v>5</v>
      </c>
      <c r="K64" s="837">
        <v>13</v>
      </c>
      <c r="L64" s="837">
        <v>17</v>
      </c>
      <c r="M64" s="837">
        <v>18</v>
      </c>
      <c r="N64" s="230">
        <v>23</v>
      </c>
      <c r="O64" s="837">
        <v>24</v>
      </c>
      <c r="P64" s="837">
        <v>7</v>
      </c>
      <c r="Q64" s="837">
        <v>8</v>
      </c>
      <c r="R64" s="837">
        <v>9</v>
      </c>
      <c r="W64" s="837">
        <v>10</v>
      </c>
      <c r="X64" s="230">
        <v>12</v>
      </c>
      <c r="Y64" s="230">
        <v>16</v>
      </c>
      <c r="Z64" s="230">
        <v>19</v>
      </c>
      <c r="AA64" s="230">
        <v>21</v>
      </c>
      <c r="AB64" s="230">
        <v>11</v>
      </c>
      <c r="AC64" s="230">
        <v>14</v>
      </c>
      <c r="AD64" s="230">
        <v>15</v>
      </c>
      <c r="AE64" s="230">
        <v>22</v>
      </c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2:59">
      <c r="E65" s="837" t="s">
        <v>244</v>
      </c>
      <c r="F65" s="837" t="s">
        <v>245</v>
      </c>
      <c r="G65" s="837" t="s">
        <v>246</v>
      </c>
      <c r="H65" s="837" t="s">
        <v>247</v>
      </c>
      <c r="I65" s="837" t="s">
        <v>248</v>
      </c>
      <c r="J65" s="837" t="s">
        <v>249</v>
      </c>
      <c r="K65" s="837" t="s">
        <v>250</v>
      </c>
      <c r="L65" s="837" t="s">
        <v>251</v>
      </c>
      <c r="M65" s="837" t="s">
        <v>252</v>
      </c>
      <c r="N65" s="837" t="s">
        <v>253</v>
      </c>
      <c r="O65" s="837" t="s">
        <v>254</v>
      </c>
      <c r="P65" s="837" t="s">
        <v>255</v>
      </c>
      <c r="Q65" s="837" t="s">
        <v>256</v>
      </c>
      <c r="R65" s="837" t="s">
        <v>257</v>
      </c>
      <c r="W65" s="837" t="s">
        <v>258</v>
      </c>
      <c r="X65" s="230" t="s">
        <v>259</v>
      </c>
      <c r="Y65" s="230" t="s">
        <v>260</v>
      </c>
      <c r="Z65" s="230" t="s">
        <v>261</v>
      </c>
      <c r="AA65" s="230" t="s">
        <v>262</v>
      </c>
      <c r="AB65" s="230" t="s">
        <v>263</v>
      </c>
      <c r="AC65" s="230" t="s">
        <v>264</v>
      </c>
      <c r="AD65" s="230" t="s">
        <v>265</v>
      </c>
      <c r="AE65" s="230" t="s">
        <v>266</v>
      </c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2:59">
      <c r="E66" s="837" t="s">
        <v>200</v>
      </c>
      <c r="F66" s="837" t="s">
        <v>200</v>
      </c>
      <c r="G66" s="837" t="s">
        <v>3</v>
      </c>
      <c r="H66" s="837" t="s">
        <v>3</v>
      </c>
      <c r="I66" s="837" t="s">
        <v>3</v>
      </c>
      <c r="J66" s="837" t="s">
        <v>3</v>
      </c>
      <c r="K66" s="837" t="s">
        <v>3</v>
      </c>
      <c r="L66" s="837" t="s">
        <v>3</v>
      </c>
      <c r="M66" s="837" t="s">
        <v>3</v>
      </c>
      <c r="N66" s="837" t="s">
        <v>3</v>
      </c>
      <c r="O66" s="837" t="s">
        <v>3</v>
      </c>
      <c r="P66" s="837" t="s">
        <v>201</v>
      </c>
      <c r="Q66" s="837" t="s">
        <v>201</v>
      </c>
      <c r="R66" s="837" t="s">
        <v>201</v>
      </c>
      <c r="W66" s="837" t="s">
        <v>201</v>
      </c>
      <c r="X66" s="230" t="s">
        <v>201</v>
      </c>
      <c r="Y66" s="230" t="s">
        <v>201</v>
      </c>
      <c r="Z66" s="230" t="s">
        <v>201</v>
      </c>
      <c r="AA66" s="230" t="s">
        <v>201</v>
      </c>
      <c r="AB66" s="230" t="s">
        <v>18</v>
      </c>
      <c r="AC66" s="230" t="s">
        <v>18</v>
      </c>
      <c r="AD66" s="230" t="s">
        <v>18</v>
      </c>
      <c r="AE66" s="230" t="s">
        <v>18</v>
      </c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2:59">
      <c r="X67" s="230"/>
      <c r="Y67" s="230"/>
      <c r="Z67" s="230"/>
      <c r="AA67" s="230"/>
      <c r="AB67" s="230"/>
      <c r="AC67" s="230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2:59">
      <c r="E68" s="837" t="s">
        <v>267</v>
      </c>
      <c r="H68" s="837" t="s">
        <v>270</v>
      </c>
      <c r="R68" s="837" t="s">
        <v>280</v>
      </c>
      <c r="X68" s="230"/>
      <c r="Y68" s="230"/>
      <c r="Z68" s="230"/>
      <c r="AA68" s="230"/>
      <c r="AB68" s="230"/>
      <c r="AC68" s="230"/>
      <c r="AD68" s="230"/>
      <c r="AE68" s="230"/>
      <c r="AF68" s="230"/>
      <c r="AG68" s="230" t="s">
        <v>291</v>
      </c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2:59">
      <c r="E69" s="837">
        <v>21</v>
      </c>
      <c r="F69" s="837">
        <v>23</v>
      </c>
      <c r="G69" s="837">
        <v>30</v>
      </c>
      <c r="H69" s="837">
        <v>2</v>
      </c>
      <c r="I69" s="837">
        <v>3</v>
      </c>
      <c r="J69" s="837">
        <v>5</v>
      </c>
      <c r="K69" s="837">
        <v>6</v>
      </c>
      <c r="L69" s="837">
        <v>13</v>
      </c>
      <c r="M69" s="837">
        <v>14</v>
      </c>
      <c r="N69" s="837">
        <v>17</v>
      </c>
      <c r="O69" s="837">
        <v>20</v>
      </c>
      <c r="P69" s="837">
        <v>24</v>
      </c>
      <c r="Q69" s="837">
        <v>4</v>
      </c>
      <c r="R69" s="837">
        <v>7</v>
      </c>
      <c r="W69" s="837">
        <v>10</v>
      </c>
      <c r="X69" s="230">
        <v>11</v>
      </c>
      <c r="Y69" s="230">
        <v>15</v>
      </c>
      <c r="Z69" s="230">
        <v>16</v>
      </c>
      <c r="AA69" s="230">
        <v>19</v>
      </c>
      <c r="AB69" s="230">
        <v>22</v>
      </c>
      <c r="AC69" s="230">
        <v>25</v>
      </c>
      <c r="AD69" s="230">
        <v>28</v>
      </c>
      <c r="AE69" s="230">
        <v>8</v>
      </c>
      <c r="AF69" s="230">
        <v>9</v>
      </c>
      <c r="AG69" s="230">
        <v>27</v>
      </c>
      <c r="AH69" s="230">
        <v>31</v>
      </c>
      <c r="AI69" s="230"/>
      <c r="AJ69" s="230"/>
      <c r="AK69" s="230">
        <v>36</v>
      </c>
      <c r="AL69" s="230">
        <v>38</v>
      </c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2:59">
      <c r="E70" s="230" t="s">
        <v>268</v>
      </c>
      <c r="F70" s="230" t="s">
        <v>269</v>
      </c>
      <c r="G70" s="230" t="s">
        <v>295</v>
      </c>
      <c r="H70" s="230" t="s">
        <v>271</v>
      </c>
      <c r="I70" s="230" t="s">
        <v>272</v>
      </c>
      <c r="J70" s="230" t="s">
        <v>273</v>
      </c>
      <c r="K70" s="230" t="s">
        <v>274</v>
      </c>
      <c r="L70" s="230" t="s">
        <v>275</v>
      </c>
      <c r="M70" s="230" t="s">
        <v>276</v>
      </c>
      <c r="N70" s="230" t="s">
        <v>277</v>
      </c>
      <c r="O70" s="230" t="s">
        <v>278</v>
      </c>
      <c r="P70" s="230" t="s">
        <v>279</v>
      </c>
      <c r="Q70" s="230" t="s">
        <v>281</v>
      </c>
      <c r="R70" s="230" t="s">
        <v>282</v>
      </c>
      <c r="S70" s="230"/>
      <c r="T70" s="230"/>
      <c r="U70" s="230"/>
      <c r="V70" s="230"/>
      <c r="W70" s="230" t="s">
        <v>283</v>
      </c>
      <c r="X70" s="230" t="s">
        <v>284</v>
      </c>
      <c r="Y70" s="230" t="s">
        <v>285</v>
      </c>
      <c r="Z70" s="230" t="s">
        <v>286</v>
      </c>
      <c r="AA70" s="230" t="s">
        <v>287</v>
      </c>
      <c r="AB70" s="230" t="s">
        <v>288</v>
      </c>
      <c r="AC70" s="230" t="s">
        <v>289</v>
      </c>
      <c r="AD70" s="230" t="s">
        <v>290</v>
      </c>
      <c r="AE70" s="230" t="s">
        <v>292</v>
      </c>
      <c r="AF70" s="230" t="s">
        <v>293</v>
      </c>
      <c r="AG70" s="230" t="s">
        <v>294</v>
      </c>
      <c r="AH70" s="230" t="s">
        <v>296</v>
      </c>
      <c r="AI70" s="230"/>
      <c r="AJ70" s="230"/>
      <c r="AK70" s="230" t="s">
        <v>299</v>
      </c>
      <c r="AL70" s="230" t="s">
        <v>300</v>
      </c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2:59">
      <c r="E71" s="837" t="s">
        <v>200</v>
      </c>
      <c r="F71" s="837" t="s">
        <v>200</v>
      </c>
      <c r="G71" s="837" t="s">
        <v>200</v>
      </c>
      <c r="H71" s="837" t="s">
        <v>3</v>
      </c>
      <c r="I71" s="837" t="s">
        <v>3</v>
      </c>
      <c r="J71" s="837" t="s">
        <v>3</v>
      </c>
      <c r="K71" s="837" t="s">
        <v>3</v>
      </c>
      <c r="L71" s="837" t="s">
        <v>3</v>
      </c>
      <c r="M71" s="837" t="s">
        <v>3</v>
      </c>
      <c r="N71" s="837" t="s">
        <v>3</v>
      </c>
      <c r="O71" s="837" t="s">
        <v>3</v>
      </c>
      <c r="P71" s="837" t="s">
        <v>3</v>
      </c>
      <c r="Q71" s="837" t="s">
        <v>201</v>
      </c>
      <c r="R71" s="837" t="s">
        <v>201</v>
      </c>
      <c r="W71" s="837" t="s">
        <v>201</v>
      </c>
      <c r="X71" s="230" t="s">
        <v>201</v>
      </c>
      <c r="Y71" s="230" t="s">
        <v>201</v>
      </c>
      <c r="Z71" s="230" t="s">
        <v>201</v>
      </c>
      <c r="AA71" s="230" t="s">
        <v>201</v>
      </c>
      <c r="AB71" s="230" t="s">
        <v>201</v>
      </c>
      <c r="AC71" s="230" t="s">
        <v>201</v>
      </c>
      <c r="AD71" s="230" t="s">
        <v>201</v>
      </c>
      <c r="AE71" s="230" t="s">
        <v>18</v>
      </c>
      <c r="AF71" s="230" t="s">
        <v>18</v>
      </c>
      <c r="AG71" s="230" t="s">
        <v>18</v>
      </c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2:59"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2:59"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2:59">
      <c r="B74" s="837"/>
      <c r="X74" s="230"/>
      <c r="Y74" s="230"/>
      <c r="Z74" s="230"/>
      <c r="AA74" s="230"/>
      <c r="AB74" s="230"/>
      <c r="AC74" s="230"/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2:59">
      <c r="B75" s="837"/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2:59">
      <c r="B76" s="837"/>
      <c r="X76" s="230"/>
      <c r="Y76" s="230"/>
      <c r="Z76" s="230"/>
      <c r="AA76" s="230"/>
      <c r="AB76" s="230"/>
      <c r="AC76" s="230"/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2:59">
      <c r="B77" s="837"/>
      <c r="E77" s="837">
        <v>13</v>
      </c>
      <c r="F77" s="837">
        <v>27</v>
      </c>
      <c r="H77" s="837">
        <v>2</v>
      </c>
      <c r="I77" s="837">
        <v>3</v>
      </c>
      <c r="J77" s="837">
        <v>4</v>
      </c>
      <c r="K77" s="837">
        <v>6</v>
      </c>
      <c r="L77" s="837">
        <v>16</v>
      </c>
      <c r="M77" s="837">
        <v>17</v>
      </c>
      <c r="N77" s="837">
        <v>23</v>
      </c>
      <c r="O77" s="837">
        <v>5</v>
      </c>
      <c r="P77" s="837">
        <v>7</v>
      </c>
      <c r="Q77" s="837">
        <v>8</v>
      </c>
      <c r="R77" s="837">
        <v>9</v>
      </c>
      <c r="W77" s="837">
        <v>11</v>
      </c>
      <c r="X77" s="230">
        <v>15</v>
      </c>
      <c r="Y77" s="230">
        <v>18</v>
      </c>
      <c r="Z77" s="230">
        <v>24</v>
      </c>
      <c r="AA77" s="230">
        <v>28</v>
      </c>
      <c r="AB77" s="230">
        <v>29</v>
      </c>
      <c r="AC77" s="230">
        <v>10</v>
      </c>
      <c r="AD77" s="230">
        <v>12</v>
      </c>
      <c r="AE77" s="230">
        <v>19</v>
      </c>
      <c r="AF77" s="230">
        <v>21</v>
      </c>
      <c r="AG77" s="230">
        <v>22</v>
      </c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2:59">
      <c r="B78" s="837"/>
      <c r="E78" s="837" t="s">
        <v>301</v>
      </c>
      <c r="F78" s="837" t="s">
        <v>302</v>
      </c>
      <c r="G78" s="837" t="s">
        <v>303</v>
      </c>
      <c r="H78" s="837" t="s">
        <v>304</v>
      </c>
      <c r="I78" s="837" t="s">
        <v>305</v>
      </c>
      <c r="J78" s="837" t="s">
        <v>306</v>
      </c>
      <c r="K78" s="837" t="s">
        <v>307</v>
      </c>
      <c r="L78" s="837" t="s">
        <v>308</v>
      </c>
      <c r="M78" s="837" t="s">
        <v>317</v>
      </c>
      <c r="N78" s="837" t="s">
        <v>309</v>
      </c>
      <c r="O78" s="837" t="s">
        <v>310</v>
      </c>
      <c r="P78" s="837" t="s">
        <v>311</v>
      </c>
      <c r="Q78" s="837" t="s">
        <v>312</v>
      </c>
      <c r="R78" s="837" t="s">
        <v>313</v>
      </c>
      <c r="W78" s="837" t="s">
        <v>315</v>
      </c>
      <c r="X78" s="230" t="s">
        <v>316</v>
      </c>
      <c r="Y78" s="230" t="s">
        <v>318</v>
      </c>
      <c r="Z78" s="230" t="s">
        <v>319</v>
      </c>
      <c r="AA78" s="230" t="s">
        <v>320</v>
      </c>
      <c r="AB78" s="230" t="s">
        <v>321</v>
      </c>
      <c r="AC78" s="230" t="s">
        <v>314</v>
      </c>
      <c r="AD78" s="230" t="s">
        <v>322</v>
      </c>
      <c r="AE78" s="230" t="s">
        <v>323</v>
      </c>
      <c r="AF78" s="230" t="s">
        <v>324</v>
      </c>
      <c r="AG78" s="230" t="s">
        <v>238</v>
      </c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2:59">
      <c r="B79" s="837"/>
      <c r="E79" s="837" t="s">
        <v>200</v>
      </c>
      <c r="F79" s="837" t="s">
        <v>200</v>
      </c>
      <c r="G79" s="837" t="s">
        <v>200</v>
      </c>
      <c r="H79" s="837" t="s">
        <v>3</v>
      </c>
      <c r="I79" s="837" t="s">
        <v>3</v>
      </c>
      <c r="J79" s="837" t="s">
        <v>3</v>
      </c>
      <c r="K79" s="837" t="s">
        <v>3</v>
      </c>
      <c r="L79" s="837" t="s">
        <v>3</v>
      </c>
      <c r="M79" s="837" t="s">
        <v>3</v>
      </c>
      <c r="N79" s="837" t="s">
        <v>3</v>
      </c>
      <c r="O79" s="837" t="s">
        <v>201</v>
      </c>
      <c r="P79" s="837" t="s">
        <v>201</v>
      </c>
      <c r="Q79" s="837" t="s">
        <v>201</v>
      </c>
      <c r="R79" s="837" t="s">
        <v>201</v>
      </c>
      <c r="W79" s="837" t="s">
        <v>201</v>
      </c>
      <c r="X79" s="230" t="s">
        <v>201</v>
      </c>
      <c r="Y79" s="230" t="s">
        <v>201</v>
      </c>
      <c r="Z79" s="230" t="s">
        <v>201</v>
      </c>
      <c r="AA79" s="230" t="s">
        <v>201</v>
      </c>
      <c r="AB79" s="230" t="s">
        <v>201</v>
      </c>
      <c r="AC79" s="230" t="s">
        <v>18</v>
      </c>
      <c r="AD79" s="230" t="s">
        <v>18</v>
      </c>
      <c r="AE79" s="230" t="s">
        <v>18</v>
      </c>
      <c r="AF79" s="230" t="s">
        <v>18</v>
      </c>
      <c r="AG79" s="230" t="s">
        <v>18</v>
      </c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2:59">
      <c r="B80" s="837"/>
      <c r="X80" s="230"/>
      <c r="Y80" s="230"/>
      <c r="Z80" s="230"/>
      <c r="AA80" s="230"/>
      <c r="AB80" s="230"/>
      <c r="AC80" s="230"/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2:59">
      <c r="B81" s="837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2:59">
      <c r="B82" s="837"/>
      <c r="X82" s="230"/>
      <c r="Y82" s="230"/>
      <c r="Z82" s="230"/>
      <c r="AA82" s="230"/>
      <c r="AB82" s="230"/>
      <c r="AC82" s="230"/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2:59">
      <c r="B83" s="837"/>
      <c r="E83" s="230" t="s">
        <v>200</v>
      </c>
      <c r="F83" s="230" t="s">
        <v>200</v>
      </c>
      <c r="G83" s="230" t="s">
        <v>3</v>
      </c>
      <c r="H83" s="230" t="s">
        <v>3</v>
      </c>
      <c r="I83" s="230" t="s">
        <v>3</v>
      </c>
      <c r="J83" s="230" t="s">
        <v>3</v>
      </c>
      <c r="K83" s="230" t="s">
        <v>3</v>
      </c>
      <c r="L83" s="230" t="s">
        <v>3</v>
      </c>
      <c r="M83" s="230" t="s">
        <v>3</v>
      </c>
      <c r="N83" s="230" t="s">
        <v>3</v>
      </c>
      <c r="O83" s="230" t="s">
        <v>3</v>
      </c>
      <c r="P83" s="230" t="s">
        <v>201</v>
      </c>
      <c r="Q83" s="230" t="s">
        <v>201</v>
      </c>
      <c r="R83" s="230" t="s">
        <v>201</v>
      </c>
      <c r="S83" s="230"/>
      <c r="T83" s="230"/>
      <c r="U83" s="230"/>
      <c r="V83" s="230"/>
      <c r="W83" s="230" t="s">
        <v>201</v>
      </c>
      <c r="X83" s="230" t="s">
        <v>201</v>
      </c>
      <c r="Y83" s="230" t="s">
        <v>201</v>
      </c>
      <c r="Z83" s="230" t="s">
        <v>201</v>
      </c>
      <c r="AA83" s="230" t="s">
        <v>201</v>
      </c>
      <c r="AB83" s="230" t="s">
        <v>18</v>
      </c>
      <c r="AC83" s="230" t="s">
        <v>18</v>
      </c>
      <c r="AD83" s="230" t="s">
        <v>18</v>
      </c>
      <c r="AE83" s="230" t="s">
        <v>18</v>
      </c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2:59">
      <c r="B84" s="837"/>
      <c r="E84" s="230" t="s">
        <v>325</v>
      </c>
      <c r="F84" s="230" t="s">
        <v>326</v>
      </c>
      <c r="G84" s="230" t="s">
        <v>327</v>
      </c>
      <c r="H84" s="230" t="s">
        <v>328</v>
      </c>
      <c r="I84" s="230" t="s">
        <v>335</v>
      </c>
      <c r="J84" s="230" t="s">
        <v>329</v>
      </c>
      <c r="K84" s="230" t="s">
        <v>330</v>
      </c>
      <c r="L84" s="230" t="s">
        <v>331</v>
      </c>
      <c r="M84" s="230" t="s">
        <v>332</v>
      </c>
      <c r="N84" s="230" t="s">
        <v>333</v>
      </c>
      <c r="O84" s="230" t="s">
        <v>334</v>
      </c>
      <c r="P84" s="230" t="s">
        <v>336</v>
      </c>
      <c r="Q84" s="230" t="s">
        <v>337</v>
      </c>
      <c r="R84" s="230" t="s">
        <v>257</v>
      </c>
      <c r="S84" s="230"/>
      <c r="T84" s="230"/>
      <c r="U84" s="230"/>
      <c r="V84" s="230"/>
      <c r="W84" s="230" t="s">
        <v>338</v>
      </c>
      <c r="X84" s="230" t="s">
        <v>339</v>
      </c>
      <c r="Y84" s="230" t="s">
        <v>340</v>
      </c>
      <c r="Z84" s="230" t="s">
        <v>341</v>
      </c>
      <c r="AA84" s="230" t="s">
        <v>342</v>
      </c>
      <c r="AB84" s="230" t="s">
        <v>343</v>
      </c>
      <c r="AC84" s="230" t="s">
        <v>344</v>
      </c>
      <c r="AD84" s="230" t="s">
        <v>345</v>
      </c>
      <c r="AE84" s="230" t="s">
        <v>346</v>
      </c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2:59">
      <c r="B85" s="837"/>
      <c r="E85" s="230">
        <v>1</v>
      </c>
      <c r="F85" s="230">
        <v>20</v>
      </c>
      <c r="G85" s="230">
        <v>2</v>
      </c>
      <c r="H85" s="230">
        <v>3</v>
      </c>
      <c r="I85" s="230">
        <v>4</v>
      </c>
      <c r="J85" s="230">
        <v>5</v>
      </c>
      <c r="K85" s="230">
        <v>13</v>
      </c>
      <c r="L85" s="230">
        <v>17</v>
      </c>
      <c r="M85" s="230">
        <v>18</v>
      </c>
      <c r="N85" s="230">
        <v>23</v>
      </c>
      <c r="O85" s="230">
        <v>24</v>
      </c>
      <c r="P85" s="230">
        <v>7</v>
      </c>
      <c r="Q85" s="230">
        <v>8</v>
      </c>
      <c r="R85" s="230">
        <v>9</v>
      </c>
      <c r="S85" s="230"/>
      <c r="T85" s="230"/>
      <c r="U85" s="230"/>
      <c r="V85" s="230"/>
      <c r="W85" s="230">
        <v>10</v>
      </c>
      <c r="X85" s="230">
        <v>12</v>
      </c>
      <c r="Y85" s="230">
        <v>16</v>
      </c>
      <c r="Z85" s="230">
        <v>19</v>
      </c>
      <c r="AA85" s="230">
        <v>21</v>
      </c>
      <c r="AB85" s="230">
        <v>11</v>
      </c>
      <c r="AC85" s="230">
        <v>14</v>
      </c>
      <c r="AD85" s="230">
        <v>15</v>
      </c>
      <c r="AE85" s="230">
        <v>22</v>
      </c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2:59">
      <c r="B86" s="837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2:59">
      <c r="B87" s="837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2:59">
      <c r="B88" s="837"/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2:59">
      <c r="B89" s="837"/>
      <c r="F89" s="837" t="s">
        <v>200</v>
      </c>
      <c r="G89" s="837" t="s">
        <v>200</v>
      </c>
      <c r="H89" s="837" t="s">
        <v>200</v>
      </c>
      <c r="I89" s="837" t="s">
        <v>3</v>
      </c>
      <c r="J89" s="837" t="s">
        <v>3</v>
      </c>
      <c r="K89" s="837" t="s">
        <v>3</v>
      </c>
      <c r="L89" s="837" t="s">
        <v>3</v>
      </c>
      <c r="M89" s="837" t="s">
        <v>3</v>
      </c>
      <c r="N89" s="837" t="s">
        <v>3</v>
      </c>
      <c r="O89" s="837" t="s">
        <v>3</v>
      </c>
      <c r="P89" s="837" t="s">
        <v>3</v>
      </c>
      <c r="Q89" s="837" t="s">
        <v>3</v>
      </c>
      <c r="R89" s="837" t="s">
        <v>3</v>
      </c>
      <c r="W89" s="837" t="s">
        <v>3</v>
      </c>
      <c r="X89" s="230" t="s">
        <v>201</v>
      </c>
      <c r="Y89" s="230" t="s">
        <v>201</v>
      </c>
      <c r="Z89" s="230" t="s">
        <v>201</v>
      </c>
      <c r="AA89" s="230" t="s">
        <v>201</v>
      </c>
      <c r="AB89" s="230" t="s">
        <v>201</v>
      </c>
      <c r="AC89" s="230" t="s">
        <v>201</v>
      </c>
      <c r="AD89" s="230" t="s">
        <v>201</v>
      </c>
      <c r="AE89" s="230" t="s">
        <v>201</v>
      </c>
      <c r="AF89" s="230" t="s">
        <v>201</v>
      </c>
      <c r="AG89" s="230" t="s">
        <v>201</v>
      </c>
      <c r="AH89" s="230" t="s">
        <v>201</v>
      </c>
      <c r="AI89" s="230" t="s">
        <v>201</v>
      </c>
      <c r="AJ89" s="230" t="s">
        <v>18</v>
      </c>
      <c r="AK89" s="230" t="s">
        <v>18</v>
      </c>
      <c r="AL89" s="230" t="s">
        <v>18</v>
      </c>
      <c r="AM89" s="230" t="s">
        <v>18</v>
      </c>
      <c r="AN89" s="230">
        <v>34</v>
      </c>
      <c r="AO89" s="230">
        <v>35</v>
      </c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2:59">
      <c r="B90" s="837"/>
      <c r="F90" s="837" t="s">
        <v>347</v>
      </c>
      <c r="G90" s="837" t="s">
        <v>349</v>
      </c>
      <c r="H90" s="837" t="s">
        <v>348</v>
      </c>
      <c r="I90" s="837" t="s">
        <v>350</v>
      </c>
      <c r="J90" s="837" t="s">
        <v>272</v>
      </c>
      <c r="K90" s="837" t="s">
        <v>351</v>
      </c>
      <c r="L90" s="837" t="s">
        <v>359</v>
      </c>
      <c r="M90" s="837" t="s">
        <v>352</v>
      </c>
      <c r="N90" s="837" t="s">
        <v>353</v>
      </c>
      <c r="O90" s="837" t="s">
        <v>354</v>
      </c>
      <c r="P90" s="837" t="s">
        <v>364</v>
      </c>
      <c r="Q90" s="837" t="s">
        <v>355</v>
      </c>
      <c r="R90" s="837" t="s">
        <v>356</v>
      </c>
      <c r="W90" s="837" t="s">
        <v>357</v>
      </c>
      <c r="X90" s="230" t="s">
        <v>358</v>
      </c>
      <c r="Y90" s="230" t="s">
        <v>369</v>
      </c>
      <c r="Z90" s="230" t="s">
        <v>371</v>
      </c>
      <c r="AA90" s="230" t="s">
        <v>360</v>
      </c>
      <c r="AB90" s="230" t="s">
        <v>361</v>
      </c>
      <c r="AC90" s="230" t="s">
        <v>362</v>
      </c>
      <c r="AD90" s="230" t="s">
        <v>363</v>
      </c>
      <c r="AE90" s="230" t="s">
        <v>365</v>
      </c>
      <c r="AF90" s="230" t="s">
        <v>366</v>
      </c>
      <c r="AG90" s="230" t="s">
        <v>374</v>
      </c>
      <c r="AH90" s="230" t="s">
        <v>367</v>
      </c>
      <c r="AI90" s="230" t="s">
        <v>368</v>
      </c>
      <c r="AJ90" s="230" t="s">
        <v>370</v>
      </c>
      <c r="AK90" s="230" t="s">
        <v>293</v>
      </c>
      <c r="AL90" s="230" t="s">
        <v>372</v>
      </c>
      <c r="AM90" s="230" t="s">
        <v>373</v>
      </c>
      <c r="AN90" s="230" t="s">
        <v>297</v>
      </c>
      <c r="AO90" s="230" t="s">
        <v>298</v>
      </c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2:59">
      <c r="B91" s="837"/>
      <c r="F91" s="837">
        <v>21</v>
      </c>
      <c r="G91" s="837">
        <v>23</v>
      </c>
      <c r="H91" s="837">
        <v>30</v>
      </c>
      <c r="I91" s="837">
        <v>2</v>
      </c>
      <c r="J91" s="837">
        <v>3</v>
      </c>
      <c r="K91" s="837">
        <v>5</v>
      </c>
      <c r="L91" s="837">
        <v>6</v>
      </c>
      <c r="M91" s="837">
        <v>13</v>
      </c>
      <c r="N91" s="837">
        <v>14</v>
      </c>
      <c r="O91" s="837">
        <v>17</v>
      </c>
      <c r="P91" s="837">
        <v>20</v>
      </c>
      <c r="Q91" s="837">
        <v>24</v>
      </c>
      <c r="R91" s="837">
        <v>36</v>
      </c>
      <c r="X91" s="230">
        <v>4</v>
      </c>
      <c r="Y91" s="230">
        <v>7</v>
      </c>
      <c r="Z91" s="230">
        <v>10</v>
      </c>
      <c r="AA91" s="230">
        <v>11</v>
      </c>
      <c r="AB91" s="230">
        <v>15</v>
      </c>
      <c r="AC91" s="230">
        <v>16</v>
      </c>
      <c r="AD91" s="230">
        <v>19</v>
      </c>
      <c r="AE91" s="230">
        <v>22</v>
      </c>
      <c r="AF91" s="230">
        <v>25</v>
      </c>
      <c r="AG91" s="230">
        <v>28</v>
      </c>
      <c r="AH91" s="230">
        <v>31</v>
      </c>
      <c r="AI91" s="230">
        <v>38</v>
      </c>
      <c r="AJ91" s="230">
        <v>8</v>
      </c>
      <c r="AK91" s="230">
        <v>9</v>
      </c>
      <c r="AL91" s="230">
        <v>27</v>
      </c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2:59">
      <c r="B92" s="837"/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2:59">
      <c r="B93" s="837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2:59">
      <c r="B94" s="837"/>
      <c r="F94" s="230" t="s">
        <v>200</v>
      </c>
      <c r="G94" s="230" t="s">
        <v>200</v>
      </c>
      <c r="H94" s="230" t="s">
        <v>200</v>
      </c>
      <c r="I94" s="230" t="s">
        <v>3</v>
      </c>
      <c r="J94" s="230" t="s">
        <v>3</v>
      </c>
      <c r="K94" s="230" t="s">
        <v>3</v>
      </c>
      <c r="L94" s="230" t="s">
        <v>3</v>
      </c>
      <c r="M94" s="230" t="s">
        <v>3</v>
      </c>
      <c r="N94" s="230" t="s">
        <v>3</v>
      </c>
      <c r="O94" s="230" t="s">
        <v>3</v>
      </c>
      <c r="P94" s="230" t="s">
        <v>3</v>
      </c>
      <c r="Q94" s="230" t="s">
        <v>3</v>
      </c>
      <c r="R94" s="230" t="s">
        <v>201</v>
      </c>
      <c r="S94" s="230"/>
      <c r="T94" s="230"/>
      <c r="U94" s="230"/>
      <c r="V94" s="230"/>
      <c r="W94" s="230" t="s">
        <v>201</v>
      </c>
      <c r="X94" s="230" t="s">
        <v>201</v>
      </c>
      <c r="Y94" s="230" t="s">
        <v>201</v>
      </c>
      <c r="Z94" s="230" t="s">
        <v>201</v>
      </c>
      <c r="AA94" s="230" t="s">
        <v>201</v>
      </c>
      <c r="AB94" s="230" t="s">
        <v>201</v>
      </c>
      <c r="AC94" s="230" t="s">
        <v>201</v>
      </c>
      <c r="AD94" s="230" t="s">
        <v>201</v>
      </c>
      <c r="AE94" s="230" t="s">
        <v>18</v>
      </c>
      <c r="AF94" s="230" t="s">
        <v>18</v>
      </c>
      <c r="AG94" s="230" t="s">
        <v>18</v>
      </c>
      <c r="AH94" s="230" t="s">
        <v>18</v>
      </c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2:59">
      <c r="B95" s="837"/>
      <c r="F95" s="230" t="s">
        <v>375</v>
      </c>
      <c r="G95" s="230" t="s">
        <v>376</v>
      </c>
      <c r="H95" s="230" t="s">
        <v>377</v>
      </c>
      <c r="I95" s="230" t="s">
        <v>378</v>
      </c>
      <c r="J95" s="230" t="s">
        <v>379</v>
      </c>
      <c r="K95" s="230" t="s">
        <v>380</v>
      </c>
      <c r="L95" s="230" t="s">
        <v>381</v>
      </c>
      <c r="M95" s="230" t="s">
        <v>382</v>
      </c>
      <c r="N95" s="230" t="s">
        <v>383</v>
      </c>
      <c r="O95" s="230" t="s">
        <v>384</v>
      </c>
      <c r="P95" s="230" t="s">
        <v>385</v>
      </c>
      <c r="Q95" s="230" t="s">
        <v>386</v>
      </c>
      <c r="R95" s="230" t="s">
        <v>387</v>
      </c>
      <c r="S95" s="230"/>
      <c r="T95" s="230"/>
      <c r="U95" s="230"/>
      <c r="V95" s="230"/>
      <c r="W95" s="230" t="s">
        <v>388</v>
      </c>
      <c r="X95" s="230" t="s">
        <v>389</v>
      </c>
      <c r="Y95" s="230" t="s">
        <v>390</v>
      </c>
      <c r="Z95" s="230" t="s">
        <v>391</v>
      </c>
      <c r="AA95" s="230" t="s">
        <v>392</v>
      </c>
      <c r="AB95" s="230" t="s">
        <v>393</v>
      </c>
      <c r="AC95" s="230" t="s">
        <v>394</v>
      </c>
      <c r="AD95" s="230" t="s">
        <v>395</v>
      </c>
      <c r="AE95" s="230" t="s">
        <v>396</v>
      </c>
      <c r="AF95" s="230" t="s">
        <v>397</v>
      </c>
      <c r="AG95" s="230" t="s">
        <v>399</v>
      </c>
      <c r="AH95" s="230" t="s">
        <v>398</v>
      </c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2:59">
      <c r="B96" s="837"/>
      <c r="F96" s="230">
        <v>1</v>
      </c>
      <c r="G96" s="230">
        <v>30</v>
      </c>
      <c r="H96" s="230">
        <v>31</v>
      </c>
      <c r="I96" s="230">
        <v>2</v>
      </c>
      <c r="J96" s="230">
        <v>3</v>
      </c>
      <c r="K96" s="230">
        <v>5</v>
      </c>
      <c r="L96" s="230">
        <v>6</v>
      </c>
      <c r="M96" s="230">
        <v>12</v>
      </c>
      <c r="N96" s="230">
        <v>15</v>
      </c>
      <c r="O96" s="230">
        <v>19</v>
      </c>
      <c r="P96" s="230">
        <v>21</v>
      </c>
      <c r="Q96" s="230">
        <v>22</v>
      </c>
      <c r="R96" s="230">
        <v>4</v>
      </c>
      <c r="S96" s="230"/>
      <c r="T96" s="230"/>
      <c r="U96" s="230"/>
      <c r="V96" s="230"/>
      <c r="W96" s="230">
        <v>7</v>
      </c>
      <c r="X96" s="230">
        <v>8</v>
      </c>
      <c r="Y96" s="230">
        <v>11</v>
      </c>
      <c r="Z96" s="230">
        <v>14</v>
      </c>
      <c r="AA96" s="230">
        <v>16</v>
      </c>
      <c r="AB96" s="230">
        <v>23</v>
      </c>
      <c r="AC96" s="230">
        <v>24</v>
      </c>
      <c r="AD96" s="230">
        <v>25</v>
      </c>
      <c r="AE96" s="230">
        <v>9</v>
      </c>
      <c r="AF96" s="230">
        <v>13</v>
      </c>
      <c r="AG96" s="230">
        <v>18</v>
      </c>
      <c r="AH96" s="230">
        <v>20</v>
      </c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:59">
      <c r="B97" s="837"/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:59">
      <c r="B98" s="837"/>
      <c r="X98" s="230"/>
      <c r="Y98" s="230"/>
      <c r="Z98" s="230"/>
      <c r="AA98" s="230"/>
      <c r="AB98" s="230"/>
      <c r="AC98" s="230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:59">
      <c r="B99" s="837"/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:59">
      <c r="B100" s="837"/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  <row r="101" spans="2:59">
      <c r="B101" s="837"/>
      <c r="F101" s="230" t="s">
        <v>200</v>
      </c>
      <c r="G101" s="230" t="s">
        <v>200</v>
      </c>
      <c r="H101" s="230" t="s">
        <v>200</v>
      </c>
      <c r="I101" s="230" t="s">
        <v>3</v>
      </c>
      <c r="J101" s="230" t="s">
        <v>3</v>
      </c>
      <c r="K101" s="230" t="s">
        <v>3</v>
      </c>
      <c r="L101" s="230" t="s">
        <v>3</v>
      </c>
      <c r="M101" s="230" t="s">
        <v>3</v>
      </c>
      <c r="N101" s="230" t="s">
        <v>201</v>
      </c>
      <c r="O101" s="230" t="s">
        <v>201</v>
      </c>
      <c r="P101" s="230" t="s">
        <v>201</v>
      </c>
      <c r="Q101" s="230" t="s">
        <v>201</v>
      </c>
      <c r="R101" s="230" t="s">
        <v>201</v>
      </c>
      <c r="S101" s="230"/>
      <c r="T101" s="230"/>
      <c r="U101" s="230"/>
      <c r="V101" s="230"/>
      <c r="W101" s="837" t="s">
        <v>424</v>
      </c>
      <c r="X101" s="230" t="s">
        <v>424</v>
      </c>
      <c r="Y101" s="230" t="s">
        <v>201</v>
      </c>
      <c r="Z101" s="230" t="s">
        <v>201</v>
      </c>
      <c r="AA101" s="230" t="s">
        <v>201</v>
      </c>
      <c r="AB101" s="230" t="s">
        <v>201</v>
      </c>
      <c r="AC101" s="230" t="s">
        <v>201</v>
      </c>
      <c r="AD101" s="230" t="s">
        <v>424</v>
      </c>
      <c r="AE101" s="230" t="s">
        <v>201</v>
      </c>
      <c r="AF101" s="230" t="s">
        <v>201</v>
      </c>
      <c r="AG101" s="230" t="s">
        <v>18</v>
      </c>
      <c r="AH101" s="230" t="s">
        <v>18</v>
      </c>
    </row>
    <row r="102" spans="2:59">
      <c r="B102" s="837"/>
      <c r="F102" s="230" t="s">
        <v>400</v>
      </c>
      <c r="G102" s="230" t="s">
        <v>401</v>
      </c>
      <c r="H102" s="230" t="s">
        <v>402</v>
      </c>
      <c r="I102" s="230" t="s">
        <v>403</v>
      </c>
      <c r="J102" s="230" t="s">
        <v>404</v>
      </c>
      <c r="K102" s="230" t="s">
        <v>405</v>
      </c>
      <c r="L102" s="230" t="s">
        <v>406</v>
      </c>
      <c r="M102" s="230" t="s">
        <v>408</v>
      </c>
      <c r="N102" s="230" t="s">
        <v>409</v>
      </c>
      <c r="O102" s="230" t="s">
        <v>410</v>
      </c>
      <c r="P102" s="230" t="s">
        <v>411</v>
      </c>
      <c r="Q102" s="230" t="s">
        <v>412</v>
      </c>
      <c r="R102" s="230" t="s">
        <v>413</v>
      </c>
      <c r="S102" s="230"/>
      <c r="T102" s="230"/>
      <c r="U102" s="230"/>
      <c r="V102" s="230"/>
      <c r="W102" s="837" t="s">
        <v>425</v>
      </c>
      <c r="X102" s="230" t="s">
        <v>407</v>
      </c>
      <c r="Y102" s="230" t="s">
        <v>414</v>
      </c>
      <c r="Z102" s="230" t="s">
        <v>415</v>
      </c>
      <c r="AA102" s="230" t="s">
        <v>416</v>
      </c>
      <c r="AB102" s="230" t="s">
        <v>417</v>
      </c>
      <c r="AC102" s="230" t="s">
        <v>418</v>
      </c>
      <c r="AD102" s="230" t="s">
        <v>423</v>
      </c>
      <c r="AE102" s="230" t="s">
        <v>419</v>
      </c>
      <c r="AF102" s="230" t="s">
        <v>420</v>
      </c>
      <c r="AG102" s="230" t="s">
        <v>421</v>
      </c>
      <c r="AH102" s="230" t="s">
        <v>422</v>
      </c>
    </row>
    <row r="103" spans="2:59">
      <c r="B103" s="837"/>
      <c r="F103" s="230">
        <v>1</v>
      </c>
      <c r="G103" s="230">
        <v>32</v>
      </c>
      <c r="H103" s="230">
        <v>35</v>
      </c>
      <c r="I103" s="230">
        <v>2</v>
      </c>
      <c r="J103" s="230">
        <v>4</v>
      </c>
      <c r="K103" s="230">
        <v>5</v>
      </c>
      <c r="L103" s="230">
        <v>13</v>
      </c>
      <c r="M103" s="230">
        <v>20</v>
      </c>
      <c r="N103" s="230">
        <v>6</v>
      </c>
      <c r="O103" s="230">
        <v>7</v>
      </c>
      <c r="P103" s="230">
        <v>8</v>
      </c>
      <c r="Q103" s="230">
        <v>10</v>
      </c>
      <c r="R103" s="230">
        <v>15</v>
      </c>
      <c r="S103" s="230"/>
      <c r="T103" s="230"/>
      <c r="U103" s="230"/>
      <c r="V103" s="230"/>
      <c r="W103" s="837">
        <v>16</v>
      </c>
      <c r="X103" s="230">
        <v>17</v>
      </c>
      <c r="Y103" s="230">
        <v>18</v>
      </c>
      <c r="Z103" s="230">
        <v>19</v>
      </c>
      <c r="AA103" s="230">
        <v>21</v>
      </c>
      <c r="AB103" s="230">
        <v>22</v>
      </c>
      <c r="AC103" s="230">
        <v>25</v>
      </c>
      <c r="AD103" s="230">
        <v>27</v>
      </c>
      <c r="AE103" s="230">
        <v>29</v>
      </c>
      <c r="AF103" s="230">
        <v>31</v>
      </c>
      <c r="AG103" s="230">
        <v>9</v>
      </c>
      <c r="AH103" s="230">
        <v>12</v>
      </c>
    </row>
    <row r="104" spans="2:59">
      <c r="B104" s="837"/>
    </row>
    <row r="105" spans="2:59">
      <c r="B105" s="837"/>
    </row>
    <row r="106" spans="2:59">
      <c r="B106" s="837"/>
    </row>
    <row r="107" spans="2:59">
      <c r="B107" s="837"/>
    </row>
    <row r="108" spans="2:59">
      <c r="B108" s="837"/>
      <c r="F108" s="230" t="s">
        <v>200</v>
      </c>
      <c r="G108" s="230" t="s">
        <v>200</v>
      </c>
      <c r="H108" s="230" t="s">
        <v>3</v>
      </c>
      <c r="I108" s="230" t="s">
        <v>3</v>
      </c>
      <c r="J108" s="230" t="s">
        <v>3</v>
      </c>
      <c r="K108" s="230" t="s">
        <v>3</v>
      </c>
      <c r="L108" s="230" t="s">
        <v>3</v>
      </c>
      <c r="M108" s="230" t="s">
        <v>3</v>
      </c>
      <c r="N108" s="230" t="s">
        <v>3</v>
      </c>
      <c r="O108" s="230" t="s">
        <v>3</v>
      </c>
      <c r="P108" s="230" t="s">
        <v>3</v>
      </c>
      <c r="Q108" s="230" t="s">
        <v>201</v>
      </c>
      <c r="R108" s="230" t="s">
        <v>201</v>
      </c>
      <c r="S108" s="230"/>
      <c r="T108" s="230"/>
      <c r="U108" s="230"/>
      <c r="V108" s="230"/>
      <c r="W108" s="230" t="s">
        <v>201</v>
      </c>
      <c r="X108" s="230" t="s">
        <v>201</v>
      </c>
      <c r="Y108" s="230" t="s">
        <v>201</v>
      </c>
      <c r="Z108" s="230" t="s">
        <v>201</v>
      </c>
      <c r="AA108" s="230" t="s">
        <v>201</v>
      </c>
      <c r="AB108" s="230" t="s">
        <v>18</v>
      </c>
      <c r="AC108" s="230" t="s">
        <v>18</v>
      </c>
      <c r="AD108" s="230" t="s">
        <v>18</v>
      </c>
      <c r="AE108" s="230" t="s">
        <v>18</v>
      </c>
      <c r="AF108" s="230" t="s">
        <v>18</v>
      </c>
      <c r="AG108" s="230" t="s">
        <v>18</v>
      </c>
    </row>
    <row r="109" spans="2:59">
      <c r="B109" s="837"/>
      <c r="F109" s="230" t="s">
        <v>426</v>
      </c>
      <c r="G109" s="230" t="s">
        <v>427</v>
      </c>
      <c r="H109" s="230" t="s">
        <v>428</v>
      </c>
      <c r="I109" s="230" t="s">
        <v>429</v>
      </c>
      <c r="J109" s="230" t="s">
        <v>430</v>
      </c>
      <c r="K109" s="230" t="s">
        <v>431</v>
      </c>
      <c r="L109" s="230" t="s">
        <v>433</v>
      </c>
      <c r="M109" s="230" t="s">
        <v>434</v>
      </c>
      <c r="N109" s="230" t="s">
        <v>435</v>
      </c>
      <c r="O109" s="230" t="s">
        <v>436</v>
      </c>
      <c r="P109" s="230" t="s">
        <v>437</v>
      </c>
      <c r="Q109" s="230" t="s">
        <v>438</v>
      </c>
      <c r="R109" s="230" t="s">
        <v>439</v>
      </c>
      <c r="S109" s="230"/>
      <c r="T109" s="230"/>
      <c r="U109" s="230"/>
      <c r="V109" s="230"/>
      <c r="W109" s="230" t="s">
        <v>440</v>
      </c>
      <c r="X109" s="230" t="s">
        <v>432</v>
      </c>
      <c r="Y109" s="230" t="s">
        <v>441</v>
      </c>
      <c r="Z109" s="230" t="s">
        <v>442</v>
      </c>
      <c r="AA109" s="230" t="s">
        <v>443</v>
      </c>
      <c r="AB109" s="230" t="s">
        <v>445</v>
      </c>
      <c r="AC109" s="230" t="s">
        <v>446</v>
      </c>
      <c r="AD109" s="230" t="s">
        <v>447</v>
      </c>
      <c r="AE109" s="230" t="s">
        <v>448</v>
      </c>
      <c r="AF109" s="230" t="s">
        <v>449</v>
      </c>
      <c r="AG109" s="230" t="s">
        <v>444</v>
      </c>
    </row>
    <row r="110" spans="2:59">
      <c r="B110" s="837"/>
      <c r="F110" s="230">
        <v>1</v>
      </c>
      <c r="G110" s="230">
        <v>22</v>
      </c>
      <c r="H110" s="230">
        <v>2</v>
      </c>
      <c r="I110" s="230">
        <v>3</v>
      </c>
      <c r="J110" s="230">
        <v>4</v>
      </c>
      <c r="K110" s="230">
        <v>6</v>
      </c>
      <c r="L110" s="230">
        <v>12</v>
      </c>
      <c r="M110" s="230">
        <v>13</v>
      </c>
      <c r="N110" s="230">
        <v>14</v>
      </c>
      <c r="O110" s="230">
        <v>16</v>
      </c>
      <c r="P110" s="230">
        <v>21</v>
      </c>
      <c r="Q110" s="230">
        <v>5</v>
      </c>
      <c r="R110" s="230">
        <v>7</v>
      </c>
      <c r="S110" s="230"/>
      <c r="T110" s="230"/>
      <c r="U110" s="230"/>
      <c r="V110" s="230"/>
      <c r="W110" s="230">
        <v>8</v>
      </c>
      <c r="X110" s="230">
        <v>9</v>
      </c>
      <c r="Y110" s="230">
        <v>11</v>
      </c>
      <c r="Z110" s="230">
        <v>17</v>
      </c>
      <c r="AA110" s="230">
        <v>19</v>
      </c>
      <c r="AB110" s="230">
        <v>10</v>
      </c>
      <c r="AC110" s="230">
        <v>15</v>
      </c>
      <c r="AD110" s="230">
        <v>18</v>
      </c>
      <c r="AE110" s="230">
        <v>23</v>
      </c>
      <c r="AF110" s="230">
        <v>24</v>
      </c>
      <c r="AG110" s="230">
        <v>25</v>
      </c>
    </row>
    <row r="111" spans="2:59">
      <c r="B111" s="837"/>
    </row>
    <row r="112" spans="2:59">
      <c r="B112" s="837"/>
    </row>
    <row r="113" spans="2:41">
      <c r="B113" s="837"/>
      <c r="F113" s="230" t="s">
        <v>200</v>
      </c>
      <c r="G113" s="230" t="s">
        <v>200</v>
      </c>
      <c r="H113" s="230" t="s">
        <v>200</v>
      </c>
      <c r="I113" s="230" t="s">
        <v>3</v>
      </c>
      <c r="J113" s="230" t="s">
        <v>3</v>
      </c>
      <c r="K113" s="230" t="s">
        <v>3</v>
      </c>
      <c r="L113" s="230" t="s">
        <v>3</v>
      </c>
      <c r="M113" s="230" t="s">
        <v>3</v>
      </c>
      <c r="N113" s="230" t="s">
        <v>3</v>
      </c>
      <c r="O113" s="230" t="s">
        <v>3</v>
      </c>
      <c r="P113" s="230" t="s">
        <v>201</v>
      </c>
      <c r="Q113" s="230" t="s">
        <v>201</v>
      </c>
      <c r="R113" s="230" t="s">
        <v>201</v>
      </c>
      <c r="S113" s="230"/>
      <c r="T113" s="230"/>
      <c r="U113" s="230"/>
      <c r="V113" s="230"/>
      <c r="W113" s="230" t="s">
        <v>201</v>
      </c>
      <c r="X113" s="230" t="s">
        <v>201</v>
      </c>
      <c r="Y113" s="230" t="s">
        <v>201</v>
      </c>
      <c r="Z113" s="230" t="s">
        <v>201</v>
      </c>
      <c r="AA113" s="230" t="s">
        <v>18</v>
      </c>
      <c r="AB113" s="230" t="s">
        <v>18</v>
      </c>
      <c r="AC113" s="230" t="s">
        <v>18</v>
      </c>
      <c r="AD113" s="230" t="s">
        <v>18</v>
      </c>
      <c r="AE113" s="230" t="s">
        <v>18</v>
      </c>
    </row>
    <row r="114" spans="2:41">
      <c r="B114" s="837"/>
      <c r="F114" s="230" t="s">
        <v>450</v>
      </c>
      <c r="G114" s="230" t="s">
        <v>451</v>
      </c>
      <c r="H114" s="230" t="s">
        <v>452</v>
      </c>
      <c r="I114" s="230" t="s">
        <v>453</v>
      </c>
      <c r="J114" s="230" t="s">
        <v>454</v>
      </c>
      <c r="K114" s="230" t="s">
        <v>455</v>
      </c>
      <c r="L114" s="230" t="s">
        <v>456</v>
      </c>
      <c r="M114" s="230" t="s">
        <v>457</v>
      </c>
      <c r="N114" s="230" t="s">
        <v>458</v>
      </c>
      <c r="O114" s="230" t="s">
        <v>459</v>
      </c>
      <c r="P114" s="230" t="s">
        <v>460</v>
      </c>
      <c r="Q114" s="230" t="s">
        <v>461</v>
      </c>
      <c r="R114" s="230" t="s">
        <v>462</v>
      </c>
      <c r="S114" s="230"/>
      <c r="T114" s="230"/>
      <c r="U114" s="230"/>
      <c r="V114" s="230"/>
      <c r="W114" s="230" t="s">
        <v>463</v>
      </c>
      <c r="X114" s="230" t="s">
        <v>465</v>
      </c>
      <c r="Y114" s="230" t="s">
        <v>466</v>
      </c>
      <c r="Z114" s="230" t="s">
        <v>467</v>
      </c>
      <c r="AA114" s="230" t="s">
        <v>468</v>
      </c>
      <c r="AB114" s="230" t="s">
        <v>469</v>
      </c>
      <c r="AC114" s="230" t="s">
        <v>464</v>
      </c>
      <c r="AD114" s="230" t="s">
        <v>470</v>
      </c>
      <c r="AE114" s="230" t="s">
        <v>471</v>
      </c>
    </row>
    <row r="115" spans="2:41">
      <c r="B115" s="837"/>
      <c r="F115" s="230">
        <v>1</v>
      </c>
      <c r="G115" s="230">
        <v>17</v>
      </c>
      <c r="H115" s="230">
        <v>20</v>
      </c>
      <c r="I115" s="230">
        <v>2</v>
      </c>
      <c r="J115" s="230">
        <v>3</v>
      </c>
      <c r="K115" s="230">
        <v>4</v>
      </c>
      <c r="L115" s="230">
        <v>6</v>
      </c>
      <c r="M115" s="230">
        <v>8</v>
      </c>
      <c r="N115" s="230">
        <v>15</v>
      </c>
      <c r="O115" s="230">
        <v>22</v>
      </c>
      <c r="P115" s="230">
        <v>5</v>
      </c>
      <c r="Q115" s="230">
        <v>7</v>
      </c>
      <c r="R115" s="230">
        <v>11</v>
      </c>
      <c r="S115" s="230"/>
      <c r="T115" s="230"/>
      <c r="U115" s="230"/>
      <c r="V115" s="230"/>
      <c r="W115" s="230">
        <v>12</v>
      </c>
      <c r="X115" s="230">
        <v>21</v>
      </c>
      <c r="Y115" s="230">
        <v>23</v>
      </c>
      <c r="Z115" s="230">
        <v>25</v>
      </c>
      <c r="AA115" s="230">
        <v>9</v>
      </c>
      <c r="AB115" s="230">
        <v>14</v>
      </c>
      <c r="AC115" s="230">
        <v>16</v>
      </c>
      <c r="AD115" s="230">
        <v>19</v>
      </c>
      <c r="AE115" s="230">
        <v>33</v>
      </c>
    </row>
    <row r="116" spans="2:41">
      <c r="B116" s="837"/>
    </row>
    <row r="117" spans="2:41">
      <c r="B117" s="837"/>
      <c r="F117" s="230" t="s">
        <v>200</v>
      </c>
      <c r="G117" s="230" t="s">
        <v>200</v>
      </c>
      <c r="H117" s="230" t="s">
        <v>3</v>
      </c>
      <c r="I117" s="230" t="s">
        <v>3</v>
      </c>
      <c r="J117" s="230" t="s">
        <v>3</v>
      </c>
      <c r="K117" s="230" t="s">
        <v>3</v>
      </c>
      <c r="L117" s="230" t="s">
        <v>3</v>
      </c>
      <c r="M117" s="230" t="s">
        <v>3</v>
      </c>
      <c r="N117" s="230" t="s">
        <v>3</v>
      </c>
      <c r="O117" s="230" t="s">
        <v>3</v>
      </c>
      <c r="P117" s="230" t="s">
        <v>3</v>
      </c>
      <c r="Q117" s="230" t="s">
        <v>3</v>
      </c>
      <c r="R117" s="230" t="s">
        <v>201</v>
      </c>
      <c r="S117" s="230"/>
      <c r="T117" s="230"/>
      <c r="U117" s="230"/>
      <c r="V117" s="230"/>
      <c r="W117" s="230" t="s">
        <v>201</v>
      </c>
      <c r="X117" s="230" t="s">
        <v>201</v>
      </c>
      <c r="Y117" s="230" t="s">
        <v>201</v>
      </c>
      <c r="Z117" s="230" t="s">
        <v>201</v>
      </c>
      <c r="AA117" s="230" t="s">
        <v>201</v>
      </c>
      <c r="AB117" s="230" t="s">
        <v>201</v>
      </c>
      <c r="AC117" s="230" t="s">
        <v>201</v>
      </c>
      <c r="AD117" s="230" t="s">
        <v>201</v>
      </c>
      <c r="AE117" s="230" t="s">
        <v>201</v>
      </c>
      <c r="AF117" s="837" t="s">
        <v>201</v>
      </c>
      <c r="AG117" s="230" t="s">
        <v>201</v>
      </c>
      <c r="AH117" s="230" t="s">
        <v>201</v>
      </c>
      <c r="AI117" s="230" t="s">
        <v>201</v>
      </c>
      <c r="AJ117" s="230" t="s">
        <v>18</v>
      </c>
      <c r="AK117" s="230" t="s">
        <v>18</v>
      </c>
      <c r="AL117" s="230" t="s">
        <v>18</v>
      </c>
      <c r="AM117" s="230" t="s">
        <v>18</v>
      </c>
      <c r="AN117" s="230" t="s">
        <v>18</v>
      </c>
      <c r="AO117" s="230" t="s">
        <v>18</v>
      </c>
    </row>
    <row r="118" spans="2:41">
      <c r="B118" s="837"/>
      <c r="F118" s="230" t="s">
        <v>472</v>
      </c>
      <c r="G118" s="230" t="s">
        <v>473</v>
      </c>
      <c r="H118" s="230" t="s">
        <v>474</v>
      </c>
      <c r="I118" s="230" t="s">
        <v>475</v>
      </c>
      <c r="J118" s="230" t="s">
        <v>476</v>
      </c>
      <c r="K118" s="230" t="s">
        <v>477</v>
      </c>
      <c r="L118" s="230" t="s">
        <v>478</v>
      </c>
      <c r="M118" s="230" t="s">
        <v>479</v>
      </c>
      <c r="N118" s="230" t="s">
        <v>480</v>
      </c>
      <c r="O118" s="230" t="s">
        <v>481</v>
      </c>
      <c r="P118" s="230" t="s">
        <v>482</v>
      </c>
      <c r="Q118" s="230" t="s">
        <v>483</v>
      </c>
      <c r="R118" s="230" t="s">
        <v>484</v>
      </c>
      <c r="S118" s="230"/>
      <c r="T118" s="230"/>
      <c r="U118" s="230"/>
      <c r="V118" s="230"/>
      <c r="W118" s="230" t="s">
        <v>485</v>
      </c>
      <c r="X118" s="230" t="s">
        <v>486</v>
      </c>
      <c r="Y118" s="230" t="s">
        <v>487</v>
      </c>
      <c r="Z118" s="230" t="s">
        <v>488</v>
      </c>
      <c r="AA118" s="230" t="s">
        <v>489</v>
      </c>
      <c r="AB118" s="230" t="s">
        <v>490</v>
      </c>
      <c r="AC118" s="230" t="s">
        <v>491</v>
      </c>
      <c r="AD118" s="230" t="s">
        <v>492</v>
      </c>
      <c r="AE118" s="230" t="s">
        <v>493</v>
      </c>
      <c r="AF118" s="837" t="s">
        <v>503</v>
      </c>
      <c r="AG118" s="230" t="s">
        <v>494</v>
      </c>
      <c r="AH118" s="230" t="s">
        <v>495</v>
      </c>
      <c r="AI118" s="230" t="s">
        <v>496</v>
      </c>
      <c r="AJ118" s="230" t="s">
        <v>497</v>
      </c>
      <c r="AK118" s="230" t="s">
        <v>498</v>
      </c>
      <c r="AL118" s="230" t="s">
        <v>499</v>
      </c>
      <c r="AM118" s="230" t="s">
        <v>500</v>
      </c>
      <c r="AN118" s="230" t="s">
        <v>501</v>
      </c>
      <c r="AO118" s="230" t="s">
        <v>502</v>
      </c>
    </row>
    <row r="119" spans="2:41">
      <c r="B119" s="837"/>
      <c r="F119" s="230">
        <v>1</v>
      </c>
      <c r="G119" s="230">
        <v>26</v>
      </c>
      <c r="H119" s="230">
        <v>3</v>
      </c>
      <c r="I119" s="230">
        <v>4</v>
      </c>
      <c r="J119" s="230">
        <v>5</v>
      </c>
      <c r="K119" s="230">
        <v>15</v>
      </c>
      <c r="L119" s="230">
        <v>16</v>
      </c>
      <c r="M119" s="230">
        <v>17</v>
      </c>
      <c r="N119" s="230">
        <v>22</v>
      </c>
      <c r="O119" s="230">
        <v>27</v>
      </c>
      <c r="P119" s="230">
        <v>32</v>
      </c>
      <c r="Q119" s="230">
        <v>33</v>
      </c>
      <c r="R119" s="230">
        <v>6</v>
      </c>
      <c r="S119" s="230"/>
      <c r="T119" s="230"/>
      <c r="U119" s="230"/>
      <c r="V119" s="230"/>
      <c r="W119" s="230">
        <v>7</v>
      </c>
      <c r="X119" s="230">
        <v>8</v>
      </c>
      <c r="Y119" s="230">
        <v>10</v>
      </c>
      <c r="Z119" s="230">
        <v>11</v>
      </c>
      <c r="AA119" s="230">
        <v>12</v>
      </c>
      <c r="AB119" s="230">
        <v>14</v>
      </c>
      <c r="AC119" s="230">
        <v>19</v>
      </c>
      <c r="AD119" s="230">
        <v>20</v>
      </c>
      <c r="AE119" s="230">
        <v>21</v>
      </c>
      <c r="AF119" s="837">
        <v>25</v>
      </c>
      <c r="AG119" s="230">
        <v>33</v>
      </c>
      <c r="AH119" s="230"/>
      <c r="AI119" s="230"/>
      <c r="AJ119" s="230">
        <v>9</v>
      </c>
      <c r="AK119" s="230">
        <v>18</v>
      </c>
      <c r="AL119" s="230">
        <v>23</v>
      </c>
      <c r="AM119" s="230">
        <v>29</v>
      </c>
      <c r="AN119" s="230">
        <v>30</v>
      </c>
      <c r="AO119" s="230">
        <v>31</v>
      </c>
    </row>
    <row r="120" spans="2:41">
      <c r="B120" s="837"/>
    </row>
    <row r="121" spans="2:41">
      <c r="B121" s="837"/>
    </row>
    <row r="122" spans="2:41">
      <c r="B122" s="837"/>
      <c r="F122" s="230" t="s">
        <v>200</v>
      </c>
      <c r="G122" s="230" t="s">
        <v>200</v>
      </c>
      <c r="H122" s="230" t="s">
        <v>200</v>
      </c>
      <c r="I122" s="230" t="s">
        <v>3</v>
      </c>
      <c r="J122" s="230" t="s">
        <v>3</v>
      </c>
      <c r="K122" s="230" t="s">
        <v>3</v>
      </c>
      <c r="L122" s="230" t="s">
        <v>3</v>
      </c>
      <c r="M122" s="230" t="s">
        <v>3</v>
      </c>
      <c r="N122" s="230" t="s">
        <v>3</v>
      </c>
      <c r="O122" s="230" t="s">
        <v>3</v>
      </c>
      <c r="P122" s="230" t="s">
        <v>3</v>
      </c>
      <c r="Q122" s="230" t="s">
        <v>201</v>
      </c>
      <c r="R122" s="230" t="s">
        <v>201</v>
      </c>
      <c r="S122" s="230"/>
      <c r="T122" s="230"/>
      <c r="U122" s="230"/>
      <c r="V122" s="230"/>
      <c r="W122" s="230" t="s">
        <v>201</v>
      </c>
      <c r="X122" s="230" t="s">
        <v>201</v>
      </c>
      <c r="Y122" s="230" t="s">
        <v>201</v>
      </c>
      <c r="Z122" s="230" t="s">
        <v>201</v>
      </c>
      <c r="AA122" s="230" t="s">
        <v>201</v>
      </c>
      <c r="AB122" s="230" t="s">
        <v>201</v>
      </c>
      <c r="AC122" s="230" t="s">
        <v>18</v>
      </c>
      <c r="AD122" s="230" t="s">
        <v>18</v>
      </c>
      <c r="AE122" s="230" t="s">
        <v>18</v>
      </c>
      <c r="AF122" s="230" t="s">
        <v>18</v>
      </c>
    </row>
    <row r="123" spans="2:41">
      <c r="B123" s="837"/>
      <c r="F123" s="230" t="s">
        <v>504</v>
      </c>
      <c r="G123" s="230" t="s">
        <v>505</v>
      </c>
      <c r="H123" s="230" t="s">
        <v>506</v>
      </c>
      <c r="I123" s="230" t="s">
        <v>507</v>
      </c>
      <c r="J123" s="230" t="s">
        <v>508</v>
      </c>
      <c r="K123" s="230" t="s">
        <v>509</v>
      </c>
      <c r="L123" s="230" t="s">
        <v>510</v>
      </c>
      <c r="M123" s="230" t="s">
        <v>511</v>
      </c>
      <c r="N123" s="230" t="s">
        <v>512</v>
      </c>
      <c r="O123" s="230" t="s">
        <v>513</v>
      </c>
      <c r="P123" s="230" t="s">
        <v>514</v>
      </c>
      <c r="Q123" s="230" t="s">
        <v>515</v>
      </c>
      <c r="R123" s="230" t="s">
        <v>516</v>
      </c>
      <c r="S123" s="230"/>
      <c r="T123" s="230"/>
      <c r="U123" s="230"/>
      <c r="V123" s="230"/>
      <c r="W123" s="230" t="s">
        <v>517</v>
      </c>
      <c r="X123" s="230" t="s">
        <v>518</v>
      </c>
      <c r="Y123" s="230" t="s">
        <v>519</v>
      </c>
      <c r="Z123" s="230" t="s">
        <v>520</v>
      </c>
      <c r="AA123" s="230" t="s">
        <v>522</v>
      </c>
      <c r="AB123" s="230" t="s">
        <v>523</v>
      </c>
      <c r="AC123" s="230" t="s">
        <v>521</v>
      </c>
      <c r="AD123" s="230" t="s">
        <v>524</v>
      </c>
      <c r="AE123" s="230" t="s">
        <v>525</v>
      </c>
      <c r="AF123" s="230" t="s">
        <v>526</v>
      </c>
    </row>
    <row r="124" spans="2:41">
      <c r="B124" s="837"/>
      <c r="F124" s="230">
        <v>1</v>
      </c>
      <c r="G124" s="230">
        <v>22</v>
      </c>
      <c r="H124" s="230">
        <v>30</v>
      </c>
      <c r="I124" s="230">
        <v>4</v>
      </c>
      <c r="J124" s="230">
        <v>14</v>
      </c>
      <c r="K124" s="230">
        <v>15</v>
      </c>
      <c r="L124" s="230">
        <v>16</v>
      </c>
      <c r="M124" s="230">
        <v>21</v>
      </c>
      <c r="N124" s="230">
        <v>23</v>
      </c>
      <c r="O124" s="230">
        <v>24</v>
      </c>
      <c r="P124" s="230">
        <v>28</v>
      </c>
      <c r="Q124" s="230">
        <v>2</v>
      </c>
      <c r="R124" s="230">
        <v>3</v>
      </c>
      <c r="S124" s="230"/>
      <c r="T124" s="230"/>
      <c r="U124" s="230"/>
      <c r="V124" s="230"/>
      <c r="W124" s="230">
        <v>5</v>
      </c>
      <c r="X124" s="230">
        <v>6</v>
      </c>
      <c r="Y124" s="230">
        <v>7</v>
      </c>
      <c r="Z124" s="230">
        <v>8</v>
      </c>
      <c r="AA124" s="230">
        <v>13</v>
      </c>
      <c r="AB124" s="230">
        <v>32</v>
      </c>
      <c r="AC124" s="230">
        <v>9</v>
      </c>
      <c r="AD124" s="230">
        <v>10</v>
      </c>
      <c r="AE124" s="230">
        <v>11</v>
      </c>
      <c r="AF124" s="230">
        <v>19</v>
      </c>
    </row>
    <row r="125" spans="2:41">
      <c r="B125" s="837"/>
    </row>
    <row r="126" spans="2:41">
      <c r="B126" s="837"/>
    </row>
    <row r="127" spans="2:41">
      <c r="B127" s="837"/>
      <c r="F127" s="230" t="s">
        <v>200</v>
      </c>
      <c r="G127" s="230" t="s">
        <v>200</v>
      </c>
      <c r="H127" s="230" t="s">
        <v>200</v>
      </c>
      <c r="I127" s="837" t="s">
        <v>200</v>
      </c>
      <c r="J127" s="230" t="s">
        <v>3</v>
      </c>
      <c r="K127" s="230" t="s">
        <v>3</v>
      </c>
      <c r="L127" s="230" t="s">
        <v>3</v>
      </c>
      <c r="M127" s="230" t="s">
        <v>3</v>
      </c>
      <c r="N127" s="230" t="s">
        <v>3</v>
      </c>
      <c r="O127" s="230" t="s">
        <v>3</v>
      </c>
      <c r="P127" s="230" t="s">
        <v>201</v>
      </c>
      <c r="Q127" s="230" t="s">
        <v>201</v>
      </c>
      <c r="R127" s="230" t="s">
        <v>201</v>
      </c>
      <c r="S127" s="230"/>
      <c r="T127" s="230"/>
      <c r="U127" s="230"/>
      <c r="V127" s="230"/>
      <c r="W127" s="230" t="s">
        <v>201</v>
      </c>
      <c r="X127" s="230" t="s">
        <v>201</v>
      </c>
      <c r="Y127" s="230" t="s">
        <v>201</v>
      </c>
      <c r="Z127" s="230" t="s">
        <v>201</v>
      </c>
      <c r="AA127" s="230" t="s">
        <v>201</v>
      </c>
      <c r="AB127" s="230" t="s">
        <v>201</v>
      </c>
      <c r="AC127" s="837" t="s">
        <v>201</v>
      </c>
      <c r="AD127" s="230" t="s">
        <v>18</v>
      </c>
      <c r="AE127" s="230" t="s">
        <v>18</v>
      </c>
      <c r="AF127" s="230" t="s">
        <v>18</v>
      </c>
      <c r="AG127" s="230" t="s">
        <v>18</v>
      </c>
      <c r="AH127" s="837" t="s">
        <v>18</v>
      </c>
      <c r="AI127" s="837" t="s">
        <v>18</v>
      </c>
    </row>
    <row r="128" spans="2:41">
      <c r="B128" s="837"/>
      <c r="F128" s="230" t="s">
        <v>527</v>
      </c>
      <c r="G128" s="230" t="s">
        <v>528</v>
      </c>
      <c r="H128" s="230" t="s">
        <v>529</v>
      </c>
      <c r="I128" s="837" t="s">
        <v>548</v>
      </c>
      <c r="J128" s="230" t="s">
        <v>530</v>
      </c>
      <c r="K128" s="230" t="s">
        <v>531</v>
      </c>
      <c r="L128" s="230" t="s">
        <v>532</v>
      </c>
      <c r="M128" s="230" t="s">
        <v>533</v>
      </c>
      <c r="N128" s="230" t="s">
        <v>534</v>
      </c>
      <c r="O128" s="230" t="s">
        <v>535</v>
      </c>
      <c r="P128" s="230" t="s">
        <v>536</v>
      </c>
      <c r="Q128" s="230" t="s">
        <v>537</v>
      </c>
      <c r="R128" s="230" t="s">
        <v>538</v>
      </c>
      <c r="S128" s="230"/>
      <c r="T128" s="230"/>
      <c r="U128" s="230"/>
      <c r="V128" s="230"/>
      <c r="W128" s="230" t="s">
        <v>539</v>
      </c>
      <c r="X128" s="230" t="s">
        <v>540</v>
      </c>
      <c r="Y128" s="230" t="s">
        <v>499</v>
      </c>
      <c r="Z128" s="230" t="s">
        <v>541</v>
      </c>
      <c r="AA128" s="230" t="s">
        <v>542</v>
      </c>
      <c r="AB128" s="230" t="s">
        <v>543</v>
      </c>
      <c r="AC128" s="837" t="s">
        <v>549</v>
      </c>
      <c r="AD128" s="230" t="s">
        <v>544</v>
      </c>
      <c r="AE128" s="230" t="s">
        <v>545</v>
      </c>
      <c r="AF128" s="230" t="s">
        <v>546</v>
      </c>
      <c r="AG128" s="230" t="s">
        <v>547</v>
      </c>
      <c r="AH128" s="837" t="s">
        <v>550</v>
      </c>
      <c r="AI128" s="837" t="s">
        <v>551</v>
      </c>
    </row>
    <row r="129" spans="2:38">
      <c r="B129" s="837"/>
      <c r="F129" s="230">
        <v>1</v>
      </c>
      <c r="G129" s="230">
        <v>12</v>
      </c>
      <c r="H129" s="230">
        <v>25</v>
      </c>
      <c r="J129" s="230">
        <v>3</v>
      </c>
      <c r="K129" s="230">
        <v>4</v>
      </c>
      <c r="L129" s="230">
        <v>14</v>
      </c>
      <c r="M129" s="230">
        <v>16</v>
      </c>
      <c r="N129" s="230">
        <v>24</v>
      </c>
      <c r="O129" s="230"/>
      <c r="P129" s="230">
        <v>2</v>
      </c>
      <c r="Q129" s="230">
        <v>5</v>
      </c>
      <c r="R129" s="230">
        <v>8</v>
      </c>
      <c r="S129" s="230"/>
      <c r="T129" s="230"/>
      <c r="U129" s="230"/>
      <c r="V129" s="230"/>
      <c r="W129" s="230">
        <v>9</v>
      </c>
      <c r="X129" s="230">
        <v>10</v>
      </c>
      <c r="Y129" s="230">
        <v>15</v>
      </c>
      <c r="Z129" s="230">
        <v>21</v>
      </c>
      <c r="AA129" s="230">
        <v>22</v>
      </c>
      <c r="AB129" s="230">
        <v>27</v>
      </c>
      <c r="AD129" s="230">
        <v>7</v>
      </c>
      <c r="AE129" s="230">
        <v>11</v>
      </c>
      <c r="AF129" s="230">
        <v>19</v>
      </c>
      <c r="AG129" s="230">
        <v>26</v>
      </c>
    </row>
    <row r="130" spans="2:38">
      <c r="B130" s="837"/>
    </row>
    <row r="131" spans="2:38">
      <c r="B131" s="837"/>
      <c r="F131" s="230" t="s">
        <v>200</v>
      </c>
      <c r="G131" s="230" t="s">
        <v>200</v>
      </c>
      <c r="H131" s="230" t="s">
        <v>200</v>
      </c>
      <c r="I131" s="230" t="s">
        <v>3</v>
      </c>
      <c r="J131" s="230" t="s">
        <v>3</v>
      </c>
      <c r="K131" s="230" t="s">
        <v>3</v>
      </c>
      <c r="L131" s="230" t="s">
        <v>3</v>
      </c>
      <c r="M131" s="230" t="s">
        <v>3</v>
      </c>
      <c r="N131" s="230" t="s">
        <v>3</v>
      </c>
      <c r="O131" s="230" t="s">
        <v>3</v>
      </c>
      <c r="P131" s="230" t="s">
        <v>3</v>
      </c>
      <c r="Q131" s="230" t="s">
        <v>3</v>
      </c>
      <c r="R131" s="230" t="s">
        <v>3</v>
      </c>
      <c r="S131" s="230"/>
      <c r="T131" s="230"/>
      <c r="U131" s="230"/>
      <c r="V131" s="230"/>
      <c r="W131" s="230" t="s">
        <v>201</v>
      </c>
      <c r="X131" s="230" t="s">
        <v>201</v>
      </c>
      <c r="Y131" s="230" t="s">
        <v>201</v>
      </c>
      <c r="Z131" s="230" t="s">
        <v>201</v>
      </c>
      <c r="AA131" s="230" t="s">
        <v>201</v>
      </c>
      <c r="AB131" s="230" t="s">
        <v>201</v>
      </c>
      <c r="AC131" s="230" t="s">
        <v>201</v>
      </c>
      <c r="AD131" s="230" t="s">
        <v>201</v>
      </c>
      <c r="AE131" s="230" t="s">
        <v>18</v>
      </c>
      <c r="AF131" s="230" t="s">
        <v>18</v>
      </c>
      <c r="AG131" s="230" t="s">
        <v>18</v>
      </c>
      <c r="AH131" s="230" t="s">
        <v>18</v>
      </c>
      <c r="AI131" s="230" t="s">
        <v>18</v>
      </c>
      <c r="AJ131" s="230" t="s">
        <v>18</v>
      </c>
      <c r="AK131" s="837" t="s">
        <v>18</v>
      </c>
      <c r="AL131" s="230" t="s">
        <v>18</v>
      </c>
    </row>
    <row r="132" spans="2:38">
      <c r="B132" s="837"/>
      <c r="F132" s="230" t="s">
        <v>552</v>
      </c>
      <c r="G132" s="230" t="s">
        <v>553</v>
      </c>
      <c r="H132" s="230" t="s">
        <v>554</v>
      </c>
      <c r="I132" s="230" t="s">
        <v>555</v>
      </c>
      <c r="J132" s="230" t="s">
        <v>556</v>
      </c>
      <c r="K132" s="230" t="s">
        <v>557</v>
      </c>
      <c r="L132" s="230" t="s">
        <v>565</v>
      </c>
      <c r="M132" s="230" t="s">
        <v>558</v>
      </c>
      <c r="N132" s="230" t="s">
        <v>568</v>
      </c>
      <c r="O132" s="230" t="s">
        <v>559</v>
      </c>
      <c r="P132" s="230" t="s">
        <v>560</v>
      </c>
      <c r="Q132" s="230" t="s">
        <v>561</v>
      </c>
      <c r="R132" s="230" t="s">
        <v>562</v>
      </c>
      <c r="S132" s="230"/>
      <c r="T132" s="230"/>
      <c r="U132" s="230"/>
      <c r="V132" s="230"/>
      <c r="W132" s="230" t="s">
        <v>563</v>
      </c>
      <c r="X132" s="230" t="s">
        <v>564</v>
      </c>
      <c r="Y132" s="230" t="s">
        <v>566</v>
      </c>
      <c r="Z132" s="230" t="s">
        <v>567</v>
      </c>
      <c r="AA132" s="230" t="s">
        <v>569</v>
      </c>
      <c r="AB132" s="230" t="s">
        <v>570</v>
      </c>
      <c r="AC132" s="230" t="s">
        <v>571</v>
      </c>
      <c r="AD132" s="230" t="s">
        <v>572</v>
      </c>
      <c r="AE132" s="230" t="s">
        <v>573</v>
      </c>
      <c r="AF132" s="230" t="s">
        <v>574</v>
      </c>
      <c r="AG132" s="230" t="s">
        <v>575</v>
      </c>
      <c r="AH132" s="230" t="s">
        <v>576</v>
      </c>
      <c r="AI132" s="230" t="s">
        <v>577</v>
      </c>
      <c r="AJ132" s="230" t="s">
        <v>578</v>
      </c>
      <c r="AK132" s="837" t="s">
        <v>580</v>
      </c>
      <c r="AL132" s="230" t="s">
        <v>579</v>
      </c>
    </row>
    <row r="133" spans="2:38">
      <c r="B133" s="837"/>
      <c r="F133" s="230">
        <v>1</v>
      </c>
      <c r="G133" s="230">
        <v>99</v>
      </c>
      <c r="H133" s="230">
        <v>32</v>
      </c>
      <c r="I133" s="230">
        <v>2</v>
      </c>
      <c r="J133" s="230">
        <v>5</v>
      </c>
      <c r="K133" s="230">
        <v>6</v>
      </c>
      <c r="L133" s="230">
        <v>7</v>
      </c>
      <c r="M133" s="230">
        <v>13</v>
      </c>
      <c r="N133" s="230">
        <v>14</v>
      </c>
      <c r="O133" s="230">
        <v>30</v>
      </c>
      <c r="P133" s="230">
        <v>31</v>
      </c>
      <c r="Q133" s="230">
        <v>35</v>
      </c>
      <c r="R133" s="230">
        <v>80</v>
      </c>
      <c r="S133" s="230"/>
      <c r="T133" s="230"/>
      <c r="U133" s="230"/>
      <c r="V133" s="230"/>
      <c r="W133" s="230">
        <v>3</v>
      </c>
      <c r="X133" s="230">
        <v>4</v>
      </c>
      <c r="Y133" s="230">
        <v>8</v>
      </c>
      <c r="Z133" s="230">
        <v>10</v>
      </c>
      <c r="AA133" s="230">
        <v>18</v>
      </c>
      <c r="AB133" s="230">
        <v>20</v>
      </c>
      <c r="AC133" s="230">
        <v>25</v>
      </c>
      <c r="AD133" s="230">
        <v>34</v>
      </c>
      <c r="AE133" s="230">
        <v>9</v>
      </c>
      <c r="AF133" s="230">
        <v>11</v>
      </c>
      <c r="AG133" s="230">
        <v>17</v>
      </c>
      <c r="AH133" s="230">
        <v>19</v>
      </c>
      <c r="AI133" s="230">
        <v>21</v>
      </c>
      <c r="AJ133" s="230">
        <v>22</v>
      </c>
      <c r="AK133" s="837">
        <v>24</v>
      </c>
      <c r="AL133" s="230">
        <v>27</v>
      </c>
    </row>
    <row r="134" spans="2:38">
      <c r="B134" s="837"/>
    </row>
    <row r="135" spans="2:38">
      <c r="B135" s="837"/>
      <c r="F135" s="230" t="s">
        <v>200</v>
      </c>
      <c r="G135" s="230" t="s">
        <v>200</v>
      </c>
      <c r="H135" s="230" t="s">
        <v>200</v>
      </c>
      <c r="I135" s="230" t="s">
        <v>3</v>
      </c>
      <c r="J135" s="230" t="s">
        <v>3</v>
      </c>
      <c r="K135" s="230" t="s">
        <v>3</v>
      </c>
      <c r="L135" s="230" t="s">
        <v>3</v>
      </c>
      <c r="M135" s="230" t="s">
        <v>3</v>
      </c>
      <c r="N135" s="230" t="s">
        <v>3</v>
      </c>
      <c r="O135" s="230" t="s">
        <v>3</v>
      </c>
      <c r="P135" s="230" t="s">
        <v>3</v>
      </c>
      <c r="Q135" s="230" t="s">
        <v>3</v>
      </c>
      <c r="R135" s="230" t="s">
        <v>201</v>
      </c>
      <c r="S135" s="230"/>
      <c r="T135" s="230"/>
      <c r="U135" s="230"/>
      <c r="V135" s="230"/>
      <c r="W135" s="230" t="s">
        <v>201</v>
      </c>
      <c r="X135" s="230" t="s">
        <v>201</v>
      </c>
      <c r="Y135" s="230" t="s">
        <v>201</v>
      </c>
      <c r="Z135" s="230" t="s">
        <v>201</v>
      </c>
      <c r="AA135" s="230" t="s">
        <v>201</v>
      </c>
      <c r="AB135" s="230" t="s">
        <v>201</v>
      </c>
      <c r="AC135" s="837" t="s">
        <v>201</v>
      </c>
      <c r="AD135" s="230" t="s">
        <v>201</v>
      </c>
      <c r="AE135" s="230" t="s">
        <v>18</v>
      </c>
      <c r="AF135" s="230" t="s">
        <v>18</v>
      </c>
      <c r="AG135" s="230" t="s">
        <v>18</v>
      </c>
      <c r="AH135" s="230" t="s">
        <v>18</v>
      </c>
    </row>
    <row r="136" spans="2:38">
      <c r="B136" s="837"/>
      <c r="F136" s="230" t="s">
        <v>581</v>
      </c>
      <c r="G136" s="230" t="s">
        <v>582</v>
      </c>
      <c r="H136" s="230" t="s">
        <v>583</v>
      </c>
      <c r="I136" s="230" t="s">
        <v>584</v>
      </c>
      <c r="J136" s="230" t="s">
        <v>585</v>
      </c>
      <c r="K136" s="230" t="s">
        <v>504</v>
      </c>
      <c r="L136" s="230" t="s">
        <v>586</v>
      </c>
      <c r="M136" s="230" t="s">
        <v>587</v>
      </c>
      <c r="N136" s="230" t="s">
        <v>588</v>
      </c>
      <c r="O136" s="230" t="s">
        <v>589</v>
      </c>
      <c r="P136" s="230" t="s">
        <v>590</v>
      </c>
      <c r="Q136" s="230" t="s">
        <v>591</v>
      </c>
      <c r="R136" s="230" t="s">
        <v>592</v>
      </c>
      <c r="S136" s="230"/>
      <c r="T136" s="230"/>
      <c r="U136" s="230"/>
      <c r="V136" s="230"/>
      <c r="W136" s="230" t="s">
        <v>593</v>
      </c>
      <c r="X136" s="230" t="s">
        <v>594</v>
      </c>
      <c r="Y136" s="230" t="s">
        <v>595</v>
      </c>
      <c r="Z136" s="230" t="s">
        <v>596</v>
      </c>
      <c r="AA136" s="230" t="s">
        <v>597</v>
      </c>
      <c r="AB136" s="230" t="s">
        <v>598</v>
      </c>
      <c r="AC136" s="837" t="s">
        <v>604</v>
      </c>
      <c r="AD136" s="230" t="s">
        <v>599</v>
      </c>
      <c r="AE136" s="230" t="s">
        <v>600</v>
      </c>
      <c r="AF136" s="230" t="s">
        <v>601</v>
      </c>
      <c r="AG136" s="230" t="s">
        <v>602</v>
      </c>
      <c r="AH136" s="230" t="s">
        <v>603</v>
      </c>
    </row>
    <row r="137" spans="2:38">
      <c r="B137" s="837"/>
      <c r="F137" s="230">
        <v>25</v>
      </c>
      <c r="G137" s="230">
        <v>27</v>
      </c>
      <c r="H137" s="230">
        <v>30</v>
      </c>
      <c r="I137" s="230">
        <v>2</v>
      </c>
      <c r="J137" s="230">
        <v>3</v>
      </c>
      <c r="K137" s="230">
        <v>4</v>
      </c>
      <c r="L137" s="230">
        <v>5</v>
      </c>
      <c r="M137" s="230">
        <v>6</v>
      </c>
      <c r="N137" s="230">
        <v>14</v>
      </c>
      <c r="O137" s="230">
        <v>20</v>
      </c>
      <c r="P137" s="230">
        <v>22</v>
      </c>
      <c r="Q137" s="230">
        <v>33</v>
      </c>
      <c r="R137" s="230">
        <v>8</v>
      </c>
      <c r="S137" s="230"/>
      <c r="T137" s="230"/>
      <c r="U137" s="230"/>
      <c r="V137" s="230"/>
      <c r="W137" s="230">
        <v>9</v>
      </c>
      <c r="X137" s="230">
        <v>10</v>
      </c>
      <c r="Y137" s="230">
        <v>11</v>
      </c>
      <c r="Z137" s="230">
        <v>17</v>
      </c>
      <c r="AA137" s="230">
        <v>18</v>
      </c>
      <c r="AB137" s="230">
        <v>21</v>
      </c>
      <c r="AC137" s="837">
        <v>31</v>
      </c>
      <c r="AD137" s="230">
        <v>32</v>
      </c>
      <c r="AE137" s="230">
        <v>7</v>
      </c>
      <c r="AF137" s="230">
        <v>13</v>
      </c>
      <c r="AG137" s="230">
        <v>19</v>
      </c>
      <c r="AH137" s="230">
        <v>28</v>
      </c>
    </row>
    <row r="138" spans="2:38">
      <c r="B138" s="837"/>
    </row>
    <row r="139" spans="2:38">
      <c r="B139" s="837"/>
      <c r="F139" s="230" t="s">
        <v>200</v>
      </c>
      <c r="G139" s="230" t="s">
        <v>200</v>
      </c>
      <c r="H139" s="230" t="s">
        <v>3</v>
      </c>
      <c r="I139" s="230" t="s">
        <v>3</v>
      </c>
      <c r="J139" s="230" t="s">
        <v>3</v>
      </c>
      <c r="K139" s="230" t="s">
        <v>3</v>
      </c>
      <c r="L139" s="230" t="s">
        <v>3</v>
      </c>
      <c r="M139" s="230" t="s">
        <v>3</v>
      </c>
      <c r="N139" s="230" t="s">
        <v>3</v>
      </c>
      <c r="O139" s="230" t="s">
        <v>3</v>
      </c>
      <c r="P139" s="230" t="s">
        <v>3</v>
      </c>
      <c r="Q139" s="230" t="s">
        <v>201</v>
      </c>
      <c r="R139" s="230" t="s">
        <v>201</v>
      </c>
      <c r="S139" s="230"/>
      <c r="T139" s="230"/>
      <c r="U139" s="230"/>
      <c r="V139" s="230"/>
      <c r="W139" s="230" t="s">
        <v>201</v>
      </c>
      <c r="X139" s="230" t="s">
        <v>201</v>
      </c>
      <c r="Y139" s="230" t="s">
        <v>201</v>
      </c>
      <c r="Z139" s="230" t="s">
        <v>201</v>
      </c>
      <c r="AA139" s="230" t="s">
        <v>201</v>
      </c>
      <c r="AB139" s="230" t="s">
        <v>201</v>
      </c>
      <c r="AC139" s="230" t="s">
        <v>18</v>
      </c>
      <c r="AD139" s="230" t="s">
        <v>18</v>
      </c>
      <c r="AE139" s="230" t="s">
        <v>18</v>
      </c>
      <c r="AF139" s="230" t="s">
        <v>18</v>
      </c>
      <c r="AG139" s="230" t="s">
        <v>18</v>
      </c>
      <c r="AH139" s="230" t="s">
        <v>18</v>
      </c>
      <c r="AI139" s="230" t="s">
        <v>18</v>
      </c>
    </row>
    <row r="140" spans="2:38">
      <c r="B140" s="837"/>
      <c r="F140" s="230" t="s">
        <v>605</v>
      </c>
      <c r="G140" s="230" t="s">
        <v>606</v>
      </c>
      <c r="H140" s="230" t="s">
        <v>607</v>
      </c>
      <c r="I140" s="230" t="s">
        <v>608</v>
      </c>
      <c r="J140" s="230" t="s">
        <v>609</v>
      </c>
      <c r="K140" s="230" t="s">
        <v>610</v>
      </c>
      <c r="L140" s="230" t="s">
        <v>611</v>
      </c>
      <c r="M140" s="230" t="s">
        <v>612</v>
      </c>
      <c r="N140" s="230" t="s">
        <v>613</v>
      </c>
      <c r="O140" s="230" t="s">
        <v>614</v>
      </c>
      <c r="P140" s="230" t="s">
        <v>615</v>
      </c>
      <c r="Q140" s="230" t="s">
        <v>616</v>
      </c>
      <c r="R140" s="230" t="s">
        <v>617</v>
      </c>
      <c r="S140" s="230"/>
      <c r="T140" s="230"/>
      <c r="U140" s="230"/>
      <c r="V140" s="230"/>
      <c r="W140" s="230" t="s">
        <v>618</v>
      </c>
      <c r="X140" s="230" t="s">
        <v>619</v>
      </c>
      <c r="Y140" s="230" t="s">
        <v>621</v>
      </c>
      <c r="Z140" s="230" t="s">
        <v>622</v>
      </c>
      <c r="AA140" s="230" t="s">
        <v>623</v>
      </c>
      <c r="AB140" s="230" t="s">
        <v>624</v>
      </c>
      <c r="AC140" s="230" t="s">
        <v>625</v>
      </c>
      <c r="AD140" s="230" t="s">
        <v>626</v>
      </c>
      <c r="AE140" s="230" t="s">
        <v>627</v>
      </c>
      <c r="AF140" s="230" t="s">
        <v>620</v>
      </c>
      <c r="AG140" s="230" t="s">
        <v>550</v>
      </c>
      <c r="AH140" s="230" t="s">
        <v>628</v>
      </c>
      <c r="AI140" s="230" t="s">
        <v>629</v>
      </c>
    </row>
    <row r="141" spans="2:38">
      <c r="B141" s="837"/>
      <c r="F141" s="230">
        <v>1</v>
      </c>
      <c r="G141" s="230">
        <v>16</v>
      </c>
      <c r="H141" s="230">
        <v>2</v>
      </c>
      <c r="I141" s="230">
        <v>3</v>
      </c>
      <c r="J141" s="230">
        <v>4</v>
      </c>
      <c r="K141" s="230">
        <v>5</v>
      </c>
      <c r="L141" s="230">
        <v>6</v>
      </c>
      <c r="M141" s="230">
        <v>12</v>
      </c>
      <c r="N141" s="230">
        <v>15</v>
      </c>
      <c r="O141" s="230">
        <v>25</v>
      </c>
      <c r="P141" s="230">
        <v>33</v>
      </c>
      <c r="Q141" s="230">
        <v>7</v>
      </c>
      <c r="R141" s="230">
        <v>8</v>
      </c>
      <c r="S141" s="230"/>
      <c r="T141" s="230"/>
      <c r="U141" s="230"/>
      <c r="V141" s="230"/>
      <c r="W141" s="230">
        <v>13</v>
      </c>
      <c r="X141" s="230">
        <v>14</v>
      </c>
      <c r="Y141" s="230">
        <v>19</v>
      </c>
      <c r="Z141" s="230">
        <v>20</v>
      </c>
      <c r="AA141" s="230">
        <v>21</v>
      </c>
      <c r="AB141" s="230">
        <v>23</v>
      </c>
      <c r="AC141" s="230">
        <v>9</v>
      </c>
      <c r="AD141" s="230">
        <v>10</v>
      </c>
      <c r="AE141" s="230">
        <v>11</v>
      </c>
      <c r="AF141" s="230">
        <v>17</v>
      </c>
      <c r="AG141" s="230">
        <v>18</v>
      </c>
      <c r="AH141" s="230">
        <v>22</v>
      </c>
      <c r="AI141" s="230">
        <v>24</v>
      </c>
    </row>
    <row r="142" spans="2:38">
      <c r="B142" s="837"/>
    </row>
    <row r="143" spans="2:38">
      <c r="B143" s="837"/>
      <c r="F143" s="230" t="s">
        <v>200</v>
      </c>
      <c r="G143" s="230" t="s">
        <v>200</v>
      </c>
      <c r="H143" s="230" t="s">
        <v>200</v>
      </c>
      <c r="I143" s="230" t="s">
        <v>3</v>
      </c>
      <c r="J143" s="230" t="s">
        <v>3</v>
      </c>
      <c r="K143" s="230" t="s">
        <v>3</v>
      </c>
      <c r="L143" s="230" t="s">
        <v>3</v>
      </c>
      <c r="M143" s="230" t="s">
        <v>3</v>
      </c>
      <c r="N143" s="230" t="s">
        <v>3</v>
      </c>
      <c r="O143" s="230" t="s">
        <v>3</v>
      </c>
      <c r="P143" s="230" t="s">
        <v>201</v>
      </c>
      <c r="Q143" s="230" t="s">
        <v>201</v>
      </c>
      <c r="R143" s="230" t="s">
        <v>201</v>
      </c>
      <c r="S143" s="230"/>
      <c r="T143" s="230"/>
      <c r="U143" s="230"/>
      <c r="V143" s="230"/>
      <c r="W143" s="230" t="s">
        <v>201</v>
      </c>
      <c r="X143" s="230" t="s">
        <v>201</v>
      </c>
      <c r="Y143" s="230" t="s">
        <v>201</v>
      </c>
      <c r="Z143" s="230" t="s">
        <v>201</v>
      </c>
      <c r="AA143" s="230" t="s">
        <v>201</v>
      </c>
      <c r="AB143" s="230" t="s">
        <v>201</v>
      </c>
      <c r="AC143" s="230" t="s">
        <v>18</v>
      </c>
      <c r="AD143" s="837" t="s">
        <v>18</v>
      </c>
      <c r="AE143" s="230" t="s">
        <v>18</v>
      </c>
      <c r="AF143" s="230" t="s">
        <v>18</v>
      </c>
      <c r="AG143" s="230" t="s">
        <v>18</v>
      </c>
      <c r="AH143" s="230" t="s">
        <v>18</v>
      </c>
      <c r="AI143" s="230" t="s">
        <v>18</v>
      </c>
    </row>
    <row r="144" spans="2:38">
      <c r="B144" s="837"/>
      <c r="F144" s="230" t="s">
        <v>630</v>
      </c>
      <c r="G144" s="230" t="s">
        <v>631</v>
      </c>
      <c r="H144" s="230" t="s">
        <v>618</v>
      </c>
      <c r="I144" s="230" t="s">
        <v>632</v>
      </c>
      <c r="J144" s="230" t="s">
        <v>633</v>
      </c>
      <c r="K144" s="230" t="s">
        <v>634</v>
      </c>
      <c r="L144" s="230" t="s">
        <v>636</v>
      </c>
      <c r="M144" s="230" t="s">
        <v>651</v>
      </c>
      <c r="N144" s="230" t="s">
        <v>637</v>
      </c>
      <c r="O144" s="230" t="s">
        <v>638</v>
      </c>
      <c r="P144" s="230" t="s">
        <v>331</v>
      </c>
      <c r="Q144" s="230" t="s">
        <v>639</v>
      </c>
      <c r="R144" s="230" t="s">
        <v>640</v>
      </c>
      <c r="S144" s="230"/>
      <c r="T144" s="230"/>
      <c r="U144" s="230"/>
      <c r="V144" s="230"/>
      <c r="W144" s="230" t="s">
        <v>641</v>
      </c>
      <c r="X144" s="230" t="s">
        <v>642</v>
      </c>
      <c r="Y144" s="230" t="s">
        <v>645</v>
      </c>
      <c r="Z144" s="230" t="s">
        <v>635</v>
      </c>
      <c r="AA144" s="230" t="s">
        <v>380</v>
      </c>
      <c r="AB144" s="230" t="s">
        <v>646</v>
      </c>
      <c r="AC144" s="230" t="s">
        <v>647</v>
      </c>
      <c r="AD144" s="837" t="s">
        <v>652</v>
      </c>
      <c r="AE144" s="230" t="s">
        <v>644</v>
      </c>
      <c r="AF144" s="230" t="s">
        <v>649</v>
      </c>
      <c r="AG144" s="230" t="s">
        <v>643</v>
      </c>
      <c r="AH144" s="230" t="s">
        <v>650</v>
      </c>
      <c r="AI144" s="230" t="s">
        <v>648</v>
      </c>
    </row>
    <row r="145" spans="2:40">
      <c r="B145" s="837"/>
      <c r="F145" s="230">
        <v>29</v>
      </c>
      <c r="G145" s="230"/>
      <c r="H145" s="230">
        <v>91</v>
      </c>
      <c r="I145" s="230">
        <v>3</v>
      </c>
      <c r="J145" s="230">
        <v>6</v>
      </c>
      <c r="K145" s="230">
        <v>13</v>
      </c>
      <c r="L145" s="230">
        <v>17</v>
      </c>
      <c r="M145" s="230">
        <v>21</v>
      </c>
      <c r="N145" s="230">
        <v>23</v>
      </c>
      <c r="O145" s="230">
        <v>84</v>
      </c>
      <c r="P145" s="230">
        <v>4</v>
      </c>
      <c r="Q145" s="230">
        <v>8</v>
      </c>
      <c r="R145" s="230">
        <v>11</v>
      </c>
      <c r="S145" s="230"/>
      <c r="T145" s="230"/>
      <c r="U145" s="230"/>
      <c r="V145" s="230"/>
      <c r="W145" s="230">
        <v>12</v>
      </c>
      <c r="X145" s="230">
        <v>14</v>
      </c>
      <c r="Y145" s="230">
        <v>22</v>
      </c>
      <c r="Z145" s="230">
        <v>25</v>
      </c>
      <c r="AC145" s="230">
        <v>5</v>
      </c>
      <c r="AD145" s="837">
        <v>7</v>
      </c>
      <c r="AE145" s="230">
        <v>9</v>
      </c>
      <c r="AF145" s="230">
        <v>16</v>
      </c>
      <c r="AG145" s="230">
        <v>19</v>
      </c>
      <c r="AH145" s="230">
        <v>20</v>
      </c>
      <c r="AI145" s="230">
        <v>28</v>
      </c>
    </row>
    <row r="146" spans="2:40">
      <c r="B146" s="837"/>
    </row>
    <row r="147" spans="2:40">
      <c r="B147" s="837"/>
      <c r="F147" s="230" t="s">
        <v>200</v>
      </c>
      <c r="G147" s="230" t="s">
        <v>200</v>
      </c>
      <c r="H147" s="230" t="s">
        <v>3</v>
      </c>
      <c r="I147" s="230" t="s">
        <v>3</v>
      </c>
      <c r="J147" s="230" t="s">
        <v>3</v>
      </c>
      <c r="K147" s="230" t="s">
        <v>3</v>
      </c>
      <c r="L147" s="230" t="s">
        <v>3</v>
      </c>
      <c r="M147" s="230" t="s">
        <v>3</v>
      </c>
      <c r="N147" s="230" t="s">
        <v>3</v>
      </c>
      <c r="O147" s="230" t="s">
        <v>3</v>
      </c>
      <c r="P147" s="230" t="s">
        <v>3</v>
      </c>
      <c r="Q147" s="230" t="s">
        <v>201</v>
      </c>
      <c r="R147" s="230" t="s">
        <v>201</v>
      </c>
      <c r="S147" s="230"/>
      <c r="T147" s="230"/>
      <c r="U147" s="230"/>
      <c r="V147" s="230"/>
      <c r="W147" s="230" t="s">
        <v>201</v>
      </c>
      <c r="X147" s="230" t="s">
        <v>201</v>
      </c>
      <c r="Y147" s="230" t="s">
        <v>201</v>
      </c>
      <c r="Z147" s="230" t="s">
        <v>201</v>
      </c>
      <c r="AA147" s="230" t="s">
        <v>201</v>
      </c>
      <c r="AB147" s="837" t="s">
        <v>201</v>
      </c>
      <c r="AC147" s="230" t="s">
        <v>18</v>
      </c>
      <c r="AD147" s="230" t="s">
        <v>18</v>
      </c>
      <c r="AE147" s="230" t="s">
        <v>18</v>
      </c>
      <c r="AF147" s="230" t="s">
        <v>18</v>
      </c>
      <c r="AG147" s="230" t="s">
        <v>18</v>
      </c>
      <c r="AH147" s="230" t="s">
        <v>18</v>
      </c>
      <c r="AI147" s="230" t="s">
        <v>18</v>
      </c>
      <c r="AJ147" s="837" t="s">
        <v>18</v>
      </c>
    </row>
    <row r="148" spans="2:40">
      <c r="B148" s="837"/>
      <c r="F148" s="230" t="s">
        <v>653</v>
      </c>
      <c r="G148" s="230" t="s">
        <v>654</v>
      </c>
      <c r="H148" s="230" t="s">
        <v>655</v>
      </c>
      <c r="I148" s="230" t="s">
        <v>656</v>
      </c>
      <c r="J148" s="230" t="s">
        <v>657</v>
      </c>
      <c r="K148" s="230" t="s">
        <v>658</v>
      </c>
      <c r="L148" s="230" t="s">
        <v>659</v>
      </c>
      <c r="M148" s="230" t="s">
        <v>660</v>
      </c>
      <c r="N148" s="230" t="s">
        <v>661</v>
      </c>
      <c r="O148" s="230" t="s">
        <v>662</v>
      </c>
      <c r="P148" s="230" t="s">
        <v>663</v>
      </c>
      <c r="Q148" s="230" t="s">
        <v>664</v>
      </c>
      <c r="R148" s="230" t="s">
        <v>665</v>
      </c>
      <c r="S148" s="230"/>
      <c r="T148" s="230"/>
      <c r="U148" s="230"/>
      <c r="V148" s="230"/>
      <c r="W148" s="230" t="s">
        <v>666</v>
      </c>
      <c r="X148" s="230" t="s">
        <v>667</v>
      </c>
      <c r="Y148" s="230" t="s">
        <v>669</v>
      </c>
      <c r="Z148" s="230" t="s">
        <v>670</v>
      </c>
      <c r="AA148" s="230" t="s">
        <v>672</v>
      </c>
      <c r="AB148" s="837" t="s">
        <v>678</v>
      </c>
      <c r="AC148" s="230" t="s">
        <v>673</v>
      </c>
      <c r="AD148" s="230" t="s">
        <v>674</v>
      </c>
      <c r="AE148" s="230" t="s">
        <v>675</v>
      </c>
      <c r="AF148" s="230" t="s">
        <v>668</v>
      </c>
      <c r="AG148" s="230" t="s">
        <v>676</v>
      </c>
      <c r="AH148" s="230" t="s">
        <v>671</v>
      </c>
      <c r="AI148" s="230" t="s">
        <v>677</v>
      </c>
      <c r="AJ148" s="837" t="s">
        <v>679</v>
      </c>
    </row>
    <row r="149" spans="2:40">
      <c r="B149" s="837"/>
      <c r="F149" s="230">
        <v>1</v>
      </c>
      <c r="G149" s="230">
        <v>14</v>
      </c>
      <c r="H149" s="230">
        <v>2</v>
      </c>
      <c r="I149" s="230">
        <v>3</v>
      </c>
      <c r="J149" s="230">
        <v>4</v>
      </c>
      <c r="K149" s="230">
        <v>5</v>
      </c>
      <c r="L149" s="230">
        <v>11</v>
      </c>
      <c r="M149" s="230">
        <v>20</v>
      </c>
      <c r="N149" s="230">
        <v>21</v>
      </c>
      <c r="O149" s="230">
        <v>23</v>
      </c>
      <c r="P149" s="230">
        <v>27</v>
      </c>
      <c r="Q149" s="230">
        <v>6</v>
      </c>
      <c r="R149" s="230">
        <v>7</v>
      </c>
      <c r="S149" s="230"/>
      <c r="T149" s="230"/>
      <c r="U149" s="230"/>
      <c r="V149" s="230"/>
      <c r="W149" s="230">
        <v>8</v>
      </c>
      <c r="X149" s="230">
        <v>15</v>
      </c>
      <c r="Y149" s="230">
        <v>19</v>
      </c>
      <c r="Z149" s="230">
        <v>22</v>
      </c>
      <c r="AA149" s="230">
        <v>30</v>
      </c>
      <c r="AB149" s="837">
        <v>12</v>
      </c>
      <c r="AC149" s="230">
        <v>9</v>
      </c>
      <c r="AD149" s="230">
        <v>10</v>
      </c>
      <c r="AE149" s="230">
        <v>17</v>
      </c>
      <c r="AF149" s="230">
        <v>18</v>
      </c>
      <c r="AG149" s="230">
        <v>28</v>
      </c>
      <c r="AH149" s="230">
        <v>29</v>
      </c>
      <c r="AI149" s="230">
        <v>32</v>
      </c>
      <c r="AJ149" s="837">
        <v>99</v>
      </c>
    </row>
    <row r="150" spans="2:40">
      <c r="B150" s="837"/>
    </row>
    <row r="151" spans="2:40">
      <c r="B151" s="837"/>
    </row>
    <row r="152" spans="2:40">
      <c r="B152" s="837"/>
      <c r="F152" s="230" t="s">
        <v>200</v>
      </c>
      <c r="G152" s="230" t="s">
        <v>200</v>
      </c>
      <c r="H152" s="230" t="s">
        <v>200</v>
      </c>
      <c r="I152" s="230" t="s">
        <v>200</v>
      </c>
      <c r="J152" s="230" t="s">
        <v>3</v>
      </c>
      <c r="K152" s="230" t="s">
        <v>3</v>
      </c>
      <c r="L152" s="230" t="s">
        <v>3</v>
      </c>
      <c r="M152" s="230" t="s">
        <v>3</v>
      </c>
      <c r="N152" s="230" t="s">
        <v>3</v>
      </c>
      <c r="O152" s="230" t="s">
        <v>3</v>
      </c>
      <c r="P152" s="230" t="s">
        <v>3</v>
      </c>
      <c r="Q152" s="230" t="s">
        <v>201</v>
      </c>
      <c r="R152" s="230" t="s">
        <v>201</v>
      </c>
      <c r="S152" s="230"/>
      <c r="T152" s="230"/>
      <c r="U152" s="230"/>
      <c r="V152" s="230"/>
      <c r="W152" s="230" t="s">
        <v>201</v>
      </c>
      <c r="X152" s="230" t="s">
        <v>201</v>
      </c>
      <c r="Y152" s="230" t="s">
        <v>201</v>
      </c>
      <c r="Z152" s="230" t="s">
        <v>201</v>
      </c>
      <c r="AA152" s="230" t="s">
        <v>201</v>
      </c>
      <c r="AB152" s="230" t="s">
        <v>201</v>
      </c>
      <c r="AC152" s="837" t="s">
        <v>201</v>
      </c>
      <c r="AD152" s="230" t="s">
        <v>201</v>
      </c>
      <c r="AE152" s="230" t="s">
        <v>201</v>
      </c>
      <c r="AF152" s="230" t="s">
        <v>201</v>
      </c>
      <c r="AG152" s="230" t="s">
        <v>201</v>
      </c>
      <c r="AH152" s="230" t="s">
        <v>201</v>
      </c>
      <c r="AI152" s="230" t="s">
        <v>18</v>
      </c>
      <c r="AJ152" s="230" t="s">
        <v>18</v>
      </c>
      <c r="AK152" s="230" t="s">
        <v>18</v>
      </c>
      <c r="AL152" s="230" t="s">
        <v>18</v>
      </c>
      <c r="AM152" s="230" t="s">
        <v>18</v>
      </c>
      <c r="AN152" s="230" t="s">
        <v>18</v>
      </c>
    </row>
    <row r="153" spans="2:40">
      <c r="B153" s="837"/>
      <c r="F153" s="230" t="s">
        <v>680</v>
      </c>
      <c r="G153" s="230" t="s">
        <v>681</v>
      </c>
      <c r="H153" s="230" t="s">
        <v>682</v>
      </c>
      <c r="I153" s="230" t="s">
        <v>683</v>
      </c>
      <c r="J153" s="230" t="s">
        <v>684</v>
      </c>
      <c r="K153" s="230" t="s">
        <v>685</v>
      </c>
      <c r="L153" s="230" t="s">
        <v>686</v>
      </c>
      <c r="M153" s="230" t="s">
        <v>202</v>
      </c>
      <c r="N153" s="230" t="s">
        <v>687</v>
      </c>
      <c r="O153" s="230" t="s">
        <v>688</v>
      </c>
      <c r="P153" s="230" t="s">
        <v>689</v>
      </c>
      <c r="Q153" s="230" t="s">
        <v>690</v>
      </c>
      <c r="R153" s="230" t="s">
        <v>691</v>
      </c>
      <c r="S153" s="230"/>
      <c r="T153" s="230"/>
      <c r="U153" s="230"/>
      <c r="V153" s="230"/>
      <c r="W153" s="230" t="s">
        <v>692</v>
      </c>
      <c r="X153" s="230" t="s">
        <v>693</v>
      </c>
      <c r="Y153" s="230" t="s">
        <v>702</v>
      </c>
      <c r="Z153" s="230" t="s">
        <v>695</v>
      </c>
      <c r="AA153" s="230" t="s">
        <v>696</v>
      </c>
      <c r="AB153" s="230" t="s">
        <v>697</v>
      </c>
      <c r="AC153" s="837" t="s">
        <v>708</v>
      </c>
      <c r="AD153" s="230" t="s">
        <v>699</v>
      </c>
      <c r="AE153" s="230" t="s">
        <v>701</v>
      </c>
      <c r="AF153" s="230" t="s">
        <v>323</v>
      </c>
      <c r="AG153" s="230" t="s">
        <v>700</v>
      </c>
      <c r="AH153" s="230" t="s">
        <v>694</v>
      </c>
      <c r="AI153" s="230" t="s">
        <v>703</v>
      </c>
      <c r="AJ153" s="230" t="s">
        <v>704</v>
      </c>
      <c r="AK153" s="230" t="s">
        <v>698</v>
      </c>
      <c r="AL153" s="230" t="s">
        <v>705</v>
      </c>
      <c r="AM153" s="230" t="s">
        <v>706</v>
      </c>
      <c r="AN153" s="230" t="s">
        <v>707</v>
      </c>
    </row>
    <row r="154" spans="2:40">
      <c r="B154" s="837" t="s">
        <v>200</v>
      </c>
      <c r="C154" s="837" t="s">
        <v>680</v>
      </c>
      <c r="D154" s="837">
        <v>1</v>
      </c>
      <c r="F154" s="230">
        <v>1</v>
      </c>
      <c r="G154" s="230">
        <v>21</v>
      </c>
      <c r="H154" s="230">
        <v>27</v>
      </c>
      <c r="I154" s="230">
        <v>30</v>
      </c>
      <c r="J154" s="230">
        <v>2</v>
      </c>
      <c r="K154" s="230">
        <v>5</v>
      </c>
      <c r="L154" s="230">
        <v>13</v>
      </c>
      <c r="M154" s="230">
        <v>15</v>
      </c>
      <c r="N154" s="230">
        <v>16</v>
      </c>
      <c r="O154" s="230">
        <v>20</v>
      </c>
      <c r="P154" s="230">
        <v>24</v>
      </c>
      <c r="Q154" s="230">
        <v>4</v>
      </c>
      <c r="R154" s="230">
        <v>6</v>
      </c>
      <c r="S154" s="230"/>
      <c r="T154" s="230"/>
      <c r="U154" s="230"/>
      <c r="V154" s="230"/>
      <c r="W154" s="230">
        <v>7</v>
      </c>
      <c r="X154" s="230">
        <v>8</v>
      </c>
      <c r="Y154" s="230">
        <v>9</v>
      </c>
      <c r="Z154" s="230">
        <v>10</v>
      </c>
      <c r="AA154" s="230">
        <v>14</v>
      </c>
      <c r="AB154" s="230">
        <v>18</v>
      </c>
      <c r="AC154" s="837">
        <v>20</v>
      </c>
      <c r="AD154" s="230">
        <v>22</v>
      </c>
      <c r="AE154" s="230">
        <v>25</v>
      </c>
      <c r="AF154" s="230">
        <v>33</v>
      </c>
      <c r="AG154" s="230">
        <v>77</v>
      </c>
      <c r="AH154" s="230">
        <v>99</v>
      </c>
      <c r="AI154" s="230">
        <v>11</v>
      </c>
      <c r="AJ154" s="230">
        <v>17</v>
      </c>
      <c r="AK154" s="230">
        <v>19</v>
      </c>
      <c r="AL154" s="230">
        <v>23</v>
      </c>
      <c r="AM154" s="230">
        <v>26</v>
      </c>
      <c r="AN154" s="230">
        <v>34</v>
      </c>
    </row>
    <row r="155" spans="2:40">
      <c r="B155" s="837" t="s">
        <v>200</v>
      </c>
      <c r="C155" s="837" t="s">
        <v>681</v>
      </c>
      <c r="D155" s="837">
        <v>21</v>
      </c>
    </row>
    <row r="156" spans="2:40">
      <c r="B156" s="837" t="s">
        <v>200</v>
      </c>
      <c r="C156" s="837" t="s">
        <v>682</v>
      </c>
      <c r="D156" s="837">
        <v>27</v>
      </c>
    </row>
    <row r="157" spans="2:40">
      <c r="B157" s="837" t="s">
        <v>200</v>
      </c>
      <c r="C157" s="837" t="s">
        <v>683</v>
      </c>
      <c r="D157" s="837">
        <v>30</v>
      </c>
    </row>
    <row r="158" spans="2:40">
      <c r="B158" s="837" t="s">
        <v>3</v>
      </c>
      <c r="C158" s="837" t="s">
        <v>684</v>
      </c>
      <c r="D158" s="837">
        <v>2</v>
      </c>
    </row>
    <row r="159" spans="2:40">
      <c r="B159" s="837" t="s">
        <v>3</v>
      </c>
      <c r="C159" s="837" t="s">
        <v>685</v>
      </c>
      <c r="D159" s="837">
        <v>5</v>
      </c>
    </row>
    <row r="160" spans="2:40">
      <c r="B160" s="837" t="s">
        <v>3</v>
      </c>
      <c r="C160" s="837" t="s">
        <v>686</v>
      </c>
      <c r="D160" s="837">
        <v>13</v>
      </c>
    </row>
    <row r="161" spans="2:4">
      <c r="B161" s="837" t="s">
        <v>3</v>
      </c>
      <c r="C161" s="837" t="s">
        <v>202</v>
      </c>
      <c r="D161" s="837">
        <v>15</v>
      </c>
    </row>
    <row r="162" spans="2:4">
      <c r="B162" s="837" t="s">
        <v>3</v>
      </c>
      <c r="C162" s="837" t="s">
        <v>687</v>
      </c>
      <c r="D162" s="837">
        <v>16</v>
      </c>
    </row>
    <row r="163" spans="2:4">
      <c r="B163" s="837" t="s">
        <v>3</v>
      </c>
      <c r="C163" s="837" t="s">
        <v>688</v>
      </c>
      <c r="D163" s="837">
        <v>20</v>
      </c>
    </row>
    <row r="164" spans="2:4">
      <c r="B164" s="837" t="s">
        <v>3</v>
      </c>
      <c r="C164" s="837" t="s">
        <v>689</v>
      </c>
      <c r="D164" s="837">
        <v>24</v>
      </c>
    </row>
    <row r="165" spans="2:4">
      <c r="B165" s="837" t="s">
        <v>201</v>
      </c>
      <c r="C165" s="837" t="s">
        <v>690</v>
      </c>
      <c r="D165" s="837">
        <v>4</v>
      </c>
    </row>
    <row r="166" spans="2:4">
      <c r="B166" s="837" t="s">
        <v>201</v>
      </c>
      <c r="C166" s="837" t="s">
        <v>691</v>
      </c>
      <c r="D166" s="837">
        <v>6</v>
      </c>
    </row>
    <row r="167" spans="2:4">
      <c r="B167" s="837" t="s">
        <v>201</v>
      </c>
      <c r="C167" s="837" t="s">
        <v>692</v>
      </c>
      <c r="D167" s="837">
        <v>7</v>
      </c>
    </row>
    <row r="168" spans="2:4">
      <c r="B168" s="837" t="s">
        <v>201</v>
      </c>
      <c r="C168" s="837" t="s">
        <v>693</v>
      </c>
      <c r="D168" s="837">
        <v>8</v>
      </c>
    </row>
    <row r="169" spans="2:4">
      <c r="B169" s="837" t="s">
        <v>201</v>
      </c>
      <c r="C169" s="837" t="s">
        <v>694</v>
      </c>
      <c r="D169" s="837">
        <v>9</v>
      </c>
    </row>
    <row r="170" spans="2:4">
      <c r="B170" s="837" t="s">
        <v>201</v>
      </c>
      <c r="C170" s="837" t="s">
        <v>695</v>
      </c>
      <c r="D170" s="837">
        <v>10</v>
      </c>
    </row>
    <row r="171" spans="2:4">
      <c r="B171" s="837" t="s">
        <v>201</v>
      </c>
      <c r="C171" s="837" t="s">
        <v>696</v>
      </c>
      <c r="D171" s="837">
        <v>14</v>
      </c>
    </row>
    <row r="172" spans="2:4">
      <c r="B172" s="837" t="s">
        <v>201</v>
      </c>
      <c r="C172" s="837" t="s">
        <v>697</v>
      </c>
      <c r="D172" s="837">
        <v>18</v>
      </c>
    </row>
    <row r="173" spans="2:4">
      <c r="B173" s="837" t="s">
        <v>201</v>
      </c>
      <c r="C173" s="837" t="s">
        <v>698</v>
      </c>
      <c r="D173" s="837">
        <v>19</v>
      </c>
    </row>
    <row r="174" spans="2:4">
      <c r="B174" s="837" t="s">
        <v>201</v>
      </c>
      <c r="C174" s="837" t="s">
        <v>699</v>
      </c>
      <c r="D174" s="837">
        <v>22</v>
      </c>
    </row>
    <row r="175" spans="2:4">
      <c r="B175" s="837" t="s">
        <v>201</v>
      </c>
      <c r="C175" s="837" t="s">
        <v>700</v>
      </c>
      <c r="D175" s="837">
        <v>77</v>
      </c>
    </row>
    <row r="176" spans="2:4">
      <c r="B176" s="837" t="s">
        <v>201</v>
      </c>
      <c r="C176" s="837" t="s">
        <v>701</v>
      </c>
    </row>
    <row r="177" spans="2:4">
      <c r="B177" s="837" t="s">
        <v>18</v>
      </c>
      <c r="C177" s="837" t="s">
        <v>702</v>
      </c>
      <c r="D177" s="837">
        <v>9</v>
      </c>
    </row>
    <row r="178" spans="2:4">
      <c r="B178" s="837" t="s">
        <v>18</v>
      </c>
      <c r="C178" s="837" t="s">
        <v>703</v>
      </c>
      <c r="D178" s="837">
        <v>11</v>
      </c>
    </row>
    <row r="179" spans="2:4">
      <c r="B179" s="837" t="s">
        <v>18</v>
      </c>
      <c r="C179" s="837" t="s">
        <v>704</v>
      </c>
      <c r="D179" s="837">
        <v>17</v>
      </c>
    </row>
    <row r="180" spans="2:4">
      <c r="B180" s="837" t="s">
        <v>18</v>
      </c>
      <c r="C180" s="837" t="s">
        <v>705</v>
      </c>
      <c r="D180" s="837">
        <v>23</v>
      </c>
    </row>
    <row r="181" spans="2:4">
      <c r="B181" s="837" t="s">
        <v>18</v>
      </c>
      <c r="C181" s="837" t="s">
        <v>706</v>
      </c>
      <c r="D181" s="837">
        <v>26</v>
      </c>
    </row>
    <row r="182" spans="2:4">
      <c r="B182" s="837" t="s">
        <v>18</v>
      </c>
      <c r="C182" s="837" t="s">
        <v>323</v>
      </c>
      <c r="D182" s="837">
        <v>33</v>
      </c>
    </row>
    <row r="183" spans="2:4">
      <c r="B183" s="837" t="s">
        <v>18</v>
      </c>
      <c r="C183" s="837" t="s">
        <v>707</v>
      </c>
      <c r="D183" s="837">
        <v>34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U100"/>
  <sheetViews>
    <sheetView workbookViewId="0">
      <selection activeCell="B2" sqref="B2"/>
    </sheetView>
  </sheetViews>
  <sheetFormatPr defaultColWidth="9.125" defaultRowHeight="13.5"/>
  <cols>
    <col min="1" max="1" width="26.125" style="834" customWidth="1"/>
    <col min="2" max="5" width="14" style="834" customWidth="1"/>
    <col min="6" max="16384" width="9.125" style="834"/>
  </cols>
  <sheetData>
    <row r="1" spans="1:73">
      <c r="A1" s="17" t="str">
        <f>Helper!CM1</f>
        <v>Cerezo Osaka</v>
      </c>
      <c r="B1" s="834" t="e">
        <f t="array" aca="1" ref="B1:BU3" ca="1">INDIRECT("'"&amp;A1&amp;"'!X19:BZ21")</f>
        <v>#REF!</v>
      </c>
      <c r="C1" s="834" t="e">
        <f ca="1"/>
        <v>#REF!</v>
      </c>
      <c r="D1" s="834" t="e">
        <f ca="1"/>
        <v>#REF!</v>
      </c>
      <c r="E1" s="834" t="e">
        <f ca="1"/>
        <v>#REF!</v>
      </c>
      <c r="F1" s="834" t="e">
        <f ca="1"/>
        <v>#REF!</v>
      </c>
      <c r="G1" s="834" t="e">
        <f ca="1"/>
        <v>#REF!</v>
      </c>
      <c r="H1" s="834" t="e">
        <f ca="1"/>
        <v>#REF!</v>
      </c>
      <c r="I1" s="834" t="e">
        <f ca="1"/>
        <v>#REF!</v>
      </c>
      <c r="J1" s="834" t="e">
        <f ca="1"/>
        <v>#REF!</v>
      </c>
      <c r="K1" s="834" t="e">
        <f ca="1"/>
        <v>#REF!</v>
      </c>
      <c r="L1" s="834" t="e">
        <f ca="1"/>
        <v>#REF!</v>
      </c>
      <c r="M1" s="834" t="e">
        <f ca="1"/>
        <v>#REF!</v>
      </c>
      <c r="N1" s="834" t="e">
        <f ca="1"/>
        <v>#REF!</v>
      </c>
      <c r="O1" s="834" t="e">
        <f ca="1"/>
        <v>#REF!</v>
      </c>
      <c r="P1" s="834" t="e">
        <f ca="1"/>
        <v>#REF!</v>
      </c>
      <c r="Q1" s="834" t="e">
        <f ca="1"/>
        <v>#REF!</v>
      </c>
      <c r="R1" s="834" t="e">
        <f ca="1"/>
        <v>#REF!</v>
      </c>
      <c r="S1" s="834" t="e">
        <f ca="1"/>
        <v>#REF!</v>
      </c>
      <c r="T1" s="834" t="e">
        <f ca="1"/>
        <v>#REF!</v>
      </c>
      <c r="U1" s="834" t="e">
        <f ca="1"/>
        <v>#REF!</v>
      </c>
      <c r="V1" s="834" t="e">
        <f ca="1"/>
        <v>#REF!</v>
      </c>
      <c r="W1" s="834" t="e">
        <f ca="1"/>
        <v>#REF!</v>
      </c>
      <c r="X1" s="834" t="e">
        <f ca="1"/>
        <v>#REF!</v>
      </c>
      <c r="Y1" s="834" t="e">
        <f ca="1"/>
        <v>#REF!</v>
      </c>
      <c r="Z1" s="834" t="e">
        <f ca="1"/>
        <v>#REF!</v>
      </c>
      <c r="AA1" s="834" t="e">
        <f ca="1"/>
        <v>#REF!</v>
      </c>
      <c r="AB1" s="834" t="e">
        <f ca="1"/>
        <v>#REF!</v>
      </c>
      <c r="AC1" s="834" t="e">
        <f ca="1"/>
        <v>#REF!</v>
      </c>
      <c r="AD1" s="834" t="e">
        <f ca="1"/>
        <v>#REF!</v>
      </c>
      <c r="AE1" s="834" t="e">
        <f ca="1"/>
        <v>#REF!</v>
      </c>
      <c r="AF1" s="834" t="e">
        <f ca="1"/>
        <v>#REF!</v>
      </c>
      <c r="AG1" s="834" t="e">
        <f ca="1"/>
        <v>#REF!</v>
      </c>
      <c r="AH1" s="834" t="e">
        <f ca="1"/>
        <v>#REF!</v>
      </c>
      <c r="AI1" s="834" t="e">
        <f ca="1"/>
        <v>#REF!</v>
      </c>
      <c r="AJ1" s="834" t="e">
        <f ca="1"/>
        <v>#REF!</v>
      </c>
      <c r="AK1" s="834" t="e">
        <f ca="1"/>
        <v>#REF!</v>
      </c>
      <c r="AL1" s="834" t="e">
        <f ca="1"/>
        <v>#REF!</v>
      </c>
      <c r="AM1" s="834" t="e">
        <f ca="1"/>
        <v>#REF!</v>
      </c>
      <c r="AN1" s="834" t="e">
        <f ca="1"/>
        <v>#REF!</v>
      </c>
      <c r="AO1" s="834" t="e">
        <f ca="1"/>
        <v>#REF!</v>
      </c>
      <c r="AP1" s="834" t="e">
        <f ca="1"/>
        <v>#REF!</v>
      </c>
      <c r="AQ1" s="834" t="e">
        <f ca="1"/>
        <v>#REF!</v>
      </c>
      <c r="AR1" s="834" t="e">
        <f ca="1"/>
        <v>#REF!</v>
      </c>
      <c r="AS1" s="834" t="e">
        <f ca="1"/>
        <v>#REF!</v>
      </c>
      <c r="AT1" s="834" t="e">
        <f ca="1"/>
        <v>#REF!</v>
      </c>
      <c r="AU1" s="834" t="e">
        <f ca="1"/>
        <v>#REF!</v>
      </c>
      <c r="AV1" s="834" t="e">
        <f ca="1"/>
        <v>#REF!</v>
      </c>
      <c r="AW1" s="834" t="e">
        <f ca="1"/>
        <v>#REF!</v>
      </c>
      <c r="AX1" s="834" t="e">
        <f ca="1"/>
        <v>#REF!</v>
      </c>
      <c r="AY1" s="834" t="e">
        <f ca="1"/>
        <v>#REF!</v>
      </c>
      <c r="AZ1" s="834" t="e">
        <f ca="1"/>
        <v>#REF!</v>
      </c>
      <c r="BA1" s="834" t="e">
        <f ca="1"/>
        <v>#REF!</v>
      </c>
      <c r="BB1" s="834" t="e">
        <f ca="1"/>
        <v>#REF!</v>
      </c>
      <c r="BC1" s="834" t="e">
        <f ca="1"/>
        <v>#REF!</v>
      </c>
      <c r="BD1" s="834" t="e">
        <f ca="1"/>
        <v>#REF!</v>
      </c>
      <c r="BE1" s="834" t="e">
        <f ca="1"/>
        <v>#REF!</v>
      </c>
      <c r="BF1" s="834" t="e">
        <f ca="1"/>
        <v>#REF!</v>
      </c>
      <c r="BG1" s="834" t="e">
        <f ca="1"/>
        <v>#REF!</v>
      </c>
      <c r="BH1" s="834" t="e">
        <f ca="1"/>
        <v>#REF!</v>
      </c>
      <c r="BI1" s="834" t="e">
        <f ca="1"/>
        <v>#REF!</v>
      </c>
      <c r="BJ1" s="834" t="e">
        <f ca="1"/>
        <v>#REF!</v>
      </c>
      <c r="BK1" s="834" t="e">
        <f ca="1"/>
        <v>#REF!</v>
      </c>
      <c r="BL1" s="834" t="e">
        <f ca="1"/>
        <v>#REF!</v>
      </c>
      <c r="BM1" s="834" t="e">
        <f ca="1"/>
        <v>#REF!</v>
      </c>
      <c r="BN1" s="834" t="e">
        <f ca="1"/>
        <v>#REF!</v>
      </c>
      <c r="BO1" s="834" t="e">
        <f ca="1"/>
        <v>#REF!</v>
      </c>
      <c r="BP1" s="834" t="e">
        <f ca="1"/>
        <v>#REF!</v>
      </c>
      <c r="BQ1" s="834" t="e">
        <f ca="1"/>
        <v>#REF!</v>
      </c>
      <c r="BR1" s="834" t="e">
        <f ca="1"/>
        <v>#REF!</v>
      </c>
      <c r="BS1" s="834" t="e">
        <f ca="1"/>
        <v>#REF!</v>
      </c>
      <c r="BT1" s="834" t="e">
        <f ca="1"/>
        <v>#REF!</v>
      </c>
      <c r="BU1" s="834" t="e">
        <f ca="1"/>
        <v>#REF!</v>
      </c>
    </row>
    <row r="2" spans="1:73">
      <c r="A2" s="835" t="str">
        <f>A1&amp;" Name"</f>
        <v>Cerezo Osaka Name</v>
      </c>
      <c r="B2" s="834" t="e">
        <f ca="1"/>
        <v>#REF!</v>
      </c>
      <c r="C2" s="834" t="e">
        <f ca="1"/>
        <v>#REF!</v>
      </c>
      <c r="D2" s="834" t="e">
        <f ca="1"/>
        <v>#REF!</v>
      </c>
      <c r="E2" s="834" t="e">
        <f ca="1"/>
        <v>#REF!</v>
      </c>
      <c r="F2" s="834" t="e">
        <f ca="1"/>
        <v>#REF!</v>
      </c>
      <c r="G2" s="834" t="e">
        <f ca="1"/>
        <v>#REF!</v>
      </c>
      <c r="H2" s="834" t="e">
        <f ca="1"/>
        <v>#REF!</v>
      </c>
      <c r="I2" s="834" t="e">
        <f ca="1"/>
        <v>#REF!</v>
      </c>
      <c r="J2" s="834" t="e">
        <f ca="1"/>
        <v>#REF!</v>
      </c>
      <c r="K2" s="834" t="e">
        <f ca="1"/>
        <v>#REF!</v>
      </c>
      <c r="L2" s="834" t="e">
        <f ca="1"/>
        <v>#REF!</v>
      </c>
      <c r="M2" s="834" t="e">
        <f ca="1"/>
        <v>#REF!</v>
      </c>
      <c r="N2" s="834" t="e">
        <f ca="1"/>
        <v>#REF!</v>
      </c>
      <c r="O2" s="834" t="e">
        <f ca="1"/>
        <v>#REF!</v>
      </c>
      <c r="P2" s="834" t="e">
        <f ca="1"/>
        <v>#REF!</v>
      </c>
      <c r="Q2" s="834" t="e">
        <f ca="1"/>
        <v>#REF!</v>
      </c>
      <c r="R2" s="834" t="e">
        <f ca="1"/>
        <v>#REF!</v>
      </c>
      <c r="S2" s="834" t="e">
        <f ca="1"/>
        <v>#REF!</v>
      </c>
      <c r="T2" s="834" t="e">
        <f ca="1"/>
        <v>#REF!</v>
      </c>
      <c r="U2" s="834" t="e">
        <f ca="1"/>
        <v>#REF!</v>
      </c>
      <c r="V2" s="834" t="e">
        <f ca="1"/>
        <v>#REF!</v>
      </c>
      <c r="W2" s="834" t="e">
        <f ca="1"/>
        <v>#REF!</v>
      </c>
      <c r="X2" s="834" t="e">
        <f ca="1"/>
        <v>#REF!</v>
      </c>
      <c r="Y2" s="834" t="e">
        <f ca="1"/>
        <v>#REF!</v>
      </c>
      <c r="Z2" s="834" t="e">
        <f ca="1"/>
        <v>#REF!</v>
      </c>
      <c r="AA2" s="834" t="e">
        <f ca="1"/>
        <v>#REF!</v>
      </c>
      <c r="AB2" s="834" t="e">
        <f ca="1"/>
        <v>#REF!</v>
      </c>
      <c r="AC2" s="834" t="e">
        <f ca="1"/>
        <v>#REF!</v>
      </c>
      <c r="AD2" s="834" t="e">
        <f ca="1"/>
        <v>#REF!</v>
      </c>
      <c r="AE2" s="834" t="e">
        <f ca="1"/>
        <v>#REF!</v>
      </c>
      <c r="AF2" s="834" t="e">
        <f ca="1"/>
        <v>#REF!</v>
      </c>
      <c r="AG2" s="834" t="e">
        <f ca="1"/>
        <v>#REF!</v>
      </c>
      <c r="AH2" s="834" t="e">
        <f ca="1"/>
        <v>#REF!</v>
      </c>
      <c r="AI2" s="834" t="e">
        <f ca="1"/>
        <v>#REF!</v>
      </c>
      <c r="AJ2" s="834" t="e">
        <f ca="1"/>
        <v>#REF!</v>
      </c>
      <c r="AK2" s="834" t="e">
        <f ca="1"/>
        <v>#REF!</v>
      </c>
      <c r="AL2" s="834" t="e">
        <f ca="1"/>
        <v>#REF!</v>
      </c>
      <c r="AM2" s="834" t="e">
        <f ca="1"/>
        <v>#REF!</v>
      </c>
      <c r="AN2" s="834" t="e">
        <f ca="1"/>
        <v>#REF!</v>
      </c>
      <c r="AO2" s="834" t="e">
        <f ca="1"/>
        <v>#REF!</v>
      </c>
      <c r="AP2" s="834" t="e">
        <f ca="1"/>
        <v>#REF!</v>
      </c>
      <c r="AQ2" s="834" t="e">
        <f ca="1"/>
        <v>#REF!</v>
      </c>
      <c r="AR2" s="834" t="e">
        <f ca="1"/>
        <v>#REF!</v>
      </c>
      <c r="AS2" s="834" t="e">
        <f ca="1"/>
        <v>#REF!</v>
      </c>
      <c r="AT2" s="834" t="e">
        <f ca="1"/>
        <v>#REF!</v>
      </c>
      <c r="AU2" s="834" t="e">
        <f ca="1"/>
        <v>#REF!</v>
      </c>
      <c r="AV2" s="834" t="e">
        <f ca="1"/>
        <v>#REF!</v>
      </c>
      <c r="AW2" s="834" t="e">
        <f ca="1"/>
        <v>#REF!</v>
      </c>
      <c r="AX2" s="834" t="e">
        <f ca="1"/>
        <v>#REF!</v>
      </c>
      <c r="AY2" s="834" t="e">
        <f ca="1"/>
        <v>#REF!</v>
      </c>
      <c r="AZ2" s="834" t="e">
        <f ca="1"/>
        <v>#REF!</v>
      </c>
      <c r="BA2" s="834" t="e">
        <f ca="1"/>
        <v>#REF!</v>
      </c>
      <c r="BB2" s="834" t="e">
        <f ca="1"/>
        <v>#REF!</v>
      </c>
      <c r="BC2" s="834" t="e">
        <f ca="1"/>
        <v>#REF!</v>
      </c>
      <c r="BD2" s="834" t="e">
        <f ca="1"/>
        <v>#REF!</v>
      </c>
      <c r="BE2" s="834" t="e">
        <f ca="1"/>
        <v>#REF!</v>
      </c>
      <c r="BF2" s="834" t="e">
        <f ca="1"/>
        <v>#REF!</v>
      </c>
      <c r="BG2" s="834" t="e">
        <f ca="1"/>
        <v>#REF!</v>
      </c>
      <c r="BH2" s="834" t="e">
        <f ca="1"/>
        <v>#REF!</v>
      </c>
      <c r="BI2" s="834" t="e">
        <f ca="1"/>
        <v>#REF!</v>
      </c>
      <c r="BJ2" s="834" t="e">
        <f ca="1"/>
        <v>#REF!</v>
      </c>
      <c r="BK2" s="834" t="e">
        <f ca="1"/>
        <v>#REF!</v>
      </c>
      <c r="BL2" s="834" t="e">
        <f ca="1"/>
        <v>#REF!</v>
      </c>
      <c r="BM2" s="834" t="e">
        <f ca="1"/>
        <v>#REF!</v>
      </c>
      <c r="BN2" s="834" t="e">
        <f ca="1"/>
        <v>#REF!</v>
      </c>
      <c r="BO2" s="834" t="e">
        <f ca="1"/>
        <v>#REF!</v>
      </c>
      <c r="BP2" s="834" t="e">
        <f ca="1"/>
        <v>#REF!</v>
      </c>
      <c r="BQ2" s="834" t="e">
        <f ca="1"/>
        <v>#REF!</v>
      </c>
      <c r="BR2" s="834" t="e">
        <f ca="1"/>
        <v>#REF!</v>
      </c>
      <c r="BS2" s="834" t="e">
        <f ca="1"/>
        <v>#REF!</v>
      </c>
      <c r="BT2" s="834" t="e">
        <f ca="1"/>
        <v>#REF!</v>
      </c>
      <c r="BU2" s="834" t="e">
        <f ca="1"/>
        <v>#REF!</v>
      </c>
    </row>
    <row r="3" spans="1:73">
      <c r="A3" s="835" t="str">
        <f>A1&amp;" Num"</f>
        <v>Cerezo Osaka Num</v>
      </c>
      <c r="B3" s="834" t="e">
        <f ca="1"/>
        <v>#REF!</v>
      </c>
      <c r="C3" s="834" t="e">
        <f ca="1"/>
        <v>#REF!</v>
      </c>
      <c r="D3" s="834" t="e">
        <f ca="1"/>
        <v>#REF!</v>
      </c>
      <c r="E3" s="834" t="e">
        <f ca="1"/>
        <v>#REF!</v>
      </c>
      <c r="F3" s="834" t="e">
        <f ca="1"/>
        <v>#REF!</v>
      </c>
      <c r="G3" s="834" t="e">
        <f ca="1"/>
        <v>#REF!</v>
      </c>
      <c r="H3" s="834" t="e">
        <f ca="1"/>
        <v>#REF!</v>
      </c>
      <c r="I3" s="834" t="e">
        <f ca="1"/>
        <v>#REF!</v>
      </c>
      <c r="J3" s="834" t="e">
        <f ca="1"/>
        <v>#REF!</v>
      </c>
      <c r="K3" s="834" t="e">
        <f ca="1"/>
        <v>#REF!</v>
      </c>
      <c r="L3" s="834" t="e">
        <f ca="1"/>
        <v>#REF!</v>
      </c>
      <c r="M3" s="834" t="e">
        <f ca="1"/>
        <v>#REF!</v>
      </c>
      <c r="N3" s="834" t="e">
        <f ca="1"/>
        <v>#REF!</v>
      </c>
      <c r="O3" s="834" t="e">
        <f ca="1"/>
        <v>#REF!</v>
      </c>
      <c r="P3" s="834" t="e">
        <f ca="1"/>
        <v>#REF!</v>
      </c>
      <c r="Q3" s="834" t="e">
        <f ca="1"/>
        <v>#REF!</v>
      </c>
      <c r="R3" s="834" t="e">
        <f ca="1"/>
        <v>#REF!</v>
      </c>
      <c r="S3" s="834" t="e">
        <f ca="1"/>
        <v>#REF!</v>
      </c>
      <c r="T3" s="834" t="e">
        <f ca="1"/>
        <v>#REF!</v>
      </c>
      <c r="U3" s="834" t="e">
        <f ca="1"/>
        <v>#REF!</v>
      </c>
      <c r="V3" s="834" t="e">
        <f ca="1"/>
        <v>#REF!</v>
      </c>
      <c r="W3" s="834" t="e">
        <f ca="1"/>
        <v>#REF!</v>
      </c>
      <c r="X3" s="834" t="e">
        <f ca="1"/>
        <v>#REF!</v>
      </c>
      <c r="Y3" s="834" t="e">
        <f ca="1"/>
        <v>#REF!</v>
      </c>
      <c r="Z3" s="834" t="e">
        <f ca="1"/>
        <v>#REF!</v>
      </c>
      <c r="AA3" s="834" t="e">
        <f ca="1"/>
        <v>#REF!</v>
      </c>
      <c r="AB3" s="834" t="e">
        <f ca="1"/>
        <v>#REF!</v>
      </c>
      <c r="AC3" s="834" t="e">
        <f ca="1"/>
        <v>#REF!</v>
      </c>
      <c r="AD3" s="834" t="e">
        <f ca="1"/>
        <v>#REF!</v>
      </c>
      <c r="AE3" s="834" t="e">
        <f ca="1"/>
        <v>#REF!</v>
      </c>
      <c r="AF3" s="834" t="e">
        <f ca="1"/>
        <v>#REF!</v>
      </c>
      <c r="AG3" s="834" t="e">
        <f ca="1"/>
        <v>#REF!</v>
      </c>
      <c r="AH3" s="834" t="e">
        <f ca="1"/>
        <v>#REF!</v>
      </c>
      <c r="AI3" s="834" t="e">
        <f ca="1"/>
        <v>#REF!</v>
      </c>
      <c r="AJ3" s="834" t="e">
        <f ca="1"/>
        <v>#REF!</v>
      </c>
      <c r="AK3" s="834" t="e">
        <f ca="1"/>
        <v>#REF!</v>
      </c>
      <c r="AL3" s="834" t="e">
        <f ca="1"/>
        <v>#REF!</v>
      </c>
      <c r="AM3" s="834" t="e">
        <f ca="1"/>
        <v>#REF!</v>
      </c>
      <c r="AN3" s="834" t="e">
        <f ca="1"/>
        <v>#REF!</v>
      </c>
      <c r="AO3" s="834" t="e">
        <f ca="1"/>
        <v>#REF!</v>
      </c>
      <c r="AP3" s="834" t="e">
        <f ca="1"/>
        <v>#REF!</v>
      </c>
      <c r="AQ3" s="834" t="e">
        <f ca="1"/>
        <v>#REF!</v>
      </c>
      <c r="AR3" s="834" t="e">
        <f ca="1"/>
        <v>#REF!</v>
      </c>
      <c r="AS3" s="834" t="e">
        <f ca="1"/>
        <v>#REF!</v>
      </c>
      <c r="AT3" s="834" t="e">
        <f ca="1"/>
        <v>#REF!</v>
      </c>
      <c r="AU3" s="834" t="e">
        <f ca="1"/>
        <v>#REF!</v>
      </c>
      <c r="AV3" s="834" t="e">
        <f ca="1"/>
        <v>#REF!</v>
      </c>
      <c r="AW3" s="834" t="e">
        <f ca="1"/>
        <v>#REF!</v>
      </c>
      <c r="AX3" s="834" t="e">
        <f ca="1"/>
        <v>#REF!</v>
      </c>
      <c r="AY3" s="834" t="e">
        <f ca="1"/>
        <v>#REF!</v>
      </c>
      <c r="AZ3" s="834" t="e">
        <f ca="1"/>
        <v>#REF!</v>
      </c>
      <c r="BA3" s="834" t="e">
        <f ca="1"/>
        <v>#REF!</v>
      </c>
      <c r="BB3" s="834" t="e">
        <f ca="1"/>
        <v>#REF!</v>
      </c>
      <c r="BC3" s="834" t="e">
        <f ca="1"/>
        <v>#REF!</v>
      </c>
      <c r="BD3" s="834" t="e">
        <f ca="1"/>
        <v>#REF!</v>
      </c>
      <c r="BE3" s="834" t="e">
        <f ca="1"/>
        <v>#REF!</v>
      </c>
      <c r="BF3" s="834" t="e">
        <f ca="1"/>
        <v>#REF!</v>
      </c>
      <c r="BG3" s="834" t="e">
        <f ca="1"/>
        <v>#REF!</v>
      </c>
      <c r="BH3" s="834" t="e">
        <f ca="1"/>
        <v>#REF!</v>
      </c>
      <c r="BI3" s="834" t="e">
        <f ca="1"/>
        <v>#REF!</v>
      </c>
      <c r="BJ3" s="834" t="e">
        <f ca="1"/>
        <v>#REF!</v>
      </c>
      <c r="BK3" s="834" t="e">
        <f ca="1"/>
        <v>#REF!</v>
      </c>
      <c r="BL3" s="834" t="e">
        <f ca="1"/>
        <v>#REF!</v>
      </c>
      <c r="BM3" s="834" t="e">
        <f ca="1"/>
        <v>#REF!</v>
      </c>
      <c r="BN3" s="834" t="e">
        <f ca="1"/>
        <v>#REF!</v>
      </c>
      <c r="BO3" s="834" t="e">
        <f ca="1"/>
        <v>#REF!</v>
      </c>
      <c r="BP3" s="834" t="e">
        <f ca="1"/>
        <v>#REF!</v>
      </c>
      <c r="BQ3" s="834" t="e">
        <f ca="1"/>
        <v>#REF!</v>
      </c>
      <c r="BR3" s="834" t="e">
        <f ca="1"/>
        <v>#REF!</v>
      </c>
      <c r="BS3" s="834" t="e">
        <f ca="1"/>
        <v>#REF!</v>
      </c>
      <c r="BT3" s="834" t="e">
        <f ca="1"/>
        <v>#REF!</v>
      </c>
      <c r="BU3" s="834" t="e">
        <f ca="1"/>
        <v>#REF!</v>
      </c>
    </row>
    <row r="4" spans="1:73">
      <c r="A4" s="17" t="str">
        <f>Helper!CM2</f>
        <v>Consadole Sapporo</v>
      </c>
      <c r="B4" s="834" t="e">
        <f t="array" aca="1" ref="B4:BU6" ca="1">INDIRECT("'"&amp;A4&amp;"'!X19:BZ21")</f>
        <v>#REF!</v>
      </c>
      <c r="C4" s="834" t="e">
        <f ca="1"/>
        <v>#REF!</v>
      </c>
      <c r="D4" s="834" t="e">
        <f ca="1"/>
        <v>#REF!</v>
      </c>
      <c r="E4" s="834" t="e">
        <f ca="1"/>
        <v>#REF!</v>
      </c>
      <c r="F4" s="834" t="e">
        <f ca="1"/>
        <v>#REF!</v>
      </c>
      <c r="G4" s="834" t="e">
        <f ca="1"/>
        <v>#REF!</v>
      </c>
      <c r="H4" s="834" t="e">
        <f ca="1"/>
        <v>#REF!</v>
      </c>
      <c r="I4" s="834" t="e">
        <f ca="1"/>
        <v>#REF!</v>
      </c>
      <c r="J4" s="834" t="e">
        <f ca="1"/>
        <v>#REF!</v>
      </c>
      <c r="K4" s="834" t="e">
        <f ca="1"/>
        <v>#REF!</v>
      </c>
      <c r="L4" s="834" t="e">
        <f ca="1"/>
        <v>#REF!</v>
      </c>
      <c r="M4" s="834" t="e">
        <f ca="1"/>
        <v>#REF!</v>
      </c>
      <c r="N4" s="834" t="e">
        <f ca="1"/>
        <v>#REF!</v>
      </c>
      <c r="O4" s="834" t="e">
        <f ca="1"/>
        <v>#REF!</v>
      </c>
      <c r="P4" s="834" t="e">
        <f ca="1"/>
        <v>#REF!</v>
      </c>
      <c r="Q4" s="834" t="e">
        <f ca="1"/>
        <v>#REF!</v>
      </c>
      <c r="R4" s="834" t="e">
        <f ca="1"/>
        <v>#REF!</v>
      </c>
      <c r="S4" s="834" t="e">
        <f ca="1"/>
        <v>#REF!</v>
      </c>
      <c r="T4" s="834" t="e">
        <f ca="1"/>
        <v>#REF!</v>
      </c>
      <c r="U4" s="834" t="e">
        <f ca="1"/>
        <v>#REF!</v>
      </c>
      <c r="V4" s="834" t="e">
        <f ca="1"/>
        <v>#REF!</v>
      </c>
      <c r="W4" s="834" t="e">
        <f ca="1"/>
        <v>#REF!</v>
      </c>
      <c r="X4" s="834" t="e">
        <f ca="1"/>
        <v>#REF!</v>
      </c>
      <c r="Y4" s="834" t="e">
        <f ca="1"/>
        <v>#REF!</v>
      </c>
      <c r="Z4" s="834" t="e">
        <f ca="1"/>
        <v>#REF!</v>
      </c>
      <c r="AA4" s="834" t="e">
        <f ca="1"/>
        <v>#REF!</v>
      </c>
      <c r="AB4" s="834" t="e">
        <f ca="1"/>
        <v>#REF!</v>
      </c>
      <c r="AC4" s="834" t="e">
        <f ca="1"/>
        <v>#REF!</v>
      </c>
      <c r="AD4" s="834" t="e">
        <f ca="1"/>
        <v>#REF!</v>
      </c>
      <c r="AE4" s="834" t="e">
        <f ca="1"/>
        <v>#REF!</v>
      </c>
      <c r="AF4" s="834" t="e">
        <f ca="1"/>
        <v>#REF!</v>
      </c>
      <c r="AG4" s="834" t="e">
        <f ca="1"/>
        <v>#REF!</v>
      </c>
      <c r="AH4" s="834" t="e">
        <f ca="1"/>
        <v>#REF!</v>
      </c>
      <c r="AI4" s="834" t="e">
        <f ca="1"/>
        <v>#REF!</v>
      </c>
      <c r="AJ4" s="834" t="e">
        <f ca="1"/>
        <v>#REF!</v>
      </c>
      <c r="AK4" s="834" t="e">
        <f ca="1"/>
        <v>#REF!</v>
      </c>
      <c r="AL4" s="834" t="e">
        <f ca="1"/>
        <v>#REF!</v>
      </c>
      <c r="AM4" s="834" t="e">
        <f ca="1"/>
        <v>#REF!</v>
      </c>
      <c r="AN4" s="834" t="e">
        <f ca="1"/>
        <v>#REF!</v>
      </c>
      <c r="AO4" s="834" t="e">
        <f ca="1"/>
        <v>#REF!</v>
      </c>
      <c r="AP4" s="834" t="e">
        <f ca="1"/>
        <v>#REF!</v>
      </c>
      <c r="AQ4" s="834" t="e">
        <f ca="1"/>
        <v>#REF!</v>
      </c>
      <c r="AR4" s="834" t="e">
        <f ca="1"/>
        <v>#REF!</v>
      </c>
      <c r="AS4" s="834" t="e">
        <f ca="1"/>
        <v>#REF!</v>
      </c>
      <c r="AT4" s="834" t="e">
        <f ca="1"/>
        <v>#REF!</v>
      </c>
      <c r="AU4" s="834" t="e">
        <f ca="1"/>
        <v>#REF!</v>
      </c>
      <c r="AV4" s="834" t="e">
        <f ca="1"/>
        <v>#REF!</v>
      </c>
      <c r="AW4" s="834" t="e">
        <f ca="1"/>
        <v>#REF!</v>
      </c>
      <c r="AX4" s="834" t="e">
        <f ca="1"/>
        <v>#REF!</v>
      </c>
      <c r="AY4" s="834" t="e">
        <f ca="1"/>
        <v>#REF!</v>
      </c>
      <c r="AZ4" s="834" t="e">
        <f ca="1"/>
        <v>#REF!</v>
      </c>
      <c r="BA4" s="834" t="e">
        <f ca="1"/>
        <v>#REF!</v>
      </c>
      <c r="BB4" s="834" t="e">
        <f ca="1"/>
        <v>#REF!</v>
      </c>
      <c r="BC4" s="834" t="e">
        <f ca="1"/>
        <v>#REF!</v>
      </c>
      <c r="BD4" s="834" t="e">
        <f ca="1"/>
        <v>#REF!</v>
      </c>
      <c r="BE4" s="834" t="e">
        <f ca="1"/>
        <v>#REF!</v>
      </c>
      <c r="BF4" s="834" t="e">
        <f ca="1"/>
        <v>#REF!</v>
      </c>
      <c r="BG4" s="834" t="e">
        <f ca="1"/>
        <v>#REF!</v>
      </c>
      <c r="BH4" s="834" t="e">
        <f ca="1"/>
        <v>#REF!</v>
      </c>
      <c r="BI4" s="834" t="e">
        <f ca="1"/>
        <v>#REF!</v>
      </c>
      <c r="BJ4" s="834" t="e">
        <f ca="1"/>
        <v>#REF!</v>
      </c>
      <c r="BK4" s="834" t="e">
        <f ca="1"/>
        <v>#REF!</v>
      </c>
      <c r="BL4" s="834" t="e">
        <f ca="1"/>
        <v>#REF!</v>
      </c>
      <c r="BM4" s="834" t="e">
        <f ca="1"/>
        <v>#REF!</v>
      </c>
      <c r="BN4" s="834" t="e">
        <f ca="1"/>
        <v>#REF!</v>
      </c>
      <c r="BO4" s="834" t="e">
        <f ca="1"/>
        <v>#REF!</v>
      </c>
      <c r="BP4" s="834" t="e">
        <f ca="1"/>
        <v>#REF!</v>
      </c>
      <c r="BQ4" s="834" t="e">
        <f ca="1"/>
        <v>#REF!</v>
      </c>
      <c r="BR4" s="834" t="e">
        <f ca="1"/>
        <v>#REF!</v>
      </c>
      <c r="BS4" s="834" t="e">
        <f ca="1"/>
        <v>#REF!</v>
      </c>
      <c r="BT4" s="834" t="e">
        <f ca="1"/>
        <v>#REF!</v>
      </c>
      <c r="BU4" s="834" t="e">
        <f ca="1"/>
        <v>#REF!</v>
      </c>
    </row>
    <row r="5" spans="1:73">
      <c r="A5" s="835" t="str">
        <f>A4&amp;" name"</f>
        <v>Consadole Sapporo name</v>
      </c>
      <c r="B5" s="834" t="e">
        <f ca="1"/>
        <v>#REF!</v>
      </c>
      <c r="C5" s="834" t="e">
        <f ca="1"/>
        <v>#REF!</v>
      </c>
      <c r="D5" s="834" t="e">
        <f ca="1"/>
        <v>#REF!</v>
      </c>
      <c r="E5" s="834" t="e">
        <f ca="1"/>
        <v>#REF!</v>
      </c>
      <c r="F5" s="834" t="e">
        <f ca="1"/>
        <v>#REF!</v>
      </c>
      <c r="G5" s="834" t="e">
        <f ca="1"/>
        <v>#REF!</v>
      </c>
      <c r="H5" s="834" t="e">
        <f ca="1"/>
        <v>#REF!</v>
      </c>
      <c r="I5" s="834" t="e">
        <f ca="1"/>
        <v>#REF!</v>
      </c>
      <c r="J5" s="834" t="e">
        <f ca="1"/>
        <v>#REF!</v>
      </c>
      <c r="K5" s="834" t="e">
        <f ca="1"/>
        <v>#REF!</v>
      </c>
      <c r="L5" s="834" t="e">
        <f ca="1"/>
        <v>#REF!</v>
      </c>
      <c r="M5" s="834" t="e">
        <f ca="1"/>
        <v>#REF!</v>
      </c>
      <c r="N5" s="834" t="e">
        <f ca="1"/>
        <v>#REF!</v>
      </c>
      <c r="O5" s="834" t="e">
        <f ca="1"/>
        <v>#REF!</v>
      </c>
      <c r="P5" s="834" t="e">
        <f ca="1"/>
        <v>#REF!</v>
      </c>
      <c r="Q5" s="834" t="e">
        <f ca="1"/>
        <v>#REF!</v>
      </c>
      <c r="R5" s="834" t="e">
        <f ca="1"/>
        <v>#REF!</v>
      </c>
      <c r="S5" s="834" t="e">
        <f ca="1"/>
        <v>#REF!</v>
      </c>
      <c r="T5" s="834" t="e">
        <f ca="1"/>
        <v>#REF!</v>
      </c>
      <c r="U5" s="834" t="e">
        <f ca="1"/>
        <v>#REF!</v>
      </c>
      <c r="V5" s="834" t="e">
        <f ca="1"/>
        <v>#REF!</v>
      </c>
      <c r="W5" s="834" t="e">
        <f ca="1"/>
        <v>#REF!</v>
      </c>
      <c r="X5" s="834" t="e">
        <f ca="1"/>
        <v>#REF!</v>
      </c>
      <c r="Y5" s="834" t="e">
        <f ca="1"/>
        <v>#REF!</v>
      </c>
      <c r="Z5" s="834" t="e">
        <f ca="1"/>
        <v>#REF!</v>
      </c>
      <c r="AA5" s="834" t="e">
        <f ca="1"/>
        <v>#REF!</v>
      </c>
      <c r="AB5" s="834" t="e">
        <f ca="1"/>
        <v>#REF!</v>
      </c>
      <c r="AC5" s="834" t="e">
        <f ca="1"/>
        <v>#REF!</v>
      </c>
      <c r="AD5" s="834" t="e">
        <f ca="1"/>
        <v>#REF!</v>
      </c>
      <c r="AE5" s="834" t="e">
        <f ca="1"/>
        <v>#REF!</v>
      </c>
      <c r="AF5" s="834" t="e">
        <f ca="1"/>
        <v>#REF!</v>
      </c>
      <c r="AG5" s="834" t="e">
        <f ca="1"/>
        <v>#REF!</v>
      </c>
      <c r="AH5" s="834" t="e">
        <f ca="1"/>
        <v>#REF!</v>
      </c>
      <c r="AI5" s="834" t="e">
        <f ca="1"/>
        <v>#REF!</v>
      </c>
      <c r="AJ5" s="834" t="e">
        <f ca="1"/>
        <v>#REF!</v>
      </c>
      <c r="AK5" s="834" t="e">
        <f ca="1"/>
        <v>#REF!</v>
      </c>
      <c r="AL5" s="834" t="e">
        <f ca="1"/>
        <v>#REF!</v>
      </c>
      <c r="AM5" s="834" t="e">
        <f ca="1"/>
        <v>#REF!</v>
      </c>
      <c r="AN5" s="834" t="e">
        <f ca="1"/>
        <v>#REF!</v>
      </c>
      <c r="AO5" s="834" t="e">
        <f ca="1"/>
        <v>#REF!</v>
      </c>
      <c r="AP5" s="834" t="e">
        <f ca="1"/>
        <v>#REF!</v>
      </c>
      <c r="AQ5" s="834" t="e">
        <f ca="1"/>
        <v>#REF!</v>
      </c>
      <c r="AR5" s="834" t="e">
        <f ca="1"/>
        <v>#REF!</v>
      </c>
      <c r="AS5" s="834" t="e">
        <f ca="1"/>
        <v>#REF!</v>
      </c>
      <c r="AT5" s="834" t="e">
        <f ca="1"/>
        <v>#REF!</v>
      </c>
      <c r="AU5" s="834" t="e">
        <f ca="1"/>
        <v>#REF!</v>
      </c>
      <c r="AV5" s="834" t="e">
        <f ca="1"/>
        <v>#REF!</v>
      </c>
      <c r="AW5" s="834" t="e">
        <f ca="1"/>
        <v>#REF!</v>
      </c>
      <c r="AX5" s="834" t="e">
        <f ca="1"/>
        <v>#REF!</v>
      </c>
      <c r="AY5" s="834" t="e">
        <f ca="1"/>
        <v>#REF!</v>
      </c>
      <c r="AZ5" s="834" t="e">
        <f ca="1"/>
        <v>#REF!</v>
      </c>
      <c r="BA5" s="834" t="e">
        <f ca="1"/>
        <v>#REF!</v>
      </c>
      <c r="BB5" s="834" t="e">
        <f ca="1"/>
        <v>#REF!</v>
      </c>
      <c r="BC5" s="834" t="e">
        <f ca="1"/>
        <v>#REF!</v>
      </c>
      <c r="BD5" s="834" t="e">
        <f ca="1"/>
        <v>#REF!</v>
      </c>
      <c r="BE5" s="834" t="e">
        <f ca="1"/>
        <v>#REF!</v>
      </c>
      <c r="BF5" s="834" t="e">
        <f ca="1"/>
        <v>#REF!</v>
      </c>
      <c r="BG5" s="834" t="e">
        <f ca="1"/>
        <v>#REF!</v>
      </c>
      <c r="BH5" s="834" t="e">
        <f ca="1"/>
        <v>#REF!</v>
      </c>
      <c r="BI5" s="834" t="e">
        <f ca="1"/>
        <v>#REF!</v>
      </c>
      <c r="BJ5" s="834" t="e">
        <f ca="1"/>
        <v>#REF!</v>
      </c>
      <c r="BK5" s="834" t="e">
        <f ca="1"/>
        <v>#REF!</v>
      </c>
      <c r="BL5" s="834" t="e">
        <f ca="1"/>
        <v>#REF!</v>
      </c>
      <c r="BM5" s="834" t="e">
        <f ca="1"/>
        <v>#REF!</v>
      </c>
      <c r="BN5" s="834" t="e">
        <f ca="1"/>
        <v>#REF!</v>
      </c>
      <c r="BO5" s="834" t="e">
        <f ca="1"/>
        <v>#REF!</v>
      </c>
      <c r="BP5" s="834" t="e">
        <f ca="1"/>
        <v>#REF!</v>
      </c>
      <c r="BQ5" s="834" t="e">
        <f ca="1"/>
        <v>#REF!</v>
      </c>
      <c r="BR5" s="834" t="e">
        <f ca="1"/>
        <v>#REF!</v>
      </c>
      <c r="BS5" s="834" t="e">
        <f ca="1"/>
        <v>#REF!</v>
      </c>
      <c r="BT5" s="834" t="e">
        <f ca="1"/>
        <v>#REF!</v>
      </c>
      <c r="BU5" s="834" t="e">
        <f ca="1"/>
        <v>#REF!</v>
      </c>
    </row>
    <row r="6" spans="1:73">
      <c r="A6" s="835" t="str">
        <f>A4&amp;" num"</f>
        <v>Consadole Sapporo num</v>
      </c>
      <c r="B6" s="834" t="e">
        <f ca="1"/>
        <v>#REF!</v>
      </c>
      <c r="C6" s="834" t="e">
        <f ca="1"/>
        <v>#REF!</v>
      </c>
      <c r="D6" s="834" t="e">
        <f ca="1"/>
        <v>#REF!</v>
      </c>
      <c r="E6" s="834" t="e">
        <f ca="1"/>
        <v>#REF!</v>
      </c>
      <c r="F6" s="834" t="e">
        <f ca="1"/>
        <v>#REF!</v>
      </c>
      <c r="G6" s="834" t="e">
        <f ca="1"/>
        <v>#REF!</v>
      </c>
      <c r="H6" s="834" t="e">
        <f ca="1"/>
        <v>#REF!</v>
      </c>
      <c r="I6" s="834" t="e">
        <f ca="1"/>
        <v>#REF!</v>
      </c>
      <c r="J6" s="834" t="e">
        <f ca="1"/>
        <v>#REF!</v>
      </c>
      <c r="K6" s="834" t="e">
        <f ca="1"/>
        <v>#REF!</v>
      </c>
      <c r="L6" s="834" t="e">
        <f ca="1"/>
        <v>#REF!</v>
      </c>
      <c r="M6" s="834" t="e">
        <f ca="1"/>
        <v>#REF!</v>
      </c>
      <c r="N6" s="834" t="e">
        <f ca="1"/>
        <v>#REF!</v>
      </c>
      <c r="O6" s="834" t="e">
        <f ca="1"/>
        <v>#REF!</v>
      </c>
      <c r="P6" s="834" t="e">
        <f ca="1"/>
        <v>#REF!</v>
      </c>
      <c r="Q6" s="834" t="e">
        <f ca="1"/>
        <v>#REF!</v>
      </c>
      <c r="R6" s="834" t="e">
        <f ca="1"/>
        <v>#REF!</v>
      </c>
      <c r="S6" s="834" t="e">
        <f ca="1"/>
        <v>#REF!</v>
      </c>
      <c r="T6" s="834" t="e">
        <f ca="1"/>
        <v>#REF!</v>
      </c>
      <c r="U6" s="834" t="e">
        <f ca="1"/>
        <v>#REF!</v>
      </c>
      <c r="V6" s="834" t="e">
        <f ca="1"/>
        <v>#REF!</v>
      </c>
      <c r="W6" s="834" t="e">
        <f ca="1"/>
        <v>#REF!</v>
      </c>
      <c r="X6" s="834" t="e">
        <f ca="1"/>
        <v>#REF!</v>
      </c>
      <c r="Y6" s="834" t="e">
        <f ca="1"/>
        <v>#REF!</v>
      </c>
      <c r="Z6" s="834" t="e">
        <f ca="1"/>
        <v>#REF!</v>
      </c>
      <c r="AA6" s="834" t="e">
        <f ca="1"/>
        <v>#REF!</v>
      </c>
      <c r="AB6" s="834" t="e">
        <f ca="1"/>
        <v>#REF!</v>
      </c>
      <c r="AC6" s="834" t="e">
        <f ca="1"/>
        <v>#REF!</v>
      </c>
      <c r="AD6" s="834" t="e">
        <f ca="1"/>
        <v>#REF!</v>
      </c>
      <c r="AE6" s="834" t="e">
        <f ca="1"/>
        <v>#REF!</v>
      </c>
      <c r="AF6" s="834" t="e">
        <f ca="1"/>
        <v>#REF!</v>
      </c>
      <c r="AG6" s="834" t="e">
        <f ca="1"/>
        <v>#REF!</v>
      </c>
      <c r="AH6" s="834" t="e">
        <f ca="1"/>
        <v>#REF!</v>
      </c>
      <c r="AI6" s="834" t="e">
        <f ca="1"/>
        <v>#REF!</v>
      </c>
      <c r="AJ6" s="834" t="e">
        <f ca="1"/>
        <v>#REF!</v>
      </c>
      <c r="AK6" s="834" t="e">
        <f ca="1"/>
        <v>#REF!</v>
      </c>
      <c r="AL6" s="834" t="e">
        <f ca="1"/>
        <v>#REF!</v>
      </c>
      <c r="AM6" s="834" t="e">
        <f ca="1"/>
        <v>#REF!</v>
      </c>
      <c r="AN6" s="834" t="e">
        <f ca="1"/>
        <v>#REF!</v>
      </c>
      <c r="AO6" s="834" t="e">
        <f ca="1"/>
        <v>#REF!</v>
      </c>
      <c r="AP6" s="834" t="e">
        <f ca="1"/>
        <v>#REF!</v>
      </c>
      <c r="AQ6" s="834" t="e">
        <f ca="1"/>
        <v>#REF!</v>
      </c>
      <c r="AR6" s="834" t="e">
        <f ca="1"/>
        <v>#REF!</v>
      </c>
      <c r="AS6" s="834" t="e">
        <f ca="1"/>
        <v>#REF!</v>
      </c>
      <c r="AT6" s="834" t="e">
        <f ca="1"/>
        <v>#REF!</v>
      </c>
      <c r="AU6" s="834" t="e">
        <f ca="1"/>
        <v>#REF!</v>
      </c>
      <c r="AV6" s="834" t="e">
        <f ca="1"/>
        <v>#REF!</v>
      </c>
      <c r="AW6" s="834" t="e">
        <f ca="1"/>
        <v>#REF!</v>
      </c>
      <c r="AX6" s="834" t="e">
        <f ca="1"/>
        <v>#REF!</v>
      </c>
      <c r="AY6" s="834" t="e">
        <f ca="1"/>
        <v>#REF!</v>
      </c>
      <c r="AZ6" s="834" t="e">
        <f ca="1"/>
        <v>#REF!</v>
      </c>
      <c r="BA6" s="834" t="e">
        <f ca="1"/>
        <v>#REF!</v>
      </c>
      <c r="BB6" s="834" t="e">
        <f ca="1"/>
        <v>#REF!</v>
      </c>
      <c r="BC6" s="834" t="e">
        <f ca="1"/>
        <v>#REF!</v>
      </c>
      <c r="BD6" s="834" t="e">
        <f ca="1"/>
        <v>#REF!</v>
      </c>
      <c r="BE6" s="834" t="e">
        <f ca="1"/>
        <v>#REF!</v>
      </c>
      <c r="BF6" s="834" t="e">
        <f ca="1"/>
        <v>#REF!</v>
      </c>
      <c r="BG6" s="834" t="e">
        <f ca="1"/>
        <v>#REF!</v>
      </c>
      <c r="BH6" s="834" t="e">
        <f ca="1"/>
        <v>#REF!</v>
      </c>
      <c r="BI6" s="834" t="e">
        <f ca="1"/>
        <v>#REF!</v>
      </c>
      <c r="BJ6" s="834" t="e">
        <f ca="1"/>
        <v>#REF!</v>
      </c>
      <c r="BK6" s="834" t="e">
        <f ca="1"/>
        <v>#REF!</v>
      </c>
      <c r="BL6" s="834" t="e">
        <f ca="1"/>
        <v>#REF!</v>
      </c>
      <c r="BM6" s="834" t="e">
        <f ca="1"/>
        <v>#REF!</v>
      </c>
      <c r="BN6" s="834" t="e">
        <f ca="1"/>
        <v>#REF!</v>
      </c>
      <c r="BO6" s="834" t="e">
        <f ca="1"/>
        <v>#REF!</v>
      </c>
      <c r="BP6" s="834" t="e">
        <f ca="1"/>
        <v>#REF!</v>
      </c>
      <c r="BQ6" s="834" t="e">
        <f ca="1"/>
        <v>#REF!</v>
      </c>
      <c r="BR6" s="834" t="e">
        <f ca="1"/>
        <v>#REF!</v>
      </c>
      <c r="BS6" s="834" t="e">
        <f ca="1"/>
        <v>#REF!</v>
      </c>
      <c r="BT6" s="834" t="e">
        <f ca="1"/>
        <v>#REF!</v>
      </c>
      <c r="BU6" s="834" t="e">
        <f ca="1"/>
        <v>#REF!</v>
      </c>
    </row>
    <row r="7" spans="1:73">
      <c r="A7" s="17" t="str">
        <f>Helper!CM3</f>
        <v>Ehime</v>
      </c>
      <c r="B7" s="834">
        <f t="array" aca="1" ref="B7:BU9" ca="1">INDIRECT("'"&amp;A7&amp;"'!X19:BZ21")</f>
        <v>0</v>
      </c>
      <c r="C7" s="834" t="str">
        <f ca="1"/>
        <v>射正</v>
      </c>
      <c r="D7" s="834">
        <f ca="1"/>
        <v>0</v>
      </c>
      <c r="E7" s="834" t="str">
        <f ca="1"/>
        <v>控球率</v>
      </c>
      <c r="F7" s="834">
        <f ca="1"/>
        <v>0</v>
      </c>
      <c r="G7" s="834">
        <f ca="1"/>
        <v>0</v>
      </c>
      <c r="H7" s="834">
        <f ca="1"/>
        <v>0</v>
      </c>
      <c r="I7" s="834">
        <f ca="1"/>
        <v>0</v>
      </c>
      <c r="J7" s="834" t="str">
        <f ca="1"/>
        <v>Position</v>
      </c>
      <c r="K7" s="834" t="str">
        <f ca="1"/>
        <v>GK</v>
      </c>
      <c r="L7" s="834" t="str">
        <f ca="1"/>
        <v>GK</v>
      </c>
      <c r="M7" s="834" t="str">
        <f ca="1"/>
        <v>GK</v>
      </c>
      <c r="N7" s="834" t="str">
        <f ca="1"/>
        <v>CB</v>
      </c>
      <c r="O7" s="834" t="str">
        <f ca="1"/>
        <v>RB</v>
      </c>
      <c r="P7" s="834" t="str">
        <f ca="1"/>
        <v>CB</v>
      </c>
      <c r="Q7" s="834" t="str">
        <f ca="1"/>
        <v>LB</v>
      </c>
      <c r="R7" s="834" t="str">
        <f ca="1"/>
        <v>CB</v>
      </c>
      <c r="S7" s="834" t="str">
        <f ca="1"/>
        <v>CB</v>
      </c>
      <c r="T7" s="834" t="str">
        <f ca="1"/>
        <v>CB</v>
      </c>
      <c r="U7" s="834" t="str">
        <f ca="1"/>
        <v>LB</v>
      </c>
      <c r="V7" s="834" t="str">
        <f ca="1"/>
        <v>CM</v>
      </c>
      <c r="W7" s="834" t="str">
        <f ca="1"/>
        <v>AM</v>
      </c>
      <c r="X7" s="834" t="str">
        <f ca="1"/>
        <v>DM</v>
      </c>
      <c r="Y7" s="834" t="str">
        <f ca="1"/>
        <v>AM</v>
      </c>
      <c r="Z7" s="834" t="str">
        <f ca="1"/>
        <v>AM</v>
      </c>
      <c r="AA7" s="834" t="str">
        <f ca="1"/>
        <v>LM</v>
      </c>
      <c r="AB7" s="834" t="str">
        <f ca="1"/>
        <v>DM</v>
      </c>
      <c r="AC7" s="834" t="str">
        <f ca="1"/>
        <v>RM</v>
      </c>
      <c r="AD7" s="834" t="str">
        <f ca="1"/>
        <v>MF</v>
      </c>
      <c r="AE7" s="834" t="str">
        <f ca="1"/>
        <v>LM</v>
      </c>
      <c r="AF7" s="834" t="str">
        <f ca="1"/>
        <v>CF</v>
      </c>
      <c r="AG7" s="834" t="str">
        <f ca="1"/>
        <v>FW</v>
      </c>
      <c r="AH7" s="834" t="str">
        <f ca="1"/>
        <v>CF</v>
      </c>
      <c r="AI7" s="834" t="str">
        <f ca="1"/>
        <v>CF</v>
      </c>
      <c r="AJ7" s="834">
        <f ca="1"/>
        <v>0</v>
      </c>
      <c r="AK7" s="834">
        <f ca="1"/>
        <v>0</v>
      </c>
      <c r="AL7" s="834">
        <f ca="1"/>
        <v>0</v>
      </c>
      <c r="AM7" s="834">
        <f ca="1"/>
        <v>0</v>
      </c>
      <c r="AN7" s="834">
        <f ca="1"/>
        <v>0</v>
      </c>
      <c r="AO7" s="834">
        <f ca="1"/>
        <v>0</v>
      </c>
      <c r="AP7" s="834">
        <f ca="1"/>
        <v>0</v>
      </c>
      <c r="AQ7" s="834">
        <f ca="1"/>
        <v>0</v>
      </c>
      <c r="AR7" s="834">
        <f ca="1"/>
        <v>0</v>
      </c>
      <c r="AS7" s="834">
        <f ca="1"/>
        <v>0</v>
      </c>
      <c r="AT7" s="834">
        <f ca="1"/>
        <v>0</v>
      </c>
      <c r="AU7" s="834">
        <f ca="1"/>
        <v>0</v>
      </c>
      <c r="AV7" s="834">
        <f ca="1"/>
        <v>0</v>
      </c>
      <c r="AW7" s="834">
        <f ca="1"/>
        <v>0</v>
      </c>
      <c r="AX7" s="834">
        <f ca="1"/>
        <v>0</v>
      </c>
      <c r="AY7" s="834">
        <f ca="1"/>
        <v>0</v>
      </c>
      <c r="AZ7" s="834">
        <f ca="1"/>
        <v>0</v>
      </c>
      <c r="BA7" s="834">
        <f ca="1"/>
        <v>0</v>
      </c>
      <c r="BB7" s="834">
        <f ca="1"/>
        <v>0</v>
      </c>
      <c r="BC7" s="834">
        <f ca="1"/>
        <v>0</v>
      </c>
      <c r="BD7" s="834">
        <f ca="1"/>
        <v>0</v>
      </c>
      <c r="BE7" s="834" t="e">
        <f ca="1"/>
        <v>#N/A</v>
      </c>
      <c r="BF7" s="834" t="e">
        <f ca="1"/>
        <v>#N/A</v>
      </c>
      <c r="BG7" s="834" t="e">
        <f ca="1"/>
        <v>#N/A</v>
      </c>
      <c r="BH7" s="834" t="e">
        <f ca="1"/>
        <v>#N/A</v>
      </c>
      <c r="BI7" s="834" t="e">
        <f ca="1"/>
        <v>#N/A</v>
      </c>
      <c r="BJ7" s="834" t="e">
        <f ca="1"/>
        <v>#N/A</v>
      </c>
      <c r="BK7" s="834" t="e">
        <f ca="1"/>
        <v>#N/A</v>
      </c>
      <c r="BL7" s="834" t="e">
        <f ca="1"/>
        <v>#N/A</v>
      </c>
      <c r="BM7" s="834" t="e">
        <f ca="1"/>
        <v>#N/A</v>
      </c>
      <c r="BN7" s="834" t="e">
        <f ca="1"/>
        <v>#N/A</v>
      </c>
      <c r="BO7" s="834" t="e">
        <f ca="1"/>
        <v>#N/A</v>
      </c>
      <c r="BP7" s="834" t="e">
        <f ca="1"/>
        <v>#N/A</v>
      </c>
      <c r="BQ7" s="834" t="e">
        <f ca="1"/>
        <v>#N/A</v>
      </c>
      <c r="BR7" s="834" t="e">
        <f ca="1"/>
        <v>#N/A</v>
      </c>
      <c r="BS7" s="834" t="e">
        <f ca="1"/>
        <v>#N/A</v>
      </c>
      <c r="BT7" s="834" t="e">
        <f ca="1"/>
        <v>#N/A</v>
      </c>
      <c r="BU7" s="834" t="e">
        <f ca="1"/>
        <v>#N/A</v>
      </c>
    </row>
    <row r="8" spans="1:73">
      <c r="A8" s="835" t="str">
        <f>A7&amp;" name"</f>
        <v>Ehime name</v>
      </c>
      <c r="B8" s="834" t="str">
        <f ca="1"/>
        <v>Opponent Shooting Attempts</v>
      </c>
      <c r="C8" s="834" t="str">
        <f ca="1"/>
        <v>Shooting on Target</v>
      </c>
      <c r="D8" s="834" t="str">
        <f ca="1"/>
        <v>Opponent Shooting on Target</v>
      </c>
      <c r="E8" s="834" t="str">
        <f ca="1"/>
        <v>Possession</v>
      </c>
      <c r="F8" s="834" t="str">
        <f ca="1"/>
        <v>Opponent Possession</v>
      </c>
      <c r="G8" s="834" t="str">
        <f ca="1"/>
        <v>Lineup</v>
      </c>
      <c r="H8" s="834" t="str">
        <f ca="1"/>
        <v>Goal Check</v>
      </c>
      <c r="I8" s="834" t="str">
        <f ca="1"/>
        <v>Sub Up-Down</v>
      </c>
      <c r="J8" s="834" t="str">
        <f ca="1"/>
        <v>Player Count</v>
      </c>
      <c r="K8" s="834" t="str">
        <f ca="1"/>
        <v>Hiroki MAWATARI</v>
      </c>
      <c r="L8" s="834" t="str">
        <f ca="1"/>
        <v>Seong-Su Park</v>
      </c>
      <c r="M8" s="834" t="str">
        <f ca="1"/>
        <v>Yutaro Hara</v>
      </c>
      <c r="N8" s="834" t="str">
        <f ca="1"/>
        <v>Nobuhisa Urata</v>
      </c>
      <c r="O8" s="834" t="str">
        <f ca="1"/>
        <v>Mutsumi Tamabayashi</v>
      </c>
      <c r="P8" s="834" t="str">
        <f ca="1"/>
        <v>Daiki Nishioka</v>
      </c>
      <c r="Q8" s="834" t="str">
        <f ca="1"/>
        <v>Kohei Mihara</v>
      </c>
      <c r="R8" s="834" t="str">
        <f ca="1"/>
        <v>Shuhei Hotta</v>
      </c>
      <c r="S8" s="834" t="str">
        <f ca="1"/>
        <v>Yuki Fukaya</v>
      </c>
      <c r="T8" s="834" t="str">
        <f ca="1"/>
        <v>Makoto Rindo</v>
      </c>
      <c r="U8" s="834" t="str">
        <f ca="1"/>
        <v>Ryuga SUZUKI</v>
      </c>
      <c r="V8" s="834" t="str">
        <f ca="1"/>
        <v>Ibuki Fujita</v>
      </c>
      <c r="W8" s="834" t="str">
        <f ca="1"/>
        <v>Takashi Kondo</v>
      </c>
      <c r="X8" s="834" t="str">
        <f ca="1"/>
        <v>Shuto Kojima</v>
      </c>
      <c r="Y8" s="834" t="str">
        <f ca="1"/>
        <v>Kodai Yasuda</v>
      </c>
      <c r="Z8" s="834" t="str">
        <f ca="1"/>
        <v>Yumemi KANDA</v>
      </c>
      <c r="AA8" s="834" t="str">
        <f ca="1"/>
        <v>Kosuke Shirai</v>
      </c>
      <c r="AB8" s="834" t="str">
        <f ca="1"/>
        <v>Hiroto Tanaka</v>
      </c>
      <c r="AC8" s="834" t="str">
        <f ca="1"/>
        <v>Daiki Kogure</v>
      </c>
      <c r="AD8" s="834" t="str">
        <f ca="1"/>
        <v>JU Feng</v>
      </c>
      <c r="AE8" s="834" t="str">
        <f ca="1"/>
        <v>Junki Koike</v>
      </c>
      <c r="AF8" s="834" t="str">
        <f ca="1"/>
        <v>Koki Arita</v>
      </c>
      <c r="AG8" s="834" t="str">
        <f ca="1"/>
        <v>Shion NIWA</v>
      </c>
      <c r="AH8" s="834" t="str">
        <f ca="1"/>
        <v>Go Nishida</v>
      </c>
      <c r="AI8" s="834" t="str">
        <f ca="1"/>
        <v>Kazuhisa Kawahara</v>
      </c>
      <c r="AJ8" s="834">
        <f ca="1"/>
        <v>0</v>
      </c>
      <c r="AK8" s="834">
        <f ca="1"/>
        <v>0</v>
      </c>
      <c r="AL8" s="834">
        <f ca="1"/>
        <v>0</v>
      </c>
      <c r="AM8" s="834">
        <f ca="1"/>
        <v>0</v>
      </c>
      <c r="AN8" s="834">
        <f ca="1"/>
        <v>0</v>
      </c>
      <c r="AO8" s="834">
        <f ca="1"/>
        <v>0</v>
      </c>
      <c r="AP8" s="834">
        <f ca="1"/>
        <v>0</v>
      </c>
      <c r="AQ8" s="834">
        <f ca="1"/>
        <v>0</v>
      </c>
      <c r="AR8" s="834">
        <f ca="1"/>
        <v>0</v>
      </c>
      <c r="AS8" s="834">
        <f ca="1"/>
        <v>0</v>
      </c>
      <c r="AT8" s="834">
        <f ca="1"/>
        <v>0</v>
      </c>
      <c r="AU8" s="834">
        <f ca="1"/>
        <v>0</v>
      </c>
      <c r="AV8" s="834">
        <f ca="1"/>
        <v>0</v>
      </c>
      <c r="AW8" s="834">
        <f ca="1"/>
        <v>0</v>
      </c>
      <c r="AX8" s="834">
        <f ca="1"/>
        <v>0</v>
      </c>
      <c r="AY8" s="834">
        <f ca="1"/>
        <v>0</v>
      </c>
      <c r="AZ8" s="834">
        <f ca="1"/>
        <v>0</v>
      </c>
      <c r="BA8" s="834">
        <f ca="1"/>
        <v>0</v>
      </c>
      <c r="BB8" s="834">
        <f ca="1"/>
        <v>0</v>
      </c>
      <c r="BC8" s="834">
        <f ca="1"/>
        <v>0</v>
      </c>
      <c r="BD8" s="834">
        <f ca="1"/>
        <v>0</v>
      </c>
      <c r="BE8" s="834" t="e">
        <f ca="1"/>
        <v>#N/A</v>
      </c>
      <c r="BF8" s="834" t="e">
        <f ca="1"/>
        <v>#N/A</v>
      </c>
      <c r="BG8" s="834" t="e">
        <f ca="1"/>
        <v>#N/A</v>
      </c>
      <c r="BH8" s="834" t="e">
        <f ca="1"/>
        <v>#N/A</v>
      </c>
      <c r="BI8" s="834" t="e">
        <f ca="1"/>
        <v>#N/A</v>
      </c>
      <c r="BJ8" s="834" t="e">
        <f ca="1"/>
        <v>#N/A</v>
      </c>
      <c r="BK8" s="834" t="e">
        <f ca="1"/>
        <v>#N/A</v>
      </c>
      <c r="BL8" s="834" t="e">
        <f ca="1"/>
        <v>#N/A</v>
      </c>
      <c r="BM8" s="834" t="e">
        <f ca="1"/>
        <v>#N/A</v>
      </c>
      <c r="BN8" s="834" t="e">
        <f ca="1"/>
        <v>#N/A</v>
      </c>
      <c r="BO8" s="834" t="e">
        <f ca="1"/>
        <v>#N/A</v>
      </c>
      <c r="BP8" s="834" t="e">
        <f ca="1"/>
        <v>#N/A</v>
      </c>
      <c r="BQ8" s="834" t="e">
        <f ca="1"/>
        <v>#N/A</v>
      </c>
      <c r="BR8" s="834" t="e">
        <f ca="1"/>
        <v>#N/A</v>
      </c>
      <c r="BS8" s="834" t="e">
        <f ca="1"/>
        <v>#N/A</v>
      </c>
      <c r="BT8" s="834" t="e">
        <f ca="1"/>
        <v>#N/A</v>
      </c>
      <c r="BU8" s="834" t="e">
        <f ca="1"/>
        <v>#N/A</v>
      </c>
    </row>
    <row r="9" spans="1:73">
      <c r="A9" s="835" t="str">
        <f>A7&amp;" num"</f>
        <v>Ehime num</v>
      </c>
      <c r="B9" s="834">
        <f ca="1"/>
        <v>0</v>
      </c>
      <c r="C9" s="834">
        <f ca="1"/>
        <v>0</v>
      </c>
      <c r="D9" s="834">
        <f ca="1"/>
        <v>0</v>
      </c>
      <c r="E9" s="834">
        <f ca="1"/>
        <v>0</v>
      </c>
      <c r="F9" s="834">
        <f ca="1"/>
        <v>0</v>
      </c>
      <c r="G9" s="834">
        <f ca="1"/>
        <v>0</v>
      </c>
      <c r="H9" s="834">
        <f ca="1"/>
        <v>0</v>
      </c>
      <c r="I9" s="834">
        <f ca="1"/>
        <v>0</v>
      </c>
      <c r="J9" s="834">
        <f ca="1"/>
        <v>0</v>
      </c>
      <c r="K9" s="834" t="str">
        <f ca="1"/>
        <v>馬渡　洋樹</v>
      </c>
      <c r="L9" s="834" t="str">
        <f ca="1"/>
        <v>パク　ソンス</v>
      </c>
      <c r="M9" s="834" t="str">
        <f ca="1"/>
        <v>原　裕太郎</v>
      </c>
      <c r="N9" s="834" t="str">
        <f ca="1"/>
        <v>浦田　延尚</v>
      </c>
      <c r="O9" s="834" t="str">
        <f ca="1"/>
        <v>玉林　睦実</v>
      </c>
      <c r="P9" s="834" t="str">
        <f ca="1"/>
        <v>西岡　大輝</v>
      </c>
      <c r="Q9" s="834" t="str">
        <f ca="1"/>
        <v>三原　向平</v>
      </c>
      <c r="R9" s="834" t="str">
        <f ca="1"/>
        <v>堀田　秀平</v>
      </c>
      <c r="S9" s="834" t="str">
        <f ca="1"/>
        <v>深谷　友基</v>
      </c>
      <c r="T9" s="834" t="str">
        <f ca="1"/>
        <v>林堂　眞</v>
      </c>
      <c r="U9" s="834" t="str">
        <f ca="1"/>
        <v>鈴木　隆雅</v>
      </c>
      <c r="V9" s="834" t="str">
        <f ca="1"/>
        <v>藤田　息吹</v>
      </c>
      <c r="W9" s="834" t="str">
        <f ca="1"/>
        <v>近藤　貴司</v>
      </c>
      <c r="X9" s="834" t="str">
        <f ca="1"/>
        <v>小島　秀仁</v>
      </c>
      <c r="Y9" s="834" t="str">
        <f ca="1"/>
        <v>安田　晃大</v>
      </c>
      <c r="Z9" s="834" t="str">
        <f ca="1"/>
        <v>神田　夢実</v>
      </c>
      <c r="AA9" s="834" t="str">
        <f ca="1"/>
        <v>白井　康介</v>
      </c>
      <c r="AB9" s="834" t="str">
        <f ca="1"/>
        <v>田中　裕人</v>
      </c>
      <c r="AC9" s="834" t="str">
        <f ca="1"/>
        <v>小暮　大器</v>
      </c>
      <c r="AD9" s="834" t="str">
        <f ca="1"/>
        <v>鞠　楓</v>
      </c>
      <c r="AE9" s="834" t="str">
        <f ca="1"/>
        <v>小池　純輝</v>
      </c>
      <c r="AF9" s="834" t="str">
        <f ca="1"/>
        <v>有田　光希</v>
      </c>
      <c r="AG9" s="834" t="str">
        <f ca="1"/>
        <v>丹羽　詩温</v>
      </c>
      <c r="AH9" s="834" t="str">
        <f ca="1"/>
        <v>西田　剛</v>
      </c>
      <c r="AI9" s="834" t="str">
        <f ca="1"/>
        <v>河原　和寿</v>
      </c>
      <c r="AJ9" s="834">
        <f ca="1"/>
        <v>0</v>
      </c>
      <c r="AK9" s="834">
        <f ca="1"/>
        <v>0</v>
      </c>
      <c r="AL9" s="834">
        <f ca="1"/>
        <v>0</v>
      </c>
      <c r="AM9" s="834">
        <f ca="1"/>
        <v>0</v>
      </c>
      <c r="AN9" s="834">
        <f ca="1"/>
        <v>0</v>
      </c>
      <c r="AO9" s="834">
        <f ca="1"/>
        <v>0</v>
      </c>
      <c r="AP9" s="834">
        <f ca="1"/>
        <v>0</v>
      </c>
      <c r="AQ9" s="834">
        <f ca="1"/>
        <v>0</v>
      </c>
      <c r="AR9" s="834">
        <f ca="1"/>
        <v>0</v>
      </c>
      <c r="AS9" s="834">
        <f ca="1"/>
        <v>0</v>
      </c>
      <c r="AT9" s="834">
        <f ca="1"/>
        <v>0</v>
      </c>
      <c r="AU9" s="834">
        <f ca="1"/>
        <v>0</v>
      </c>
      <c r="AV9" s="834">
        <f ca="1"/>
        <v>0</v>
      </c>
      <c r="AW9" s="834">
        <f ca="1"/>
        <v>0</v>
      </c>
      <c r="AX9" s="834">
        <f ca="1"/>
        <v>0</v>
      </c>
      <c r="AY9" s="834">
        <f ca="1"/>
        <v>0</v>
      </c>
      <c r="AZ9" s="834">
        <f ca="1"/>
        <v>0</v>
      </c>
      <c r="BA9" s="834">
        <f ca="1"/>
        <v>0</v>
      </c>
      <c r="BB9" s="834">
        <f ca="1"/>
        <v>0</v>
      </c>
      <c r="BC9" s="834">
        <f ca="1"/>
        <v>0</v>
      </c>
      <c r="BD9" s="834">
        <f ca="1"/>
        <v>0</v>
      </c>
      <c r="BE9" s="834" t="e">
        <f ca="1"/>
        <v>#N/A</v>
      </c>
      <c r="BF9" s="834" t="e">
        <f ca="1"/>
        <v>#N/A</v>
      </c>
      <c r="BG9" s="834" t="e">
        <f ca="1"/>
        <v>#N/A</v>
      </c>
      <c r="BH9" s="834" t="e">
        <f ca="1"/>
        <v>#N/A</v>
      </c>
      <c r="BI9" s="834" t="e">
        <f ca="1"/>
        <v>#N/A</v>
      </c>
      <c r="BJ9" s="834" t="e">
        <f ca="1"/>
        <v>#N/A</v>
      </c>
      <c r="BK9" s="834" t="e">
        <f ca="1"/>
        <v>#N/A</v>
      </c>
      <c r="BL9" s="834" t="e">
        <f ca="1"/>
        <v>#N/A</v>
      </c>
      <c r="BM9" s="834" t="e">
        <f ca="1"/>
        <v>#N/A</v>
      </c>
      <c r="BN9" s="834" t="e">
        <f ca="1"/>
        <v>#N/A</v>
      </c>
      <c r="BO9" s="834" t="e">
        <f ca="1"/>
        <v>#N/A</v>
      </c>
      <c r="BP9" s="834" t="e">
        <f ca="1"/>
        <v>#N/A</v>
      </c>
      <c r="BQ9" s="834" t="e">
        <f ca="1"/>
        <v>#N/A</v>
      </c>
      <c r="BR9" s="834" t="e">
        <f ca="1"/>
        <v>#N/A</v>
      </c>
      <c r="BS9" s="834" t="e">
        <f ca="1"/>
        <v>#N/A</v>
      </c>
      <c r="BT9" s="834" t="e">
        <f ca="1"/>
        <v>#N/A</v>
      </c>
      <c r="BU9" s="834" t="e">
        <f ca="1"/>
        <v>#N/A</v>
      </c>
    </row>
    <row r="10" spans="1:73">
      <c r="A10" s="17" t="str">
        <f>Helper!CM4</f>
        <v>Fagiano Okayama</v>
      </c>
      <c r="B10" s="834">
        <f t="array" aca="1" ref="B10:BU12" ca="1">INDIRECT("'"&amp;A10&amp;"'!X19:BZ21")</f>
        <v>0</v>
      </c>
      <c r="C10" s="834" t="str">
        <f ca="1"/>
        <v>射正</v>
      </c>
      <c r="D10" s="834">
        <f ca="1"/>
        <v>0</v>
      </c>
      <c r="E10" s="834" t="str">
        <f ca="1"/>
        <v>控球率</v>
      </c>
      <c r="F10" s="834">
        <f ca="1"/>
        <v>0</v>
      </c>
      <c r="G10" s="834">
        <f ca="1"/>
        <v>0</v>
      </c>
      <c r="H10" s="834">
        <f ca="1"/>
        <v>0</v>
      </c>
      <c r="I10" s="834">
        <f ca="1"/>
        <v>0</v>
      </c>
      <c r="J10" s="834" t="str">
        <f ca="1"/>
        <v>Position</v>
      </c>
      <c r="K10" s="834" t="str">
        <f ca="1"/>
        <v>GK</v>
      </c>
      <c r="L10" s="834" t="str">
        <f ca="1"/>
        <v>GK</v>
      </c>
      <c r="M10" s="834" t="str">
        <f ca="1"/>
        <v>GK</v>
      </c>
      <c r="N10" s="834" t="str">
        <f ca="1"/>
        <v>GK</v>
      </c>
      <c r="O10" s="834" t="str">
        <f ca="1"/>
        <v>GK</v>
      </c>
      <c r="P10" s="834" t="str">
        <f ca="1"/>
        <v>CB</v>
      </c>
      <c r="Q10" s="834" t="str">
        <f ca="1"/>
        <v>CB</v>
      </c>
      <c r="R10" s="834" t="str">
        <f ca="1"/>
        <v>RB</v>
      </c>
      <c r="S10" s="834" t="str">
        <f ca="1"/>
        <v>CB</v>
      </c>
      <c r="T10" s="834" t="str">
        <f ca="1"/>
        <v>CB</v>
      </c>
      <c r="U10" s="834" t="str">
        <f ca="1"/>
        <v>CB</v>
      </c>
      <c r="V10" s="834" t="str">
        <f ca="1"/>
        <v>CB</v>
      </c>
      <c r="W10" s="834" t="str">
        <f ca="1"/>
        <v>RM</v>
      </c>
      <c r="X10" s="834" t="str">
        <f ca="1"/>
        <v>DM</v>
      </c>
      <c r="Y10" s="834" t="str">
        <f ca="1"/>
        <v>CM</v>
      </c>
      <c r="Z10" s="834" t="str">
        <f ca="1"/>
        <v>AM</v>
      </c>
      <c r="AA10" s="834" t="str">
        <f ca="1"/>
        <v>AM</v>
      </c>
      <c r="AB10" s="834" t="str">
        <f ca="1"/>
        <v>DM</v>
      </c>
      <c r="AC10" s="834" t="str">
        <f ca="1"/>
        <v>AM</v>
      </c>
      <c r="AD10" s="834" t="str">
        <f ca="1"/>
        <v>LM</v>
      </c>
      <c r="AE10" s="834" t="str">
        <f ca="1"/>
        <v>MF</v>
      </c>
      <c r="AF10" s="834" t="str">
        <f ca="1"/>
        <v>RM</v>
      </c>
      <c r="AG10" s="834" t="str">
        <f ca="1"/>
        <v>MF</v>
      </c>
      <c r="AH10" s="834" t="str">
        <f ca="1"/>
        <v>LM</v>
      </c>
      <c r="AI10" s="834" t="str">
        <f ca="1"/>
        <v>CF</v>
      </c>
      <c r="AJ10" s="834" t="str">
        <f ca="1"/>
        <v>SS</v>
      </c>
      <c r="AK10" s="834" t="str">
        <f ca="1"/>
        <v>CF</v>
      </c>
      <c r="AL10" s="834" t="str">
        <f ca="1"/>
        <v>CF</v>
      </c>
      <c r="AM10" s="834" t="str">
        <f ca="1"/>
        <v>CF</v>
      </c>
      <c r="AN10" s="834" t="str">
        <f ca="1"/>
        <v>SS</v>
      </c>
      <c r="AO10" s="834" t="str">
        <f ca="1"/>
        <v>FW</v>
      </c>
      <c r="AP10" s="834" t="str">
        <f ca="1"/>
        <v>FW</v>
      </c>
      <c r="AQ10" s="834" t="str">
        <f ca="1"/>
        <v>FW</v>
      </c>
      <c r="AR10" s="834">
        <f ca="1"/>
        <v>0</v>
      </c>
      <c r="AS10" s="834">
        <f ca="1"/>
        <v>0</v>
      </c>
      <c r="AT10" s="834">
        <f ca="1"/>
        <v>0</v>
      </c>
      <c r="AU10" s="834">
        <f ca="1"/>
        <v>0</v>
      </c>
      <c r="AV10" s="834">
        <f ca="1"/>
        <v>0</v>
      </c>
      <c r="AW10" s="834">
        <f ca="1"/>
        <v>0</v>
      </c>
      <c r="AX10" s="834">
        <f ca="1"/>
        <v>0</v>
      </c>
      <c r="AY10" s="834">
        <f ca="1"/>
        <v>0</v>
      </c>
      <c r="AZ10" s="834">
        <f ca="1"/>
        <v>0</v>
      </c>
      <c r="BA10" s="834">
        <f ca="1"/>
        <v>0</v>
      </c>
      <c r="BB10" s="834">
        <f ca="1"/>
        <v>0</v>
      </c>
      <c r="BC10" s="834">
        <f ca="1"/>
        <v>0</v>
      </c>
      <c r="BD10" s="834">
        <f ca="1"/>
        <v>0</v>
      </c>
      <c r="BE10" s="834" t="e">
        <f ca="1"/>
        <v>#N/A</v>
      </c>
      <c r="BF10" s="834" t="e">
        <f ca="1"/>
        <v>#N/A</v>
      </c>
      <c r="BG10" s="834" t="e">
        <f ca="1"/>
        <v>#N/A</v>
      </c>
      <c r="BH10" s="834" t="e">
        <f ca="1"/>
        <v>#N/A</v>
      </c>
      <c r="BI10" s="834" t="e">
        <f ca="1"/>
        <v>#N/A</v>
      </c>
      <c r="BJ10" s="834" t="e">
        <f ca="1"/>
        <v>#N/A</v>
      </c>
      <c r="BK10" s="834" t="e">
        <f ca="1"/>
        <v>#N/A</v>
      </c>
      <c r="BL10" s="834" t="e">
        <f ca="1"/>
        <v>#N/A</v>
      </c>
      <c r="BM10" s="834" t="e">
        <f ca="1"/>
        <v>#N/A</v>
      </c>
      <c r="BN10" s="834" t="e">
        <f ca="1"/>
        <v>#N/A</v>
      </c>
      <c r="BO10" s="834" t="e">
        <f ca="1"/>
        <v>#N/A</v>
      </c>
      <c r="BP10" s="834" t="e">
        <f ca="1"/>
        <v>#N/A</v>
      </c>
      <c r="BQ10" s="834" t="e">
        <f ca="1"/>
        <v>#N/A</v>
      </c>
      <c r="BR10" s="834" t="e">
        <f ca="1"/>
        <v>#N/A</v>
      </c>
      <c r="BS10" s="834" t="e">
        <f ca="1"/>
        <v>#N/A</v>
      </c>
      <c r="BT10" s="834" t="e">
        <f ca="1"/>
        <v>#N/A</v>
      </c>
      <c r="BU10" s="834" t="e">
        <f ca="1"/>
        <v>#N/A</v>
      </c>
    </row>
    <row r="11" spans="1:73">
      <c r="A11" s="835" t="str">
        <f>A10&amp;" name"</f>
        <v>Fagiano Okayama name</v>
      </c>
      <c r="B11" s="834" t="str">
        <f ca="1"/>
        <v>Opponent Shooting Attempts</v>
      </c>
      <c r="C11" s="834" t="str">
        <f ca="1"/>
        <v>Shooting on Target</v>
      </c>
      <c r="D11" s="834" t="str">
        <f ca="1"/>
        <v>Opponent Shooting on Target</v>
      </c>
      <c r="E11" s="834" t="str">
        <f ca="1"/>
        <v>Possession</v>
      </c>
      <c r="F11" s="834" t="str">
        <f ca="1"/>
        <v>Opponent Possession</v>
      </c>
      <c r="G11" s="834" t="str">
        <f ca="1"/>
        <v>Lineup</v>
      </c>
      <c r="H11" s="834" t="str">
        <f ca="1"/>
        <v>Goal Check</v>
      </c>
      <c r="I11" s="834" t="str">
        <f ca="1"/>
        <v>Sub Up-Down</v>
      </c>
      <c r="J11" s="834" t="str">
        <f ca="1"/>
        <v>Player Count</v>
      </c>
      <c r="K11" s="834" t="str">
        <f ca="1"/>
        <v>Kazuma Shiina</v>
      </c>
      <c r="L11" s="834" t="str">
        <f ca="1"/>
        <v>Masatoshi Kushibiki</v>
      </c>
      <c r="M11" s="834" t="str">
        <f ca="1"/>
        <v>Jun Ichimori</v>
      </c>
      <c r="N11" s="834" t="str">
        <f ca="1"/>
        <v>Kota Nitadori</v>
      </c>
      <c r="O11" s="834" t="str">
        <f ca="1"/>
        <v>LEE Kyungtae</v>
      </c>
      <c r="P11" s="834" t="str">
        <f ca="1"/>
        <v>Tetsushi Kondo</v>
      </c>
      <c r="Q11" s="834" t="str">
        <f ca="1"/>
        <v>Tadashi Takeda</v>
      </c>
      <c r="R11" s="834" t="str">
        <f ca="1"/>
        <v>Akira Kaji</v>
      </c>
      <c r="S11" s="834" t="str">
        <f ca="1"/>
        <v>Tsubasa Kubo</v>
      </c>
      <c r="T11" s="834" t="str">
        <f ca="1"/>
        <v>Yoshitatsu Itano</v>
      </c>
      <c r="U11" s="834" t="str">
        <f ca="1"/>
        <v>Suk-Won Jang</v>
      </c>
      <c r="V11" s="834" t="str">
        <f ca="1"/>
        <v>Kojiro Shinohara</v>
      </c>
      <c r="W11" s="834" t="str">
        <f ca="1"/>
        <v>Masahiko Sawaguchi</v>
      </c>
      <c r="X11" s="834" t="str">
        <f ca="1"/>
        <v>Kazuhito Watanabe</v>
      </c>
      <c r="Y11" s="834" t="str">
        <f ca="1"/>
        <v>Daisuke Ito</v>
      </c>
      <c r="Z11" s="834" t="str">
        <f ca="1"/>
        <v>Hideki Ishige</v>
      </c>
      <c r="AA11" s="834" t="str">
        <f ca="1"/>
        <v>Yohei Otake</v>
      </c>
      <c r="AB11" s="834" t="str">
        <f ca="1"/>
        <v>Kohei Kiyama</v>
      </c>
      <c r="AC11" s="834" t="str">
        <f ca="1"/>
        <v>Kenji Sekido</v>
      </c>
      <c r="AD11" s="834" t="str">
        <f ca="1"/>
        <v>Hyung-Jin Park</v>
      </c>
      <c r="AE11" s="834" t="str">
        <f ca="1"/>
        <v>Shohei TAKEDA</v>
      </c>
      <c r="AF11" s="834" t="str">
        <f ca="1"/>
        <v>Soichi Tanaka</v>
      </c>
      <c r="AG11" s="834" t="str">
        <f ca="1"/>
        <v>Kento Kato</v>
      </c>
      <c r="AH11" s="834" t="str">
        <f ca="1"/>
        <v>Eiichi Katayama</v>
      </c>
      <c r="AI11" s="834" t="str">
        <f ca="1"/>
        <v>Kosuke Fujioka</v>
      </c>
      <c r="AJ11" s="834" t="str">
        <f ca="1"/>
        <v>Makoto Mimura</v>
      </c>
      <c r="AK11" s="834" t="str">
        <f ca="1"/>
        <v>Shingo Kukita</v>
      </c>
      <c r="AL11" s="834" t="str">
        <f ca="1"/>
        <v>Yoshiki Fujimoto</v>
      </c>
      <c r="AM11" s="834" t="str">
        <f ca="1"/>
        <v>Shingo Akamine</v>
      </c>
      <c r="AN11" s="834" t="str">
        <f ca="1"/>
        <v>Yuta Toyokawa</v>
      </c>
      <c r="AO11" s="834" t="str">
        <f ca="1"/>
        <v>Yuki Tanaka</v>
      </c>
      <c r="AP11" s="834" t="str">
        <f ca="1"/>
        <v>KIM Jong Min</v>
      </c>
      <c r="AQ11" s="834" t="str">
        <f ca="1"/>
        <v>ORSINI</v>
      </c>
      <c r="AR11" s="834">
        <f ca="1"/>
        <v>0</v>
      </c>
      <c r="AS11" s="834">
        <f ca="1"/>
        <v>0</v>
      </c>
      <c r="AT11" s="834">
        <f ca="1"/>
        <v>0</v>
      </c>
      <c r="AU11" s="834">
        <f ca="1"/>
        <v>0</v>
      </c>
      <c r="AV11" s="834">
        <f ca="1"/>
        <v>0</v>
      </c>
      <c r="AW11" s="834">
        <f ca="1"/>
        <v>0</v>
      </c>
      <c r="AX11" s="834">
        <f ca="1"/>
        <v>0</v>
      </c>
      <c r="AY11" s="834">
        <f ca="1"/>
        <v>0</v>
      </c>
      <c r="AZ11" s="834">
        <f ca="1"/>
        <v>0</v>
      </c>
      <c r="BA11" s="834">
        <f ca="1"/>
        <v>0</v>
      </c>
      <c r="BB11" s="834">
        <f ca="1"/>
        <v>0</v>
      </c>
      <c r="BC11" s="834">
        <f ca="1"/>
        <v>0</v>
      </c>
      <c r="BD11" s="834">
        <f ca="1"/>
        <v>0</v>
      </c>
      <c r="BE11" s="834" t="e">
        <f ca="1"/>
        <v>#N/A</v>
      </c>
      <c r="BF11" s="834" t="e">
        <f ca="1"/>
        <v>#N/A</v>
      </c>
      <c r="BG11" s="834" t="e">
        <f ca="1"/>
        <v>#N/A</v>
      </c>
      <c r="BH11" s="834" t="e">
        <f ca="1"/>
        <v>#N/A</v>
      </c>
      <c r="BI11" s="834" t="e">
        <f ca="1"/>
        <v>#N/A</v>
      </c>
      <c r="BJ11" s="834" t="e">
        <f ca="1"/>
        <v>#N/A</v>
      </c>
      <c r="BK11" s="834" t="e">
        <f ca="1"/>
        <v>#N/A</v>
      </c>
      <c r="BL11" s="834" t="e">
        <f ca="1"/>
        <v>#N/A</v>
      </c>
      <c r="BM11" s="834" t="e">
        <f ca="1"/>
        <v>#N/A</v>
      </c>
      <c r="BN11" s="834" t="e">
        <f ca="1"/>
        <v>#N/A</v>
      </c>
      <c r="BO11" s="834" t="e">
        <f ca="1"/>
        <v>#N/A</v>
      </c>
      <c r="BP11" s="834" t="e">
        <f ca="1"/>
        <v>#N/A</v>
      </c>
      <c r="BQ11" s="834" t="e">
        <f ca="1"/>
        <v>#N/A</v>
      </c>
      <c r="BR11" s="834" t="e">
        <f ca="1"/>
        <v>#N/A</v>
      </c>
      <c r="BS11" s="834" t="e">
        <f ca="1"/>
        <v>#N/A</v>
      </c>
      <c r="BT11" s="834" t="e">
        <f ca="1"/>
        <v>#N/A</v>
      </c>
      <c r="BU11" s="834" t="e">
        <f ca="1"/>
        <v>#N/A</v>
      </c>
    </row>
    <row r="12" spans="1:73">
      <c r="A12" s="835" t="str">
        <f>A10&amp;" num"</f>
        <v>Fagiano Okayama num</v>
      </c>
      <c r="B12" s="834">
        <f ca="1"/>
        <v>0</v>
      </c>
      <c r="C12" s="834">
        <f ca="1"/>
        <v>0</v>
      </c>
      <c r="D12" s="834">
        <f ca="1"/>
        <v>0</v>
      </c>
      <c r="E12" s="834">
        <f ca="1"/>
        <v>0</v>
      </c>
      <c r="F12" s="834">
        <f ca="1"/>
        <v>0</v>
      </c>
      <c r="G12" s="834">
        <f ca="1"/>
        <v>0</v>
      </c>
      <c r="H12" s="834">
        <f ca="1"/>
        <v>0</v>
      </c>
      <c r="I12" s="834">
        <f ca="1"/>
        <v>0</v>
      </c>
      <c r="J12" s="834">
        <f ca="1"/>
        <v>0</v>
      </c>
      <c r="K12" s="834" t="str">
        <f ca="1"/>
        <v>椎名　一馬</v>
      </c>
      <c r="L12" s="834" t="str">
        <f ca="1"/>
        <v>櫛引　政敏</v>
      </c>
      <c r="M12" s="834" t="str">
        <f ca="1"/>
        <v>一森　純</v>
      </c>
      <c r="N12" s="834" t="str">
        <f ca="1"/>
        <v>似鳥　康太</v>
      </c>
      <c r="O12" s="834" t="str">
        <f ca="1"/>
        <v>イ　キョンテ</v>
      </c>
      <c r="P12" s="834" t="str">
        <f ca="1"/>
        <v>近藤　徹志</v>
      </c>
      <c r="Q12" s="834" t="str">
        <f ca="1"/>
        <v>竹田　忠嗣</v>
      </c>
      <c r="R12" s="834" t="str">
        <f ca="1"/>
        <v>加地　亮</v>
      </c>
      <c r="S12" s="834" t="str">
        <f ca="1"/>
        <v>久保　飛翔</v>
      </c>
      <c r="T12" s="834" t="str">
        <f ca="1"/>
        <v>下口　稚葉</v>
      </c>
      <c r="U12" s="834" t="str">
        <f ca="1"/>
        <v>チャン　ソグォン</v>
      </c>
      <c r="V12" s="834" t="str">
        <f ca="1"/>
        <v>篠原　弘次郎</v>
      </c>
      <c r="W12" s="834" t="str">
        <f ca="1"/>
        <v>澤口　雅彦</v>
      </c>
      <c r="X12" s="834" t="str">
        <f ca="1"/>
        <v>渡邊　一仁</v>
      </c>
      <c r="Y12" s="834" t="str">
        <f ca="1"/>
        <v>伊藤　大介</v>
      </c>
      <c r="Z12" s="834" t="str">
        <f ca="1"/>
        <v>石毛　秀樹</v>
      </c>
      <c r="AA12" s="834" t="str">
        <f ca="1"/>
        <v>大竹　洋平</v>
      </c>
      <c r="AB12" s="834" t="str">
        <f ca="1"/>
        <v>喜山　康平</v>
      </c>
      <c r="AC12" s="834" t="str">
        <f ca="1"/>
        <v>関戸　健二</v>
      </c>
      <c r="AD12" s="834" t="str">
        <f ca="1"/>
        <v>パク　ヒョンジン</v>
      </c>
      <c r="AE12" s="834" t="str">
        <f ca="1"/>
        <v>武田　将平</v>
      </c>
      <c r="AF12" s="834" t="str">
        <f ca="1"/>
        <v>田中　奏一</v>
      </c>
      <c r="AG12" s="834" t="str">
        <f ca="1"/>
        <v>加藤　健人</v>
      </c>
      <c r="AH12" s="834" t="str">
        <f ca="1"/>
        <v>片山　瑛一</v>
      </c>
      <c r="AI12" s="834" t="str">
        <f ca="1"/>
        <v>塚川　孝輝</v>
      </c>
      <c r="AJ12" s="834" t="str">
        <f ca="1"/>
        <v>三村　真</v>
      </c>
      <c r="AK12" s="834" t="str">
        <f ca="1"/>
        <v>久木田　紳吾</v>
      </c>
      <c r="AL12" s="834" t="str">
        <f ca="1"/>
        <v>藤本　佳希</v>
      </c>
      <c r="AM12" s="834" t="str">
        <f ca="1"/>
        <v>赤嶺　真吾</v>
      </c>
      <c r="AN12" s="834" t="str">
        <f ca="1"/>
        <v>豊川　雄太</v>
      </c>
      <c r="AO12" s="834" t="str">
        <f ca="1"/>
        <v>石川　隆汰</v>
      </c>
      <c r="AP12" s="834" t="str">
        <f ca="1"/>
        <v>キム　ジョンミン</v>
      </c>
      <c r="AQ12" s="834" t="str">
        <f ca="1"/>
        <v>オルシーニ</v>
      </c>
      <c r="AR12" s="834" t="str">
        <f ca="1"/>
        <v>OG</v>
      </c>
      <c r="AS12" s="834">
        <f ca="1"/>
        <v>0</v>
      </c>
      <c r="AT12" s="834">
        <f ca="1"/>
        <v>0</v>
      </c>
      <c r="AU12" s="834">
        <f ca="1"/>
        <v>0</v>
      </c>
      <c r="AV12" s="834">
        <f ca="1"/>
        <v>0</v>
      </c>
      <c r="AW12" s="834">
        <f ca="1"/>
        <v>0</v>
      </c>
      <c r="AX12" s="834">
        <f ca="1"/>
        <v>0</v>
      </c>
      <c r="AY12" s="834">
        <f ca="1"/>
        <v>0</v>
      </c>
      <c r="AZ12" s="834">
        <f ca="1"/>
        <v>0</v>
      </c>
      <c r="BA12" s="834">
        <f ca="1"/>
        <v>0</v>
      </c>
      <c r="BB12" s="834">
        <f ca="1"/>
        <v>0</v>
      </c>
      <c r="BC12" s="834">
        <f ca="1"/>
        <v>0</v>
      </c>
      <c r="BD12" s="834">
        <f ca="1"/>
        <v>0</v>
      </c>
      <c r="BE12" s="834" t="e">
        <f ca="1"/>
        <v>#N/A</v>
      </c>
      <c r="BF12" s="834" t="e">
        <f ca="1"/>
        <v>#N/A</v>
      </c>
      <c r="BG12" s="834" t="e">
        <f ca="1"/>
        <v>#N/A</v>
      </c>
      <c r="BH12" s="834" t="e">
        <f ca="1"/>
        <v>#N/A</v>
      </c>
      <c r="BI12" s="834" t="e">
        <f ca="1"/>
        <v>#N/A</v>
      </c>
      <c r="BJ12" s="834" t="e">
        <f ca="1"/>
        <v>#N/A</v>
      </c>
      <c r="BK12" s="834" t="e">
        <f ca="1"/>
        <v>#N/A</v>
      </c>
      <c r="BL12" s="834" t="e">
        <f ca="1"/>
        <v>#N/A</v>
      </c>
      <c r="BM12" s="834" t="e">
        <f ca="1"/>
        <v>#N/A</v>
      </c>
      <c r="BN12" s="834" t="e">
        <f ca="1"/>
        <v>#N/A</v>
      </c>
      <c r="BO12" s="834" t="e">
        <f ca="1"/>
        <v>#N/A</v>
      </c>
      <c r="BP12" s="834" t="e">
        <f ca="1"/>
        <v>#N/A</v>
      </c>
      <c r="BQ12" s="834" t="e">
        <f ca="1"/>
        <v>#N/A</v>
      </c>
      <c r="BR12" s="834" t="e">
        <f ca="1"/>
        <v>#N/A</v>
      </c>
      <c r="BS12" s="834" t="e">
        <f ca="1"/>
        <v>#N/A</v>
      </c>
      <c r="BT12" s="834" t="e">
        <f ca="1"/>
        <v>#N/A</v>
      </c>
      <c r="BU12" s="834" t="e">
        <f ca="1"/>
        <v>#N/A</v>
      </c>
    </row>
    <row r="13" spans="1:73">
      <c r="A13" s="17" t="str">
        <f>Helper!CM5</f>
        <v>Gifu</v>
      </c>
      <c r="B13" s="834">
        <f t="array" aca="1" ref="B13:BU15" ca="1">INDIRECT("'"&amp;A13&amp;"'!X19:BZ21")</f>
        <v>0</v>
      </c>
      <c r="C13" s="834" t="str">
        <f ca="1"/>
        <v>射正</v>
      </c>
      <c r="D13" s="834">
        <f ca="1"/>
        <v>0</v>
      </c>
      <c r="E13" s="834" t="str">
        <f ca="1"/>
        <v>控球率</v>
      </c>
      <c r="F13" s="834">
        <f ca="1"/>
        <v>0</v>
      </c>
      <c r="G13" s="834">
        <f ca="1"/>
        <v>0</v>
      </c>
      <c r="H13" s="834">
        <f ca="1"/>
        <v>0</v>
      </c>
      <c r="I13" s="834">
        <f ca="1"/>
        <v>0</v>
      </c>
      <c r="J13" s="834" t="str">
        <f ca="1"/>
        <v>Position</v>
      </c>
      <c r="K13" s="834" t="str">
        <f ca="1"/>
        <v>GK</v>
      </c>
      <c r="L13" s="834" t="str">
        <f ca="1"/>
        <v>GK</v>
      </c>
      <c r="M13" s="834" t="str">
        <f ca="1"/>
        <v>GK</v>
      </c>
      <c r="N13" s="834" t="str">
        <f ca="1"/>
        <v>RB</v>
      </c>
      <c r="O13" s="834" t="str">
        <f ca="1"/>
        <v>DF</v>
      </c>
      <c r="P13" s="834" t="str">
        <f ca="1"/>
        <v>CB</v>
      </c>
      <c r="Q13" s="834" t="str">
        <f ca="1"/>
        <v>LB</v>
      </c>
      <c r="R13" s="834" t="str">
        <f ca="1"/>
        <v>DF</v>
      </c>
      <c r="S13" s="834" t="str">
        <f ca="1"/>
        <v>DF</v>
      </c>
      <c r="T13" s="834" t="str">
        <f ca="1"/>
        <v>DM</v>
      </c>
      <c r="U13" s="834" t="str">
        <f ca="1"/>
        <v>DM</v>
      </c>
      <c r="V13" s="834" t="str">
        <f ca="1"/>
        <v>MF</v>
      </c>
      <c r="W13" s="834" t="str">
        <f ca="1"/>
        <v>AM</v>
      </c>
      <c r="X13" s="834" t="str">
        <f ca="1"/>
        <v>AM</v>
      </c>
      <c r="Y13" s="834" t="str">
        <f ca="1"/>
        <v>CM</v>
      </c>
      <c r="Z13" s="834" t="str">
        <f ca="1"/>
        <v>CM</v>
      </c>
      <c r="AA13" s="834" t="str">
        <f ca="1"/>
        <v>DM</v>
      </c>
      <c r="AB13" s="834" t="str">
        <f ca="1"/>
        <v>LM</v>
      </c>
      <c r="AC13" s="834" t="str">
        <f ca="1"/>
        <v>MF</v>
      </c>
      <c r="AD13" s="834" t="str">
        <f ca="1"/>
        <v>RM</v>
      </c>
      <c r="AE13" s="834" t="str">
        <f ca="1"/>
        <v>AM</v>
      </c>
      <c r="AF13" s="834" t="str">
        <f ca="1"/>
        <v>AM</v>
      </c>
      <c r="AG13" s="834" t="str">
        <f ca="1"/>
        <v>FW</v>
      </c>
      <c r="AH13" s="834" t="str">
        <f ca="1"/>
        <v>FW</v>
      </c>
      <c r="AI13" s="834" t="str">
        <f ca="1"/>
        <v>FW</v>
      </c>
      <c r="AJ13" s="834" t="str">
        <f ca="1"/>
        <v>CF</v>
      </c>
      <c r="AK13" s="834" t="str">
        <f ca="1"/>
        <v>SS</v>
      </c>
      <c r="AL13" s="834">
        <f ca="1"/>
        <v>0</v>
      </c>
      <c r="AM13" s="834">
        <f ca="1"/>
        <v>0</v>
      </c>
      <c r="AN13" s="834">
        <f ca="1"/>
        <v>0</v>
      </c>
      <c r="AO13" s="834">
        <f ca="1"/>
        <v>0</v>
      </c>
      <c r="AP13" s="834">
        <f ca="1"/>
        <v>0</v>
      </c>
      <c r="AQ13" s="834">
        <f ca="1"/>
        <v>0</v>
      </c>
      <c r="AR13" s="834">
        <f ca="1"/>
        <v>0</v>
      </c>
      <c r="AS13" s="834">
        <f ca="1"/>
        <v>0</v>
      </c>
      <c r="AT13" s="834">
        <f ca="1"/>
        <v>0</v>
      </c>
      <c r="AU13" s="834">
        <f ca="1"/>
        <v>0</v>
      </c>
      <c r="AV13" s="834">
        <f ca="1"/>
        <v>0</v>
      </c>
      <c r="AW13" s="834">
        <f ca="1"/>
        <v>0</v>
      </c>
      <c r="AX13" s="834">
        <f ca="1"/>
        <v>0</v>
      </c>
      <c r="AY13" s="834">
        <f ca="1"/>
        <v>0</v>
      </c>
      <c r="AZ13" s="834">
        <f ca="1"/>
        <v>0</v>
      </c>
      <c r="BA13" s="834">
        <f ca="1"/>
        <v>0</v>
      </c>
      <c r="BB13" s="834">
        <f ca="1"/>
        <v>0</v>
      </c>
      <c r="BC13" s="834">
        <f ca="1"/>
        <v>0</v>
      </c>
      <c r="BD13" s="834">
        <f ca="1"/>
        <v>0</v>
      </c>
      <c r="BE13" s="834" t="e">
        <f ca="1"/>
        <v>#N/A</v>
      </c>
      <c r="BF13" s="834" t="e">
        <f ca="1"/>
        <v>#N/A</v>
      </c>
      <c r="BG13" s="834" t="e">
        <f ca="1"/>
        <v>#N/A</v>
      </c>
      <c r="BH13" s="834" t="e">
        <f ca="1"/>
        <v>#N/A</v>
      </c>
      <c r="BI13" s="834" t="e">
        <f ca="1"/>
        <v>#N/A</v>
      </c>
      <c r="BJ13" s="834" t="e">
        <f ca="1"/>
        <v>#N/A</v>
      </c>
      <c r="BK13" s="834" t="e">
        <f ca="1"/>
        <v>#N/A</v>
      </c>
      <c r="BL13" s="834" t="e">
        <f ca="1"/>
        <v>#N/A</v>
      </c>
      <c r="BM13" s="834" t="e">
        <f ca="1"/>
        <v>#N/A</v>
      </c>
      <c r="BN13" s="834" t="e">
        <f ca="1"/>
        <v>#N/A</v>
      </c>
      <c r="BO13" s="834" t="e">
        <f ca="1"/>
        <v>#N/A</v>
      </c>
      <c r="BP13" s="834" t="e">
        <f ca="1"/>
        <v>#N/A</v>
      </c>
      <c r="BQ13" s="834" t="e">
        <f ca="1"/>
        <v>#N/A</v>
      </c>
      <c r="BR13" s="834" t="e">
        <f ca="1"/>
        <v>#N/A</v>
      </c>
      <c r="BS13" s="834" t="e">
        <f ca="1"/>
        <v>#N/A</v>
      </c>
      <c r="BT13" s="834" t="e">
        <f ca="1"/>
        <v>#N/A</v>
      </c>
      <c r="BU13" s="834" t="e">
        <f ca="1"/>
        <v>#N/A</v>
      </c>
    </row>
    <row r="14" spans="1:73">
      <c r="A14" s="835" t="str">
        <f>A13&amp;" name"</f>
        <v>Gifu name</v>
      </c>
      <c r="B14" s="834" t="str">
        <f ca="1"/>
        <v>Opponent Shooting Attempts</v>
      </c>
      <c r="C14" s="834" t="str">
        <f ca="1"/>
        <v>Shooting on Target</v>
      </c>
      <c r="D14" s="834" t="str">
        <f ca="1"/>
        <v>Opponent Shooting on Target</v>
      </c>
      <c r="E14" s="834" t="str">
        <f ca="1"/>
        <v>Possession</v>
      </c>
      <c r="F14" s="834" t="str">
        <f ca="1"/>
        <v>Opponent Possession</v>
      </c>
      <c r="G14" s="834" t="str">
        <f ca="1"/>
        <v>Lineup</v>
      </c>
      <c r="H14" s="834" t="str">
        <f ca="1"/>
        <v>Goal Check</v>
      </c>
      <c r="I14" s="834" t="str">
        <f ca="1"/>
        <v>Sub Up-Down</v>
      </c>
      <c r="J14" s="834" t="str">
        <f ca="1"/>
        <v>Player Count</v>
      </c>
      <c r="K14" s="834" t="str">
        <f ca="1"/>
        <v>Satoshi Tokizawa</v>
      </c>
      <c r="L14" s="834" t="str">
        <f ca="1"/>
        <v>Yoshinari Takagi</v>
      </c>
      <c r="M14" s="834" t="str">
        <f ca="1"/>
        <v>Víctor Ibáñez</v>
      </c>
      <c r="N14" s="834" t="str">
        <f ca="1"/>
        <v>Masanori Abe</v>
      </c>
      <c r="O14" s="834" t="str">
        <f ca="1"/>
        <v>Masaya Tashiro</v>
      </c>
      <c r="P14" s="834" t="str">
        <f ca="1"/>
        <v>Kentaro Kai</v>
      </c>
      <c r="Q14" s="834" t="str">
        <f ca="1"/>
        <v>Takayuki Fukumura</v>
      </c>
      <c r="R14" s="834" t="str">
        <f ca="1"/>
        <v>Yuki OMOTO</v>
      </c>
      <c r="S14" s="834" t="str">
        <f ca="1"/>
        <v>Jun Suzuki</v>
      </c>
      <c r="T14" s="834" t="str">
        <f ca="1"/>
        <v>Go Iwase</v>
      </c>
      <c r="U14" s="834" t="str">
        <f ca="1"/>
        <v>Henik</v>
      </c>
      <c r="V14" s="834" t="str">
        <f ca="1"/>
        <v>Tsubasa Aoki</v>
      </c>
      <c r="W14" s="834" t="str">
        <f ca="1"/>
        <v>Sisinio</v>
      </c>
      <c r="X14" s="834" t="str">
        <f ca="1"/>
        <v>Paulo Junichi Tanaka</v>
      </c>
      <c r="Y14" s="834" t="str">
        <f ca="1"/>
        <v>Hideyuki Nozawa</v>
      </c>
      <c r="Z14" s="834" t="str">
        <f ca="1"/>
        <v>Yoshihiro Shoji</v>
      </c>
      <c r="AA14" s="834" t="str">
        <f ca="1"/>
        <v>Daiki Tamori</v>
      </c>
      <c r="AB14" s="834" t="str">
        <f ca="1"/>
        <v>Kohei YAMADA</v>
      </c>
      <c r="AC14" s="834" t="str">
        <f ca="1"/>
        <v>Yuto Ono</v>
      </c>
      <c r="AD14" s="834" t="str">
        <f ca="1"/>
        <v>Yushi Nagashima</v>
      </c>
      <c r="AE14" s="834" t="str">
        <f ca="1"/>
        <v>CRISTIAN</v>
      </c>
      <c r="AF14" s="834" t="str">
        <f ca="1"/>
        <v>Kensei NAKASHIMA</v>
      </c>
      <c r="AG14" s="834" t="str">
        <f ca="1"/>
        <v>Kyogo FURUHASHI</v>
      </c>
      <c r="AH14" s="834" t="str">
        <f ca="1"/>
        <v>Ryo Takiya</v>
      </c>
      <c r="AI14" s="834" t="str">
        <f ca="1"/>
        <v>Kento YABUUCHI</v>
      </c>
      <c r="AJ14" s="834" t="str">
        <f ca="1"/>
        <v>Hiroaki Namba</v>
      </c>
      <c r="AK14" s="834" t="str">
        <f ca="1"/>
        <v>Koya Kazama</v>
      </c>
      <c r="AL14" s="834">
        <f ca="1"/>
        <v>0</v>
      </c>
      <c r="AM14" s="834">
        <f ca="1"/>
        <v>0</v>
      </c>
      <c r="AN14" s="834">
        <f ca="1"/>
        <v>0</v>
      </c>
      <c r="AO14" s="834">
        <f ca="1"/>
        <v>0</v>
      </c>
      <c r="AP14" s="834">
        <f ca="1"/>
        <v>0</v>
      </c>
      <c r="AQ14" s="834">
        <f ca="1"/>
        <v>0</v>
      </c>
      <c r="AR14" s="834">
        <f ca="1"/>
        <v>0</v>
      </c>
      <c r="AS14" s="834">
        <f ca="1"/>
        <v>0</v>
      </c>
      <c r="AT14" s="834">
        <f ca="1"/>
        <v>0</v>
      </c>
      <c r="AU14" s="834">
        <f ca="1"/>
        <v>0</v>
      </c>
      <c r="AV14" s="834">
        <f ca="1"/>
        <v>0</v>
      </c>
      <c r="AW14" s="834">
        <f ca="1"/>
        <v>0</v>
      </c>
      <c r="AX14" s="834">
        <f ca="1"/>
        <v>0</v>
      </c>
      <c r="AY14" s="834">
        <f ca="1"/>
        <v>0</v>
      </c>
      <c r="AZ14" s="834">
        <f ca="1"/>
        <v>0</v>
      </c>
      <c r="BA14" s="834">
        <f ca="1"/>
        <v>0</v>
      </c>
      <c r="BB14" s="834">
        <f ca="1"/>
        <v>0</v>
      </c>
      <c r="BC14" s="834">
        <f ca="1"/>
        <v>0</v>
      </c>
      <c r="BD14" s="834">
        <f ca="1"/>
        <v>0</v>
      </c>
      <c r="BE14" s="834" t="e">
        <f ca="1"/>
        <v>#N/A</v>
      </c>
      <c r="BF14" s="834" t="e">
        <f ca="1"/>
        <v>#N/A</v>
      </c>
      <c r="BG14" s="834" t="e">
        <f ca="1"/>
        <v>#N/A</v>
      </c>
      <c r="BH14" s="834" t="e">
        <f ca="1"/>
        <v>#N/A</v>
      </c>
      <c r="BI14" s="834" t="e">
        <f ca="1"/>
        <v>#N/A</v>
      </c>
      <c r="BJ14" s="834" t="e">
        <f ca="1"/>
        <v>#N/A</v>
      </c>
      <c r="BK14" s="834" t="e">
        <f ca="1"/>
        <v>#N/A</v>
      </c>
      <c r="BL14" s="834" t="e">
        <f ca="1"/>
        <v>#N/A</v>
      </c>
      <c r="BM14" s="834" t="e">
        <f ca="1"/>
        <v>#N/A</v>
      </c>
      <c r="BN14" s="834" t="e">
        <f ca="1"/>
        <v>#N/A</v>
      </c>
      <c r="BO14" s="834" t="e">
        <f ca="1"/>
        <v>#N/A</v>
      </c>
      <c r="BP14" s="834" t="e">
        <f ca="1"/>
        <v>#N/A</v>
      </c>
      <c r="BQ14" s="834" t="e">
        <f ca="1"/>
        <v>#N/A</v>
      </c>
      <c r="BR14" s="834" t="e">
        <f ca="1"/>
        <v>#N/A</v>
      </c>
      <c r="BS14" s="834" t="e">
        <f ca="1"/>
        <v>#N/A</v>
      </c>
      <c r="BT14" s="834" t="e">
        <f ca="1"/>
        <v>#N/A</v>
      </c>
      <c r="BU14" s="834" t="e">
        <f ca="1"/>
        <v>#N/A</v>
      </c>
    </row>
    <row r="15" spans="1:73">
      <c r="A15" s="835" t="str">
        <f>A13&amp;" num"</f>
        <v>Gifu num</v>
      </c>
      <c r="B15" s="834">
        <f ca="1"/>
        <v>0</v>
      </c>
      <c r="C15" s="834">
        <f ca="1"/>
        <v>0</v>
      </c>
      <c r="D15" s="834">
        <f ca="1"/>
        <v>0</v>
      </c>
      <c r="E15" s="834">
        <f ca="1"/>
        <v>0</v>
      </c>
      <c r="F15" s="834">
        <f ca="1"/>
        <v>0</v>
      </c>
      <c r="G15" s="834">
        <f ca="1"/>
        <v>0</v>
      </c>
      <c r="H15" s="834">
        <f ca="1"/>
        <v>0</v>
      </c>
      <c r="I15" s="834">
        <f ca="1"/>
        <v>0</v>
      </c>
      <c r="J15" s="834">
        <f ca="1"/>
        <v>0</v>
      </c>
      <c r="K15" s="834" t="str">
        <f ca="1"/>
        <v>常澤　聡</v>
      </c>
      <c r="L15" s="834" t="str">
        <f ca="1"/>
        <v>高木　義成</v>
      </c>
      <c r="M15" s="834" t="str">
        <f ca="1"/>
        <v>ビクトル</v>
      </c>
      <c r="N15" s="834" t="str">
        <f ca="1"/>
        <v>阿部　正紀</v>
      </c>
      <c r="O15" s="834" t="str">
        <f ca="1"/>
        <v>田代　雅也</v>
      </c>
      <c r="P15" s="834" t="str">
        <f ca="1"/>
        <v>甲斐　健太郎</v>
      </c>
      <c r="Q15" s="834" t="str">
        <f ca="1"/>
        <v>福村　貴幸</v>
      </c>
      <c r="R15" s="834" t="str">
        <f ca="1"/>
        <v>大本　祐槻</v>
      </c>
      <c r="S15" s="834" t="str">
        <f ca="1"/>
        <v>鈴木　潤</v>
      </c>
      <c r="T15" s="834" t="str">
        <f ca="1"/>
        <v>磐瀬　剛</v>
      </c>
      <c r="U15" s="834" t="str">
        <f ca="1"/>
        <v>ヘニキ</v>
      </c>
      <c r="V15" s="834" t="str">
        <f ca="1"/>
        <v>青木　翼</v>
      </c>
      <c r="W15" s="834" t="str">
        <f ca="1"/>
        <v>シシーニョ</v>
      </c>
      <c r="X15" s="834" t="str">
        <f ca="1"/>
        <v>田中　パウロ淳一</v>
      </c>
      <c r="Y15" s="834" t="str">
        <f ca="1"/>
        <v>野澤　英之</v>
      </c>
      <c r="Z15" s="834" t="str">
        <f ca="1"/>
        <v>庄司　悦大</v>
      </c>
      <c r="AA15" s="834" t="str">
        <f ca="1"/>
        <v>田森　大己</v>
      </c>
      <c r="AB15" s="834" t="str">
        <f ca="1"/>
        <v>山田　晃平</v>
      </c>
      <c r="AC15" s="834" t="str">
        <f ca="1"/>
        <v>小野　悠斗</v>
      </c>
      <c r="AD15" s="834" t="str">
        <f ca="1"/>
        <v>永島　悠史</v>
      </c>
      <c r="AE15" s="834" t="str">
        <f ca="1"/>
        <v>クリスチャン</v>
      </c>
      <c r="AF15" s="834" t="str">
        <f ca="1"/>
        <v>中島　賢星</v>
      </c>
      <c r="AG15" s="834" t="str">
        <f ca="1"/>
        <v>古橋　亨梧</v>
      </c>
      <c r="AH15" s="834" t="str">
        <f ca="1"/>
        <v>瀧谷　亮</v>
      </c>
      <c r="AI15" s="834" t="str">
        <f ca="1"/>
        <v>薮内　健人</v>
      </c>
      <c r="AJ15" s="834" t="str">
        <f ca="1"/>
        <v>難波　宏明</v>
      </c>
      <c r="AK15" s="834" t="str">
        <f ca="1"/>
        <v>風間　宏矢</v>
      </c>
      <c r="AL15" s="834" t="str">
        <f ca="1"/>
        <v>OG</v>
      </c>
      <c r="AM15" s="834">
        <f ca="1"/>
        <v>0</v>
      </c>
      <c r="AN15" s="834">
        <f ca="1"/>
        <v>0</v>
      </c>
      <c r="AO15" s="834">
        <f ca="1"/>
        <v>0</v>
      </c>
      <c r="AP15" s="834">
        <f ca="1"/>
        <v>0</v>
      </c>
      <c r="AQ15" s="834">
        <f ca="1"/>
        <v>0</v>
      </c>
      <c r="AR15" s="834">
        <f ca="1"/>
        <v>0</v>
      </c>
      <c r="AS15" s="834">
        <f ca="1"/>
        <v>0</v>
      </c>
      <c r="AT15" s="834">
        <f ca="1"/>
        <v>0</v>
      </c>
      <c r="AU15" s="834">
        <f ca="1"/>
        <v>0</v>
      </c>
      <c r="AV15" s="834">
        <f ca="1"/>
        <v>0</v>
      </c>
      <c r="AW15" s="834">
        <f ca="1"/>
        <v>0</v>
      </c>
      <c r="AX15" s="834">
        <f ca="1"/>
        <v>0</v>
      </c>
      <c r="AY15" s="834">
        <f ca="1"/>
        <v>0</v>
      </c>
      <c r="AZ15" s="834">
        <f ca="1"/>
        <v>0</v>
      </c>
      <c r="BA15" s="834">
        <f ca="1"/>
        <v>0</v>
      </c>
      <c r="BB15" s="834">
        <f ca="1"/>
        <v>0</v>
      </c>
      <c r="BC15" s="834">
        <f ca="1"/>
        <v>0</v>
      </c>
      <c r="BD15" s="834">
        <f ca="1"/>
        <v>0</v>
      </c>
      <c r="BE15" s="834" t="e">
        <f ca="1"/>
        <v>#N/A</v>
      </c>
      <c r="BF15" s="834" t="e">
        <f ca="1"/>
        <v>#N/A</v>
      </c>
      <c r="BG15" s="834" t="e">
        <f ca="1"/>
        <v>#N/A</v>
      </c>
      <c r="BH15" s="834" t="e">
        <f ca="1"/>
        <v>#N/A</v>
      </c>
      <c r="BI15" s="834" t="e">
        <f ca="1"/>
        <v>#N/A</v>
      </c>
      <c r="BJ15" s="834" t="e">
        <f ca="1"/>
        <v>#N/A</v>
      </c>
      <c r="BK15" s="834" t="e">
        <f ca="1"/>
        <v>#N/A</v>
      </c>
      <c r="BL15" s="834" t="e">
        <f ca="1"/>
        <v>#N/A</v>
      </c>
      <c r="BM15" s="834" t="e">
        <f ca="1"/>
        <v>#N/A</v>
      </c>
      <c r="BN15" s="834" t="e">
        <f ca="1"/>
        <v>#N/A</v>
      </c>
      <c r="BO15" s="834" t="e">
        <f ca="1"/>
        <v>#N/A</v>
      </c>
      <c r="BP15" s="834" t="e">
        <f ca="1"/>
        <v>#N/A</v>
      </c>
      <c r="BQ15" s="834" t="e">
        <f ca="1"/>
        <v>#N/A</v>
      </c>
      <c r="BR15" s="834" t="e">
        <f ca="1"/>
        <v>#N/A</v>
      </c>
      <c r="BS15" s="834" t="e">
        <f ca="1"/>
        <v>#N/A</v>
      </c>
      <c r="BT15" s="834" t="e">
        <f ca="1"/>
        <v>#N/A</v>
      </c>
      <c r="BU15" s="834" t="e">
        <f ca="1"/>
        <v>#N/A</v>
      </c>
    </row>
    <row r="16" spans="1:73">
      <c r="A16" s="17" t="str">
        <f>Helper!CM6</f>
        <v>GIRAVANZ KITAKYUSHU</v>
      </c>
      <c r="B16" s="834" t="e">
        <f t="array" aca="1" ref="B16:BU18" ca="1">INDIRECT("'"&amp;A16&amp;"'!X19:BZ21")</f>
        <v>#REF!</v>
      </c>
      <c r="C16" s="834" t="e">
        <f ca="1"/>
        <v>#REF!</v>
      </c>
      <c r="D16" s="834" t="e">
        <f ca="1"/>
        <v>#REF!</v>
      </c>
      <c r="E16" s="834" t="e">
        <f ca="1"/>
        <v>#REF!</v>
      </c>
      <c r="F16" s="834" t="e">
        <f ca="1"/>
        <v>#REF!</v>
      </c>
      <c r="G16" s="834" t="e">
        <f ca="1"/>
        <v>#REF!</v>
      </c>
      <c r="H16" s="834" t="e">
        <f ca="1"/>
        <v>#REF!</v>
      </c>
      <c r="I16" s="834" t="e">
        <f ca="1"/>
        <v>#REF!</v>
      </c>
      <c r="J16" s="834" t="e">
        <f ca="1"/>
        <v>#REF!</v>
      </c>
      <c r="K16" s="834" t="e">
        <f ca="1"/>
        <v>#REF!</v>
      </c>
      <c r="L16" s="834" t="e">
        <f ca="1"/>
        <v>#REF!</v>
      </c>
      <c r="M16" s="834" t="e">
        <f ca="1"/>
        <v>#REF!</v>
      </c>
      <c r="N16" s="834" t="e">
        <f ca="1"/>
        <v>#REF!</v>
      </c>
      <c r="O16" s="834" t="e">
        <f ca="1"/>
        <v>#REF!</v>
      </c>
      <c r="P16" s="834" t="e">
        <f ca="1"/>
        <v>#REF!</v>
      </c>
      <c r="Q16" s="834" t="e">
        <f ca="1"/>
        <v>#REF!</v>
      </c>
      <c r="R16" s="834" t="e">
        <f ca="1"/>
        <v>#REF!</v>
      </c>
      <c r="S16" s="834" t="e">
        <f ca="1"/>
        <v>#REF!</v>
      </c>
      <c r="T16" s="834" t="e">
        <f ca="1"/>
        <v>#REF!</v>
      </c>
      <c r="U16" s="834" t="e">
        <f ca="1"/>
        <v>#REF!</v>
      </c>
      <c r="V16" s="834" t="e">
        <f ca="1"/>
        <v>#REF!</v>
      </c>
      <c r="W16" s="834" t="e">
        <f ca="1"/>
        <v>#REF!</v>
      </c>
      <c r="X16" s="834" t="e">
        <f ca="1"/>
        <v>#REF!</v>
      </c>
      <c r="Y16" s="834" t="e">
        <f ca="1"/>
        <v>#REF!</v>
      </c>
      <c r="Z16" s="834" t="e">
        <f ca="1"/>
        <v>#REF!</v>
      </c>
      <c r="AA16" s="834" t="e">
        <f ca="1"/>
        <v>#REF!</v>
      </c>
      <c r="AB16" s="834" t="e">
        <f ca="1"/>
        <v>#REF!</v>
      </c>
      <c r="AC16" s="834" t="e">
        <f ca="1"/>
        <v>#REF!</v>
      </c>
      <c r="AD16" s="834" t="e">
        <f ca="1"/>
        <v>#REF!</v>
      </c>
      <c r="AE16" s="834" t="e">
        <f ca="1"/>
        <v>#REF!</v>
      </c>
      <c r="AF16" s="834" t="e">
        <f ca="1"/>
        <v>#REF!</v>
      </c>
      <c r="AG16" s="834" t="e">
        <f ca="1"/>
        <v>#REF!</v>
      </c>
      <c r="AH16" s="834" t="e">
        <f ca="1"/>
        <v>#REF!</v>
      </c>
      <c r="AI16" s="834" t="e">
        <f ca="1"/>
        <v>#REF!</v>
      </c>
      <c r="AJ16" s="834" t="e">
        <f ca="1"/>
        <v>#REF!</v>
      </c>
      <c r="AK16" s="834" t="e">
        <f ca="1"/>
        <v>#REF!</v>
      </c>
      <c r="AL16" s="834" t="e">
        <f ca="1"/>
        <v>#REF!</v>
      </c>
      <c r="AM16" s="834" t="e">
        <f ca="1"/>
        <v>#REF!</v>
      </c>
      <c r="AN16" s="834" t="e">
        <f ca="1"/>
        <v>#REF!</v>
      </c>
      <c r="AO16" s="834" t="e">
        <f ca="1"/>
        <v>#REF!</v>
      </c>
      <c r="AP16" s="834" t="e">
        <f ca="1"/>
        <v>#REF!</v>
      </c>
      <c r="AQ16" s="834" t="e">
        <f ca="1"/>
        <v>#REF!</v>
      </c>
      <c r="AR16" s="834" t="e">
        <f ca="1"/>
        <v>#REF!</v>
      </c>
      <c r="AS16" s="834" t="e">
        <f ca="1"/>
        <v>#REF!</v>
      </c>
      <c r="AT16" s="834" t="e">
        <f ca="1"/>
        <v>#REF!</v>
      </c>
      <c r="AU16" s="834" t="e">
        <f ca="1"/>
        <v>#REF!</v>
      </c>
      <c r="AV16" s="834" t="e">
        <f ca="1"/>
        <v>#REF!</v>
      </c>
      <c r="AW16" s="834" t="e">
        <f ca="1"/>
        <v>#REF!</v>
      </c>
      <c r="AX16" s="834" t="e">
        <f ca="1"/>
        <v>#REF!</v>
      </c>
      <c r="AY16" s="834" t="e">
        <f ca="1"/>
        <v>#REF!</v>
      </c>
      <c r="AZ16" s="834" t="e">
        <f ca="1"/>
        <v>#REF!</v>
      </c>
      <c r="BA16" s="834" t="e">
        <f ca="1"/>
        <v>#REF!</v>
      </c>
      <c r="BB16" s="834" t="e">
        <f ca="1"/>
        <v>#REF!</v>
      </c>
      <c r="BC16" s="834" t="e">
        <f ca="1"/>
        <v>#REF!</v>
      </c>
      <c r="BD16" s="834" t="e">
        <f ca="1"/>
        <v>#REF!</v>
      </c>
      <c r="BE16" s="834" t="e">
        <f ca="1"/>
        <v>#REF!</v>
      </c>
      <c r="BF16" s="834" t="e">
        <f ca="1"/>
        <v>#REF!</v>
      </c>
      <c r="BG16" s="834" t="e">
        <f ca="1"/>
        <v>#REF!</v>
      </c>
      <c r="BH16" s="834" t="e">
        <f ca="1"/>
        <v>#REF!</v>
      </c>
      <c r="BI16" s="834" t="e">
        <f ca="1"/>
        <v>#REF!</v>
      </c>
      <c r="BJ16" s="834" t="e">
        <f ca="1"/>
        <v>#REF!</v>
      </c>
      <c r="BK16" s="834" t="e">
        <f ca="1"/>
        <v>#REF!</v>
      </c>
      <c r="BL16" s="834" t="e">
        <f ca="1"/>
        <v>#REF!</v>
      </c>
      <c r="BM16" s="834" t="e">
        <f ca="1"/>
        <v>#REF!</v>
      </c>
      <c r="BN16" s="834" t="e">
        <f ca="1"/>
        <v>#REF!</v>
      </c>
      <c r="BO16" s="834" t="e">
        <f ca="1"/>
        <v>#REF!</v>
      </c>
      <c r="BP16" s="834" t="e">
        <f ca="1"/>
        <v>#REF!</v>
      </c>
      <c r="BQ16" s="834" t="e">
        <f ca="1"/>
        <v>#REF!</v>
      </c>
      <c r="BR16" s="834" t="e">
        <f ca="1"/>
        <v>#REF!</v>
      </c>
      <c r="BS16" s="834" t="e">
        <f ca="1"/>
        <v>#REF!</v>
      </c>
      <c r="BT16" s="834" t="e">
        <f ca="1"/>
        <v>#REF!</v>
      </c>
      <c r="BU16" s="834" t="e">
        <f ca="1"/>
        <v>#REF!</v>
      </c>
    </row>
    <row r="17" spans="1:73">
      <c r="A17" s="835" t="str">
        <f>A16&amp;" name"</f>
        <v>GIRAVANZ KITAKYUSHU name</v>
      </c>
      <c r="B17" s="834" t="e">
        <f ca="1"/>
        <v>#REF!</v>
      </c>
      <c r="C17" s="834" t="e">
        <f ca="1"/>
        <v>#REF!</v>
      </c>
      <c r="D17" s="834" t="e">
        <f ca="1"/>
        <v>#REF!</v>
      </c>
      <c r="E17" s="834" t="e">
        <f ca="1"/>
        <v>#REF!</v>
      </c>
      <c r="F17" s="834" t="e">
        <f ca="1"/>
        <v>#REF!</v>
      </c>
      <c r="G17" s="834" t="e">
        <f ca="1"/>
        <v>#REF!</v>
      </c>
      <c r="H17" s="834" t="e">
        <f ca="1"/>
        <v>#REF!</v>
      </c>
      <c r="I17" s="834" t="e">
        <f ca="1"/>
        <v>#REF!</v>
      </c>
      <c r="J17" s="834" t="e">
        <f ca="1"/>
        <v>#REF!</v>
      </c>
      <c r="K17" s="834" t="e">
        <f ca="1"/>
        <v>#REF!</v>
      </c>
      <c r="L17" s="834" t="e">
        <f ca="1"/>
        <v>#REF!</v>
      </c>
      <c r="M17" s="834" t="e">
        <f ca="1"/>
        <v>#REF!</v>
      </c>
      <c r="N17" s="834" t="e">
        <f ca="1"/>
        <v>#REF!</v>
      </c>
      <c r="O17" s="834" t="e">
        <f ca="1"/>
        <v>#REF!</v>
      </c>
      <c r="P17" s="834" t="e">
        <f ca="1"/>
        <v>#REF!</v>
      </c>
      <c r="Q17" s="834" t="e">
        <f ca="1"/>
        <v>#REF!</v>
      </c>
      <c r="R17" s="834" t="e">
        <f ca="1"/>
        <v>#REF!</v>
      </c>
      <c r="S17" s="834" t="e">
        <f ca="1"/>
        <v>#REF!</v>
      </c>
      <c r="T17" s="834" t="e">
        <f ca="1"/>
        <v>#REF!</v>
      </c>
      <c r="U17" s="834" t="e">
        <f ca="1"/>
        <v>#REF!</v>
      </c>
      <c r="V17" s="834" t="e">
        <f ca="1"/>
        <v>#REF!</v>
      </c>
      <c r="W17" s="834" t="e">
        <f ca="1"/>
        <v>#REF!</v>
      </c>
      <c r="X17" s="834" t="e">
        <f ca="1"/>
        <v>#REF!</v>
      </c>
      <c r="Y17" s="834" t="e">
        <f ca="1"/>
        <v>#REF!</v>
      </c>
      <c r="Z17" s="834" t="e">
        <f ca="1"/>
        <v>#REF!</v>
      </c>
      <c r="AA17" s="834" t="e">
        <f ca="1"/>
        <v>#REF!</v>
      </c>
      <c r="AB17" s="834" t="e">
        <f ca="1"/>
        <v>#REF!</v>
      </c>
      <c r="AC17" s="834" t="e">
        <f ca="1"/>
        <v>#REF!</v>
      </c>
      <c r="AD17" s="834" t="e">
        <f ca="1"/>
        <v>#REF!</v>
      </c>
      <c r="AE17" s="834" t="e">
        <f ca="1"/>
        <v>#REF!</v>
      </c>
      <c r="AF17" s="834" t="e">
        <f ca="1"/>
        <v>#REF!</v>
      </c>
      <c r="AG17" s="834" t="e">
        <f ca="1"/>
        <v>#REF!</v>
      </c>
      <c r="AH17" s="834" t="e">
        <f ca="1"/>
        <v>#REF!</v>
      </c>
      <c r="AI17" s="834" t="e">
        <f ca="1"/>
        <v>#REF!</v>
      </c>
      <c r="AJ17" s="834" t="e">
        <f ca="1"/>
        <v>#REF!</v>
      </c>
      <c r="AK17" s="834" t="e">
        <f ca="1"/>
        <v>#REF!</v>
      </c>
      <c r="AL17" s="834" t="e">
        <f ca="1"/>
        <v>#REF!</v>
      </c>
      <c r="AM17" s="834" t="e">
        <f ca="1"/>
        <v>#REF!</v>
      </c>
      <c r="AN17" s="834" t="e">
        <f ca="1"/>
        <v>#REF!</v>
      </c>
      <c r="AO17" s="834" t="e">
        <f ca="1"/>
        <v>#REF!</v>
      </c>
      <c r="AP17" s="834" t="e">
        <f ca="1"/>
        <v>#REF!</v>
      </c>
      <c r="AQ17" s="834" t="e">
        <f ca="1"/>
        <v>#REF!</v>
      </c>
      <c r="AR17" s="834" t="e">
        <f ca="1"/>
        <v>#REF!</v>
      </c>
      <c r="AS17" s="834" t="e">
        <f ca="1"/>
        <v>#REF!</v>
      </c>
      <c r="AT17" s="834" t="e">
        <f ca="1"/>
        <v>#REF!</v>
      </c>
      <c r="AU17" s="834" t="e">
        <f ca="1"/>
        <v>#REF!</v>
      </c>
      <c r="AV17" s="834" t="e">
        <f ca="1"/>
        <v>#REF!</v>
      </c>
      <c r="AW17" s="834" t="e">
        <f ca="1"/>
        <v>#REF!</v>
      </c>
      <c r="AX17" s="834" t="e">
        <f ca="1"/>
        <v>#REF!</v>
      </c>
      <c r="AY17" s="834" t="e">
        <f ca="1"/>
        <v>#REF!</v>
      </c>
      <c r="AZ17" s="834" t="e">
        <f ca="1"/>
        <v>#REF!</v>
      </c>
      <c r="BA17" s="834" t="e">
        <f ca="1"/>
        <v>#REF!</v>
      </c>
      <c r="BB17" s="834" t="e">
        <f ca="1"/>
        <v>#REF!</v>
      </c>
      <c r="BC17" s="834" t="e">
        <f ca="1"/>
        <v>#REF!</v>
      </c>
      <c r="BD17" s="834" t="e">
        <f ca="1"/>
        <v>#REF!</v>
      </c>
      <c r="BE17" s="834" t="e">
        <f ca="1"/>
        <v>#REF!</v>
      </c>
      <c r="BF17" s="834" t="e">
        <f ca="1"/>
        <v>#REF!</v>
      </c>
      <c r="BG17" s="834" t="e">
        <f ca="1"/>
        <v>#REF!</v>
      </c>
      <c r="BH17" s="834" t="e">
        <f ca="1"/>
        <v>#REF!</v>
      </c>
      <c r="BI17" s="834" t="e">
        <f ca="1"/>
        <v>#REF!</v>
      </c>
      <c r="BJ17" s="834" t="e">
        <f ca="1"/>
        <v>#REF!</v>
      </c>
      <c r="BK17" s="834" t="e">
        <f ca="1"/>
        <v>#REF!</v>
      </c>
      <c r="BL17" s="834" t="e">
        <f ca="1"/>
        <v>#REF!</v>
      </c>
      <c r="BM17" s="834" t="e">
        <f ca="1"/>
        <v>#REF!</v>
      </c>
      <c r="BN17" s="834" t="e">
        <f ca="1"/>
        <v>#REF!</v>
      </c>
      <c r="BO17" s="834" t="e">
        <f ca="1"/>
        <v>#REF!</v>
      </c>
      <c r="BP17" s="834" t="e">
        <f ca="1"/>
        <v>#REF!</v>
      </c>
      <c r="BQ17" s="834" t="e">
        <f ca="1"/>
        <v>#REF!</v>
      </c>
      <c r="BR17" s="834" t="e">
        <f ca="1"/>
        <v>#REF!</v>
      </c>
      <c r="BS17" s="834" t="e">
        <f ca="1"/>
        <v>#REF!</v>
      </c>
      <c r="BT17" s="834" t="e">
        <f ca="1"/>
        <v>#REF!</v>
      </c>
      <c r="BU17" s="834" t="e">
        <f ca="1"/>
        <v>#REF!</v>
      </c>
    </row>
    <row r="18" spans="1:73">
      <c r="A18" s="835" t="str">
        <f>A16&amp;" num"</f>
        <v>GIRAVANZ KITAKYUSHU num</v>
      </c>
      <c r="B18" s="834" t="e">
        <f ca="1"/>
        <v>#REF!</v>
      </c>
      <c r="C18" s="834" t="e">
        <f ca="1"/>
        <v>#REF!</v>
      </c>
      <c r="D18" s="834" t="e">
        <f ca="1"/>
        <v>#REF!</v>
      </c>
      <c r="E18" s="834" t="e">
        <f ca="1"/>
        <v>#REF!</v>
      </c>
      <c r="F18" s="834" t="e">
        <f ca="1"/>
        <v>#REF!</v>
      </c>
      <c r="G18" s="834" t="e">
        <f ca="1"/>
        <v>#REF!</v>
      </c>
      <c r="H18" s="834" t="e">
        <f ca="1"/>
        <v>#REF!</v>
      </c>
      <c r="I18" s="834" t="e">
        <f ca="1"/>
        <v>#REF!</v>
      </c>
      <c r="J18" s="834" t="e">
        <f ca="1"/>
        <v>#REF!</v>
      </c>
      <c r="K18" s="834" t="e">
        <f ca="1"/>
        <v>#REF!</v>
      </c>
      <c r="L18" s="834" t="e">
        <f ca="1"/>
        <v>#REF!</v>
      </c>
      <c r="M18" s="834" t="e">
        <f ca="1"/>
        <v>#REF!</v>
      </c>
      <c r="N18" s="834" t="e">
        <f ca="1"/>
        <v>#REF!</v>
      </c>
      <c r="O18" s="834" t="e">
        <f ca="1"/>
        <v>#REF!</v>
      </c>
      <c r="P18" s="834" t="e">
        <f ca="1"/>
        <v>#REF!</v>
      </c>
      <c r="Q18" s="834" t="e">
        <f ca="1"/>
        <v>#REF!</v>
      </c>
      <c r="R18" s="834" t="e">
        <f ca="1"/>
        <v>#REF!</v>
      </c>
      <c r="S18" s="834" t="e">
        <f ca="1"/>
        <v>#REF!</v>
      </c>
      <c r="T18" s="834" t="e">
        <f ca="1"/>
        <v>#REF!</v>
      </c>
      <c r="U18" s="834" t="e">
        <f ca="1"/>
        <v>#REF!</v>
      </c>
      <c r="V18" s="834" t="e">
        <f ca="1"/>
        <v>#REF!</v>
      </c>
      <c r="W18" s="834" t="e">
        <f ca="1"/>
        <v>#REF!</v>
      </c>
      <c r="X18" s="834" t="e">
        <f ca="1"/>
        <v>#REF!</v>
      </c>
      <c r="Y18" s="834" t="e">
        <f ca="1"/>
        <v>#REF!</v>
      </c>
      <c r="Z18" s="834" t="e">
        <f ca="1"/>
        <v>#REF!</v>
      </c>
      <c r="AA18" s="834" t="e">
        <f ca="1"/>
        <v>#REF!</v>
      </c>
      <c r="AB18" s="834" t="e">
        <f ca="1"/>
        <v>#REF!</v>
      </c>
      <c r="AC18" s="834" t="e">
        <f ca="1"/>
        <v>#REF!</v>
      </c>
      <c r="AD18" s="834" t="e">
        <f ca="1"/>
        <v>#REF!</v>
      </c>
      <c r="AE18" s="834" t="e">
        <f ca="1"/>
        <v>#REF!</v>
      </c>
      <c r="AF18" s="834" t="e">
        <f ca="1"/>
        <v>#REF!</v>
      </c>
      <c r="AG18" s="834" t="e">
        <f ca="1"/>
        <v>#REF!</v>
      </c>
      <c r="AH18" s="834" t="e">
        <f ca="1"/>
        <v>#REF!</v>
      </c>
      <c r="AI18" s="834" t="e">
        <f ca="1"/>
        <v>#REF!</v>
      </c>
      <c r="AJ18" s="834" t="e">
        <f ca="1"/>
        <v>#REF!</v>
      </c>
      <c r="AK18" s="834" t="e">
        <f ca="1"/>
        <v>#REF!</v>
      </c>
      <c r="AL18" s="834" t="e">
        <f ca="1"/>
        <v>#REF!</v>
      </c>
      <c r="AM18" s="834" t="e">
        <f ca="1"/>
        <v>#REF!</v>
      </c>
      <c r="AN18" s="834" t="e">
        <f ca="1"/>
        <v>#REF!</v>
      </c>
      <c r="AO18" s="834" t="e">
        <f ca="1"/>
        <v>#REF!</v>
      </c>
      <c r="AP18" s="834" t="e">
        <f ca="1"/>
        <v>#REF!</v>
      </c>
      <c r="AQ18" s="834" t="e">
        <f ca="1"/>
        <v>#REF!</v>
      </c>
      <c r="AR18" s="834" t="e">
        <f ca="1"/>
        <v>#REF!</v>
      </c>
      <c r="AS18" s="834" t="e">
        <f ca="1"/>
        <v>#REF!</v>
      </c>
      <c r="AT18" s="834" t="e">
        <f ca="1"/>
        <v>#REF!</v>
      </c>
      <c r="AU18" s="834" t="e">
        <f ca="1"/>
        <v>#REF!</v>
      </c>
      <c r="AV18" s="834" t="e">
        <f ca="1"/>
        <v>#REF!</v>
      </c>
      <c r="AW18" s="834" t="e">
        <f ca="1"/>
        <v>#REF!</v>
      </c>
      <c r="AX18" s="834" t="e">
        <f ca="1"/>
        <v>#REF!</v>
      </c>
      <c r="AY18" s="834" t="e">
        <f ca="1"/>
        <v>#REF!</v>
      </c>
      <c r="AZ18" s="834" t="e">
        <f ca="1"/>
        <v>#REF!</v>
      </c>
      <c r="BA18" s="834" t="e">
        <f ca="1"/>
        <v>#REF!</v>
      </c>
      <c r="BB18" s="834" t="e">
        <f ca="1"/>
        <v>#REF!</v>
      </c>
      <c r="BC18" s="834" t="e">
        <f ca="1"/>
        <v>#REF!</v>
      </c>
      <c r="BD18" s="834" t="e">
        <f ca="1"/>
        <v>#REF!</v>
      </c>
      <c r="BE18" s="834" t="e">
        <f ca="1"/>
        <v>#REF!</v>
      </c>
      <c r="BF18" s="834" t="e">
        <f ca="1"/>
        <v>#REF!</v>
      </c>
      <c r="BG18" s="834" t="e">
        <f ca="1"/>
        <v>#REF!</v>
      </c>
      <c r="BH18" s="834" t="e">
        <f ca="1"/>
        <v>#REF!</v>
      </c>
      <c r="BI18" s="834" t="e">
        <f ca="1"/>
        <v>#REF!</v>
      </c>
      <c r="BJ18" s="834" t="e">
        <f ca="1"/>
        <v>#REF!</v>
      </c>
      <c r="BK18" s="834" t="e">
        <f ca="1"/>
        <v>#REF!</v>
      </c>
      <c r="BL18" s="834" t="e">
        <f ca="1"/>
        <v>#REF!</v>
      </c>
      <c r="BM18" s="834" t="e">
        <f ca="1"/>
        <v>#REF!</v>
      </c>
      <c r="BN18" s="834" t="e">
        <f ca="1"/>
        <v>#REF!</v>
      </c>
      <c r="BO18" s="834" t="e">
        <f ca="1"/>
        <v>#REF!</v>
      </c>
      <c r="BP18" s="834" t="e">
        <f ca="1"/>
        <v>#REF!</v>
      </c>
      <c r="BQ18" s="834" t="e">
        <f ca="1"/>
        <v>#REF!</v>
      </c>
      <c r="BR18" s="834" t="e">
        <f ca="1"/>
        <v>#REF!</v>
      </c>
      <c r="BS18" s="834" t="e">
        <f ca="1"/>
        <v>#REF!</v>
      </c>
      <c r="BT18" s="834" t="e">
        <f ca="1"/>
        <v>#REF!</v>
      </c>
      <c r="BU18" s="834" t="e">
        <f ca="1"/>
        <v>#REF!</v>
      </c>
    </row>
    <row r="19" spans="1:73">
      <c r="A19" s="17" t="str">
        <f>Helper!CM7</f>
        <v>JEF United</v>
      </c>
      <c r="B19" s="834">
        <f t="array" aca="1" ref="B19:BU21" ca="1">INDIRECT("'"&amp;A19&amp;"'!X19:BZ21")</f>
        <v>0</v>
      </c>
      <c r="C19" s="834" t="str">
        <f ca="1"/>
        <v>射正</v>
      </c>
      <c r="D19" s="834">
        <f ca="1"/>
        <v>0</v>
      </c>
      <c r="E19" s="834" t="str">
        <f ca="1"/>
        <v>控球率</v>
      </c>
      <c r="F19" s="834">
        <f ca="1"/>
        <v>0</v>
      </c>
      <c r="G19" s="834">
        <f ca="1"/>
        <v>0</v>
      </c>
      <c r="H19" s="834">
        <f ca="1"/>
        <v>0</v>
      </c>
      <c r="I19" s="834">
        <f ca="1"/>
        <v>0</v>
      </c>
      <c r="J19" s="834" t="str">
        <f ca="1"/>
        <v>Position</v>
      </c>
      <c r="K19" s="834" t="str">
        <f ca="1"/>
        <v>GK</v>
      </c>
      <c r="L19" s="834" t="str">
        <f ca="1"/>
        <v>GK</v>
      </c>
      <c r="M19" s="834" t="str">
        <f ca="1"/>
        <v>GK</v>
      </c>
      <c r="N19" s="834" t="str">
        <f ca="1"/>
        <v>GK</v>
      </c>
      <c r="O19" s="834" t="str">
        <f ca="1"/>
        <v>GK</v>
      </c>
      <c r="P19" s="834" t="str">
        <f ca="1"/>
        <v>CB</v>
      </c>
      <c r="Q19" s="834" t="str">
        <f ca="1"/>
        <v>RB</v>
      </c>
      <c r="R19" s="834" t="str">
        <f ca="1"/>
        <v>CB</v>
      </c>
      <c r="S19" s="834" t="str">
        <f ca="1"/>
        <v>CB</v>
      </c>
      <c r="T19" s="834" t="str">
        <f ca="1"/>
        <v>CB</v>
      </c>
      <c r="U19" s="834" t="str">
        <f ca="1"/>
        <v>LB</v>
      </c>
      <c r="V19" s="834" t="str">
        <f ca="1"/>
        <v>DF</v>
      </c>
      <c r="W19" s="834" t="str">
        <f ca="1"/>
        <v>DF</v>
      </c>
      <c r="X19" s="834" t="str">
        <f ca="1"/>
        <v>CB</v>
      </c>
      <c r="Y19" s="834" t="str">
        <f ca="1"/>
        <v>DF</v>
      </c>
      <c r="Z19" s="834" t="str">
        <f ca="1"/>
        <v>DF</v>
      </c>
      <c r="AA19" s="834" t="str">
        <f ca="1"/>
        <v>DM</v>
      </c>
      <c r="AB19" s="834" t="str">
        <f ca="1"/>
        <v>CM</v>
      </c>
      <c r="AC19" s="834" t="str">
        <f ca="1"/>
        <v>CM</v>
      </c>
      <c r="AD19" s="834" t="str">
        <f ca="1"/>
        <v>DM</v>
      </c>
      <c r="AE19" s="834" t="str">
        <f ca="1"/>
        <v>LM</v>
      </c>
      <c r="AF19" s="834" t="str">
        <f ca="1"/>
        <v>AM</v>
      </c>
      <c r="AG19" s="834" t="str">
        <f ca="1"/>
        <v>MF</v>
      </c>
      <c r="AH19" s="834" t="str">
        <f ca="1"/>
        <v>AM</v>
      </c>
      <c r="AI19" s="834" t="str">
        <f ca="1"/>
        <v>AM</v>
      </c>
      <c r="AJ19" s="834" t="str">
        <f ca="1"/>
        <v>LM</v>
      </c>
      <c r="AK19" s="834" t="str">
        <f ca="1"/>
        <v>AM</v>
      </c>
      <c r="AL19" s="834" t="str">
        <f ca="1"/>
        <v>FW</v>
      </c>
      <c r="AM19" s="834" t="str">
        <f ca="1"/>
        <v>CF</v>
      </c>
      <c r="AN19" s="834" t="str">
        <f ca="1"/>
        <v>SS</v>
      </c>
      <c r="AO19" s="834" t="str">
        <f ca="1"/>
        <v>CF</v>
      </c>
      <c r="AP19" s="834" t="str">
        <f ca="1"/>
        <v>FW</v>
      </c>
      <c r="AQ19" s="834">
        <f ca="1"/>
        <v>0</v>
      </c>
      <c r="AR19" s="834" t="str">
        <f ca="1"/>
        <v>CB</v>
      </c>
      <c r="AS19" s="834" t="str">
        <f ca="1"/>
        <v>CB</v>
      </c>
      <c r="AT19" s="834" t="str">
        <f ca="1"/>
        <v>FW</v>
      </c>
      <c r="AU19" s="834">
        <f ca="1"/>
        <v>0</v>
      </c>
      <c r="AV19" s="834">
        <f ca="1"/>
        <v>0</v>
      </c>
      <c r="AW19" s="834">
        <f ca="1"/>
        <v>0</v>
      </c>
      <c r="AX19" s="834">
        <f ca="1"/>
        <v>0</v>
      </c>
      <c r="AY19" s="834">
        <f ca="1"/>
        <v>0</v>
      </c>
      <c r="AZ19" s="834">
        <f ca="1"/>
        <v>0</v>
      </c>
      <c r="BA19" s="834">
        <f ca="1"/>
        <v>0</v>
      </c>
      <c r="BB19" s="834">
        <f ca="1"/>
        <v>0</v>
      </c>
      <c r="BC19" s="834">
        <f ca="1"/>
        <v>0</v>
      </c>
      <c r="BD19" s="834">
        <f ca="1"/>
        <v>0</v>
      </c>
      <c r="BE19" s="834" t="e">
        <f ca="1"/>
        <v>#N/A</v>
      </c>
      <c r="BF19" s="834" t="e">
        <f ca="1"/>
        <v>#N/A</v>
      </c>
      <c r="BG19" s="834" t="e">
        <f ca="1"/>
        <v>#N/A</v>
      </c>
      <c r="BH19" s="834" t="e">
        <f ca="1"/>
        <v>#N/A</v>
      </c>
      <c r="BI19" s="834" t="e">
        <f ca="1"/>
        <v>#N/A</v>
      </c>
      <c r="BJ19" s="834" t="e">
        <f ca="1"/>
        <v>#N/A</v>
      </c>
      <c r="BK19" s="834" t="e">
        <f ca="1"/>
        <v>#N/A</v>
      </c>
      <c r="BL19" s="834" t="e">
        <f ca="1"/>
        <v>#N/A</v>
      </c>
      <c r="BM19" s="834" t="e">
        <f ca="1"/>
        <v>#N/A</v>
      </c>
      <c r="BN19" s="834" t="e">
        <f ca="1"/>
        <v>#N/A</v>
      </c>
      <c r="BO19" s="834" t="e">
        <f ca="1"/>
        <v>#N/A</v>
      </c>
      <c r="BP19" s="834" t="e">
        <f ca="1"/>
        <v>#N/A</v>
      </c>
      <c r="BQ19" s="834" t="e">
        <f ca="1"/>
        <v>#N/A</v>
      </c>
      <c r="BR19" s="834" t="e">
        <f ca="1"/>
        <v>#N/A</v>
      </c>
      <c r="BS19" s="834" t="e">
        <f ca="1"/>
        <v>#N/A</v>
      </c>
      <c r="BT19" s="834" t="e">
        <f ca="1"/>
        <v>#N/A</v>
      </c>
      <c r="BU19" s="834" t="e">
        <f ca="1"/>
        <v>#N/A</v>
      </c>
    </row>
    <row r="20" spans="1:73">
      <c r="A20" s="835" t="str">
        <f>A19&amp;" name"</f>
        <v>JEF United name</v>
      </c>
      <c r="B20" s="834" t="str">
        <f ca="1"/>
        <v>Opponent Shooting Attempts</v>
      </c>
      <c r="C20" s="834" t="str">
        <f ca="1"/>
        <v>Shooting on Target</v>
      </c>
      <c r="D20" s="834" t="str">
        <f ca="1"/>
        <v>Opponent Shooting on Target</v>
      </c>
      <c r="E20" s="834" t="str">
        <f ca="1"/>
        <v>Possession</v>
      </c>
      <c r="F20" s="834" t="str">
        <f ca="1"/>
        <v>Opponent Possession</v>
      </c>
      <c r="G20" s="834" t="str">
        <f ca="1"/>
        <v>Lineup</v>
      </c>
      <c r="H20" s="834" t="str">
        <f ca="1"/>
        <v>Goal Check</v>
      </c>
      <c r="I20" s="834" t="str">
        <f ca="1"/>
        <v>Sub Up-Down</v>
      </c>
      <c r="J20" s="834" t="str">
        <f ca="1"/>
        <v>Player Count</v>
      </c>
      <c r="K20" s="834" t="str">
        <f ca="1"/>
        <v>Masahiro Okamoto</v>
      </c>
      <c r="L20" s="834" t="str">
        <f ca="1"/>
        <v>Yuya Sato</v>
      </c>
      <c r="M20" s="834" t="str">
        <f ca="1"/>
        <v>Kaito Yamamoto</v>
      </c>
      <c r="N20" s="834" t="str">
        <f ca="1"/>
        <v>LUIS OJEDA</v>
      </c>
      <c r="O20" s="834" t="str">
        <f ca="1"/>
        <v>Chorufan Ono</v>
      </c>
      <c r="P20" s="834" t="str">
        <f ca="1"/>
        <v>Naoya Kondo</v>
      </c>
      <c r="Q20" s="834" t="str">
        <f ca="1"/>
        <v>Kengo Kitazume</v>
      </c>
      <c r="R20" s="834" t="str">
        <f ca="1"/>
        <v>Atsuto Tatara</v>
      </c>
      <c r="S20" s="834" t="str">
        <f ca="1"/>
        <v>Yuki Okubo</v>
      </c>
      <c r="T20" s="834" t="str">
        <f ca="1"/>
        <v>Masashi Wakasa</v>
      </c>
      <c r="U20" s="834" t="str">
        <f ca="1"/>
        <v>Yusuke Higa</v>
      </c>
      <c r="V20" s="834" t="str">
        <f ca="1"/>
        <v>Jun Okano</v>
      </c>
      <c r="W20" s="834" t="str">
        <f ca="1"/>
        <v>Shohei Abe</v>
      </c>
      <c r="X20" s="834" t="str">
        <f ca="1"/>
        <v>Takaya Inui</v>
      </c>
      <c r="Y20" s="834" t="str">
        <f ca="1"/>
        <v>Yushi MIZOBUCHI</v>
      </c>
      <c r="Z20" s="834" t="str">
        <f ca="1"/>
        <v>KIM Byeom Yong</v>
      </c>
      <c r="AA20" s="834" t="str">
        <f ca="1"/>
        <v>Masaki Yamamoto</v>
      </c>
      <c r="AB20" s="834" t="str">
        <f ca="1"/>
        <v>Yuto Sato</v>
      </c>
      <c r="AC20" s="834" t="str">
        <f ca="1"/>
        <v>Eduardo Aranda</v>
      </c>
      <c r="AD20" s="834" t="str">
        <f ca="1"/>
        <v>Andrew Kumagai</v>
      </c>
      <c r="AE20" s="834" t="str">
        <f ca="1"/>
        <v>Jorge Salinas</v>
      </c>
      <c r="AF20" s="834" t="str">
        <f ca="1"/>
        <v>Naotake Hanyu</v>
      </c>
      <c r="AG20" s="834" t="str">
        <f ca="1"/>
        <v>Issei TAKAHASHI</v>
      </c>
      <c r="AH20" s="834" t="str">
        <f ca="1"/>
        <v>Koki Kiyotake</v>
      </c>
      <c r="AI20" s="834" t="str">
        <f ca="1"/>
        <v>Yamato Machida</v>
      </c>
      <c r="AJ20" s="834" t="str">
        <f ca="1"/>
        <v>Hirotaka Tameda</v>
      </c>
      <c r="AK20" s="834" t="str">
        <f ca="1"/>
        <v>Asahi Yada</v>
      </c>
      <c r="AL20" s="834" t="str">
        <f ca="1"/>
        <v>Hiroshi IBUSUKI</v>
      </c>
      <c r="AM20" s="834" t="str">
        <f ca="1"/>
        <v>Joaquín Larrivey</v>
      </c>
      <c r="AN20" s="834" t="str">
        <f ca="1"/>
        <v>Takayuki Funayama</v>
      </c>
      <c r="AO20" s="834" t="str">
        <f ca="1"/>
        <v>Hiroki Sugajima</v>
      </c>
      <c r="AP20" s="834" t="str">
        <f ca="1"/>
        <v>Daigo FURUKAWA</v>
      </c>
      <c r="AQ20" s="834">
        <f ca="1"/>
        <v>0</v>
      </c>
      <c r="AR20" s="834" t="str">
        <f ca="1"/>
        <v>Dae-Heon Lee</v>
      </c>
      <c r="AS20" s="834" t="str">
        <f ca="1"/>
        <v>Takaharu Nishino</v>
      </c>
      <c r="AT20" s="834" t="str">
        <f ca="1"/>
        <v>Makito Yoshida</v>
      </c>
      <c r="AU20" s="834">
        <f ca="1"/>
        <v>0</v>
      </c>
      <c r="AV20" s="834">
        <f ca="1"/>
        <v>0</v>
      </c>
      <c r="AW20" s="834">
        <f ca="1"/>
        <v>0</v>
      </c>
      <c r="AX20" s="834">
        <f ca="1"/>
        <v>0</v>
      </c>
      <c r="AY20" s="834">
        <f ca="1"/>
        <v>0</v>
      </c>
      <c r="AZ20" s="834">
        <f ca="1"/>
        <v>0</v>
      </c>
      <c r="BA20" s="834">
        <f ca="1"/>
        <v>0</v>
      </c>
      <c r="BB20" s="834">
        <f ca="1"/>
        <v>0</v>
      </c>
      <c r="BC20" s="834">
        <f ca="1"/>
        <v>0</v>
      </c>
      <c r="BD20" s="834">
        <f ca="1"/>
        <v>0</v>
      </c>
      <c r="BE20" s="834" t="e">
        <f ca="1"/>
        <v>#N/A</v>
      </c>
      <c r="BF20" s="834" t="e">
        <f ca="1"/>
        <v>#N/A</v>
      </c>
      <c r="BG20" s="834" t="e">
        <f ca="1"/>
        <v>#N/A</v>
      </c>
      <c r="BH20" s="834" t="e">
        <f ca="1"/>
        <v>#N/A</v>
      </c>
      <c r="BI20" s="834" t="e">
        <f ca="1"/>
        <v>#N/A</v>
      </c>
      <c r="BJ20" s="834" t="e">
        <f ca="1"/>
        <v>#N/A</v>
      </c>
      <c r="BK20" s="834" t="e">
        <f ca="1"/>
        <v>#N/A</v>
      </c>
      <c r="BL20" s="834" t="e">
        <f ca="1"/>
        <v>#N/A</v>
      </c>
      <c r="BM20" s="834" t="e">
        <f ca="1"/>
        <v>#N/A</v>
      </c>
      <c r="BN20" s="834" t="e">
        <f ca="1"/>
        <v>#N/A</v>
      </c>
      <c r="BO20" s="834" t="e">
        <f ca="1"/>
        <v>#N/A</v>
      </c>
      <c r="BP20" s="834" t="e">
        <f ca="1"/>
        <v>#N/A</v>
      </c>
      <c r="BQ20" s="834" t="e">
        <f ca="1"/>
        <v>#N/A</v>
      </c>
      <c r="BR20" s="834" t="e">
        <f ca="1"/>
        <v>#N/A</v>
      </c>
      <c r="BS20" s="834" t="e">
        <f ca="1"/>
        <v>#N/A</v>
      </c>
      <c r="BT20" s="834" t="e">
        <f ca="1"/>
        <v>#N/A</v>
      </c>
      <c r="BU20" s="834" t="e">
        <f ca="1"/>
        <v>#N/A</v>
      </c>
    </row>
    <row r="21" spans="1:73">
      <c r="A21" s="835" t="str">
        <f>A19&amp;" num"</f>
        <v>JEF United num</v>
      </c>
      <c r="B21" s="834">
        <f ca="1"/>
        <v>0</v>
      </c>
      <c r="C21" s="834">
        <f ca="1"/>
        <v>0</v>
      </c>
      <c r="D21" s="834">
        <f ca="1"/>
        <v>0</v>
      </c>
      <c r="E21" s="834">
        <f ca="1"/>
        <v>0</v>
      </c>
      <c r="F21" s="834">
        <f ca="1"/>
        <v>0</v>
      </c>
      <c r="G21" s="834">
        <f ca="1"/>
        <v>0</v>
      </c>
      <c r="H21" s="834">
        <f ca="1"/>
        <v>0</v>
      </c>
      <c r="I21" s="834">
        <f ca="1"/>
        <v>0</v>
      </c>
      <c r="J21" s="834">
        <f ca="1"/>
        <v>0</v>
      </c>
      <c r="K21" s="834" t="str">
        <f ca="1"/>
        <v>岡本　昌弘</v>
      </c>
      <c r="L21" s="834" t="str">
        <f ca="1"/>
        <v>佐藤　優也</v>
      </c>
      <c r="M21" s="834" t="str">
        <f ca="1"/>
        <v>山本　海人</v>
      </c>
      <c r="N21" s="834" t="str">
        <f ca="1"/>
        <v>ルイス　オヘーダ</v>
      </c>
      <c r="O21" s="834" t="str">
        <f ca="1"/>
        <v>大野　哲煥</v>
      </c>
      <c r="P21" s="834" t="str">
        <f ca="1"/>
        <v>近藤　直也</v>
      </c>
      <c r="Q21" s="834" t="str">
        <f ca="1"/>
        <v>北爪　健吾</v>
      </c>
      <c r="R21" s="834" t="str">
        <f ca="1"/>
        <v>多々良　敦斗</v>
      </c>
      <c r="S21" s="834" t="str">
        <f ca="1"/>
        <v>大久保　裕樹</v>
      </c>
      <c r="T21" s="834" t="str">
        <f ca="1"/>
        <v>若狭　大志</v>
      </c>
      <c r="U21" s="834" t="str">
        <f ca="1"/>
        <v>比嘉　祐介</v>
      </c>
      <c r="V21" s="834" t="str">
        <f ca="1"/>
        <v>岡野　洵</v>
      </c>
      <c r="W21" s="834" t="str">
        <f ca="1"/>
        <v>阿部　翔平</v>
      </c>
      <c r="X21" s="834" t="str">
        <f ca="1"/>
        <v>乾　貴哉</v>
      </c>
      <c r="Y21" s="834" t="str">
        <f ca="1"/>
        <v>溝渕　雄志</v>
      </c>
      <c r="Z21" s="834" t="str">
        <f ca="1"/>
        <v>キム　ボムヨン</v>
      </c>
      <c r="AA21" s="834" t="str">
        <f ca="1"/>
        <v>山本　真希</v>
      </c>
      <c r="AB21" s="834" t="str">
        <f ca="1"/>
        <v>佐藤　勇人</v>
      </c>
      <c r="AC21" s="834" t="str">
        <f ca="1"/>
        <v>アランダ</v>
      </c>
      <c r="AD21" s="834" t="str">
        <f ca="1"/>
        <v>熊谷　アンドリュー</v>
      </c>
      <c r="AE21" s="834" t="str">
        <f ca="1"/>
        <v>ホルヘ　サリーナス</v>
      </c>
      <c r="AF21" s="834" t="str">
        <f ca="1"/>
        <v>羽生　直剛</v>
      </c>
      <c r="AG21" s="834" t="str">
        <f ca="1"/>
        <v>髙橋　壱晟</v>
      </c>
      <c r="AH21" s="834" t="str">
        <f ca="1"/>
        <v>清武　功暉</v>
      </c>
      <c r="AI21" s="834" t="str">
        <f ca="1"/>
        <v>町田　也真人</v>
      </c>
      <c r="AJ21" s="834" t="str">
        <f ca="1"/>
        <v>為田　大貴</v>
      </c>
      <c r="AK21" s="834" t="str">
        <f ca="1"/>
        <v>矢田　旭</v>
      </c>
      <c r="AL21" s="834" t="str">
        <f ca="1"/>
        <v>指宿　洋史</v>
      </c>
      <c r="AM21" s="834" t="str">
        <f ca="1"/>
        <v>ラリベイ</v>
      </c>
      <c r="AN21" s="834" t="str">
        <f ca="1"/>
        <v>船山　貴之</v>
      </c>
      <c r="AO21" s="834" t="str">
        <f ca="1"/>
        <v>菅嶋　弘希</v>
      </c>
      <c r="AP21" s="834" t="str">
        <f ca="1"/>
        <v>古川　大悟</v>
      </c>
      <c r="AQ21" s="834">
        <f ca="1"/>
        <v>0</v>
      </c>
      <c r="AR21" s="834" t="str">
        <f ca="1"/>
        <v>イ　ジュヨン</v>
      </c>
      <c r="AS21" s="834" t="str">
        <f ca="1"/>
        <v>西野　貴治</v>
      </c>
      <c r="AT21" s="834" t="str">
        <f ca="1"/>
        <v>吉田　眞紀人</v>
      </c>
      <c r="AU21" s="834">
        <f ca="1"/>
        <v>0</v>
      </c>
      <c r="AV21" s="834">
        <f ca="1"/>
        <v>0</v>
      </c>
      <c r="AW21" s="834">
        <f ca="1"/>
        <v>0</v>
      </c>
      <c r="AX21" s="834">
        <f ca="1"/>
        <v>0</v>
      </c>
      <c r="AY21" s="834">
        <f ca="1"/>
        <v>0</v>
      </c>
      <c r="AZ21" s="834">
        <f ca="1"/>
        <v>0</v>
      </c>
      <c r="BA21" s="834">
        <f ca="1"/>
        <v>0</v>
      </c>
      <c r="BB21" s="834">
        <f ca="1"/>
        <v>0</v>
      </c>
      <c r="BC21" s="834">
        <f ca="1"/>
        <v>0</v>
      </c>
      <c r="BD21" s="834">
        <f ca="1"/>
        <v>0</v>
      </c>
      <c r="BE21" s="834" t="e">
        <f ca="1"/>
        <v>#N/A</v>
      </c>
      <c r="BF21" s="834" t="e">
        <f ca="1"/>
        <v>#N/A</v>
      </c>
      <c r="BG21" s="834" t="e">
        <f ca="1"/>
        <v>#N/A</v>
      </c>
      <c r="BH21" s="834" t="e">
        <f ca="1"/>
        <v>#N/A</v>
      </c>
      <c r="BI21" s="834" t="e">
        <f ca="1"/>
        <v>#N/A</v>
      </c>
      <c r="BJ21" s="834" t="e">
        <f ca="1"/>
        <v>#N/A</v>
      </c>
      <c r="BK21" s="834" t="e">
        <f ca="1"/>
        <v>#N/A</v>
      </c>
      <c r="BL21" s="834" t="e">
        <f ca="1"/>
        <v>#N/A</v>
      </c>
      <c r="BM21" s="834" t="e">
        <f ca="1"/>
        <v>#N/A</v>
      </c>
      <c r="BN21" s="834" t="e">
        <f ca="1"/>
        <v>#N/A</v>
      </c>
      <c r="BO21" s="834" t="e">
        <f ca="1"/>
        <v>#N/A</v>
      </c>
      <c r="BP21" s="834" t="e">
        <f ca="1"/>
        <v>#N/A</v>
      </c>
      <c r="BQ21" s="834" t="e">
        <f ca="1"/>
        <v>#N/A</v>
      </c>
      <c r="BR21" s="834" t="e">
        <f ca="1"/>
        <v>#N/A</v>
      </c>
      <c r="BS21" s="834" t="e">
        <f ca="1"/>
        <v>#N/A</v>
      </c>
      <c r="BT21" s="834" t="e">
        <f ca="1"/>
        <v>#N/A</v>
      </c>
      <c r="BU21" s="834" t="e">
        <f ca="1"/>
        <v>#N/A</v>
      </c>
    </row>
    <row r="22" spans="1:73">
      <c r="A22" s="17" t="str">
        <f>Helper!CM8</f>
        <v>Kamatamare Sanuki</v>
      </c>
      <c r="B22" s="834">
        <f t="array" aca="1" ref="B22:BU24" ca="1">INDIRECT("'"&amp;A22&amp;"'!X19:BZ21")</f>
        <v>0</v>
      </c>
      <c r="C22" s="834" t="str">
        <f ca="1"/>
        <v>射正</v>
      </c>
      <c r="D22" s="834">
        <f ca="1"/>
        <v>0</v>
      </c>
      <c r="E22" s="834" t="str">
        <f ca="1"/>
        <v>控球率</v>
      </c>
      <c r="F22" s="834">
        <f ca="1"/>
        <v>0</v>
      </c>
      <c r="G22" s="834">
        <f ca="1"/>
        <v>0</v>
      </c>
      <c r="H22" s="834">
        <f ca="1"/>
        <v>0</v>
      </c>
      <c r="I22" s="834">
        <f ca="1"/>
        <v>0</v>
      </c>
      <c r="J22" s="834" t="str">
        <f ca="1"/>
        <v>Position</v>
      </c>
      <c r="K22" s="834" t="str">
        <f ca="1"/>
        <v>GK</v>
      </c>
      <c r="L22" s="834" t="str">
        <f ca="1"/>
        <v>GK</v>
      </c>
      <c r="M22" s="834" t="str">
        <f ca="1"/>
        <v>GK</v>
      </c>
      <c r="N22" s="834" t="str">
        <f ca="1"/>
        <v>CB</v>
      </c>
      <c r="O22" s="834" t="str">
        <f ca="1"/>
        <v>LB</v>
      </c>
      <c r="P22" s="834" t="str">
        <f ca="1"/>
        <v>RB</v>
      </c>
      <c r="Q22" s="834" t="str">
        <f ca="1"/>
        <v>DF</v>
      </c>
      <c r="R22" s="834" t="str">
        <f ca="1"/>
        <v>CB</v>
      </c>
      <c r="S22" s="834" t="str">
        <f ca="1"/>
        <v>RB</v>
      </c>
      <c r="T22" s="834" t="str">
        <f ca="1"/>
        <v>DF</v>
      </c>
      <c r="U22" s="834" t="str">
        <f ca="1"/>
        <v>DF</v>
      </c>
      <c r="V22" s="834" t="str">
        <f ca="1"/>
        <v>DF</v>
      </c>
      <c r="W22" s="834" t="str">
        <f ca="1"/>
        <v>CB</v>
      </c>
      <c r="X22" s="834" t="str">
        <f ca="1"/>
        <v>DM</v>
      </c>
      <c r="Y22" s="834" t="str">
        <f ca="1"/>
        <v>AM</v>
      </c>
      <c r="Z22" s="834" t="str">
        <f ca="1"/>
        <v>DM</v>
      </c>
      <c r="AA22" s="834" t="str">
        <f ca="1"/>
        <v>MF</v>
      </c>
      <c r="AB22" s="834" t="str">
        <f ca="1"/>
        <v>CM</v>
      </c>
      <c r="AC22" s="834" t="str">
        <f ca="1"/>
        <v>MF</v>
      </c>
      <c r="AD22" s="834" t="str">
        <f ca="1"/>
        <v>CM</v>
      </c>
      <c r="AE22" s="834" t="str">
        <f ca="1"/>
        <v>AM</v>
      </c>
      <c r="AF22" s="834" t="str">
        <f ca="1"/>
        <v>CF</v>
      </c>
      <c r="AG22" s="834" t="str">
        <f ca="1"/>
        <v>RW</v>
      </c>
      <c r="AH22" s="834" t="str">
        <f ca="1"/>
        <v>RW</v>
      </c>
      <c r="AI22" s="834" t="str">
        <f ca="1"/>
        <v>RW</v>
      </c>
      <c r="AJ22" s="834" t="str">
        <f ca="1"/>
        <v>LW</v>
      </c>
      <c r="AK22" s="834" t="str">
        <f ca="1"/>
        <v>CF</v>
      </c>
      <c r="AL22" s="834" t="str">
        <f ca="1"/>
        <v>SS</v>
      </c>
      <c r="AM22" s="834" t="str">
        <f ca="1"/>
        <v>CF</v>
      </c>
      <c r="AN22" s="834" t="str">
        <f ca="1"/>
        <v>FW</v>
      </c>
      <c r="AO22" s="834" t="str">
        <f ca="1"/>
        <v>FW</v>
      </c>
      <c r="AP22" s="834" t="str">
        <f ca="1"/>
        <v>SS</v>
      </c>
      <c r="AQ22" s="834">
        <f ca="1"/>
        <v>0</v>
      </c>
      <c r="AR22" s="834">
        <f ca="1"/>
        <v>0</v>
      </c>
      <c r="AS22" s="834">
        <f ca="1"/>
        <v>0</v>
      </c>
      <c r="AT22" s="834">
        <f ca="1"/>
        <v>0</v>
      </c>
      <c r="AU22" s="834">
        <f ca="1"/>
        <v>0</v>
      </c>
      <c r="AV22" s="834">
        <f ca="1"/>
        <v>0</v>
      </c>
      <c r="AW22" s="834">
        <f ca="1"/>
        <v>0</v>
      </c>
      <c r="AX22" s="834">
        <f ca="1"/>
        <v>0</v>
      </c>
      <c r="AY22" s="834">
        <f ca="1"/>
        <v>0</v>
      </c>
      <c r="AZ22" s="834">
        <f ca="1"/>
        <v>0</v>
      </c>
      <c r="BA22" s="834">
        <f ca="1"/>
        <v>0</v>
      </c>
      <c r="BB22" s="834">
        <f ca="1"/>
        <v>0</v>
      </c>
      <c r="BC22" s="834">
        <f ca="1"/>
        <v>0</v>
      </c>
      <c r="BD22" s="834">
        <f ca="1"/>
        <v>0</v>
      </c>
      <c r="BE22" s="834" t="e">
        <f ca="1"/>
        <v>#N/A</v>
      </c>
      <c r="BF22" s="834" t="e">
        <f ca="1"/>
        <v>#N/A</v>
      </c>
      <c r="BG22" s="834" t="e">
        <f ca="1"/>
        <v>#N/A</v>
      </c>
      <c r="BH22" s="834" t="e">
        <f ca="1"/>
        <v>#N/A</v>
      </c>
      <c r="BI22" s="834" t="e">
        <f ca="1"/>
        <v>#N/A</v>
      </c>
      <c r="BJ22" s="834" t="e">
        <f ca="1"/>
        <v>#N/A</v>
      </c>
      <c r="BK22" s="834" t="e">
        <f ca="1"/>
        <v>#N/A</v>
      </c>
      <c r="BL22" s="834" t="e">
        <f ca="1"/>
        <v>#N/A</v>
      </c>
      <c r="BM22" s="834" t="e">
        <f ca="1"/>
        <v>#N/A</v>
      </c>
      <c r="BN22" s="834" t="e">
        <f ca="1"/>
        <v>#N/A</v>
      </c>
      <c r="BO22" s="834" t="e">
        <f ca="1"/>
        <v>#N/A</v>
      </c>
      <c r="BP22" s="834" t="e">
        <f ca="1"/>
        <v>#N/A</v>
      </c>
      <c r="BQ22" s="834" t="e">
        <f ca="1"/>
        <v>#N/A</v>
      </c>
      <c r="BR22" s="834" t="e">
        <f ca="1"/>
        <v>#N/A</v>
      </c>
      <c r="BS22" s="834" t="e">
        <f ca="1"/>
        <v>#N/A</v>
      </c>
      <c r="BT22" s="834" t="e">
        <f ca="1"/>
        <v>#N/A</v>
      </c>
      <c r="BU22" s="834" t="e">
        <f ca="1"/>
        <v>#N/A</v>
      </c>
    </row>
    <row r="23" spans="1:73">
      <c r="A23" s="835" t="str">
        <f>A22&amp;" name"</f>
        <v>Kamatamare Sanuki name</v>
      </c>
      <c r="B23" s="834" t="str">
        <f ca="1"/>
        <v>Opponent Shooting Attempts</v>
      </c>
      <c r="C23" s="834" t="str">
        <f ca="1"/>
        <v>Shooting on Target</v>
      </c>
      <c r="D23" s="834" t="str">
        <f ca="1"/>
        <v>Opponent Shooting on Target</v>
      </c>
      <c r="E23" s="834" t="str">
        <f ca="1"/>
        <v>Possession</v>
      </c>
      <c r="F23" s="834" t="str">
        <f ca="1"/>
        <v>Opponent Possession</v>
      </c>
      <c r="G23" s="834" t="str">
        <f ca="1"/>
        <v>Lineup</v>
      </c>
      <c r="H23" s="834" t="str">
        <f ca="1"/>
        <v>Goal Check</v>
      </c>
      <c r="I23" s="834" t="str">
        <f ca="1"/>
        <v>Sub Up-Down</v>
      </c>
      <c r="J23" s="834" t="str">
        <f ca="1"/>
        <v>Player Count</v>
      </c>
      <c r="K23" s="834" t="str">
        <f ca="1"/>
        <v>Kenta Shimizu</v>
      </c>
      <c r="L23" s="834" t="str">
        <f ca="1"/>
        <v>Shuhei Matsubara</v>
      </c>
      <c r="M23" s="834" t="str">
        <f ca="1"/>
        <v>Takuya Seguchi</v>
      </c>
      <c r="N23" s="834" t="str">
        <f ca="1"/>
        <v>Taiki Nakajima</v>
      </c>
      <c r="O23" s="834" t="str">
        <f ca="1"/>
        <v>Kazuya Sunamori</v>
      </c>
      <c r="P23" s="834" t="str">
        <f ca="1"/>
        <v>Atsushi Ichimura</v>
      </c>
      <c r="Q23" s="834" t="str">
        <f ca="1"/>
        <v>Takuya NAGASAWA</v>
      </c>
      <c r="R23" s="834" t="str">
        <f ca="1"/>
        <v>Evson</v>
      </c>
      <c r="S23" s="834" t="str">
        <f ca="1"/>
        <v>Yusuke Takeda</v>
      </c>
      <c r="T23" s="834" t="str">
        <f ca="1"/>
        <v>YOON Seon Ho</v>
      </c>
      <c r="U23" s="834" t="str">
        <f ca="1"/>
        <v>Allan</v>
      </c>
      <c r="V23" s="834" t="str">
        <f ca="1"/>
        <v>ALEX</v>
      </c>
      <c r="W23" s="834" t="str">
        <f ca="1"/>
        <v>Dae-Heon Lee</v>
      </c>
      <c r="X23" s="836" t="str">
        <f ca="1"/>
        <v>Yong-Jik Ri</v>
      </c>
      <c r="Y23" s="836" t="str">
        <f ca="1"/>
        <v>Hironori Nishi</v>
      </c>
      <c r="Z23" s="836" t="str">
        <f ca="1"/>
        <v>Ryota Nagata</v>
      </c>
      <c r="AA23" s="836" t="str">
        <f ca="1"/>
        <v>Kota Ogino</v>
      </c>
      <c r="AB23" s="836" t="str">
        <f ca="1"/>
        <v>Taishi Tsunada</v>
      </c>
      <c r="AC23" s="836" t="str">
        <f ca="1"/>
        <v>Fumiya TAMAKI</v>
      </c>
      <c r="AD23" s="836" t="str">
        <f ca="1"/>
        <v>Shohei Yamamoto</v>
      </c>
      <c r="AE23" s="836" t="str">
        <f ca="1"/>
        <v>Kazumasa Takagi</v>
      </c>
      <c r="AF23" s="836" t="str">
        <f ca="1"/>
        <v>Kenji Baba</v>
      </c>
      <c r="AG23" s="836" t="str">
        <f ca="1"/>
        <v>Hayato Nakama</v>
      </c>
      <c r="AH23" s="836" t="str">
        <f ca="1"/>
        <v>Kazuya Okamura</v>
      </c>
      <c r="AI23" s="836" t="str">
        <f ca="1"/>
        <v>Daigo Watanabe</v>
      </c>
      <c r="AJ23" s="836" t="str">
        <f ca="1"/>
        <v>Tomoya Osawa</v>
      </c>
      <c r="AK23" s="836" t="str">
        <f ca="1"/>
        <v>Kazuki Ganaha</v>
      </c>
      <c r="AL23" s="836" t="str">
        <f ca="1"/>
        <v>Tetsuya Kijima</v>
      </c>
      <c r="AM23" s="836" t="str">
        <f ca="1"/>
        <v>Kazuki Hara</v>
      </c>
      <c r="AN23" s="836" t="str">
        <f ca="1"/>
        <v>Yuki Fuke</v>
      </c>
      <c r="AO23" s="836" t="str">
        <f ca="1"/>
        <v>Yuki Morikawa</v>
      </c>
      <c r="AP23" s="836" t="str">
        <f ca="1"/>
        <v>Ryosuke Kijima</v>
      </c>
      <c r="AQ23" s="836">
        <f ca="1"/>
        <v>0</v>
      </c>
      <c r="AR23" s="836">
        <f ca="1"/>
        <v>0</v>
      </c>
      <c r="AS23" s="836">
        <f ca="1"/>
        <v>0</v>
      </c>
      <c r="AT23" s="836">
        <f ca="1"/>
        <v>0</v>
      </c>
      <c r="AU23" s="836">
        <f ca="1"/>
        <v>0</v>
      </c>
      <c r="AV23" s="836">
        <f ca="1"/>
        <v>0</v>
      </c>
      <c r="AW23" s="836">
        <f ca="1"/>
        <v>0</v>
      </c>
      <c r="AX23" s="836">
        <f ca="1"/>
        <v>0</v>
      </c>
      <c r="AY23" s="836">
        <f ca="1"/>
        <v>0</v>
      </c>
      <c r="AZ23" s="836">
        <f ca="1"/>
        <v>0</v>
      </c>
      <c r="BA23" s="836">
        <f ca="1"/>
        <v>0</v>
      </c>
      <c r="BB23" s="836">
        <f ca="1"/>
        <v>0</v>
      </c>
      <c r="BC23" s="836">
        <f ca="1"/>
        <v>0</v>
      </c>
      <c r="BD23" s="836">
        <f ca="1"/>
        <v>0</v>
      </c>
      <c r="BE23" s="836" t="e">
        <f ca="1"/>
        <v>#N/A</v>
      </c>
      <c r="BF23" s="836" t="e">
        <f ca="1"/>
        <v>#N/A</v>
      </c>
      <c r="BG23" s="836" t="e">
        <f ca="1"/>
        <v>#N/A</v>
      </c>
      <c r="BH23" s="834" t="e">
        <f ca="1"/>
        <v>#N/A</v>
      </c>
      <c r="BI23" s="834" t="e">
        <f ca="1"/>
        <v>#N/A</v>
      </c>
      <c r="BJ23" s="834" t="e">
        <f ca="1"/>
        <v>#N/A</v>
      </c>
      <c r="BK23" s="834" t="e">
        <f ca="1"/>
        <v>#N/A</v>
      </c>
      <c r="BL23" s="834" t="e">
        <f ca="1"/>
        <v>#N/A</v>
      </c>
      <c r="BM23" s="834" t="e">
        <f ca="1"/>
        <v>#N/A</v>
      </c>
      <c r="BN23" s="834" t="e">
        <f ca="1"/>
        <v>#N/A</v>
      </c>
      <c r="BO23" s="834" t="e">
        <f ca="1"/>
        <v>#N/A</v>
      </c>
      <c r="BP23" s="834" t="e">
        <f ca="1"/>
        <v>#N/A</v>
      </c>
      <c r="BQ23" s="834" t="e">
        <f ca="1"/>
        <v>#N/A</v>
      </c>
      <c r="BR23" s="834" t="e">
        <f ca="1"/>
        <v>#N/A</v>
      </c>
      <c r="BS23" s="834" t="e">
        <f ca="1"/>
        <v>#N/A</v>
      </c>
      <c r="BT23" s="834" t="e">
        <f ca="1"/>
        <v>#N/A</v>
      </c>
      <c r="BU23" s="834" t="e">
        <f ca="1"/>
        <v>#N/A</v>
      </c>
    </row>
    <row r="24" spans="1:73">
      <c r="A24" s="835" t="str">
        <f>A22&amp;" num"</f>
        <v>Kamatamare Sanuki num</v>
      </c>
      <c r="B24" s="834">
        <f ca="1"/>
        <v>0</v>
      </c>
      <c r="C24" s="834">
        <f ca="1"/>
        <v>0</v>
      </c>
      <c r="D24" s="834">
        <f ca="1"/>
        <v>0</v>
      </c>
      <c r="E24" s="834">
        <f ca="1"/>
        <v>0</v>
      </c>
      <c r="F24" s="834">
        <f ca="1"/>
        <v>0</v>
      </c>
      <c r="G24" s="834">
        <f ca="1"/>
        <v>0</v>
      </c>
      <c r="H24" s="834">
        <f ca="1"/>
        <v>0</v>
      </c>
      <c r="I24" s="834">
        <f ca="1"/>
        <v>0</v>
      </c>
      <c r="J24" s="834">
        <f ca="1"/>
        <v>0</v>
      </c>
      <c r="K24" s="834" t="str">
        <f ca="1"/>
        <v>清水　健太</v>
      </c>
      <c r="L24" s="834" t="str">
        <f ca="1"/>
        <v>松原　修平</v>
      </c>
      <c r="M24" s="834" t="str">
        <f ca="1"/>
        <v>瀬口　拓弥</v>
      </c>
      <c r="N24" s="834" t="str">
        <f ca="1"/>
        <v>中島　大貴</v>
      </c>
      <c r="O24" s="834" t="str">
        <f ca="1"/>
        <v>砂森　和也</v>
      </c>
      <c r="P24" s="834" t="str">
        <f ca="1"/>
        <v>市村　篤司</v>
      </c>
      <c r="Q24" s="834" t="str">
        <f ca="1"/>
        <v>長澤　拓哉</v>
      </c>
      <c r="R24" s="834" t="str">
        <f ca="1"/>
        <v>エブソン</v>
      </c>
      <c r="S24" s="834" t="str">
        <f ca="1"/>
        <v>武田　有祐</v>
      </c>
      <c r="T24" s="834" t="str">
        <f ca="1"/>
        <v>ユン　ソンホ</v>
      </c>
      <c r="U24" s="834" t="str">
        <f ca="1"/>
        <v>アラン</v>
      </c>
      <c r="V24" s="834" t="str">
        <f ca="1"/>
        <v>アレックス</v>
      </c>
      <c r="W24" s="834" t="str">
        <f ca="1"/>
        <v>イ　ジュヨン</v>
      </c>
      <c r="X24" s="836" t="str">
        <f ca="1"/>
        <v>李　栄直</v>
      </c>
      <c r="Y24" s="836" t="str">
        <f ca="1"/>
        <v>西　弘則</v>
      </c>
      <c r="Z24" s="836" t="str">
        <f ca="1"/>
        <v>永田　亮太</v>
      </c>
      <c r="AA24" s="836" t="str">
        <f ca="1"/>
        <v>荻野　広大</v>
      </c>
      <c r="AB24" s="836" t="str">
        <f ca="1"/>
        <v>綱田　大志</v>
      </c>
      <c r="AC24" s="836" t="str">
        <f ca="1"/>
        <v>玉城　史也</v>
      </c>
      <c r="AD24" s="836" t="str">
        <f ca="1"/>
        <v>山本　翔平</v>
      </c>
      <c r="AE24" s="836" t="str">
        <f ca="1"/>
        <v>高木　和正</v>
      </c>
      <c r="AF24" s="836" t="str">
        <f ca="1"/>
        <v>馬場　賢治</v>
      </c>
      <c r="AG24" s="836" t="str">
        <f ca="1"/>
        <v>仲間　隼斗</v>
      </c>
      <c r="AH24" s="836" t="str">
        <f ca="1"/>
        <v>岡村　和哉</v>
      </c>
      <c r="AI24" s="836" t="str">
        <f ca="1"/>
        <v>渡邉　大剛</v>
      </c>
      <c r="AJ24" s="836" t="str">
        <f ca="1"/>
        <v>大沢　朋也</v>
      </c>
      <c r="AK24" s="836" t="str">
        <f ca="1"/>
        <v>我那覇　和樹</v>
      </c>
      <c r="AL24" s="836" t="str">
        <f ca="1"/>
        <v>木島　徹也</v>
      </c>
      <c r="AM24" s="836" t="str">
        <f ca="1"/>
        <v>原　一樹</v>
      </c>
      <c r="AN24" s="836" t="str">
        <f ca="1"/>
        <v>福家　勇輝</v>
      </c>
      <c r="AO24" s="836" t="str">
        <f ca="1"/>
        <v>森川　裕基</v>
      </c>
      <c r="AP24" s="836" t="str">
        <f ca="1"/>
        <v>木島　良輔</v>
      </c>
      <c r="AQ24" s="836">
        <f ca="1"/>
        <v>0</v>
      </c>
      <c r="AR24" s="836">
        <f ca="1"/>
        <v>0</v>
      </c>
      <c r="AS24" s="836">
        <f ca="1"/>
        <v>0</v>
      </c>
      <c r="AT24" s="836">
        <f ca="1"/>
        <v>0</v>
      </c>
      <c r="AU24" s="836">
        <f ca="1"/>
        <v>0</v>
      </c>
      <c r="AV24" s="836">
        <f ca="1"/>
        <v>0</v>
      </c>
      <c r="AW24" s="836">
        <f ca="1"/>
        <v>0</v>
      </c>
      <c r="AX24" s="836">
        <f ca="1"/>
        <v>0</v>
      </c>
      <c r="AY24" s="836">
        <f ca="1"/>
        <v>0</v>
      </c>
      <c r="AZ24" s="836">
        <f ca="1"/>
        <v>0</v>
      </c>
      <c r="BA24" s="836">
        <f ca="1"/>
        <v>0</v>
      </c>
      <c r="BB24" s="836">
        <f ca="1"/>
        <v>0</v>
      </c>
      <c r="BC24" s="836">
        <f ca="1"/>
        <v>0</v>
      </c>
      <c r="BD24" s="836">
        <f ca="1"/>
        <v>0</v>
      </c>
      <c r="BE24" s="836" t="e">
        <f ca="1"/>
        <v>#N/A</v>
      </c>
      <c r="BF24" s="836" t="e">
        <f ca="1"/>
        <v>#N/A</v>
      </c>
      <c r="BG24" s="836" t="e">
        <f ca="1"/>
        <v>#N/A</v>
      </c>
      <c r="BH24" s="834" t="e">
        <f ca="1"/>
        <v>#N/A</v>
      </c>
      <c r="BI24" s="834" t="e">
        <f ca="1"/>
        <v>#N/A</v>
      </c>
      <c r="BJ24" s="834" t="e">
        <f ca="1"/>
        <v>#N/A</v>
      </c>
      <c r="BK24" s="834" t="e">
        <f ca="1"/>
        <v>#N/A</v>
      </c>
      <c r="BL24" s="834" t="e">
        <f ca="1"/>
        <v>#N/A</v>
      </c>
      <c r="BM24" s="834" t="e">
        <f ca="1"/>
        <v>#N/A</v>
      </c>
      <c r="BN24" s="834" t="e">
        <f ca="1"/>
        <v>#N/A</v>
      </c>
      <c r="BO24" s="834" t="e">
        <f ca="1"/>
        <v>#N/A</v>
      </c>
      <c r="BP24" s="834" t="e">
        <f ca="1"/>
        <v>#N/A</v>
      </c>
      <c r="BQ24" s="834" t="e">
        <f ca="1"/>
        <v>#N/A</v>
      </c>
      <c r="BR24" s="834" t="e">
        <f ca="1"/>
        <v>#N/A</v>
      </c>
      <c r="BS24" s="834" t="e">
        <f ca="1"/>
        <v>#N/A</v>
      </c>
      <c r="BT24" s="834" t="e">
        <f ca="1"/>
        <v>#N/A</v>
      </c>
      <c r="BU24" s="834" t="e">
        <f ca="1"/>
        <v>#N/A</v>
      </c>
    </row>
    <row r="25" spans="1:73">
      <c r="A25" s="17" t="str">
        <f>Helper!CM9</f>
        <v>Kyoto Sanga</v>
      </c>
      <c r="B25" s="834">
        <f t="array" aca="1" ref="B25:BU27" ca="1">INDIRECT("'"&amp;A25&amp;"'!X19:BZ21")</f>
        <v>0</v>
      </c>
      <c r="C25" s="834" t="str">
        <f ca="1"/>
        <v>射正</v>
      </c>
      <c r="D25" s="834">
        <f ca="1"/>
        <v>0</v>
      </c>
      <c r="E25" s="834" t="str">
        <f ca="1"/>
        <v>控球率</v>
      </c>
      <c r="F25" s="834">
        <f ca="1"/>
        <v>0</v>
      </c>
      <c r="G25" s="834">
        <f ca="1"/>
        <v>0</v>
      </c>
      <c r="H25" s="834">
        <f ca="1"/>
        <v>0</v>
      </c>
      <c r="I25" s="834">
        <f ca="1"/>
        <v>0</v>
      </c>
      <c r="J25" s="834" t="str">
        <f ca="1"/>
        <v>Position</v>
      </c>
      <c r="K25" s="834" t="str">
        <f ca="1"/>
        <v>GK</v>
      </c>
      <c r="L25" s="834" t="str">
        <f ca="1"/>
        <v>GK</v>
      </c>
      <c r="M25" s="834" t="str">
        <f ca="1"/>
        <v>GK</v>
      </c>
      <c r="N25" s="834" t="str">
        <f ca="1"/>
        <v>GK</v>
      </c>
      <c r="O25" s="834" t="str">
        <f ca="1"/>
        <v>RB</v>
      </c>
      <c r="P25" s="834" t="str">
        <f ca="1"/>
        <v>CB</v>
      </c>
      <c r="Q25" s="834" t="str">
        <f ca="1"/>
        <v>CB</v>
      </c>
      <c r="R25" s="834" t="str">
        <f ca="1"/>
        <v>LB</v>
      </c>
      <c r="S25" s="834" t="str">
        <f ca="1"/>
        <v>CB</v>
      </c>
      <c r="T25" s="834" t="str">
        <f ca="1"/>
        <v>CB</v>
      </c>
      <c r="U25" s="834" t="str">
        <f ca="1"/>
        <v>LB</v>
      </c>
      <c r="V25" s="834" t="str">
        <f ca="1"/>
        <v>DF</v>
      </c>
      <c r="W25" s="834" t="str">
        <f ca="1"/>
        <v>RB</v>
      </c>
      <c r="X25" s="836" t="str">
        <f ca="1"/>
        <v>RB</v>
      </c>
      <c r="Y25" s="836" t="str">
        <f ca="1"/>
        <v>CB</v>
      </c>
      <c r="Z25" s="836" t="str">
        <f ca="1"/>
        <v>CB</v>
      </c>
      <c r="AA25" s="836" t="str">
        <f ca="1"/>
        <v>MF</v>
      </c>
      <c r="AB25" s="836" t="str">
        <f ca="1"/>
        <v>CM</v>
      </c>
      <c r="AC25" s="836" t="str">
        <f ca="1"/>
        <v>MF</v>
      </c>
      <c r="AD25" s="836" t="str">
        <f ca="1"/>
        <v>CM</v>
      </c>
      <c r="AE25" s="836" t="str">
        <f ca="1"/>
        <v>LW</v>
      </c>
      <c r="AF25" s="836" t="str">
        <f ca="1"/>
        <v>SS</v>
      </c>
      <c r="AG25" s="836" t="str">
        <f ca="1"/>
        <v>CF</v>
      </c>
      <c r="AH25" s="836" t="str">
        <f ca="1"/>
        <v>RW</v>
      </c>
      <c r="AI25" s="836" t="str">
        <f ca="1"/>
        <v>CF</v>
      </c>
      <c r="AJ25" s="836" t="str">
        <f ca="1"/>
        <v>LW</v>
      </c>
      <c r="AK25" s="836" t="str">
        <f ca="1"/>
        <v>FW</v>
      </c>
      <c r="AL25" s="836" t="str">
        <f ca="1"/>
        <v>CF</v>
      </c>
      <c r="AM25" s="836" t="str">
        <f ca="1"/>
        <v>RW</v>
      </c>
      <c r="AN25" s="836">
        <f ca="1"/>
        <v>0</v>
      </c>
      <c r="AO25" s="836">
        <f ca="1"/>
        <v>0</v>
      </c>
      <c r="AP25" s="836">
        <f ca="1"/>
        <v>0</v>
      </c>
      <c r="AQ25" s="836">
        <f ca="1"/>
        <v>0</v>
      </c>
      <c r="AR25" s="836">
        <f ca="1"/>
        <v>0</v>
      </c>
      <c r="AS25" s="836">
        <f ca="1"/>
        <v>0</v>
      </c>
      <c r="AT25" s="836">
        <f ca="1"/>
        <v>0</v>
      </c>
      <c r="AU25" s="836">
        <f ca="1"/>
        <v>0</v>
      </c>
      <c r="AV25" s="836">
        <f ca="1"/>
        <v>0</v>
      </c>
      <c r="AW25" s="836">
        <f ca="1"/>
        <v>0</v>
      </c>
      <c r="AX25" s="836">
        <f ca="1"/>
        <v>0</v>
      </c>
      <c r="AY25" s="836">
        <f ca="1"/>
        <v>0</v>
      </c>
      <c r="AZ25" s="836">
        <f ca="1"/>
        <v>0</v>
      </c>
      <c r="BA25" s="836">
        <f ca="1"/>
        <v>0</v>
      </c>
      <c r="BB25" s="836">
        <f ca="1"/>
        <v>0</v>
      </c>
      <c r="BC25" s="836">
        <f ca="1"/>
        <v>0</v>
      </c>
      <c r="BD25" s="836">
        <f ca="1"/>
        <v>0</v>
      </c>
      <c r="BE25" s="836" t="e">
        <f ca="1"/>
        <v>#N/A</v>
      </c>
      <c r="BF25" s="836" t="e">
        <f ca="1"/>
        <v>#N/A</v>
      </c>
      <c r="BG25" s="836" t="e">
        <f ca="1"/>
        <v>#N/A</v>
      </c>
      <c r="BH25" s="834" t="e">
        <f ca="1"/>
        <v>#N/A</v>
      </c>
      <c r="BI25" s="834" t="e">
        <f ca="1"/>
        <v>#N/A</v>
      </c>
      <c r="BJ25" s="834" t="e">
        <f ca="1"/>
        <v>#N/A</v>
      </c>
      <c r="BK25" s="834" t="e">
        <f ca="1"/>
        <v>#N/A</v>
      </c>
      <c r="BL25" s="834" t="e">
        <f ca="1"/>
        <v>#N/A</v>
      </c>
      <c r="BM25" s="834" t="e">
        <f ca="1"/>
        <v>#N/A</v>
      </c>
      <c r="BN25" s="834" t="e">
        <f ca="1"/>
        <v>#N/A</v>
      </c>
      <c r="BO25" s="834" t="e">
        <f ca="1"/>
        <v>#N/A</v>
      </c>
      <c r="BP25" s="834" t="e">
        <f ca="1"/>
        <v>#N/A</v>
      </c>
      <c r="BQ25" s="834" t="e">
        <f ca="1"/>
        <v>#N/A</v>
      </c>
      <c r="BR25" s="834" t="e">
        <f ca="1"/>
        <v>#N/A</v>
      </c>
      <c r="BS25" s="834" t="e">
        <f ca="1"/>
        <v>#N/A</v>
      </c>
      <c r="BT25" s="834" t="e">
        <f ca="1"/>
        <v>#N/A</v>
      </c>
      <c r="BU25" s="834" t="e">
        <f ca="1"/>
        <v>#N/A</v>
      </c>
    </row>
    <row r="26" spans="1:73">
      <c r="A26" s="835" t="str">
        <f>A25&amp;" name"</f>
        <v>Kyoto Sanga name</v>
      </c>
      <c r="B26" s="834" t="str">
        <f ca="1"/>
        <v>Opponent Shooting Attempts</v>
      </c>
      <c r="C26" s="834" t="str">
        <f ca="1"/>
        <v>Shooting on Target</v>
      </c>
      <c r="D26" s="834" t="str">
        <f ca="1"/>
        <v>Opponent Shooting on Target</v>
      </c>
      <c r="E26" s="834" t="str">
        <f ca="1"/>
        <v>Possession</v>
      </c>
      <c r="F26" s="834" t="str">
        <f ca="1"/>
        <v>Opponent Possession</v>
      </c>
      <c r="G26" s="834" t="str">
        <f ca="1"/>
        <v>Lineup</v>
      </c>
      <c r="H26" s="834" t="str">
        <f ca="1"/>
        <v>Goal Check</v>
      </c>
      <c r="I26" s="834" t="str">
        <f ca="1"/>
        <v>Sub Up-Down</v>
      </c>
      <c r="J26" s="834" t="str">
        <f ca="1"/>
        <v>Player Count</v>
      </c>
      <c r="K26" s="834" t="str">
        <f ca="1"/>
        <v>Takanori Sugeno</v>
      </c>
      <c r="L26" s="834" t="str">
        <f ca="1"/>
        <v>Keisuke Shimizu</v>
      </c>
      <c r="M26" s="834" t="str">
        <f ca="1"/>
        <v>Tatsunari Nagai</v>
      </c>
      <c r="N26" s="834" t="str">
        <f ca="1"/>
        <v>Tomoya Wakahara</v>
      </c>
      <c r="O26" s="834" t="str">
        <f ca="1"/>
        <v>Masato Yuzawa</v>
      </c>
      <c r="P26" s="834" t="str">
        <f ca="1"/>
        <v>Yuji Takahashi</v>
      </c>
      <c r="Q26" s="834" t="str">
        <f ca="1"/>
        <v>Tulio</v>
      </c>
      <c r="R26" s="834" t="str">
        <f ca="1"/>
        <v>Yuki Honda</v>
      </c>
      <c r="S26" s="834" t="str">
        <f ca="1"/>
        <v>Yuta Someya</v>
      </c>
      <c r="T26" s="834" t="str">
        <f ca="1"/>
        <v>Yusuke Muta</v>
      </c>
      <c r="U26" s="834" t="str">
        <f ca="1"/>
        <v>Kyohei Uchida</v>
      </c>
      <c r="V26" s="834" t="str">
        <f ca="1"/>
        <v>Shogo ASADA</v>
      </c>
      <c r="W26" s="834" t="str">
        <f ca="1"/>
        <v>Shogo Shimohata</v>
      </c>
      <c r="X26" s="836" t="str">
        <f ca="1"/>
        <v>Yosuke Ishibitsu</v>
      </c>
      <c r="Y26" s="836" t="str">
        <f ca="1"/>
        <v>Kyohei Yoshino</v>
      </c>
      <c r="Z26" s="836" t="str">
        <f ca="1"/>
        <v>Yukio TSUCHIYA</v>
      </c>
      <c r="AA26" s="836" t="str">
        <f ca="1"/>
        <v>Takuya SHIMAMURA</v>
      </c>
      <c r="AB26" s="836" t="str">
        <f ca="1"/>
        <v>Sung-Min Ha</v>
      </c>
      <c r="AC26" s="836" t="str">
        <f ca="1"/>
        <v>Keiya Sento</v>
      </c>
      <c r="AD26" s="836" t="str">
        <f ca="1"/>
        <v>Reo Mochizuki</v>
      </c>
      <c r="AE26" s="836" t="str">
        <f ca="1"/>
        <v>Shun Ito</v>
      </c>
      <c r="AF26" s="836" t="str">
        <f ca="1"/>
        <v>Tomoya Koyamatsu</v>
      </c>
      <c r="AG26" s="836" t="str">
        <f ca="1"/>
        <v>Kevin Oris</v>
      </c>
      <c r="AH26" s="836" t="str">
        <f ca="1"/>
        <v>Sergio Ariel Escudero</v>
      </c>
      <c r="AI26" s="836" t="str">
        <f ca="1"/>
        <v>Yuto Iwasaki</v>
      </c>
      <c r="AJ26" s="836" t="str">
        <f ca="1"/>
        <v>Yong-Jae Lee</v>
      </c>
      <c r="AK26" s="836" t="str">
        <f ca="1"/>
        <v>Yohei Ono</v>
      </c>
      <c r="AL26" s="836" t="str">
        <f ca="1"/>
        <v>Masashi Oguro</v>
      </c>
      <c r="AM26" s="836" t="str">
        <f ca="1"/>
        <v>Ryosuke Tamura</v>
      </c>
      <c r="AN26" s="836">
        <f ca="1"/>
        <v>0</v>
      </c>
      <c r="AO26" s="836">
        <f ca="1"/>
        <v>0</v>
      </c>
      <c r="AP26" s="836">
        <f ca="1"/>
        <v>0</v>
      </c>
      <c r="AQ26" s="836">
        <f ca="1"/>
        <v>0</v>
      </c>
      <c r="AR26" s="836">
        <f ca="1"/>
        <v>0</v>
      </c>
      <c r="AS26" s="836">
        <f ca="1"/>
        <v>0</v>
      </c>
      <c r="AT26" s="836">
        <f ca="1"/>
        <v>0</v>
      </c>
      <c r="AU26" s="836">
        <f ca="1"/>
        <v>0</v>
      </c>
      <c r="AV26" s="836">
        <f ca="1"/>
        <v>0</v>
      </c>
      <c r="AW26" s="836">
        <f ca="1"/>
        <v>0</v>
      </c>
      <c r="AX26" s="836">
        <f ca="1"/>
        <v>0</v>
      </c>
      <c r="AY26" s="836">
        <f ca="1"/>
        <v>0</v>
      </c>
      <c r="AZ26" s="836">
        <f ca="1"/>
        <v>0</v>
      </c>
      <c r="BA26" s="836">
        <f ca="1"/>
        <v>0</v>
      </c>
      <c r="BB26" s="836">
        <f ca="1"/>
        <v>0</v>
      </c>
      <c r="BC26" s="836">
        <f ca="1"/>
        <v>0</v>
      </c>
      <c r="BD26" s="836">
        <f ca="1"/>
        <v>0</v>
      </c>
      <c r="BE26" s="836" t="e">
        <f ca="1"/>
        <v>#N/A</v>
      </c>
      <c r="BF26" s="836" t="e">
        <f ca="1"/>
        <v>#N/A</v>
      </c>
      <c r="BG26" s="836" t="e">
        <f ca="1"/>
        <v>#N/A</v>
      </c>
      <c r="BH26" s="834" t="e">
        <f ca="1"/>
        <v>#N/A</v>
      </c>
      <c r="BI26" s="834" t="e">
        <f ca="1"/>
        <v>#N/A</v>
      </c>
      <c r="BJ26" s="834" t="e">
        <f ca="1"/>
        <v>#N/A</v>
      </c>
      <c r="BK26" s="834" t="e">
        <f ca="1"/>
        <v>#N/A</v>
      </c>
      <c r="BL26" s="834" t="e">
        <f ca="1"/>
        <v>#N/A</v>
      </c>
      <c r="BM26" s="834" t="e">
        <f ca="1"/>
        <v>#N/A</v>
      </c>
      <c r="BN26" s="834" t="e">
        <f ca="1"/>
        <v>#N/A</v>
      </c>
      <c r="BO26" s="834" t="e">
        <f ca="1"/>
        <v>#N/A</v>
      </c>
      <c r="BP26" s="834" t="e">
        <f ca="1"/>
        <v>#N/A</v>
      </c>
      <c r="BQ26" s="834" t="e">
        <f ca="1"/>
        <v>#N/A</v>
      </c>
      <c r="BR26" s="834" t="e">
        <f ca="1"/>
        <v>#N/A</v>
      </c>
      <c r="BS26" s="834" t="e">
        <f ca="1"/>
        <v>#N/A</v>
      </c>
      <c r="BT26" s="834" t="e">
        <f ca="1"/>
        <v>#N/A</v>
      </c>
      <c r="BU26" s="834" t="e">
        <f ca="1"/>
        <v>#N/A</v>
      </c>
    </row>
    <row r="27" spans="1:73">
      <c r="A27" s="835" t="str">
        <f>A25&amp;" num"</f>
        <v>Kyoto Sanga num</v>
      </c>
      <c r="B27" s="834">
        <f ca="1"/>
        <v>0</v>
      </c>
      <c r="C27" s="834">
        <f ca="1"/>
        <v>0</v>
      </c>
      <c r="D27" s="834">
        <f ca="1"/>
        <v>0</v>
      </c>
      <c r="E27" s="834">
        <f ca="1"/>
        <v>0</v>
      </c>
      <c r="F27" s="834">
        <f ca="1"/>
        <v>0</v>
      </c>
      <c r="G27" s="834">
        <f ca="1"/>
        <v>0</v>
      </c>
      <c r="H27" s="834">
        <f ca="1"/>
        <v>0</v>
      </c>
      <c r="I27" s="834">
        <f ca="1"/>
        <v>0</v>
      </c>
      <c r="J27" s="834">
        <f ca="1"/>
        <v>0</v>
      </c>
      <c r="K27" s="834" t="str">
        <f ca="1"/>
        <v>菅野　孝憲</v>
      </c>
      <c r="L27" s="834" t="str">
        <f ca="1"/>
        <v>清水　圭介</v>
      </c>
      <c r="M27" s="834" t="str">
        <f ca="1"/>
        <v>永井　建成</v>
      </c>
      <c r="N27" s="834" t="str">
        <f ca="1"/>
        <v>若原　智哉</v>
      </c>
      <c r="O27" s="834" t="str">
        <f ca="1"/>
        <v>湯澤　聖人</v>
      </c>
      <c r="P27" s="834" t="str">
        <f ca="1"/>
        <v>高橋　祐治</v>
      </c>
      <c r="Q27" s="834" t="str">
        <f ca="1"/>
        <v>田中　マルクス闘莉王</v>
      </c>
      <c r="R27" s="834" t="str">
        <f ca="1"/>
        <v>本多　勇喜</v>
      </c>
      <c r="S27" s="834" t="str">
        <f ca="1"/>
        <v>染谷　悠太</v>
      </c>
      <c r="T27" s="834" t="str">
        <f ca="1"/>
        <v>牟田　雄祐</v>
      </c>
      <c r="U27" s="834" t="str">
        <f ca="1"/>
        <v>内田　恭兵</v>
      </c>
      <c r="V27" s="834" t="str">
        <f ca="1"/>
        <v>麻田　将吾</v>
      </c>
      <c r="W27" s="834" t="str">
        <f ca="1"/>
        <v>下畠　翔吾</v>
      </c>
      <c r="X27" s="836" t="str">
        <f ca="1"/>
        <v>石櫃　洋祐</v>
      </c>
      <c r="Y27" s="836" t="str">
        <f ca="1"/>
        <v>吉野　恭平</v>
      </c>
      <c r="Z27" s="836" t="str">
        <f ca="1"/>
        <v>土屋　征夫</v>
      </c>
      <c r="AA27" s="836" t="str">
        <f ca="1"/>
        <v>島村　拓弥</v>
      </c>
      <c r="AB27" s="836" t="str">
        <f ca="1"/>
        <v>ハ　ソンミン</v>
      </c>
      <c r="AC27" s="836" t="str">
        <f ca="1"/>
        <v>仙頭　啓矢</v>
      </c>
      <c r="AD27" s="836" t="str">
        <f ca="1"/>
        <v>望月　嶺臣</v>
      </c>
      <c r="AE27" s="836" t="str">
        <f ca="1"/>
        <v>伊東　俊</v>
      </c>
      <c r="AF27" s="836" t="str">
        <f ca="1"/>
        <v>小屋松　知哉</v>
      </c>
      <c r="AG27" s="836" t="str">
        <f ca="1"/>
        <v>ケヴィン　オリス</v>
      </c>
      <c r="AH27" s="836" t="str">
        <f ca="1"/>
        <v>エスクデロ　競飛王</v>
      </c>
      <c r="AI27" s="836" t="str">
        <f ca="1"/>
        <v>岩崎　悠人</v>
      </c>
      <c r="AJ27" s="836" t="str">
        <f ca="1"/>
        <v>イ　ヨンジェ</v>
      </c>
      <c r="AK27" s="836" t="str">
        <f ca="1"/>
        <v>大野　耀平</v>
      </c>
      <c r="AL27" s="836" t="str">
        <f ca="1"/>
        <v>大黒　将志</v>
      </c>
      <c r="AM27" s="836" t="str">
        <f ca="1"/>
        <v>田村　亮介</v>
      </c>
      <c r="AN27" s="836" t="str">
        <f ca="1"/>
        <v>OG</v>
      </c>
      <c r="AO27" s="836">
        <f ca="1"/>
        <v>0</v>
      </c>
      <c r="AP27" s="836">
        <f ca="1"/>
        <v>0</v>
      </c>
      <c r="AQ27" s="836">
        <f ca="1"/>
        <v>0</v>
      </c>
      <c r="AR27" s="836">
        <f ca="1"/>
        <v>0</v>
      </c>
      <c r="AS27" s="836">
        <f ca="1"/>
        <v>0</v>
      </c>
      <c r="AT27" s="836">
        <f ca="1"/>
        <v>0</v>
      </c>
      <c r="AU27" s="836">
        <f ca="1"/>
        <v>0</v>
      </c>
      <c r="AV27" s="836">
        <f ca="1"/>
        <v>0</v>
      </c>
      <c r="AW27" s="836">
        <f ca="1"/>
        <v>0</v>
      </c>
      <c r="AX27" s="836">
        <f ca="1"/>
        <v>0</v>
      </c>
      <c r="AY27" s="836">
        <f ca="1"/>
        <v>0</v>
      </c>
      <c r="AZ27" s="836">
        <f ca="1"/>
        <v>0</v>
      </c>
      <c r="BA27" s="836">
        <f ca="1"/>
        <v>0</v>
      </c>
      <c r="BB27" s="836">
        <f ca="1"/>
        <v>0</v>
      </c>
      <c r="BC27" s="836">
        <f ca="1"/>
        <v>0</v>
      </c>
      <c r="BD27" s="836">
        <f ca="1"/>
        <v>0</v>
      </c>
      <c r="BE27" s="836" t="e">
        <f ca="1"/>
        <v>#N/A</v>
      </c>
      <c r="BF27" s="836" t="e">
        <f ca="1"/>
        <v>#N/A</v>
      </c>
      <c r="BG27" s="836" t="e">
        <f ca="1"/>
        <v>#N/A</v>
      </c>
      <c r="BH27" s="834" t="e">
        <f ca="1"/>
        <v>#N/A</v>
      </c>
      <c r="BI27" s="834" t="e">
        <f ca="1"/>
        <v>#N/A</v>
      </c>
      <c r="BJ27" s="834" t="e">
        <f ca="1"/>
        <v>#N/A</v>
      </c>
      <c r="BK27" s="834" t="e">
        <f ca="1"/>
        <v>#N/A</v>
      </c>
      <c r="BL27" s="834" t="e">
        <f ca="1"/>
        <v>#N/A</v>
      </c>
      <c r="BM27" s="834" t="e">
        <f ca="1"/>
        <v>#N/A</v>
      </c>
      <c r="BN27" s="834" t="e">
        <f ca="1"/>
        <v>#N/A</v>
      </c>
      <c r="BO27" s="834" t="e">
        <f ca="1"/>
        <v>#N/A</v>
      </c>
      <c r="BP27" s="834" t="e">
        <f ca="1"/>
        <v>#N/A</v>
      </c>
      <c r="BQ27" s="834" t="e">
        <f ca="1"/>
        <v>#N/A</v>
      </c>
      <c r="BR27" s="834" t="e">
        <f ca="1"/>
        <v>#N/A</v>
      </c>
      <c r="BS27" s="834" t="e">
        <f ca="1"/>
        <v>#N/A</v>
      </c>
      <c r="BT27" s="834" t="e">
        <f ca="1"/>
        <v>#N/A</v>
      </c>
      <c r="BU27" s="834" t="e">
        <f ca="1"/>
        <v>#N/A</v>
      </c>
    </row>
    <row r="28" spans="1:73">
      <c r="A28" s="17" t="str">
        <f>Helper!CM10</f>
        <v>Machida Zelvia</v>
      </c>
      <c r="B28" s="834">
        <f t="array" aca="1" ref="B28:BU30" ca="1">INDIRECT("'"&amp;A28&amp;"'!X19:BZ21")</f>
        <v>0</v>
      </c>
      <c r="C28" s="834" t="str">
        <f ca="1"/>
        <v>射正</v>
      </c>
      <c r="D28" s="834">
        <f ca="1"/>
        <v>0</v>
      </c>
      <c r="E28" s="834" t="str">
        <f ca="1"/>
        <v>控球率</v>
      </c>
      <c r="F28" s="834">
        <f ca="1"/>
        <v>0</v>
      </c>
      <c r="G28" s="834">
        <f ca="1"/>
        <v>0</v>
      </c>
      <c r="H28" s="834">
        <f ca="1"/>
        <v>0</v>
      </c>
      <c r="I28" s="834">
        <f ca="1"/>
        <v>0</v>
      </c>
      <c r="J28" s="834" t="str">
        <f ca="1"/>
        <v>Position</v>
      </c>
      <c r="K28" s="834" t="str">
        <f ca="1"/>
        <v>GK</v>
      </c>
      <c r="L28" s="834" t="str">
        <f ca="1"/>
        <v>GK</v>
      </c>
      <c r="M28" s="834" t="str">
        <f ca="1"/>
        <v>GK</v>
      </c>
      <c r="N28" s="834" t="str">
        <f ca="1"/>
        <v>CB</v>
      </c>
      <c r="O28" s="834" t="str">
        <f ca="1"/>
        <v>RB</v>
      </c>
      <c r="P28" s="834" t="str">
        <f ca="1"/>
        <v>CB</v>
      </c>
      <c r="Q28" s="834" t="str">
        <f ca="1"/>
        <v>DF</v>
      </c>
      <c r="R28" s="834" t="str">
        <f ca="1"/>
        <v>LB</v>
      </c>
      <c r="S28" s="834" t="str">
        <f ca="1"/>
        <v>RB</v>
      </c>
      <c r="T28" s="834" t="str">
        <f ca="1"/>
        <v>CB</v>
      </c>
      <c r="U28" s="834" t="str">
        <f ca="1"/>
        <v>CB</v>
      </c>
      <c r="V28" s="834" t="str">
        <f ca="1"/>
        <v>CB</v>
      </c>
      <c r="W28" s="834" t="str">
        <f ca="1"/>
        <v>CB</v>
      </c>
      <c r="X28" s="836" t="str">
        <f ca="1"/>
        <v>MF</v>
      </c>
      <c r="Y28" s="836" t="str">
        <f ca="1"/>
        <v>CM</v>
      </c>
      <c r="Z28" s="836" t="str">
        <f ca="1"/>
        <v>MF</v>
      </c>
      <c r="AA28" s="836" t="str">
        <f ca="1"/>
        <v>AM</v>
      </c>
      <c r="AB28" s="836" t="str">
        <f ca="1"/>
        <v>CM</v>
      </c>
      <c r="AC28" s="836" t="str">
        <f ca="1"/>
        <v>MF</v>
      </c>
      <c r="AD28" s="836" t="str">
        <f ca="1"/>
        <v>LW</v>
      </c>
      <c r="AE28" s="836" t="str">
        <f ca="1"/>
        <v>CF</v>
      </c>
      <c r="AF28" s="836" t="str">
        <f ca="1"/>
        <v>CF</v>
      </c>
      <c r="AG28" s="836" t="str">
        <f ca="1"/>
        <v>SS</v>
      </c>
      <c r="AH28" s="836" t="str">
        <f ca="1"/>
        <v>CF</v>
      </c>
      <c r="AI28" s="836" t="str">
        <f ca="1"/>
        <v>CF</v>
      </c>
      <c r="AJ28" s="836" t="str">
        <f ca="1"/>
        <v>RW</v>
      </c>
      <c r="AK28" s="836" t="str">
        <f ca="1"/>
        <v>CF</v>
      </c>
      <c r="AL28" s="836" t="str">
        <f ca="1"/>
        <v>FW</v>
      </c>
      <c r="AM28" s="836" t="str">
        <f ca="1"/>
        <v>LW</v>
      </c>
      <c r="AN28" s="836">
        <f ca="1"/>
        <v>0</v>
      </c>
      <c r="AO28" s="836">
        <f ca="1"/>
        <v>0</v>
      </c>
      <c r="AP28" s="836">
        <f ca="1"/>
        <v>0</v>
      </c>
      <c r="AQ28" s="836">
        <f ca="1"/>
        <v>0</v>
      </c>
      <c r="AR28" s="836">
        <f ca="1"/>
        <v>0</v>
      </c>
      <c r="AS28" s="836">
        <f ca="1"/>
        <v>0</v>
      </c>
      <c r="AT28" s="836">
        <f ca="1"/>
        <v>0</v>
      </c>
      <c r="AU28" s="836">
        <f ca="1"/>
        <v>0</v>
      </c>
      <c r="AV28" s="836">
        <f ca="1"/>
        <v>0</v>
      </c>
      <c r="AW28" s="836">
        <f ca="1"/>
        <v>0</v>
      </c>
      <c r="AX28" s="836">
        <f ca="1"/>
        <v>0</v>
      </c>
      <c r="AY28" s="836">
        <f ca="1"/>
        <v>0</v>
      </c>
      <c r="AZ28" s="836">
        <f ca="1"/>
        <v>0</v>
      </c>
      <c r="BA28" s="836">
        <f ca="1"/>
        <v>0</v>
      </c>
      <c r="BB28" s="836">
        <f ca="1"/>
        <v>0</v>
      </c>
      <c r="BC28" s="836">
        <f ca="1"/>
        <v>0</v>
      </c>
      <c r="BD28" s="836">
        <f ca="1"/>
        <v>0</v>
      </c>
      <c r="BE28" s="836" t="e">
        <f ca="1"/>
        <v>#N/A</v>
      </c>
      <c r="BF28" s="836" t="e">
        <f ca="1"/>
        <v>#N/A</v>
      </c>
      <c r="BG28" s="836" t="e">
        <f ca="1"/>
        <v>#N/A</v>
      </c>
      <c r="BH28" s="834" t="e">
        <f ca="1"/>
        <v>#N/A</v>
      </c>
      <c r="BI28" s="834" t="e">
        <f ca="1"/>
        <v>#N/A</v>
      </c>
      <c r="BJ28" s="834" t="e">
        <f ca="1"/>
        <v>#N/A</v>
      </c>
      <c r="BK28" s="834" t="e">
        <f ca="1"/>
        <v>#N/A</v>
      </c>
      <c r="BL28" s="834" t="e">
        <f ca="1"/>
        <v>#N/A</v>
      </c>
      <c r="BM28" s="834" t="e">
        <f ca="1"/>
        <v>#N/A</v>
      </c>
      <c r="BN28" s="834" t="e">
        <f ca="1"/>
        <v>#N/A</v>
      </c>
      <c r="BO28" s="834" t="e">
        <f ca="1"/>
        <v>#N/A</v>
      </c>
      <c r="BP28" s="834" t="e">
        <f ca="1"/>
        <v>#N/A</v>
      </c>
      <c r="BQ28" s="834" t="e">
        <f ca="1"/>
        <v>#N/A</v>
      </c>
      <c r="BR28" s="834" t="e">
        <f ca="1"/>
        <v>#N/A</v>
      </c>
      <c r="BS28" s="834" t="e">
        <f ca="1"/>
        <v>#N/A</v>
      </c>
      <c r="BT28" s="834" t="e">
        <f ca="1"/>
        <v>#N/A</v>
      </c>
      <c r="BU28" s="834" t="e">
        <f ca="1"/>
        <v>#N/A</v>
      </c>
    </row>
    <row r="29" spans="1:73">
      <c r="A29" s="835" t="str">
        <f>A28&amp;" name"</f>
        <v>Machida Zelvia name</v>
      </c>
      <c r="B29" s="834" t="str">
        <f ca="1"/>
        <v>Opponent Shooting Attempts</v>
      </c>
      <c r="C29" s="834" t="str">
        <f ca="1"/>
        <v>Shooting on Target</v>
      </c>
      <c r="D29" s="834" t="str">
        <f ca="1"/>
        <v>Opponent Shooting on Target</v>
      </c>
      <c r="E29" s="834" t="str">
        <f ca="1"/>
        <v>Possession</v>
      </c>
      <c r="F29" s="834" t="str">
        <f ca="1"/>
        <v>Opponent Possession</v>
      </c>
      <c r="G29" s="834" t="str">
        <f ca="1"/>
        <v>Lineup</v>
      </c>
      <c r="H29" s="834" t="str">
        <f ca="1"/>
        <v>Goal Check</v>
      </c>
      <c r="I29" s="834" t="str">
        <f ca="1"/>
        <v>Sub Up-Down</v>
      </c>
      <c r="J29" s="834" t="str">
        <f ca="1"/>
        <v>Player Count</v>
      </c>
      <c r="K29" s="834" t="str">
        <f ca="1"/>
        <v>Kempei Usui</v>
      </c>
      <c r="L29" s="834" t="str">
        <f ca="1"/>
        <v>Toshiyasu Takahara</v>
      </c>
      <c r="M29" s="834" t="str">
        <f ca="1"/>
        <v>Kenta Watanabe</v>
      </c>
      <c r="N29" s="834" t="str">
        <f ca="1"/>
        <v>Kodai Fujii</v>
      </c>
      <c r="O29" s="834" t="str">
        <f ca="1"/>
        <v>Boris Tatar</v>
      </c>
      <c r="P29" s="834" t="str">
        <f ca="1"/>
        <v>Kota Fukatsu</v>
      </c>
      <c r="Q29" s="834" t="str">
        <f ca="1"/>
        <v>Shunsuke OTA</v>
      </c>
      <c r="R29" s="834" t="str">
        <f ca="1"/>
        <v>Ryota Matsumoto</v>
      </c>
      <c r="S29" s="834" t="str">
        <f ca="1"/>
        <v>Satoru Hoshino</v>
      </c>
      <c r="T29" s="834" t="str">
        <f ca="1"/>
        <v>Song-Gi Kim</v>
      </c>
      <c r="U29" s="834" t="str">
        <f ca="1"/>
        <v>Shigeto MASUDA</v>
      </c>
      <c r="V29" s="834" t="str">
        <f ca="1"/>
        <v>Naoki Otani</v>
      </c>
      <c r="W29" s="834" t="str">
        <f ca="1"/>
        <v>Kohei Tokita</v>
      </c>
      <c r="X29" s="836" t="str">
        <f ca="1"/>
        <v>Masayuki Okuyama</v>
      </c>
      <c r="Y29" s="836" t="str">
        <f ca="1"/>
        <v>Han-Jae Ri</v>
      </c>
      <c r="Z29" s="836" t="str">
        <f ca="1"/>
        <v>Hiroki Todaka</v>
      </c>
      <c r="AA29" s="836" t="str">
        <f ca="1"/>
        <v>Ryohei Yoshihama</v>
      </c>
      <c r="AB29" s="836" t="str">
        <f ca="1"/>
        <v>Yudai Inoue</v>
      </c>
      <c r="AC29" s="836" t="str">
        <f ca="1"/>
        <v>Taiki Hirato</v>
      </c>
      <c r="AD29" s="836" t="str">
        <f ca="1"/>
        <v>Kota Morimura</v>
      </c>
      <c r="AE29" s="836" t="str">
        <f ca="1"/>
        <v>Makito Yoshida</v>
      </c>
      <c r="AF29" s="836" t="str">
        <f ca="1"/>
        <v>Koji Suzuki</v>
      </c>
      <c r="AG29" s="836" t="str">
        <f ca="1"/>
        <v>Yuya Nakamura</v>
      </c>
      <c r="AH29" s="836" t="str">
        <f ca="1"/>
        <v>Junki Endo</v>
      </c>
      <c r="AI29" s="836" t="str">
        <f ca="1"/>
        <v>Akira Toshima</v>
      </c>
      <c r="AJ29" s="836" t="str">
        <f ca="1"/>
        <v>Yuki Nakashima</v>
      </c>
      <c r="AK29" s="836" t="str">
        <f ca="1"/>
        <v>Kentaro Shigematsu</v>
      </c>
      <c r="AL29" s="836" t="str">
        <f ca="1"/>
        <v>Ryujoseph HASHIMURA</v>
      </c>
      <c r="AM29" s="836" t="str">
        <f ca="1"/>
        <v>Tatsuya Yazawa</v>
      </c>
      <c r="AN29" s="836">
        <f ca="1"/>
        <v>0</v>
      </c>
      <c r="AO29" s="836">
        <f ca="1"/>
        <v>0</v>
      </c>
      <c r="AP29" s="836">
        <f ca="1"/>
        <v>0</v>
      </c>
      <c r="AQ29" s="836">
        <f ca="1"/>
        <v>0</v>
      </c>
      <c r="AR29" s="836">
        <f ca="1"/>
        <v>0</v>
      </c>
      <c r="AS29" s="836">
        <f ca="1"/>
        <v>0</v>
      </c>
      <c r="AT29" s="836">
        <f ca="1"/>
        <v>0</v>
      </c>
      <c r="AU29" s="836">
        <f ca="1"/>
        <v>0</v>
      </c>
      <c r="AV29" s="836">
        <f ca="1"/>
        <v>0</v>
      </c>
      <c r="AW29" s="836">
        <f ca="1"/>
        <v>0</v>
      </c>
      <c r="AX29" s="836">
        <f ca="1"/>
        <v>0</v>
      </c>
      <c r="AY29" s="836">
        <f ca="1"/>
        <v>0</v>
      </c>
      <c r="AZ29" s="836">
        <f ca="1"/>
        <v>0</v>
      </c>
      <c r="BA29" s="836">
        <f ca="1"/>
        <v>0</v>
      </c>
      <c r="BB29" s="836">
        <f ca="1"/>
        <v>0</v>
      </c>
      <c r="BC29" s="836">
        <f ca="1"/>
        <v>0</v>
      </c>
      <c r="BD29" s="836">
        <f ca="1"/>
        <v>0</v>
      </c>
      <c r="BE29" s="836" t="e">
        <f ca="1"/>
        <v>#N/A</v>
      </c>
      <c r="BF29" s="836" t="e">
        <f ca="1"/>
        <v>#N/A</v>
      </c>
      <c r="BG29" s="836" t="e">
        <f ca="1"/>
        <v>#N/A</v>
      </c>
      <c r="BH29" s="834" t="e">
        <f ca="1"/>
        <v>#N/A</v>
      </c>
      <c r="BI29" s="834" t="e">
        <f ca="1"/>
        <v>#N/A</v>
      </c>
      <c r="BJ29" s="834" t="e">
        <f ca="1"/>
        <v>#N/A</v>
      </c>
      <c r="BK29" s="834" t="e">
        <f ca="1"/>
        <v>#N/A</v>
      </c>
      <c r="BL29" s="834" t="e">
        <f ca="1"/>
        <v>#N/A</v>
      </c>
      <c r="BM29" s="834" t="e">
        <f ca="1"/>
        <v>#N/A</v>
      </c>
      <c r="BN29" s="834" t="e">
        <f ca="1"/>
        <v>#N/A</v>
      </c>
      <c r="BO29" s="834" t="e">
        <f ca="1"/>
        <v>#N/A</v>
      </c>
      <c r="BP29" s="834" t="e">
        <f ca="1"/>
        <v>#N/A</v>
      </c>
      <c r="BQ29" s="834" t="e">
        <f ca="1"/>
        <v>#N/A</v>
      </c>
      <c r="BR29" s="834" t="e">
        <f ca="1"/>
        <v>#N/A</v>
      </c>
      <c r="BS29" s="834" t="e">
        <f ca="1"/>
        <v>#N/A</v>
      </c>
      <c r="BT29" s="834" t="e">
        <f ca="1"/>
        <v>#N/A</v>
      </c>
      <c r="BU29" s="834" t="e">
        <f ca="1"/>
        <v>#N/A</v>
      </c>
    </row>
    <row r="30" spans="1:73">
      <c r="A30" s="835" t="str">
        <f>A28&amp;" num"</f>
        <v>Machida Zelvia num</v>
      </c>
      <c r="B30" s="834">
        <f ca="1"/>
        <v>0</v>
      </c>
      <c r="C30" s="834">
        <f ca="1"/>
        <v>0</v>
      </c>
      <c r="D30" s="834">
        <f ca="1"/>
        <v>0</v>
      </c>
      <c r="E30" s="834">
        <f ca="1"/>
        <v>0</v>
      </c>
      <c r="F30" s="834">
        <f ca="1"/>
        <v>0</v>
      </c>
      <c r="G30" s="834">
        <f ca="1"/>
        <v>0</v>
      </c>
      <c r="H30" s="834">
        <f ca="1"/>
        <v>0</v>
      </c>
      <c r="I30" s="834">
        <f ca="1"/>
        <v>0</v>
      </c>
      <c r="J30" s="834">
        <f ca="1"/>
        <v>0</v>
      </c>
      <c r="K30" s="834" t="str">
        <f ca="1"/>
        <v>碓井　健平</v>
      </c>
      <c r="L30" s="834" t="str">
        <f ca="1"/>
        <v>髙原　寿康</v>
      </c>
      <c r="M30" s="834" t="str">
        <f ca="1"/>
        <v>渡辺　健太</v>
      </c>
      <c r="N30" s="834" t="str">
        <f ca="1"/>
        <v>藤井　航大</v>
      </c>
      <c r="O30" s="834" t="str">
        <f ca="1"/>
        <v>ボリス　タタール</v>
      </c>
      <c r="P30" s="834" t="str">
        <f ca="1"/>
        <v>深津　康太</v>
      </c>
      <c r="Q30" s="834" t="str">
        <f ca="1"/>
        <v>大田　隼輔</v>
      </c>
      <c r="R30" s="834" t="str">
        <f ca="1"/>
        <v>松本　怜大</v>
      </c>
      <c r="S30" s="834" t="str">
        <f ca="1"/>
        <v>星野　悟</v>
      </c>
      <c r="T30" s="834" t="str">
        <f ca="1"/>
        <v>金　聖基</v>
      </c>
      <c r="U30" s="834" t="str">
        <f ca="1"/>
        <v>増田　繁人</v>
      </c>
      <c r="V30" s="834" t="str">
        <f ca="1"/>
        <v>大谷　尚輝</v>
      </c>
      <c r="W30" s="834" t="str">
        <f ca="1"/>
        <v>土岐田　洸平</v>
      </c>
      <c r="X30" s="836" t="str">
        <f ca="1"/>
        <v>奥山　政幸</v>
      </c>
      <c r="Y30" s="836" t="str">
        <f ca="1"/>
        <v>李　漢宰</v>
      </c>
      <c r="Z30" s="836" t="str">
        <f ca="1"/>
        <v>戸高　弘貴</v>
      </c>
      <c r="AA30" s="836" t="str">
        <f ca="1"/>
        <v>吉濱　遼平</v>
      </c>
      <c r="AB30" s="836" t="str">
        <f ca="1"/>
        <v>井上　裕大</v>
      </c>
      <c r="AC30" s="836" t="str">
        <f ca="1"/>
        <v>平戸　太貴</v>
      </c>
      <c r="AD30" s="836" t="str">
        <f ca="1"/>
        <v>森村　昂太</v>
      </c>
      <c r="AE30" s="836" t="str">
        <f ca="1"/>
        <v>吉田　眞紀人</v>
      </c>
      <c r="AF30" s="836" t="str">
        <f ca="1"/>
        <v>鈴木　孝司</v>
      </c>
      <c r="AG30" s="836" t="str">
        <f ca="1"/>
        <v>中村　祐也</v>
      </c>
      <c r="AH30" s="836" t="str">
        <f ca="1"/>
        <v>遠藤　純輝</v>
      </c>
      <c r="AI30" s="836" t="str">
        <f ca="1"/>
        <v>戸島　章</v>
      </c>
      <c r="AJ30" s="836" t="str">
        <f ca="1"/>
        <v>中島　裕希</v>
      </c>
      <c r="AK30" s="836" t="str">
        <f ca="1"/>
        <v>重松　健太郎</v>
      </c>
      <c r="AL30" s="836" t="str">
        <f ca="1"/>
        <v>橋村　龍ジョセフ</v>
      </c>
      <c r="AM30" s="836" t="str">
        <f ca="1"/>
        <v>谷澤　達也</v>
      </c>
      <c r="AN30" s="836" t="str">
        <f ca="1"/>
        <v>OG</v>
      </c>
      <c r="AO30" s="836">
        <f ca="1"/>
        <v>0</v>
      </c>
      <c r="AP30" s="836">
        <f ca="1"/>
        <v>0</v>
      </c>
      <c r="AQ30" s="836">
        <f ca="1"/>
        <v>0</v>
      </c>
      <c r="AR30" s="836">
        <f ca="1"/>
        <v>0</v>
      </c>
      <c r="AS30" s="836">
        <f ca="1"/>
        <v>0</v>
      </c>
      <c r="AT30" s="836">
        <f ca="1"/>
        <v>0</v>
      </c>
      <c r="AU30" s="836">
        <f ca="1"/>
        <v>0</v>
      </c>
      <c r="AV30" s="836">
        <f ca="1"/>
        <v>0</v>
      </c>
      <c r="AW30" s="836">
        <f ca="1"/>
        <v>0</v>
      </c>
      <c r="AX30" s="836">
        <f ca="1"/>
        <v>0</v>
      </c>
      <c r="AY30" s="836">
        <f ca="1"/>
        <v>0</v>
      </c>
      <c r="AZ30" s="836">
        <f ca="1"/>
        <v>0</v>
      </c>
      <c r="BA30" s="836">
        <f ca="1"/>
        <v>0</v>
      </c>
      <c r="BB30" s="836">
        <f ca="1"/>
        <v>0</v>
      </c>
      <c r="BC30" s="836">
        <f ca="1"/>
        <v>0</v>
      </c>
      <c r="BD30" s="836">
        <f ca="1"/>
        <v>0</v>
      </c>
      <c r="BE30" s="836" t="e">
        <f ca="1"/>
        <v>#N/A</v>
      </c>
      <c r="BF30" s="836" t="e">
        <f ca="1"/>
        <v>#N/A</v>
      </c>
      <c r="BG30" s="836" t="e">
        <f ca="1"/>
        <v>#N/A</v>
      </c>
      <c r="BH30" s="834" t="e">
        <f ca="1"/>
        <v>#N/A</v>
      </c>
      <c r="BI30" s="834" t="e">
        <f ca="1"/>
        <v>#N/A</v>
      </c>
      <c r="BJ30" s="834" t="e">
        <f ca="1"/>
        <v>#N/A</v>
      </c>
      <c r="BK30" s="834" t="e">
        <f ca="1"/>
        <v>#N/A</v>
      </c>
      <c r="BL30" s="834" t="e">
        <f ca="1"/>
        <v>#N/A</v>
      </c>
      <c r="BM30" s="834" t="e">
        <f ca="1"/>
        <v>#N/A</v>
      </c>
      <c r="BN30" s="834" t="e">
        <f ca="1"/>
        <v>#N/A</v>
      </c>
      <c r="BO30" s="834" t="e">
        <f ca="1"/>
        <v>#N/A</v>
      </c>
      <c r="BP30" s="834" t="e">
        <f ca="1"/>
        <v>#N/A</v>
      </c>
      <c r="BQ30" s="834" t="e">
        <f ca="1"/>
        <v>#N/A</v>
      </c>
      <c r="BR30" s="834" t="e">
        <f ca="1"/>
        <v>#N/A</v>
      </c>
      <c r="BS30" s="834" t="e">
        <f ca="1"/>
        <v>#N/A</v>
      </c>
      <c r="BT30" s="834" t="e">
        <f ca="1"/>
        <v>#N/A</v>
      </c>
      <c r="BU30" s="834" t="e">
        <f ca="1"/>
        <v>#N/A</v>
      </c>
    </row>
    <row r="31" spans="1:73">
      <c r="A31" s="17" t="str">
        <f>Helper!CM11</f>
        <v>Matsumoto Yamaga</v>
      </c>
      <c r="B31" s="834">
        <f t="array" aca="1" ref="B31:BU33" ca="1">INDIRECT("'"&amp;A31&amp;"'!X19:BZ21")</f>
        <v>0</v>
      </c>
      <c r="C31" s="834" t="str">
        <f ca="1"/>
        <v>射正</v>
      </c>
      <c r="D31" s="834">
        <f ca="1"/>
        <v>0</v>
      </c>
      <c r="E31" s="834" t="str">
        <f ca="1"/>
        <v>控球率</v>
      </c>
      <c r="F31" s="834">
        <f ca="1"/>
        <v>0</v>
      </c>
      <c r="G31" s="834">
        <f ca="1"/>
        <v>0</v>
      </c>
      <c r="H31" s="834">
        <f ca="1"/>
        <v>0</v>
      </c>
      <c r="I31" s="834">
        <f ca="1"/>
        <v>0</v>
      </c>
      <c r="J31" s="834" t="str">
        <f ca="1"/>
        <v>Position</v>
      </c>
      <c r="K31" s="834" t="str">
        <f ca="1"/>
        <v>GK</v>
      </c>
      <c r="L31" s="834" t="str">
        <f ca="1"/>
        <v>GK</v>
      </c>
      <c r="M31" s="834" t="str">
        <f ca="1"/>
        <v>GK</v>
      </c>
      <c r="N31" s="834" t="str">
        <f ca="1"/>
        <v>GK</v>
      </c>
      <c r="O31" s="834" t="str">
        <f ca="1"/>
        <v>CB</v>
      </c>
      <c r="P31" s="834" t="str">
        <f ca="1"/>
        <v>RB</v>
      </c>
      <c r="Q31" s="834" t="str">
        <f ca="1"/>
        <v>CB</v>
      </c>
      <c r="R31" s="834" t="str">
        <f ca="1"/>
        <v>CB</v>
      </c>
      <c r="S31" s="834" t="str">
        <f ca="1"/>
        <v>CB</v>
      </c>
      <c r="T31" s="834" t="str">
        <f ca="1"/>
        <v>LB</v>
      </c>
      <c r="U31" s="834" t="str">
        <f ca="1"/>
        <v>CB</v>
      </c>
      <c r="V31" s="834" t="str">
        <f ca="1"/>
        <v>RB</v>
      </c>
      <c r="W31" s="834" t="str">
        <f ca="1"/>
        <v>LB</v>
      </c>
      <c r="X31" s="836" t="str">
        <f ca="1"/>
        <v>CB</v>
      </c>
      <c r="Y31" s="836" t="str">
        <f ca="1"/>
        <v>CB</v>
      </c>
      <c r="Z31" s="836" t="str">
        <f ca="1"/>
        <v>CB</v>
      </c>
      <c r="AA31" s="836" t="str">
        <f ca="1"/>
        <v>CB</v>
      </c>
      <c r="AB31" s="836" t="str">
        <f ca="1"/>
        <v>DM</v>
      </c>
      <c r="AC31" s="836" t="str">
        <f ca="1"/>
        <v>DM</v>
      </c>
      <c r="AD31" s="836" t="str">
        <f ca="1"/>
        <v>AM</v>
      </c>
      <c r="AE31" s="836" t="str">
        <f ca="1"/>
        <v>AM</v>
      </c>
      <c r="AF31" s="836" t="str">
        <f ca="1"/>
        <v>DM</v>
      </c>
      <c r="AG31" s="836" t="str">
        <f ca="1"/>
        <v>DM</v>
      </c>
      <c r="AH31" s="836" t="str">
        <f ca="1"/>
        <v>AM</v>
      </c>
      <c r="AI31" s="836" t="str">
        <f ca="1"/>
        <v>DM</v>
      </c>
      <c r="AJ31" s="836" t="str">
        <f ca="1"/>
        <v>DM</v>
      </c>
      <c r="AK31" s="836" t="str">
        <f ca="1"/>
        <v>CF</v>
      </c>
      <c r="AL31" s="836" t="str">
        <f ca="1"/>
        <v>CF</v>
      </c>
      <c r="AM31" s="836" t="str">
        <f ca="1"/>
        <v>SS</v>
      </c>
      <c r="AN31" s="836" t="str">
        <f ca="1"/>
        <v>FW</v>
      </c>
      <c r="AO31" s="836" t="str">
        <f ca="1"/>
        <v>FW</v>
      </c>
      <c r="AP31" s="836" t="str">
        <f ca="1"/>
        <v>CF</v>
      </c>
      <c r="AQ31" s="836">
        <f ca="1"/>
        <v>0</v>
      </c>
      <c r="AR31" s="836" t="str">
        <f ca="1"/>
        <v>MF</v>
      </c>
      <c r="AS31" s="836">
        <f ca="1"/>
        <v>0</v>
      </c>
      <c r="AT31" s="836">
        <f ca="1"/>
        <v>0</v>
      </c>
      <c r="AU31" s="836">
        <f ca="1"/>
        <v>0</v>
      </c>
      <c r="AV31" s="836">
        <f ca="1"/>
        <v>0</v>
      </c>
      <c r="AW31" s="836">
        <f ca="1"/>
        <v>0</v>
      </c>
      <c r="AX31" s="836">
        <f ca="1"/>
        <v>0</v>
      </c>
      <c r="AY31" s="836">
        <f ca="1"/>
        <v>0</v>
      </c>
      <c r="AZ31" s="836">
        <f ca="1"/>
        <v>0</v>
      </c>
      <c r="BA31" s="836">
        <f ca="1"/>
        <v>0</v>
      </c>
      <c r="BB31" s="836">
        <f ca="1"/>
        <v>0</v>
      </c>
      <c r="BC31" s="836">
        <f ca="1"/>
        <v>0</v>
      </c>
      <c r="BD31" s="836">
        <f ca="1"/>
        <v>0</v>
      </c>
      <c r="BE31" s="836" t="e">
        <f ca="1"/>
        <v>#N/A</v>
      </c>
      <c r="BF31" s="836" t="e">
        <f ca="1"/>
        <v>#N/A</v>
      </c>
      <c r="BG31" s="836" t="e">
        <f ca="1"/>
        <v>#N/A</v>
      </c>
      <c r="BH31" s="834" t="e">
        <f ca="1"/>
        <v>#N/A</v>
      </c>
      <c r="BI31" s="834" t="e">
        <f ca="1"/>
        <v>#N/A</v>
      </c>
      <c r="BJ31" s="834" t="e">
        <f ca="1"/>
        <v>#N/A</v>
      </c>
      <c r="BK31" s="834" t="e">
        <f ca="1"/>
        <v>#N/A</v>
      </c>
      <c r="BL31" s="834" t="e">
        <f ca="1"/>
        <v>#N/A</v>
      </c>
      <c r="BM31" s="834" t="e">
        <f ca="1"/>
        <v>#N/A</v>
      </c>
      <c r="BN31" s="834" t="e">
        <f ca="1"/>
        <v>#N/A</v>
      </c>
      <c r="BO31" s="834" t="e">
        <f ca="1"/>
        <v>#N/A</v>
      </c>
      <c r="BP31" s="834" t="e">
        <f ca="1"/>
        <v>#N/A</v>
      </c>
      <c r="BQ31" s="834" t="e">
        <f ca="1"/>
        <v>#N/A</v>
      </c>
      <c r="BR31" s="834" t="e">
        <f ca="1"/>
        <v>#N/A</v>
      </c>
      <c r="BS31" s="834" t="e">
        <f ca="1"/>
        <v>#N/A</v>
      </c>
      <c r="BT31" s="834" t="e">
        <f ca="1"/>
        <v>#N/A</v>
      </c>
      <c r="BU31" s="834" t="e">
        <f ca="1"/>
        <v>#N/A</v>
      </c>
    </row>
    <row r="32" spans="1:73">
      <c r="A32" s="835" t="str">
        <f>A31&amp;" name"</f>
        <v>Matsumoto Yamaga name</v>
      </c>
      <c r="B32" s="834" t="str">
        <f ca="1"/>
        <v>Opponent Shooting Attempts</v>
      </c>
      <c r="C32" s="834" t="str">
        <f ca="1"/>
        <v>Shooting on Target</v>
      </c>
      <c r="D32" s="834" t="str">
        <f ca="1"/>
        <v>Opponent Shooting on Target</v>
      </c>
      <c r="E32" s="834" t="str">
        <f ca="1"/>
        <v>Possession</v>
      </c>
      <c r="F32" s="834" t="str">
        <f ca="1"/>
        <v>Opponent Possession</v>
      </c>
      <c r="G32" s="834" t="str">
        <f ca="1"/>
        <v>Lineup</v>
      </c>
      <c r="H32" s="834" t="str">
        <f ca="1"/>
        <v>Goal Check</v>
      </c>
      <c r="I32" s="834" t="str">
        <f ca="1"/>
        <v>Sub Up-Down</v>
      </c>
      <c r="J32" s="834" t="str">
        <f ca="1"/>
        <v>Player Count</v>
      </c>
      <c r="K32" s="834" t="str">
        <f ca="1"/>
        <v>Eisuke Fujishima</v>
      </c>
      <c r="L32" s="834" t="str">
        <f ca="1"/>
        <v>Tomohiko Murayama</v>
      </c>
      <c r="M32" s="834" t="str">
        <f ca="1"/>
        <v>Tomoyuki Suzuki</v>
      </c>
      <c r="N32" s="834" t="str">
        <f ca="1"/>
        <v>GOH Dong Min</v>
      </c>
      <c r="O32" s="834" t="str">
        <f ca="1"/>
        <v>Sung-Hye Yeo</v>
      </c>
      <c r="P32" s="834" t="str">
        <f ca="1"/>
        <v>Hayuma Tanaka</v>
      </c>
      <c r="Q32" s="834" t="str">
        <f ca="1"/>
        <v>Masaki Iida</v>
      </c>
      <c r="R32" s="834" t="str">
        <f ca="1"/>
        <v>Jun Ando</v>
      </c>
      <c r="S32" s="834" t="str">
        <f ca="1"/>
        <v>Keita Goto</v>
      </c>
      <c r="T32" s="834" t="str">
        <f ca="1"/>
        <v>Diego</v>
      </c>
      <c r="U32" s="834" t="str">
        <f ca="1"/>
        <v>Takefumi Toma</v>
      </c>
      <c r="V32" s="834" t="str">
        <f ca="1"/>
        <v>Kenta HOSHIHARA</v>
      </c>
      <c r="W32" s="834" t="str">
        <f ca="1"/>
        <v>Masahiro Nasukawa</v>
      </c>
      <c r="X32" s="836" t="str">
        <f ca="1"/>
        <v>Kenshiro Tanioku</v>
      </c>
      <c r="Y32" s="836" t="str">
        <f ca="1"/>
        <v>Yota SHIMOKAWA</v>
      </c>
      <c r="Z32" s="836" t="str">
        <f ca="1"/>
        <v>Yuya Hashiuchi</v>
      </c>
      <c r="AA32" s="836" t="str">
        <f ca="1"/>
        <v>Yu Yasukawa</v>
      </c>
      <c r="AB32" s="836" t="str">
        <f ca="1"/>
        <v>Yudai Iwama</v>
      </c>
      <c r="AC32" s="836" t="str">
        <f ca="1"/>
        <v>Takuya Takei</v>
      </c>
      <c r="AD32" s="836" t="str">
        <f ca="1"/>
        <v>Serginho</v>
      </c>
      <c r="AE32" s="836" t="str">
        <f ca="1"/>
        <v>Kohei Kudo</v>
      </c>
      <c r="AF32" s="836" t="str">
        <f ca="1"/>
        <v>Paulinho</v>
      </c>
      <c r="AG32" s="836" t="str">
        <f ca="1"/>
        <v>Masaki Miyasaka</v>
      </c>
      <c r="AH32" s="836" t="str">
        <f ca="1"/>
        <v>Takayoshi Ishihara</v>
      </c>
      <c r="AI32" s="836" t="str">
        <f ca="1"/>
        <v>Tomotaka Okamoto</v>
      </c>
      <c r="AJ32" s="836" t="str">
        <f ca="1"/>
        <v>Ryutaro Shibata</v>
      </c>
      <c r="AK32" s="836" t="str">
        <f ca="1"/>
        <v>Hiroyuki Takasaki</v>
      </c>
      <c r="AL32" s="836" t="str">
        <f ca="1"/>
        <v>Kohei Mishima</v>
      </c>
      <c r="AM32" s="836" t="str">
        <f ca="1"/>
        <v>Hiroki Yamamoto</v>
      </c>
      <c r="AN32" s="836" t="str">
        <f ca="1"/>
        <v>Yoshiki Oka</v>
      </c>
      <c r="AO32" s="836" t="str">
        <f ca="1"/>
        <v>Musashi SUZUKI</v>
      </c>
      <c r="AP32" s="836" t="str">
        <f ca="1"/>
        <v>David</v>
      </c>
      <c r="AQ32" s="836">
        <f ca="1"/>
        <v>0</v>
      </c>
      <c r="AR32" s="836" t="str">
        <f ca="1"/>
        <v>Takaaki Shichi</v>
      </c>
      <c r="AS32" s="836">
        <f ca="1"/>
        <v>0</v>
      </c>
      <c r="AT32" s="836">
        <f ca="1"/>
        <v>0</v>
      </c>
      <c r="AU32" s="836">
        <f ca="1"/>
        <v>0</v>
      </c>
      <c r="AV32" s="836">
        <f ca="1"/>
        <v>0</v>
      </c>
      <c r="AW32" s="836">
        <f ca="1"/>
        <v>0</v>
      </c>
      <c r="AX32" s="836">
        <f ca="1"/>
        <v>0</v>
      </c>
      <c r="AY32" s="836">
        <f ca="1"/>
        <v>0</v>
      </c>
      <c r="AZ32" s="836">
        <f ca="1"/>
        <v>0</v>
      </c>
      <c r="BA32" s="836">
        <f ca="1"/>
        <v>0</v>
      </c>
      <c r="BB32" s="836">
        <f ca="1"/>
        <v>0</v>
      </c>
      <c r="BC32" s="836">
        <f ca="1"/>
        <v>0</v>
      </c>
      <c r="BD32" s="836">
        <f ca="1"/>
        <v>0</v>
      </c>
      <c r="BE32" s="836" t="e">
        <f ca="1"/>
        <v>#N/A</v>
      </c>
      <c r="BF32" s="836" t="e">
        <f ca="1"/>
        <v>#N/A</v>
      </c>
      <c r="BG32" s="836" t="e">
        <f ca="1"/>
        <v>#N/A</v>
      </c>
      <c r="BH32" s="834" t="e">
        <f ca="1"/>
        <v>#N/A</v>
      </c>
      <c r="BI32" s="834" t="e">
        <f ca="1"/>
        <v>#N/A</v>
      </c>
      <c r="BJ32" s="834" t="e">
        <f ca="1"/>
        <v>#N/A</v>
      </c>
      <c r="BK32" s="834" t="e">
        <f ca="1"/>
        <v>#N/A</v>
      </c>
      <c r="BL32" s="834" t="e">
        <f ca="1"/>
        <v>#N/A</v>
      </c>
      <c r="BM32" s="834" t="e">
        <f ca="1"/>
        <v>#N/A</v>
      </c>
      <c r="BN32" s="834" t="e">
        <f ca="1"/>
        <v>#N/A</v>
      </c>
      <c r="BO32" s="834" t="e">
        <f ca="1"/>
        <v>#N/A</v>
      </c>
      <c r="BP32" s="834" t="e">
        <f ca="1"/>
        <v>#N/A</v>
      </c>
      <c r="BQ32" s="834" t="e">
        <f ca="1"/>
        <v>#N/A</v>
      </c>
      <c r="BR32" s="834" t="e">
        <f ca="1"/>
        <v>#N/A</v>
      </c>
      <c r="BS32" s="834" t="e">
        <f ca="1"/>
        <v>#N/A</v>
      </c>
      <c r="BT32" s="834" t="e">
        <f ca="1"/>
        <v>#N/A</v>
      </c>
      <c r="BU32" s="834" t="e">
        <f ca="1"/>
        <v>#N/A</v>
      </c>
    </row>
    <row r="33" spans="1:73">
      <c r="A33" s="835" t="str">
        <f>A31&amp;" num"</f>
        <v>Matsumoto Yamaga num</v>
      </c>
      <c r="B33" s="834">
        <f ca="1"/>
        <v>0</v>
      </c>
      <c r="C33" s="834">
        <f ca="1"/>
        <v>0</v>
      </c>
      <c r="D33" s="834">
        <f ca="1"/>
        <v>0</v>
      </c>
      <c r="E33" s="834">
        <f ca="1"/>
        <v>0</v>
      </c>
      <c r="F33" s="834">
        <f ca="1"/>
        <v>0</v>
      </c>
      <c r="G33" s="834">
        <f ca="1"/>
        <v>0</v>
      </c>
      <c r="H33" s="834">
        <f ca="1"/>
        <v>0</v>
      </c>
      <c r="I33" s="834">
        <f ca="1"/>
        <v>0</v>
      </c>
      <c r="J33" s="834">
        <f ca="1"/>
        <v>0</v>
      </c>
      <c r="K33" s="834" t="str">
        <f ca="1"/>
        <v>藤嶋　栄介</v>
      </c>
      <c r="L33" s="834" t="str">
        <f ca="1"/>
        <v>村山　智彦</v>
      </c>
      <c r="M33" s="834" t="str">
        <f ca="1"/>
        <v>鈴木　智幸</v>
      </c>
      <c r="N33" s="834" t="str">
        <f ca="1"/>
        <v>ゴ　ドンミン</v>
      </c>
      <c r="O33" s="834" t="str">
        <f ca="1"/>
        <v>ヨ　ソンヘ</v>
      </c>
      <c r="P33" s="834" t="str">
        <f ca="1"/>
        <v>田中　隼磨</v>
      </c>
      <c r="Q33" s="834" t="str">
        <f ca="1"/>
        <v>飯田　真輝</v>
      </c>
      <c r="R33" s="834" t="str">
        <f ca="1"/>
        <v>安藤　淳</v>
      </c>
      <c r="S33" s="834" t="str">
        <f ca="1"/>
        <v>後藤　圭太</v>
      </c>
      <c r="T33" s="834" t="str">
        <f ca="1"/>
        <v>ジエゴ</v>
      </c>
      <c r="U33" s="834" t="str">
        <f ca="1"/>
        <v>當間　建文</v>
      </c>
      <c r="V33" s="834" t="str">
        <f ca="1"/>
        <v>星原　健太</v>
      </c>
      <c r="W33" s="834" t="str">
        <f ca="1"/>
        <v>那須川　将大</v>
      </c>
      <c r="X33" s="836" t="str">
        <f ca="1"/>
        <v>谷奥　健四郎</v>
      </c>
      <c r="Y33" s="836" t="str">
        <f ca="1"/>
        <v>下川　陽太</v>
      </c>
      <c r="Z33" s="836" t="str">
        <f ca="1"/>
        <v>橋内　優也</v>
      </c>
      <c r="AA33" s="836" t="str">
        <f ca="1"/>
        <v>安川　有</v>
      </c>
      <c r="AB33" s="836" t="str">
        <f ca="1"/>
        <v>岩間　雄大</v>
      </c>
      <c r="AC33" s="836" t="str">
        <f ca="1"/>
        <v>武井　択也</v>
      </c>
      <c r="AD33" s="836" t="str">
        <f ca="1"/>
        <v>セルジーニョ</v>
      </c>
      <c r="AE33" s="836" t="str">
        <f ca="1"/>
        <v>工藤　浩平</v>
      </c>
      <c r="AF33" s="836" t="str">
        <f ca="1"/>
        <v>パウリーニョ</v>
      </c>
      <c r="AG33" s="836" t="str">
        <f ca="1"/>
        <v>宮阪　政樹</v>
      </c>
      <c r="AH33" s="836" t="str">
        <f ca="1"/>
        <v>石原　崇兆</v>
      </c>
      <c r="AI33" s="836" t="str">
        <f ca="1"/>
        <v>岡本　知剛</v>
      </c>
      <c r="AJ33" s="836" t="str">
        <f ca="1"/>
        <v>柴田　隆太朗</v>
      </c>
      <c r="AK33" s="836" t="str">
        <f ca="1"/>
        <v>高崎　寛之</v>
      </c>
      <c r="AL33" s="836" t="str">
        <f ca="1"/>
        <v>三島　康平</v>
      </c>
      <c r="AM33" s="836" t="str">
        <f ca="1"/>
        <v>山本　大貴</v>
      </c>
      <c r="AN33" s="836" t="str">
        <f ca="1"/>
        <v>岡　佳樹</v>
      </c>
      <c r="AO33" s="836" t="str">
        <f ca="1"/>
        <v>鈴木　武蔵</v>
      </c>
      <c r="AP33" s="836" t="str">
        <f ca="1"/>
        <v>ダヴィ</v>
      </c>
      <c r="AQ33" s="836" t="str">
        <f ca="1"/>
        <v>OG</v>
      </c>
      <c r="AR33" s="836" t="str">
        <f ca="1"/>
        <v>志知　孝明</v>
      </c>
      <c r="AS33" s="836">
        <f ca="1"/>
        <v>0</v>
      </c>
      <c r="AT33" s="836">
        <f ca="1"/>
        <v>0</v>
      </c>
      <c r="AU33" s="836">
        <f ca="1"/>
        <v>0</v>
      </c>
      <c r="AV33" s="836">
        <f ca="1"/>
        <v>0</v>
      </c>
      <c r="AW33" s="836">
        <f ca="1"/>
        <v>0</v>
      </c>
      <c r="AX33" s="836">
        <f ca="1"/>
        <v>0</v>
      </c>
      <c r="AY33" s="836">
        <f ca="1"/>
        <v>0</v>
      </c>
      <c r="AZ33" s="836">
        <f ca="1"/>
        <v>0</v>
      </c>
      <c r="BA33" s="836">
        <f ca="1"/>
        <v>0</v>
      </c>
      <c r="BB33" s="836">
        <f ca="1"/>
        <v>0</v>
      </c>
      <c r="BC33" s="836">
        <f ca="1"/>
        <v>0</v>
      </c>
      <c r="BD33" s="836">
        <f ca="1"/>
        <v>0</v>
      </c>
      <c r="BE33" s="836" t="e">
        <f ca="1"/>
        <v>#N/A</v>
      </c>
      <c r="BF33" s="836" t="e">
        <f ca="1"/>
        <v>#N/A</v>
      </c>
      <c r="BG33" s="836" t="e">
        <f ca="1"/>
        <v>#N/A</v>
      </c>
      <c r="BH33" s="834" t="e">
        <f ca="1"/>
        <v>#N/A</v>
      </c>
      <c r="BI33" s="834" t="e">
        <f ca="1"/>
        <v>#N/A</v>
      </c>
      <c r="BJ33" s="834" t="e">
        <f ca="1"/>
        <v>#N/A</v>
      </c>
      <c r="BK33" s="834" t="e">
        <f ca="1"/>
        <v>#N/A</v>
      </c>
      <c r="BL33" s="834" t="e">
        <f ca="1"/>
        <v>#N/A</v>
      </c>
      <c r="BM33" s="834" t="e">
        <f ca="1"/>
        <v>#N/A</v>
      </c>
      <c r="BN33" s="834" t="e">
        <f ca="1"/>
        <v>#N/A</v>
      </c>
      <c r="BO33" s="834" t="e">
        <f ca="1"/>
        <v>#N/A</v>
      </c>
      <c r="BP33" s="834" t="e">
        <f ca="1"/>
        <v>#N/A</v>
      </c>
      <c r="BQ33" s="834" t="e">
        <f ca="1"/>
        <v>#N/A</v>
      </c>
      <c r="BR33" s="834" t="e">
        <f ca="1"/>
        <v>#N/A</v>
      </c>
      <c r="BS33" s="834" t="e">
        <f ca="1"/>
        <v>#N/A</v>
      </c>
      <c r="BT33" s="834" t="e">
        <f ca="1"/>
        <v>#N/A</v>
      </c>
      <c r="BU33" s="834" t="e">
        <f ca="1"/>
        <v>#N/A</v>
      </c>
    </row>
    <row r="34" spans="1:73">
      <c r="A34" s="17" t="str">
        <f>Helper!CM12</f>
        <v>Mito Hollyhock</v>
      </c>
      <c r="B34" s="834">
        <f t="array" aca="1" ref="B34:BU36" ca="1">INDIRECT("'"&amp;A34&amp;"'!X19:BZ21")</f>
        <v>0</v>
      </c>
      <c r="C34" s="834" t="str">
        <f ca="1"/>
        <v>射正</v>
      </c>
      <c r="D34" s="834">
        <f ca="1"/>
        <v>0</v>
      </c>
      <c r="E34" s="834" t="str">
        <f ca="1"/>
        <v>控球率</v>
      </c>
      <c r="F34" s="834">
        <f ca="1"/>
        <v>0</v>
      </c>
      <c r="G34" s="834">
        <f ca="1"/>
        <v>0</v>
      </c>
      <c r="H34" s="834">
        <f ca="1"/>
        <v>0</v>
      </c>
      <c r="I34" s="834">
        <f ca="1"/>
        <v>0</v>
      </c>
      <c r="J34" s="834" t="str">
        <f ca="1"/>
        <v>Position</v>
      </c>
      <c r="K34" s="834" t="str">
        <f ca="1"/>
        <v>GK</v>
      </c>
      <c r="L34" s="834" t="str">
        <f ca="1"/>
        <v>GK</v>
      </c>
      <c r="M34" s="834" t="str">
        <f ca="1"/>
        <v>GK</v>
      </c>
      <c r="N34" s="834" t="str">
        <f ca="1"/>
        <v>RB</v>
      </c>
      <c r="O34" s="834" t="str">
        <f ca="1"/>
        <v>LB</v>
      </c>
      <c r="P34" s="834" t="str">
        <f ca="1"/>
        <v>DF</v>
      </c>
      <c r="Q34" s="834" t="str">
        <f ca="1"/>
        <v>CB</v>
      </c>
      <c r="R34" s="834" t="str">
        <f ca="1"/>
        <v>DF</v>
      </c>
      <c r="S34" s="834" t="str">
        <f ca="1"/>
        <v>CB</v>
      </c>
      <c r="T34" s="834" t="str">
        <f ca="1"/>
        <v>CB</v>
      </c>
      <c r="U34" s="834" t="str">
        <f ca="1"/>
        <v>LB</v>
      </c>
      <c r="V34" s="834" t="str">
        <f ca="1"/>
        <v>CB</v>
      </c>
      <c r="W34" s="834" t="str">
        <f ca="1"/>
        <v>CM</v>
      </c>
      <c r="X34" s="836" t="str">
        <f ca="1"/>
        <v>LM</v>
      </c>
      <c r="Y34" s="836" t="str">
        <f ca="1"/>
        <v>AM</v>
      </c>
      <c r="Z34" s="836" t="str">
        <f ca="1"/>
        <v>MF</v>
      </c>
      <c r="AA34" s="836" t="str">
        <f ca="1"/>
        <v>MF</v>
      </c>
      <c r="AB34" s="836" t="str">
        <f ca="1"/>
        <v>MF</v>
      </c>
      <c r="AC34" s="836" t="str">
        <f ca="1"/>
        <v>AM</v>
      </c>
      <c r="AD34" s="836" t="str">
        <f ca="1"/>
        <v>MF</v>
      </c>
      <c r="AE34" s="836" t="str">
        <f ca="1"/>
        <v>MF</v>
      </c>
      <c r="AF34" s="836" t="str">
        <f ca="1"/>
        <v>RM</v>
      </c>
      <c r="AG34" s="836" t="str">
        <f ca="1"/>
        <v>LW</v>
      </c>
      <c r="AH34" s="836" t="str">
        <f ca="1"/>
        <v>LW</v>
      </c>
      <c r="AI34" s="836" t="str">
        <f ca="1"/>
        <v>LW</v>
      </c>
      <c r="AJ34" s="836" t="str">
        <f ca="1"/>
        <v>CF</v>
      </c>
      <c r="AK34" s="836" t="str">
        <f ca="1"/>
        <v>CF</v>
      </c>
      <c r="AL34" s="836" t="str">
        <f ca="1"/>
        <v>FW</v>
      </c>
      <c r="AM34" s="836" t="str">
        <f ca="1"/>
        <v>CF</v>
      </c>
      <c r="AN34" s="836" t="str">
        <f ca="1"/>
        <v>FW</v>
      </c>
      <c r="AO34" s="836" t="str">
        <f ca="1"/>
        <v>FW</v>
      </c>
      <c r="AP34" s="836" t="str">
        <f ca="1"/>
        <v>RW</v>
      </c>
      <c r="AQ34" s="836" t="str">
        <f ca="1"/>
        <v>CF</v>
      </c>
      <c r="AR34" s="836">
        <f ca="1"/>
        <v>0</v>
      </c>
      <c r="AS34" s="836">
        <f ca="1"/>
        <v>0</v>
      </c>
      <c r="AT34" s="836" t="str">
        <f ca="1"/>
        <v>RM</v>
      </c>
      <c r="AU34" s="836" t="str">
        <f ca="1"/>
        <v>DF</v>
      </c>
      <c r="AV34" s="836">
        <f ca="1"/>
        <v>0</v>
      </c>
      <c r="AW34" s="836">
        <f ca="1"/>
        <v>0</v>
      </c>
      <c r="AX34" s="836">
        <f ca="1"/>
        <v>0</v>
      </c>
      <c r="AY34" s="836">
        <f ca="1"/>
        <v>0</v>
      </c>
      <c r="AZ34" s="836">
        <f ca="1"/>
        <v>0</v>
      </c>
      <c r="BA34" s="836">
        <f ca="1"/>
        <v>0</v>
      </c>
      <c r="BB34" s="836">
        <f ca="1"/>
        <v>0</v>
      </c>
      <c r="BC34" s="836">
        <f ca="1"/>
        <v>0</v>
      </c>
      <c r="BD34" s="836">
        <f ca="1"/>
        <v>0</v>
      </c>
      <c r="BE34" s="836" t="e">
        <f ca="1"/>
        <v>#N/A</v>
      </c>
      <c r="BF34" s="836" t="e">
        <f ca="1"/>
        <v>#N/A</v>
      </c>
      <c r="BG34" s="836" t="e">
        <f ca="1"/>
        <v>#N/A</v>
      </c>
      <c r="BH34" s="834" t="e">
        <f ca="1"/>
        <v>#N/A</v>
      </c>
      <c r="BI34" s="834" t="e">
        <f ca="1"/>
        <v>#N/A</v>
      </c>
      <c r="BJ34" s="834" t="e">
        <f ca="1"/>
        <v>#N/A</v>
      </c>
      <c r="BK34" s="834" t="e">
        <f ca="1"/>
        <v>#N/A</v>
      </c>
      <c r="BL34" s="834" t="e">
        <f ca="1"/>
        <v>#N/A</v>
      </c>
      <c r="BM34" s="834" t="e">
        <f ca="1"/>
        <v>#N/A</v>
      </c>
      <c r="BN34" s="834" t="e">
        <f ca="1"/>
        <v>#N/A</v>
      </c>
      <c r="BO34" s="834" t="e">
        <f ca="1"/>
        <v>#N/A</v>
      </c>
      <c r="BP34" s="834" t="e">
        <f ca="1"/>
        <v>#N/A</v>
      </c>
      <c r="BQ34" s="834" t="e">
        <f ca="1"/>
        <v>#N/A</v>
      </c>
      <c r="BR34" s="834" t="e">
        <f ca="1"/>
        <v>#N/A</v>
      </c>
      <c r="BS34" s="834" t="e">
        <f ca="1"/>
        <v>#N/A</v>
      </c>
      <c r="BT34" s="834" t="e">
        <f ca="1"/>
        <v>#N/A</v>
      </c>
      <c r="BU34" s="834" t="e">
        <f ca="1"/>
        <v>#N/A</v>
      </c>
    </row>
    <row r="35" spans="1:73">
      <c r="A35" s="835" t="str">
        <f>A34&amp;" name"</f>
        <v>Mito Hollyhock name</v>
      </c>
      <c r="B35" s="834" t="str">
        <f ca="1"/>
        <v>Opponent Shooting Attempts</v>
      </c>
      <c r="C35" s="834" t="str">
        <f ca="1"/>
        <v>Shooting on Target</v>
      </c>
      <c r="D35" s="834" t="str">
        <f ca="1"/>
        <v>Opponent Shooting on Target</v>
      </c>
      <c r="E35" s="834" t="str">
        <f ca="1"/>
        <v>Possession</v>
      </c>
      <c r="F35" s="834" t="str">
        <f ca="1"/>
        <v>Opponent Possession</v>
      </c>
      <c r="G35" s="834" t="str">
        <f ca="1"/>
        <v>Lineup</v>
      </c>
      <c r="H35" s="834" t="str">
        <f ca="1"/>
        <v>Goal Check</v>
      </c>
      <c r="I35" s="834" t="str">
        <f ca="1"/>
        <v>Sub Up-Down</v>
      </c>
      <c r="J35" s="834" t="str">
        <f ca="1"/>
        <v>Player Count</v>
      </c>
      <c r="K35" s="834" t="str">
        <f ca="1"/>
        <v>Koji Homma</v>
      </c>
      <c r="L35" s="834" t="str">
        <f ca="1"/>
        <v>Takashi Kasahara</v>
      </c>
      <c r="M35" s="834" t="str">
        <f ca="1"/>
        <v>Akihisa Okada</v>
      </c>
      <c r="N35" s="834" t="str">
        <f ca="1"/>
        <v>Taiki Tamukai</v>
      </c>
      <c r="O35" s="834" t="str">
        <f ca="1"/>
        <v>Kazuki Sato</v>
      </c>
      <c r="P35" s="834" t="str">
        <f ca="1"/>
        <v>Junya Imase</v>
      </c>
      <c r="Q35" s="834" t="str">
        <f ca="1"/>
        <v>Junya Hosokawa</v>
      </c>
      <c r="R35" s="834" t="str">
        <f ca="1"/>
        <v>Takuma HAMASAKI</v>
      </c>
      <c r="S35" s="834" t="str">
        <f ca="1"/>
        <v>Paulao</v>
      </c>
      <c r="T35" s="834" t="str">
        <f ca="1"/>
        <v>Ryoji Fukui</v>
      </c>
      <c r="U35" s="834" t="str">
        <f ca="1"/>
        <v>Ryusei Saito</v>
      </c>
      <c r="V35" s="834" t="str">
        <f ca="1"/>
        <v>Yuto NAGASAKA</v>
      </c>
      <c r="W35" s="834" t="str">
        <f ca="1"/>
        <v>Kohei Uchida</v>
      </c>
      <c r="X35" s="836" t="str">
        <f ca="1"/>
        <v>Kazuhiro Sato</v>
      </c>
      <c r="Y35" s="836" t="str">
        <f ca="1"/>
        <v>Sho Sato</v>
      </c>
      <c r="Z35" s="836" t="str">
        <f ca="1"/>
        <v>Eiji Shirai</v>
      </c>
      <c r="AA35" s="836" t="str">
        <f ca="1"/>
        <v>Yosuke Nakagawa</v>
      </c>
      <c r="AB35" s="836" t="str">
        <f ca="1"/>
        <v>Masato Kojima</v>
      </c>
      <c r="AC35" s="836" t="str">
        <f ca="1"/>
        <v>Shota Saito</v>
      </c>
      <c r="AD35" s="836" t="str">
        <f ca="1"/>
        <v>Ryotaro ITO</v>
      </c>
      <c r="AE35" s="836" t="str">
        <f ca="1"/>
        <v>Ryo TOYAMA</v>
      </c>
      <c r="AF35" s="836" t="str">
        <f ca="1"/>
        <v>Young-Jin Kwon</v>
      </c>
      <c r="AG35" s="836" t="str">
        <f ca="1"/>
        <v>Keisuke Funatani</v>
      </c>
      <c r="AH35" s="836" t="str">
        <f ca="1"/>
        <v>Koji HASHIMOTO</v>
      </c>
      <c r="AI35" s="836" t="str">
        <f ca="1"/>
        <v>Yosuke Yuzawa</v>
      </c>
      <c r="AJ35" s="836" t="str">
        <f ca="1"/>
        <v>Ryohei Hayashi</v>
      </c>
      <c r="AK35" s="836" t="str">
        <f ca="1"/>
        <v>Hiroki Bandai</v>
      </c>
      <c r="AL35" s="836" t="str">
        <f ca="1"/>
        <v>Taisei Kadoguchi</v>
      </c>
      <c r="AM35" s="836" t="str">
        <f ca="1"/>
        <v>Yuki Yamamura</v>
      </c>
      <c r="AN35" s="836" t="str">
        <f ca="1"/>
        <v>Takuya Miyamoto</v>
      </c>
      <c r="AO35" s="836" t="str">
        <f ca="1"/>
        <v>Daizen Maeda</v>
      </c>
      <c r="AP35" s="836" t="str">
        <f ca="1"/>
        <v>Takafumi SHIMIZU</v>
      </c>
      <c r="AQ35" s="836" t="str">
        <f ca="1"/>
        <v>Keita Saito</v>
      </c>
      <c r="AR35" s="836">
        <f ca="1"/>
        <v>0</v>
      </c>
      <c r="AS35" s="836">
        <f ca="1"/>
        <v>0</v>
      </c>
      <c r="AT35" s="836" t="str">
        <f ca="1"/>
        <v>Keita Tanaka</v>
      </c>
      <c r="AU35" s="836" t="str">
        <f ca="1"/>
        <v>Makito Ito</v>
      </c>
      <c r="AV35" s="836">
        <f ca="1"/>
        <v>0</v>
      </c>
      <c r="AW35" s="836">
        <f ca="1"/>
        <v>0</v>
      </c>
      <c r="AX35" s="836">
        <f ca="1"/>
        <v>0</v>
      </c>
      <c r="AY35" s="836">
        <f ca="1"/>
        <v>0</v>
      </c>
      <c r="AZ35" s="836">
        <f ca="1"/>
        <v>0</v>
      </c>
      <c r="BA35" s="836">
        <f ca="1"/>
        <v>0</v>
      </c>
      <c r="BB35" s="836">
        <f ca="1"/>
        <v>0</v>
      </c>
      <c r="BC35" s="836">
        <f ca="1"/>
        <v>0</v>
      </c>
      <c r="BD35" s="836">
        <f ca="1"/>
        <v>0</v>
      </c>
      <c r="BE35" s="836" t="e">
        <f ca="1"/>
        <v>#N/A</v>
      </c>
      <c r="BF35" s="836" t="e">
        <f ca="1"/>
        <v>#N/A</v>
      </c>
      <c r="BG35" s="836" t="e">
        <f ca="1"/>
        <v>#N/A</v>
      </c>
      <c r="BH35" s="834" t="e">
        <f ca="1"/>
        <v>#N/A</v>
      </c>
      <c r="BI35" s="834" t="e">
        <f ca="1"/>
        <v>#N/A</v>
      </c>
      <c r="BJ35" s="834" t="e">
        <f ca="1"/>
        <v>#N/A</v>
      </c>
      <c r="BK35" s="834" t="e">
        <f ca="1"/>
        <v>#N/A</v>
      </c>
      <c r="BL35" s="834" t="e">
        <f ca="1"/>
        <v>#N/A</v>
      </c>
      <c r="BM35" s="834" t="e">
        <f ca="1"/>
        <v>#N/A</v>
      </c>
      <c r="BN35" s="834" t="e">
        <f ca="1"/>
        <v>#N/A</v>
      </c>
      <c r="BO35" s="834" t="e">
        <f ca="1"/>
        <v>#N/A</v>
      </c>
      <c r="BP35" s="834" t="e">
        <f ca="1"/>
        <v>#N/A</v>
      </c>
      <c r="BQ35" s="834" t="e">
        <f ca="1"/>
        <v>#N/A</v>
      </c>
      <c r="BR35" s="834" t="e">
        <f ca="1"/>
        <v>#N/A</v>
      </c>
      <c r="BS35" s="834" t="e">
        <f ca="1"/>
        <v>#N/A</v>
      </c>
      <c r="BT35" s="834" t="e">
        <f ca="1"/>
        <v>#N/A</v>
      </c>
      <c r="BU35" s="834" t="e">
        <f ca="1"/>
        <v>#N/A</v>
      </c>
    </row>
    <row r="36" spans="1:73">
      <c r="A36" s="835" t="str">
        <f>A34&amp;" num"</f>
        <v>Mito Hollyhock num</v>
      </c>
      <c r="B36" s="834">
        <f ca="1"/>
        <v>0</v>
      </c>
      <c r="C36" s="834">
        <f ca="1"/>
        <v>0</v>
      </c>
      <c r="D36" s="834">
        <f ca="1"/>
        <v>0</v>
      </c>
      <c r="E36" s="834">
        <f ca="1"/>
        <v>0</v>
      </c>
      <c r="F36" s="834">
        <f ca="1"/>
        <v>0</v>
      </c>
      <c r="G36" s="834">
        <f ca="1"/>
        <v>0</v>
      </c>
      <c r="H36" s="834">
        <f ca="1"/>
        <v>0</v>
      </c>
      <c r="I36" s="834">
        <f ca="1"/>
        <v>0</v>
      </c>
      <c r="J36" s="834">
        <f ca="1"/>
        <v>0</v>
      </c>
      <c r="K36" s="834" t="str">
        <f ca="1"/>
        <v>本間　幸司</v>
      </c>
      <c r="L36" s="834" t="str">
        <f ca="1"/>
        <v>笠原　昂史</v>
      </c>
      <c r="M36" s="834" t="str">
        <f ca="1"/>
        <v>岡田　明久</v>
      </c>
      <c r="N36" s="834" t="str">
        <f ca="1"/>
        <v>田向　泰輝</v>
      </c>
      <c r="O36" s="834" t="str">
        <f ca="1"/>
        <v>佐藤　和樹</v>
      </c>
      <c r="P36" s="834" t="str">
        <f ca="1"/>
        <v>今瀬　淳也</v>
      </c>
      <c r="Q36" s="834" t="str">
        <f ca="1"/>
        <v>細川　淳矢</v>
      </c>
      <c r="R36" s="834" t="str">
        <f ca="1"/>
        <v>浜崎　拓磨</v>
      </c>
      <c r="S36" s="834" t="str">
        <f ca="1"/>
        <v>パウロン</v>
      </c>
      <c r="T36" s="834" t="str">
        <f ca="1"/>
        <v>福井　諒司</v>
      </c>
      <c r="U36" s="834" t="str">
        <f ca="1"/>
        <v>齊藤　隆成</v>
      </c>
      <c r="V36" s="834" t="str">
        <f ca="1"/>
        <v>永坂　勇人</v>
      </c>
      <c r="W36" s="834" t="str">
        <f ca="1"/>
        <v>内田　航平</v>
      </c>
      <c r="X36" s="836" t="str">
        <f ca="1"/>
        <v>佐藤　和弘</v>
      </c>
      <c r="Y36" s="836" t="str">
        <f ca="1"/>
        <v>佐藤　祥</v>
      </c>
      <c r="Z36" s="836" t="str">
        <f ca="1"/>
        <v>白井　永地</v>
      </c>
      <c r="AA36" s="836" t="str">
        <f ca="1"/>
        <v>中川　洋介</v>
      </c>
      <c r="AB36" s="836" t="str">
        <f ca="1"/>
        <v>小島　幹敏</v>
      </c>
      <c r="AC36" s="836" t="str">
        <f ca="1"/>
        <v>斎藤　翔太</v>
      </c>
      <c r="AD36" s="836" t="str">
        <f ca="1"/>
        <v>伊藤　涼太郎</v>
      </c>
      <c r="AE36" s="836" t="str">
        <f ca="1"/>
        <v>外山　凌</v>
      </c>
      <c r="AF36" s="836" t="str">
        <f ca="1"/>
        <v>クォン　ヨンジン</v>
      </c>
      <c r="AG36" s="836" t="str">
        <f ca="1"/>
        <v>船谷　圭祐</v>
      </c>
      <c r="AH36" s="836" t="str">
        <f ca="1"/>
        <v>橋本　晃司</v>
      </c>
      <c r="AI36" s="836" t="str">
        <f ca="1"/>
        <v>湯澤　洋介</v>
      </c>
      <c r="AJ36" s="836" t="str">
        <f ca="1"/>
        <v>林　陵平</v>
      </c>
      <c r="AK36" s="836" t="str">
        <f ca="1"/>
        <v>萬代　宏樹</v>
      </c>
      <c r="AL36" s="836" t="str">
        <f ca="1"/>
        <v>角口　大征</v>
      </c>
      <c r="AM36" s="836" t="str">
        <f ca="1"/>
        <v>山村　佑樹</v>
      </c>
      <c r="AN36" s="836" t="str">
        <f ca="1"/>
        <v>宮本　拓弥</v>
      </c>
      <c r="AO36" s="836" t="str">
        <f ca="1"/>
        <v>前田　大然</v>
      </c>
      <c r="AP36" s="836" t="str">
        <f ca="1"/>
        <v>清水　貴文</v>
      </c>
      <c r="AQ36" s="836" t="str">
        <f ca="1"/>
        <v>齋藤　恵太</v>
      </c>
      <c r="AR36" s="836" t="str">
        <f ca="1"/>
        <v>OG</v>
      </c>
      <c r="AS36" s="836">
        <f ca="1"/>
        <v>0</v>
      </c>
      <c r="AT36" s="836" t="str">
        <f ca="1"/>
        <v>田中　恵太</v>
      </c>
      <c r="AU36" s="836" t="str">
        <f ca="1"/>
        <v>伊藤　槙人</v>
      </c>
      <c r="AV36" s="836">
        <f ca="1"/>
        <v>0</v>
      </c>
      <c r="AW36" s="836">
        <f ca="1"/>
        <v>0</v>
      </c>
      <c r="AX36" s="836">
        <f ca="1"/>
        <v>0</v>
      </c>
      <c r="AY36" s="836">
        <f ca="1"/>
        <v>0</v>
      </c>
      <c r="AZ36" s="836">
        <f ca="1"/>
        <v>0</v>
      </c>
      <c r="BA36" s="836">
        <f ca="1"/>
        <v>0</v>
      </c>
      <c r="BB36" s="836">
        <f ca="1"/>
        <v>0</v>
      </c>
      <c r="BC36" s="836">
        <f ca="1"/>
        <v>0</v>
      </c>
      <c r="BD36" s="836">
        <f ca="1"/>
        <v>0</v>
      </c>
      <c r="BE36" s="836" t="e">
        <f ca="1"/>
        <v>#N/A</v>
      </c>
      <c r="BF36" s="836" t="e">
        <f ca="1"/>
        <v>#N/A</v>
      </c>
      <c r="BG36" s="836" t="e">
        <f ca="1"/>
        <v>#N/A</v>
      </c>
      <c r="BH36" s="834" t="e">
        <f ca="1"/>
        <v>#N/A</v>
      </c>
      <c r="BI36" s="834" t="e">
        <f ca="1"/>
        <v>#N/A</v>
      </c>
      <c r="BJ36" s="834" t="e">
        <f ca="1"/>
        <v>#N/A</v>
      </c>
      <c r="BK36" s="834" t="e">
        <f ca="1"/>
        <v>#N/A</v>
      </c>
      <c r="BL36" s="834" t="e">
        <f ca="1"/>
        <v>#N/A</v>
      </c>
      <c r="BM36" s="834" t="e">
        <f ca="1"/>
        <v>#N/A</v>
      </c>
      <c r="BN36" s="834" t="e">
        <f ca="1"/>
        <v>#N/A</v>
      </c>
      <c r="BO36" s="834" t="e">
        <f ca="1"/>
        <v>#N/A</v>
      </c>
      <c r="BP36" s="834" t="e">
        <f ca="1"/>
        <v>#N/A</v>
      </c>
      <c r="BQ36" s="834" t="e">
        <f ca="1"/>
        <v>#N/A</v>
      </c>
      <c r="BR36" s="834" t="e">
        <f ca="1"/>
        <v>#N/A</v>
      </c>
      <c r="BS36" s="834" t="e">
        <f ca="1"/>
        <v>#N/A</v>
      </c>
      <c r="BT36" s="834" t="e">
        <f ca="1"/>
        <v>#N/A</v>
      </c>
      <c r="BU36" s="834" t="e">
        <f ca="1"/>
        <v>#N/A</v>
      </c>
    </row>
    <row r="37" spans="1:73">
      <c r="A37" s="17" t="str">
        <f>Helper!CM13</f>
        <v>Montedio Yamagata</v>
      </c>
      <c r="B37" s="834">
        <f t="array" aca="1" ref="B37:BU39" ca="1">INDIRECT("'"&amp;A37&amp;"'!X19:BZ21")</f>
        <v>0</v>
      </c>
      <c r="C37" s="834" t="str">
        <f ca="1"/>
        <v>射正</v>
      </c>
      <c r="D37" s="834">
        <f ca="1"/>
        <v>0</v>
      </c>
      <c r="E37" s="834" t="str">
        <f ca="1"/>
        <v>控球率</v>
      </c>
      <c r="F37" s="834">
        <f ca="1"/>
        <v>0</v>
      </c>
      <c r="G37" s="834">
        <f ca="1"/>
        <v>0</v>
      </c>
      <c r="H37" s="834">
        <f ca="1"/>
        <v>0</v>
      </c>
      <c r="I37" s="834">
        <f ca="1"/>
        <v>0</v>
      </c>
      <c r="J37" s="834" t="str">
        <f ca="1"/>
        <v>Position</v>
      </c>
      <c r="K37" s="834" t="str">
        <f ca="1"/>
        <v>GK</v>
      </c>
      <c r="L37" s="834" t="str">
        <f ca="1"/>
        <v>GK</v>
      </c>
      <c r="M37" s="834" t="str">
        <f ca="1"/>
        <v>GK</v>
      </c>
      <c r="N37" s="834" t="str">
        <f ca="1"/>
        <v>DF</v>
      </c>
      <c r="O37" s="834" t="str">
        <f ca="1"/>
        <v>LB</v>
      </c>
      <c r="P37" s="834" t="str">
        <f ca="1"/>
        <v>CB</v>
      </c>
      <c r="Q37" s="834" t="str">
        <f ca="1"/>
        <v>RB</v>
      </c>
      <c r="R37" s="834" t="str">
        <f ca="1"/>
        <v>CB</v>
      </c>
      <c r="S37" s="834" t="str">
        <f ca="1"/>
        <v>RB</v>
      </c>
      <c r="T37" s="834" t="str">
        <f ca="1"/>
        <v>LB</v>
      </c>
      <c r="U37" s="834" t="str">
        <f ca="1"/>
        <v>CB</v>
      </c>
      <c r="V37" s="834" t="str">
        <f ca="1"/>
        <v>CB</v>
      </c>
      <c r="W37" s="834" t="str">
        <f ca="1"/>
        <v>DF</v>
      </c>
      <c r="X37" s="836" t="str">
        <f ca="1"/>
        <v>LB</v>
      </c>
      <c r="Y37" s="836" t="str">
        <f ca="1"/>
        <v>DF</v>
      </c>
      <c r="Z37" s="836" t="str">
        <f ca="1"/>
        <v>MF</v>
      </c>
      <c r="AA37" s="836" t="str">
        <f ca="1"/>
        <v>DM</v>
      </c>
      <c r="AB37" s="836" t="str">
        <f ca="1"/>
        <v>AM</v>
      </c>
      <c r="AC37" s="836" t="str">
        <f ca="1"/>
        <v>DM</v>
      </c>
      <c r="AD37" s="836" t="str">
        <f ca="1"/>
        <v>AM</v>
      </c>
      <c r="AE37" s="836" t="str">
        <f ca="1"/>
        <v>MF</v>
      </c>
      <c r="AF37" s="836" t="str">
        <f ca="1"/>
        <v>CM</v>
      </c>
      <c r="AG37" s="836" t="str">
        <f ca="1"/>
        <v>CM</v>
      </c>
      <c r="AH37" s="836" t="str">
        <f ca="1"/>
        <v>MF</v>
      </c>
      <c r="AI37" s="836" t="str">
        <f ca="1"/>
        <v>MF</v>
      </c>
      <c r="AJ37" s="836" t="str">
        <f ca="1"/>
        <v>CF</v>
      </c>
      <c r="AK37" s="836" t="str">
        <f ca="1"/>
        <v>LW</v>
      </c>
      <c r="AL37" s="836" t="str">
        <f ca="1"/>
        <v>CF</v>
      </c>
      <c r="AM37" s="836" t="str">
        <f ca="1"/>
        <v>CF</v>
      </c>
      <c r="AN37" s="836" t="str">
        <f ca="1"/>
        <v>FW</v>
      </c>
      <c r="AO37" s="836" t="str">
        <f ca="1"/>
        <v>CF</v>
      </c>
      <c r="AP37" s="836" t="str">
        <f ca="1"/>
        <v>RW</v>
      </c>
      <c r="AQ37" s="836">
        <f ca="1"/>
        <v>0</v>
      </c>
      <c r="AR37" s="836">
        <f ca="1"/>
        <v>0</v>
      </c>
      <c r="AS37" s="836">
        <f ca="1"/>
        <v>0</v>
      </c>
      <c r="AT37" s="836">
        <f ca="1"/>
        <v>0</v>
      </c>
      <c r="AU37" s="836">
        <f ca="1"/>
        <v>0</v>
      </c>
      <c r="AV37" s="836">
        <f ca="1"/>
        <v>0</v>
      </c>
      <c r="AW37" s="836">
        <f ca="1"/>
        <v>0</v>
      </c>
      <c r="AX37" s="836">
        <f ca="1"/>
        <v>0</v>
      </c>
      <c r="AY37" s="836">
        <f ca="1"/>
        <v>0</v>
      </c>
      <c r="AZ37" s="836">
        <f ca="1"/>
        <v>0</v>
      </c>
      <c r="BA37" s="836">
        <f ca="1"/>
        <v>0</v>
      </c>
      <c r="BB37" s="836">
        <f ca="1"/>
        <v>0</v>
      </c>
      <c r="BC37" s="836">
        <f ca="1"/>
        <v>0</v>
      </c>
      <c r="BD37" s="836">
        <f ca="1"/>
        <v>0</v>
      </c>
      <c r="BE37" s="836" t="e">
        <f ca="1"/>
        <v>#N/A</v>
      </c>
      <c r="BF37" s="836" t="e">
        <f ca="1"/>
        <v>#N/A</v>
      </c>
      <c r="BG37" s="836" t="e">
        <f ca="1"/>
        <v>#N/A</v>
      </c>
      <c r="BH37" s="834" t="e">
        <f ca="1"/>
        <v>#N/A</v>
      </c>
      <c r="BI37" s="834" t="e">
        <f ca="1"/>
        <v>#N/A</v>
      </c>
      <c r="BJ37" s="834" t="e">
        <f ca="1"/>
        <v>#N/A</v>
      </c>
      <c r="BK37" s="834" t="e">
        <f ca="1"/>
        <v>#N/A</v>
      </c>
      <c r="BL37" s="834" t="e">
        <f ca="1"/>
        <v>#N/A</v>
      </c>
      <c r="BM37" s="834" t="e">
        <f ca="1"/>
        <v>#N/A</v>
      </c>
      <c r="BN37" s="834" t="e">
        <f ca="1"/>
        <v>#N/A</v>
      </c>
      <c r="BO37" s="834" t="e">
        <f ca="1"/>
        <v>#N/A</v>
      </c>
      <c r="BP37" s="834" t="e">
        <f ca="1"/>
        <v>#N/A</v>
      </c>
      <c r="BQ37" s="834" t="e">
        <f ca="1"/>
        <v>#N/A</v>
      </c>
      <c r="BR37" s="834" t="e">
        <f ca="1"/>
        <v>#N/A</v>
      </c>
      <c r="BS37" s="834" t="e">
        <f ca="1"/>
        <v>#N/A</v>
      </c>
      <c r="BT37" s="834" t="e">
        <f ca="1"/>
        <v>#N/A</v>
      </c>
      <c r="BU37" s="834" t="e">
        <f ca="1"/>
        <v>#N/A</v>
      </c>
    </row>
    <row r="38" spans="1:73">
      <c r="A38" s="835" t="str">
        <f>A37&amp;" name"</f>
        <v>Montedio Yamagata name</v>
      </c>
      <c r="B38" s="834" t="str">
        <f ca="1"/>
        <v>Opponent Shooting Attempts</v>
      </c>
      <c r="C38" s="834" t="str">
        <f ca="1"/>
        <v>Shooting on Target</v>
      </c>
      <c r="D38" s="834" t="str">
        <f ca="1"/>
        <v>Opponent Shooting on Target</v>
      </c>
      <c r="E38" s="834" t="str">
        <f ca="1"/>
        <v>Possession</v>
      </c>
      <c r="F38" s="834" t="str">
        <f ca="1"/>
        <v>Opponent Possession</v>
      </c>
      <c r="G38" s="834" t="str">
        <f ca="1"/>
        <v>Lineup</v>
      </c>
      <c r="H38" s="834" t="str">
        <f ca="1"/>
        <v>Goal Check</v>
      </c>
      <c r="I38" s="834" t="str">
        <f ca="1"/>
        <v>Sub Up-Down</v>
      </c>
      <c r="J38" s="834" t="str">
        <f ca="1"/>
        <v>Player Count</v>
      </c>
      <c r="K38" s="834" t="str">
        <f ca="1"/>
        <v>Tsuyoshi Kodama</v>
      </c>
      <c r="L38" s="834" t="str">
        <f ca="1"/>
        <v>Daiki Tomii</v>
      </c>
      <c r="M38" s="834" t="str">
        <f ca="1"/>
        <v>Hayato Settsu</v>
      </c>
      <c r="N38" s="834" t="str">
        <f ca="1"/>
        <v>Ryoma Nishimura</v>
      </c>
      <c r="O38" s="834" t="str">
        <f ca="1"/>
        <v>Kazuki Segawa</v>
      </c>
      <c r="P38" s="834" t="str">
        <f ca="1"/>
        <v>Naoki Kuriyama</v>
      </c>
      <c r="Q38" s="834" t="str">
        <f ca="1"/>
        <v>Hirokazu Usami</v>
      </c>
      <c r="R38" s="834" t="str">
        <f ca="1"/>
        <v>Shunya Suganuma</v>
      </c>
      <c r="S38" s="834" t="str">
        <f ca="1"/>
        <v>Takumi Yamada</v>
      </c>
      <c r="T38" s="834" t="str">
        <f ca="1"/>
        <v>Tatsuya Ishikawa</v>
      </c>
      <c r="U38" s="834" t="str">
        <f ca="1"/>
        <v>Kenichi Kaga</v>
      </c>
      <c r="V38" s="834" t="str">
        <f ca="1"/>
        <v>Rikiya Motegi</v>
      </c>
      <c r="W38" s="834" t="str">
        <f ca="1"/>
        <v>Je-Seung Lee</v>
      </c>
      <c r="X38" s="836" t="str">
        <f ca="1"/>
        <v>Toshiya Takagi</v>
      </c>
      <c r="Y38" s="836" t="str">
        <f ca="1"/>
        <v>Naruki TAKAHASHI</v>
      </c>
      <c r="Z38" s="836" t="str">
        <f ca="1"/>
        <v>Bon-Hyeok Koo</v>
      </c>
      <c r="AA38" s="836" t="str">
        <f ca="1"/>
        <v>Ryosuke Matsuoka</v>
      </c>
      <c r="AB38" s="836" t="str">
        <f ca="1"/>
        <v>Koki Kazama</v>
      </c>
      <c r="AC38" s="836" t="str">
        <f ca="1"/>
        <v>Takuya Honda</v>
      </c>
      <c r="AD38" s="836" t="str">
        <f ca="1"/>
        <v>Yuhei Sato</v>
      </c>
      <c r="AE38" s="836" t="str">
        <f ca="1"/>
        <v>Shun Nakamura</v>
      </c>
      <c r="AF38" s="836" t="str">
        <f ca="1"/>
        <v>Kenji Arabori</v>
      </c>
      <c r="AG38" s="836" t="str">
        <f ca="1"/>
        <v>Yuto Suzuki</v>
      </c>
      <c r="AH38" s="836" t="str">
        <f ca="1"/>
        <v>Kaito ANZAI</v>
      </c>
      <c r="AI38" s="836" t="str">
        <f ca="1"/>
        <v>Yoichi NAGANUMA</v>
      </c>
      <c r="AJ38" s="836" t="str">
        <f ca="1"/>
        <v>Shuto Minami</v>
      </c>
      <c r="AK38" s="836" t="str">
        <f ca="1"/>
        <v>Koya Yuruki</v>
      </c>
      <c r="AL38" s="836" t="str">
        <f ca="1"/>
        <v>Yuji Senuma</v>
      </c>
      <c r="AM38" s="836" t="str">
        <f ca="1"/>
        <v>Toyofumi Sakano</v>
      </c>
      <c r="AN38" s="836" t="str">
        <f ca="1"/>
        <v>Ayumu Nagato</v>
      </c>
      <c r="AO38" s="836" t="str">
        <f ca="1"/>
        <v>Masato Nakayama</v>
      </c>
      <c r="AP38" s="836" t="str">
        <f ca="1"/>
        <v>Tetsuro OTA</v>
      </c>
      <c r="AQ38" s="836">
        <f ca="1"/>
        <v>0</v>
      </c>
      <c r="AR38" s="836">
        <f ca="1"/>
        <v>0</v>
      </c>
      <c r="AS38" s="836">
        <f ca="1"/>
        <v>0</v>
      </c>
      <c r="AT38" s="836">
        <f ca="1"/>
        <v>0</v>
      </c>
      <c r="AU38" s="836">
        <f ca="1"/>
        <v>0</v>
      </c>
      <c r="AV38" s="836">
        <f ca="1"/>
        <v>0</v>
      </c>
      <c r="AW38" s="836">
        <f ca="1"/>
        <v>0</v>
      </c>
      <c r="AX38" s="836">
        <f ca="1"/>
        <v>0</v>
      </c>
      <c r="AY38" s="836">
        <f ca="1"/>
        <v>0</v>
      </c>
      <c r="AZ38" s="836">
        <f ca="1"/>
        <v>0</v>
      </c>
      <c r="BA38" s="836">
        <f ca="1"/>
        <v>0</v>
      </c>
      <c r="BB38" s="836">
        <f ca="1"/>
        <v>0</v>
      </c>
      <c r="BC38" s="836">
        <f ca="1"/>
        <v>0</v>
      </c>
      <c r="BD38" s="836">
        <f ca="1"/>
        <v>0</v>
      </c>
      <c r="BE38" s="836" t="e">
        <f ca="1"/>
        <v>#N/A</v>
      </c>
      <c r="BF38" s="836" t="e">
        <f ca="1"/>
        <v>#N/A</v>
      </c>
      <c r="BG38" s="836" t="e">
        <f ca="1"/>
        <v>#N/A</v>
      </c>
      <c r="BH38" s="834" t="e">
        <f ca="1"/>
        <v>#N/A</v>
      </c>
      <c r="BI38" s="834" t="e">
        <f ca="1"/>
        <v>#N/A</v>
      </c>
      <c r="BJ38" s="834" t="e">
        <f ca="1"/>
        <v>#N/A</v>
      </c>
      <c r="BK38" s="834" t="e">
        <f ca="1"/>
        <v>#N/A</v>
      </c>
      <c r="BL38" s="834" t="e">
        <f ca="1"/>
        <v>#N/A</v>
      </c>
      <c r="BM38" s="834" t="e">
        <f ca="1"/>
        <v>#N/A</v>
      </c>
      <c r="BN38" s="834" t="e">
        <f ca="1"/>
        <v>#N/A</v>
      </c>
      <c r="BO38" s="834" t="e">
        <f ca="1"/>
        <v>#N/A</v>
      </c>
      <c r="BP38" s="834" t="e">
        <f ca="1"/>
        <v>#N/A</v>
      </c>
      <c r="BQ38" s="834" t="e">
        <f ca="1"/>
        <v>#N/A</v>
      </c>
      <c r="BR38" s="834" t="e">
        <f ca="1"/>
        <v>#N/A</v>
      </c>
      <c r="BS38" s="834" t="e">
        <f ca="1"/>
        <v>#N/A</v>
      </c>
      <c r="BT38" s="834" t="e">
        <f ca="1"/>
        <v>#N/A</v>
      </c>
      <c r="BU38" s="834" t="e">
        <f ca="1"/>
        <v>#N/A</v>
      </c>
    </row>
    <row r="39" spans="1:73">
      <c r="A39" s="835" t="str">
        <f>A37&amp;" num"</f>
        <v>Montedio Yamagata num</v>
      </c>
      <c r="B39" s="834">
        <f ca="1"/>
        <v>0</v>
      </c>
      <c r="C39" s="834">
        <f ca="1"/>
        <v>0</v>
      </c>
      <c r="D39" s="834">
        <f ca="1"/>
        <v>0</v>
      </c>
      <c r="E39" s="834">
        <f ca="1"/>
        <v>0</v>
      </c>
      <c r="F39" s="834">
        <f ca="1"/>
        <v>0</v>
      </c>
      <c r="G39" s="834">
        <f ca="1"/>
        <v>0</v>
      </c>
      <c r="H39" s="834">
        <f ca="1"/>
        <v>0</v>
      </c>
      <c r="I39" s="834">
        <f ca="1"/>
        <v>0</v>
      </c>
      <c r="J39" s="834">
        <f ca="1"/>
        <v>0</v>
      </c>
      <c r="K39" s="834" t="str">
        <f ca="1"/>
        <v>児玉　剛</v>
      </c>
      <c r="L39" s="834" t="str">
        <f ca="1"/>
        <v>富居　大樹</v>
      </c>
      <c r="M39" s="834" t="str">
        <f ca="1"/>
        <v>摂津　颯登</v>
      </c>
      <c r="N39" s="834" t="str">
        <f ca="1"/>
        <v>西村　竜馬</v>
      </c>
      <c r="O39" s="834" t="str">
        <f ca="1"/>
        <v>瀬川　和樹</v>
      </c>
      <c r="P39" s="834" t="str">
        <f ca="1"/>
        <v>栗山　直樹</v>
      </c>
      <c r="Q39" s="834" t="str">
        <f ca="1"/>
        <v>宇佐美　宏和</v>
      </c>
      <c r="R39" s="834" t="str">
        <f ca="1"/>
        <v>菅沼　駿哉</v>
      </c>
      <c r="S39" s="834" t="str">
        <f ca="1"/>
        <v>山田　拓巳</v>
      </c>
      <c r="T39" s="834" t="str">
        <f ca="1"/>
        <v>石川　竜也</v>
      </c>
      <c r="U39" s="834" t="str">
        <f ca="1"/>
        <v>加賀　健一</v>
      </c>
      <c r="V39" s="834" t="str">
        <f ca="1"/>
        <v>茂木　力也</v>
      </c>
      <c r="W39" s="834" t="str">
        <f ca="1"/>
        <v>イ　ジェスン</v>
      </c>
      <c r="X39" s="836" t="str">
        <f ca="1"/>
        <v>高木　利弥</v>
      </c>
      <c r="Y39" s="836" t="str">
        <f ca="1"/>
        <v>髙橋　成樹</v>
      </c>
      <c r="Z39" s="836" t="str">
        <f ca="1"/>
        <v>ク　ボンヒョク</v>
      </c>
      <c r="AA39" s="836" t="str">
        <f ca="1"/>
        <v>松岡　亮輔</v>
      </c>
      <c r="AB39" s="836" t="str">
        <f ca="1"/>
        <v>風間　宏希</v>
      </c>
      <c r="AC39" s="836" t="str">
        <f ca="1"/>
        <v>本田　拓也</v>
      </c>
      <c r="AD39" s="836" t="str">
        <f ca="1"/>
        <v>佐藤　優平</v>
      </c>
      <c r="AE39" s="836" t="str">
        <f ca="1"/>
        <v>中村　駿</v>
      </c>
      <c r="AF39" s="836" t="str">
        <f ca="1"/>
        <v>荒堀　謙次</v>
      </c>
      <c r="AG39" s="836" t="str">
        <f ca="1"/>
        <v>鈴木　雄斗</v>
      </c>
      <c r="AH39" s="836" t="str">
        <f ca="1"/>
        <v>安西　海斗</v>
      </c>
      <c r="AI39" s="836" t="str">
        <f ca="1"/>
        <v>長沼　洋一</v>
      </c>
      <c r="AJ39" s="836" t="str">
        <f ca="1"/>
        <v>南　秀仁</v>
      </c>
      <c r="AK39" s="836" t="str">
        <f ca="1"/>
        <v>汰木　康也</v>
      </c>
      <c r="AL39" s="836" t="str">
        <f ca="1"/>
        <v>瀬沼　優司</v>
      </c>
      <c r="AM39" s="836" t="str">
        <f ca="1"/>
        <v>阪野　豊史</v>
      </c>
      <c r="AN39" s="836" t="str">
        <f ca="1"/>
        <v>永藤　歩</v>
      </c>
      <c r="AO39" s="836" t="str">
        <f ca="1"/>
        <v>中山　仁斗</v>
      </c>
      <c r="AP39" s="836" t="str">
        <f ca="1"/>
        <v>太田　徹郎</v>
      </c>
      <c r="AQ39" s="836" t="str">
        <f ca="1"/>
        <v>OG</v>
      </c>
      <c r="AR39" s="836">
        <f ca="1"/>
        <v>0</v>
      </c>
      <c r="AS39" s="836">
        <f ca="1"/>
        <v>0</v>
      </c>
      <c r="AT39" s="836">
        <f ca="1"/>
        <v>0</v>
      </c>
      <c r="AU39" s="836">
        <f ca="1"/>
        <v>0</v>
      </c>
      <c r="AV39" s="836">
        <f ca="1"/>
        <v>0</v>
      </c>
      <c r="AW39" s="836">
        <f ca="1"/>
        <v>0</v>
      </c>
      <c r="AX39" s="836">
        <f ca="1"/>
        <v>0</v>
      </c>
      <c r="AY39" s="836">
        <f ca="1"/>
        <v>0</v>
      </c>
      <c r="AZ39" s="836">
        <f ca="1"/>
        <v>0</v>
      </c>
      <c r="BA39" s="836">
        <f ca="1"/>
        <v>0</v>
      </c>
      <c r="BB39" s="836">
        <f ca="1"/>
        <v>0</v>
      </c>
      <c r="BC39" s="836">
        <f ca="1"/>
        <v>0</v>
      </c>
      <c r="BD39" s="836">
        <f ca="1"/>
        <v>0</v>
      </c>
      <c r="BE39" s="836" t="e">
        <f ca="1"/>
        <v>#N/A</v>
      </c>
      <c r="BF39" s="836" t="e">
        <f ca="1"/>
        <v>#N/A</v>
      </c>
      <c r="BG39" s="836" t="e">
        <f ca="1"/>
        <v>#N/A</v>
      </c>
      <c r="BH39" s="834" t="e">
        <f ca="1"/>
        <v>#N/A</v>
      </c>
      <c r="BI39" s="834" t="e">
        <f ca="1"/>
        <v>#N/A</v>
      </c>
      <c r="BJ39" s="834" t="e">
        <f ca="1"/>
        <v>#N/A</v>
      </c>
      <c r="BK39" s="834" t="e">
        <f ca="1"/>
        <v>#N/A</v>
      </c>
      <c r="BL39" s="834" t="e">
        <f ca="1"/>
        <v>#N/A</v>
      </c>
      <c r="BM39" s="834" t="e">
        <f ca="1"/>
        <v>#N/A</v>
      </c>
      <c r="BN39" s="834" t="e">
        <f ca="1"/>
        <v>#N/A</v>
      </c>
      <c r="BO39" s="834" t="e">
        <f ca="1"/>
        <v>#N/A</v>
      </c>
      <c r="BP39" s="834" t="e">
        <f ca="1"/>
        <v>#N/A</v>
      </c>
      <c r="BQ39" s="834" t="e">
        <f ca="1"/>
        <v>#N/A</v>
      </c>
      <c r="BR39" s="834" t="e">
        <f ca="1"/>
        <v>#N/A</v>
      </c>
      <c r="BS39" s="834" t="e">
        <f ca="1"/>
        <v>#N/A</v>
      </c>
      <c r="BT39" s="834" t="e">
        <f ca="1"/>
        <v>#N/A</v>
      </c>
      <c r="BU39" s="834" t="e">
        <f ca="1"/>
        <v>#N/A</v>
      </c>
    </row>
    <row r="40" spans="1:73">
      <c r="A40" s="17" t="str">
        <f>Helper!CM14</f>
        <v>Renofa Yamaguchi</v>
      </c>
      <c r="B40" s="834">
        <f t="array" aca="1" ref="B40:BU42" ca="1">INDIRECT("'"&amp;A40&amp;"'!X19:BZ21")</f>
        <v>0</v>
      </c>
      <c r="C40" s="834" t="str">
        <f ca="1"/>
        <v>射正</v>
      </c>
      <c r="D40" s="834">
        <f ca="1"/>
        <v>0</v>
      </c>
      <c r="E40" s="834" t="str">
        <f ca="1"/>
        <v>控球率</v>
      </c>
      <c r="F40" s="834">
        <f ca="1"/>
        <v>0</v>
      </c>
      <c r="G40" s="834">
        <f ca="1"/>
        <v>0</v>
      </c>
      <c r="H40" s="834">
        <f ca="1"/>
        <v>0</v>
      </c>
      <c r="I40" s="834">
        <f ca="1"/>
        <v>0</v>
      </c>
      <c r="J40" s="834" t="str">
        <f ca="1"/>
        <v>Position</v>
      </c>
      <c r="K40" s="834" t="str">
        <f ca="1"/>
        <v>GK</v>
      </c>
      <c r="L40" s="834" t="str">
        <f ca="1"/>
        <v>GK</v>
      </c>
      <c r="M40" s="834" t="str">
        <f ca="1"/>
        <v>GK</v>
      </c>
      <c r="N40" s="834" t="str">
        <f ca="1"/>
        <v>CB</v>
      </c>
      <c r="O40" s="834" t="str">
        <f ca="1"/>
        <v>CB</v>
      </c>
      <c r="P40" s="834" t="str">
        <f ca="1"/>
        <v>CB</v>
      </c>
      <c r="Q40" s="834" t="str">
        <f ca="1"/>
        <v>DF</v>
      </c>
      <c r="R40" s="834" t="str">
        <f ca="1"/>
        <v>LB</v>
      </c>
      <c r="S40" s="834" t="str">
        <f ca="1"/>
        <v>LB</v>
      </c>
      <c r="T40" s="834" t="str">
        <f ca="1"/>
        <v>RB</v>
      </c>
      <c r="U40" s="834" t="str">
        <f ca="1"/>
        <v>CB</v>
      </c>
      <c r="V40" s="834" t="str">
        <f ca="1"/>
        <v>DM</v>
      </c>
      <c r="W40" s="834" t="str">
        <f ca="1"/>
        <v>DM</v>
      </c>
      <c r="X40" s="836" t="str">
        <f ca="1"/>
        <v>CM</v>
      </c>
      <c r="Y40" s="836" t="str">
        <f ca="1"/>
        <v>MF</v>
      </c>
      <c r="Z40" s="836" t="str">
        <f ca="1"/>
        <v>MF</v>
      </c>
      <c r="AA40" s="836" t="str">
        <f ca="1"/>
        <v>MF</v>
      </c>
      <c r="AB40" s="836" t="str">
        <f ca="1"/>
        <v>AM</v>
      </c>
      <c r="AC40" s="836" t="str">
        <f ca="1"/>
        <v>CM</v>
      </c>
      <c r="AD40" s="836" t="str">
        <f ca="1"/>
        <v>MF</v>
      </c>
      <c r="AE40" s="836" t="str">
        <f ca="1"/>
        <v>CF</v>
      </c>
      <c r="AF40" s="836" t="str">
        <f ca="1"/>
        <v>RW</v>
      </c>
      <c r="AG40" s="836" t="str">
        <f ca="1"/>
        <v>CF</v>
      </c>
      <c r="AH40" s="836" t="str">
        <f ca="1"/>
        <v>RW</v>
      </c>
      <c r="AI40" s="836" t="str">
        <f ca="1"/>
        <v>FW</v>
      </c>
      <c r="AJ40" s="836" t="str">
        <f ca="1"/>
        <v>FW</v>
      </c>
      <c r="AK40" s="836" t="str">
        <f ca="1"/>
        <v>FW</v>
      </c>
      <c r="AL40" s="836" t="str">
        <f ca="1"/>
        <v>CF</v>
      </c>
      <c r="AM40" s="836">
        <f ca="1"/>
        <v>0</v>
      </c>
      <c r="AN40" s="836">
        <f ca="1"/>
        <v>0</v>
      </c>
      <c r="AO40" s="836">
        <f ca="1"/>
        <v>0</v>
      </c>
      <c r="AP40" s="836">
        <f ca="1"/>
        <v>0</v>
      </c>
      <c r="AQ40" s="836">
        <f ca="1"/>
        <v>0</v>
      </c>
      <c r="AR40" s="836">
        <f ca="1"/>
        <v>0</v>
      </c>
      <c r="AS40" s="836">
        <f ca="1"/>
        <v>0</v>
      </c>
      <c r="AT40" s="836">
        <f ca="1"/>
        <v>0</v>
      </c>
      <c r="AU40" s="836">
        <f ca="1"/>
        <v>0</v>
      </c>
      <c r="AV40" s="836">
        <f ca="1"/>
        <v>0</v>
      </c>
      <c r="AW40" s="836">
        <f ca="1"/>
        <v>0</v>
      </c>
      <c r="AX40" s="836">
        <f ca="1"/>
        <v>0</v>
      </c>
      <c r="AY40" s="836">
        <f ca="1"/>
        <v>0</v>
      </c>
      <c r="AZ40" s="836">
        <f ca="1"/>
        <v>0</v>
      </c>
      <c r="BA40" s="836">
        <f ca="1"/>
        <v>0</v>
      </c>
      <c r="BB40" s="836">
        <f ca="1"/>
        <v>0</v>
      </c>
      <c r="BC40" s="836">
        <f ca="1"/>
        <v>0</v>
      </c>
      <c r="BD40" s="836">
        <f ca="1"/>
        <v>0</v>
      </c>
      <c r="BE40" s="836" t="e">
        <f ca="1"/>
        <v>#N/A</v>
      </c>
      <c r="BF40" s="836" t="e">
        <f ca="1"/>
        <v>#N/A</v>
      </c>
      <c r="BG40" s="836" t="e">
        <f ca="1"/>
        <v>#N/A</v>
      </c>
      <c r="BH40" s="834" t="e">
        <f ca="1"/>
        <v>#N/A</v>
      </c>
      <c r="BI40" s="834" t="e">
        <f ca="1"/>
        <v>#N/A</v>
      </c>
      <c r="BJ40" s="834" t="e">
        <f ca="1"/>
        <v>#N/A</v>
      </c>
      <c r="BK40" s="834" t="e">
        <f ca="1"/>
        <v>#N/A</v>
      </c>
      <c r="BL40" s="834" t="e">
        <f ca="1"/>
        <v>#N/A</v>
      </c>
      <c r="BM40" s="834" t="e">
        <f ca="1"/>
        <v>#N/A</v>
      </c>
      <c r="BN40" s="834" t="e">
        <f ca="1"/>
        <v>#N/A</v>
      </c>
      <c r="BO40" s="834" t="e">
        <f ca="1"/>
        <v>#N/A</v>
      </c>
      <c r="BP40" s="834" t="e">
        <f ca="1"/>
        <v>#N/A</v>
      </c>
      <c r="BQ40" s="834" t="e">
        <f ca="1"/>
        <v>#N/A</v>
      </c>
      <c r="BR40" s="834" t="e">
        <f ca="1"/>
        <v>#N/A</v>
      </c>
      <c r="BS40" s="834" t="e">
        <f ca="1"/>
        <v>#N/A</v>
      </c>
      <c r="BT40" s="834" t="e">
        <f ca="1"/>
        <v>#N/A</v>
      </c>
      <c r="BU40" s="834" t="e">
        <f ca="1"/>
        <v>#N/A</v>
      </c>
    </row>
    <row r="41" spans="1:73">
      <c r="A41" s="835" t="str">
        <f>A40&amp;" name"</f>
        <v>Renofa Yamaguchi name</v>
      </c>
      <c r="B41" s="834" t="str">
        <f ca="1"/>
        <v>Opponent Shooting Attempts</v>
      </c>
      <c r="C41" s="834" t="str">
        <f ca="1"/>
        <v>Shooting on Target</v>
      </c>
      <c r="D41" s="834" t="str">
        <f ca="1"/>
        <v>Opponent Shooting on Target</v>
      </c>
      <c r="E41" s="834" t="str">
        <f ca="1"/>
        <v>Possession</v>
      </c>
      <c r="F41" s="834" t="str">
        <f ca="1"/>
        <v>Opponent Possession</v>
      </c>
      <c r="G41" s="834" t="str">
        <f ca="1"/>
        <v>Lineup</v>
      </c>
      <c r="H41" s="834" t="str">
        <f ca="1"/>
        <v>Goal Check</v>
      </c>
      <c r="I41" s="834" t="str">
        <f ca="1"/>
        <v>Sub Up-Down</v>
      </c>
      <c r="J41" s="834" t="str">
        <f ca="1"/>
        <v>Player Count</v>
      </c>
      <c r="K41" s="834" t="str">
        <f ca="1"/>
        <v>Masaaki Murakami</v>
      </c>
      <c r="L41" s="834" t="str">
        <f ca="1"/>
        <v>Genki Yamada</v>
      </c>
      <c r="M41" s="834" t="str">
        <f ca="1"/>
        <v>Daisuke Yoshimitsu</v>
      </c>
      <c r="N41" s="834" t="str">
        <f ca="1"/>
        <v>Masafumi Miyagi</v>
      </c>
      <c r="O41" s="834" t="str">
        <f ca="1"/>
        <v>Kodai Watanabe</v>
      </c>
      <c r="P41" s="834" t="str">
        <f ca="1"/>
        <v>Yohei Fukumoto</v>
      </c>
      <c r="Q41" s="834" t="str">
        <f ca="1"/>
        <v>Chan-Yong Park</v>
      </c>
      <c r="R41" s="834" t="str">
        <f ca="1"/>
        <v>Yuki Kagawa</v>
      </c>
      <c r="S41" s="834" t="str">
        <f ca="1"/>
        <v>Yuji Hoshi</v>
      </c>
      <c r="T41" s="834" t="str">
        <f ca="1"/>
        <v>Yuma Hiroki</v>
      </c>
      <c r="U41" s="834" t="str">
        <f ca="1"/>
        <v>ABEL LUCIATTI</v>
      </c>
      <c r="V41" s="834" t="str">
        <f ca="1"/>
        <v>Kentaro Sato</v>
      </c>
      <c r="W41" s="834" t="str">
        <f ca="1"/>
        <v>Takayuki Mae</v>
      </c>
      <c r="X41" s="836" t="str">
        <f ca="1"/>
        <v>Issei TAKAYANAGI</v>
      </c>
      <c r="Y41" s="836" t="str">
        <f ca="1"/>
        <v>Joji IKEGAMI</v>
      </c>
      <c r="Z41" s="836" t="str">
        <f ca="1"/>
        <v>Taiki Kato</v>
      </c>
      <c r="AA41" s="836" t="str">
        <f ca="1"/>
        <v>Takeru KIYONAGA</v>
      </c>
      <c r="AB41" s="836" t="str">
        <f ca="1"/>
        <v>Hidetoshi Miyuki</v>
      </c>
      <c r="AC41" s="836" t="str">
        <f ca="1"/>
        <v>Kazuki Kozuka</v>
      </c>
      <c r="AD41" s="836" t="str">
        <f ca="1"/>
        <v>Marcelo Vidal</v>
      </c>
      <c r="AE41" s="836" t="str">
        <f ca="1"/>
        <v>Hideya Okamoto</v>
      </c>
      <c r="AF41" s="836" t="str">
        <f ca="1"/>
        <v>Kosuke Onose</v>
      </c>
      <c r="AG41" s="836" t="str">
        <f ca="1"/>
        <v>Kazuhito Kishida</v>
      </c>
      <c r="AH41" s="836" t="str">
        <f ca="1"/>
        <v>Yuya Torikai</v>
      </c>
      <c r="AI41" s="836" t="str">
        <f ca="1"/>
        <v>Rei Yonezawa</v>
      </c>
      <c r="AJ41" s="836" t="str">
        <f ca="1"/>
        <v>LEONARDO RAMOS</v>
      </c>
      <c r="AK41" s="836" t="str">
        <f ca="1"/>
        <v>Masashi Wada</v>
      </c>
      <c r="AL41" s="836" t="str">
        <f ca="1"/>
        <v>Tsugutoshi Oishi</v>
      </c>
      <c r="AM41" s="836">
        <f ca="1"/>
        <v>0</v>
      </c>
      <c r="AN41" s="836">
        <f ca="1"/>
        <v>0</v>
      </c>
      <c r="AO41" s="836">
        <f ca="1"/>
        <v>0</v>
      </c>
      <c r="AP41" s="836">
        <f ca="1"/>
        <v>0</v>
      </c>
      <c r="AQ41" s="836">
        <f ca="1"/>
        <v>0</v>
      </c>
      <c r="AR41" s="836">
        <f ca="1"/>
        <v>0</v>
      </c>
      <c r="AS41" s="836">
        <f ca="1"/>
        <v>0</v>
      </c>
      <c r="AT41" s="836">
        <f ca="1"/>
        <v>0</v>
      </c>
      <c r="AU41" s="836">
        <f ca="1"/>
        <v>0</v>
      </c>
      <c r="AV41" s="836">
        <f ca="1"/>
        <v>0</v>
      </c>
      <c r="AW41" s="836">
        <f ca="1"/>
        <v>0</v>
      </c>
      <c r="AX41" s="836">
        <f ca="1"/>
        <v>0</v>
      </c>
      <c r="AY41" s="836">
        <f ca="1"/>
        <v>0</v>
      </c>
      <c r="AZ41" s="836">
        <f ca="1"/>
        <v>0</v>
      </c>
      <c r="BA41" s="836">
        <f ca="1"/>
        <v>0</v>
      </c>
      <c r="BB41" s="836">
        <f ca="1"/>
        <v>0</v>
      </c>
      <c r="BC41" s="836">
        <f ca="1"/>
        <v>0</v>
      </c>
      <c r="BD41" s="836">
        <f ca="1"/>
        <v>0</v>
      </c>
      <c r="BE41" s="836" t="e">
        <f ca="1"/>
        <v>#N/A</v>
      </c>
      <c r="BF41" s="836" t="e">
        <f ca="1"/>
        <v>#N/A</v>
      </c>
      <c r="BG41" s="836" t="e">
        <f ca="1"/>
        <v>#N/A</v>
      </c>
      <c r="BH41" s="834" t="e">
        <f ca="1"/>
        <v>#N/A</v>
      </c>
      <c r="BI41" s="834" t="e">
        <f ca="1"/>
        <v>#N/A</v>
      </c>
      <c r="BJ41" s="834" t="e">
        <f ca="1"/>
        <v>#N/A</v>
      </c>
      <c r="BK41" s="834" t="e">
        <f ca="1"/>
        <v>#N/A</v>
      </c>
      <c r="BL41" s="834" t="e">
        <f ca="1"/>
        <v>#N/A</v>
      </c>
      <c r="BM41" s="834" t="e">
        <f ca="1"/>
        <v>#N/A</v>
      </c>
      <c r="BN41" s="834" t="e">
        <f ca="1"/>
        <v>#N/A</v>
      </c>
      <c r="BO41" s="834" t="e">
        <f ca="1"/>
        <v>#N/A</v>
      </c>
      <c r="BP41" s="834" t="e">
        <f ca="1"/>
        <v>#N/A</v>
      </c>
      <c r="BQ41" s="834" t="e">
        <f ca="1"/>
        <v>#N/A</v>
      </c>
      <c r="BR41" s="834" t="e">
        <f ca="1"/>
        <v>#N/A</v>
      </c>
      <c r="BS41" s="834" t="e">
        <f ca="1"/>
        <v>#N/A</v>
      </c>
      <c r="BT41" s="834" t="e">
        <f ca="1"/>
        <v>#N/A</v>
      </c>
      <c r="BU41" s="834" t="e">
        <f ca="1"/>
        <v>#N/A</v>
      </c>
    </row>
    <row r="42" spans="1:73">
      <c r="A42" s="835" t="str">
        <f>A40&amp;" num"</f>
        <v>Renofa Yamaguchi num</v>
      </c>
      <c r="B42" s="834">
        <f ca="1"/>
        <v>0</v>
      </c>
      <c r="C42" s="834">
        <f ca="1"/>
        <v>0</v>
      </c>
      <c r="D42" s="834">
        <f ca="1"/>
        <v>0</v>
      </c>
      <c r="E42" s="834">
        <f ca="1"/>
        <v>0</v>
      </c>
      <c r="F42" s="834">
        <f ca="1"/>
        <v>0</v>
      </c>
      <c r="G42" s="834">
        <f ca="1"/>
        <v>0</v>
      </c>
      <c r="H42" s="834">
        <f ca="1"/>
        <v>0</v>
      </c>
      <c r="I42" s="834">
        <f ca="1"/>
        <v>0</v>
      </c>
      <c r="J42" s="834">
        <f ca="1"/>
        <v>0</v>
      </c>
      <c r="K42" s="834" t="str">
        <f ca="1"/>
        <v>村上　昌謙</v>
      </c>
      <c r="L42" s="834" t="str">
        <f ca="1"/>
        <v>山田　元気</v>
      </c>
      <c r="M42" s="834" t="str">
        <f ca="1"/>
        <v>吉満　大介</v>
      </c>
      <c r="N42" s="834" t="str">
        <f ca="1"/>
        <v>宮城　雅史</v>
      </c>
      <c r="O42" s="834" t="str">
        <f ca="1"/>
        <v>渡辺　広大</v>
      </c>
      <c r="P42" s="834" t="str">
        <f ca="1"/>
        <v>福元　洋平</v>
      </c>
      <c r="Q42" s="834" t="str">
        <f ca="1"/>
        <v>パク　チャニョン</v>
      </c>
      <c r="R42" s="834" t="str">
        <f ca="1"/>
        <v>香川　勇気</v>
      </c>
      <c r="S42" s="834" t="str">
        <f ca="1"/>
        <v>星　雄次</v>
      </c>
      <c r="T42" s="834" t="str">
        <f ca="1"/>
        <v>廣木　雄磨</v>
      </c>
      <c r="U42" s="834" t="str">
        <f ca="1"/>
        <v>アベル　ルシアッティ</v>
      </c>
      <c r="V42" s="834" t="str">
        <f ca="1"/>
        <v>佐藤　健太郎</v>
      </c>
      <c r="W42" s="834" t="str">
        <f ca="1"/>
        <v>前　貴之</v>
      </c>
      <c r="X42" s="836" t="str">
        <f ca="1"/>
        <v>髙柳　一誠</v>
      </c>
      <c r="Y42" s="836" t="str">
        <f ca="1"/>
        <v>池上　丈二</v>
      </c>
      <c r="Z42" s="836" t="str">
        <f ca="1"/>
        <v>加藤　大樹</v>
      </c>
      <c r="AA42" s="836" t="str">
        <f ca="1"/>
        <v>清永　丈瑠</v>
      </c>
      <c r="AB42" s="836" t="str">
        <f ca="1"/>
        <v>三幸　秀稔</v>
      </c>
      <c r="AC42" s="836" t="str">
        <f ca="1"/>
        <v>小塚　和季</v>
      </c>
      <c r="AD42" s="836" t="str">
        <f ca="1"/>
        <v>マルセロ　ビダル</v>
      </c>
      <c r="AE42" s="836" t="str">
        <f ca="1"/>
        <v>岡本　英也</v>
      </c>
      <c r="AF42" s="836" t="str">
        <f ca="1"/>
        <v>小野瀬　康介</v>
      </c>
      <c r="AG42" s="836" t="str">
        <f ca="1"/>
        <v>岸田　和人</v>
      </c>
      <c r="AH42" s="836" t="str">
        <f ca="1"/>
        <v>鳥養　祐矢</v>
      </c>
      <c r="AI42" s="836" t="str">
        <f ca="1"/>
        <v>米澤　令衣</v>
      </c>
      <c r="AJ42" s="836" t="str">
        <f ca="1"/>
        <v>レオナルド　ラモス</v>
      </c>
      <c r="AK42" s="836" t="str">
        <f ca="1"/>
        <v>和田　昌士</v>
      </c>
      <c r="AL42" s="836" t="str">
        <f ca="1"/>
        <v>大石　治寿</v>
      </c>
      <c r="AM42" s="836" t="str">
        <f ca="1"/>
        <v>OG</v>
      </c>
      <c r="AN42" s="836">
        <f ca="1"/>
        <v>0</v>
      </c>
      <c r="AO42" s="836">
        <f ca="1"/>
        <v>0</v>
      </c>
      <c r="AP42" s="836">
        <f ca="1"/>
        <v>0</v>
      </c>
      <c r="AQ42" s="836">
        <f ca="1"/>
        <v>0</v>
      </c>
      <c r="AR42" s="836">
        <f ca="1"/>
        <v>0</v>
      </c>
      <c r="AS42" s="836">
        <f ca="1"/>
        <v>0</v>
      </c>
      <c r="AT42" s="836">
        <f ca="1"/>
        <v>0</v>
      </c>
      <c r="AU42" s="836">
        <f ca="1"/>
        <v>0</v>
      </c>
      <c r="AV42" s="836">
        <f ca="1"/>
        <v>0</v>
      </c>
      <c r="AW42" s="836">
        <f ca="1"/>
        <v>0</v>
      </c>
      <c r="AX42" s="836">
        <f ca="1"/>
        <v>0</v>
      </c>
      <c r="AY42" s="836">
        <f ca="1"/>
        <v>0</v>
      </c>
      <c r="AZ42" s="836">
        <f ca="1"/>
        <v>0</v>
      </c>
      <c r="BA42" s="836">
        <f ca="1"/>
        <v>0</v>
      </c>
      <c r="BB42" s="836">
        <f ca="1"/>
        <v>0</v>
      </c>
      <c r="BC42" s="836">
        <f ca="1"/>
        <v>0</v>
      </c>
      <c r="BD42" s="836">
        <f ca="1"/>
        <v>0</v>
      </c>
      <c r="BE42" s="836" t="e">
        <f ca="1"/>
        <v>#N/A</v>
      </c>
      <c r="BF42" s="836" t="e">
        <f ca="1"/>
        <v>#N/A</v>
      </c>
      <c r="BG42" s="836" t="e">
        <f ca="1"/>
        <v>#N/A</v>
      </c>
      <c r="BH42" s="834" t="e">
        <f ca="1"/>
        <v>#N/A</v>
      </c>
      <c r="BI42" s="834" t="e">
        <f ca="1"/>
        <v>#N/A</v>
      </c>
      <c r="BJ42" s="834" t="e">
        <f ca="1"/>
        <v>#N/A</v>
      </c>
      <c r="BK42" s="834" t="e">
        <f ca="1"/>
        <v>#N/A</v>
      </c>
      <c r="BL42" s="834" t="e">
        <f ca="1"/>
        <v>#N/A</v>
      </c>
      <c r="BM42" s="834" t="e">
        <f ca="1"/>
        <v>#N/A</v>
      </c>
      <c r="BN42" s="834" t="e">
        <f ca="1"/>
        <v>#N/A</v>
      </c>
      <c r="BO42" s="834" t="e">
        <f ca="1"/>
        <v>#N/A</v>
      </c>
      <c r="BP42" s="834" t="e">
        <f ca="1"/>
        <v>#N/A</v>
      </c>
      <c r="BQ42" s="834" t="e">
        <f ca="1"/>
        <v>#N/A</v>
      </c>
      <c r="BR42" s="834" t="e">
        <f ca="1"/>
        <v>#N/A</v>
      </c>
      <c r="BS42" s="834" t="e">
        <f ca="1"/>
        <v>#N/A</v>
      </c>
      <c r="BT42" s="834" t="e">
        <f ca="1"/>
        <v>#N/A</v>
      </c>
      <c r="BU42" s="834" t="e">
        <f ca="1"/>
        <v>#N/A</v>
      </c>
    </row>
    <row r="43" spans="1:73">
      <c r="A43" s="17" t="str">
        <f>Helper!CM15</f>
        <v>Roasso Kumamoto</v>
      </c>
      <c r="B43" s="834">
        <f t="array" aca="1" ref="B43:BU45" ca="1">INDIRECT("'"&amp;A43&amp;"'!X19:BZ21")</f>
        <v>0</v>
      </c>
      <c r="C43" s="834" t="str">
        <f ca="1"/>
        <v>射正</v>
      </c>
      <c r="D43" s="834">
        <f ca="1"/>
        <v>0</v>
      </c>
      <c r="E43" s="834" t="str">
        <f ca="1"/>
        <v>控球率</v>
      </c>
      <c r="F43" s="834">
        <f ca="1"/>
        <v>0</v>
      </c>
      <c r="G43" s="834">
        <f ca="1"/>
        <v>0</v>
      </c>
      <c r="H43" s="834">
        <f ca="1"/>
        <v>0</v>
      </c>
      <c r="I43" s="834">
        <f ca="1"/>
        <v>0</v>
      </c>
      <c r="J43" s="834" t="str">
        <f ca="1"/>
        <v>Position</v>
      </c>
      <c r="K43" s="834" t="str">
        <f ca="1"/>
        <v>GK</v>
      </c>
      <c r="L43" s="834" t="str">
        <f ca="1"/>
        <v>GK</v>
      </c>
      <c r="M43" s="834" t="str">
        <f ca="1"/>
        <v>GK</v>
      </c>
      <c r="N43" s="834" t="str">
        <f ca="1"/>
        <v>GK</v>
      </c>
      <c r="O43" s="834" t="str">
        <f ca="1"/>
        <v>DF</v>
      </c>
      <c r="P43" s="834" t="str">
        <f ca="1"/>
        <v>CB</v>
      </c>
      <c r="Q43" s="834" t="str">
        <f ca="1"/>
        <v>CB</v>
      </c>
      <c r="R43" s="834" t="str">
        <f ca="1"/>
        <v>LB</v>
      </c>
      <c r="S43" s="834" t="str">
        <f ca="1"/>
        <v>RB</v>
      </c>
      <c r="T43" s="834" t="str">
        <f ca="1"/>
        <v>DF</v>
      </c>
      <c r="U43" s="834" t="str">
        <f ca="1"/>
        <v>CB</v>
      </c>
      <c r="V43" s="834" t="str">
        <f ca="1"/>
        <v>LB</v>
      </c>
      <c r="W43" s="834" t="str">
        <f ca="1"/>
        <v>DF</v>
      </c>
      <c r="X43" s="836" t="str">
        <f ca="1"/>
        <v>DM</v>
      </c>
      <c r="Y43" s="836" t="str">
        <f ca="1"/>
        <v>DM</v>
      </c>
      <c r="Z43" s="836" t="str">
        <f ca="1"/>
        <v>MF</v>
      </c>
      <c r="AA43" s="836" t="str">
        <f ca="1"/>
        <v>CM</v>
      </c>
      <c r="AB43" s="836" t="str">
        <f ca="1"/>
        <v>CM</v>
      </c>
      <c r="AC43" s="836" t="str">
        <f ca="1"/>
        <v>MF</v>
      </c>
      <c r="AD43" s="836" t="str">
        <f ca="1"/>
        <v>CM</v>
      </c>
      <c r="AE43" s="836" t="str">
        <f ca="1"/>
        <v>AM</v>
      </c>
      <c r="AF43" s="836" t="str">
        <f ca="1"/>
        <v>CM</v>
      </c>
      <c r="AG43" s="836" t="str">
        <f ca="1"/>
        <v>RW</v>
      </c>
      <c r="AH43" s="836" t="str">
        <f ca="1"/>
        <v>CF</v>
      </c>
      <c r="AI43" s="836" t="str">
        <f ca="1"/>
        <v>CF</v>
      </c>
      <c r="AJ43" s="836" t="str">
        <f ca="1"/>
        <v>CF</v>
      </c>
      <c r="AK43" s="836" t="str">
        <f ca="1"/>
        <v>CF</v>
      </c>
      <c r="AL43" s="836" t="str">
        <f ca="1"/>
        <v>FW</v>
      </c>
      <c r="AM43" s="836" t="str">
        <f ca="1"/>
        <v>FW</v>
      </c>
      <c r="AN43" s="836" t="str">
        <f ca="1"/>
        <v>CF</v>
      </c>
      <c r="AO43" s="836" t="str">
        <f ca="1"/>
        <v>RW</v>
      </c>
      <c r="AP43" s="836" t="str">
        <f ca="1"/>
        <v>LW</v>
      </c>
      <c r="AQ43" s="836" t="str">
        <f ca="1"/>
        <v>FW</v>
      </c>
      <c r="AR43" s="836">
        <f ca="1"/>
        <v>0</v>
      </c>
      <c r="AS43" s="836" t="str">
        <f ca="1"/>
        <v>CB</v>
      </c>
      <c r="AT43" s="836" t="str">
        <f ca="1"/>
        <v>CF</v>
      </c>
      <c r="AU43" s="836">
        <f ca="1"/>
        <v>0</v>
      </c>
      <c r="AV43" s="836">
        <f ca="1"/>
        <v>0</v>
      </c>
      <c r="AW43" s="836">
        <f ca="1"/>
        <v>0</v>
      </c>
      <c r="AX43" s="836">
        <f ca="1"/>
        <v>0</v>
      </c>
      <c r="AY43" s="836">
        <f ca="1"/>
        <v>0</v>
      </c>
      <c r="AZ43" s="836">
        <f ca="1"/>
        <v>0</v>
      </c>
      <c r="BA43" s="836">
        <f ca="1"/>
        <v>0</v>
      </c>
      <c r="BB43" s="836">
        <f ca="1"/>
        <v>0</v>
      </c>
      <c r="BC43" s="836">
        <f ca="1"/>
        <v>0</v>
      </c>
      <c r="BD43" s="836">
        <f ca="1"/>
        <v>0</v>
      </c>
      <c r="BE43" s="836" t="e">
        <f ca="1"/>
        <v>#N/A</v>
      </c>
      <c r="BF43" s="836" t="e">
        <f ca="1"/>
        <v>#N/A</v>
      </c>
      <c r="BG43" s="836" t="e">
        <f ca="1"/>
        <v>#N/A</v>
      </c>
      <c r="BH43" s="834" t="e">
        <f ca="1"/>
        <v>#N/A</v>
      </c>
      <c r="BI43" s="834" t="e">
        <f ca="1"/>
        <v>#N/A</v>
      </c>
      <c r="BJ43" s="834" t="e">
        <f ca="1"/>
        <v>#N/A</v>
      </c>
      <c r="BK43" s="834" t="e">
        <f ca="1"/>
        <v>#N/A</v>
      </c>
      <c r="BL43" s="834" t="e">
        <f ca="1"/>
        <v>#N/A</v>
      </c>
      <c r="BM43" s="834" t="e">
        <f ca="1"/>
        <v>#N/A</v>
      </c>
      <c r="BN43" s="834" t="e">
        <f ca="1"/>
        <v>#N/A</v>
      </c>
      <c r="BO43" s="834" t="e">
        <f ca="1"/>
        <v>#N/A</v>
      </c>
      <c r="BP43" s="834" t="e">
        <f ca="1"/>
        <v>#N/A</v>
      </c>
      <c r="BQ43" s="834" t="e">
        <f ca="1"/>
        <v>#N/A</v>
      </c>
      <c r="BR43" s="834" t="e">
        <f ca="1"/>
        <v>#N/A</v>
      </c>
      <c r="BS43" s="834" t="e">
        <f ca="1"/>
        <v>#N/A</v>
      </c>
      <c r="BT43" s="834" t="e">
        <f ca="1"/>
        <v>#N/A</v>
      </c>
      <c r="BU43" s="834" t="e">
        <f ca="1"/>
        <v>#N/A</v>
      </c>
    </row>
    <row r="44" spans="1:73">
      <c r="A44" s="835" t="str">
        <f>A43&amp;" name"</f>
        <v>Roasso Kumamoto name</v>
      </c>
      <c r="B44" s="834" t="str">
        <f ca="1"/>
        <v>Opponent Shooting Attempts</v>
      </c>
      <c r="C44" s="834" t="str">
        <f ca="1"/>
        <v>Shooting on Target</v>
      </c>
      <c r="D44" s="834" t="str">
        <f ca="1"/>
        <v>Opponent Shooting on Target</v>
      </c>
      <c r="E44" s="834" t="str">
        <f ca="1"/>
        <v>Possession</v>
      </c>
      <c r="F44" s="834" t="str">
        <f ca="1"/>
        <v>Opponent Possession</v>
      </c>
      <c r="G44" s="834" t="str">
        <f ca="1"/>
        <v>Lineup</v>
      </c>
      <c r="H44" s="834" t="str">
        <f ca="1"/>
        <v>Goal Check</v>
      </c>
      <c r="I44" s="834" t="str">
        <f ca="1"/>
        <v>Sub Up-Down</v>
      </c>
      <c r="J44" s="834" t="str">
        <f ca="1"/>
        <v>Player Count</v>
      </c>
      <c r="K44" s="834" t="str">
        <f ca="1"/>
        <v>Minoru Hata</v>
      </c>
      <c r="L44" s="834" t="str">
        <f ca="1"/>
        <v>Masataka Nomura</v>
      </c>
      <c r="M44" s="834" t="str">
        <f ca="1"/>
        <v>Akihiro Sato</v>
      </c>
      <c r="N44" s="834" t="str">
        <f ca="1"/>
        <v>Kei Uchiyama</v>
      </c>
      <c r="O44" s="834" t="str">
        <f ca="1"/>
        <v>LIM Jin Woo</v>
      </c>
      <c r="P44" s="834" t="str">
        <f ca="1"/>
        <v>Takuya Sonoda</v>
      </c>
      <c r="Q44" s="834" t="str">
        <f ca="1"/>
        <v>Ryujiro Ueda</v>
      </c>
      <c r="R44" s="834" t="str">
        <f ca="1"/>
        <v>Shosuke Katayama</v>
      </c>
      <c r="S44" s="834" t="str">
        <f ca="1"/>
        <v>Kai Miki</v>
      </c>
      <c r="T44" s="834" t="str">
        <f ca="1"/>
        <v>YANG Sang Jun</v>
      </c>
      <c r="U44" s="834" t="str">
        <f ca="1"/>
        <v>Yuki Kotani</v>
      </c>
      <c r="V44" s="834" t="str">
        <f ca="1"/>
        <v>Yuya Mitsunaga</v>
      </c>
      <c r="W44" s="834" t="str">
        <f ca="1"/>
        <v>JUNIOR Jader Fell</v>
      </c>
      <c r="X44" s="836" t="str">
        <f ca="1"/>
        <v>Kohei Kuroki</v>
      </c>
      <c r="Y44" s="836" t="str">
        <f ca="1"/>
        <v>Takumi Murakami</v>
      </c>
      <c r="Z44" s="836" t="str">
        <f ca="1"/>
        <v>Hayate Hachikubo</v>
      </c>
      <c r="AA44" s="836" t="str">
        <f ca="1"/>
        <v>Kazumasa Uesato</v>
      </c>
      <c r="AB44" s="836" t="str">
        <f ca="1"/>
        <v>Yuto Nakayama</v>
      </c>
      <c r="AC44" s="836" t="str">
        <f ca="1"/>
        <v>Shusuke Yonehara</v>
      </c>
      <c r="AD44" s="836" t="str">
        <f ca="1"/>
        <v>Shuhei Kamimura</v>
      </c>
      <c r="AE44" s="836" t="str">
        <f ca="1"/>
        <v>Shintaro Shimada</v>
      </c>
      <c r="AF44" s="836" t="str">
        <f ca="1"/>
        <v>Ryota Tanabe</v>
      </c>
      <c r="AG44" s="836" t="str">
        <f ca="1"/>
        <v>Minoru Suganuma</v>
      </c>
      <c r="AH44" s="836" t="str">
        <f ca="1"/>
        <v>Byong-Jun An</v>
      </c>
      <c r="AI44" s="836" t="str">
        <f ca="1"/>
        <v>Ryuichi Hirashige</v>
      </c>
      <c r="AJ44" s="836" t="str">
        <f ca="1"/>
        <v>Gustavo</v>
      </c>
      <c r="AK44" s="836" t="str">
        <f ca="1"/>
        <v>Tatsuya Tanaka</v>
      </c>
      <c r="AL44" s="836" t="str">
        <f ca="1"/>
        <v>Yuji KIMURA</v>
      </c>
      <c r="AM44" s="836" t="str">
        <f ca="1"/>
        <v>Shota HAYASHI</v>
      </c>
      <c r="AN44" s="836" t="str">
        <f ca="1"/>
        <v>Seiichiro Maki</v>
      </c>
      <c r="AO44" s="836" t="str">
        <f ca="1"/>
        <v>Yasuaki OKAMOTO</v>
      </c>
      <c r="AP44" s="836" t="str">
        <f ca="1"/>
        <v>Takuro Uehara</v>
      </c>
      <c r="AQ44" s="836" t="str">
        <f ca="1"/>
        <v>MORBECK</v>
      </c>
      <c r="AR44" s="836">
        <f ca="1"/>
        <v>0</v>
      </c>
      <c r="AS44" s="836" t="str">
        <f ca="1"/>
        <v>Jun Sonoda</v>
      </c>
      <c r="AT44" s="836" t="str">
        <f ca="1"/>
        <v>Keita Saito</v>
      </c>
      <c r="AU44" s="836">
        <f ca="1"/>
        <v>0</v>
      </c>
      <c r="AV44" s="836">
        <f ca="1"/>
        <v>0</v>
      </c>
      <c r="AW44" s="836">
        <f ca="1"/>
        <v>0</v>
      </c>
      <c r="AX44" s="836">
        <f ca="1"/>
        <v>0</v>
      </c>
      <c r="AY44" s="836">
        <f ca="1"/>
        <v>0</v>
      </c>
      <c r="AZ44" s="836">
        <f ca="1"/>
        <v>0</v>
      </c>
      <c r="BA44" s="836">
        <f ca="1"/>
        <v>0</v>
      </c>
      <c r="BB44" s="836">
        <f ca="1"/>
        <v>0</v>
      </c>
      <c r="BC44" s="836">
        <f ca="1"/>
        <v>0</v>
      </c>
      <c r="BD44" s="836">
        <f ca="1"/>
        <v>0</v>
      </c>
      <c r="BE44" s="836" t="e">
        <f ca="1"/>
        <v>#N/A</v>
      </c>
      <c r="BF44" s="836" t="e">
        <f ca="1"/>
        <v>#N/A</v>
      </c>
      <c r="BG44" s="836" t="e">
        <f ca="1"/>
        <v>#N/A</v>
      </c>
      <c r="BH44" s="834" t="e">
        <f ca="1"/>
        <v>#N/A</v>
      </c>
      <c r="BI44" s="834" t="e">
        <f ca="1"/>
        <v>#N/A</v>
      </c>
      <c r="BJ44" s="834" t="e">
        <f ca="1"/>
        <v>#N/A</v>
      </c>
      <c r="BK44" s="834" t="e">
        <f ca="1"/>
        <v>#N/A</v>
      </c>
      <c r="BL44" s="834" t="e">
        <f ca="1"/>
        <v>#N/A</v>
      </c>
      <c r="BM44" s="834" t="e">
        <f ca="1"/>
        <v>#N/A</v>
      </c>
      <c r="BN44" s="834" t="e">
        <f ca="1"/>
        <v>#N/A</v>
      </c>
      <c r="BO44" s="834" t="e">
        <f ca="1"/>
        <v>#N/A</v>
      </c>
      <c r="BP44" s="834" t="e">
        <f ca="1"/>
        <v>#N/A</v>
      </c>
      <c r="BQ44" s="834" t="e">
        <f ca="1"/>
        <v>#N/A</v>
      </c>
      <c r="BR44" s="834" t="e">
        <f ca="1"/>
        <v>#N/A</v>
      </c>
      <c r="BS44" s="834" t="e">
        <f ca="1"/>
        <v>#N/A</v>
      </c>
      <c r="BT44" s="834" t="e">
        <f ca="1"/>
        <v>#N/A</v>
      </c>
      <c r="BU44" s="834" t="e">
        <f ca="1"/>
        <v>#N/A</v>
      </c>
    </row>
    <row r="45" spans="1:73">
      <c r="A45" s="835" t="str">
        <f>A43&amp;" num"</f>
        <v>Roasso Kumamoto num</v>
      </c>
      <c r="B45" s="834">
        <f ca="1"/>
        <v>0</v>
      </c>
      <c r="C45" s="834">
        <f ca="1"/>
        <v>0</v>
      </c>
      <c r="D45" s="834">
        <f ca="1"/>
        <v>0</v>
      </c>
      <c r="E45" s="834">
        <f ca="1"/>
        <v>0</v>
      </c>
      <c r="F45" s="834">
        <f ca="1"/>
        <v>0</v>
      </c>
      <c r="G45" s="834">
        <f ca="1"/>
        <v>0</v>
      </c>
      <c r="H45" s="834">
        <f ca="1"/>
        <v>0</v>
      </c>
      <c r="I45" s="834">
        <f ca="1"/>
        <v>0</v>
      </c>
      <c r="J45" s="834">
        <f ca="1"/>
        <v>0</v>
      </c>
      <c r="K45" s="834" t="str">
        <f ca="1"/>
        <v>畑　実</v>
      </c>
      <c r="L45" s="834" t="str">
        <f ca="1"/>
        <v>野村　政孝</v>
      </c>
      <c r="M45" s="834" t="str">
        <f ca="1"/>
        <v>佐藤　昭大</v>
      </c>
      <c r="N45" s="834" t="str">
        <f ca="1"/>
        <v>内山　圭</v>
      </c>
      <c r="O45" s="834" t="str">
        <f ca="1"/>
        <v>イム　ジンウ</v>
      </c>
      <c r="P45" s="834" t="str">
        <f ca="1"/>
        <v>園田　拓也</v>
      </c>
      <c r="Q45" s="834" t="str">
        <f ca="1"/>
        <v>植田　龍仁朗</v>
      </c>
      <c r="R45" s="834" t="str">
        <f ca="1"/>
        <v>片山　奨典</v>
      </c>
      <c r="S45" s="834" t="str">
        <f ca="1"/>
        <v>三鬼　海</v>
      </c>
      <c r="T45" s="834" t="str">
        <f ca="1"/>
        <v>ヤン　サンジュン</v>
      </c>
      <c r="U45" s="834" t="str">
        <f ca="1"/>
        <v>小谷　祐喜</v>
      </c>
      <c r="V45" s="834" t="str">
        <f ca="1"/>
        <v>光永　祐也</v>
      </c>
      <c r="W45" s="834" t="str">
        <f ca="1"/>
        <v>ジュニオール</v>
      </c>
      <c r="X45" s="836" t="str">
        <f ca="1"/>
        <v>黒木　晃平</v>
      </c>
      <c r="Y45" s="836" t="str">
        <f ca="1"/>
        <v>村上　巧</v>
      </c>
      <c r="Z45" s="836" t="str">
        <f ca="1"/>
        <v>八久保　颯</v>
      </c>
      <c r="AA45" s="836" t="str">
        <f ca="1"/>
        <v>上里　一将</v>
      </c>
      <c r="AB45" s="836" t="str">
        <f ca="1"/>
        <v>中山　雄登</v>
      </c>
      <c r="AC45" s="836" t="str">
        <f ca="1"/>
        <v>米原　秀亮</v>
      </c>
      <c r="AD45" s="836" t="str">
        <f ca="1"/>
        <v>上村　周平</v>
      </c>
      <c r="AE45" s="836" t="str">
        <f ca="1"/>
        <v>嶋田　慎太郎</v>
      </c>
      <c r="AF45" s="836" t="str">
        <f ca="1"/>
        <v>田鍋　陵太</v>
      </c>
      <c r="AG45" s="836" t="str">
        <f ca="1"/>
        <v>菅沼　実</v>
      </c>
      <c r="AH45" s="836" t="str">
        <f ca="1"/>
        <v>安　柄俊</v>
      </c>
      <c r="AI45" s="836" t="str">
        <f ca="1"/>
        <v>平繁　龍一</v>
      </c>
      <c r="AJ45" s="836" t="str">
        <f ca="1"/>
        <v>グスタボ</v>
      </c>
      <c r="AK45" s="836" t="str">
        <f ca="1"/>
        <v>田中　達也</v>
      </c>
      <c r="AL45" s="836" t="str">
        <f ca="1"/>
        <v>木村　祐志</v>
      </c>
      <c r="AM45" s="836" t="str">
        <f ca="1"/>
        <v>林　祥太</v>
      </c>
      <c r="AN45" s="836" t="str">
        <f ca="1"/>
        <v>巻　誠一郎</v>
      </c>
      <c r="AO45" s="836" t="str">
        <f ca="1"/>
        <v>岡本　賢明</v>
      </c>
      <c r="AP45" s="836" t="str">
        <f ca="1"/>
        <v>上原　拓郎</v>
      </c>
      <c r="AQ45" s="836" t="str">
        <f ca="1"/>
        <v>モルベッキ</v>
      </c>
      <c r="AR45" s="836" t="str">
        <f ca="1"/>
        <v>OG</v>
      </c>
      <c r="AS45" s="836" t="str">
        <f ca="1"/>
        <v>薗田　淳</v>
      </c>
      <c r="AT45" s="836" t="str">
        <f ca="1"/>
        <v>齋藤　恵太</v>
      </c>
      <c r="AU45" s="836">
        <f ca="1"/>
        <v>0</v>
      </c>
      <c r="AV45" s="836">
        <f ca="1"/>
        <v>0</v>
      </c>
      <c r="AW45" s="836">
        <f ca="1"/>
        <v>0</v>
      </c>
      <c r="AX45" s="836">
        <f ca="1"/>
        <v>0</v>
      </c>
      <c r="AY45" s="836">
        <f ca="1"/>
        <v>0</v>
      </c>
      <c r="AZ45" s="836">
        <f ca="1"/>
        <v>0</v>
      </c>
      <c r="BA45" s="836">
        <f ca="1"/>
        <v>0</v>
      </c>
      <c r="BB45" s="836">
        <f ca="1"/>
        <v>0</v>
      </c>
      <c r="BC45" s="836">
        <f ca="1"/>
        <v>0</v>
      </c>
      <c r="BD45" s="836">
        <f ca="1"/>
        <v>0</v>
      </c>
      <c r="BE45" s="836" t="e">
        <f ca="1"/>
        <v>#N/A</v>
      </c>
      <c r="BF45" s="836" t="e">
        <f ca="1"/>
        <v>#N/A</v>
      </c>
      <c r="BG45" s="836" t="e">
        <f ca="1"/>
        <v>#N/A</v>
      </c>
      <c r="BH45" s="834" t="e">
        <f ca="1"/>
        <v>#N/A</v>
      </c>
      <c r="BI45" s="834" t="e">
        <f ca="1"/>
        <v>#N/A</v>
      </c>
      <c r="BJ45" s="834" t="e">
        <f ca="1"/>
        <v>#N/A</v>
      </c>
      <c r="BK45" s="834" t="e">
        <f ca="1"/>
        <v>#N/A</v>
      </c>
      <c r="BL45" s="834" t="e">
        <f ca="1"/>
        <v>#N/A</v>
      </c>
      <c r="BM45" s="834" t="e">
        <f ca="1"/>
        <v>#N/A</v>
      </c>
      <c r="BN45" s="834" t="e">
        <f ca="1"/>
        <v>#N/A</v>
      </c>
      <c r="BO45" s="834" t="e">
        <f ca="1"/>
        <v>#N/A</v>
      </c>
      <c r="BP45" s="834" t="e">
        <f ca="1"/>
        <v>#N/A</v>
      </c>
      <c r="BQ45" s="834" t="e">
        <f ca="1"/>
        <v>#N/A</v>
      </c>
      <c r="BR45" s="834" t="e">
        <f ca="1"/>
        <v>#N/A</v>
      </c>
      <c r="BS45" s="834" t="e">
        <f ca="1"/>
        <v>#N/A</v>
      </c>
      <c r="BT45" s="834" t="e">
        <f ca="1"/>
        <v>#N/A</v>
      </c>
      <c r="BU45" s="834" t="e">
        <f ca="1"/>
        <v>#N/A</v>
      </c>
    </row>
    <row r="46" spans="1:73">
      <c r="A46" s="17" t="str">
        <f>Helper!CM16</f>
        <v>Shimizu S-Pulse</v>
      </c>
      <c r="B46" s="834" t="e">
        <f t="array" aca="1" ref="B46:BU48" ca="1">INDIRECT("'"&amp;A46&amp;"'!X19:BZ21")</f>
        <v>#REF!</v>
      </c>
      <c r="C46" s="834" t="e">
        <f ca="1"/>
        <v>#REF!</v>
      </c>
      <c r="D46" s="834" t="e">
        <f ca="1"/>
        <v>#REF!</v>
      </c>
      <c r="E46" s="834" t="e">
        <f ca="1"/>
        <v>#REF!</v>
      </c>
      <c r="F46" s="834" t="e">
        <f ca="1"/>
        <v>#REF!</v>
      </c>
      <c r="G46" s="834" t="e">
        <f ca="1"/>
        <v>#REF!</v>
      </c>
      <c r="H46" s="834" t="e">
        <f ca="1"/>
        <v>#REF!</v>
      </c>
      <c r="I46" s="834" t="e">
        <f ca="1"/>
        <v>#REF!</v>
      </c>
      <c r="J46" s="834" t="e">
        <f ca="1"/>
        <v>#REF!</v>
      </c>
      <c r="K46" s="834" t="e">
        <f ca="1"/>
        <v>#REF!</v>
      </c>
      <c r="L46" s="834" t="e">
        <f ca="1"/>
        <v>#REF!</v>
      </c>
      <c r="M46" s="834" t="e">
        <f ca="1"/>
        <v>#REF!</v>
      </c>
      <c r="N46" s="834" t="e">
        <f ca="1"/>
        <v>#REF!</v>
      </c>
      <c r="O46" s="834" t="e">
        <f ca="1"/>
        <v>#REF!</v>
      </c>
      <c r="P46" s="834" t="e">
        <f ca="1"/>
        <v>#REF!</v>
      </c>
      <c r="Q46" s="834" t="e">
        <f ca="1"/>
        <v>#REF!</v>
      </c>
      <c r="R46" s="834" t="e">
        <f ca="1"/>
        <v>#REF!</v>
      </c>
      <c r="S46" s="834" t="e">
        <f ca="1"/>
        <v>#REF!</v>
      </c>
      <c r="T46" s="834" t="e">
        <f ca="1"/>
        <v>#REF!</v>
      </c>
      <c r="U46" s="834" t="e">
        <f ca="1"/>
        <v>#REF!</v>
      </c>
      <c r="V46" s="834" t="e">
        <f ca="1"/>
        <v>#REF!</v>
      </c>
      <c r="W46" s="834" t="e">
        <f ca="1"/>
        <v>#REF!</v>
      </c>
      <c r="X46" s="836" t="e">
        <f ca="1"/>
        <v>#REF!</v>
      </c>
      <c r="Y46" s="836" t="e">
        <f ca="1"/>
        <v>#REF!</v>
      </c>
      <c r="Z46" s="836" t="e">
        <f ca="1"/>
        <v>#REF!</v>
      </c>
      <c r="AA46" s="836" t="e">
        <f ca="1"/>
        <v>#REF!</v>
      </c>
      <c r="AB46" s="836" t="e">
        <f ca="1"/>
        <v>#REF!</v>
      </c>
      <c r="AC46" s="836" t="e">
        <f ca="1"/>
        <v>#REF!</v>
      </c>
      <c r="AD46" s="836" t="e">
        <f ca="1"/>
        <v>#REF!</v>
      </c>
      <c r="AE46" s="836" t="e">
        <f ca="1"/>
        <v>#REF!</v>
      </c>
      <c r="AF46" s="836" t="e">
        <f ca="1"/>
        <v>#REF!</v>
      </c>
      <c r="AG46" s="836" t="e">
        <f ca="1"/>
        <v>#REF!</v>
      </c>
      <c r="AH46" s="836" t="e">
        <f ca="1"/>
        <v>#REF!</v>
      </c>
      <c r="AI46" s="836" t="e">
        <f ca="1"/>
        <v>#REF!</v>
      </c>
      <c r="AJ46" s="836" t="e">
        <f ca="1"/>
        <v>#REF!</v>
      </c>
      <c r="AK46" s="836" t="e">
        <f ca="1"/>
        <v>#REF!</v>
      </c>
      <c r="AL46" s="836" t="e">
        <f ca="1"/>
        <v>#REF!</v>
      </c>
      <c r="AM46" s="836" t="e">
        <f ca="1"/>
        <v>#REF!</v>
      </c>
      <c r="AN46" s="836" t="e">
        <f ca="1"/>
        <v>#REF!</v>
      </c>
      <c r="AO46" s="836" t="e">
        <f ca="1"/>
        <v>#REF!</v>
      </c>
      <c r="AP46" s="836" t="e">
        <f ca="1"/>
        <v>#REF!</v>
      </c>
      <c r="AQ46" s="836" t="e">
        <f ca="1"/>
        <v>#REF!</v>
      </c>
      <c r="AR46" s="836" t="e">
        <f ca="1"/>
        <v>#REF!</v>
      </c>
      <c r="AS46" s="836" t="e">
        <f ca="1"/>
        <v>#REF!</v>
      </c>
      <c r="AT46" s="836" t="e">
        <f ca="1"/>
        <v>#REF!</v>
      </c>
      <c r="AU46" s="836" t="e">
        <f ca="1"/>
        <v>#REF!</v>
      </c>
      <c r="AV46" s="836" t="e">
        <f ca="1"/>
        <v>#REF!</v>
      </c>
      <c r="AW46" s="836" t="e">
        <f ca="1"/>
        <v>#REF!</v>
      </c>
      <c r="AX46" s="836" t="e">
        <f ca="1"/>
        <v>#REF!</v>
      </c>
      <c r="AY46" s="836" t="e">
        <f ca="1"/>
        <v>#REF!</v>
      </c>
      <c r="AZ46" s="836" t="e">
        <f ca="1"/>
        <v>#REF!</v>
      </c>
      <c r="BA46" s="836" t="e">
        <f ca="1"/>
        <v>#REF!</v>
      </c>
      <c r="BB46" s="836" t="e">
        <f ca="1"/>
        <v>#REF!</v>
      </c>
      <c r="BC46" s="836" t="e">
        <f ca="1"/>
        <v>#REF!</v>
      </c>
      <c r="BD46" s="836" t="e">
        <f ca="1"/>
        <v>#REF!</v>
      </c>
      <c r="BE46" s="836" t="e">
        <f ca="1"/>
        <v>#REF!</v>
      </c>
      <c r="BF46" s="836" t="e">
        <f ca="1"/>
        <v>#REF!</v>
      </c>
      <c r="BG46" s="836" t="e">
        <f ca="1"/>
        <v>#REF!</v>
      </c>
      <c r="BH46" s="834" t="e">
        <f ca="1"/>
        <v>#REF!</v>
      </c>
      <c r="BI46" s="834" t="e">
        <f ca="1"/>
        <v>#REF!</v>
      </c>
      <c r="BJ46" s="834" t="e">
        <f ca="1"/>
        <v>#REF!</v>
      </c>
      <c r="BK46" s="834" t="e">
        <f ca="1"/>
        <v>#REF!</v>
      </c>
      <c r="BL46" s="834" t="e">
        <f ca="1"/>
        <v>#REF!</v>
      </c>
      <c r="BM46" s="834" t="e">
        <f ca="1"/>
        <v>#REF!</v>
      </c>
      <c r="BN46" s="834" t="e">
        <f ca="1"/>
        <v>#REF!</v>
      </c>
      <c r="BO46" s="834" t="e">
        <f ca="1"/>
        <v>#REF!</v>
      </c>
      <c r="BP46" s="834" t="e">
        <f ca="1"/>
        <v>#REF!</v>
      </c>
      <c r="BQ46" s="834" t="e">
        <f ca="1"/>
        <v>#REF!</v>
      </c>
      <c r="BR46" s="834" t="e">
        <f ca="1"/>
        <v>#REF!</v>
      </c>
      <c r="BS46" s="834" t="e">
        <f ca="1"/>
        <v>#REF!</v>
      </c>
      <c r="BT46" s="834" t="e">
        <f ca="1"/>
        <v>#REF!</v>
      </c>
      <c r="BU46" s="834" t="e">
        <f ca="1"/>
        <v>#REF!</v>
      </c>
    </row>
    <row r="47" spans="1:73">
      <c r="A47" s="835" t="str">
        <f>A46&amp;" name"</f>
        <v>Shimizu S-Pulse name</v>
      </c>
      <c r="B47" s="834" t="e">
        <f ca="1"/>
        <v>#REF!</v>
      </c>
      <c r="C47" s="834" t="e">
        <f ca="1"/>
        <v>#REF!</v>
      </c>
      <c r="D47" s="834" t="e">
        <f ca="1"/>
        <v>#REF!</v>
      </c>
      <c r="E47" s="834" t="e">
        <f ca="1"/>
        <v>#REF!</v>
      </c>
      <c r="F47" s="834" t="e">
        <f ca="1"/>
        <v>#REF!</v>
      </c>
      <c r="G47" s="834" t="e">
        <f ca="1"/>
        <v>#REF!</v>
      </c>
      <c r="H47" s="834" t="e">
        <f ca="1"/>
        <v>#REF!</v>
      </c>
      <c r="I47" s="834" t="e">
        <f ca="1"/>
        <v>#REF!</v>
      </c>
      <c r="J47" s="834" t="e">
        <f ca="1"/>
        <v>#REF!</v>
      </c>
      <c r="K47" s="834" t="e">
        <f ca="1"/>
        <v>#REF!</v>
      </c>
      <c r="L47" s="834" t="e">
        <f ca="1"/>
        <v>#REF!</v>
      </c>
      <c r="M47" s="834" t="e">
        <f ca="1"/>
        <v>#REF!</v>
      </c>
      <c r="N47" s="834" t="e">
        <f ca="1"/>
        <v>#REF!</v>
      </c>
      <c r="O47" s="834" t="e">
        <f ca="1"/>
        <v>#REF!</v>
      </c>
      <c r="P47" s="834" t="e">
        <f ca="1"/>
        <v>#REF!</v>
      </c>
      <c r="Q47" s="834" t="e">
        <f ca="1"/>
        <v>#REF!</v>
      </c>
      <c r="R47" s="834" t="e">
        <f ca="1"/>
        <v>#REF!</v>
      </c>
      <c r="S47" s="834" t="e">
        <f ca="1"/>
        <v>#REF!</v>
      </c>
      <c r="T47" s="834" t="e">
        <f ca="1"/>
        <v>#REF!</v>
      </c>
      <c r="U47" s="834" t="e">
        <f ca="1"/>
        <v>#REF!</v>
      </c>
      <c r="V47" s="834" t="e">
        <f ca="1"/>
        <v>#REF!</v>
      </c>
      <c r="W47" s="834" t="e">
        <f ca="1"/>
        <v>#REF!</v>
      </c>
      <c r="X47" s="836" t="e">
        <f ca="1"/>
        <v>#REF!</v>
      </c>
      <c r="Y47" s="836" t="e">
        <f ca="1"/>
        <v>#REF!</v>
      </c>
      <c r="Z47" s="836" t="e">
        <f ca="1"/>
        <v>#REF!</v>
      </c>
      <c r="AA47" s="836" t="e">
        <f ca="1"/>
        <v>#REF!</v>
      </c>
      <c r="AB47" s="836" t="e">
        <f ca="1"/>
        <v>#REF!</v>
      </c>
      <c r="AC47" s="836" t="e">
        <f ca="1"/>
        <v>#REF!</v>
      </c>
      <c r="AD47" s="836" t="e">
        <f ca="1"/>
        <v>#REF!</v>
      </c>
      <c r="AE47" s="836" t="e">
        <f ca="1"/>
        <v>#REF!</v>
      </c>
      <c r="AF47" s="836" t="e">
        <f ca="1"/>
        <v>#REF!</v>
      </c>
      <c r="AG47" s="836" t="e">
        <f ca="1"/>
        <v>#REF!</v>
      </c>
      <c r="AH47" s="836" t="e">
        <f ca="1"/>
        <v>#REF!</v>
      </c>
      <c r="AI47" s="836" t="e">
        <f ca="1"/>
        <v>#REF!</v>
      </c>
      <c r="AJ47" s="836" t="e">
        <f ca="1"/>
        <v>#REF!</v>
      </c>
      <c r="AK47" s="836" t="e">
        <f ca="1"/>
        <v>#REF!</v>
      </c>
      <c r="AL47" s="836" t="e">
        <f ca="1"/>
        <v>#REF!</v>
      </c>
      <c r="AM47" s="836" t="e">
        <f ca="1"/>
        <v>#REF!</v>
      </c>
      <c r="AN47" s="836" t="e">
        <f ca="1"/>
        <v>#REF!</v>
      </c>
      <c r="AO47" s="836" t="e">
        <f ca="1"/>
        <v>#REF!</v>
      </c>
      <c r="AP47" s="836" t="e">
        <f ca="1"/>
        <v>#REF!</v>
      </c>
      <c r="AQ47" s="836" t="e">
        <f ca="1"/>
        <v>#REF!</v>
      </c>
      <c r="AR47" s="836" t="e">
        <f ca="1"/>
        <v>#REF!</v>
      </c>
      <c r="AS47" s="836" t="e">
        <f ca="1"/>
        <v>#REF!</v>
      </c>
      <c r="AT47" s="836" t="e">
        <f ca="1"/>
        <v>#REF!</v>
      </c>
      <c r="AU47" s="836" t="e">
        <f ca="1"/>
        <v>#REF!</v>
      </c>
      <c r="AV47" s="836" t="e">
        <f ca="1"/>
        <v>#REF!</v>
      </c>
      <c r="AW47" s="836" t="e">
        <f ca="1"/>
        <v>#REF!</v>
      </c>
      <c r="AX47" s="836" t="e">
        <f ca="1"/>
        <v>#REF!</v>
      </c>
      <c r="AY47" s="836" t="e">
        <f ca="1"/>
        <v>#REF!</v>
      </c>
      <c r="AZ47" s="836" t="e">
        <f ca="1"/>
        <v>#REF!</v>
      </c>
      <c r="BA47" s="836" t="e">
        <f ca="1"/>
        <v>#REF!</v>
      </c>
      <c r="BB47" s="836" t="e">
        <f ca="1"/>
        <v>#REF!</v>
      </c>
      <c r="BC47" s="836" t="e">
        <f ca="1"/>
        <v>#REF!</v>
      </c>
      <c r="BD47" s="836" t="e">
        <f ca="1"/>
        <v>#REF!</v>
      </c>
      <c r="BE47" s="836" t="e">
        <f ca="1"/>
        <v>#REF!</v>
      </c>
      <c r="BF47" s="836" t="e">
        <f ca="1"/>
        <v>#REF!</v>
      </c>
      <c r="BG47" s="836" t="e">
        <f ca="1"/>
        <v>#REF!</v>
      </c>
      <c r="BH47" s="834" t="e">
        <f ca="1"/>
        <v>#REF!</v>
      </c>
      <c r="BI47" s="834" t="e">
        <f ca="1"/>
        <v>#REF!</v>
      </c>
      <c r="BJ47" s="834" t="e">
        <f ca="1"/>
        <v>#REF!</v>
      </c>
      <c r="BK47" s="834" t="e">
        <f ca="1"/>
        <v>#REF!</v>
      </c>
      <c r="BL47" s="834" t="e">
        <f ca="1"/>
        <v>#REF!</v>
      </c>
      <c r="BM47" s="834" t="e">
        <f ca="1"/>
        <v>#REF!</v>
      </c>
      <c r="BN47" s="834" t="e">
        <f ca="1"/>
        <v>#REF!</v>
      </c>
      <c r="BO47" s="834" t="e">
        <f ca="1"/>
        <v>#REF!</v>
      </c>
      <c r="BP47" s="834" t="e">
        <f ca="1"/>
        <v>#REF!</v>
      </c>
      <c r="BQ47" s="834" t="e">
        <f ca="1"/>
        <v>#REF!</v>
      </c>
      <c r="BR47" s="834" t="e">
        <f ca="1"/>
        <v>#REF!</v>
      </c>
      <c r="BS47" s="834" t="e">
        <f ca="1"/>
        <v>#REF!</v>
      </c>
      <c r="BT47" s="834" t="e">
        <f ca="1"/>
        <v>#REF!</v>
      </c>
      <c r="BU47" s="834" t="e">
        <f ca="1"/>
        <v>#REF!</v>
      </c>
    </row>
    <row r="48" spans="1:73">
      <c r="A48" s="835" t="str">
        <f>A46&amp;" num"</f>
        <v>Shimizu S-Pulse num</v>
      </c>
      <c r="B48" s="834" t="e">
        <f ca="1"/>
        <v>#REF!</v>
      </c>
      <c r="C48" s="834" t="e">
        <f ca="1"/>
        <v>#REF!</v>
      </c>
      <c r="D48" s="834" t="e">
        <f ca="1"/>
        <v>#REF!</v>
      </c>
      <c r="E48" s="834" t="e">
        <f ca="1"/>
        <v>#REF!</v>
      </c>
      <c r="F48" s="834" t="e">
        <f ca="1"/>
        <v>#REF!</v>
      </c>
      <c r="G48" s="834" t="e">
        <f ca="1"/>
        <v>#REF!</v>
      </c>
      <c r="H48" s="834" t="e">
        <f ca="1"/>
        <v>#REF!</v>
      </c>
      <c r="I48" s="834" t="e">
        <f ca="1"/>
        <v>#REF!</v>
      </c>
      <c r="J48" s="834" t="e">
        <f ca="1"/>
        <v>#REF!</v>
      </c>
      <c r="K48" s="834" t="e">
        <f ca="1"/>
        <v>#REF!</v>
      </c>
      <c r="L48" s="834" t="e">
        <f ca="1"/>
        <v>#REF!</v>
      </c>
      <c r="M48" s="834" t="e">
        <f ca="1"/>
        <v>#REF!</v>
      </c>
      <c r="N48" s="834" t="e">
        <f ca="1"/>
        <v>#REF!</v>
      </c>
      <c r="O48" s="834" t="e">
        <f ca="1"/>
        <v>#REF!</v>
      </c>
      <c r="P48" s="834" t="e">
        <f ca="1"/>
        <v>#REF!</v>
      </c>
      <c r="Q48" s="834" t="e">
        <f ca="1"/>
        <v>#REF!</v>
      </c>
      <c r="R48" s="834" t="e">
        <f ca="1"/>
        <v>#REF!</v>
      </c>
      <c r="S48" s="834" t="e">
        <f ca="1"/>
        <v>#REF!</v>
      </c>
      <c r="T48" s="834" t="e">
        <f ca="1"/>
        <v>#REF!</v>
      </c>
      <c r="U48" s="834" t="e">
        <f ca="1"/>
        <v>#REF!</v>
      </c>
      <c r="V48" s="834" t="e">
        <f ca="1"/>
        <v>#REF!</v>
      </c>
      <c r="W48" s="834" t="e">
        <f ca="1"/>
        <v>#REF!</v>
      </c>
      <c r="X48" s="836" t="e">
        <f ca="1"/>
        <v>#REF!</v>
      </c>
      <c r="Y48" s="836" t="e">
        <f ca="1"/>
        <v>#REF!</v>
      </c>
      <c r="Z48" s="836" t="e">
        <f ca="1"/>
        <v>#REF!</v>
      </c>
      <c r="AA48" s="836" t="e">
        <f ca="1"/>
        <v>#REF!</v>
      </c>
      <c r="AB48" s="836" t="e">
        <f ca="1"/>
        <v>#REF!</v>
      </c>
      <c r="AC48" s="836" t="e">
        <f ca="1"/>
        <v>#REF!</v>
      </c>
      <c r="AD48" s="836" t="e">
        <f ca="1"/>
        <v>#REF!</v>
      </c>
      <c r="AE48" s="836" t="e">
        <f ca="1"/>
        <v>#REF!</v>
      </c>
      <c r="AF48" s="836" t="e">
        <f ca="1"/>
        <v>#REF!</v>
      </c>
      <c r="AG48" s="836" t="e">
        <f ca="1"/>
        <v>#REF!</v>
      </c>
      <c r="AH48" s="836" t="e">
        <f ca="1"/>
        <v>#REF!</v>
      </c>
      <c r="AI48" s="836" t="e">
        <f ca="1"/>
        <v>#REF!</v>
      </c>
      <c r="AJ48" s="836" t="e">
        <f ca="1"/>
        <v>#REF!</v>
      </c>
      <c r="AK48" s="836" t="e">
        <f ca="1"/>
        <v>#REF!</v>
      </c>
      <c r="AL48" s="836" t="e">
        <f ca="1"/>
        <v>#REF!</v>
      </c>
      <c r="AM48" s="836" t="e">
        <f ca="1"/>
        <v>#REF!</v>
      </c>
      <c r="AN48" s="836" t="e">
        <f ca="1"/>
        <v>#REF!</v>
      </c>
      <c r="AO48" s="836" t="e">
        <f ca="1"/>
        <v>#REF!</v>
      </c>
      <c r="AP48" s="836" t="e">
        <f ca="1"/>
        <v>#REF!</v>
      </c>
      <c r="AQ48" s="836" t="e">
        <f ca="1"/>
        <v>#REF!</v>
      </c>
      <c r="AR48" s="836" t="e">
        <f ca="1"/>
        <v>#REF!</v>
      </c>
      <c r="AS48" s="836" t="e">
        <f ca="1"/>
        <v>#REF!</v>
      </c>
      <c r="AT48" s="836" t="e">
        <f ca="1"/>
        <v>#REF!</v>
      </c>
      <c r="AU48" s="836" t="e">
        <f ca="1"/>
        <v>#REF!</v>
      </c>
      <c r="AV48" s="836" t="e">
        <f ca="1"/>
        <v>#REF!</v>
      </c>
      <c r="AW48" s="836" t="e">
        <f ca="1"/>
        <v>#REF!</v>
      </c>
      <c r="AX48" s="836" t="e">
        <f ca="1"/>
        <v>#REF!</v>
      </c>
      <c r="AY48" s="836" t="e">
        <f ca="1"/>
        <v>#REF!</v>
      </c>
      <c r="AZ48" s="836" t="e">
        <f ca="1"/>
        <v>#REF!</v>
      </c>
      <c r="BA48" s="836" t="e">
        <f ca="1"/>
        <v>#REF!</v>
      </c>
      <c r="BB48" s="836" t="e">
        <f ca="1"/>
        <v>#REF!</v>
      </c>
      <c r="BC48" s="836" t="e">
        <f ca="1"/>
        <v>#REF!</v>
      </c>
      <c r="BD48" s="836" t="e">
        <f ca="1"/>
        <v>#REF!</v>
      </c>
      <c r="BE48" s="836" t="e">
        <f ca="1"/>
        <v>#REF!</v>
      </c>
      <c r="BF48" s="836" t="e">
        <f ca="1"/>
        <v>#REF!</v>
      </c>
      <c r="BG48" s="836" t="e">
        <f ca="1"/>
        <v>#REF!</v>
      </c>
      <c r="BH48" s="834" t="e">
        <f ca="1"/>
        <v>#REF!</v>
      </c>
      <c r="BI48" s="834" t="e">
        <f ca="1"/>
        <v>#REF!</v>
      </c>
      <c r="BJ48" s="834" t="e">
        <f ca="1"/>
        <v>#REF!</v>
      </c>
      <c r="BK48" s="834" t="e">
        <f ca="1"/>
        <v>#REF!</v>
      </c>
      <c r="BL48" s="834" t="e">
        <f ca="1"/>
        <v>#REF!</v>
      </c>
      <c r="BM48" s="834" t="e">
        <f ca="1"/>
        <v>#REF!</v>
      </c>
      <c r="BN48" s="834" t="e">
        <f ca="1"/>
        <v>#REF!</v>
      </c>
      <c r="BO48" s="834" t="e">
        <f ca="1"/>
        <v>#REF!</v>
      </c>
      <c r="BP48" s="834" t="e">
        <f ca="1"/>
        <v>#REF!</v>
      </c>
      <c r="BQ48" s="834" t="e">
        <f ca="1"/>
        <v>#REF!</v>
      </c>
      <c r="BR48" s="834" t="e">
        <f ca="1"/>
        <v>#REF!</v>
      </c>
      <c r="BS48" s="834" t="e">
        <f ca="1"/>
        <v>#REF!</v>
      </c>
      <c r="BT48" s="834" t="e">
        <f ca="1"/>
        <v>#REF!</v>
      </c>
      <c r="BU48" s="834" t="e">
        <f ca="1"/>
        <v>#REF!</v>
      </c>
    </row>
    <row r="49" spans="1:59">
      <c r="A49" s="17"/>
      <c r="X49" s="836"/>
      <c r="Y49" s="836"/>
      <c r="Z49" s="836"/>
      <c r="AA49" s="836"/>
      <c r="AB49" s="836"/>
      <c r="AC49" s="836"/>
      <c r="AD49" s="836"/>
      <c r="AE49" s="836"/>
      <c r="AF49" s="836"/>
      <c r="AG49" s="836"/>
      <c r="AH49" s="836"/>
      <c r="AI49" s="836"/>
      <c r="AJ49" s="836"/>
      <c r="AK49" s="836"/>
      <c r="AL49" s="836"/>
      <c r="AM49" s="836"/>
      <c r="AN49" s="836"/>
      <c r="AO49" s="836"/>
      <c r="AP49" s="836"/>
      <c r="AQ49" s="836"/>
      <c r="AR49" s="836"/>
      <c r="AS49" s="836"/>
      <c r="AT49" s="836"/>
      <c r="AU49" s="836"/>
      <c r="AV49" s="836"/>
      <c r="AW49" s="836"/>
      <c r="AX49" s="836"/>
      <c r="AY49" s="836"/>
      <c r="AZ49" s="836"/>
      <c r="BA49" s="836"/>
      <c r="BB49" s="836"/>
      <c r="BC49" s="836"/>
      <c r="BD49" s="836"/>
      <c r="BE49" s="836"/>
      <c r="BF49" s="836"/>
      <c r="BG49" s="836"/>
    </row>
    <row r="50" spans="1:59">
      <c r="A50" s="835"/>
      <c r="X50" s="836"/>
      <c r="Y50" s="836"/>
      <c r="Z50" s="836"/>
      <c r="AA50" s="836"/>
      <c r="AB50" s="836"/>
      <c r="AC50" s="836"/>
      <c r="AD50" s="836"/>
      <c r="AE50" s="836"/>
      <c r="AF50" s="836"/>
      <c r="AG50" s="836"/>
      <c r="AH50" s="836"/>
      <c r="AI50" s="836"/>
      <c r="AJ50" s="836"/>
      <c r="AK50" s="836"/>
      <c r="AL50" s="836"/>
      <c r="AM50" s="836"/>
      <c r="AN50" s="836"/>
      <c r="AO50" s="836"/>
      <c r="AP50" s="836"/>
      <c r="AQ50" s="836"/>
      <c r="AR50" s="836"/>
      <c r="AS50" s="836"/>
      <c r="AT50" s="836"/>
      <c r="AU50" s="836"/>
      <c r="AV50" s="836"/>
      <c r="AW50" s="836"/>
      <c r="AX50" s="836"/>
      <c r="AY50" s="836"/>
      <c r="AZ50" s="836"/>
      <c r="BA50" s="836"/>
      <c r="BB50" s="836"/>
      <c r="BC50" s="836"/>
      <c r="BD50" s="836"/>
      <c r="BE50" s="836"/>
      <c r="BF50" s="836"/>
      <c r="BG50" s="836"/>
    </row>
    <row r="51" spans="1:59">
      <c r="A51" s="835"/>
      <c r="X51" s="836"/>
      <c r="Y51" s="836"/>
      <c r="Z51" s="836"/>
      <c r="AA51" s="836"/>
      <c r="AB51" s="836"/>
      <c r="AC51" s="836"/>
      <c r="AD51" s="836"/>
      <c r="AE51" s="836"/>
      <c r="AF51" s="836"/>
      <c r="AG51" s="836"/>
      <c r="AH51" s="836"/>
      <c r="AI51" s="836"/>
      <c r="AJ51" s="836"/>
      <c r="AK51" s="836"/>
      <c r="AL51" s="836"/>
      <c r="AM51" s="836"/>
      <c r="AN51" s="836"/>
      <c r="AO51" s="836"/>
      <c r="AP51" s="836"/>
      <c r="AQ51" s="836"/>
      <c r="AR51" s="836"/>
      <c r="AS51" s="836"/>
      <c r="AT51" s="836"/>
      <c r="AU51" s="836"/>
      <c r="AV51" s="836"/>
      <c r="AW51" s="836"/>
      <c r="AX51" s="836"/>
      <c r="AY51" s="836"/>
      <c r="AZ51" s="836"/>
      <c r="BA51" s="836"/>
      <c r="BB51" s="836"/>
      <c r="BC51" s="836"/>
      <c r="BD51" s="836"/>
      <c r="BE51" s="836"/>
      <c r="BF51" s="836"/>
      <c r="BG51" s="836"/>
    </row>
    <row r="52" spans="1:59">
      <c r="A52" s="17"/>
      <c r="X52" s="836"/>
      <c r="Y52" s="836"/>
      <c r="Z52" s="836"/>
      <c r="AA52" s="836"/>
      <c r="AB52" s="836"/>
      <c r="AC52" s="836"/>
      <c r="AD52" s="836"/>
      <c r="AE52" s="836"/>
      <c r="AF52" s="836"/>
      <c r="AG52" s="836"/>
      <c r="AH52" s="836"/>
      <c r="AI52" s="836"/>
      <c r="AJ52" s="836"/>
      <c r="AK52" s="836"/>
      <c r="AL52" s="836"/>
      <c r="AM52" s="836"/>
      <c r="AN52" s="836"/>
      <c r="AO52" s="836"/>
      <c r="AP52" s="836"/>
      <c r="AQ52" s="836"/>
      <c r="AR52" s="836"/>
      <c r="AS52" s="836"/>
      <c r="AT52" s="836"/>
      <c r="AU52" s="836"/>
      <c r="AV52" s="836"/>
      <c r="AW52" s="836"/>
      <c r="AX52" s="836"/>
      <c r="AY52" s="836"/>
      <c r="AZ52" s="836"/>
      <c r="BA52" s="836"/>
      <c r="BB52" s="836"/>
      <c r="BC52" s="836"/>
      <c r="BD52" s="836"/>
      <c r="BE52" s="836"/>
      <c r="BF52" s="836"/>
      <c r="BG52" s="836"/>
    </row>
    <row r="53" spans="1:59">
      <c r="A53" s="835"/>
      <c r="X53" s="836"/>
      <c r="Y53" s="836"/>
      <c r="Z53" s="836"/>
      <c r="AA53" s="836"/>
      <c r="AB53" s="836"/>
      <c r="AC53" s="836"/>
      <c r="AD53" s="836"/>
      <c r="AE53" s="836"/>
      <c r="AF53" s="836"/>
      <c r="AG53" s="836"/>
      <c r="AH53" s="836"/>
      <c r="AI53" s="836"/>
      <c r="AJ53" s="836"/>
      <c r="AK53" s="836"/>
      <c r="AL53" s="836"/>
      <c r="AM53" s="836"/>
      <c r="AN53" s="836"/>
      <c r="AO53" s="836"/>
      <c r="AP53" s="836"/>
      <c r="AQ53" s="836"/>
      <c r="AR53" s="836"/>
      <c r="AS53" s="836"/>
      <c r="AT53" s="836"/>
      <c r="AU53" s="836"/>
      <c r="AV53" s="836"/>
      <c r="AW53" s="836"/>
      <c r="AX53" s="836"/>
      <c r="AY53" s="836"/>
      <c r="AZ53" s="836"/>
      <c r="BA53" s="836"/>
      <c r="BB53" s="836"/>
      <c r="BC53" s="836"/>
      <c r="BD53" s="836"/>
      <c r="BE53" s="836"/>
      <c r="BF53" s="836"/>
      <c r="BG53" s="836"/>
    </row>
    <row r="54" spans="1:59">
      <c r="A54" s="835"/>
      <c r="X54" s="836"/>
      <c r="Y54" s="836"/>
      <c r="Z54" s="836"/>
      <c r="AA54" s="836"/>
      <c r="AB54" s="836"/>
      <c r="AC54" s="836"/>
      <c r="AD54" s="836"/>
      <c r="AE54" s="836"/>
      <c r="AF54" s="836"/>
      <c r="AG54" s="836"/>
      <c r="AH54" s="836"/>
      <c r="AI54" s="836"/>
      <c r="AJ54" s="836"/>
      <c r="AK54" s="836"/>
      <c r="AL54" s="836"/>
      <c r="AM54" s="836"/>
      <c r="AN54" s="836"/>
      <c r="AO54" s="836"/>
      <c r="AP54" s="836"/>
      <c r="AQ54" s="836"/>
      <c r="AR54" s="836"/>
      <c r="AS54" s="836"/>
      <c r="AT54" s="836"/>
      <c r="AU54" s="836"/>
      <c r="AV54" s="836"/>
      <c r="AW54" s="836"/>
      <c r="AX54" s="836"/>
      <c r="AY54" s="836"/>
      <c r="AZ54" s="836"/>
      <c r="BA54" s="836"/>
      <c r="BB54" s="836"/>
      <c r="BC54" s="836"/>
      <c r="BD54" s="836"/>
      <c r="BE54" s="836"/>
      <c r="BF54" s="836"/>
      <c r="BG54" s="836"/>
    </row>
    <row r="55" spans="1:59">
      <c r="A55" s="17"/>
      <c r="X55" s="836"/>
      <c r="Y55" s="836"/>
      <c r="Z55" s="836"/>
      <c r="AA55" s="836"/>
      <c r="AB55" s="836"/>
      <c r="AC55" s="836"/>
      <c r="AD55" s="836"/>
      <c r="AE55" s="836"/>
      <c r="AF55" s="836"/>
      <c r="AG55" s="836"/>
      <c r="AH55" s="836"/>
      <c r="AI55" s="836"/>
      <c r="AJ55" s="836"/>
      <c r="AK55" s="836"/>
      <c r="AL55" s="836"/>
      <c r="AM55" s="836"/>
      <c r="AN55" s="836"/>
      <c r="AO55" s="836"/>
      <c r="AP55" s="836"/>
      <c r="AQ55" s="836"/>
      <c r="AR55" s="836"/>
      <c r="AS55" s="836"/>
      <c r="AT55" s="836"/>
      <c r="AU55" s="836"/>
      <c r="AV55" s="836"/>
      <c r="AW55" s="836"/>
      <c r="AX55" s="836"/>
      <c r="AY55" s="836"/>
      <c r="AZ55" s="836"/>
      <c r="BA55" s="836"/>
      <c r="BB55" s="836"/>
      <c r="BC55" s="836"/>
      <c r="BD55" s="836"/>
      <c r="BE55" s="836"/>
      <c r="BF55" s="836"/>
      <c r="BG55" s="836"/>
    </row>
    <row r="56" spans="1:59">
      <c r="A56" s="835"/>
      <c r="X56" s="836"/>
      <c r="Y56" s="836"/>
      <c r="Z56" s="836"/>
      <c r="AA56" s="836"/>
      <c r="AB56" s="836"/>
      <c r="AC56" s="836"/>
      <c r="AD56" s="836"/>
      <c r="AE56" s="836"/>
      <c r="AF56" s="836"/>
      <c r="AG56" s="836"/>
      <c r="AH56" s="836"/>
      <c r="AI56" s="836"/>
      <c r="AJ56" s="836"/>
      <c r="AK56" s="836"/>
      <c r="AL56" s="836"/>
      <c r="AM56" s="836"/>
      <c r="AN56" s="836"/>
      <c r="AO56" s="836"/>
      <c r="AP56" s="836"/>
      <c r="AQ56" s="836"/>
      <c r="AR56" s="836"/>
      <c r="AS56" s="836"/>
      <c r="AT56" s="836"/>
      <c r="AU56" s="836"/>
      <c r="AV56" s="836"/>
      <c r="AW56" s="836"/>
      <c r="AX56" s="836"/>
      <c r="AY56" s="836"/>
      <c r="AZ56" s="836"/>
      <c r="BA56" s="836"/>
      <c r="BB56" s="836"/>
      <c r="BC56" s="836"/>
      <c r="BD56" s="836"/>
      <c r="BE56" s="836"/>
      <c r="BF56" s="836"/>
      <c r="BG56" s="836"/>
    </row>
    <row r="57" spans="1:59">
      <c r="A57" s="835"/>
      <c r="X57" s="836"/>
      <c r="Y57" s="836"/>
      <c r="Z57" s="836"/>
      <c r="AA57" s="836"/>
      <c r="AB57" s="836"/>
      <c r="AC57" s="836"/>
      <c r="AD57" s="836"/>
      <c r="AE57" s="836"/>
      <c r="AF57" s="836"/>
      <c r="AG57" s="836"/>
      <c r="AH57" s="836"/>
      <c r="AI57" s="836"/>
      <c r="AJ57" s="836"/>
      <c r="AK57" s="836"/>
      <c r="AL57" s="836"/>
      <c r="AM57" s="836"/>
      <c r="AN57" s="836"/>
      <c r="AO57" s="836"/>
      <c r="AP57" s="836"/>
      <c r="AQ57" s="836"/>
      <c r="AR57" s="836"/>
      <c r="AS57" s="836"/>
      <c r="AT57" s="836"/>
      <c r="AU57" s="836"/>
      <c r="AV57" s="836"/>
      <c r="AW57" s="836"/>
      <c r="AX57" s="836"/>
      <c r="AY57" s="836"/>
      <c r="AZ57" s="836"/>
      <c r="BA57" s="836"/>
      <c r="BB57" s="836"/>
      <c r="BC57" s="836"/>
      <c r="BD57" s="836"/>
      <c r="BE57" s="836"/>
      <c r="BF57" s="836"/>
      <c r="BG57" s="836"/>
    </row>
    <row r="58" spans="1:59">
      <c r="A58" s="17"/>
      <c r="X58" s="836"/>
      <c r="Y58" s="836"/>
      <c r="Z58" s="836"/>
      <c r="AA58" s="836"/>
      <c r="AB58" s="836"/>
      <c r="AC58" s="836"/>
      <c r="AD58" s="836"/>
      <c r="AE58" s="836"/>
      <c r="AF58" s="836"/>
      <c r="AG58" s="836"/>
      <c r="AH58" s="836"/>
      <c r="AI58" s="836"/>
      <c r="AJ58" s="836"/>
      <c r="AK58" s="836"/>
      <c r="AL58" s="836"/>
      <c r="AM58" s="836"/>
      <c r="AN58" s="836"/>
      <c r="AO58" s="836"/>
      <c r="AP58" s="836"/>
      <c r="AQ58" s="836"/>
      <c r="AR58" s="836"/>
      <c r="AS58" s="836"/>
      <c r="AT58" s="836"/>
      <c r="AU58" s="836"/>
      <c r="AV58" s="836"/>
      <c r="AW58" s="836"/>
      <c r="AX58" s="836"/>
      <c r="AY58" s="836"/>
      <c r="AZ58" s="836"/>
      <c r="BA58" s="836"/>
      <c r="BB58" s="836"/>
      <c r="BC58" s="836"/>
      <c r="BD58" s="836"/>
      <c r="BE58" s="836"/>
      <c r="BF58" s="836"/>
      <c r="BG58" s="836"/>
    </row>
    <row r="59" spans="1:59">
      <c r="A59" s="835"/>
      <c r="X59" s="836"/>
      <c r="Y59" s="836"/>
      <c r="Z59" s="836"/>
      <c r="AA59" s="836"/>
      <c r="AB59" s="836"/>
      <c r="AC59" s="836"/>
      <c r="AD59" s="836"/>
      <c r="AE59" s="836"/>
      <c r="AF59" s="836"/>
      <c r="AG59" s="836"/>
      <c r="AH59" s="836"/>
      <c r="AI59" s="836"/>
      <c r="AJ59" s="836"/>
      <c r="AK59" s="836"/>
      <c r="AL59" s="836"/>
      <c r="AM59" s="836"/>
      <c r="AN59" s="836"/>
      <c r="AO59" s="836"/>
      <c r="AP59" s="836"/>
      <c r="AQ59" s="836"/>
      <c r="AR59" s="836"/>
      <c r="AS59" s="836"/>
      <c r="AT59" s="836"/>
      <c r="AU59" s="836"/>
      <c r="AV59" s="836"/>
      <c r="AW59" s="836"/>
      <c r="AX59" s="836"/>
      <c r="AY59" s="836"/>
      <c r="AZ59" s="836"/>
      <c r="BA59" s="836"/>
      <c r="BB59" s="836"/>
      <c r="BC59" s="836"/>
      <c r="BD59" s="836"/>
      <c r="BE59" s="836"/>
      <c r="BF59" s="836"/>
      <c r="BG59" s="836"/>
    </row>
    <row r="60" spans="1:59">
      <c r="A60" s="835"/>
      <c r="X60" s="836"/>
      <c r="Y60" s="836"/>
      <c r="Z60" s="836"/>
      <c r="AA60" s="836"/>
      <c r="AB60" s="836"/>
      <c r="AC60" s="836"/>
      <c r="AD60" s="836"/>
      <c r="AE60" s="836"/>
      <c r="AF60" s="836"/>
      <c r="AG60" s="836"/>
      <c r="AH60" s="836"/>
      <c r="AI60" s="836"/>
      <c r="AJ60" s="836"/>
      <c r="AK60" s="836"/>
      <c r="AL60" s="836"/>
      <c r="AM60" s="836"/>
      <c r="AN60" s="836"/>
      <c r="AO60" s="836"/>
      <c r="AP60" s="836"/>
      <c r="AQ60" s="836"/>
      <c r="AR60" s="836"/>
      <c r="AS60" s="836"/>
      <c r="AT60" s="836"/>
      <c r="AU60" s="836"/>
      <c r="AV60" s="836"/>
      <c r="AW60" s="836"/>
      <c r="AX60" s="836"/>
      <c r="AY60" s="836"/>
      <c r="AZ60" s="836"/>
      <c r="BA60" s="836"/>
      <c r="BB60" s="836"/>
      <c r="BC60" s="836"/>
      <c r="BD60" s="836"/>
      <c r="BE60" s="836"/>
      <c r="BF60" s="836"/>
      <c r="BG60" s="836"/>
    </row>
    <row r="61" spans="1:59">
      <c r="X61" s="836"/>
      <c r="Y61" s="836"/>
      <c r="Z61" s="836"/>
      <c r="AA61" s="836"/>
      <c r="AB61" s="836"/>
      <c r="AC61" s="836"/>
      <c r="AD61" s="836"/>
      <c r="AE61" s="836"/>
      <c r="AF61" s="836"/>
      <c r="AG61" s="836"/>
      <c r="AH61" s="836"/>
      <c r="AI61" s="836"/>
      <c r="AJ61" s="836"/>
      <c r="AK61" s="836"/>
      <c r="AL61" s="836"/>
      <c r="AM61" s="836"/>
      <c r="AN61" s="836"/>
      <c r="AO61" s="836"/>
      <c r="AP61" s="836"/>
      <c r="AQ61" s="836"/>
      <c r="AR61" s="836"/>
      <c r="AS61" s="836"/>
      <c r="AT61" s="836"/>
      <c r="AU61" s="836"/>
      <c r="AV61" s="836"/>
      <c r="AW61" s="836"/>
      <c r="AX61" s="836"/>
      <c r="AY61" s="836"/>
      <c r="AZ61" s="836"/>
      <c r="BA61" s="836"/>
      <c r="BB61" s="836"/>
      <c r="BC61" s="836"/>
      <c r="BD61" s="836"/>
      <c r="BE61" s="836"/>
      <c r="BF61" s="836"/>
      <c r="BG61" s="836"/>
    </row>
    <row r="62" spans="1:59">
      <c r="X62" s="836"/>
      <c r="Y62" s="836"/>
      <c r="Z62" s="836"/>
      <c r="AA62" s="836"/>
      <c r="AB62" s="836"/>
      <c r="AC62" s="836"/>
      <c r="AD62" s="836"/>
      <c r="AE62" s="836"/>
      <c r="AF62" s="836"/>
      <c r="AG62" s="836"/>
      <c r="AH62" s="836"/>
      <c r="AI62" s="836"/>
      <c r="AJ62" s="836"/>
      <c r="AK62" s="836"/>
      <c r="AL62" s="836"/>
      <c r="AM62" s="836"/>
      <c r="AN62" s="836"/>
      <c r="AO62" s="836"/>
      <c r="AP62" s="836"/>
      <c r="AQ62" s="836"/>
      <c r="AR62" s="836"/>
      <c r="AS62" s="836"/>
      <c r="AT62" s="836"/>
      <c r="AU62" s="836"/>
      <c r="AV62" s="836"/>
      <c r="AW62" s="836"/>
      <c r="AX62" s="836"/>
      <c r="AY62" s="836"/>
      <c r="AZ62" s="836"/>
      <c r="BA62" s="836"/>
      <c r="BB62" s="836"/>
      <c r="BC62" s="836"/>
      <c r="BD62" s="836"/>
      <c r="BE62" s="836"/>
      <c r="BF62" s="836"/>
      <c r="BG62" s="836"/>
    </row>
    <row r="63" spans="1:59">
      <c r="X63" s="836"/>
      <c r="Y63" s="836"/>
      <c r="Z63" s="836"/>
      <c r="AA63" s="836"/>
      <c r="AB63" s="836"/>
      <c r="AC63" s="836"/>
      <c r="AD63" s="836"/>
      <c r="AE63" s="836"/>
      <c r="AF63" s="836"/>
      <c r="AG63" s="836"/>
      <c r="AH63" s="836"/>
      <c r="AI63" s="836"/>
      <c r="AJ63" s="836"/>
      <c r="AK63" s="836"/>
      <c r="AL63" s="836"/>
      <c r="AM63" s="836"/>
      <c r="AN63" s="836"/>
      <c r="AO63" s="836"/>
      <c r="AP63" s="836"/>
      <c r="AQ63" s="836"/>
      <c r="AR63" s="836"/>
      <c r="AS63" s="836"/>
      <c r="AT63" s="836"/>
      <c r="AU63" s="836"/>
      <c r="AV63" s="836"/>
      <c r="AW63" s="836"/>
      <c r="AX63" s="836"/>
      <c r="AY63" s="836"/>
      <c r="AZ63" s="836"/>
      <c r="BA63" s="836"/>
      <c r="BB63" s="836"/>
      <c r="BC63" s="836"/>
      <c r="BD63" s="836"/>
      <c r="BE63" s="836"/>
      <c r="BF63" s="836"/>
      <c r="BG63" s="836"/>
    </row>
    <row r="64" spans="1:59">
      <c r="X64" s="836"/>
      <c r="Y64" s="836"/>
      <c r="Z64" s="836"/>
      <c r="AA64" s="836"/>
      <c r="AB64" s="836"/>
      <c r="AC64" s="836"/>
      <c r="AD64" s="836"/>
      <c r="AE64" s="836"/>
      <c r="AF64" s="836"/>
      <c r="AG64" s="836"/>
      <c r="AH64" s="836"/>
      <c r="AI64" s="836"/>
      <c r="AJ64" s="836"/>
      <c r="AK64" s="836"/>
      <c r="AL64" s="836"/>
      <c r="AM64" s="836"/>
      <c r="AN64" s="836"/>
      <c r="AO64" s="836"/>
      <c r="AP64" s="836"/>
      <c r="AQ64" s="836"/>
      <c r="AR64" s="836"/>
      <c r="AS64" s="836"/>
      <c r="AT64" s="836"/>
      <c r="AU64" s="836"/>
      <c r="AV64" s="836"/>
      <c r="AW64" s="836"/>
      <c r="AX64" s="836"/>
      <c r="AY64" s="836"/>
      <c r="AZ64" s="836"/>
      <c r="BA64" s="836"/>
      <c r="BB64" s="836"/>
      <c r="BC64" s="836"/>
      <c r="BD64" s="836"/>
      <c r="BE64" s="836"/>
      <c r="BF64" s="836"/>
      <c r="BG64" s="836"/>
    </row>
    <row r="65" spans="24:59">
      <c r="X65" s="836"/>
      <c r="Y65" s="836"/>
      <c r="Z65" s="836"/>
      <c r="AA65" s="836"/>
      <c r="AB65" s="836"/>
      <c r="AC65" s="836"/>
      <c r="AD65" s="836"/>
      <c r="AE65" s="836"/>
      <c r="AF65" s="836"/>
      <c r="AG65" s="836"/>
      <c r="AH65" s="836"/>
      <c r="AI65" s="836"/>
      <c r="AJ65" s="836"/>
      <c r="AK65" s="836"/>
      <c r="AL65" s="836"/>
      <c r="AM65" s="836"/>
      <c r="AN65" s="836"/>
      <c r="AO65" s="836"/>
      <c r="AP65" s="836"/>
      <c r="AQ65" s="836"/>
      <c r="AR65" s="836"/>
      <c r="AS65" s="836"/>
      <c r="AT65" s="836"/>
      <c r="AU65" s="836"/>
      <c r="AV65" s="836"/>
      <c r="AW65" s="836"/>
      <c r="AX65" s="836"/>
      <c r="AY65" s="836"/>
      <c r="AZ65" s="836"/>
      <c r="BA65" s="836"/>
      <c r="BB65" s="836"/>
      <c r="BC65" s="836"/>
      <c r="BD65" s="836"/>
      <c r="BE65" s="836"/>
      <c r="BF65" s="836"/>
      <c r="BG65" s="836"/>
    </row>
    <row r="66" spans="24:59">
      <c r="X66" s="836"/>
      <c r="Y66" s="836"/>
      <c r="Z66" s="836"/>
      <c r="AA66" s="836"/>
      <c r="AB66" s="836"/>
      <c r="AC66" s="836"/>
      <c r="AD66" s="836"/>
      <c r="AE66" s="836"/>
      <c r="AF66" s="836"/>
      <c r="AG66" s="836"/>
      <c r="AH66" s="836"/>
      <c r="AI66" s="836"/>
      <c r="AJ66" s="836"/>
      <c r="AK66" s="836"/>
      <c r="AL66" s="836"/>
      <c r="AM66" s="836"/>
      <c r="AN66" s="836"/>
      <c r="AO66" s="836"/>
      <c r="AP66" s="836"/>
      <c r="AQ66" s="836"/>
      <c r="AR66" s="836"/>
      <c r="AS66" s="836"/>
      <c r="AT66" s="836"/>
      <c r="AU66" s="836"/>
      <c r="AV66" s="836"/>
      <c r="AW66" s="836"/>
      <c r="AX66" s="836"/>
      <c r="AY66" s="836"/>
      <c r="AZ66" s="836"/>
      <c r="BA66" s="836"/>
      <c r="BB66" s="836"/>
      <c r="BC66" s="836"/>
      <c r="BD66" s="836"/>
      <c r="BE66" s="836"/>
      <c r="BF66" s="836"/>
      <c r="BG66" s="836"/>
    </row>
    <row r="67" spans="24:59">
      <c r="X67" s="836"/>
      <c r="Y67" s="836"/>
      <c r="Z67" s="836"/>
      <c r="AA67" s="836"/>
      <c r="AB67" s="836"/>
      <c r="AC67" s="836"/>
      <c r="AD67" s="836"/>
      <c r="AE67" s="836"/>
      <c r="AF67" s="836"/>
      <c r="AG67" s="836"/>
      <c r="AH67" s="836"/>
      <c r="AI67" s="836"/>
      <c r="AJ67" s="836"/>
      <c r="AK67" s="836"/>
      <c r="AL67" s="836"/>
      <c r="AM67" s="836"/>
      <c r="AN67" s="836"/>
      <c r="AO67" s="836"/>
      <c r="AP67" s="836"/>
      <c r="AQ67" s="836"/>
      <c r="AR67" s="836"/>
      <c r="AS67" s="836"/>
      <c r="AT67" s="836"/>
      <c r="AU67" s="836"/>
      <c r="AV67" s="836"/>
      <c r="AW67" s="836"/>
      <c r="AX67" s="836"/>
      <c r="AY67" s="836"/>
      <c r="AZ67" s="836"/>
      <c r="BA67" s="836"/>
      <c r="BB67" s="836"/>
      <c r="BC67" s="836"/>
      <c r="BD67" s="836"/>
      <c r="BE67" s="836"/>
      <c r="BF67" s="836"/>
      <c r="BG67" s="836"/>
    </row>
    <row r="68" spans="24:59">
      <c r="X68" s="836"/>
      <c r="Y68" s="836"/>
      <c r="Z68" s="836"/>
      <c r="AA68" s="836"/>
      <c r="AB68" s="836"/>
      <c r="AC68" s="836"/>
      <c r="AD68" s="836"/>
      <c r="AE68" s="836"/>
      <c r="AF68" s="836"/>
      <c r="AG68" s="836"/>
      <c r="AH68" s="836"/>
      <c r="AI68" s="836"/>
      <c r="AJ68" s="836"/>
      <c r="AK68" s="836"/>
      <c r="AL68" s="836"/>
      <c r="AM68" s="836"/>
      <c r="AN68" s="836"/>
      <c r="AO68" s="836"/>
      <c r="AP68" s="836"/>
      <c r="AQ68" s="836"/>
      <c r="AR68" s="836"/>
      <c r="AS68" s="836"/>
      <c r="AT68" s="836"/>
      <c r="AU68" s="836"/>
      <c r="AV68" s="836"/>
      <c r="AW68" s="836"/>
      <c r="AX68" s="836"/>
      <c r="AY68" s="836"/>
      <c r="AZ68" s="836"/>
      <c r="BA68" s="836"/>
      <c r="BB68" s="836"/>
      <c r="BC68" s="836"/>
      <c r="BD68" s="836"/>
      <c r="BE68" s="836"/>
      <c r="BF68" s="836"/>
      <c r="BG68" s="836"/>
    </row>
    <row r="69" spans="24:59">
      <c r="X69" s="836"/>
      <c r="Y69" s="836"/>
      <c r="Z69" s="836"/>
      <c r="AA69" s="836"/>
      <c r="AB69" s="836"/>
      <c r="AC69" s="836"/>
      <c r="AD69" s="836"/>
      <c r="AE69" s="836"/>
      <c r="AF69" s="836"/>
      <c r="AG69" s="836"/>
      <c r="AH69" s="836"/>
      <c r="AI69" s="836"/>
      <c r="AJ69" s="836"/>
      <c r="AK69" s="836"/>
      <c r="AL69" s="836"/>
      <c r="AM69" s="836"/>
      <c r="AN69" s="836"/>
      <c r="AO69" s="836"/>
      <c r="AP69" s="836"/>
      <c r="AQ69" s="836"/>
      <c r="AR69" s="836"/>
      <c r="AS69" s="836"/>
      <c r="AT69" s="836"/>
      <c r="AU69" s="836"/>
      <c r="AV69" s="836"/>
      <c r="AW69" s="836"/>
      <c r="AX69" s="836"/>
      <c r="AY69" s="836"/>
      <c r="AZ69" s="836"/>
      <c r="BA69" s="836"/>
      <c r="BB69" s="836"/>
      <c r="BC69" s="836"/>
      <c r="BD69" s="836"/>
      <c r="BE69" s="836"/>
      <c r="BF69" s="836"/>
      <c r="BG69" s="836"/>
    </row>
    <row r="70" spans="24:59">
      <c r="X70" s="836"/>
      <c r="Y70" s="836"/>
      <c r="Z70" s="836"/>
      <c r="AA70" s="836"/>
      <c r="AB70" s="836"/>
      <c r="AC70" s="836"/>
      <c r="AD70" s="836"/>
      <c r="AE70" s="836"/>
      <c r="AF70" s="836"/>
      <c r="AG70" s="836"/>
      <c r="AH70" s="836"/>
      <c r="AI70" s="836"/>
      <c r="AJ70" s="836"/>
      <c r="AK70" s="836"/>
      <c r="AL70" s="836"/>
      <c r="AM70" s="836"/>
      <c r="AN70" s="836"/>
      <c r="AO70" s="836"/>
      <c r="AP70" s="836"/>
      <c r="AQ70" s="836"/>
      <c r="AR70" s="836"/>
      <c r="AS70" s="836"/>
      <c r="AT70" s="836"/>
      <c r="AU70" s="836"/>
      <c r="AV70" s="836"/>
      <c r="AW70" s="836"/>
      <c r="AX70" s="836"/>
      <c r="AY70" s="836"/>
      <c r="AZ70" s="836"/>
      <c r="BA70" s="836"/>
      <c r="BB70" s="836"/>
      <c r="BC70" s="836"/>
      <c r="BD70" s="836"/>
      <c r="BE70" s="836"/>
      <c r="BF70" s="836"/>
      <c r="BG70" s="836"/>
    </row>
    <row r="71" spans="24:59">
      <c r="X71" s="836"/>
      <c r="Y71" s="836"/>
      <c r="Z71" s="836"/>
      <c r="AA71" s="836"/>
      <c r="AB71" s="836"/>
      <c r="AC71" s="836"/>
      <c r="AD71" s="836"/>
      <c r="AE71" s="836"/>
      <c r="AF71" s="836"/>
      <c r="AG71" s="836"/>
      <c r="AH71" s="836"/>
      <c r="AI71" s="836"/>
      <c r="AJ71" s="836"/>
      <c r="AK71" s="836"/>
      <c r="AL71" s="836"/>
      <c r="AM71" s="836"/>
      <c r="AN71" s="836"/>
      <c r="AO71" s="836"/>
      <c r="AP71" s="836"/>
      <c r="AQ71" s="836"/>
      <c r="AR71" s="836"/>
      <c r="AS71" s="836"/>
      <c r="AT71" s="836"/>
      <c r="AU71" s="836"/>
      <c r="AV71" s="836"/>
      <c r="AW71" s="836"/>
      <c r="AX71" s="836"/>
      <c r="AY71" s="836"/>
      <c r="AZ71" s="836"/>
      <c r="BA71" s="836"/>
      <c r="BB71" s="836"/>
      <c r="BC71" s="836"/>
      <c r="BD71" s="836"/>
      <c r="BE71" s="836"/>
      <c r="BF71" s="836"/>
      <c r="BG71" s="836"/>
    </row>
    <row r="72" spans="24:59">
      <c r="X72" s="836"/>
      <c r="Y72" s="836"/>
      <c r="Z72" s="836"/>
      <c r="AA72" s="836"/>
      <c r="AB72" s="836"/>
      <c r="AC72" s="836"/>
      <c r="AD72" s="836"/>
      <c r="AE72" s="836"/>
      <c r="AF72" s="836"/>
      <c r="AG72" s="836"/>
      <c r="AH72" s="836"/>
      <c r="AI72" s="836"/>
      <c r="AJ72" s="836"/>
      <c r="AK72" s="836"/>
      <c r="AL72" s="836"/>
      <c r="AM72" s="836"/>
      <c r="AN72" s="836"/>
      <c r="AO72" s="836"/>
      <c r="AP72" s="836"/>
      <c r="AQ72" s="836"/>
      <c r="AR72" s="836"/>
      <c r="AS72" s="836"/>
      <c r="AT72" s="836"/>
      <c r="AU72" s="836"/>
      <c r="AV72" s="836"/>
      <c r="AW72" s="836"/>
      <c r="AX72" s="836"/>
      <c r="AY72" s="836"/>
      <c r="AZ72" s="836"/>
      <c r="BA72" s="836"/>
      <c r="BB72" s="836"/>
      <c r="BC72" s="836"/>
      <c r="BD72" s="836"/>
      <c r="BE72" s="836"/>
      <c r="BF72" s="836"/>
      <c r="BG72" s="836"/>
    </row>
    <row r="73" spans="24:59">
      <c r="X73" s="836"/>
      <c r="Y73" s="836"/>
      <c r="Z73" s="836"/>
      <c r="AA73" s="836"/>
      <c r="AB73" s="836"/>
      <c r="AC73" s="836"/>
      <c r="AD73" s="836"/>
      <c r="AE73" s="836"/>
      <c r="AF73" s="836"/>
      <c r="AG73" s="836"/>
      <c r="AH73" s="836"/>
      <c r="AI73" s="836"/>
      <c r="AJ73" s="836"/>
      <c r="AK73" s="836"/>
      <c r="AL73" s="836"/>
      <c r="AM73" s="836"/>
      <c r="AN73" s="836"/>
      <c r="AO73" s="836"/>
      <c r="AP73" s="836"/>
      <c r="AQ73" s="836"/>
      <c r="AR73" s="836"/>
      <c r="AS73" s="836"/>
      <c r="AT73" s="836"/>
      <c r="AU73" s="836"/>
      <c r="AV73" s="836"/>
      <c r="AW73" s="836"/>
      <c r="AX73" s="836"/>
      <c r="AY73" s="836"/>
      <c r="AZ73" s="836"/>
      <c r="BA73" s="836"/>
      <c r="BB73" s="836"/>
      <c r="BC73" s="836"/>
      <c r="BD73" s="836"/>
      <c r="BE73" s="836"/>
      <c r="BF73" s="836"/>
      <c r="BG73" s="836"/>
    </row>
    <row r="74" spans="24:59">
      <c r="X74" s="836"/>
      <c r="Y74" s="836"/>
      <c r="Z74" s="836"/>
      <c r="AA74" s="836"/>
      <c r="AB74" s="836"/>
      <c r="AC74" s="836"/>
      <c r="AD74" s="836"/>
      <c r="AE74" s="836"/>
      <c r="AF74" s="836"/>
      <c r="AG74" s="836"/>
      <c r="AH74" s="836"/>
      <c r="AI74" s="836"/>
      <c r="AJ74" s="836"/>
      <c r="AK74" s="836"/>
      <c r="AL74" s="836"/>
      <c r="AM74" s="836"/>
      <c r="AN74" s="836"/>
      <c r="AO74" s="836"/>
      <c r="AP74" s="836"/>
      <c r="AQ74" s="836"/>
      <c r="AR74" s="836"/>
      <c r="AS74" s="836"/>
      <c r="AT74" s="836"/>
      <c r="AU74" s="836"/>
      <c r="AV74" s="836"/>
      <c r="AW74" s="836"/>
      <c r="AX74" s="836"/>
      <c r="AY74" s="836"/>
      <c r="AZ74" s="836"/>
      <c r="BA74" s="836"/>
      <c r="BB74" s="836"/>
      <c r="BC74" s="836"/>
      <c r="BD74" s="836"/>
      <c r="BE74" s="836"/>
      <c r="BF74" s="836"/>
      <c r="BG74" s="836"/>
    </row>
    <row r="75" spans="24:59">
      <c r="X75" s="836"/>
      <c r="Y75" s="836"/>
      <c r="Z75" s="836"/>
      <c r="AA75" s="836"/>
      <c r="AB75" s="836"/>
      <c r="AC75" s="836"/>
      <c r="AD75" s="836"/>
      <c r="AE75" s="836"/>
      <c r="AF75" s="836"/>
      <c r="AG75" s="836"/>
      <c r="AH75" s="836"/>
      <c r="AI75" s="836"/>
      <c r="AJ75" s="836"/>
      <c r="AK75" s="836"/>
      <c r="AL75" s="836"/>
      <c r="AM75" s="836"/>
      <c r="AN75" s="836"/>
      <c r="AO75" s="836"/>
      <c r="AP75" s="836"/>
      <c r="AQ75" s="836"/>
      <c r="AR75" s="836"/>
      <c r="AS75" s="836"/>
      <c r="AT75" s="836"/>
      <c r="AU75" s="836"/>
      <c r="AV75" s="836"/>
      <c r="AW75" s="836"/>
      <c r="AX75" s="836"/>
      <c r="AY75" s="836"/>
      <c r="AZ75" s="836"/>
      <c r="BA75" s="836"/>
      <c r="BB75" s="836"/>
      <c r="BC75" s="836"/>
      <c r="BD75" s="836"/>
      <c r="BE75" s="836"/>
      <c r="BF75" s="836"/>
      <c r="BG75" s="836"/>
    </row>
    <row r="76" spans="24:59">
      <c r="X76" s="836"/>
      <c r="Y76" s="836"/>
      <c r="Z76" s="836"/>
      <c r="AA76" s="836"/>
      <c r="AB76" s="836"/>
      <c r="AC76" s="836"/>
      <c r="AD76" s="836"/>
      <c r="AE76" s="836"/>
      <c r="AF76" s="836"/>
      <c r="AG76" s="836"/>
      <c r="AH76" s="836"/>
      <c r="AI76" s="836"/>
      <c r="AJ76" s="836"/>
      <c r="AK76" s="836"/>
      <c r="AL76" s="836"/>
      <c r="AM76" s="836"/>
      <c r="AN76" s="836"/>
      <c r="AO76" s="836"/>
      <c r="AP76" s="836"/>
      <c r="AQ76" s="836"/>
      <c r="AR76" s="836"/>
      <c r="AS76" s="836"/>
      <c r="AT76" s="836"/>
      <c r="AU76" s="836"/>
      <c r="AV76" s="836"/>
      <c r="AW76" s="836"/>
      <c r="AX76" s="836"/>
      <c r="AY76" s="836"/>
      <c r="AZ76" s="836"/>
      <c r="BA76" s="836"/>
      <c r="BB76" s="836"/>
      <c r="BC76" s="836"/>
      <c r="BD76" s="836"/>
      <c r="BE76" s="836"/>
      <c r="BF76" s="836"/>
      <c r="BG76" s="836"/>
    </row>
    <row r="77" spans="24:59">
      <c r="X77" s="836"/>
      <c r="Y77" s="836"/>
      <c r="Z77" s="836"/>
      <c r="AA77" s="836"/>
      <c r="AB77" s="836"/>
      <c r="AC77" s="836"/>
      <c r="AD77" s="836"/>
      <c r="AE77" s="836"/>
      <c r="AF77" s="836"/>
      <c r="AG77" s="836"/>
      <c r="AH77" s="836"/>
      <c r="AI77" s="836"/>
      <c r="AJ77" s="836"/>
      <c r="AK77" s="836"/>
      <c r="AL77" s="836"/>
      <c r="AM77" s="836"/>
      <c r="AN77" s="836"/>
      <c r="AO77" s="836"/>
      <c r="AP77" s="836"/>
      <c r="AQ77" s="836"/>
      <c r="AR77" s="836"/>
      <c r="AS77" s="836"/>
      <c r="AT77" s="836"/>
      <c r="AU77" s="836"/>
      <c r="AV77" s="836"/>
      <c r="AW77" s="836"/>
      <c r="AX77" s="836"/>
      <c r="AY77" s="836"/>
      <c r="AZ77" s="836"/>
      <c r="BA77" s="836"/>
      <c r="BB77" s="836"/>
      <c r="BC77" s="836"/>
      <c r="BD77" s="836"/>
      <c r="BE77" s="836"/>
      <c r="BF77" s="836"/>
      <c r="BG77" s="836"/>
    </row>
    <row r="78" spans="24:59">
      <c r="X78" s="836"/>
      <c r="Y78" s="836"/>
      <c r="Z78" s="836"/>
      <c r="AA78" s="836"/>
      <c r="AB78" s="836"/>
      <c r="AC78" s="836"/>
      <c r="AD78" s="836"/>
      <c r="AE78" s="836"/>
      <c r="AF78" s="836"/>
      <c r="AG78" s="836"/>
      <c r="AH78" s="836"/>
      <c r="AI78" s="836"/>
      <c r="AJ78" s="836"/>
      <c r="AK78" s="836"/>
      <c r="AL78" s="836"/>
      <c r="AM78" s="836"/>
      <c r="AN78" s="836"/>
      <c r="AO78" s="836"/>
      <c r="AP78" s="836"/>
      <c r="AQ78" s="836"/>
      <c r="AR78" s="836"/>
      <c r="AS78" s="836"/>
      <c r="AT78" s="836"/>
      <c r="AU78" s="836"/>
      <c r="AV78" s="836"/>
      <c r="AW78" s="836"/>
      <c r="AX78" s="836"/>
      <c r="AY78" s="836"/>
      <c r="AZ78" s="836"/>
      <c r="BA78" s="836"/>
      <c r="BB78" s="836"/>
      <c r="BC78" s="836"/>
      <c r="BD78" s="836"/>
      <c r="BE78" s="836"/>
      <c r="BF78" s="836"/>
      <c r="BG78" s="836"/>
    </row>
    <row r="79" spans="24:59">
      <c r="X79" s="836"/>
      <c r="Y79" s="836"/>
      <c r="Z79" s="836"/>
      <c r="AA79" s="836"/>
      <c r="AB79" s="836"/>
      <c r="AC79" s="836"/>
      <c r="AD79" s="836"/>
      <c r="AE79" s="836"/>
      <c r="AF79" s="836"/>
      <c r="AG79" s="836"/>
      <c r="AH79" s="836"/>
      <c r="AI79" s="836"/>
      <c r="AJ79" s="836"/>
      <c r="AK79" s="836"/>
      <c r="AL79" s="836"/>
      <c r="AM79" s="836"/>
      <c r="AN79" s="836"/>
      <c r="AO79" s="836"/>
      <c r="AP79" s="836"/>
      <c r="AQ79" s="836"/>
      <c r="AR79" s="836"/>
      <c r="AS79" s="836"/>
      <c r="AT79" s="836"/>
      <c r="AU79" s="836"/>
      <c r="AV79" s="836"/>
      <c r="AW79" s="836"/>
      <c r="AX79" s="836"/>
      <c r="AY79" s="836"/>
      <c r="AZ79" s="836"/>
      <c r="BA79" s="836"/>
      <c r="BB79" s="836"/>
      <c r="BC79" s="836"/>
      <c r="BD79" s="836"/>
      <c r="BE79" s="836"/>
      <c r="BF79" s="836"/>
      <c r="BG79" s="836"/>
    </row>
    <row r="80" spans="24:59">
      <c r="X80" s="836"/>
      <c r="Y80" s="836"/>
      <c r="Z80" s="836"/>
      <c r="AA80" s="836"/>
      <c r="AB80" s="836"/>
      <c r="AC80" s="836"/>
      <c r="AD80" s="836"/>
      <c r="AE80" s="836"/>
      <c r="AF80" s="836"/>
      <c r="AG80" s="836"/>
      <c r="AH80" s="836"/>
      <c r="AI80" s="836"/>
      <c r="AJ80" s="836"/>
      <c r="AK80" s="836"/>
      <c r="AL80" s="836"/>
      <c r="AM80" s="836"/>
      <c r="AN80" s="836"/>
      <c r="AO80" s="836"/>
      <c r="AP80" s="836"/>
      <c r="AQ80" s="836"/>
      <c r="AR80" s="836"/>
      <c r="AS80" s="836"/>
      <c r="AT80" s="836"/>
      <c r="AU80" s="836"/>
      <c r="AV80" s="836"/>
      <c r="AW80" s="836"/>
      <c r="AX80" s="836"/>
      <c r="AY80" s="836"/>
      <c r="AZ80" s="836"/>
      <c r="BA80" s="836"/>
      <c r="BB80" s="836"/>
      <c r="BC80" s="836"/>
      <c r="BD80" s="836"/>
      <c r="BE80" s="836"/>
      <c r="BF80" s="836"/>
      <c r="BG80" s="836"/>
    </row>
    <row r="81" spans="24:59">
      <c r="X81" s="836"/>
      <c r="Y81" s="836"/>
      <c r="Z81" s="836"/>
      <c r="AA81" s="836"/>
      <c r="AB81" s="836"/>
      <c r="AC81" s="836"/>
      <c r="AD81" s="836"/>
      <c r="AE81" s="836"/>
      <c r="AF81" s="836"/>
      <c r="AG81" s="836"/>
      <c r="AH81" s="836"/>
      <c r="AI81" s="836"/>
      <c r="AJ81" s="836"/>
      <c r="AK81" s="836"/>
      <c r="AL81" s="836"/>
      <c r="AM81" s="836"/>
      <c r="AN81" s="836"/>
      <c r="AO81" s="836"/>
      <c r="AP81" s="836"/>
      <c r="AQ81" s="836"/>
      <c r="AR81" s="836"/>
      <c r="AS81" s="836"/>
      <c r="AT81" s="836"/>
      <c r="AU81" s="836"/>
      <c r="AV81" s="836"/>
      <c r="AW81" s="836"/>
      <c r="AX81" s="836"/>
      <c r="AY81" s="836"/>
      <c r="AZ81" s="836"/>
      <c r="BA81" s="836"/>
      <c r="BB81" s="836"/>
      <c r="BC81" s="836"/>
      <c r="BD81" s="836"/>
      <c r="BE81" s="836"/>
      <c r="BF81" s="836"/>
      <c r="BG81" s="836"/>
    </row>
    <row r="82" spans="24:59">
      <c r="X82" s="836"/>
      <c r="Y82" s="836"/>
      <c r="Z82" s="836"/>
      <c r="AA82" s="836"/>
      <c r="AB82" s="836"/>
      <c r="AC82" s="836"/>
      <c r="AD82" s="836"/>
      <c r="AE82" s="836"/>
      <c r="AF82" s="836"/>
      <c r="AG82" s="836"/>
      <c r="AH82" s="836"/>
      <c r="AI82" s="836"/>
      <c r="AJ82" s="836"/>
      <c r="AK82" s="836"/>
      <c r="AL82" s="836"/>
      <c r="AM82" s="836"/>
      <c r="AN82" s="836"/>
      <c r="AO82" s="836"/>
      <c r="AP82" s="836"/>
      <c r="AQ82" s="836"/>
      <c r="AR82" s="836"/>
      <c r="AS82" s="836"/>
      <c r="AT82" s="836"/>
      <c r="AU82" s="836"/>
      <c r="AV82" s="836"/>
      <c r="AW82" s="836"/>
      <c r="AX82" s="836"/>
      <c r="AY82" s="836"/>
      <c r="AZ82" s="836"/>
      <c r="BA82" s="836"/>
      <c r="BB82" s="836"/>
      <c r="BC82" s="836"/>
      <c r="BD82" s="836"/>
      <c r="BE82" s="836"/>
      <c r="BF82" s="836"/>
      <c r="BG82" s="836"/>
    </row>
    <row r="83" spans="24:59">
      <c r="X83" s="836"/>
      <c r="Y83" s="836"/>
      <c r="Z83" s="836"/>
      <c r="AA83" s="836"/>
      <c r="AB83" s="836"/>
      <c r="AC83" s="836"/>
      <c r="AD83" s="836"/>
      <c r="AE83" s="836"/>
      <c r="AF83" s="836"/>
      <c r="AG83" s="836"/>
      <c r="AH83" s="836"/>
      <c r="AI83" s="836"/>
      <c r="AJ83" s="836"/>
      <c r="AK83" s="836"/>
      <c r="AL83" s="836"/>
      <c r="AM83" s="836"/>
      <c r="AN83" s="836"/>
      <c r="AO83" s="836"/>
      <c r="AP83" s="836"/>
      <c r="AQ83" s="836"/>
      <c r="AR83" s="836"/>
      <c r="AS83" s="836"/>
      <c r="AT83" s="836"/>
      <c r="AU83" s="836"/>
      <c r="AV83" s="836"/>
      <c r="AW83" s="836"/>
      <c r="AX83" s="836"/>
      <c r="AY83" s="836"/>
      <c r="AZ83" s="836"/>
      <c r="BA83" s="836"/>
      <c r="BB83" s="836"/>
      <c r="BC83" s="836"/>
      <c r="BD83" s="836"/>
      <c r="BE83" s="836"/>
      <c r="BF83" s="836"/>
      <c r="BG83" s="836"/>
    </row>
    <row r="84" spans="24:59">
      <c r="X84" s="836"/>
      <c r="Y84" s="836"/>
      <c r="Z84" s="836"/>
      <c r="AA84" s="836"/>
      <c r="AB84" s="836"/>
      <c r="AC84" s="836"/>
      <c r="AD84" s="836"/>
      <c r="AE84" s="836"/>
      <c r="AF84" s="836"/>
      <c r="AG84" s="836"/>
      <c r="AH84" s="836"/>
      <c r="AI84" s="836"/>
      <c r="AJ84" s="836"/>
      <c r="AK84" s="836"/>
      <c r="AL84" s="836"/>
      <c r="AM84" s="836"/>
      <c r="AN84" s="836"/>
      <c r="AO84" s="836"/>
      <c r="AP84" s="836"/>
      <c r="AQ84" s="836"/>
      <c r="AR84" s="836"/>
      <c r="AS84" s="836"/>
      <c r="AT84" s="836"/>
      <c r="AU84" s="836"/>
      <c r="AV84" s="836"/>
      <c r="AW84" s="836"/>
      <c r="AX84" s="836"/>
      <c r="AY84" s="836"/>
      <c r="AZ84" s="836"/>
      <c r="BA84" s="836"/>
      <c r="BB84" s="836"/>
      <c r="BC84" s="836"/>
      <c r="BD84" s="836"/>
      <c r="BE84" s="836"/>
      <c r="BF84" s="836"/>
      <c r="BG84" s="836"/>
    </row>
    <row r="85" spans="24:59">
      <c r="X85" s="836"/>
      <c r="Y85" s="836"/>
      <c r="Z85" s="836"/>
      <c r="AA85" s="836"/>
      <c r="AB85" s="836"/>
      <c r="AC85" s="836"/>
      <c r="AD85" s="836"/>
      <c r="AE85" s="836"/>
      <c r="AF85" s="836"/>
      <c r="AG85" s="836"/>
      <c r="AH85" s="836"/>
      <c r="AI85" s="836"/>
      <c r="AJ85" s="836"/>
      <c r="AK85" s="836"/>
      <c r="AL85" s="836"/>
      <c r="AM85" s="836"/>
      <c r="AN85" s="836"/>
      <c r="AO85" s="836"/>
      <c r="AP85" s="836"/>
      <c r="AQ85" s="836"/>
      <c r="AR85" s="836"/>
      <c r="AS85" s="836"/>
      <c r="AT85" s="836"/>
      <c r="AU85" s="836"/>
      <c r="AV85" s="836"/>
      <c r="AW85" s="836"/>
      <c r="AX85" s="836"/>
      <c r="AY85" s="836"/>
      <c r="AZ85" s="836"/>
      <c r="BA85" s="836"/>
      <c r="BB85" s="836"/>
      <c r="BC85" s="836"/>
      <c r="BD85" s="836"/>
      <c r="BE85" s="836"/>
      <c r="BF85" s="836"/>
      <c r="BG85" s="836"/>
    </row>
    <row r="86" spans="24:59">
      <c r="X86" s="836"/>
      <c r="Y86" s="836"/>
      <c r="Z86" s="836"/>
      <c r="AA86" s="836"/>
      <c r="AB86" s="836"/>
      <c r="AC86" s="836"/>
      <c r="AD86" s="836"/>
      <c r="AE86" s="836"/>
      <c r="AF86" s="836"/>
      <c r="AG86" s="836"/>
      <c r="AH86" s="836"/>
      <c r="AI86" s="836"/>
      <c r="AJ86" s="836"/>
      <c r="AK86" s="836"/>
      <c r="AL86" s="836"/>
      <c r="AM86" s="836"/>
      <c r="AN86" s="836"/>
      <c r="AO86" s="836"/>
      <c r="AP86" s="836"/>
      <c r="AQ86" s="836"/>
      <c r="AR86" s="836"/>
      <c r="AS86" s="836"/>
      <c r="AT86" s="836"/>
      <c r="AU86" s="836"/>
      <c r="AV86" s="836"/>
      <c r="AW86" s="836"/>
      <c r="AX86" s="836"/>
      <c r="AY86" s="836"/>
      <c r="AZ86" s="836"/>
      <c r="BA86" s="836"/>
      <c r="BB86" s="836"/>
      <c r="BC86" s="836"/>
      <c r="BD86" s="836"/>
      <c r="BE86" s="836"/>
      <c r="BF86" s="836"/>
      <c r="BG86" s="836"/>
    </row>
    <row r="87" spans="24:59">
      <c r="X87" s="836"/>
      <c r="Y87" s="836"/>
      <c r="Z87" s="836"/>
      <c r="AA87" s="836"/>
      <c r="AB87" s="836"/>
      <c r="AC87" s="836"/>
      <c r="AD87" s="836"/>
      <c r="AE87" s="836"/>
      <c r="AF87" s="836"/>
      <c r="AG87" s="836"/>
      <c r="AH87" s="836"/>
      <c r="AI87" s="836"/>
      <c r="AJ87" s="836"/>
      <c r="AK87" s="836"/>
      <c r="AL87" s="836"/>
      <c r="AM87" s="836"/>
      <c r="AN87" s="836"/>
      <c r="AO87" s="836"/>
      <c r="AP87" s="836"/>
      <c r="AQ87" s="836"/>
      <c r="AR87" s="836"/>
      <c r="AS87" s="836"/>
      <c r="AT87" s="836"/>
      <c r="AU87" s="836"/>
      <c r="AV87" s="836"/>
      <c r="AW87" s="836"/>
      <c r="AX87" s="836"/>
      <c r="AY87" s="836"/>
      <c r="AZ87" s="836"/>
      <c r="BA87" s="836"/>
      <c r="BB87" s="836"/>
      <c r="BC87" s="836"/>
      <c r="BD87" s="836"/>
      <c r="BE87" s="836"/>
      <c r="BF87" s="836"/>
      <c r="BG87" s="836"/>
    </row>
    <row r="88" spans="24:59">
      <c r="X88" s="836"/>
      <c r="Y88" s="836"/>
      <c r="Z88" s="836"/>
      <c r="AA88" s="836"/>
      <c r="AB88" s="836"/>
      <c r="AC88" s="836"/>
      <c r="AD88" s="836"/>
      <c r="AE88" s="836"/>
      <c r="AF88" s="836"/>
      <c r="AG88" s="836"/>
      <c r="AH88" s="836"/>
      <c r="AI88" s="836"/>
      <c r="AJ88" s="836"/>
      <c r="AK88" s="836"/>
      <c r="AL88" s="836"/>
      <c r="AM88" s="836"/>
      <c r="AN88" s="836"/>
      <c r="AO88" s="836"/>
      <c r="AP88" s="836"/>
      <c r="AQ88" s="836"/>
      <c r="AR88" s="836"/>
      <c r="AS88" s="836"/>
      <c r="AT88" s="836"/>
      <c r="AU88" s="836"/>
      <c r="AV88" s="836"/>
      <c r="AW88" s="836"/>
      <c r="AX88" s="836"/>
      <c r="AY88" s="836"/>
      <c r="AZ88" s="836"/>
      <c r="BA88" s="836"/>
      <c r="BB88" s="836"/>
      <c r="BC88" s="836"/>
      <c r="BD88" s="836"/>
      <c r="BE88" s="836"/>
      <c r="BF88" s="836"/>
      <c r="BG88" s="836"/>
    </row>
    <row r="89" spans="24:59">
      <c r="X89" s="836"/>
      <c r="Y89" s="836"/>
      <c r="Z89" s="836"/>
      <c r="AA89" s="836"/>
      <c r="AB89" s="836"/>
      <c r="AC89" s="836"/>
      <c r="AD89" s="836"/>
      <c r="AE89" s="836"/>
      <c r="AF89" s="836"/>
      <c r="AG89" s="836"/>
      <c r="AH89" s="836"/>
      <c r="AI89" s="836"/>
      <c r="AJ89" s="836"/>
      <c r="AK89" s="836"/>
      <c r="AL89" s="836"/>
      <c r="AM89" s="836"/>
      <c r="AN89" s="836"/>
      <c r="AO89" s="836"/>
      <c r="AP89" s="836"/>
      <c r="AQ89" s="836"/>
      <c r="AR89" s="836"/>
      <c r="AS89" s="836"/>
      <c r="AT89" s="836"/>
      <c r="AU89" s="836"/>
      <c r="AV89" s="836"/>
      <c r="AW89" s="836"/>
      <c r="AX89" s="836"/>
      <c r="AY89" s="836"/>
      <c r="AZ89" s="836"/>
      <c r="BA89" s="836"/>
      <c r="BB89" s="836"/>
      <c r="BC89" s="836"/>
      <c r="BD89" s="836"/>
      <c r="BE89" s="836"/>
      <c r="BF89" s="836"/>
      <c r="BG89" s="836"/>
    </row>
    <row r="90" spans="24:59">
      <c r="X90" s="836"/>
      <c r="Y90" s="836"/>
      <c r="Z90" s="836"/>
      <c r="AA90" s="836"/>
      <c r="AB90" s="836"/>
      <c r="AC90" s="836"/>
      <c r="AD90" s="836"/>
      <c r="AE90" s="836"/>
      <c r="AF90" s="836"/>
      <c r="AG90" s="836"/>
      <c r="AH90" s="836"/>
      <c r="AI90" s="836"/>
      <c r="AJ90" s="836"/>
      <c r="AK90" s="836"/>
      <c r="AL90" s="836"/>
      <c r="AM90" s="836"/>
      <c r="AN90" s="836"/>
      <c r="AO90" s="836"/>
      <c r="AP90" s="836"/>
      <c r="AQ90" s="836"/>
      <c r="AR90" s="836"/>
      <c r="AS90" s="836"/>
      <c r="AT90" s="836"/>
      <c r="AU90" s="836"/>
      <c r="AV90" s="836"/>
      <c r="AW90" s="836"/>
      <c r="AX90" s="836"/>
      <c r="AY90" s="836"/>
      <c r="AZ90" s="836"/>
      <c r="BA90" s="836"/>
      <c r="BB90" s="836"/>
      <c r="BC90" s="836"/>
      <c r="BD90" s="836"/>
      <c r="BE90" s="836"/>
      <c r="BF90" s="836"/>
      <c r="BG90" s="836"/>
    </row>
    <row r="91" spans="24:59">
      <c r="X91" s="836"/>
      <c r="Y91" s="836"/>
      <c r="Z91" s="836"/>
      <c r="AA91" s="836"/>
      <c r="AB91" s="836"/>
      <c r="AC91" s="836"/>
      <c r="AD91" s="836"/>
      <c r="AE91" s="836"/>
      <c r="AF91" s="836"/>
      <c r="AG91" s="836"/>
      <c r="AH91" s="836"/>
      <c r="AI91" s="836"/>
      <c r="AJ91" s="836"/>
      <c r="AK91" s="836"/>
      <c r="AL91" s="836"/>
      <c r="AM91" s="836"/>
      <c r="AN91" s="836"/>
      <c r="AO91" s="836"/>
      <c r="AP91" s="836"/>
      <c r="AQ91" s="836"/>
      <c r="AR91" s="836"/>
      <c r="AS91" s="836"/>
      <c r="AT91" s="836"/>
      <c r="AU91" s="836"/>
      <c r="AV91" s="836"/>
      <c r="AW91" s="836"/>
      <c r="AX91" s="836"/>
      <c r="AY91" s="836"/>
      <c r="AZ91" s="836"/>
      <c r="BA91" s="836"/>
      <c r="BB91" s="836"/>
      <c r="BC91" s="836"/>
      <c r="BD91" s="836"/>
      <c r="BE91" s="836"/>
      <c r="BF91" s="836"/>
      <c r="BG91" s="836"/>
    </row>
    <row r="92" spans="24:59">
      <c r="X92" s="836"/>
      <c r="Y92" s="836"/>
      <c r="Z92" s="836"/>
      <c r="AA92" s="836"/>
      <c r="AB92" s="836"/>
      <c r="AC92" s="836"/>
      <c r="AD92" s="836"/>
      <c r="AE92" s="836"/>
      <c r="AF92" s="836"/>
      <c r="AG92" s="836"/>
      <c r="AH92" s="836"/>
      <c r="AI92" s="836"/>
      <c r="AJ92" s="836"/>
      <c r="AK92" s="836"/>
      <c r="AL92" s="836"/>
      <c r="AM92" s="836"/>
      <c r="AN92" s="836"/>
      <c r="AO92" s="836"/>
      <c r="AP92" s="836"/>
      <c r="AQ92" s="836"/>
      <c r="AR92" s="836"/>
      <c r="AS92" s="836"/>
      <c r="AT92" s="836"/>
      <c r="AU92" s="836"/>
      <c r="AV92" s="836"/>
      <c r="AW92" s="836"/>
      <c r="AX92" s="836"/>
      <c r="AY92" s="836"/>
      <c r="AZ92" s="836"/>
      <c r="BA92" s="836"/>
      <c r="BB92" s="836"/>
      <c r="BC92" s="836"/>
      <c r="BD92" s="836"/>
      <c r="BE92" s="836"/>
      <c r="BF92" s="836"/>
      <c r="BG92" s="836"/>
    </row>
    <row r="93" spans="24:59">
      <c r="X93" s="836"/>
      <c r="Y93" s="836"/>
      <c r="Z93" s="836"/>
      <c r="AA93" s="836"/>
      <c r="AB93" s="836"/>
      <c r="AC93" s="836"/>
      <c r="AD93" s="836"/>
      <c r="AE93" s="836"/>
      <c r="AF93" s="836"/>
      <c r="AG93" s="836"/>
      <c r="AH93" s="836"/>
      <c r="AI93" s="836"/>
      <c r="AJ93" s="836"/>
      <c r="AK93" s="836"/>
      <c r="AL93" s="836"/>
      <c r="AM93" s="836"/>
      <c r="AN93" s="836"/>
      <c r="AO93" s="836"/>
      <c r="AP93" s="836"/>
      <c r="AQ93" s="836"/>
      <c r="AR93" s="836"/>
      <c r="AS93" s="836"/>
      <c r="AT93" s="836"/>
      <c r="AU93" s="836"/>
      <c r="AV93" s="836"/>
      <c r="AW93" s="836"/>
      <c r="AX93" s="836"/>
      <c r="AY93" s="836"/>
      <c r="AZ93" s="836"/>
      <c r="BA93" s="836"/>
      <c r="BB93" s="836"/>
      <c r="BC93" s="836"/>
      <c r="BD93" s="836"/>
      <c r="BE93" s="836"/>
      <c r="BF93" s="836"/>
      <c r="BG93" s="836"/>
    </row>
    <row r="94" spans="24:59">
      <c r="X94" s="836"/>
      <c r="Y94" s="836"/>
      <c r="Z94" s="836"/>
      <c r="AA94" s="836"/>
      <c r="AB94" s="836"/>
      <c r="AC94" s="836"/>
      <c r="AD94" s="836"/>
      <c r="AE94" s="836"/>
      <c r="AF94" s="836"/>
      <c r="AG94" s="836"/>
      <c r="AH94" s="836"/>
      <c r="AI94" s="836"/>
      <c r="AJ94" s="836"/>
      <c r="AK94" s="836"/>
      <c r="AL94" s="836"/>
      <c r="AM94" s="836"/>
      <c r="AN94" s="836"/>
      <c r="AO94" s="836"/>
      <c r="AP94" s="836"/>
      <c r="AQ94" s="836"/>
      <c r="AR94" s="836"/>
      <c r="AS94" s="836"/>
      <c r="AT94" s="836"/>
      <c r="AU94" s="836"/>
      <c r="AV94" s="836"/>
      <c r="AW94" s="836"/>
      <c r="AX94" s="836"/>
      <c r="AY94" s="836"/>
      <c r="AZ94" s="836"/>
      <c r="BA94" s="836"/>
      <c r="BB94" s="836"/>
      <c r="BC94" s="836"/>
      <c r="BD94" s="836"/>
      <c r="BE94" s="836"/>
      <c r="BF94" s="836"/>
      <c r="BG94" s="836"/>
    </row>
    <row r="95" spans="24:59">
      <c r="X95" s="836"/>
      <c r="Y95" s="836"/>
      <c r="Z95" s="836"/>
      <c r="AA95" s="836"/>
      <c r="AB95" s="836"/>
      <c r="AC95" s="836"/>
      <c r="AD95" s="836"/>
      <c r="AE95" s="836"/>
      <c r="AF95" s="836"/>
      <c r="AG95" s="836"/>
      <c r="AH95" s="836"/>
      <c r="AI95" s="836"/>
      <c r="AJ95" s="836"/>
      <c r="AK95" s="836"/>
      <c r="AL95" s="836"/>
      <c r="AM95" s="836"/>
      <c r="AN95" s="836"/>
      <c r="AO95" s="836"/>
      <c r="AP95" s="836"/>
      <c r="AQ95" s="836"/>
      <c r="AR95" s="836"/>
      <c r="AS95" s="836"/>
      <c r="AT95" s="836"/>
      <c r="AU95" s="836"/>
      <c r="AV95" s="836"/>
      <c r="AW95" s="836"/>
      <c r="AX95" s="836"/>
      <c r="AY95" s="836"/>
      <c r="AZ95" s="836"/>
      <c r="BA95" s="836"/>
      <c r="BB95" s="836"/>
      <c r="BC95" s="836"/>
      <c r="BD95" s="836"/>
      <c r="BE95" s="836"/>
      <c r="BF95" s="836"/>
      <c r="BG95" s="836"/>
    </row>
    <row r="96" spans="24:59">
      <c r="X96" s="836"/>
      <c r="Y96" s="836"/>
      <c r="Z96" s="836"/>
      <c r="AA96" s="836"/>
      <c r="AB96" s="836"/>
      <c r="AC96" s="836"/>
      <c r="AD96" s="836"/>
      <c r="AE96" s="836"/>
      <c r="AF96" s="836"/>
      <c r="AG96" s="836"/>
      <c r="AH96" s="836"/>
      <c r="AI96" s="836"/>
      <c r="AJ96" s="836"/>
      <c r="AK96" s="836"/>
      <c r="AL96" s="836"/>
      <c r="AM96" s="836"/>
      <c r="AN96" s="836"/>
      <c r="AO96" s="836"/>
      <c r="AP96" s="836"/>
      <c r="AQ96" s="836"/>
      <c r="AR96" s="836"/>
      <c r="AS96" s="836"/>
      <c r="AT96" s="836"/>
      <c r="AU96" s="836"/>
      <c r="AV96" s="836"/>
      <c r="AW96" s="836"/>
      <c r="AX96" s="836"/>
      <c r="AY96" s="836"/>
      <c r="AZ96" s="836"/>
      <c r="BA96" s="836"/>
      <c r="BB96" s="836"/>
      <c r="BC96" s="836"/>
      <c r="BD96" s="836"/>
      <c r="BE96" s="836"/>
      <c r="BF96" s="836"/>
      <c r="BG96" s="836"/>
    </row>
    <row r="97" spans="24:59">
      <c r="X97" s="836"/>
      <c r="Y97" s="836"/>
      <c r="Z97" s="836"/>
      <c r="AA97" s="836"/>
      <c r="AB97" s="836"/>
      <c r="AC97" s="836"/>
      <c r="AD97" s="836"/>
      <c r="AE97" s="836"/>
      <c r="AF97" s="836"/>
      <c r="AG97" s="836"/>
      <c r="AH97" s="836"/>
      <c r="AI97" s="836"/>
      <c r="AJ97" s="836"/>
      <c r="AK97" s="836"/>
      <c r="AL97" s="836"/>
      <c r="AM97" s="836"/>
      <c r="AN97" s="836"/>
      <c r="AO97" s="836"/>
      <c r="AP97" s="836"/>
      <c r="AQ97" s="836"/>
      <c r="AR97" s="836"/>
      <c r="AS97" s="836"/>
      <c r="AT97" s="836"/>
      <c r="AU97" s="836"/>
      <c r="AV97" s="836"/>
      <c r="AW97" s="836"/>
      <c r="AX97" s="836"/>
      <c r="AY97" s="836"/>
      <c r="AZ97" s="836"/>
      <c r="BA97" s="836"/>
      <c r="BB97" s="836"/>
      <c r="BC97" s="836"/>
      <c r="BD97" s="836"/>
      <c r="BE97" s="836"/>
      <c r="BF97" s="836"/>
      <c r="BG97" s="836"/>
    </row>
    <row r="98" spans="24:59">
      <c r="X98" s="836"/>
      <c r="Y98" s="836"/>
      <c r="Z98" s="836"/>
      <c r="AA98" s="836"/>
      <c r="AB98" s="836"/>
      <c r="AC98" s="836"/>
      <c r="AD98" s="836"/>
      <c r="AE98" s="836"/>
      <c r="AF98" s="836"/>
      <c r="AG98" s="836"/>
      <c r="AH98" s="836"/>
      <c r="AI98" s="836"/>
      <c r="AJ98" s="836"/>
      <c r="AK98" s="836"/>
      <c r="AL98" s="836"/>
      <c r="AM98" s="836"/>
      <c r="AN98" s="836"/>
      <c r="AO98" s="836"/>
      <c r="AP98" s="836"/>
      <c r="AQ98" s="836"/>
      <c r="AR98" s="836"/>
      <c r="AS98" s="836"/>
      <c r="AT98" s="836"/>
      <c r="AU98" s="836"/>
      <c r="AV98" s="836"/>
      <c r="AW98" s="836"/>
      <c r="AX98" s="836"/>
      <c r="AY98" s="836"/>
      <c r="AZ98" s="836"/>
      <c r="BA98" s="836"/>
      <c r="BB98" s="836"/>
      <c r="BC98" s="836"/>
      <c r="BD98" s="836"/>
      <c r="BE98" s="836"/>
      <c r="BF98" s="836"/>
      <c r="BG98" s="836"/>
    </row>
    <row r="99" spans="24:59">
      <c r="X99" s="836"/>
      <c r="Y99" s="836"/>
      <c r="Z99" s="836"/>
      <c r="AA99" s="836"/>
      <c r="AB99" s="836"/>
      <c r="AC99" s="836"/>
      <c r="AD99" s="836"/>
      <c r="AE99" s="836"/>
      <c r="AF99" s="836"/>
      <c r="AG99" s="836"/>
      <c r="AH99" s="836"/>
      <c r="AI99" s="836"/>
      <c r="AJ99" s="836"/>
      <c r="AK99" s="836"/>
      <c r="AL99" s="836"/>
      <c r="AM99" s="836"/>
      <c r="AN99" s="836"/>
      <c r="AO99" s="836"/>
      <c r="AP99" s="836"/>
      <c r="AQ99" s="836"/>
      <c r="AR99" s="836"/>
      <c r="AS99" s="836"/>
      <c r="AT99" s="836"/>
      <c r="AU99" s="836"/>
      <c r="AV99" s="836"/>
      <c r="AW99" s="836"/>
      <c r="AX99" s="836"/>
      <c r="AY99" s="836"/>
      <c r="AZ99" s="836"/>
      <c r="BA99" s="836"/>
      <c r="BB99" s="836"/>
      <c r="BC99" s="836"/>
      <c r="BD99" s="836"/>
      <c r="BE99" s="836"/>
      <c r="BF99" s="836"/>
      <c r="BG99" s="836"/>
    </row>
    <row r="100" spans="24:59">
      <c r="X100" s="836"/>
      <c r="Y100" s="836"/>
      <c r="Z100" s="836"/>
      <c r="AA100" s="836"/>
      <c r="AB100" s="836"/>
      <c r="AC100" s="836"/>
      <c r="AD100" s="836"/>
      <c r="AE100" s="836"/>
      <c r="AF100" s="836"/>
      <c r="AG100" s="836"/>
      <c r="AH100" s="836"/>
      <c r="AI100" s="836"/>
      <c r="AJ100" s="836"/>
      <c r="AK100" s="836"/>
      <c r="AL100" s="836"/>
      <c r="AM100" s="836"/>
      <c r="AN100" s="836"/>
      <c r="AO100" s="836"/>
      <c r="AP100" s="836"/>
      <c r="AQ100" s="836"/>
      <c r="AR100" s="836"/>
      <c r="AS100" s="836"/>
      <c r="AT100" s="836"/>
      <c r="AU100" s="836"/>
      <c r="AV100" s="836"/>
      <c r="AW100" s="836"/>
      <c r="AX100" s="836"/>
      <c r="AY100" s="836"/>
      <c r="AZ100" s="836"/>
      <c r="BA100" s="836"/>
      <c r="BB100" s="836"/>
      <c r="BC100" s="836"/>
      <c r="BD100" s="836"/>
      <c r="BE100" s="836"/>
      <c r="BF100" s="836"/>
      <c r="BG100" s="836"/>
    </row>
  </sheetData>
  <phoneticPr fontId="2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DR244"/>
  <sheetViews>
    <sheetView zoomScale="85" zoomScaleNormal="85" workbookViewId="0">
      <pane xSplit="32" ySplit="22" topLeftCell="AG71" activePane="bottomRight" state="frozen"/>
      <selection activeCell="Q57" activeCellId="1" sqref="BA21 Q57"/>
      <selection pane="topRight" activeCell="Q57" activeCellId="1" sqref="BA21 Q57"/>
      <selection pane="bottomLeft" activeCell="Q57" activeCellId="1" sqref="BA21 Q57"/>
      <selection pane="bottomRight" activeCell="A94" sqref="A94:A9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hidden="1" customWidth="1" outlineLevel="1"/>
    <col min="23" max="28" width="3.625" style="816" hidden="1" customWidth="1" outlineLevel="1"/>
    <col min="29" max="29" width="5.875" style="816" hidden="1" customWidth="1" outlineLevel="1"/>
    <col min="30" max="30" width="3.75" style="816" customWidth="1" collapsed="1"/>
    <col min="31" max="32" width="3.75" style="816" customWidth="1"/>
    <col min="33" max="35" width="3.75" style="230" customWidth="1"/>
    <col min="36" max="36" width="3.75" bestFit="1" customWidth="1"/>
    <col min="37" max="37" width="3.75" customWidth="1"/>
    <col min="38" max="49" width="3.75" style="230" customWidth="1"/>
    <col min="50" max="50" width="3.75" bestFit="1" customWidth="1"/>
    <col min="51" max="51" width="3.75" customWidth="1"/>
    <col min="52" max="52" width="3.75" style="230" customWidth="1"/>
    <col min="53" max="53" width="3.625" customWidth="1"/>
    <col min="54" max="54" width="3.75" style="230" customWidth="1"/>
    <col min="55" max="55" width="3.75" bestFit="1" customWidth="1"/>
    <col min="56" max="56" width="3.75" customWidth="1"/>
    <col min="57" max="58" width="3.75" style="230" customWidth="1"/>
    <col min="59" max="59" width="3.75" bestFit="1" customWidth="1"/>
    <col min="60" max="60" width="3.75" customWidth="1"/>
    <col min="61" max="70" width="3.75" style="230" customWidth="1"/>
    <col min="71" max="71" width="3.75" bestFit="1" customWidth="1"/>
    <col min="72" max="103" width="3.75" style="230" customWidth="1"/>
    <col min="104" max="16384" width="5.75" style="230"/>
  </cols>
  <sheetData>
    <row r="1" spans="1:91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M1" si="0">AG20</f>
        <v>Seigo Narazak</v>
      </c>
      <c r="AH1" s="814" t="str">
        <f t="shared" si="0"/>
        <v>Yohei Takeda</v>
      </c>
      <c r="AI1" s="814" t="str">
        <f t="shared" si="0"/>
        <v>Tsubasa Shibuya</v>
      </c>
      <c r="AL1" s="814" t="str">
        <f>AT20</f>
        <v>Yuki Kobayashi</v>
      </c>
      <c r="AM1" s="814" t="str">
        <f t="shared" si="0"/>
        <v>Genki MIYACHI</v>
      </c>
      <c r="AN1" s="814"/>
      <c r="AO1" s="814" t="str">
        <f>AP20</f>
        <v>Kenta Uchida</v>
      </c>
      <c r="AP1" s="814" t="str">
        <f>AR20</f>
        <v>Taishi Taguchi</v>
      </c>
      <c r="AQ1" s="814"/>
      <c r="AR1" s="814"/>
      <c r="AS1" s="814" t="str">
        <f>BL20</f>
        <v>Ryota Tanabe</v>
      </c>
      <c r="AT1" s="814"/>
      <c r="AU1" s="814" t="str">
        <f>AV20</f>
        <v>Ryota Aoki</v>
      </c>
      <c r="AV1" s="814" t="str">
        <f>BJ20</f>
        <v>Koki Sugimori</v>
      </c>
      <c r="AW1" s="814"/>
      <c r="AZ1" s="814">
        <f>BU20</f>
        <v>0</v>
      </c>
      <c r="BB1" s="814" t="str">
        <f>BC20</f>
        <v>Felipe Garcia</v>
      </c>
      <c r="BE1" s="814"/>
      <c r="BF1" s="814"/>
      <c r="BI1" s="814" t="e">
        <f>#REF!</f>
        <v>#REF!</v>
      </c>
      <c r="BJ1" s="814" t="e">
        <f>#REF!</f>
        <v>#REF!</v>
      </c>
      <c r="BK1" s="814"/>
      <c r="BL1" s="814" t="e">
        <f>#REF!</f>
        <v>#REF!</v>
      </c>
      <c r="BM1" s="814" t="str">
        <f>BN20</f>
        <v>Asahi Yada</v>
      </c>
      <c r="BN1" s="814" t="str">
        <f>BO20</f>
        <v>Ryo Takahashi</v>
      </c>
      <c r="BO1" s="814"/>
      <c r="BP1" s="814" t="str">
        <f>BQ20</f>
        <v>Charles</v>
      </c>
      <c r="BQ1" s="814" t="str">
        <f>BR20</f>
        <v>Shun Obu</v>
      </c>
      <c r="BR1" s="814" t="e">
        <f>#REF!</f>
        <v>#REF!</v>
      </c>
      <c r="BT1" s="814">
        <f>BT20</f>
        <v>0</v>
      </c>
      <c r="BU1" s="814" t="e">
        <f>#REF!</f>
        <v>#REF!</v>
      </c>
      <c r="BV1" s="814"/>
      <c r="BW1" s="814"/>
      <c r="BX1" s="814"/>
      <c r="BY1" s="814"/>
      <c r="BZ1" s="814">
        <f t="shared" ref="BZ1:CF1" si="1">BZ20</f>
        <v>0</v>
      </c>
      <c r="CA1" s="814">
        <f t="shared" si="1"/>
        <v>0</v>
      </c>
      <c r="CB1" s="814">
        <f t="shared" si="1"/>
        <v>0</v>
      </c>
      <c r="CC1" s="814">
        <f t="shared" si="1"/>
        <v>0</v>
      </c>
      <c r="CD1" s="814">
        <f t="shared" si="1"/>
        <v>0</v>
      </c>
      <c r="CE1" s="814">
        <f t="shared" si="1"/>
        <v>0</v>
      </c>
      <c r="CF1" s="814">
        <f t="shared" si="1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  <c r="CM1" s="814">
        <f t="shared" si="0"/>
        <v>0</v>
      </c>
    </row>
    <row r="2" spans="1:91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SUM(IF(L$23:L$246="",0,1)*IF(ISBLANK($T$1),1,IF($I$23:$I$246=$T$1,1,0)))</f>
        <v>47</v>
      </c>
      <c r="AG2" s="874">
        <f t="array" ref="AG2">SUM(IF(ISBLANK(AG$23:AG$246),0,IF(AG$23:AG$246="susp",0,1))*IF(ISBLANK($T$1),1,IF($I$23:$I$246=$T$1,1,0)))</f>
        <v>47</v>
      </c>
      <c r="AH2" s="874">
        <f t="array" ref="AH2">SUM(IF(ISBLANK(AH$23:AH$246),0,IF(AH$23:AH$246="susp",0,1))*IF(ISBLANK($T$1),1,IF($I$23:$I$246=$T$1,1,0)))</f>
        <v>46</v>
      </c>
      <c r="AI2" s="874">
        <f t="array" ref="AI2">SUM(IF(ISBLANK(AI$23:AI$246),0,IF(AI$23:AI$246="susp",0,1))*IF(ISBLANK($T$1),1,IF($I$23:$I$246=$T$1,1,0)))</f>
        <v>45</v>
      </c>
      <c r="AL2" s="874">
        <f t="array" ref="AL2">SUM(IF(ISBLANK(AL$23:AL$246),0,IF(AL$23:AL$246="susp",0,1))*IF(ISBLANK($T$1),1,IF($I$23:$I$246=$T$1,1,0)))</f>
        <v>47</v>
      </c>
      <c r="AM2" s="874">
        <f t="array" ref="AM2">SUM(IF(ISBLANK(AM$23:AM$246),0,IF(AM$23:AM$246="susp",0,1))*IF(ISBLANK($T$1),1,IF($I$23:$I$246=$T$1,1,0)))</f>
        <v>44</v>
      </c>
      <c r="AO2" s="874">
        <f t="array" ref="AO2">SUM(IF(ISBLANK(AO$23:AO$246),0,IF(AO$23:AO$246="susp",0,1))*IF(ISBLANK($T$1),1,IF($I$23:$I$246=$T$1,1,0)))</f>
        <v>46</v>
      </c>
      <c r="AP2" s="874">
        <f t="array" ref="AP2">SUM(IF(ISBLANK(AP$23:AP$246),0,IF(AP$23:AP$246="susp",0,1))*IF(ISBLANK($T$1),1,IF($I$23:$I$246=$T$1,1,0)))</f>
        <v>46</v>
      </c>
      <c r="AS2" s="874">
        <f t="array" ref="AS2">SUM(IF(ISBLANK(AS$23:AS$246),0,IF(AS$23:AS$246="susp",0,1))*IF(ISBLANK($T$1),1,IF($I$23:$I$246=$T$1,1,0)))</f>
        <v>46</v>
      </c>
      <c r="AU2" s="874">
        <f t="array" ref="AU2">SUM(IF(ISBLANK(AU$23:AU$246),0,IF(AU$23:AU$246="susp",0,1))*IF(ISBLANK($T$1),1,IF($I$23:$I$246=$T$1,1,0)))</f>
        <v>46</v>
      </c>
      <c r="AV2" s="874">
        <f t="array" ref="AV2">SUM(IF(ISBLANK(AV$27:AV$246),0,IF(AV$27:AV$246="susp",0,1))*IF(ISBLANK($T$1),1,IF($I$23:$I$246=$T$1,1,0)))</f>
        <v>43</v>
      </c>
      <c r="AZ2" s="874">
        <f t="array" ref="AZ2">SUM(IF(ISBLANK(AZ$23:AZ$246),0,IF(AZ$23:AZ$246="susp",0,1))*IF(ISBLANK($T$1),1,IF($I$23:$I$246=$T$1,1,0)))</f>
        <v>44</v>
      </c>
      <c r="BB2" s="874">
        <f t="array" ref="BB2">SUM(IF(ISBLANK(BB$23:BB$246),0,IF(BB$23:BB$246="susp",0,1))*IF(ISBLANK($T$1),1,IF($I$23:$I$246=$T$1,1,0)))</f>
        <v>47</v>
      </c>
      <c r="BI2" s="874">
        <f t="array" ref="BI2">SUM(IF(ISBLANK(BI$27:BI$246),0,IF(BI$27:BI$246="susp",0,1))*IF(ISBLANK($T$1),1,IF($I$23:$I$246=$T$1,1,0)))</f>
        <v>43</v>
      </c>
      <c r="BJ2" s="874">
        <f t="array" ref="BJ2">SUM(IF(ISBLANK(BJ$51:BJ$246),0,IF(BJ$51:BJ$246="susp",0,1))*IF(ISBLANK($T$1),1,IF($I$23:$I$246=$T$1,1,0)))</f>
        <v>15</v>
      </c>
      <c r="BL2" s="874">
        <f t="array" ref="BL2">SUM(IF(ISBLANK(BL$23:BL$246),0,IF(BL$23:BL$246="susp",0,1))*IF(ISBLANK($T$1),1,IF($I$23:$I$246=$T$1,1,0)))</f>
        <v>28</v>
      </c>
      <c r="BM2" s="874">
        <f t="array" ref="BM2">SUM(IF(ISBLANK(BM$23:BM$246),0,IF(BM$23:BM$246="susp",0,1))*IF(ISBLANK($T$1),1,IF($I$23:$I$246=$T$1,1,0)))</f>
        <v>28</v>
      </c>
      <c r="BN2" s="874">
        <f t="array" ref="BN2">SUM(IF(ISBLANK(BN$23:BN$246),0,IF(BN$23:BN$246="susp",0,1))*IF(ISBLANK($T$1),1,IF($I$23:$I$246=$T$1,1,0)))</f>
        <v>28</v>
      </c>
      <c r="BP2" s="874">
        <f t="array" ref="BP2">SUM(IF(ISBLANK(BP$23:BP$246),0,IF(BP$23:BP$246="susp",0,1))*IF(ISBLANK($T$1),1,IF($I$23:$I$246=$T$1,1,0)))</f>
        <v>27</v>
      </c>
      <c r="BQ2" s="874">
        <f t="array" ref="BQ2">SUM(IF(ISBLANK(BQ$23:BQ$246),0,IF(BQ$23:BQ$246="susp",0,1))*IF(ISBLANK($T$1),1,IF($I$23:$I$246=$T$1,1,0)))</f>
        <v>23</v>
      </c>
      <c r="BR2" s="874">
        <f t="array" ref="BR2">SUM(IF(ISBLANK(BR$70:BR$246),0,IF(BR$70:BR$246="susp",0,1))*IF(ISBLANK($T$1),1,IF($I$23:$I$246=$T$1,1,0)))</f>
        <v>0</v>
      </c>
      <c r="BT2" s="874">
        <f t="array" ref="BT2">SUM(IF(ISBLANK(BT$23:BT$246),0,IF(BT$23:BT$246="susp",0,1))*IF(ISBLANK($T$1),1,IF($I$23:$I$246=$T$1,1,0)))</f>
        <v>0</v>
      </c>
      <c r="BU2" s="874">
        <f t="array" ref="BU2">SUM(IF(ISBLANK(BU$45:BU$246),0,IF(BU$45:BU$246="susp",0,1))*IF(ISBLANK($T$1),1,IF($I$23:$I$246=$T$1,1,0)))</f>
        <v>0</v>
      </c>
      <c r="BZ2" s="874">
        <f t="array" ref="BZ2">SUM(IF(ISBLANK(BZ$23:BZ$246),0,IF(BZ$23:BZ$246="susp",0,1))*IF(ISBLANK($T$1),1,IF($I$23:$I$246=$T$1,1,0)))</f>
        <v>0</v>
      </c>
      <c r="CA2" s="874">
        <f t="array" ref="CA2">SUM(IF(ISBLANK(CA$23:CA$246),0,IF(CA$23:CA$246="susp",0,1))*IF(ISBLANK($T$1),1,IF($I$23:$I$246=$T$1,1,0)))</f>
        <v>0</v>
      </c>
      <c r="CB2" s="874">
        <f t="array" ref="CB2">SUM(IF(ISBLANK(CB$23:CB$246),0,IF(CB$23:CB$246="susp",0,1))*IF(ISBLANK($T$1),1,IF($I$23:$I$246=$T$1,1,0)))</f>
        <v>0</v>
      </c>
      <c r="CC2" s="874">
        <f t="array" ref="CC2">SUM(IF(ISBLANK(CC$23:CC$246),0,IF(CC$23:CC$246="susp",0,1))*IF(ISBLANK($T$1),1,IF($I$23:$I$246=$T$1,1,0)))</f>
        <v>0</v>
      </c>
      <c r="CD2" s="874">
        <f t="array" ref="CD2">SUM(IF(ISBLANK(CD$23:CD$246),0,IF(CD$23:CD$246="susp",0,1))*IF(ISBLANK($T$1),1,IF($I$23:$I$246=$T$1,1,0)))</f>
        <v>0</v>
      </c>
      <c r="CE2" s="874">
        <f t="array" ref="CE2">SUM(IF(ISBLANK(CE$23:CE$246),0,IF(CE$23:CE$246="susp",0,1))*IF(ISBLANK($T$1),1,IF($I$23:$I$246=$T$1,1,0)))</f>
        <v>0</v>
      </c>
      <c r="CF2" s="874">
        <f t="array" ref="CF2">SUM(IF(ISBLANK(CF$23:CF$246),0,IF(CF$23:CF$246="susp",0,1))*IF(ISBLANK($T$1),1,IF($I$23:$I$246=$T$1,1,0)))</f>
        <v>0</v>
      </c>
      <c r="CG2" s="874">
        <f t="array" ref="CG2">SUM(IF(ISBLANK(CG$23:CG$246),0,IF(CG$23:CG$246="susp",0,1))*IF(ISBLANK($T$1),1,IF($I$23:$I$246=$T$1,1,0)))</f>
        <v>0</v>
      </c>
      <c r="CH2" s="874">
        <f t="array" ref="CH2">SUM(IF(ISBLANK(CH$23:CH$246),0,IF(CH$23:CH$246="susp",0,1))*IF(ISBLANK($T$1),1,IF($I$23:$I$246=$T$1,1,0)))</f>
        <v>0</v>
      </c>
      <c r="CI2" s="874">
        <f t="array" ref="CI2">SUM(IF(ISBLANK(CI$23:CI$246),0,IF(CI$23:CI$246="susp",0,1))*IF(ISBLANK($T$1),1,IF($I$23:$I$246=$T$1,1,0)))</f>
        <v>0</v>
      </c>
      <c r="CJ2" s="874">
        <f t="array" ref="CJ2">SUM(IF(ISBLANK(CJ$23:CJ$246),0,IF(CJ$23:CJ$246="susp",0,1))*IF(ISBLANK($T$1),1,IF($I$23:$I$246=$T$1,1,0)))</f>
        <v>0</v>
      </c>
      <c r="CK2" s="874">
        <f t="array" ref="CK2">SUM(IF(ISBLANK(CK$23:CK$246),0,IF(CK$23:CK$246="susp",0,1))*IF(ISBLANK($T$1),1,IF($I$23:$I$246=$T$1,1,0)))</f>
        <v>17</v>
      </c>
      <c r="CL2" s="874">
        <f t="array" ref="CL2">SUM(IF(ISBLANK(CL$23:CL$246),0,IF(CL$23:CL$246="susp",0,1))*IF(ISBLANK($T$1),1,IF($I$23:$I$246=$T$1,1,0)))</f>
        <v>17</v>
      </c>
      <c r="CM2" s="874">
        <f t="array" ref="CM2">SUM(IF(ISBLANK(CM$23:CM$246),0,IF(CM$23:CM$246="susp",0,1))*IF(ISBLANK($T$1),1,IF($I$23:$I$246=$T$1,1,0)))</f>
        <v>16</v>
      </c>
    </row>
    <row r="3" spans="1:91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SUM(IF(L$23:L$246="W",1,0)*IF(ISBLANK($T$1),1,IF($I$23:$I$246=$T$1,1,0)))</f>
        <v>26</v>
      </c>
      <c r="AG3" s="874">
        <f t="array" ref="AG3">SUM(IF(ISTEXT(AG$23:AG$246),1,0)*IF(($L$23:$L$246)="W",1,0)*IF(ISBLANK($T$1),1,IF($I$23:$I$246=$T$1,1,0)))</f>
        <v>26</v>
      </c>
      <c r="AH3" s="874">
        <f t="array" ref="AH3">SUM(IF(ISTEXT(AH$23:AH$246),1,0)*IF(($L$23:$L$246)="W",1,0)*IF(ISBLANK($T$1),1,IF($I$23:$I$246=$T$1,1,0)))</f>
        <v>25</v>
      </c>
      <c r="AI3" s="874">
        <f t="array" ref="AI3">SUM(IF(ISTEXT(AI$23:AI$246),1,0)*IF(($L$23:$L$246)="W",1,0)*IF(ISBLANK($T$1),1,IF($I$23:$I$246=$T$1,1,0)))</f>
        <v>25</v>
      </c>
      <c r="AL3" s="874">
        <f t="array" ref="AL3">SUM(IF(ISTEXT(AL$23:AL$246),1,0)*IF(($L$23:$L$246)="W",1,0)*IF(ISBLANK($T$1),1,IF($I$23:$I$246=$T$1,1,0)))</f>
        <v>26</v>
      </c>
      <c r="AM3" s="874">
        <f t="array" ref="AM3">SUM(IF(ISTEXT(AM$23:AM$246),1,0)*IF(($L$23:$L$246)="W",1,0)*IF(ISBLANK($T$1),1,IF($I$23:$I$246=$T$1,1,0)))</f>
        <v>24</v>
      </c>
      <c r="AO3" s="874">
        <f t="array" ref="AO3">SUM(IF(ISTEXT(AO$23:AO$246),1,0)*IF(($L$23:$L$246)="W",1,0)*IF(ISBLANK($T$1),1,IF($I$23:$I$246=$T$1,1,0)))</f>
        <v>25</v>
      </c>
      <c r="AP3" s="874">
        <f t="array" ref="AP3">SUM(IF(ISTEXT(AP$23:AP$246),1,0)*IF(($L$23:$L$246)="W",1,0)*IF(ISBLANK($T$1),1,IF($I$23:$I$246=$T$1,1,0)))</f>
        <v>25</v>
      </c>
      <c r="AS3" s="874">
        <f t="array" ref="AS3">SUM(IF(ISTEXT(AS$23:AS$246),1,0)*IF(($L$23:$L$246)="W",1,0)*IF(ISBLANK($T$1),1,IF($I$23:$I$246=$T$1,1,0)))</f>
        <v>25</v>
      </c>
      <c r="AU3" s="874">
        <f t="array" ref="AU3">SUM(IF(ISTEXT(AU$23:AU$246),1,0)*IF(($L$23:$L$246)="W",1,0)*IF(ISBLANK($T$1),1,IF($I$23:$I$246=$T$1,1,0)))</f>
        <v>26</v>
      </c>
      <c r="AV3" s="874" t="e">
        <f t="array" ref="AV3">SUM(IF(ISTEXT(AV$27:AV$246),1,0)*IF(($L$23:$L$246)="W",1,0)*IF(ISBLANK($T$1),1,IF($I$23:$I$246=$T$1,1,0)))</f>
        <v>#N/A</v>
      </c>
      <c r="AZ3" s="874">
        <f t="array" ref="AZ3">SUM(IF(ISTEXT(AZ$23:AZ$246),1,0)*IF(($L$23:$L$246)="W",1,0)*IF(ISBLANK($T$1),1,IF($I$23:$I$246=$T$1,1,0)))</f>
        <v>24</v>
      </c>
      <c r="BB3" s="874">
        <f t="array" ref="BB3">SUM(IF(ISTEXT(BB$23:BB$246),1,0)*IF(($L$23:$L$246)="W",1,0)*IF(ISBLANK($T$1),1,IF($I$23:$I$246=$T$1,1,0)))</f>
        <v>26</v>
      </c>
      <c r="BI3" s="874" t="e">
        <f t="array" ref="BI3">SUM(IF(ISTEXT(BI$27:BI$246),1,0)*IF(($L$23:$L$246)="W",1,0)*IF(ISBLANK($T$1),1,IF($I$23:$I$246=$T$1,1,0)))</f>
        <v>#N/A</v>
      </c>
      <c r="BJ3" s="874" t="e">
        <f t="array" ref="BJ3">SUM(IF(ISTEXT(BJ$51:BJ$246),1,0)*IF(($L$23:$L$246)="W",1,0)*IF(ISBLANK($T$1),1,IF($I$23:$I$246=$T$1,1,0)))</f>
        <v>#N/A</v>
      </c>
      <c r="BL3" s="874">
        <f t="array" ref="BL3">SUM(IF(ISTEXT(BL$23:BL$246),1,0)*IF(($L$23:$L$246)="W",1,0)*IF(ISBLANK($T$1),1,IF($I$23:$I$246=$T$1,1,0)))</f>
        <v>15</v>
      </c>
      <c r="BM3" s="874">
        <f t="array" ref="BM3">SUM(IF(ISTEXT(BM$23:BM$246),1,0)*IF(($L$23:$L$246)="W",1,0)*IF(ISBLANK($T$1),1,IF($I$23:$I$246=$T$1,1,0)))</f>
        <v>16</v>
      </c>
      <c r="BN3" s="874">
        <f t="array" ref="BN3">SUM(IF(ISTEXT(BN$23:BN$246),1,0)*IF(($L$23:$L$246)="W",1,0)*IF(ISBLANK($T$1),1,IF($I$23:$I$246=$T$1,1,0)))</f>
        <v>15</v>
      </c>
      <c r="BP3" s="874">
        <f t="array" ref="BP3">SUM(IF(ISTEXT(BP$23:BP$246),1,0)*IF(($L$23:$L$246)="W",1,0)*IF(ISBLANK($T$1),1,IF($I$23:$I$246=$T$1,1,0)))</f>
        <v>14</v>
      </c>
      <c r="BQ3" s="874">
        <f t="array" ref="BQ3">SUM(IF(ISTEXT(BQ$23:BQ$246),1,0)*IF(($L$23:$L$246)="W",1,0)*IF(ISBLANK($T$1),1,IF($I$23:$I$246=$T$1,1,0)))</f>
        <v>13</v>
      </c>
      <c r="BR3" s="874" t="e">
        <f t="array" ref="BR3">SUM(IF(ISTEXT(BR$70:BR$246),1,0)*IF(($L$23:$L$246)="W",1,0)*IF(ISBLANK($T$1),1,IF($I$23:$I$246=$T$1,1,0)))</f>
        <v>#N/A</v>
      </c>
      <c r="BT3" s="874">
        <f t="array" ref="BT3">SUM(IF(ISTEXT(BT$23:BT$246),1,0)*IF(($L$23:$L$246)="W",1,0)*IF(ISBLANK($T$1),1,IF($I$23:$I$246=$T$1,1,0)))</f>
        <v>0</v>
      </c>
      <c r="BU3" s="874" t="e">
        <f t="array" ref="BU3">SUM(IF(ISTEXT(BU$45:BU$246),1,0)*IF(($L$23:$L$246)="W",1,0)*IF(ISBLANK($T$1),1,IF($I$23:$I$246=$T$1,1,0)))</f>
        <v>#N/A</v>
      </c>
      <c r="BZ3" s="874">
        <f t="array" ref="BZ3">SUM(IF(ISTEXT(BZ$23:BZ$246),1,0)*IF(($L$23:$L$246)="W",1,0)*IF(ISBLANK($T$1),1,IF($I$23:$I$246=$T$1,1,0)))</f>
        <v>0</v>
      </c>
      <c r="CA3" s="874">
        <f t="array" ref="CA3">SUM(IF(ISTEXT(CA$23:CA$246),1,0)*IF(($L$23:$L$246)="W",1,0)*IF(ISBLANK($T$1),1,IF($I$23:$I$246=$T$1,1,0)))</f>
        <v>0</v>
      </c>
      <c r="CB3" s="874">
        <f t="array" ref="CB3">SUM(IF(ISTEXT(CB$23:CB$246),1,0)*IF(($L$23:$L$246)="W",1,0)*IF(ISBLANK($T$1),1,IF($I$23:$I$246=$T$1,1,0)))</f>
        <v>0</v>
      </c>
      <c r="CC3" s="874">
        <f t="array" ref="CC3">SUM(IF(ISTEXT(CC$23:CC$246),1,0)*IF(($L$23:$L$246)="W",1,0)*IF(ISBLANK($T$1),1,IF($I$23:$I$246=$T$1,1,0)))</f>
        <v>0</v>
      </c>
      <c r="CD3" s="874">
        <f t="array" ref="CD3">SUM(IF(ISTEXT(CD$23:CD$246),1,0)*IF(($L$23:$L$246)="W",1,0)*IF(ISBLANK($T$1),1,IF($I$23:$I$246=$T$1,1,0)))</f>
        <v>0</v>
      </c>
      <c r="CE3" s="874">
        <f t="array" ref="CE3">SUM(IF(ISTEXT(CE$23:CE$246),1,0)*IF(($L$23:$L$246)="W",1,0)*IF(ISBLANK($T$1),1,IF($I$23:$I$246=$T$1,1,0)))</f>
        <v>0</v>
      </c>
      <c r="CF3" s="874">
        <f t="array" ref="CF3">SUM(IF(ISTEXT(CF$23:CF$246),1,0)*IF(($L$23:$L$246)="W",1,0)*IF(ISBLANK($T$1),1,IF($I$23:$I$246=$T$1,1,0)))</f>
        <v>0</v>
      </c>
      <c r="CG3" s="874">
        <f t="array" ref="CG3">SUM(IF(ISTEXT(CG$23:CG$246),1,0)*IF(($L$23:$L$246)="W",1,0)*IF(ISBLANK($T$1),1,IF($I$23:$I$246=$T$1,1,0)))</f>
        <v>0</v>
      </c>
      <c r="CH3" s="874">
        <f t="array" ref="CH3">SUM(IF(ISTEXT(CH$23:CH$246),1,0)*IF(($L$23:$L$246)="W",1,0)*IF(ISBLANK($T$1),1,IF($I$23:$I$246=$T$1,1,0)))</f>
        <v>0</v>
      </c>
      <c r="CI3" s="874">
        <f t="array" ref="CI3">SUM(IF(ISTEXT(CI$23:CI$246),1,0)*IF(($L$23:$L$246)="W",1,0)*IF(ISBLANK($T$1),1,IF($I$23:$I$246=$T$1,1,0)))</f>
        <v>0</v>
      </c>
      <c r="CJ3" s="874">
        <f t="array" ref="CJ3">SUM(IF(ISTEXT(CJ$23:CJ$246),1,0)*IF(($L$23:$L$246)="W",1,0)*IF(ISBLANK($T$1),1,IF($I$23:$I$246=$T$1,1,0)))</f>
        <v>0</v>
      </c>
      <c r="CK3" s="874">
        <f t="array" ref="CK3">SUM(IF(ISTEXT(CK$23:CK$246),1,0)*IF(($L$23:$L$246)="W",1,0)*IF(ISBLANK($T$1),1,IF($I$23:$I$246=$T$1,1,0)))</f>
        <v>9</v>
      </c>
      <c r="CL3" s="874">
        <f t="array" ref="CL3">SUM(IF(ISTEXT(CL$23:CL$246),1,0)*IF(($L$23:$L$246)="W",1,0)*IF(ISBLANK($T$1),1,IF($I$23:$I$246=$T$1,1,0)))</f>
        <v>9</v>
      </c>
      <c r="CM3" s="874">
        <f t="array" ref="CM3">SUM(IF(ISTEXT(CM$23:CM$246),1,0)*IF(($L$23:$L$246)="W",1,0)*IF(ISBLANK($T$1),1,IF($I$23:$I$246=$T$1,1,0)))</f>
        <v>9</v>
      </c>
    </row>
    <row r="4" spans="1:91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SUM(IF(L$23:L$246="D",1,0)*IF(ISBLANK($T$1),1,IF($I$23:$I$246=$T$1,1,0)))</f>
        <v>7</v>
      </c>
      <c r="AG4" s="874">
        <f t="array" ref="AG4">SUM(IF(ISTEXT(AG$23:AG$246),1,0)*IF(($L$23:$L$246)="D",1,0)*IF(ISBLANK($T$1),1,IF($I$23:$I$246=$T$1,1,0)))</f>
        <v>7</v>
      </c>
      <c r="AH4" s="874">
        <f t="array" ref="AH4">SUM(IF(ISTEXT(AH$23:AH$246),1,0)*IF(($L$23:$L$246)="D",1,0)*IF(ISBLANK($T$1),1,IF($I$23:$I$246=$T$1,1,0)))</f>
        <v>7</v>
      </c>
      <c r="AI4" s="874">
        <f t="array" ref="AI4">SUM(IF(ISTEXT(AI$23:AI$246),1,0)*IF(($L$23:$L$246)="D",1,0)*IF(ISBLANK($T$1),1,IF($I$23:$I$246=$T$1,1,0)))</f>
        <v>7</v>
      </c>
      <c r="AL4" s="874">
        <f t="array" ref="AL4">SUM(IF(ISTEXT(AL$23:AL$246),1,0)*IF(($L$23:$L$246)="D",1,0)*IF(ISBLANK($T$1),1,IF($I$23:$I$246=$T$1,1,0)))</f>
        <v>7</v>
      </c>
      <c r="AM4" s="874">
        <f t="array" ref="AM4">SUM(IF(ISTEXT(AM$23:AM$246),1,0)*IF(($L$23:$L$246)="D",1,0)*IF(ISBLANK($T$1),1,IF($I$23:$I$246=$T$1,1,0)))</f>
        <v>7</v>
      </c>
      <c r="AO4" s="874">
        <f t="array" ref="AO4">SUM(IF(ISTEXT(AO$23:AO$246),1,0)*IF(($L$23:$L$246)="D",1,0)*IF(ISBLANK($T$1),1,IF($I$23:$I$246=$T$1,1,0)))</f>
        <v>7</v>
      </c>
      <c r="AP4" s="874">
        <f t="array" ref="AP4">SUM(IF(ISTEXT(AP$23:AP$246),1,0)*IF(($L$23:$L$246)="D",1,0)*IF(ISBLANK($T$1),1,IF($I$23:$I$246=$T$1,1,0)))</f>
        <v>7</v>
      </c>
      <c r="AS4" s="874">
        <f t="array" ref="AS4">SUM(IF(ISTEXT(AS$23:AS$246),1,0)*IF(($L$23:$L$246)="D",1,0)*IF(ISBLANK($T$1),1,IF($I$23:$I$246=$T$1,1,0)))</f>
        <v>7</v>
      </c>
      <c r="AU4" s="874">
        <f t="array" ref="AU4">SUM(IF(ISTEXT(AU$23:AU$246),1,0)*IF(($L$23:$L$246)="D",1,0)*IF(ISBLANK($T$1),1,IF($I$23:$I$246=$T$1,1,0)))</f>
        <v>7</v>
      </c>
      <c r="AV4" s="874" t="e">
        <f t="array" ref="AV4">SUM(IF(ISTEXT(AV$27:AV$246),1,0)*IF(($L$23:$L$246)="D",1,0)*IF(ISBLANK($T$1),1,IF($I$23:$I$246=$T$1,1,0)))</f>
        <v>#N/A</v>
      </c>
      <c r="AZ4" s="874">
        <f t="array" ref="AZ4">SUM(IF(ISTEXT(AZ$23:AZ$246),1,0)*IF(($L$23:$L$246)="D",1,0)*IF(ISBLANK($T$1),1,IF($I$23:$I$246=$T$1,1,0)))</f>
        <v>7</v>
      </c>
      <c r="BB4" s="874">
        <f t="array" ref="BB4">SUM(IF(ISTEXT(BB$23:BB$246),1,0)*IF(($L$23:$L$246)="D",1,0)*IF(ISBLANK($T$1),1,IF($I$23:$I$246=$T$1,1,0)))</f>
        <v>7</v>
      </c>
      <c r="BI4" s="874" t="e">
        <f t="array" ref="BI4">SUM(IF(ISTEXT(BI$27:BI$246),1,0)*IF(($L$23:$L$246)="D",1,0)*IF(ISBLANK($T$1),1,IF($I$23:$I$246=$T$1,1,0)))</f>
        <v>#N/A</v>
      </c>
      <c r="BJ4" s="874" t="e">
        <f t="array" ref="BJ4">SUM(IF(ISTEXT(BJ$51:BJ$246),1,0)*IF(($L$23:$L$246)="D",1,0)*IF(ISBLANK($T$1),1,IF($I$23:$I$246=$T$1,1,0)))</f>
        <v>#N/A</v>
      </c>
      <c r="BL4" s="874">
        <f t="array" ref="BL4">SUM(IF(ISTEXT(BL$23:BL$246),1,0)*IF(($L$23:$L$246)="D",1,0)*IF(ISBLANK($T$1),1,IF($I$23:$I$246=$T$1,1,0)))</f>
        <v>4</v>
      </c>
      <c r="BM4" s="874">
        <f t="array" ref="BM4">SUM(IF(ISTEXT(BM$23:BM$246),1,0)*IF(($L$23:$L$246)="D",1,0)*IF(ISBLANK($T$1),1,IF($I$23:$I$246=$T$1,1,0)))</f>
        <v>4</v>
      </c>
      <c r="BN4" s="874">
        <f t="array" ref="BN4">SUM(IF(ISTEXT(BN$23:BN$246),1,0)*IF(($L$23:$L$246)="D",1,0)*IF(ISBLANK($T$1),1,IF($I$23:$I$246=$T$1,1,0)))</f>
        <v>4</v>
      </c>
      <c r="BP4" s="874">
        <f t="array" ref="BP4">SUM(IF(ISTEXT(BP$23:BP$246),1,0)*IF(($L$23:$L$246)="D",1,0)*IF(ISBLANK($T$1),1,IF($I$23:$I$246=$T$1,1,0)))</f>
        <v>4</v>
      </c>
      <c r="BQ4" s="874">
        <f t="array" ref="BQ4">SUM(IF(ISTEXT(BQ$23:BQ$246),1,0)*IF(($L$23:$L$246)="D",1,0)*IF(ISBLANK($T$1),1,IF($I$23:$I$246=$T$1,1,0)))</f>
        <v>4</v>
      </c>
      <c r="BR4" s="874" t="e">
        <f t="array" ref="BR4">SUM(IF(ISTEXT(BR$70:BR$246),1,0)*IF(($L$23:$L$246)="D",1,0)*IF(ISBLANK($T$1),1,IF($I$23:$I$246=$T$1,1,0)))</f>
        <v>#N/A</v>
      </c>
      <c r="BT4" s="874">
        <f t="array" ref="BT4">SUM(IF(ISTEXT(BT$23:BT$246),1,0)*IF(($L$23:$L$246)="D",1,0)*IF(ISBLANK($T$1),1,IF($I$23:$I$246=$T$1,1,0)))</f>
        <v>0</v>
      </c>
      <c r="BU4" s="874" t="e">
        <f t="array" ref="BU4">SUM(IF(ISTEXT(BU$45:BU$246),1,0)*IF(($L$23:$L$246)="D",1,0)*IF(ISBLANK($T$1),1,IF($I$23:$I$246=$T$1,1,0)))</f>
        <v>#N/A</v>
      </c>
      <c r="BZ4" s="874">
        <f t="array" ref="BZ4">SUM(IF(ISTEXT(BZ$23:BZ$246),1,0)*IF(($L$23:$L$246)="D",1,0)*IF(ISBLANK($T$1),1,IF($I$23:$I$246=$T$1,1,0)))</f>
        <v>0</v>
      </c>
      <c r="CA4" s="874">
        <f t="array" ref="CA4">SUM(IF(ISTEXT(CA$23:CA$246),1,0)*IF(($L$23:$L$246)="D",1,0)*IF(ISBLANK($T$1),1,IF($I$23:$I$246=$T$1,1,0)))</f>
        <v>0</v>
      </c>
      <c r="CB4" s="874">
        <f t="array" ref="CB4">SUM(IF(ISTEXT(CB$23:CB$246),1,0)*IF(($L$23:$L$246)="D",1,0)*IF(ISBLANK($T$1),1,IF($I$23:$I$246=$T$1,1,0)))</f>
        <v>0</v>
      </c>
      <c r="CC4" s="874">
        <f t="array" ref="CC4">SUM(IF(ISTEXT(CC$23:CC$246),1,0)*IF(($L$23:$L$246)="D",1,0)*IF(ISBLANK($T$1),1,IF($I$23:$I$246=$T$1,1,0)))</f>
        <v>0</v>
      </c>
      <c r="CD4" s="874">
        <f t="array" ref="CD4">SUM(IF(ISTEXT(CD$23:CD$246),1,0)*IF(($L$23:$L$246)="D",1,0)*IF(ISBLANK($T$1),1,IF($I$23:$I$246=$T$1,1,0)))</f>
        <v>0</v>
      </c>
      <c r="CE4" s="874">
        <f t="array" ref="CE4">SUM(IF(ISTEXT(CE$23:CE$246),1,0)*IF(($L$23:$L$246)="D",1,0)*IF(ISBLANK($T$1),1,IF($I$23:$I$246=$T$1,1,0)))</f>
        <v>0</v>
      </c>
      <c r="CF4" s="874">
        <f t="array" ref="CF4">SUM(IF(ISTEXT(CF$23:CF$246),1,0)*IF(($L$23:$L$246)="D",1,0)*IF(ISBLANK($T$1),1,IF($I$23:$I$246=$T$1,1,0)))</f>
        <v>0</v>
      </c>
      <c r="CG4" s="874">
        <f t="array" ref="CG4">SUM(IF(ISTEXT(CG$23:CG$246),1,0)*IF(($L$23:$L$246)="D",1,0)*IF(ISBLANK($T$1),1,IF($I$23:$I$246=$T$1,1,0)))</f>
        <v>0</v>
      </c>
      <c r="CH4" s="874">
        <f t="array" ref="CH4">SUM(IF(ISTEXT(CH$23:CH$246),1,0)*IF(($L$23:$L$246)="D",1,0)*IF(ISBLANK($T$1),1,IF($I$23:$I$246=$T$1,1,0)))</f>
        <v>0</v>
      </c>
      <c r="CI4" s="874">
        <f t="array" ref="CI4">SUM(IF(ISTEXT(CI$23:CI$246),1,0)*IF(($L$23:$L$246)="D",1,0)*IF(ISBLANK($T$1),1,IF($I$23:$I$246=$T$1,1,0)))</f>
        <v>0</v>
      </c>
      <c r="CJ4" s="874">
        <f t="array" ref="CJ4">SUM(IF(ISTEXT(CJ$23:CJ$246),1,0)*IF(($L$23:$L$246)="D",1,0)*IF(ISBLANK($T$1),1,IF($I$23:$I$246=$T$1,1,0)))</f>
        <v>0</v>
      </c>
      <c r="CK4" s="874">
        <f t="array" ref="CK4">SUM(IF(ISTEXT(CK$23:CK$246),1,0)*IF(($L$23:$L$246)="D",1,0)*IF(ISBLANK($T$1),1,IF($I$23:$I$246=$T$1,1,0)))</f>
        <v>3</v>
      </c>
      <c r="CL4" s="874">
        <f t="array" ref="CL4">SUM(IF(ISTEXT(CL$23:CL$246),1,0)*IF(($L$23:$L$246)="D",1,0)*IF(ISBLANK($T$1),1,IF($I$23:$I$246=$T$1,1,0)))</f>
        <v>3</v>
      </c>
      <c r="CM4" s="874">
        <f t="array" ref="CM4">SUM(IF(ISTEXT(CM$23:CM$246),1,0)*IF(($L$23:$L$246)="D",1,0)*IF(ISBLANK($T$1),1,IF($I$23:$I$246=$T$1,1,0)))</f>
        <v>3</v>
      </c>
    </row>
    <row r="5" spans="1:91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SUM(IF(L$23:L$246="L",1,0)*IF(ISBLANK($T$1),1,IF($I$23:$I$246=$T$1,1,0)))</f>
        <v>14</v>
      </c>
      <c r="AG5" s="874">
        <f t="array" ref="AG5">SUM(IF(ISTEXT(AG$23:AG$246),1,0)*IF(($L$23:$L$246)="L",1,0)*IF(ISBLANK($T$1),1,IF($I$23:$I$246=$T$1,1,0)))</f>
        <v>14</v>
      </c>
      <c r="AH5" s="874">
        <f t="array" ref="AH5">SUM(IF(ISTEXT(AH$23:AH$246),1,0)*IF(($L$23:$L$246)="L",1,0)*IF(ISBLANK($T$1),1,IF($I$23:$I$246=$T$1,1,0)))</f>
        <v>14</v>
      </c>
      <c r="AI5" s="874">
        <f t="array" ref="AI5">SUM(IF(ISTEXT(AI$23:AI$246),1,0)*IF(($L$23:$L$246)="L",1,0)*IF(ISBLANK($T$1),1,IF($I$23:$I$246=$T$1,1,0)))</f>
        <v>13</v>
      </c>
      <c r="AL5" s="874">
        <f t="array" ref="AL5">SUM(IF(ISTEXT(AL$23:AL$246),1,0)*IF(($L$23:$L$246)="L",1,0)*IF(ISBLANK($T$1),1,IF($I$23:$I$246=$T$1,1,0)))</f>
        <v>14</v>
      </c>
      <c r="AM5" s="874">
        <f t="array" ref="AM5">SUM(IF(ISTEXT(AM$23:AM$246),1,0)*IF(($L$23:$L$246)="L",1,0)*IF(ISBLANK($T$1),1,IF($I$23:$I$246=$T$1,1,0)))</f>
        <v>13</v>
      </c>
      <c r="AO5" s="874">
        <f t="array" ref="AO5">SUM(IF(ISTEXT(AO$23:AO$246),1,0)*IF(($L$23:$L$246)="L",1,0)*IF(ISBLANK($T$1),1,IF($I$23:$I$246=$T$1,1,0)))</f>
        <v>14</v>
      </c>
      <c r="AP5" s="874">
        <f t="array" ref="AP5">SUM(IF(ISTEXT(AP$23:AP$246),1,0)*IF(($L$23:$L$246)="L",1,0)*IF(ISBLANK($T$1),1,IF($I$23:$I$246=$T$1,1,0)))</f>
        <v>14</v>
      </c>
      <c r="AS5" s="874">
        <f t="array" ref="AS5">SUM(IF(ISTEXT(AS$23:AS$246),1,0)*IF(($L$23:$L$246)="L",1,0)*IF(ISBLANK($T$1),1,IF($I$23:$I$246=$T$1,1,0)))</f>
        <v>14</v>
      </c>
      <c r="AU5" s="874">
        <f t="array" ref="AU5">SUM(IF(ISTEXT(AU$23:AU$246),1,0)*IF(($L$23:$L$246)="L",1,0)*IF(ISBLANK($T$1),1,IF($I$23:$I$246=$T$1,1,0)))</f>
        <v>13</v>
      </c>
      <c r="AV5" s="874" t="e">
        <f t="array" ref="AV5">SUM(IF(ISTEXT(AV$27:AV$246),1,0)*IF(($L$23:$L$246)="L",1,0)*IF(ISBLANK($T$1),1,IF($I$23:$I$246=$T$1,1,0)))</f>
        <v>#N/A</v>
      </c>
      <c r="AZ5" s="874">
        <f t="array" ref="AZ5">SUM(IF(ISTEXT(AZ$23:AZ$246),1,0)*IF(($L$23:$L$246)="L",1,0)*IF(ISBLANK($T$1),1,IF($I$23:$I$246=$T$1,1,0)))</f>
        <v>13</v>
      </c>
      <c r="BB5" s="874">
        <f t="array" ref="BB5">SUM(IF(ISTEXT(BB$23:BB$246),1,0)*IF(($L$23:$L$246)="L",1,0)*IF(ISBLANK($T$1),1,IF($I$23:$I$246=$T$1,1,0)))</f>
        <v>14</v>
      </c>
      <c r="BI5" s="874" t="e">
        <f t="array" ref="BI5">SUM(IF(ISTEXT(BI$27:BI$246),1,0)*IF(($L$23:$L$246)="L",1,0)*IF(ISBLANK($T$1),1,IF($I$23:$I$246=$T$1,1,0)))</f>
        <v>#N/A</v>
      </c>
      <c r="BJ5" s="874" t="e">
        <f t="array" ref="BJ5">SUM(IF(ISTEXT(BJ$51:BJ$246),1,0)*IF(($L$23:$L$246)="L",1,0)*IF(ISBLANK($T$1),1,IF($I$23:$I$246=$T$1,1,0)))</f>
        <v>#N/A</v>
      </c>
      <c r="BL5" s="874">
        <f t="array" ref="BL5">SUM(IF(ISTEXT(BL$23:BL$246),1,0)*IF(($L$23:$L$246)="L",1,0)*IF(ISBLANK($T$1),1,IF($I$23:$I$246=$T$1,1,0)))</f>
        <v>9</v>
      </c>
      <c r="BM5" s="874">
        <f t="array" ref="BM5">SUM(IF(ISTEXT(BM$23:BM$246),1,0)*IF(($L$23:$L$246)="L",1,0)*IF(ISBLANK($T$1),1,IF($I$23:$I$246=$T$1,1,0)))</f>
        <v>8</v>
      </c>
      <c r="BN5" s="874">
        <f t="array" ref="BN5">SUM(IF(ISTEXT(BN$23:BN$246),1,0)*IF(($L$23:$L$246)="L",1,0)*IF(ISBLANK($T$1),1,IF($I$23:$I$246=$T$1,1,0)))</f>
        <v>9</v>
      </c>
      <c r="BP5" s="874">
        <f t="array" ref="BP5">SUM(IF(ISTEXT(BP$23:BP$246),1,0)*IF(($L$23:$L$246)="L",1,0)*IF(ISBLANK($T$1),1,IF($I$23:$I$246=$T$1,1,0)))</f>
        <v>9</v>
      </c>
      <c r="BQ5" s="874">
        <f t="array" ref="BQ5">SUM(IF(ISTEXT(BQ$23:BQ$246),1,0)*IF(($L$23:$L$246)="L",1,0)*IF(ISBLANK($T$1),1,IF($I$23:$I$246=$T$1,1,0)))</f>
        <v>6</v>
      </c>
      <c r="BR5" s="874" t="e">
        <f t="array" ref="BR5">SUM(IF(ISTEXT(BR$70:BR$246),1,0)*IF(($L$23:$L$246)="L",1,0)*IF(ISBLANK($T$1),1,IF($I$23:$I$246=$T$1,1,0)))</f>
        <v>#N/A</v>
      </c>
      <c r="BT5" s="874">
        <f t="array" ref="BT5">SUM(IF(ISTEXT(BT$23:BT$246),1,0)*IF(($L$23:$L$246)="L",1,0)*IF(ISBLANK($T$1),1,IF($I$23:$I$246=$T$1,1,0)))</f>
        <v>0</v>
      </c>
      <c r="BU5" s="874" t="e">
        <f t="array" ref="BU5">SUM(IF(ISTEXT(BU$45:BU$246),1,0)*IF(($L$23:$L$246)="L",1,0)*IF(ISBLANK($T$1),1,IF($I$23:$I$246=$T$1,1,0)))</f>
        <v>#N/A</v>
      </c>
      <c r="BZ5" s="874">
        <f t="array" ref="BZ5">SUM(IF(ISTEXT(BZ$23:BZ$246),1,0)*IF(($L$23:$L$246)="L",1,0)*IF(ISBLANK($T$1),1,IF($I$23:$I$246=$T$1,1,0)))</f>
        <v>0</v>
      </c>
      <c r="CA5" s="874">
        <f t="array" ref="CA5">SUM(IF(ISTEXT(CA$23:CA$246),1,0)*IF(($L$23:$L$246)="L",1,0)*IF(ISBLANK($T$1),1,IF($I$23:$I$246=$T$1,1,0)))</f>
        <v>0</v>
      </c>
      <c r="CB5" s="874">
        <f t="array" ref="CB5">SUM(IF(ISTEXT(CB$23:CB$246),1,0)*IF(($L$23:$L$246)="L",1,0)*IF(ISBLANK($T$1),1,IF($I$23:$I$246=$T$1,1,0)))</f>
        <v>0</v>
      </c>
      <c r="CC5" s="874">
        <f t="array" ref="CC5">SUM(IF(ISTEXT(CC$23:CC$246),1,0)*IF(($L$23:$L$246)="L",1,0)*IF(ISBLANK($T$1),1,IF($I$23:$I$246=$T$1,1,0)))</f>
        <v>0</v>
      </c>
      <c r="CD5" s="874">
        <f t="array" ref="CD5">SUM(IF(ISTEXT(CD$23:CD$246),1,0)*IF(($L$23:$L$246)="L",1,0)*IF(ISBLANK($T$1),1,IF($I$23:$I$246=$T$1,1,0)))</f>
        <v>0</v>
      </c>
      <c r="CE5" s="874">
        <f t="array" ref="CE5">SUM(IF(ISTEXT(CE$23:CE$246),1,0)*IF(($L$23:$L$246)="L",1,0)*IF(ISBLANK($T$1),1,IF($I$23:$I$246=$T$1,1,0)))</f>
        <v>0</v>
      </c>
      <c r="CF5" s="874">
        <f t="array" ref="CF5">SUM(IF(ISTEXT(CF$23:CF$246),1,0)*IF(($L$23:$L$246)="L",1,0)*IF(ISBLANK($T$1),1,IF($I$23:$I$246=$T$1,1,0)))</f>
        <v>0</v>
      </c>
      <c r="CG5" s="874">
        <f t="array" ref="CG5">SUM(IF(ISTEXT(CG$23:CG$246),1,0)*IF(($L$23:$L$246)="L",1,0)*IF(ISBLANK($T$1),1,IF($I$23:$I$246=$T$1,1,0)))</f>
        <v>0</v>
      </c>
      <c r="CH5" s="874">
        <f t="array" ref="CH5">SUM(IF(ISTEXT(CH$23:CH$246),1,0)*IF(($L$23:$L$246)="L",1,0)*IF(ISBLANK($T$1),1,IF($I$23:$I$246=$T$1,1,0)))</f>
        <v>0</v>
      </c>
      <c r="CI5" s="874">
        <f t="array" ref="CI5">SUM(IF(ISTEXT(CI$23:CI$246),1,0)*IF(($L$23:$L$246)="L",1,0)*IF(ISBLANK($T$1),1,IF($I$23:$I$246=$T$1,1,0)))</f>
        <v>0</v>
      </c>
      <c r="CJ5" s="874">
        <f t="array" ref="CJ5">SUM(IF(ISTEXT(CJ$23:CJ$246),1,0)*IF(($L$23:$L$246)="L",1,0)*IF(ISBLANK($T$1),1,IF($I$23:$I$246=$T$1,1,0)))</f>
        <v>0</v>
      </c>
      <c r="CK5" s="874">
        <f t="array" ref="CK5">SUM(IF(ISTEXT(CK$23:CK$246),1,0)*IF(($L$23:$L$246)="L",1,0)*IF(ISBLANK($T$1),1,IF($I$23:$I$246=$T$1,1,0)))</f>
        <v>5</v>
      </c>
      <c r="CL5" s="874">
        <f t="array" ref="CL5">SUM(IF(ISTEXT(CL$23:CL$246),1,0)*IF(($L$23:$L$246)="L",1,0)*IF(ISBLANK($T$1),1,IF($I$23:$I$246=$T$1,1,0)))</f>
        <v>5</v>
      </c>
      <c r="CM5" s="874">
        <f t="array" ref="CM5">SUM(IF(ISTEXT(CM$23:CM$246),1,0)*IF(($L$23:$L$246)="L",1,0)*IF(ISBLANK($T$1),1,IF($I$23:$I$246=$T$1,1,0)))</f>
        <v>4</v>
      </c>
    </row>
    <row r="6" spans="1:91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85</v>
      </c>
      <c r="AG6" s="874">
        <f t="shared" ref="AG6:CM6" si="2">AG$3*3+AG$4</f>
        <v>85</v>
      </c>
      <c r="AH6" s="874">
        <f t="shared" si="2"/>
        <v>82</v>
      </c>
      <c r="AI6" s="874">
        <f t="shared" si="2"/>
        <v>82</v>
      </c>
      <c r="AL6" s="874">
        <f>AL$3*3+AL$4</f>
        <v>85</v>
      </c>
      <c r="AM6" s="874">
        <f t="shared" si="2"/>
        <v>79</v>
      </c>
      <c r="AO6" s="874">
        <f>AO$3*3+AO$4</f>
        <v>82</v>
      </c>
      <c r="AP6" s="874">
        <f>AP$3*3+AP$4</f>
        <v>82</v>
      </c>
      <c r="AS6" s="874">
        <f t="shared" si="2"/>
        <v>82</v>
      </c>
      <c r="AU6" s="874">
        <f>AU$3*3+AU$4</f>
        <v>85</v>
      </c>
      <c r="AV6" s="874" t="e">
        <f>AV$3*3+AV$4</f>
        <v>#N/A</v>
      </c>
      <c r="AZ6" s="874">
        <f>AZ$3*3+AZ$4</f>
        <v>79</v>
      </c>
      <c r="BB6" s="874">
        <f>BB$3*3+BB$4</f>
        <v>85</v>
      </c>
      <c r="BI6" s="874" t="e">
        <f>BI$3*3+BI$4</f>
        <v>#N/A</v>
      </c>
      <c r="BJ6" s="874" t="e">
        <f>BJ$3*3+BJ$4</f>
        <v>#N/A</v>
      </c>
      <c r="BL6" s="874">
        <f>BL$3*3+BL$4</f>
        <v>49</v>
      </c>
      <c r="BM6" s="874">
        <f>BM$3*3+BM$4</f>
        <v>52</v>
      </c>
      <c r="BN6" s="874">
        <f>BN$3*3+BN$4</f>
        <v>49</v>
      </c>
      <c r="BP6" s="874">
        <f>BP$3*3+BP$4</f>
        <v>46</v>
      </c>
      <c r="BQ6" s="874">
        <f>BQ$3*3+BQ$4</f>
        <v>43</v>
      </c>
      <c r="BR6" s="874" t="e">
        <f>BR$3*3+BR$4</f>
        <v>#N/A</v>
      </c>
      <c r="BT6" s="874">
        <f>BT$3*3+BT$4</f>
        <v>0</v>
      </c>
      <c r="BU6" s="874" t="e">
        <f t="shared" si="2"/>
        <v>#N/A</v>
      </c>
      <c r="BZ6" s="874">
        <f t="shared" ref="BZ6:CF6" si="3">BZ$3*3+BZ$4</f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3"/>
        <v>0</v>
      </c>
      <c r="CF6" s="874">
        <f t="shared" si="3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0</v>
      </c>
      <c r="CK6" s="874">
        <f t="shared" si="2"/>
        <v>30</v>
      </c>
      <c r="CL6" s="874">
        <f t="shared" si="2"/>
        <v>30</v>
      </c>
      <c r="CM6" s="874">
        <f t="shared" si="2"/>
        <v>30</v>
      </c>
    </row>
    <row r="7" spans="1:91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M7" si="4">AF6/AF2</f>
        <v>1.8085106382978724</v>
      </c>
      <c r="AG7" s="874">
        <f t="shared" si="4"/>
        <v>1.8085106382978724</v>
      </c>
      <c r="AH7" s="874">
        <f t="shared" si="4"/>
        <v>1.7826086956521738</v>
      </c>
      <c r="AI7" s="874">
        <f t="shared" si="4"/>
        <v>1.8222222222222222</v>
      </c>
      <c r="AL7" s="874">
        <f>AL6/AL2</f>
        <v>1.8085106382978724</v>
      </c>
      <c r="AM7" s="874">
        <f t="shared" si="4"/>
        <v>1.7954545454545454</v>
      </c>
      <c r="AO7" s="874">
        <f>AO6/AO2</f>
        <v>1.7826086956521738</v>
      </c>
      <c r="AP7" s="874">
        <f>AP6/AP2</f>
        <v>1.7826086956521738</v>
      </c>
      <c r="AS7" s="874">
        <f t="shared" ref="AS7" si="5">AS6/AS2</f>
        <v>1.7826086956521738</v>
      </c>
      <c r="AU7" s="874">
        <f>AU6/AU2</f>
        <v>1.8478260869565217</v>
      </c>
      <c r="AV7" s="874" t="e">
        <f>AV6/AV2</f>
        <v>#N/A</v>
      </c>
      <c r="AZ7" s="874">
        <f>AZ6/AZ2</f>
        <v>1.7954545454545454</v>
      </c>
      <c r="BB7" s="874">
        <f>BB6/BB2</f>
        <v>1.8085106382978724</v>
      </c>
      <c r="BI7" s="874" t="e">
        <f>BI6/BI2</f>
        <v>#N/A</v>
      </c>
      <c r="BJ7" s="874" t="e">
        <f>BJ6/BJ2</f>
        <v>#N/A</v>
      </c>
      <c r="BL7" s="874">
        <f>BL6/BL2</f>
        <v>1.75</v>
      </c>
      <c r="BM7" s="874">
        <f>BM6/BM2</f>
        <v>1.8571428571428572</v>
      </c>
      <c r="BN7" s="874">
        <f>BN6/BN2</f>
        <v>1.75</v>
      </c>
      <c r="BP7" s="874">
        <f>BP6/BP2</f>
        <v>1.7037037037037037</v>
      </c>
      <c r="BQ7" s="874">
        <f>BQ6/BQ2</f>
        <v>1.8695652173913044</v>
      </c>
      <c r="BR7" s="874" t="e">
        <f>BR6/BR2</f>
        <v>#N/A</v>
      </c>
      <c r="BT7" s="874" t="e">
        <f>BT6/BT2</f>
        <v>#DIV/0!</v>
      </c>
      <c r="BU7" s="874" t="e">
        <f t="shared" si="4"/>
        <v>#N/A</v>
      </c>
      <c r="BZ7" s="874" t="e">
        <f t="shared" ref="BZ7:CF7" si="6">BZ6/BZ2</f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6"/>
        <v>#DIV/0!</v>
      </c>
      <c r="CF7" s="874" t="e">
        <f t="shared" si="6"/>
        <v>#DIV/0!</v>
      </c>
      <c r="CG7" s="874" t="e">
        <f t="shared" si="4"/>
        <v>#DIV/0!</v>
      </c>
      <c r="CH7" s="874" t="e">
        <f t="shared" si="4"/>
        <v>#DIV/0!</v>
      </c>
      <c r="CI7" s="874" t="e">
        <f t="shared" si="4"/>
        <v>#DIV/0!</v>
      </c>
      <c r="CJ7" s="874" t="e">
        <f t="shared" si="4"/>
        <v>#DIV/0!</v>
      </c>
      <c r="CK7" s="874">
        <f t="shared" si="4"/>
        <v>1.7647058823529411</v>
      </c>
      <c r="CL7" s="874">
        <f t="shared" si="4"/>
        <v>1.7647058823529411</v>
      </c>
      <c r="CM7" s="874">
        <f t="shared" si="4"/>
        <v>1.875</v>
      </c>
    </row>
    <row r="8" spans="1:91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SUM(IF(($T$23:$T$246)="",0,$T$23:$T$246)*IF(ISBLANK($T$1),1,IF($I$23:$I$246=$T$1,1,0)))</f>
        <v>37.500000000000007</v>
      </c>
      <c r="AG8" s="874">
        <f t="array" ref="AG8">SUM(IF(ISTEXT(AG$23:AG$246),1,0)*IF(($T$23:$T$246)="",0,$T$23:$T$246)*IF(ISBLANK($T$1),1,IF($I$23:$I$246=$T$1,1,0)))</f>
        <v>37.500000000000007</v>
      </c>
      <c r="AH8" s="874">
        <f t="array" ref="AH8">SUM(IF(ISTEXT(AH$23:AH$246),1,0)*IF(($T$23:$T$246)="",0,$T$23:$T$246)*IF(ISBLANK($T$1),1,IF($I$23:$I$246=$T$1,1,0)))</f>
        <v>35.250000000000007</v>
      </c>
      <c r="AI8" s="874">
        <f t="array" ref="AI8">SUM(IF(ISTEXT(AI$23:AI$246),1,0)*IF(($T$23:$T$246)="",0,$T$23:$T$246)*IF(ISBLANK($T$1),1,IF($I$23:$I$246=$T$1,1,0)))</f>
        <v>34.430000000000007</v>
      </c>
      <c r="AL8" s="874">
        <f t="array" ref="AL8">SUM(IF(ISTEXT(AL$23:AL$246),1,0)*IF(($T$23:$T$246)="",0,$T$23:$T$246)*IF(ISBLANK($T$1),1,IF($I$23:$I$246=$T$1,1,0)))</f>
        <v>37.500000000000007</v>
      </c>
      <c r="AM8" s="874">
        <f t="array" ref="AM8">SUM(IF(ISTEXT(AM$23:AM$246),1,0)*IF(($T$23:$T$246)="",0,$T$23:$T$246)*IF(ISBLANK($T$1),1,IF($I$23:$I$246=$T$1,1,0)))</f>
        <v>32.180000000000007</v>
      </c>
      <c r="AO8" s="874">
        <f t="array" ref="AO8">SUM(IF(ISTEXT(AO$23:AO$246),1,0)*IF(($T$23:$T$246)="",0,$T$23:$T$246)*IF(ISBLANK($T$1),1,IF($I$23:$I$246=$T$1,1,0)))</f>
        <v>34.430000000000007</v>
      </c>
      <c r="AP8" s="874">
        <f t="array" ref="AP8">SUM(IF(ISTEXT(AP$23:AP$246),1,0)*IF(($T$23:$T$246)="",0,$T$23:$T$246)*IF(ISBLANK($T$1),1,IF($I$23:$I$246=$T$1,1,0)))</f>
        <v>34.430000000000007</v>
      </c>
      <c r="AS8" s="874">
        <f t="array" ref="AS8">SUM(IF(ISTEXT(AS$23:AS$246),1,0)*IF(($T$23:$T$246)="",0,$T$23:$T$246)*IF(ISBLANK($T$1),1,IF($I$23:$I$246=$T$1,1,0)))</f>
        <v>35.250000000000007</v>
      </c>
      <c r="AU8" s="874">
        <f t="array" ref="AU8">SUM(IF(ISTEXT(AU$23:AU$246),1,0)*IF(($T$23:$T$246)="",0,$T$23:$T$246)*IF(ISBLANK($T$1),1,IF($I$23:$I$246=$T$1,1,0)))</f>
        <v>37.500000000000007</v>
      </c>
      <c r="AV8" s="874" t="e">
        <f t="array" ref="AV8">SUM(IF(ISTEXT(AV$27:AV$246),1,0)*IF(($T$23:$T$246)="",0,$T$23:$T$246)*IF(ISBLANK($T$1),1,IF($I$23:$I$246=$T$1,1,0)))</f>
        <v>#N/A</v>
      </c>
      <c r="AZ8" s="874">
        <f t="array" ref="AZ8">SUM(IF(ISTEXT(AZ$23:AZ$246),1,0)*IF(($T$23:$T$246)="",0,$T$23:$T$246)*IF(ISBLANK($T$1),1,IF($I$23:$I$246=$T$1,1,0)))</f>
        <v>32.180000000000007</v>
      </c>
      <c r="BB8" s="874">
        <f t="array" ref="BB8">SUM(IF(ISTEXT(BB$23:BB$246),1,0)*IF(($T$23:$T$246)="",0,$T$23:$T$246)*IF(ISBLANK($T$1),1,IF($I$23:$I$246=$T$1,1,0)))</f>
        <v>37.500000000000007</v>
      </c>
      <c r="BI8" s="874" t="e">
        <f t="array" ref="BI8">SUM(IF(ISTEXT(BI$27:BI$246),1,0)*IF(($T$23:$T$246)="",0,$T$23:$T$246)*IF(ISBLANK($T$1),1,IF($I$23:$I$246=$T$1,1,0)))</f>
        <v>#N/A</v>
      </c>
      <c r="BJ8" s="874" t="e">
        <f t="array" ref="BJ8">SUM(IF(ISTEXT(BJ$51:BJ$246),1,0)*IF(($T$23:$T$246)="",0,$T$23:$T$246)*IF(ISBLANK($T$1),1,IF($I$23:$I$246=$T$1,1,0)))</f>
        <v>#N/A</v>
      </c>
      <c r="BL8" s="874">
        <f t="array" ref="BL8">SUM(IF(ISTEXT(BL$23:BL$246),1,0)*IF(($T$23:$T$246)="",0,$T$23:$T$246)*IF(ISBLANK($T$1),1,IF($I$23:$I$246=$T$1,1,0)))</f>
        <v>15.46</v>
      </c>
      <c r="BM8" s="874">
        <f t="array" ref="BM8">SUM(IF(ISTEXT(BM$23:BM$246),1,0)*IF(($T$23:$T$246)="",0,$T$23:$T$246)*IF(ISBLANK($T$1),1,IF($I$23:$I$246=$T$1,1,0)))</f>
        <v>16.470000000000002</v>
      </c>
      <c r="BN8" s="874">
        <f t="array" ref="BN8">SUM(IF(ISTEXT(BN$23:BN$246),1,0)*IF(($T$23:$T$246)="",0,$T$23:$T$246)*IF(ISBLANK($T$1),1,IF($I$23:$I$246=$T$1,1,0)))</f>
        <v>15.46</v>
      </c>
      <c r="BP8" s="874">
        <f t="array" ref="BP8">SUM(IF(ISTEXT(BP$23:BP$246),1,0)*IF(($T$23:$T$246)="",0,$T$23:$T$246)*IF(ISBLANK($T$1),1,IF($I$23:$I$246=$T$1,1,0)))</f>
        <v>17.16</v>
      </c>
      <c r="BQ8" s="874">
        <f t="array" ref="BQ8">SUM(IF(ISTEXT(BQ$23:BQ$246),1,0)*IF(($T$23:$T$246)="",0,$T$23:$T$246)*IF(ISBLANK($T$1),1,IF($I$23:$I$246=$T$1,1,0)))</f>
        <v>20.240000000000002</v>
      </c>
      <c r="BR8" s="874" t="e">
        <f t="array" ref="BR8">SUM(IF(ISTEXT(BR$70:BR$246),1,0)*IF(($T$23:$T$246)="",0,$T$23:$T$246)*IF(ISBLANK($T$1),1,IF($I$23:$I$246=$T$1,1,0)))</f>
        <v>#N/A</v>
      </c>
      <c r="BT8" s="874">
        <f t="array" ref="BT8">SUM(IF(ISTEXT(BT$23:BT$246),1,0)*IF(($T$23:$T$246)="",0,$T$23:$T$246)*IF(ISBLANK($T$1),1,IF($I$23:$I$246=$T$1,1,0)))</f>
        <v>0</v>
      </c>
      <c r="BU8" s="874" t="e">
        <f t="array" ref="BU8">SUM(IF(ISTEXT(BU$45:BU$246),1,0)*IF(($T$23:$T$246)="",0,$T$23:$T$246)*IF(ISBLANK($T$1),1,IF($I$23:$I$246=$T$1,1,0)))</f>
        <v>#N/A</v>
      </c>
      <c r="BZ8" s="874">
        <f t="array" ref="BZ8">SUM(IF(ISTEXT(BZ$23:BZ$246),1,0)*IF(($T$23:$T$246)="",0,$T$23:$T$246)*IF(ISBLANK($T$1),1,IF($I$23:$I$246=$T$1,1,0)))</f>
        <v>0</v>
      </c>
      <c r="CA8" s="874">
        <f t="array" ref="CA8">SUM(IF(ISTEXT(CA$23:CA$246),1,0)*IF(($T$23:$T$246)="",0,$T$23:$T$246)*IF(ISBLANK($T$1),1,IF($I$23:$I$246=$T$1,1,0)))</f>
        <v>0</v>
      </c>
      <c r="CB8" s="874">
        <f t="array" ref="CB8">SUM(IF(ISTEXT(CB$23:CB$246),1,0)*IF(($T$23:$T$246)="",0,$T$23:$T$246)*IF(ISBLANK($T$1),1,IF($I$23:$I$246=$T$1,1,0)))</f>
        <v>0</v>
      </c>
      <c r="CC8" s="874">
        <f t="array" ref="CC8">SUM(IF(ISTEXT(CC$23:CC$246),1,0)*IF(($T$23:$T$246)="",0,$T$23:$T$246)*IF(ISBLANK($T$1),1,IF($I$23:$I$246=$T$1,1,0)))</f>
        <v>0</v>
      </c>
      <c r="CD8" s="874">
        <f t="array" ref="CD8">SUM(IF(ISTEXT(CD$23:CD$246),1,0)*IF(($T$23:$T$246)="",0,$T$23:$T$246)*IF(ISBLANK($T$1),1,IF($I$23:$I$246=$T$1,1,0)))</f>
        <v>0</v>
      </c>
      <c r="CE8" s="874">
        <f t="array" ref="CE8">SUM(IF(ISTEXT(CE$23:CE$246),1,0)*IF(($T$23:$T$246)="",0,$T$23:$T$246)*IF(ISBLANK($T$1),1,IF($I$23:$I$246=$T$1,1,0)))</f>
        <v>0</v>
      </c>
      <c r="CF8" s="874">
        <f t="array" ref="CF8">SUM(IF(ISTEXT(CF$23:CF$246),1,0)*IF(($T$23:$T$246)="",0,$T$23:$T$246)*IF(ISBLANK($T$1),1,IF($I$23:$I$246=$T$1,1,0)))</f>
        <v>0</v>
      </c>
      <c r="CG8" s="874">
        <f t="array" ref="CG8">SUM(IF(ISTEXT(CG$23:CG$246),1,0)*IF(($T$23:$T$246)="",0,$T$23:$T$246)*IF(ISBLANK($T$1),1,IF($I$23:$I$246=$T$1,1,0)))</f>
        <v>0</v>
      </c>
      <c r="CH8" s="874">
        <f t="array" ref="CH8">SUM(IF(ISTEXT(CH$23:CH$246),1,0)*IF(($T$23:$T$246)="",0,$T$23:$T$246)*IF(ISBLANK($T$1),1,IF($I$23:$I$246=$T$1,1,0)))</f>
        <v>0</v>
      </c>
      <c r="CI8" s="874">
        <f t="array" ref="CI8">SUM(IF(ISTEXT(CI$23:CI$246),1,0)*IF(($T$23:$T$246)="",0,$T$23:$T$246)*IF(ISBLANK($T$1),1,IF($I$23:$I$246=$T$1,1,0)))</f>
        <v>0</v>
      </c>
      <c r="CJ8" s="874">
        <f t="array" ref="CJ8">SUM(IF(ISTEXT(CJ$23:CJ$246),1,0)*IF(($T$23:$T$246)="",0,$T$23:$T$246)*IF(ISBLANK($T$1),1,IF($I$23:$I$246=$T$1,1,0)))</f>
        <v>0</v>
      </c>
      <c r="CK8" s="874">
        <f t="array" ref="CK8">SUM(IF(ISTEXT(CK$23:CK$246),1,0)*IF(($T$23:$T$246)="",0,$T$23:$T$246)*IF(ISBLANK($T$1),1,IF($I$23:$I$246=$T$1,1,0)))</f>
        <v>6.02</v>
      </c>
      <c r="CL8" s="874">
        <f t="array" ref="CL8">SUM(IF(ISTEXT(CL$23:CL$246),1,0)*IF(($T$23:$T$246)="",0,$T$23:$T$246)*IF(ISBLANK($T$1),1,IF($I$23:$I$246=$T$1,1,0)))</f>
        <v>6.02</v>
      </c>
      <c r="CM8" s="874">
        <f t="array" ref="CM8">SUM(IF(ISTEXT(CM$23:CM$246),1,0)*IF(($T$23:$T$246)="",0,$T$23:$T$246)*IF(ISBLANK($T$1),1,IF($I$23:$I$246=$T$1,1,0)))</f>
        <v>6.9599999999999991</v>
      </c>
    </row>
    <row r="9" spans="1:91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M9" si="7">AF8/AF2</f>
        <v>0.79787234042553201</v>
      </c>
      <c r="AG9" s="874">
        <f t="shared" si="7"/>
        <v>0.79787234042553201</v>
      </c>
      <c r="AH9" s="874">
        <f t="shared" si="7"/>
        <v>0.76630434782608714</v>
      </c>
      <c r="AI9" s="874">
        <f t="shared" si="7"/>
        <v>0.7651111111111113</v>
      </c>
      <c r="AL9" s="874">
        <f>AL8/AL2</f>
        <v>0.79787234042553201</v>
      </c>
      <c r="AM9" s="874">
        <f t="shared" si="7"/>
        <v>0.73136363636363655</v>
      </c>
      <c r="AO9" s="874">
        <f>AO8/AO2</f>
        <v>0.74847826086956537</v>
      </c>
      <c r="AP9" s="874">
        <f>AP8/AP2</f>
        <v>0.74847826086956537</v>
      </c>
      <c r="AS9" s="874">
        <f t="shared" ref="AS9" si="8">AS8/AS2</f>
        <v>0.76630434782608714</v>
      </c>
      <c r="AU9" s="874">
        <f>AU8/AU2</f>
        <v>0.815217391304348</v>
      </c>
      <c r="AV9" s="874" t="e">
        <f>AV8/AV2</f>
        <v>#N/A</v>
      </c>
      <c r="AZ9" s="874">
        <f>AZ8/AZ2</f>
        <v>0.73136363636363655</v>
      </c>
      <c r="BB9" s="874">
        <f>BB8/BB2</f>
        <v>0.79787234042553201</v>
      </c>
      <c r="BI9" s="874" t="e">
        <f>BI8/BI2</f>
        <v>#N/A</v>
      </c>
      <c r="BJ9" s="874" t="e">
        <f>BJ8/BJ2</f>
        <v>#N/A</v>
      </c>
      <c r="BL9" s="874">
        <f>BL8/BL2</f>
        <v>0.55214285714285716</v>
      </c>
      <c r="BM9" s="874">
        <f>BM8/BM2</f>
        <v>0.5882142857142858</v>
      </c>
      <c r="BN9" s="874">
        <f>BN8/BN2</f>
        <v>0.55214285714285716</v>
      </c>
      <c r="BP9" s="874">
        <f>BP8/BP2</f>
        <v>0.63555555555555554</v>
      </c>
      <c r="BQ9" s="874">
        <f>BQ8/BQ2</f>
        <v>0.88000000000000012</v>
      </c>
      <c r="BR9" s="874" t="e">
        <f>BR8/BR2</f>
        <v>#N/A</v>
      </c>
      <c r="BT9" s="874" t="e">
        <f>BT8/BT2</f>
        <v>#DIV/0!</v>
      </c>
      <c r="BU9" s="874" t="e">
        <f t="shared" si="7"/>
        <v>#N/A</v>
      </c>
      <c r="BZ9" s="874" t="e">
        <f t="shared" ref="BZ9:CF9" si="9">BZ8/BZ2</f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9"/>
        <v>#DIV/0!</v>
      </c>
      <c r="CF9" s="874" t="e">
        <f t="shared" si="9"/>
        <v>#DIV/0!</v>
      </c>
      <c r="CG9" s="874" t="e">
        <f t="shared" si="7"/>
        <v>#DIV/0!</v>
      </c>
      <c r="CH9" s="874" t="e">
        <f t="shared" si="7"/>
        <v>#DIV/0!</v>
      </c>
      <c r="CI9" s="874" t="e">
        <f t="shared" si="7"/>
        <v>#DIV/0!</v>
      </c>
      <c r="CJ9" s="874" t="e">
        <f t="shared" si="7"/>
        <v>#DIV/0!</v>
      </c>
      <c r="CK9" s="874">
        <f t="shared" si="7"/>
        <v>0.35411764705882348</v>
      </c>
      <c r="CL9" s="874">
        <f t="shared" si="7"/>
        <v>0.35411764705882348</v>
      </c>
      <c r="CM9" s="874">
        <f t="shared" si="7"/>
        <v>0.43499999999999994</v>
      </c>
    </row>
    <row r="10" spans="1:91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SUM(IF(ISBLANK($T$1),$J$23:$J$246,IF($I$23:$I$246=$T$1,$J$23:$J$246,0)))</f>
        <v>97</v>
      </c>
      <c r="AG10" s="874">
        <f t="array" ref="AG10">SUM(IF(ISBLANK(AG$23:AG$246),0,IF(ISNUMBER(VALUE(RIGHT(AG$23:AG$246,1))),RIGHT(AG$23:AG$246,1),0)*IF(ISBLANK($T$1),1,IF($I$23:$I$246=$T$1,1,0))))</f>
        <v>0</v>
      </c>
      <c r="AH10" s="874">
        <f t="array" ref="AH10">SUM(IF(ISBLANK(AH$23:AH$246),0,IF(ISNUMBER(VALUE(RIGHT(AH$23:AH$246,1))),RIGHT(AH$23:AH$246,1),0)*IF(ISBLANK($T$1),1,IF($I$23:$I$246=$T$1,1,0))))</f>
        <v>0</v>
      </c>
      <c r="AI10" s="874">
        <f t="array" ref="AI10">SUM(IF(ISBLANK(AI$23:AI$246),0,IF(ISNUMBER(VALUE(RIGHT(AI$23:AI$246,1))),RIGHT(AI$23:AI$246,1),0)*IF(ISBLANK($T$1),1,IF($I$23:$I$246=$T$1,1,0))))</f>
        <v>0</v>
      </c>
      <c r="AL10" s="874">
        <f t="array" ref="AL10">SUM(IF(ISBLANK(AL$23:AL$246),0,IF(ISNUMBER(VALUE(RIGHT(AL$23:AL$246,1))),RIGHT(AL$23:AL$246,1),0)*IF(ISBLANK($T$1),1,IF($I$23:$I$246=$T$1,1,0))))</f>
        <v>0</v>
      </c>
      <c r="AM10" s="874">
        <f t="array" ref="AM10">SUM(IF(ISBLANK(AM$23:AM$246),0,IF(ISNUMBER(VALUE(RIGHT(AM$23:AM$246,1))),RIGHT(AM$23:AM$246,1),0)*IF(ISBLANK($T$1),1,IF($I$23:$I$246=$T$1,1,0))))</f>
        <v>0</v>
      </c>
      <c r="AO10" s="874">
        <f t="array" ref="AO10">SUM(IF(ISBLANK(AO$23:AO$246),0,IF(ISNUMBER(VALUE(RIGHT(AO$23:AO$246,1))),RIGHT(AO$23:AO$246,1),0)*IF(ISBLANK($T$1),1,IF($I$23:$I$246=$T$1,1,0))))</f>
        <v>1</v>
      </c>
      <c r="AP10" s="874">
        <f t="array" ref="AP10">SUM(IF(ISBLANK(AP$23:AP$246),0,IF(ISNUMBER(VALUE(RIGHT(AP$23:AP$246,1))),RIGHT(AP$23:AP$246,1),0)*IF(ISBLANK($T$1),1,IF($I$23:$I$246=$T$1,1,0))))</f>
        <v>2</v>
      </c>
      <c r="AS10" s="874">
        <f t="array" ref="AS10">SUM(IF(ISBLANK(AS$23:AS$246),0,IF(ISNUMBER(VALUE(RIGHT(AS$23:AS$246,1))),RIGHT(AS$23:AS$246,1),0)*IF(ISBLANK($T$1),1,IF($I$23:$I$246=$T$1,1,0))))</f>
        <v>2</v>
      </c>
      <c r="AU10" s="874">
        <f t="array" ref="AU10">SUM(IF(ISBLANK(AU$23:AU$246),0,IF(ISNUMBER(VALUE(RIGHT(AU$23:AU$246,1))),RIGHT(AU$23:AU$246,1),0)*IF(ISBLANK($T$1),1,IF($I$23:$I$246=$T$1,1,0))))</f>
        <v>0</v>
      </c>
      <c r="AV10" s="874">
        <f t="array" ref="AV10">SUM(IF(ISBLANK(AV$27:AV$246),0,IF(ISNUMBER(VALUE(RIGHT(AV$27:AV$246,1))),RIGHT(AV$27:AV$246,1),0)*IF(ISBLANK($T$1),1,IF($I$23:$I$246=$T$1,1,0))))</f>
        <v>13</v>
      </c>
      <c r="AZ10" s="874">
        <f t="array" ref="AZ10">SUM(IF(ISBLANK(AZ$23:AZ$246),0,IF(ISNUMBER(VALUE(RIGHT(AZ$23:AZ$246,1))),RIGHT(AZ$23:AZ$246,1),0)*IF(ISBLANK($T$1),1,IF($I$23:$I$246=$T$1,1,0))))</f>
        <v>0</v>
      </c>
      <c r="BB10" s="874">
        <f t="array" ref="BB10">SUM(IF(ISBLANK(BB$23:BB$246),0,IF(ISNUMBER(VALUE(RIGHT(BB$23:BB$246,1))),RIGHT(BB$23:BB$246,1),0)*IF(ISBLANK($T$1),1,IF($I$23:$I$246=$T$1,1,0))))</f>
        <v>21</v>
      </c>
      <c r="BI10" s="874">
        <f t="array" ref="BI10">SUM(IF(ISBLANK(BI$27:BI$246),0,IF(ISNUMBER(VALUE(RIGHT(BI$27:BI$246,1))),RIGHT(BI$27:BI$246,1),0)*IF(ISBLANK($T$1),1,IF($I$23:$I$246=$T$1,1,0))))</f>
        <v>5</v>
      </c>
      <c r="BJ10" s="874">
        <f t="array" ref="BJ10">SUM(IF(ISBLANK(BJ$51:BJ$246),0,IF(ISNUMBER(VALUE(RIGHT(BJ$51:BJ$246,1))),RIGHT(BJ$51:BJ$246,1),0)*IF(ISBLANK($T$1),1,IF($I$23:$I$246=$T$1,1,0))))</f>
        <v>0</v>
      </c>
      <c r="BL10" s="874">
        <f t="array" ref="BL10">SUM(IF(ISBLANK(BL$23:BL$246),0,IF(ISNUMBER(VALUE(RIGHT(BL$23:BL$246,1))),RIGHT(BL$23:BL$246,1),0)*IF(ISBLANK($T$1),1,IF($I$23:$I$246=$T$1,1,0))))</f>
        <v>0</v>
      </c>
      <c r="BM10" s="874">
        <f t="array" ref="BM10">SUM(IF(ISBLANK(BM$23:BM$246),0,IF(ISNUMBER(VALUE(RIGHT(BM$23:BM$246,1))),RIGHT(BM$23:BM$246,1),0)*IF(ISBLANK($T$1),1,IF($I$23:$I$246=$T$1,1,0))))</f>
        <v>0</v>
      </c>
      <c r="BN10" s="874">
        <f t="array" ref="BN10">SUM(IF(ISBLANK(BN$23:BN$246),0,IF(ISNUMBER(VALUE(RIGHT(BN$23:BN$246,1))),RIGHT(BN$23:BN$246,1),0)*IF(ISBLANK($T$1),1,IF($I$23:$I$246=$T$1,1,0))))</f>
        <v>0</v>
      </c>
      <c r="BP10" s="874">
        <f t="array" ref="BP10">SUM(IF(ISBLANK(BP$23:BP$246),0,IF(ISNUMBER(VALUE(RIGHT(BP$23:BP$246,1))),RIGHT(BP$23:BP$246,1),0)*IF(ISBLANK($T$1),1,IF($I$23:$I$246=$T$1,1,0))))</f>
        <v>0</v>
      </c>
      <c r="BQ10" s="874">
        <f t="array" ref="BQ10">SUM(IF(ISBLANK(BQ$23:BQ$246),0,IF(ISNUMBER(VALUE(RIGHT(BQ$23:BQ$246,1))),RIGHT(BQ$23:BQ$246,1),0)*IF(ISBLANK($T$1),1,IF($I$23:$I$246=$T$1,1,0))))</f>
        <v>0</v>
      </c>
      <c r="BR10" s="874">
        <f t="array" ref="BR10">SUM(IF(ISBLANK(BR$70:BR$246),0,IF(ISNUMBER(VALUE(RIGHT(BR$70:BR$246,1))),RIGHT(BR$70:BR$246,1),0)*IF(ISBLANK($T$1),1,IF($I$23:$I$246=$T$1,1,0))))</f>
        <v>0</v>
      </c>
      <c r="BT10" s="874">
        <f t="array" ref="BT10">SUM(IF(ISBLANK(BT$23:BT$246),0,IF(ISNUMBER(VALUE(RIGHT(BT$23:BT$246,1))),RIGHT(BT$23:BT$246,1),0)*IF(ISBLANK($T$1),1,IF($I$23:$I$246=$T$1,1,0))))</f>
        <v>0</v>
      </c>
      <c r="BU10" s="874">
        <f t="array" ref="BU10">SUM(IF(ISBLANK(BU$45:BU$246),0,IF(ISNUMBER(VALUE(RIGHT(BU$45:BU$246,1))),RIGHT(BU$45:BU$246,1),0)*IF(ISBLANK($T$1),1,IF($I$23:$I$246=$T$1,1,0))))</f>
        <v>0</v>
      </c>
      <c r="BZ10" s="874">
        <f t="array" ref="BZ10">SUM(IF(ISBLANK(BZ$23:BZ$246),0,IF(ISNUMBER(VALUE(RIGHT(BZ$23:BZ$246,1))),RIGHT(BZ$23:BZ$246,1),0)*IF(ISBLANK($T$1),1,IF($I$23:$I$246=$T$1,1,0))))</f>
        <v>0</v>
      </c>
      <c r="CA10" s="874">
        <f t="array" ref="CA10">SUM(IF(ISBLANK(CA$23:CA$246),0,IF(ISNUMBER(VALUE(RIGHT(CA$23:CA$246,1))),RIGHT(CA$23:CA$246,1),0)*IF(ISBLANK($T$1),1,IF($I$23:$I$246=$T$1,1,0))))</f>
        <v>0</v>
      </c>
      <c r="CB10" s="874">
        <f t="array" ref="CB10">SUM(IF(ISBLANK(CB$23:CB$246),0,IF(ISNUMBER(VALUE(RIGHT(CB$23:CB$246,1))),RIGHT(CB$23:CB$246,1),0)*IF(ISBLANK($T$1),1,IF($I$23:$I$246=$T$1,1,0))))</f>
        <v>0</v>
      </c>
      <c r="CC10" s="874">
        <f t="array" ref="CC10">SUM(IF(ISBLANK(CC$23:CC$246),0,IF(ISNUMBER(VALUE(RIGHT(CC$23:CC$246,1))),RIGHT(CC$23:CC$246,1),0)*IF(ISBLANK($T$1),1,IF($I$23:$I$246=$T$1,1,0))))</f>
        <v>0</v>
      </c>
      <c r="CD10" s="874">
        <f t="array" ref="CD10">SUM(IF(ISBLANK(CD$23:CD$246),0,IF(ISNUMBER(VALUE(RIGHT(CD$23:CD$246,1))),RIGHT(CD$23:CD$246,1),0)*IF(ISBLANK($T$1),1,IF($I$23:$I$246=$T$1,1,0))))</f>
        <v>0</v>
      </c>
      <c r="CE10" s="874">
        <f t="array" ref="CE10">SUM(IF(ISBLANK(CE$23:CE$246),0,IF(ISNUMBER(VALUE(RIGHT(CE$23:CE$246,1))),RIGHT(CE$23:CE$246,1),0)*IF(ISBLANK($T$1),1,IF($I$23:$I$246=$T$1,1,0))))</f>
        <v>0</v>
      </c>
      <c r="CF10" s="874">
        <f t="array" ref="CF10">SUM(IF(ISBLANK(CF$23:CF$246),0,IF(ISNUMBER(VALUE(RIGHT(CF$23:CF$246,1))),RIGHT(CF$23:CF$246,1),0)*IF(ISBLANK($T$1),1,IF($I$23:$I$246=$T$1,1,0))))</f>
        <v>0</v>
      </c>
      <c r="CG10" s="874">
        <f t="array" ref="CG10">SUM(IF(ISBLANK(CG$23:CG$246),0,IF(ISNUMBER(VALUE(RIGHT(CG$23:CG$246,1))),RIGHT(CG$23:CG$246,1),0)*IF(ISBLANK($T$1),1,IF($I$23:$I$246=$T$1,1,0))))</f>
        <v>0</v>
      </c>
      <c r="CH10" s="874">
        <f t="array" ref="CH10">SUM(IF(ISBLANK(CH$23:CH$246),0,IF(ISNUMBER(VALUE(RIGHT(CH$23:CH$246,1))),RIGHT(CH$23:CH$246,1),0)*IF(ISBLANK($T$1),1,IF($I$23:$I$246=$T$1,1,0))))</f>
        <v>0</v>
      </c>
      <c r="CI10" s="874">
        <f t="array" ref="CI10">SUM(IF(ISBLANK(CI$23:CI$246),0,IF(ISNUMBER(VALUE(RIGHT(CI$23:CI$246,1))),RIGHT(CI$23:CI$246,1),0)*IF(ISBLANK($T$1),1,IF($I$23:$I$246=$T$1,1,0))))</f>
        <v>0</v>
      </c>
      <c r="CJ10" s="874">
        <f t="array" ref="CJ10">SUM(IF(ISBLANK(CJ$23:CJ$246),0,IF(ISNUMBER(VALUE(RIGHT(CJ$23:CJ$246,1))),RIGHT(CJ$23:CJ$246,1),0)*IF(ISBLANK($T$1),1,IF($I$23:$I$246=$T$1,1,0))))</f>
        <v>0</v>
      </c>
      <c r="CK10" s="874">
        <f t="array" ref="CK10">SUM(IF(ISBLANK(CK$23:CK$246),0,IF(ISNUMBER(VALUE(RIGHT(CK$23:CK$246,1))),RIGHT(CK$23:CK$246,1),0)*IF(ISBLANK($T$1),1,IF($I$23:$I$246=$T$1,1,0))))</f>
        <v>0</v>
      </c>
      <c r="CL10" s="874">
        <f t="array" ref="CL10">SUM(IF(ISBLANK(CL$23:CL$246),0,IF(ISNUMBER(VALUE(RIGHT(CL$23:CL$246,1))),RIGHT(CL$23:CL$246,1),0)*IF(ISBLANK($T$1),1,IF($I$23:$I$246=$T$1,1,0))))</f>
        <v>0</v>
      </c>
      <c r="CM10" s="874">
        <f t="array" ref="CM10">SUM(IF(ISBLANK(CM$23:CM$246),0,IF(ISNUMBER(VALUE(RIGHT(CM$23:CM$246,1))),RIGHT(CM$23:CM$246,1),0)*IF(ISBLANK($T$1),1,IF($I$23:$I$246=$T$1,1,0))))</f>
        <v>0</v>
      </c>
    </row>
    <row r="11" spans="1:91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M11" si="10">AF10/AF2</f>
        <v>2.0638297872340425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L11" s="874">
        <f>AL10/AL2</f>
        <v>0</v>
      </c>
      <c r="AM11" s="874">
        <f t="shared" si="10"/>
        <v>0</v>
      </c>
      <c r="AO11" s="874">
        <f>AO10/AO2</f>
        <v>2.1739130434782608E-2</v>
      </c>
      <c r="AP11" s="874">
        <f>AP10/AP2</f>
        <v>4.3478260869565216E-2</v>
      </c>
      <c r="AS11" s="874">
        <f t="shared" ref="AS11" si="11">AS10/AS2</f>
        <v>4.3478260869565216E-2</v>
      </c>
      <c r="AU11" s="874">
        <f>AU10/AU2</f>
        <v>0</v>
      </c>
      <c r="AV11" s="874">
        <f>AV10/AV2</f>
        <v>0.30232558139534882</v>
      </c>
      <c r="AZ11" s="874">
        <f>AZ10/AZ2</f>
        <v>0</v>
      </c>
      <c r="BB11" s="874">
        <f>BB10/BB2</f>
        <v>0.44680851063829785</v>
      </c>
      <c r="BI11" s="874">
        <f>BI10/BI2</f>
        <v>0.11627906976744186</v>
      </c>
      <c r="BJ11" s="874">
        <f>BJ10/BJ2</f>
        <v>0</v>
      </c>
      <c r="BL11" s="874">
        <f>BL10/BL2</f>
        <v>0</v>
      </c>
      <c r="BM11" s="874">
        <f>BM10/BM2</f>
        <v>0</v>
      </c>
      <c r="BN11" s="874">
        <f>BN10/BN2</f>
        <v>0</v>
      </c>
      <c r="BP11" s="874">
        <f>BP10/BP2</f>
        <v>0</v>
      </c>
      <c r="BQ11" s="874">
        <f>BQ10/BQ2</f>
        <v>0</v>
      </c>
      <c r="BR11" s="874" t="e">
        <f>BR10/BR2</f>
        <v>#DIV/0!</v>
      </c>
      <c r="BT11" s="874" t="e">
        <f>BT10/BT2</f>
        <v>#DIV/0!</v>
      </c>
      <c r="BU11" s="874" t="e">
        <f t="shared" si="10"/>
        <v>#DIV/0!</v>
      </c>
      <c r="BZ11" s="874" t="e">
        <f t="shared" ref="BZ11:CF11" si="12">BZ10/BZ2</f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2"/>
        <v>#DIV/0!</v>
      </c>
      <c r="CF11" s="874" t="e">
        <f t="shared" si="12"/>
        <v>#DIV/0!</v>
      </c>
      <c r="CG11" s="874" t="e">
        <f t="shared" si="10"/>
        <v>#DIV/0!</v>
      </c>
      <c r="CH11" s="874" t="e">
        <f t="shared" si="10"/>
        <v>#DIV/0!</v>
      </c>
      <c r="CI11" s="874" t="e">
        <f t="shared" si="10"/>
        <v>#DIV/0!</v>
      </c>
      <c r="CJ11" s="874" t="e">
        <f t="shared" si="10"/>
        <v>#DIV/0!</v>
      </c>
      <c r="CK11" s="874">
        <f t="shared" si="10"/>
        <v>0</v>
      </c>
      <c r="CL11" s="874">
        <f t="shared" si="10"/>
        <v>0</v>
      </c>
      <c r="CM11" s="874">
        <f t="shared" si="10"/>
        <v>0</v>
      </c>
    </row>
    <row r="12" spans="1:91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SUM(IF(ISBLANK($T$1),$K$23:$K$246,IF($I$23:$I$246=$T$1,$K$23:$K$246,0)))</f>
        <v>69</v>
      </c>
      <c r="AG12" s="874">
        <f t="array" ref="AG12">SUM(IF(ISBLANK(AG$23:AG$246),0,$K23:$K246)*IF(ISBLANK($T$1),1,IF($I$23:$I$246=$T$1,1,0)))</f>
        <v>69</v>
      </c>
      <c r="AH12" s="874">
        <f t="array" ref="AH12">SUM(IF(ISBLANK(AH$23:AH$246),0,$K23:$K246)*IF(ISBLANK($T$1),1,IF($I$23:$I$246=$T$1,1,0)))</f>
        <v>68</v>
      </c>
      <c r="AI12" s="874">
        <f t="array" ref="AI12">SUM(IF(ISBLANK(AI$23:AI$246),0,$K23:$K246)*IF(ISBLANK($T$1),1,IF($I$23:$I$246=$T$1,1,0)))</f>
        <v>66</v>
      </c>
      <c r="AL12" s="874">
        <f t="array" ref="AL12">SUM(IF(ISBLANK(AL$23:AL$246),0,$K23:$K246)*IF(ISBLANK($T$1),1,IF($I$23:$I$246=$T$1,1,0)))</f>
        <v>69</v>
      </c>
      <c r="AM12" s="874">
        <f t="array" ref="AM12">SUM(IF(ISBLANK(AM$23:AM$246),0,$K23:$K246)*IF(ISBLANK($T$1),1,IF($I$23:$I$246=$T$1,1,0)))</f>
        <v>65</v>
      </c>
      <c r="AO12" s="874">
        <f t="array" ref="AO12">SUM(IF(ISBLANK(AO$23:AO$246),0,$K23:$K246)*IF(ISBLANK($T$1),1,IF($I$23:$I$246=$T$1,1,0)))</f>
        <v>67</v>
      </c>
      <c r="AP12" s="874">
        <f t="array" ref="AP12">SUM(IF(ISBLANK(AP$23:AP$246),0,$K23:$K246)*IF(ISBLANK($T$1),1,IF($I$23:$I$246=$T$1,1,0)))</f>
        <v>67</v>
      </c>
      <c r="AS12" s="874">
        <f t="array" ref="AS12">SUM(IF(ISBLANK(AS$23:AS$246),0,$K23:$K246)*IF(ISBLANK($T$1),1,IF($I$23:$I$246=$T$1,1,0)))</f>
        <v>68</v>
      </c>
      <c r="AU12" s="874">
        <f t="array" ref="AU12">SUM(IF(ISBLANK(AU$23:AU$246),0,$K23:$K246)*IF(ISBLANK($T$1),1,IF($I$23:$I$246=$T$1,1,0)))</f>
        <v>68</v>
      </c>
      <c r="AV12" s="874" t="e">
        <f t="array" ref="AV12">SUM(IF(ISBLANK(AV$27:AV$246),0,$K23:$K246)*IF(ISBLANK($T$1),1,IF($I$23:$I$246=$T$1,1,0)))</f>
        <v>#N/A</v>
      </c>
      <c r="AZ12" s="874">
        <f t="array" ref="AZ12">SUM(IF(ISBLANK(AZ$23:AZ$246),0,$K23:$K246)*IF(ISBLANK($T$1),1,IF($I$23:$I$246=$T$1,1,0)))</f>
        <v>65</v>
      </c>
      <c r="BB12" s="874">
        <f t="array" ref="BB12">SUM(IF(ISBLANK(BB$23:BB$246),0,$K23:$K246)*IF(ISBLANK($T$1),1,IF($I$23:$I$246=$T$1,1,0)))</f>
        <v>69</v>
      </c>
      <c r="BI12" s="874" t="e">
        <f t="array" ref="BI12">SUM(IF(ISBLANK(BI$27:BI$246),0,$K23:$K246)*IF(ISBLANK($T$1),1,IF($I$23:$I$246=$T$1,1,0)))</f>
        <v>#N/A</v>
      </c>
      <c r="BJ12" s="874" t="e">
        <f t="array" ref="BJ12">SUM(IF(ISBLANK(BJ$51:BJ$246),0,$K23:$K246)*IF(ISBLANK($T$1),1,IF($I$23:$I$246=$T$1,1,0)))</f>
        <v>#N/A</v>
      </c>
      <c r="BL12" s="874">
        <f t="array" ref="BL12">SUM(IF(ISBLANK(BL$23:BL$246),0,$K23:$K246)*IF(ISBLANK($T$1),1,IF($I$23:$I$246=$T$1,1,0)))</f>
        <v>40</v>
      </c>
      <c r="BM12" s="874">
        <f t="array" ref="BM12">SUM(IF(ISBLANK(BM$23:BM$246),0,$K23:$K246)*IF(ISBLANK($T$1),1,IF($I$23:$I$246=$T$1,1,0)))</f>
        <v>38</v>
      </c>
      <c r="BN12" s="874">
        <f t="array" ref="BN12">SUM(IF(ISBLANK(BN$23:BN$246),0,$K23:$K246)*IF(ISBLANK($T$1),1,IF($I$23:$I$246=$T$1,1,0)))</f>
        <v>40</v>
      </c>
      <c r="BP12" s="874">
        <f t="array" ref="BP12">SUM(IF(ISBLANK(BP$23:BP$246),0,$K23:$K246)*IF(ISBLANK($T$1),1,IF($I$23:$I$246=$T$1,1,0)))</f>
        <v>40</v>
      </c>
      <c r="BQ12" s="874">
        <f t="array" ref="BQ12">SUM(IF(ISBLANK(BQ$23:BQ$246),0,$K23:$K246)*IF(ISBLANK($T$1),1,IF($I$23:$I$246=$T$1,1,0)))</f>
        <v>33</v>
      </c>
      <c r="BR12" s="874" t="e">
        <f t="array" ref="BR12">SUM(IF(ISBLANK(BR$70:BR$246),0,$K23:$K246)*IF(ISBLANK($T$1),1,IF($I$23:$I$246=$T$1,1,0)))</f>
        <v>#N/A</v>
      </c>
      <c r="BT12" s="874">
        <f t="array" ref="BT12">SUM(IF(ISBLANK(BT$23:BT$246),0,$K23:$K246)*IF(ISBLANK($T$1),1,IF($I$23:$I$246=$T$1,1,0)))</f>
        <v>0</v>
      </c>
      <c r="BU12" s="874" t="e">
        <f t="array" ref="BU12">SUM(IF(ISBLANK(BU$45:BU$246),0,$K23:$K246)*IF(ISBLANK($T$1),1,IF($I$23:$I$246=$T$1,1,0)))</f>
        <v>#N/A</v>
      </c>
      <c r="BZ12" s="874">
        <f t="array" ref="BZ12">SUM(IF(ISBLANK(BZ$23:BZ$246),0,$K23:$K246)*IF(ISBLANK($T$1),1,IF($I$23:$I$246=$T$1,1,0)))</f>
        <v>0</v>
      </c>
      <c r="CA12" s="874">
        <f t="array" ref="CA12">SUM(IF(ISBLANK(CA$23:CA$246),0,$K23:$K246)*IF(ISBLANK($T$1),1,IF($I$23:$I$246=$T$1,1,0)))</f>
        <v>0</v>
      </c>
      <c r="CB12" s="874">
        <f t="array" ref="CB12">SUM(IF(ISBLANK(CB$23:CB$246),0,$K23:$K246)*IF(ISBLANK($T$1),1,IF($I$23:$I$246=$T$1,1,0)))</f>
        <v>0</v>
      </c>
      <c r="CC12" s="874">
        <f t="array" ref="CC12">SUM(IF(ISBLANK(CC$23:CC$246),0,$K23:$K246)*IF(ISBLANK($T$1),1,IF($I$23:$I$246=$T$1,1,0)))</f>
        <v>0</v>
      </c>
      <c r="CD12" s="874">
        <f t="array" ref="CD12">SUM(IF(ISBLANK(CD$23:CD$246),0,$K23:$K246)*IF(ISBLANK($T$1),1,IF($I$23:$I$246=$T$1,1,0)))</f>
        <v>0</v>
      </c>
      <c r="CE12" s="874">
        <f t="array" ref="CE12">SUM(IF(ISBLANK(CE$23:CE$246),0,$K23:$K246)*IF(ISBLANK($T$1),1,IF($I$23:$I$246=$T$1,1,0)))</f>
        <v>0</v>
      </c>
      <c r="CF12" s="874">
        <f t="array" ref="CF12">SUM(IF(ISBLANK(CF$23:CF$246),0,$K23:$K246)*IF(ISBLANK($T$1),1,IF($I$23:$I$246=$T$1,1,0)))</f>
        <v>0</v>
      </c>
      <c r="CG12" s="874">
        <f t="array" ref="CG12">SUM(IF(ISBLANK(CG$23:CG$246),0,$K23:$K246)*IF(ISBLANK($T$1),1,IF($I$23:$I$246=$T$1,1,0)))</f>
        <v>0</v>
      </c>
      <c r="CH12" s="874">
        <f t="array" ref="CH12">SUM(IF(ISBLANK(CH$23:CH$246),0,$K23:$K246)*IF(ISBLANK($T$1),1,IF($I$23:$I$246=$T$1,1,0)))</f>
        <v>0</v>
      </c>
      <c r="CI12" s="874">
        <f t="array" ref="CI12">SUM(IF(ISBLANK(CI$23:CI$246),0,$K23:$K246)*IF(ISBLANK($T$1),1,IF($I$23:$I$246=$T$1,1,0)))</f>
        <v>0</v>
      </c>
      <c r="CJ12" s="874">
        <f t="array" ref="CJ12">SUM(IF(ISBLANK(CJ$23:CJ$246),0,$K23:$K246)*IF(ISBLANK($T$1),1,IF($I$23:$I$246=$T$1,1,0)))</f>
        <v>0</v>
      </c>
      <c r="CK12" s="874">
        <f t="array" ref="CK12">SUM(IF(ISBLANK(CK$23:CK$246),0,$K23:$K246)*IF(ISBLANK($T$1),1,IF($I$23:$I$246=$T$1,1,0)))</f>
        <v>21</v>
      </c>
      <c r="CL12" s="874">
        <f t="array" ref="CL12">SUM(IF(ISBLANK(CL$23:CL$246),0,$K23:$K246)*IF(ISBLANK($T$1),1,IF($I$23:$I$246=$T$1,1,0)))</f>
        <v>21</v>
      </c>
      <c r="CM12" s="874">
        <f t="array" ref="CM12">SUM(IF(ISBLANK(CM$23:CM$246),0,$K23:$K246)*IF(ISBLANK($T$1),1,IF($I$23:$I$246=$T$1,1,0)))</f>
        <v>19</v>
      </c>
    </row>
    <row r="13" spans="1:91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M13" si="13">AF12/AF2</f>
        <v>1.4680851063829787</v>
      </c>
      <c r="AG13" s="874">
        <f t="shared" si="13"/>
        <v>1.4680851063829787</v>
      </c>
      <c r="AH13" s="874">
        <f t="shared" si="13"/>
        <v>1.4782608695652173</v>
      </c>
      <c r="AI13" s="874">
        <f t="shared" si="13"/>
        <v>1.4666666666666666</v>
      </c>
      <c r="AL13" s="874">
        <f>AL12/AL2</f>
        <v>1.4680851063829787</v>
      </c>
      <c r="AM13" s="874">
        <f t="shared" si="13"/>
        <v>1.4772727272727273</v>
      </c>
      <c r="AO13" s="874">
        <f>AO12/AO2</f>
        <v>1.4565217391304348</v>
      </c>
      <c r="AP13" s="874">
        <f>AP12/AP2</f>
        <v>1.4565217391304348</v>
      </c>
      <c r="AS13" s="874">
        <f t="shared" ref="AS13" si="14">AS12/AS2</f>
        <v>1.4782608695652173</v>
      </c>
      <c r="AU13" s="874">
        <f>AU12/AU2</f>
        <v>1.4782608695652173</v>
      </c>
      <c r="AV13" s="874" t="e">
        <f>AV12/AV2</f>
        <v>#N/A</v>
      </c>
      <c r="AZ13" s="874">
        <f>AZ12/AZ2</f>
        <v>1.4772727272727273</v>
      </c>
      <c r="BB13" s="874">
        <f>BB12/BB2</f>
        <v>1.4680851063829787</v>
      </c>
      <c r="BI13" s="874" t="e">
        <f>BI12/BI2</f>
        <v>#N/A</v>
      </c>
      <c r="BJ13" s="874" t="e">
        <f>BJ12/BJ2</f>
        <v>#N/A</v>
      </c>
      <c r="BL13" s="874">
        <f>BL12/BL2</f>
        <v>1.4285714285714286</v>
      </c>
      <c r="BM13" s="874">
        <f>BM12/BM2</f>
        <v>1.3571428571428572</v>
      </c>
      <c r="BN13" s="874">
        <f>BN12/BN2</f>
        <v>1.4285714285714286</v>
      </c>
      <c r="BP13" s="874">
        <f>BP12/BP2</f>
        <v>1.4814814814814814</v>
      </c>
      <c r="BQ13" s="874">
        <f>BQ12/BQ2</f>
        <v>1.4347826086956521</v>
      </c>
      <c r="BR13" s="874" t="e">
        <f>BR12/BR2</f>
        <v>#N/A</v>
      </c>
      <c r="BT13" s="874" t="e">
        <f>BT12/BT2</f>
        <v>#DIV/0!</v>
      </c>
      <c r="BU13" s="874" t="e">
        <f t="shared" si="13"/>
        <v>#N/A</v>
      </c>
      <c r="BZ13" s="874" t="e">
        <f t="shared" ref="BZ13:CF13" si="15">BZ12/BZ2</f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5"/>
        <v>#DIV/0!</v>
      </c>
      <c r="CF13" s="874" t="e">
        <f t="shared" si="15"/>
        <v>#DIV/0!</v>
      </c>
      <c r="CG13" s="874" t="e">
        <f t="shared" si="13"/>
        <v>#DIV/0!</v>
      </c>
      <c r="CH13" s="874" t="e">
        <f t="shared" si="13"/>
        <v>#DIV/0!</v>
      </c>
      <c r="CI13" s="874" t="e">
        <f t="shared" si="13"/>
        <v>#DIV/0!</v>
      </c>
      <c r="CJ13" s="874" t="e">
        <f t="shared" si="13"/>
        <v>#DIV/0!</v>
      </c>
      <c r="CK13" s="874">
        <f t="shared" si="13"/>
        <v>1.2352941176470589</v>
      </c>
      <c r="CL13" s="874">
        <f t="shared" si="13"/>
        <v>1.2352941176470589</v>
      </c>
      <c r="CM13" s="874">
        <f t="shared" si="13"/>
        <v>1.1875</v>
      </c>
    </row>
    <row r="14" spans="1:91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16">AG15+AG16</f>
        <v>29</v>
      </c>
      <c r="AH14" s="902">
        <f t="shared" ref="AH14:BR14" si="17">AH15+AH16</f>
        <v>12</v>
      </c>
      <c r="AI14" s="902">
        <f t="shared" si="17"/>
        <v>6</v>
      </c>
      <c r="AJ14" s="902">
        <f t="shared" si="17"/>
        <v>0</v>
      </c>
      <c r="AK14" s="902">
        <f t="shared" si="17"/>
        <v>39</v>
      </c>
      <c r="AL14" s="902">
        <f t="shared" si="17"/>
        <v>45</v>
      </c>
      <c r="AM14" s="902">
        <f t="shared" si="17"/>
        <v>1</v>
      </c>
      <c r="AN14" s="902">
        <f t="shared" si="17"/>
        <v>14</v>
      </c>
      <c r="AO14" s="902">
        <f t="shared" si="17"/>
        <v>12</v>
      </c>
      <c r="AP14" s="902">
        <f t="shared" si="17"/>
        <v>21</v>
      </c>
      <c r="AQ14" s="902">
        <f t="shared" si="17"/>
        <v>6</v>
      </c>
      <c r="AR14" s="902">
        <f t="shared" si="17"/>
        <v>38</v>
      </c>
      <c r="AS14" s="902">
        <f t="shared" si="17"/>
        <v>33</v>
      </c>
      <c r="AT14" s="902">
        <f t="shared" si="17"/>
        <v>30</v>
      </c>
      <c r="AU14" s="902">
        <f t="shared" si="17"/>
        <v>16</v>
      </c>
      <c r="AV14" s="902">
        <f t="shared" si="17"/>
        <v>30</v>
      </c>
      <c r="AW14" s="902">
        <f t="shared" si="17"/>
        <v>43</v>
      </c>
      <c r="AX14" s="902">
        <f t="shared" si="17"/>
        <v>2</v>
      </c>
      <c r="AY14" s="902">
        <f t="shared" si="17"/>
        <v>9</v>
      </c>
      <c r="AZ14" s="902">
        <f t="shared" si="17"/>
        <v>0</v>
      </c>
      <c r="BA14" s="902">
        <f t="shared" si="17"/>
        <v>18</v>
      </c>
      <c r="BB14" s="902">
        <f t="shared" si="17"/>
        <v>45</v>
      </c>
      <c r="BC14" s="902">
        <f t="shared" si="17"/>
        <v>21</v>
      </c>
      <c r="BD14" s="902">
        <f t="shared" si="17"/>
        <v>33</v>
      </c>
      <c r="BE14" s="902">
        <f t="shared" si="17"/>
        <v>18</v>
      </c>
      <c r="BF14" s="902">
        <f t="shared" si="17"/>
        <v>19</v>
      </c>
      <c r="BG14" s="902">
        <f t="shared" si="17"/>
        <v>31</v>
      </c>
      <c r="BH14" s="902">
        <f t="shared" si="17"/>
        <v>0</v>
      </c>
      <c r="BI14" s="902">
        <f t="shared" si="17"/>
        <v>26</v>
      </c>
      <c r="BJ14" s="902">
        <f t="shared" si="17"/>
        <v>28</v>
      </c>
      <c r="BK14" s="902">
        <f t="shared" si="17"/>
        <v>0</v>
      </c>
      <c r="BL14" s="902">
        <f t="shared" si="17"/>
        <v>3</v>
      </c>
      <c r="BM14" s="902">
        <f t="shared" si="17"/>
        <v>10</v>
      </c>
      <c r="BN14" s="902">
        <f t="shared" si="17"/>
        <v>2</v>
      </c>
      <c r="BO14" s="902">
        <f t="shared" si="17"/>
        <v>0</v>
      </c>
      <c r="BP14" s="902">
        <f t="shared" si="17"/>
        <v>3</v>
      </c>
      <c r="BQ14" s="902">
        <f t="shared" si="17"/>
        <v>5</v>
      </c>
      <c r="BR14" s="902">
        <f t="shared" si="17"/>
        <v>1</v>
      </c>
      <c r="BS14" s="889"/>
      <c r="BT14" s="889"/>
      <c r="BU14" s="889"/>
      <c r="BV14" s="890"/>
      <c r="BW14" s="890"/>
      <c r="BX14" s="890"/>
      <c r="BY14" s="890"/>
      <c r="BZ14" s="889"/>
      <c r="CA14" s="889"/>
      <c r="CB14" s="889"/>
      <c r="CC14" s="889"/>
      <c r="CD14" s="889"/>
      <c r="CE14" s="889"/>
      <c r="CF14" s="889"/>
    </row>
    <row r="15" spans="1:91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AVERAGEIFS($Q$23:$Q$213,$H$23:$H$213,"H",$I$23:$I$213,Table!$C$1)</f>
        <v>0.45954545454545459</v>
      </c>
      <c r="S15" s="858">
        <f>AVERAGEIFS($Q$23:$Q$213,$H$23:$H$213,"A",$I$23:$I$213,Table!$C$1)</f>
        <v>0.1738095238095238</v>
      </c>
      <c r="AF15" s="848" t="s">
        <v>821</v>
      </c>
      <c r="AG15" s="850">
        <f t="array" ref="AG15">SUM(IF(LEFT(AG23:AG167,1)="X",1,0))</f>
        <v>29</v>
      </c>
      <c r="AH15" s="903">
        <f t="array" ref="AH15">SUM(IF(LEFT(AH23:AH167,1)="X",1,0))</f>
        <v>12</v>
      </c>
      <c r="AI15" s="903">
        <f t="array" ref="AI15">SUM(IF(LEFT(AI23:AI167,1)="X",1,0))</f>
        <v>6</v>
      </c>
      <c r="AJ15" s="903">
        <f t="array" ref="AJ15">SUM(IF(LEFT(AJ23:AJ167,1)="X",1,0))</f>
        <v>0</v>
      </c>
      <c r="AK15" s="903">
        <f t="array" ref="AK15">SUM(IF(LEFT(AK23:AK167,1)="X",1,0))</f>
        <v>36</v>
      </c>
      <c r="AL15" s="903">
        <f t="array" ref="AL15">SUM(IF(LEFT(AL23:AL167,1)="X",1,0))</f>
        <v>44</v>
      </c>
      <c r="AM15" s="903">
        <f t="array" ref="AM15">SUM(IF(LEFT(AM23:AM167,1)="X",1,0))</f>
        <v>1</v>
      </c>
      <c r="AN15" s="903">
        <f t="array" ref="AN15">SUM(IF(LEFT(AN23:AN167,1)="X",1,0))</f>
        <v>9</v>
      </c>
      <c r="AO15" s="903">
        <f t="array" ref="AO15">SUM(IF(LEFT(AO23:AO167,1)="X",1,0))</f>
        <v>10</v>
      </c>
      <c r="AP15" s="903">
        <f t="array" ref="AP15">SUM(IF(LEFT(AP23:AP167,1)="X",1,0))</f>
        <v>19</v>
      </c>
      <c r="AQ15" s="903">
        <f t="array" ref="AQ15">SUM(IF(LEFT(AQ23:AQ167,1)="X",1,0))</f>
        <v>6</v>
      </c>
      <c r="AR15" s="903">
        <f t="array" ref="AR15">SUM(IF(LEFT(AR23:AR167,1)="X",1,0))</f>
        <v>37</v>
      </c>
      <c r="AS15" s="903">
        <f t="array" ref="AS15">SUM(IF(LEFT(AS23:AS167,1)="X",1,0))</f>
        <v>29</v>
      </c>
      <c r="AT15" s="903">
        <f t="array" ref="AT15">SUM(IF(LEFT(AT23:AT167,1)="X",1,0))</f>
        <v>30</v>
      </c>
      <c r="AU15" s="903">
        <f t="array" ref="AU15">SUM(IF(LEFT(AU23:AU167,1)="X",1,0))</f>
        <v>8</v>
      </c>
      <c r="AV15" s="903">
        <f t="array" ref="AV15">SUM(IF(LEFT(AV23:AV167,1)="X",1,0))</f>
        <v>27</v>
      </c>
      <c r="AW15" s="903">
        <f t="array" ref="AW15">SUM(IF(LEFT(AW23:AW167,1)="X",1,0))</f>
        <v>39</v>
      </c>
      <c r="AX15" s="903">
        <f t="array" ref="AX15">SUM(IF(LEFT(AX23:AX167,1)="X",1,0))</f>
        <v>1</v>
      </c>
      <c r="AY15" s="903">
        <f t="array" ref="AY15">SUM(IF(LEFT(AY23:AY167,1)="X",1,0))</f>
        <v>7</v>
      </c>
      <c r="AZ15" s="903">
        <f t="array" ref="AZ15">SUM(IF(LEFT(AZ23:AZ167,1)="X",1,0))</f>
        <v>0</v>
      </c>
      <c r="BA15" s="903">
        <f t="array" ref="BA15">SUM(IF(LEFT(BA23:BA167,1)="X",1,0))</f>
        <v>18</v>
      </c>
      <c r="BB15" s="903">
        <f t="array" ref="BB15">SUM(IF(LEFT(BB23:BB167,1)="X",1,0))</f>
        <v>29</v>
      </c>
      <c r="BC15" s="903">
        <f t="array" ref="BC15">SUM(IF(LEFT(BC23:BC167,1)="X",1,0))</f>
        <v>3</v>
      </c>
      <c r="BD15" s="903">
        <f t="array" ref="BD15">SUM(IF(LEFT(BD23:BD167,1)="X",1,0))</f>
        <v>28</v>
      </c>
      <c r="BE15" s="903">
        <f t="array" ref="BE15">SUM(IF(LEFT(BE23:BE167,1)="X",1,0))</f>
        <v>9</v>
      </c>
      <c r="BF15" s="903">
        <f t="array" ref="BF15">SUM(IF(LEFT(BF23:BF167,1)="X",1,0))</f>
        <v>3</v>
      </c>
      <c r="BG15" s="903">
        <f t="array" ref="BG15">SUM(IF(LEFT(BG23:BG167,1)="X",1,0))</f>
        <v>26</v>
      </c>
      <c r="BH15" s="903">
        <f t="array" ref="BH15">SUM(IF(LEFT(BH23:BH167,1)="X",1,0))</f>
        <v>0</v>
      </c>
      <c r="BI15" s="903">
        <f t="array" ref="BI15">SUM(IF(LEFT(BI23:BI167,1)="X",1,0))</f>
        <v>13</v>
      </c>
      <c r="BJ15" s="903">
        <f t="array" ref="BJ15">SUM(IF(LEFT(BJ23:BJ167,1)="X",1,0))</f>
        <v>18</v>
      </c>
      <c r="BK15" s="903">
        <f t="array" ref="BK15">SUM(IF(LEFT(BK23:BK167,1)="X",1,0))</f>
        <v>0</v>
      </c>
      <c r="BL15" s="903">
        <f t="array" ref="BL15">SUM(IF(LEFT(BL23:BL167,1)="X",1,0))</f>
        <v>1</v>
      </c>
      <c r="BM15" s="903">
        <f t="array" ref="BM15">SUM(IF(LEFT(BM23:BM167,1)="X",1,0))</f>
        <v>9</v>
      </c>
      <c r="BN15" s="903">
        <f t="array" ref="BN15">SUM(IF(LEFT(BN23:BN167,1)="X",1,0))</f>
        <v>2</v>
      </c>
      <c r="BO15" s="903">
        <f t="array" ref="BO15">SUM(IF(LEFT(BO23:BO167,1)="X",1,0))</f>
        <v>0</v>
      </c>
      <c r="BP15" s="903">
        <f t="array" ref="BP15">SUM(IF(LEFT(BP23:BP167,1)="X",1,0))</f>
        <v>2</v>
      </c>
      <c r="BQ15" s="903">
        <f t="array" ref="BQ15">SUM(IF(LEFT(BQ23:BQ167,1)="X",1,0))</f>
        <v>5</v>
      </c>
      <c r="BR15" s="903">
        <f t="array" ref="BR15">SUM(IF(LEFT(BR23:BR167,1)="X",1,0))</f>
        <v>1</v>
      </c>
      <c r="BS15" s="889"/>
      <c r="BT15" s="889"/>
      <c r="BU15" s="889"/>
      <c r="BV15" s="890"/>
      <c r="BW15" s="890"/>
      <c r="BX15" s="890"/>
      <c r="BY15" s="890"/>
      <c r="BZ15" s="889"/>
      <c r="CA15" s="889"/>
      <c r="CB15" s="889"/>
      <c r="CC15" s="889"/>
      <c r="CD15" s="889"/>
      <c r="CE15" s="889"/>
      <c r="CF15" s="889"/>
    </row>
    <row r="16" spans="1:91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25</v>
      </c>
      <c r="I16" s="858">
        <f>AVERAGEIF($H$23:$H$210,"=H",$J$23:$J$210)</f>
        <v>2.3199999999999998</v>
      </c>
      <c r="J16" s="858">
        <f>AVERAGEIF($H$23:$H$214,"=H",$K$23:$K$214)</f>
        <v>1.4</v>
      </c>
      <c r="K16" s="858">
        <f>I16-J16</f>
        <v>0.91999999999999993</v>
      </c>
      <c r="L16" s="857">
        <f>COUNTIFS($L$23:$L$210,"=W",$H$23:$H$210,"=H")</f>
        <v>15</v>
      </c>
      <c r="M16" s="857">
        <f>COUNTIFS($L$23:$L$210,"=D",$H$23:$H$210,"=H")</f>
        <v>3</v>
      </c>
      <c r="N16" s="863">
        <f>COUNTIFS($L$23:$L$210,"=L",$H$23:$H$210,"=H")</f>
        <v>7</v>
      </c>
      <c r="O16" s="858">
        <f>SUM(I16:J16)</f>
        <v>3.7199999999999998</v>
      </c>
      <c r="Q16" s="861" t="s">
        <v>212</v>
      </c>
      <c r="R16" s="858">
        <f>AVERAGEIFS($S$23:$S$211,$H$23:$H$211,"H",$I$23:$I$211,Table!$C$1)</f>
        <v>2.7645454545454551</v>
      </c>
      <c r="S16" s="858">
        <f>AVERAGEIFS($S$23:$S$211,$H$23:$H$211,"A",$I$23:$I$211,Table!$C$1)</f>
        <v>2.7466666666666666</v>
      </c>
      <c r="AF16" s="848" t="s">
        <v>724</v>
      </c>
      <c r="AG16" s="850">
        <f t="array" ref="AG16">SUM(IF(LEFT(AG23:AG168,1)="s",1,0))</f>
        <v>0</v>
      </c>
      <c r="AH16" s="903">
        <f t="array" ref="AH16">SUM(IF(LEFT(AH23:AH168,1)="s",1,0))</f>
        <v>0</v>
      </c>
      <c r="AI16" s="903">
        <f t="array" ref="AI16">SUM(IF(LEFT(AI23:AI168,1)="s",1,0))</f>
        <v>0</v>
      </c>
      <c r="AJ16" s="903">
        <f t="array" ref="AJ16">SUM(IF(LEFT(AJ23:AJ168,1)="s",1,0))</f>
        <v>0</v>
      </c>
      <c r="AK16" s="903">
        <f t="array" ref="AK16">SUM(IF(LEFT(AK23:AK168,1)="s",1,0))</f>
        <v>3</v>
      </c>
      <c r="AL16" s="903">
        <f t="array" ref="AL16">SUM(IF(LEFT(AL23:AL168,1)="s",1,0))</f>
        <v>1</v>
      </c>
      <c r="AM16" s="903">
        <f t="array" ref="AM16">SUM(IF(LEFT(AM23:AM168,1)="s",1,0))</f>
        <v>0</v>
      </c>
      <c r="AN16" s="903">
        <f t="array" ref="AN16">SUM(IF(LEFT(AN23:AN168,1)="s",1,0))</f>
        <v>5</v>
      </c>
      <c r="AO16" s="903">
        <f t="array" ref="AO16">SUM(IF(LEFT(AO23:AO168,1)="s",1,0))</f>
        <v>2</v>
      </c>
      <c r="AP16" s="903">
        <f t="array" ref="AP16">SUM(IF(LEFT(AP23:AP168,1)="s",1,0))</f>
        <v>2</v>
      </c>
      <c r="AQ16" s="903">
        <f t="array" ref="AQ16">SUM(IF(LEFT(AQ23:AQ168,1)="s",1,0))</f>
        <v>0</v>
      </c>
      <c r="AR16" s="903">
        <f t="array" ref="AR16">SUM(IF(LEFT(AR23:AR168,1)="s",1,0))</f>
        <v>1</v>
      </c>
      <c r="AS16" s="903">
        <f t="array" ref="AS16">SUM(IF(LEFT(AS23:AS168,1)="s",1,0))</f>
        <v>4</v>
      </c>
      <c r="AT16" s="903">
        <f t="array" ref="AT16">SUM(IF(LEFT(AT23:AT168,1)="s",1,0))</f>
        <v>0</v>
      </c>
      <c r="AU16" s="903">
        <f t="array" ref="AU16">SUM(IF(LEFT(AU23:AU168,1)="s",1,0))</f>
        <v>8</v>
      </c>
      <c r="AV16" s="903">
        <f t="array" ref="AV16">SUM(IF(LEFT(AV23:AV168,1)="s",1,0))</f>
        <v>3</v>
      </c>
      <c r="AW16" s="903">
        <f t="array" ref="AW16">SUM(IF(LEFT(AW23:AW168,1)="s",1,0))</f>
        <v>4</v>
      </c>
      <c r="AX16" s="903">
        <f t="array" ref="AX16">SUM(IF(LEFT(AX23:AX168,1)="s",1,0))</f>
        <v>1</v>
      </c>
      <c r="AY16" s="903">
        <f t="array" ref="AY16">SUM(IF(LEFT(AY23:AY168,1)="s",1,0))</f>
        <v>2</v>
      </c>
      <c r="AZ16" s="903">
        <f t="array" ref="AZ16">SUM(IF(LEFT(AZ23:AZ168,1)="s",1,0))</f>
        <v>0</v>
      </c>
      <c r="BA16" s="903">
        <f t="array" ref="BA16">SUM(IF(LEFT(BA23:BA168,1)="s",1,0))</f>
        <v>0</v>
      </c>
      <c r="BB16" s="903">
        <f t="array" ref="BB16">SUM(IF(LEFT(BB23:BB168,1)="s",1,0))</f>
        <v>16</v>
      </c>
      <c r="BC16" s="903">
        <f t="array" ref="BC16">SUM(IF(LEFT(BC23:BC168,1)="s",1,0))</f>
        <v>18</v>
      </c>
      <c r="BD16" s="903">
        <f t="array" ref="BD16">SUM(IF(LEFT(BD23:BD168,1)="s",1,0))</f>
        <v>5</v>
      </c>
      <c r="BE16" s="903">
        <f t="array" ref="BE16">SUM(IF(LEFT(BE23:BE168,1)="s",1,0))</f>
        <v>9</v>
      </c>
      <c r="BF16" s="903">
        <f t="array" ref="BF16">SUM(IF(LEFT(BF23:BF168,1)="s",1,0))</f>
        <v>16</v>
      </c>
      <c r="BG16" s="903">
        <f t="array" ref="BG16">SUM(IF(LEFT(BG23:BG168,1)="s",1,0))</f>
        <v>5</v>
      </c>
      <c r="BH16" s="903">
        <f t="array" ref="BH16">SUM(IF(LEFT(BH23:BH168,1)="s",1,0))</f>
        <v>0</v>
      </c>
      <c r="BI16" s="903">
        <f t="array" ref="BI16">SUM(IF(LEFT(BI23:BI168,1)="s",1,0))</f>
        <v>13</v>
      </c>
      <c r="BJ16" s="903">
        <f t="array" ref="BJ16">SUM(IF(LEFT(BJ23:BJ168,1)="s",1,0))</f>
        <v>10</v>
      </c>
      <c r="BK16" s="903">
        <f t="array" ref="BK16">SUM(IF(LEFT(BK23:BK168,1)="s",1,0))</f>
        <v>0</v>
      </c>
      <c r="BL16" s="903">
        <f t="array" ref="BL16">SUM(IF(LEFT(BL23:BL168,1)="s",1,0))</f>
        <v>2</v>
      </c>
      <c r="BM16" s="903">
        <f t="array" ref="BM16">SUM(IF(LEFT(BM23:BM168,1)="s",1,0))</f>
        <v>1</v>
      </c>
      <c r="BN16" s="903">
        <f t="array" ref="BN16">SUM(IF(LEFT(BN23:BN168,1)="s",1,0))</f>
        <v>0</v>
      </c>
      <c r="BO16" s="903">
        <f t="array" ref="BO16">SUM(IF(LEFT(BO23:BO168,1)="s",1,0))</f>
        <v>0</v>
      </c>
      <c r="BP16" s="903">
        <f t="array" ref="BP16">SUM(IF(LEFT(BP23:BP168,1)="s",1,0))</f>
        <v>1</v>
      </c>
      <c r="BQ16" s="903">
        <f t="array" ref="BQ16">SUM(IF(LEFT(BQ23:BQ168,1)="s",1,0))</f>
        <v>0</v>
      </c>
      <c r="BR16" s="903">
        <f t="array" ref="BR16">SUM(IF(LEFT(BR23:BR168,1)="s",1,0))</f>
        <v>0</v>
      </c>
      <c r="BS16" s="889"/>
      <c r="BT16" s="889"/>
      <c r="BU16" s="889"/>
      <c r="BV16" s="890"/>
      <c r="BW16" s="890"/>
      <c r="BX16" s="890"/>
      <c r="BY16" s="890"/>
      <c r="BZ16" s="889"/>
      <c r="CA16" s="889"/>
      <c r="CB16" s="889"/>
      <c r="CC16" s="889"/>
      <c r="CD16" s="889"/>
      <c r="CE16" s="889"/>
      <c r="CF16" s="889"/>
    </row>
    <row r="17" spans="1:117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AVERAGEIF($H$23:$H$210,"=A",$J$23:$J$210)</f>
        <v>1.7727272727272727</v>
      </c>
      <c r="J17" s="860">
        <f>AVERAGEIF($H$23:$H$214,"=A",$K$23:$K$214)</f>
        <v>1.5454545454545454</v>
      </c>
      <c r="K17" s="858">
        <f>I17-J17</f>
        <v>0.22727272727272729</v>
      </c>
      <c r="L17" s="857">
        <f>COUNTIFS($L$23:$L$210,"=W",$H$23:$H$210,"=A")</f>
        <v>11</v>
      </c>
      <c r="M17" s="857">
        <f>COUNTIFS($L$23:$L$210,"=D",$H$23:$H$210,"=A")</f>
        <v>4</v>
      </c>
      <c r="N17" s="863">
        <f>COUNTIFS($L$23:$L$210,"=L",$H$23:$H$210,"=A")</f>
        <v>7</v>
      </c>
      <c r="O17" s="858">
        <f>SUM(I17:J17)</f>
        <v>3.3181818181818183</v>
      </c>
      <c r="Q17" s="848"/>
      <c r="R17" s="859"/>
      <c r="S17" s="855"/>
      <c r="AF17" s="848" t="s">
        <v>718</v>
      </c>
      <c r="AG17" s="850">
        <f t="array" ref="AG17">SUM(IF(ISNUMBER(VALUE(RIGHT(AG23:AG176,1))),VALUE(RIGHT(AG23:AG176,1)),0))</f>
        <v>0</v>
      </c>
      <c r="AH17" s="903">
        <f t="array" ref="AH17">SUM(IF(ISNUMBER(VALUE(RIGHT(AH23:AH176,1))),VALUE(RIGHT(AH23:AH176,1)),0))</f>
        <v>0</v>
      </c>
      <c r="AI17" s="903">
        <f t="array" ref="AI17">SUM(IF(ISNUMBER(VALUE(RIGHT(AI23:AI176,1))),VALUE(RIGHT(AI23:AI176,1)),0))</f>
        <v>0</v>
      </c>
      <c r="AJ17" s="903">
        <f t="array" ref="AJ17">SUM(IF(ISNUMBER(VALUE(RIGHT(AJ23:AJ176,1))),VALUE(RIGHT(AJ23:AJ176,1)),0))</f>
        <v>0</v>
      </c>
      <c r="AK17" s="903">
        <f t="array" ref="AK17">SUM(IF(ISNUMBER(VALUE(RIGHT(AK23:AK176,1))),VALUE(RIGHT(AK23:AK176,1)),0))</f>
        <v>1</v>
      </c>
      <c r="AL17" s="903">
        <f t="array" ref="AL17">SUM(IF(ISNUMBER(VALUE(RIGHT(AL23:AL176,1))),VALUE(RIGHT(AL23:AL176,1)),0))</f>
        <v>0</v>
      </c>
      <c r="AM17" s="903">
        <f t="array" ref="AM17">SUM(IF(ISNUMBER(VALUE(RIGHT(AM23:AM176,1))),VALUE(RIGHT(AM23:AM176,1)),0))</f>
        <v>0</v>
      </c>
      <c r="AN17" s="903">
        <f t="array" ref="AN17">SUM(IF(ISNUMBER(VALUE(RIGHT(AN23:AN176,1))),VALUE(RIGHT(AN23:AN176,1)),0))</f>
        <v>1</v>
      </c>
      <c r="AO17" s="903">
        <f t="array" ref="AO17">SUM(IF(ISNUMBER(VALUE(RIGHT(AO23:AO176,1))),VALUE(RIGHT(AO23:AO176,1)),0))</f>
        <v>1</v>
      </c>
      <c r="AP17" s="903">
        <f t="array" ref="AP17">SUM(IF(ISNUMBER(VALUE(RIGHT(AP23:AP176,1))),VALUE(RIGHT(AP23:AP176,1)),0))</f>
        <v>2</v>
      </c>
      <c r="AQ17" s="903">
        <f t="array" ref="AQ17">SUM(IF(ISNUMBER(VALUE(RIGHT(AQ23:AQ176,1))),VALUE(RIGHT(AQ23:AQ176,1)),0))</f>
        <v>1</v>
      </c>
      <c r="AR17" s="903">
        <f t="array" ref="AR17">SUM(IF(ISNUMBER(VALUE(RIGHT(AR23:AR176,1))),VALUE(RIGHT(AR23:AR176,1)),0))</f>
        <v>10</v>
      </c>
      <c r="AS17" s="903">
        <f t="array" ref="AS17">SUM(IF(ISNUMBER(VALUE(RIGHT(AS23:AS176,1))),VALUE(RIGHT(AS23:AS176,1)),0))</f>
        <v>2</v>
      </c>
      <c r="AT17" s="903">
        <f t="array" ref="AT17">SUM(IF(ISNUMBER(VALUE(RIGHT(AT23:AT176,1))),VALUE(RIGHT(AT23:AT176,1)),0))</f>
        <v>1</v>
      </c>
      <c r="AU17" s="903">
        <f t="array" ref="AU17">SUM(IF(ISNUMBER(VALUE(RIGHT(AU23:AU176,1))),VALUE(RIGHT(AU23:AU176,1)),0))</f>
        <v>0</v>
      </c>
      <c r="AV17" s="903">
        <f t="array" ref="AV17">SUM(IF(ISNUMBER(VALUE(RIGHT(AV23:AV176,1))),VALUE(RIGHT(AV23:AV176,1)),0))</f>
        <v>13</v>
      </c>
      <c r="AW17" s="903">
        <f t="array" ref="AW17">SUM(IF(ISNUMBER(VALUE(RIGHT(AW23:AW176,1))),VALUE(RIGHT(AW23:AW176,1)),0))</f>
        <v>1</v>
      </c>
      <c r="AX17" s="903">
        <f t="array" ref="AX17">SUM(IF(ISNUMBER(VALUE(RIGHT(AX23:AX176,1))),VALUE(RIGHT(AX23:AX176,1)),0))</f>
        <v>0</v>
      </c>
      <c r="AY17" s="903">
        <f t="array" ref="AY17">SUM(IF(ISNUMBER(VALUE(RIGHT(AY23:AY176,1))),VALUE(RIGHT(AY23:AY176,1)),0))</f>
        <v>1</v>
      </c>
      <c r="AZ17" s="903">
        <f t="array" ref="AZ17">SUM(IF(ISNUMBER(VALUE(RIGHT(AZ23:AZ176,1))),VALUE(RIGHT(AZ23:AZ176,1)),0))</f>
        <v>0</v>
      </c>
      <c r="BA17" s="903">
        <f t="array" ref="BA17">SUM(IF(ISNUMBER(VALUE(RIGHT(BA23:BA176,1))),VALUE(RIGHT(BA23:BA176,1)),0))</f>
        <v>7</v>
      </c>
      <c r="BB17" s="903">
        <f t="array" ref="BB17">SUM(IF(ISNUMBER(VALUE(RIGHT(BB23:BB176,1))),VALUE(RIGHT(BB23:BB176,1)),0))</f>
        <v>21</v>
      </c>
      <c r="BC17" s="903">
        <f t="array" ref="BC17">SUM(IF(ISNUMBER(VALUE(RIGHT(BC23:BC176,1))),VALUE(RIGHT(BC23:BC176,1)),0))</f>
        <v>4</v>
      </c>
      <c r="BD17" s="903">
        <f t="array" ref="BD17">SUM(IF(ISNUMBER(VALUE(RIGHT(BD23:BD176,1))),VALUE(RIGHT(BD23:BD176,1)),0))</f>
        <v>6</v>
      </c>
      <c r="BE17" s="903">
        <f t="array" ref="BE17">SUM(IF(ISNUMBER(VALUE(RIGHT(BE23:BE176,1))),VALUE(RIGHT(BE23:BE176,1)),0))</f>
        <v>2</v>
      </c>
      <c r="BF17" s="903">
        <f t="array" ref="BF17">SUM(IF(ISNUMBER(VALUE(RIGHT(BF23:BF176,1))),VALUE(RIGHT(BF23:BF176,1)),0))</f>
        <v>2</v>
      </c>
      <c r="BG17" s="903">
        <f t="array" ref="BG17">SUM(IF(ISNUMBER(VALUE(RIGHT(BG23:BG176,1))),VALUE(RIGHT(BG23:BG176,1)),0))</f>
        <v>6</v>
      </c>
      <c r="BH17" s="903">
        <f t="array" ref="BH17">SUM(IF(ISNUMBER(VALUE(RIGHT(BH23:BH176,1))),VALUE(RIGHT(BH23:BH176,1)),0))</f>
        <v>0</v>
      </c>
      <c r="BI17" s="903">
        <f t="array" ref="BI17">SUM(IF(ISNUMBER(VALUE(RIGHT(BI23:BI176,1))),VALUE(RIGHT(BI23:BI176,1)),0))</f>
        <v>7</v>
      </c>
      <c r="BJ17" s="903">
        <f t="array" ref="BJ17">SUM(IF(ISNUMBER(VALUE(RIGHT(BJ23:BJ176,1))),VALUE(RIGHT(BJ23:BJ176,1)),0))</f>
        <v>3</v>
      </c>
      <c r="BK17" s="903">
        <f t="array" ref="BK17">SUM(IF(ISNUMBER(VALUE(RIGHT(BK23:BK176,1))),VALUE(RIGHT(BK23:BK176,1)),0))</f>
        <v>5</v>
      </c>
      <c r="BL17" s="903">
        <f t="array" ref="BL17">SUM(IF(ISNUMBER(VALUE(RIGHT(BL23:BL176,1))),VALUE(RIGHT(BL23:BL176,1)),0))</f>
        <v>0</v>
      </c>
      <c r="BM17" s="903">
        <f t="array" ref="BM17">SUM(IF(ISNUMBER(VALUE(RIGHT(BM23:BM176,1))),VALUE(RIGHT(BM23:BM176,1)),0))</f>
        <v>0</v>
      </c>
      <c r="BN17" s="903">
        <f t="array" ref="BN17">SUM(IF(ISNUMBER(VALUE(RIGHT(BN23:BN176,1))),VALUE(RIGHT(BN23:BN176,1)),0))</f>
        <v>0</v>
      </c>
      <c r="BO17" s="903">
        <f t="array" ref="BO17">SUM(IF(ISNUMBER(VALUE(RIGHT(BO23:BO176,1))),VALUE(RIGHT(BO23:BO176,1)),0))</f>
        <v>0</v>
      </c>
      <c r="BP17" s="903">
        <f t="array" ref="BP17">SUM(IF(ISNUMBER(VALUE(RIGHT(BP23:BP176,1))),VALUE(RIGHT(BP23:BP176,1)),0))</f>
        <v>0</v>
      </c>
      <c r="BQ17" s="903">
        <f t="array" ref="BQ17">SUM(IF(ISNUMBER(VALUE(RIGHT(BQ23:BQ176,1))),VALUE(RIGHT(BQ23:BQ176,1)),0))</f>
        <v>0</v>
      </c>
      <c r="BR17" s="903">
        <f t="array" ref="BR17">SUM(IF(ISNUMBER(VALUE(RIGHT(BR23:BR176,1))),VALUE(RIGHT(BR23:BR176,1)),0))</f>
        <v>0</v>
      </c>
      <c r="BS17" s="889"/>
      <c r="BT17" s="889"/>
      <c r="BU17" s="889"/>
      <c r="BV17" s="890"/>
      <c r="BW17" s="890"/>
      <c r="BX17" s="890"/>
      <c r="BY17" s="890"/>
      <c r="BZ17" s="889"/>
      <c r="CA17" s="889"/>
      <c r="CB17" s="889"/>
      <c r="CC17" s="889"/>
      <c r="CD17" s="889"/>
      <c r="CE17" s="889"/>
      <c r="CF17" s="889"/>
    </row>
    <row r="18" spans="1:117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AVERAGEIFS($Y$23:$Y$213,$H$23:$H$213,"H",$I$23:$I$213,Table!$C$1)</f>
        <v>5.3809523809523814</v>
      </c>
      <c r="S18" s="858">
        <f>AVERAGEIFS($Y$23:$Y$213,$H$23:$H$213,"A",$I$23:$I$213,Table!$C$1)</f>
        <v>4.2857142857142856</v>
      </c>
      <c r="AG18" s="876">
        <v>1</v>
      </c>
      <c r="AH18" s="876">
        <v>16</v>
      </c>
      <c r="AI18" s="876">
        <v>18</v>
      </c>
      <c r="AJ18" s="876">
        <v>22</v>
      </c>
      <c r="AK18" s="876">
        <v>3</v>
      </c>
      <c r="AL18" s="876">
        <v>15</v>
      </c>
      <c r="AM18" s="876">
        <v>26</v>
      </c>
      <c r="AN18" s="874">
        <v>37</v>
      </c>
      <c r="AO18" s="876">
        <v>36</v>
      </c>
      <c r="AP18" s="876">
        <v>39</v>
      </c>
      <c r="AQ18" s="876">
        <v>2</v>
      </c>
      <c r="AR18" s="876">
        <v>7</v>
      </c>
      <c r="AS18" s="876">
        <v>8</v>
      </c>
      <c r="AT18" s="876">
        <v>17</v>
      </c>
      <c r="AU18" s="876">
        <v>21</v>
      </c>
      <c r="AV18" s="876">
        <v>23</v>
      </c>
      <c r="AW18" s="876">
        <v>29</v>
      </c>
      <c r="AX18" s="876">
        <v>32</v>
      </c>
      <c r="AY18" s="876">
        <v>33</v>
      </c>
      <c r="AZ18" s="876">
        <v>33</v>
      </c>
      <c r="BA18" s="874">
        <v>44</v>
      </c>
      <c r="BB18" s="876">
        <v>9</v>
      </c>
      <c r="BC18" s="876">
        <v>10</v>
      </c>
      <c r="BD18" s="876">
        <v>11</v>
      </c>
      <c r="BE18" s="876">
        <v>19</v>
      </c>
      <c r="BF18" s="876">
        <v>25</v>
      </c>
      <c r="BG18" s="876">
        <v>28</v>
      </c>
      <c r="BH18" s="876">
        <v>30</v>
      </c>
      <c r="BI18" s="876">
        <v>38</v>
      </c>
      <c r="BJ18" s="876">
        <v>27</v>
      </c>
      <c r="BL18" s="876">
        <v>14</v>
      </c>
      <c r="BM18" s="876">
        <v>13</v>
      </c>
      <c r="BN18" s="876">
        <v>20</v>
      </c>
      <c r="BO18" s="876">
        <v>24</v>
      </c>
      <c r="BP18" s="876">
        <v>6</v>
      </c>
      <c r="BQ18" s="876">
        <v>4</v>
      </c>
      <c r="BR18" s="876">
        <v>5</v>
      </c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</row>
    <row r="19" spans="1:117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AVERAGEIFS($Z$23:$Z$211,$H$23:$H$211,"H",$I$23:$I$211,Table!$C$1)</f>
        <v>4.8571428571428568</v>
      </c>
      <c r="S19" s="858">
        <f>AVERAGEIFS($Z$23:$Z$211,$H$23:$H$211,"A",$I$23:$I$211,Table!$C$1)</f>
        <v>5.0476190476190474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2057</v>
      </c>
      <c r="AL19" s="901" t="s">
        <v>2181</v>
      </c>
      <c r="AM19" s="901" t="s">
        <v>2014</v>
      </c>
      <c r="AN19" s="901" t="s">
        <v>2053</v>
      </c>
      <c r="AO19" s="901" t="s">
        <v>2057</v>
      </c>
      <c r="AP19" s="901" t="s">
        <v>2056</v>
      </c>
      <c r="AQ19" s="901" t="s">
        <v>2790</v>
      </c>
      <c r="AR19" s="901" t="s">
        <v>2062</v>
      </c>
      <c r="AS19" s="901" t="s">
        <v>2062</v>
      </c>
      <c r="AT19" s="901" t="s">
        <v>2062</v>
      </c>
      <c r="AU19" s="901" t="s">
        <v>2061</v>
      </c>
      <c r="AV19" s="901" t="s">
        <v>2061</v>
      </c>
      <c r="AW19" s="901" t="s">
        <v>2061</v>
      </c>
      <c r="AX19" s="901" t="s">
        <v>1709</v>
      </c>
      <c r="AY19" s="901" t="s">
        <v>2991</v>
      </c>
      <c r="AZ19" s="901" t="s">
        <v>1709</v>
      </c>
      <c r="BA19" s="901" t="s">
        <v>2907</v>
      </c>
      <c r="BB19" s="901" t="s">
        <v>2063</v>
      </c>
      <c r="BC19" s="901" t="s">
        <v>2063</v>
      </c>
      <c r="BD19" s="901" t="s">
        <v>2063</v>
      </c>
      <c r="BE19" s="901" t="s">
        <v>2067</v>
      </c>
      <c r="BF19" s="901" t="s">
        <v>2068</v>
      </c>
      <c r="BG19" s="901" t="s">
        <v>2067</v>
      </c>
      <c r="BH19" s="901" t="s">
        <v>1663</v>
      </c>
      <c r="BI19" s="901" t="s">
        <v>2068</v>
      </c>
      <c r="BJ19" s="901" t="s">
        <v>2066</v>
      </c>
      <c r="BL19" s="901" t="s">
        <v>2065</v>
      </c>
      <c r="BM19" s="901" t="s">
        <v>2062</v>
      </c>
      <c r="BN19" s="901" t="s">
        <v>2061</v>
      </c>
      <c r="BO19" s="901" t="s">
        <v>2056</v>
      </c>
      <c r="BP19" s="901" t="s">
        <v>2058</v>
      </c>
      <c r="BQ19" s="901" t="s">
        <v>2057</v>
      </c>
      <c r="BR19" s="901" t="s">
        <v>2057</v>
      </c>
      <c r="BS19" s="877"/>
      <c r="BT19" s="877"/>
      <c r="BU19" s="877"/>
      <c r="BV19" s="428"/>
      <c r="BW19" s="428"/>
      <c r="BX19" s="428"/>
      <c r="BY19" s="428"/>
      <c r="BZ19" s="877"/>
      <c r="CA19" s="877"/>
      <c r="CB19" s="877"/>
      <c r="CC19" s="877"/>
      <c r="CD19" s="877"/>
      <c r="CE19" s="877"/>
      <c r="CF19" s="877"/>
      <c r="CG19" s="428"/>
      <c r="CH19" s="876"/>
      <c r="CI19" s="876"/>
      <c r="CJ19" s="876"/>
    </row>
    <row r="20" spans="1:117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3</v>
      </c>
      <c r="G20" s="822" t="s">
        <v>1876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2618</v>
      </c>
      <c r="AH20" s="887" t="s">
        <v>1552</v>
      </c>
      <c r="AI20" s="887" t="s">
        <v>1553</v>
      </c>
      <c r="AJ20" s="887" t="s">
        <v>1554</v>
      </c>
      <c r="AK20" s="887" t="s">
        <v>1555</v>
      </c>
      <c r="AL20" s="887" t="s">
        <v>1562</v>
      </c>
      <c r="AM20" s="887" t="s">
        <v>1914</v>
      </c>
      <c r="AN20" s="887" t="s">
        <v>2976</v>
      </c>
      <c r="AO20" s="887" t="s">
        <v>1560</v>
      </c>
      <c r="AP20" s="887" t="s">
        <v>2432</v>
      </c>
      <c r="AQ20" s="887" t="s">
        <v>3248</v>
      </c>
      <c r="AR20" s="887" t="s">
        <v>2155</v>
      </c>
      <c r="AS20" s="887" t="s">
        <v>3059</v>
      </c>
      <c r="AT20" s="887" t="s">
        <v>1563</v>
      </c>
      <c r="AU20" s="887" t="s">
        <v>2605</v>
      </c>
      <c r="AV20" s="887" t="s">
        <v>2828</v>
      </c>
      <c r="AW20" s="887" t="s">
        <v>2248</v>
      </c>
      <c r="AX20" s="887" t="s">
        <v>1916</v>
      </c>
      <c r="AY20" s="887" t="s">
        <v>2992</v>
      </c>
      <c r="AZ20" s="887" t="s">
        <v>1566</v>
      </c>
      <c r="BA20" s="887" t="s">
        <v>3507</v>
      </c>
      <c r="BB20" s="887" t="s">
        <v>3300</v>
      </c>
      <c r="BC20" s="887" t="s">
        <v>1567</v>
      </c>
      <c r="BD20" s="887" t="s">
        <v>3208</v>
      </c>
      <c r="BE20" s="887" t="s">
        <v>2699</v>
      </c>
      <c r="BF20" s="887" t="s">
        <v>1568</v>
      </c>
      <c r="BG20" s="887" t="s">
        <v>2617</v>
      </c>
      <c r="BH20" s="887" t="s">
        <v>1917</v>
      </c>
      <c r="BI20" s="887" t="s">
        <v>2830</v>
      </c>
      <c r="BJ20" s="887" t="s">
        <v>1565</v>
      </c>
      <c r="BL20" s="887" t="s">
        <v>1561</v>
      </c>
      <c r="BM20" s="887" t="s">
        <v>1915</v>
      </c>
      <c r="BN20" s="887" t="s">
        <v>1564</v>
      </c>
      <c r="BO20" s="887" t="s">
        <v>1559</v>
      </c>
      <c r="BP20" s="887" t="s">
        <v>1558</v>
      </c>
      <c r="BQ20" s="887" t="s">
        <v>1556</v>
      </c>
      <c r="BR20" s="887" t="s">
        <v>1557</v>
      </c>
      <c r="BS20" s="887"/>
      <c r="BT20" s="887"/>
      <c r="BU20" s="864"/>
      <c r="BV20" s="847"/>
      <c r="BW20" s="847"/>
      <c r="BX20" s="847"/>
      <c r="BY20" s="847"/>
      <c r="BZ20" s="864"/>
      <c r="CA20" s="864"/>
      <c r="CB20" s="864"/>
      <c r="CC20" s="864"/>
      <c r="CD20" s="864"/>
      <c r="CE20" s="864"/>
      <c r="CF20" s="86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</row>
    <row r="21" spans="1:117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2604</v>
      </c>
      <c r="AH21" s="886" t="s">
        <v>1207</v>
      </c>
      <c r="AI21" s="886" t="s">
        <v>1049</v>
      </c>
      <c r="AJ21" s="886" t="s">
        <v>1208</v>
      </c>
      <c r="AK21" s="886" t="s">
        <v>1209</v>
      </c>
      <c r="AL21" s="886" t="s">
        <v>1215</v>
      </c>
      <c r="AM21" s="886" t="s">
        <v>1211</v>
      </c>
      <c r="AN21" s="886" t="s">
        <v>2977</v>
      </c>
      <c r="AO21" s="886" t="s">
        <v>967</v>
      </c>
      <c r="AP21" s="886" t="s">
        <v>1212</v>
      </c>
      <c r="AQ21" s="886" t="s">
        <v>3249</v>
      </c>
      <c r="AR21" s="886" t="s">
        <v>2156</v>
      </c>
      <c r="AS21" s="886" t="s">
        <v>1696</v>
      </c>
      <c r="AT21" s="886" t="s">
        <v>1216</v>
      </c>
      <c r="AU21" s="886" t="s">
        <v>2606</v>
      </c>
      <c r="AV21" s="886" t="s">
        <v>2829</v>
      </c>
      <c r="AW21" s="886" t="s">
        <v>2249</v>
      </c>
      <c r="AX21" s="886" t="s">
        <v>1218</v>
      </c>
      <c r="AY21" s="886" t="s">
        <v>2993</v>
      </c>
      <c r="AZ21" s="886" t="s">
        <v>1219</v>
      </c>
      <c r="BA21" s="886" t="s">
        <v>3509</v>
      </c>
      <c r="BB21" s="886" t="s">
        <v>1698</v>
      </c>
      <c r="BC21" s="886" t="s">
        <v>3508</v>
      </c>
      <c r="BD21" s="886" t="s">
        <v>2250</v>
      </c>
      <c r="BE21" s="886" t="s">
        <v>1220</v>
      </c>
      <c r="BF21" s="886" t="s">
        <v>1039</v>
      </c>
      <c r="BG21" s="886" t="s">
        <v>2603</v>
      </c>
      <c r="BH21" s="886" t="s">
        <v>1221</v>
      </c>
      <c r="BI21" s="886" t="s">
        <v>2831</v>
      </c>
      <c r="BJ21" s="886" t="s">
        <v>1217</v>
      </c>
      <c r="BK21" s="886" t="s">
        <v>2094</v>
      </c>
      <c r="BL21" s="886" t="s">
        <v>1214</v>
      </c>
      <c r="BM21" s="886" t="s">
        <v>1213</v>
      </c>
      <c r="BN21" s="886" t="s">
        <v>1697</v>
      </c>
      <c r="BO21" s="886" t="s">
        <v>1695</v>
      </c>
      <c r="BP21" s="886" t="s">
        <v>1210</v>
      </c>
      <c r="BQ21" s="886" t="s">
        <v>1693</v>
      </c>
      <c r="BR21" s="886" t="s">
        <v>1694</v>
      </c>
      <c r="BS21" s="886"/>
      <c r="BT21" s="886"/>
      <c r="BU21" s="864"/>
      <c r="BV21" s="847"/>
      <c r="BW21" s="847"/>
      <c r="BX21" s="847"/>
      <c r="BY21" s="847"/>
      <c r="BZ21" s="864"/>
      <c r="CA21" s="864"/>
      <c r="CB21" s="864"/>
      <c r="CC21" s="864"/>
      <c r="CD21" s="864"/>
      <c r="CE21" s="864"/>
      <c r="CF21" s="86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</row>
    <row r="22" spans="1:117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B22" s="829"/>
      <c r="BC22" s="829"/>
      <c r="BD22" s="829"/>
      <c r="BE22" s="829"/>
      <c r="BF22" s="829"/>
      <c r="BG22" s="829"/>
      <c r="BH22" s="829"/>
      <c r="BI22" s="829"/>
      <c r="BJ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</row>
    <row r="23" spans="1:117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13</v>
      </c>
      <c r="G23" s="879" t="s">
        <v>884</v>
      </c>
      <c r="H23" s="879" t="s">
        <v>22</v>
      </c>
      <c r="I23" s="879" t="s">
        <v>891</v>
      </c>
      <c r="J23" s="846">
        <v>2</v>
      </c>
      <c r="K23" s="846">
        <v>0</v>
      </c>
      <c r="L23" s="816" t="str">
        <f t="shared" ref="L23:L27" si="18">IF(J23="","",IF(J23&gt;K23,"W",IF(J23=K23,"D",IF(J23&lt;K23,"L"))))</f>
        <v>W</v>
      </c>
      <c r="M23" s="816">
        <f t="shared" ref="M23:M27" si="19">IF(J23="","",J23+K23)</f>
        <v>2</v>
      </c>
      <c r="N23" s="816" t="str">
        <f t="shared" ref="N23:N24" si="20">IF($J23="","",IF($M23&gt;N$19,"O",IF($M23&lt;N$19,"U",IF($M23=N$19,"-"))))</f>
        <v>U</v>
      </c>
      <c r="O23" s="816">
        <f t="shared" ref="O23:O27" si="21">IF(Q23="","",IF(SIGN(Q23)&lt;&gt;1,VLOOKUP(ABS(Q23),SUP_HDC,3,TRUE),-VLOOKUP(ABS(Q23),SUP_HDC,3,TRUE)))</f>
        <v>-0.25</v>
      </c>
      <c r="P23" s="829">
        <f t="shared" ref="P23:P27" si="22">IF(O23="","",IF((J23-K23+O23)&gt;=0.5,1,IF((J23-K23+O23)=0.25,0.5,IF((J23-K23+O23)&lt;=-0.5,-1,IF((J23-K23+O23)=-0.25,-0.5,0)))))</f>
        <v>1</v>
      </c>
      <c r="Q23" s="830">
        <v>0.4</v>
      </c>
      <c r="R23" s="871">
        <f t="shared" ref="R23:R27" si="23">IF(ISBLANK(Q23),"",J23-K23-Q23)</f>
        <v>1.6</v>
      </c>
      <c r="S23" s="830">
        <v>2.4700000000000002</v>
      </c>
      <c r="T23" s="871">
        <f t="shared" ref="T23:T27" si="24">IF(ISBLANK(S23),"",J23+K23-S23)</f>
        <v>-0.4700000000000002</v>
      </c>
      <c r="U23" s="868">
        <f t="shared" ref="U23:U27" si="25">IF(Q23="","",(Q23+S23)/2)</f>
        <v>1.4350000000000001</v>
      </c>
      <c r="V23" s="868">
        <f t="shared" ref="V23:V27" si="26">IF(Q23="","",S23-U23)</f>
        <v>1.0350000000000001</v>
      </c>
      <c r="W23" s="829">
        <v>13</v>
      </c>
      <c r="X23" s="829">
        <v>10</v>
      </c>
      <c r="Y23" s="829">
        <v>5</v>
      </c>
      <c r="Z23" s="829">
        <v>2</v>
      </c>
      <c r="AA23" s="829">
        <v>52</v>
      </c>
      <c r="AB23" s="829">
        <v>48</v>
      </c>
      <c r="AC23" s="829"/>
      <c r="AD23" s="816" t="str">
        <f t="array" ref="AD23">IF($J23="","",IF(SUM(IF(ISNUMBER(VALUE(RIGHT($AG23:$DY23,1))),VALUE(RIGHT($AG23:$DY23,1)),0))=$J23,"T","F"))</f>
        <v>T</v>
      </c>
      <c r="AE23" s="831">
        <f t="array" ref="AE23">IF($J23="","",SUM(IF(LEFT($AG23:$DY23,1)="s",1,0))-SUM(IF(RIGHT(LEFT($AG23:$DY23,2))="-",1,0)))</f>
        <v>0</v>
      </c>
      <c r="AF23" s="816">
        <f t="array" ref="AF23">IF($J23="","",SUM(IF(LEFT($AG23:$DY23,1)="X",1,0)))</f>
        <v>11</v>
      </c>
      <c r="AG23" s="891" t="s">
        <v>34</v>
      </c>
      <c r="AH23" s="891" t="s">
        <v>32</v>
      </c>
      <c r="AI23" s="891" t="s">
        <v>1877</v>
      </c>
      <c r="AJ23" s="891" t="s">
        <v>32</v>
      </c>
      <c r="AK23" s="891" t="s">
        <v>34</v>
      </c>
      <c r="AL23" s="891" t="s">
        <v>34</v>
      </c>
      <c r="AM23" s="891" t="s">
        <v>32</v>
      </c>
      <c r="AN23" s="910"/>
      <c r="AO23" s="891" t="s">
        <v>32</v>
      </c>
      <c r="AP23" s="891" t="s">
        <v>34</v>
      </c>
      <c r="AQ23" s="910"/>
      <c r="AR23" s="891" t="s">
        <v>1885</v>
      </c>
      <c r="AS23" s="891" t="s">
        <v>1877</v>
      </c>
      <c r="AT23" s="891" t="s">
        <v>34</v>
      </c>
      <c r="AU23" s="891" t="s">
        <v>34</v>
      </c>
      <c r="AV23" s="891" t="s">
        <v>36</v>
      </c>
      <c r="AW23" s="904" t="s">
        <v>34</v>
      </c>
      <c r="AX23" s="891" t="s">
        <v>32</v>
      </c>
      <c r="AY23" s="910"/>
      <c r="AZ23" s="891" t="s">
        <v>32</v>
      </c>
      <c r="BA23" s="910"/>
      <c r="BB23" s="904" t="s">
        <v>36</v>
      </c>
      <c r="BC23" s="891" t="s">
        <v>1877</v>
      </c>
      <c r="BD23" s="891" t="s">
        <v>35</v>
      </c>
      <c r="BE23" s="891" t="s">
        <v>36</v>
      </c>
      <c r="BF23" s="891" t="s">
        <v>32</v>
      </c>
      <c r="BG23" s="891" t="s">
        <v>35</v>
      </c>
      <c r="BH23" s="891" t="s">
        <v>32</v>
      </c>
      <c r="BI23" s="891" t="s">
        <v>1880</v>
      </c>
      <c r="BJ23" s="891" t="s">
        <v>35</v>
      </c>
      <c r="BL23" s="891" t="s">
        <v>32</v>
      </c>
      <c r="BM23" s="891" t="s">
        <v>32</v>
      </c>
      <c r="BN23" s="891" t="s">
        <v>32</v>
      </c>
      <c r="BO23" s="891" t="s">
        <v>32</v>
      </c>
      <c r="BP23" s="891" t="s">
        <v>32</v>
      </c>
      <c r="BQ23" s="891" t="s">
        <v>32</v>
      </c>
      <c r="BR23" s="891" t="s">
        <v>1877</v>
      </c>
      <c r="BS23" s="891"/>
      <c r="BT23" s="891"/>
      <c r="BU23" s="891"/>
      <c r="BV23" s="891"/>
      <c r="BW23" s="891"/>
      <c r="BX23" s="896"/>
      <c r="BY23" s="896"/>
      <c r="BZ23" s="896"/>
      <c r="CA23" s="896"/>
      <c r="CB23" s="896"/>
      <c r="CC23" s="896"/>
      <c r="CD23" s="896"/>
      <c r="CE23" s="896"/>
      <c r="CF23" s="896"/>
      <c r="CG23" s="428"/>
      <c r="CH23" s="428"/>
      <c r="CI23" s="428"/>
      <c r="CJ23" s="428"/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</row>
    <row r="24" spans="1:117" ht="15">
      <c r="A24" s="882">
        <v>6273</v>
      </c>
      <c r="B24" s="884"/>
      <c r="C24" s="884"/>
      <c r="D24" s="884"/>
      <c r="E24" s="884"/>
      <c r="F24" s="884">
        <f ca="1">IF(I24="","",IF(I24=Table!$C$1,VLOOKUP(G24,Table!$B$9:$AE$32,Table!$AE$6-1,FALSE),""))</f>
        <v>18</v>
      </c>
      <c r="G24" s="879" t="s">
        <v>887</v>
      </c>
      <c r="H24" s="879" t="s">
        <v>22</v>
      </c>
      <c r="I24" s="879" t="s">
        <v>891</v>
      </c>
      <c r="J24" s="846">
        <v>1</v>
      </c>
      <c r="K24" s="846">
        <v>1</v>
      </c>
      <c r="L24" s="816" t="str">
        <f t="shared" si="18"/>
        <v>D</v>
      </c>
      <c r="M24" s="816">
        <f t="shared" si="19"/>
        <v>2</v>
      </c>
      <c r="N24" s="816" t="str">
        <f t="shared" si="20"/>
        <v>U</v>
      </c>
      <c r="O24" s="816">
        <f t="shared" si="21"/>
        <v>-0.75</v>
      </c>
      <c r="P24" s="829">
        <f t="shared" si="22"/>
        <v>-1</v>
      </c>
      <c r="Q24" s="830">
        <v>0.88</v>
      </c>
      <c r="R24" s="871">
        <f t="shared" si="23"/>
        <v>-0.88</v>
      </c>
      <c r="S24" s="830">
        <v>2.63</v>
      </c>
      <c r="T24" s="871">
        <f t="shared" si="24"/>
        <v>-0.62999999999999989</v>
      </c>
      <c r="U24" s="868">
        <f t="shared" si="25"/>
        <v>1.7549999999999999</v>
      </c>
      <c r="V24" s="868">
        <f t="shared" si="26"/>
        <v>0.875</v>
      </c>
      <c r="W24" s="829">
        <v>10</v>
      </c>
      <c r="X24" s="829">
        <v>12</v>
      </c>
      <c r="Y24" s="829">
        <v>1</v>
      </c>
      <c r="Z24" s="829">
        <v>4</v>
      </c>
      <c r="AA24" s="829">
        <v>43</v>
      </c>
      <c r="AB24" s="829">
        <v>57</v>
      </c>
      <c r="AC24" s="829"/>
      <c r="AD24" s="816" t="str">
        <f t="array" ref="AD24">IF($J24="","",IF(SUM(IF(ISNUMBER(VALUE(RIGHT($AG24:$DY24,1))),VALUE(RIGHT($AG24:$DY24,1)),0))=$J24,"T","F"))</f>
        <v>T</v>
      </c>
      <c r="AE24" s="831">
        <f t="array" ref="AE24">IF($J24="","",SUM(IF(LEFT($AG24:$DY24,1)="s",1,0))-SUM(IF(RIGHT(LEFT($AG24:$DY24,2))="-",1,0)))</f>
        <v>0</v>
      </c>
      <c r="AF24" s="816">
        <f t="array" ref="AF24">IF($J24="","",SUM(IF(LEFT($AG24:$DY24,1)="X",1,0)))</f>
        <v>11</v>
      </c>
      <c r="AG24" s="891" t="s">
        <v>34</v>
      </c>
      <c r="AH24" s="891" t="s">
        <v>32</v>
      </c>
      <c r="AI24" s="891" t="s">
        <v>1877</v>
      </c>
      <c r="AJ24" s="891" t="s">
        <v>32</v>
      </c>
      <c r="AK24" s="891" t="s">
        <v>34</v>
      </c>
      <c r="AL24" s="891" t="s">
        <v>34</v>
      </c>
      <c r="AM24" s="891" t="s">
        <v>32</v>
      </c>
      <c r="AN24" s="910"/>
      <c r="AO24" s="891" t="s">
        <v>32</v>
      </c>
      <c r="AP24" s="891" t="s">
        <v>1948</v>
      </c>
      <c r="AQ24" s="910"/>
      <c r="AR24" s="891" t="s">
        <v>32</v>
      </c>
      <c r="AS24" s="907" t="s">
        <v>1949</v>
      </c>
      <c r="AT24" s="891" t="s">
        <v>35</v>
      </c>
      <c r="AU24" s="891" t="s">
        <v>34</v>
      </c>
      <c r="AV24" s="891" t="s">
        <v>1877</v>
      </c>
      <c r="AW24" s="891" t="s">
        <v>34</v>
      </c>
      <c r="AX24" s="891" t="s">
        <v>32</v>
      </c>
      <c r="AY24" s="910"/>
      <c r="AZ24" s="891" t="s">
        <v>32</v>
      </c>
      <c r="BA24" s="910"/>
      <c r="BB24" s="891" t="s">
        <v>36</v>
      </c>
      <c r="BC24" s="891" t="s">
        <v>36</v>
      </c>
      <c r="BD24" s="891" t="s">
        <v>34</v>
      </c>
      <c r="BE24" s="891" t="s">
        <v>1877</v>
      </c>
      <c r="BF24" s="891" t="s">
        <v>32</v>
      </c>
      <c r="BG24" s="891" t="s">
        <v>35</v>
      </c>
      <c r="BH24" s="891" t="s">
        <v>32</v>
      </c>
      <c r="BI24" s="891" t="s">
        <v>34</v>
      </c>
      <c r="BJ24" s="891" t="s">
        <v>35</v>
      </c>
      <c r="BL24" s="891" t="s">
        <v>32</v>
      </c>
      <c r="BM24" s="891" t="s">
        <v>32</v>
      </c>
      <c r="BN24" s="891" t="s">
        <v>32</v>
      </c>
      <c r="BO24" s="891" t="s">
        <v>32</v>
      </c>
      <c r="BP24" s="891" t="s">
        <v>32</v>
      </c>
      <c r="BQ24" s="891" t="s">
        <v>32</v>
      </c>
      <c r="BR24" s="891" t="s">
        <v>1877</v>
      </c>
      <c r="BS24" s="891"/>
      <c r="BT24" s="891"/>
      <c r="BU24" s="891"/>
      <c r="BV24" s="891"/>
      <c r="BW24" s="896"/>
      <c r="BX24" s="896"/>
      <c r="BY24" s="896"/>
      <c r="BZ24" s="896"/>
      <c r="CA24" s="896"/>
      <c r="CB24" s="896"/>
      <c r="CC24" s="896"/>
      <c r="CD24" s="896"/>
      <c r="CE24" s="896"/>
      <c r="CF24" s="896"/>
      <c r="CG24" s="428"/>
      <c r="CH24" s="428"/>
      <c r="CI24" s="428"/>
      <c r="CJ24" s="428"/>
    </row>
    <row r="25" spans="1:117" ht="15">
      <c r="A25" s="882">
        <v>6280</v>
      </c>
      <c r="B25" s="884"/>
      <c r="C25" s="884"/>
      <c r="D25" s="884"/>
      <c r="E25" s="884"/>
      <c r="F25" s="884">
        <f ca="1">IF(I25="","",IF(I25=Table!$C$1,VLOOKUP(G25,Table!$B$9:$AE$32,Table!$AE$6-1,FALSE),""))</f>
        <v>6</v>
      </c>
      <c r="G25" s="879" t="s">
        <v>876</v>
      </c>
      <c r="H25" s="879" t="s">
        <v>18</v>
      </c>
      <c r="I25" s="879" t="s">
        <v>891</v>
      </c>
      <c r="J25" s="846">
        <v>0</v>
      </c>
      <c r="K25" s="846">
        <v>2</v>
      </c>
      <c r="L25" s="816" t="str">
        <f t="shared" si="18"/>
        <v>L</v>
      </c>
      <c r="M25" s="816">
        <f t="shared" si="19"/>
        <v>2</v>
      </c>
      <c r="N25" s="816" t="str">
        <f t="shared" ref="N25:N33" si="27">IF($J25="","",IF($M25&gt;N$19,"O",IF($M25&lt;N$19,"U",IF($M25=N$19,"-"))))</f>
        <v>U</v>
      </c>
      <c r="O25" s="816">
        <f t="shared" si="21"/>
        <v>-0.25</v>
      </c>
      <c r="P25" s="829">
        <f t="shared" si="22"/>
        <v>-1</v>
      </c>
      <c r="Q25" s="830">
        <v>0.14000000000000001</v>
      </c>
      <c r="R25" s="871">
        <f t="shared" si="23"/>
        <v>-2.14</v>
      </c>
      <c r="S25" s="830">
        <v>2.48</v>
      </c>
      <c r="T25" s="871">
        <f t="shared" si="24"/>
        <v>-0.48</v>
      </c>
      <c r="U25" s="868">
        <f t="shared" si="25"/>
        <v>1.31</v>
      </c>
      <c r="V25" s="868">
        <f t="shared" si="26"/>
        <v>1.17</v>
      </c>
      <c r="W25" s="829">
        <v>8</v>
      </c>
      <c r="X25" s="829">
        <v>20</v>
      </c>
      <c r="Y25" s="829">
        <v>1</v>
      </c>
      <c r="Z25" s="829">
        <v>7</v>
      </c>
      <c r="AA25" s="829">
        <v>42</v>
      </c>
      <c r="AB25" s="829">
        <v>58</v>
      </c>
      <c r="AC25" s="829"/>
      <c r="AD25" s="816" t="str">
        <f t="array" ref="AD25">IF($J25="","",IF(SUM(IF(ISNUMBER(VALUE(RIGHT($AG25:$DY25,1))),VALUE(RIGHT($AG25:$DY25,1)),0))=$J25,"T","F"))</f>
        <v>T</v>
      </c>
      <c r="AE25" s="831">
        <f t="array" ref="AE25">IF($J25="","",SUM(IF(LEFT($AG25:$DY25,1)="s",1,0))-SUM(IF(RIGHT(LEFT($AG25:$DY25,2))="-",1,0)))</f>
        <v>0</v>
      </c>
      <c r="AF25" s="816">
        <f t="array" ref="AF25">IF($J25="","",SUM(IF(LEFT($AG25:$DY25,1)="X",1,0)))</f>
        <v>11</v>
      </c>
      <c r="AG25" s="891" t="s">
        <v>34</v>
      </c>
      <c r="AH25" s="891" t="s">
        <v>32</v>
      </c>
      <c r="AI25" s="891" t="s">
        <v>1877</v>
      </c>
      <c r="AJ25" s="891" t="s">
        <v>32</v>
      </c>
      <c r="AK25" s="891" t="s">
        <v>34</v>
      </c>
      <c r="AL25" s="891" t="s">
        <v>34</v>
      </c>
      <c r="AM25" s="891" t="s">
        <v>32</v>
      </c>
      <c r="AN25" s="910"/>
      <c r="AO25" s="891" t="s">
        <v>32</v>
      </c>
      <c r="AP25" s="891" t="s">
        <v>34</v>
      </c>
      <c r="AQ25" s="910"/>
      <c r="AR25" s="891" t="s">
        <v>32</v>
      </c>
      <c r="AS25" s="891" t="s">
        <v>36</v>
      </c>
      <c r="AT25" s="891" t="s">
        <v>1960</v>
      </c>
      <c r="AU25" s="891" t="s">
        <v>34</v>
      </c>
      <c r="AV25" s="891" t="s">
        <v>1877</v>
      </c>
      <c r="AW25" s="891" t="s">
        <v>34</v>
      </c>
      <c r="AX25" s="891" t="s">
        <v>32</v>
      </c>
      <c r="AY25" s="910"/>
      <c r="AZ25" s="891" t="s">
        <v>32</v>
      </c>
      <c r="BA25" s="910"/>
      <c r="BB25" s="891" t="s">
        <v>32</v>
      </c>
      <c r="BC25" s="891" t="s">
        <v>36</v>
      </c>
      <c r="BD25" s="891" t="s">
        <v>35</v>
      </c>
      <c r="BE25" s="891" t="s">
        <v>35</v>
      </c>
      <c r="BF25" s="891" t="s">
        <v>32</v>
      </c>
      <c r="BG25" s="891" t="s">
        <v>36</v>
      </c>
      <c r="BH25" s="891" t="s">
        <v>32</v>
      </c>
      <c r="BI25" s="891" t="s">
        <v>34</v>
      </c>
      <c r="BJ25" s="891" t="s">
        <v>35</v>
      </c>
      <c r="BL25" s="891" t="s">
        <v>32</v>
      </c>
      <c r="BM25" s="891" t="s">
        <v>32</v>
      </c>
      <c r="BN25" s="891" t="s">
        <v>1877</v>
      </c>
      <c r="BO25" s="891" t="s">
        <v>32</v>
      </c>
      <c r="BP25" s="891" t="s">
        <v>1877</v>
      </c>
      <c r="BQ25" s="891" t="s">
        <v>32</v>
      </c>
      <c r="BR25" s="891" t="s">
        <v>34</v>
      </c>
      <c r="BS25" s="891"/>
      <c r="BT25" s="891"/>
      <c r="BU25" s="891"/>
      <c r="BV25" s="891"/>
      <c r="BW25" s="896"/>
      <c r="BX25" s="896"/>
      <c r="BY25" s="896"/>
      <c r="BZ25" s="896"/>
      <c r="CA25" s="896"/>
      <c r="CB25" s="896"/>
      <c r="CC25" s="896"/>
      <c r="CD25" s="896"/>
      <c r="CE25" s="896"/>
      <c r="CF25" s="896"/>
      <c r="CG25" s="428"/>
      <c r="CH25" s="428"/>
      <c r="CI25" s="428"/>
      <c r="CJ25" s="428"/>
    </row>
    <row r="26" spans="1:117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14</v>
      </c>
      <c r="G26" s="879" t="s">
        <v>873</v>
      </c>
      <c r="H26" s="879" t="s">
        <v>22</v>
      </c>
      <c r="I26" s="879" t="s">
        <v>891</v>
      </c>
      <c r="J26" s="846">
        <v>2</v>
      </c>
      <c r="K26" s="846">
        <v>1</v>
      </c>
      <c r="L26" s="816" t="str">
        <f t="shared" si="18"/>
        <v>W</v>
      </c>
      <c r="M26" s="816">
        <f t="shared" si="19"/>
        <v>3</v>
      </c>
      <c r="N26" s="816" t="str">
        <f t="shared" si="27"/>
        <v>O</v>
      </c>
      <c r="O26" s="816">
        <f t="shared" si="21"/>
        <v>-0.5</v>
      </c>
      <c r="P26" s="829">
        <f t="shared" si="22"/>
        <v>1</v>
      </c>
      <c r="Q26" s="830">
        <v>0.68</v>
      </c>
      <c r="R26" s="871">
        <f t="shared" si="23"/>
        <v>0.31999999999999995</v>
      </c>
      <c r="S26" s="830">
        <v>2.44</v>
      </c>
      <c r="T26" s="871">
        <f t="shared" si="24"/>
        <v>0.56000000000000005</v>
      </c>
      <c r="U26" s="868">
        <f t="shared" si="25"/>
        <v>1.56</v>
      </c>
      <c r="V26" s="868">
        <f t="shared" si="26"/>
        <v>0.87999999999999989</v>
      </c>
      <c r="W26" s="829">
        <v>8</v>
      </c>
      <c r="X26" s="829">
        <v>13</v>
      </c>
      <c r="Y26" s="829">
        <v>1</v>
      </c>
      <c r="Z26" s="829">
        <v>4</v>
      </c>
      <c r="AA26" s="829">
        <v>60</v>
      </c>
      <c r="AB26" s="829">
        <v>40</v>
      </c>
      <c r="AC26" s="829"/>
      <c r="AD26" s="816" t="str">
        <f t="array" ref="AD26">IF($J26="","",IF(SUM(IF(ISNUMBER(VALUE(RIGHT($AG26:$DY26,1))),VALUE(RIGHT($AG26:$DY26,1)),0))=$J26,"T","F"))</f>
        <v>T</v>
      </c>
      <c r="AE26" s="831">
        <f t="array" ref="AE26">IF($J26="","",SUM(IF(LEFT($AG26:$DY26,1)="s",1,0))-SUM(IF(RIGHT(LEFT($AG26:$DY26,2))="-",1,0)))</f>
        <v>0</v>
      </c>
      <c r="AF26" s="816">
        <f t="array" ref="AF26">IF($J26="","",SUM(IF(LEFT($AG26:$DY26,1)="X",1,0)))</f>
        <v>11</v>
      </c>
      <c r="AG26" s="891" t="s">
        <v>34</v>
      </c>
      <c r="AH26" s="891" t="s">
        <v>32</v>
      </c>
      <c r="AI26" s="891" t="s">
        <v>1877</v>
      </c>
      <c r="AJ26" s="891" t="s">
        <v>32</v>
      </c>
      <c r="AK26" s="891" t="s">
        <v>34</v>
      </c>
      <c r="AL26" s="904" t="s">
        <v>34</v>
      </c>
      <c r="AM26" s="891" t="s">
        <v>32</v>
      </c>
      <c r="AN26" s="910"/>
      <c r="AO26" s="891" t="s">
        <v>32</v>
      </c>
      <c r="AP26" s="891" t="s">
        <v>34</v>
      </c>
      <c r="AQ26" s="910"/>
      <c r="AR26" s="891" t="s">
        <v>32</v>
      </c>
      <c r="AS26" s="891" t="s">
        <v>34</v>
      </c>
      <c r="AT26" s="891" t="s">
        <v>1877</v>
      </c>
      <c r="AU26" s="891" t="s">
        <v>32</v>
      </c>
      <c r="AV26" s="891" t="s">
        <v>1877</v>
      </c>
      <c r="AW26" s="891" t="s">
        <v>34</v>
      </c>
      <c r="AX26" s="891" t="s">
        <v>32</v>
      </c>
      <c r="AY26" s="910"/>
      <c r="AZ26" s="891" t="s">
        <v>32</v>
      </c>
      <c r="BA26" s="910"/>
      <c r="BB26" s="891" t="s">
        <v>2095</v>
      </c>
      <c r="BC26" s="891" t="s">
        <v>32</v>
      </c>
      <c r="BD26" s="891" t="s">
        <v>35</v>
      </c>
      <c r="BE26" s="891" t="s">
        <v>36</v>
      </c>
      <c r="BF26" s="891" t="s">
        <v>1877</v>
      </c>
      <c r="BG26" s="891" t="s">
        <v>35</v>
      </c>
      <c r="BH26" s="891" t="s">
        <v>32</v>
      </c>
      <c r="BI26" s="891" t="s">
        <v>34</v>
      </c>
      <c r="BJ26" s="891" t="s">
        <v>36</v>
      </c>
      <c r="BK26" s="891">
        <v>1</v>
      </c>
      <c r="BL26" s="891" t="s">
        <v>32</v>
      </c>
      <c r="BM26" s="891" t="s">
        <v>1877</v>
      </c>
      <c r="BN26" s="891" t="s">
        <v>32</v>
      </c>
      <c r="BO26" s="891" t="s">
        <v>32</v>
      </c>
      <c r="BP26" s="891" t="s">
        <v>32</v>
      </c>
      <c r="BQ26" s="891" t="s">
        <v>34</v>
      </c>
      <c r="BR26" s="891" t="s">
        <v>32</v>
      </c>
      <c r="BS26" s="891"/>
      <c r="BT26" s="891"/>
      <c r="BU26" s="891"/>
      <c r="BV26" s="891"/>
      <c r="BW26" s="896"/>
      <c r="BX26" s="896"/>
      <c r="BY26" s="896"/>
      <c r="BZ26" s="896"/>
      <c r="CA26" s="896"/>
      <c r="CB26" s="896"/>
      <c r="CC26" s="896"/>
      <c r="CD26" s="896"/>
      <c r="CE26" s="896"/>
      <c r="CF26" s="896"/>
      <c r="CG26" s="428"/>
      <c r="CH26" s="428"/>
      <c r="CI26" s="428"/>
      <c r="CJ26" s="428"/>
      <c r="CK26" s="230" t="s">
        <v>32</v>
      </c>
      <c r="CL26" s="230" t="s">
        <v>32</v>
      </c>
      <c r="CM26" s="230" t="s">
        <v>32</v>
      </c>
      <c r="CN26" s="230" t="s">
        <v>32</v>
      </c>
      <c r="CO26" s="230" t="s">
        <v>32</v>
      </c>
      <c r="CP26" s="230" t="s">
        <v>32</v>
      </c>
      <c r="CQ26" s="230" t="s">
        <v>32</v>
      </c>
    </row>
    <row r="27" spans="1:117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8</v>
      </c>
      <c r="G27" s="879" t="s">
        <v>880</v>
      </c>
      <c r="H27" s="879" t="s">
        <v>18</v>
      </c>
      <c r="I27" s="879" t="s">
        <v>891</v>
      </c>
      <c r="J27" s="846">
        <v>2</v>
      </c>
      <c r="K27" s="846">
        <v>1</v>
      </c>
      <c r="L27" s="816" t="str">
        <f t="shared" si="18"/>
        <v>W</v>
      </c>
      <c r="M27" s="816">
        <f t="shared" si="19"/>
        <v>3</v>
      </c>
      <c r="N27" s="816" t="str">
        <f t="shared" si="27"/>
        <v>O</v>
      </c>
      <c r="O27" s="816">
        <f t="shared" si="21"/>
        <v>0.25</v>
      </c>
      <c r="P27" s="829">
        <f t="shared" si="22"/>
        <v>1</v>
      </c>
      <c r="Q27" s="830">
        <v>-0.25</v>
      </c>
      <c r="R27" s="871">
        <f t="shared" si="23"/>
        <v>1.25</v>
      </c>
      <c r="S27" s="830">
        <v>2.4300000000000002</v>
      </c>
      <c r="T27" s="871">
        <f t="shared" si="24"/>
        <v>0.56999999999999984</v>
      </c>
      <c r="U27" s="868">
        <f t="shared" si="25"/>
        <v>1.0900000000000001</v>
      </c>
      <c r="V27" s="868">
        <f t="shared" si="26"/>
        <v>1.34</v>
      </c>
      <c r="W27" s="829">
        <v>14</v>
      </c>
      <c r="X27" s="829">
        <v>13</v>
      </c>
      <c r="Y27" s="829">
        <v>4</v>
      </c>
      <c r="Z27" s="829">
        <v>5</v>
      </c>
      <c r="AA27" s="829">
        <v>58</v>
      </c>
      <c r="AB27" s="829">
        <v>42</v>
      </c>
      <c r="AC27" s="829"/>
      <c r="AD27" s="816" t="str">
        <f t="array" ref="AD27">IF($J27="","",IF(SUM(IF(ISNUMBER(VALUE(RIGHT($AG27:$DY27,1))),VALUE(RIGHT($AG27:$DY27,1)),0))=$J27,"T","F"))</f>
        <v>T</v>
      </c>
      <c r="AE27" s="831">
        <f t="array" ref="AE27">IF($J27="","",SUM(IF(LEFT($AG27:$DY27,1)="s",1,0))-SUM(IF(RIGHT(LEFT($AG27:$DY27,2))="-",1,0)))</f>
        <v>0</v>
      </c>
      <c r="AF27" s="816">
        <f t="array" ref="AF27">IF($J27="","",SUM(IF(LEFT($AG27:$DY27,1)="X",1,0)))</f>
        <v>11</v>
      </c>
      <c r="AG27" s="891" t="s">
        <v>34</v>
      </c>
      <c r="AH27" s="891" t="s">
        <v>32</v>
      </c>
      <c r="AI27" s="891" t="s">
        <v>1877</v>
      </c>
      <c r="AJ27" s="891" t="s">
        <v>32</v>
      </c>
      <c r="AK27" s="891" t="s">
        <v>34</v>
      </c>
      <c r="AL27" s="891" t="s">
        <v>34</v>
      </c>
      <c r="AM27" s="891" t="s">
        <v>32</v>
      </c>
      <c r="AN27" s="910"/>
      <c r="AO27" s="891" t="s">
        <v>32</v>
      </c>
      <c r="AP27" s="904" t="s">
        <v>34</v>
      </c>
      <c r="AQ27" s="910"/>
      <c r="AR27" s="891" t="s">
        <v>2137</v>
      </c>
      <c r="AS27" s="891" t="s">
        <v>34</v>
      </c>
      <c r="AT27" s="891" t="s">
        <v>32</v>
      </c>
      <c r="AU27" s="891" t="s">
        <v>1877</v>
      </c>
      <c r="AV27" s="891" t="s">
        <v>1877</v>
      </c>
      <c r="AW27" s="891" t="s">
        <v>34</v>
      </c>
      <c r="AX27" s="891" t="s">
        <v>32</v>
      </c>
      <c r="AY27" s="910"/>
      <c r="AZ27" s="891" t="s">
        <v>32</v>
      </c>
      <c r="BA27" s="910"/>
      <c r="BB27" s="891" t="s">
        <v>34</v>
      </c>
      <c r="BC27" s="891" t="s">
        <v>36</v>
      </c>
      <c r="BD27" s="891" t="s">
        <v>35</v>
      </c>
      <c r="BE27" s="891" t="s">
        <v>36</v>
      </c>
      <c r="BF27" s="906" t="s">
        <v>2138</v>
      </c>
      <c r="BG27" s="891" t="s">
        <v>35</v>
      </c>
      <c r="BH27" s="891" t="s">
        <v>32</v>
      </c>
      <c r="BI27" s="891" t="s">
        <v>34</v>
      </c>
      <c r="BJ27" s="891"/>
      <c r="BK27" s="891">
        <v>2</v>
      </c>
      <c r="BL27" s="891" t="s">
        <v>1877</v>
      </c>
      <c r="BM27" s="891" t="s">
        <v>34</v>
      </c>
      <c r="BN27" s="891" t="s">
        <v>32</v>
      </c>
      <c r="BO27" s="891" t="s">
        <v>32</v>
      </c>
      <c r="BP27" s="891" t="s">
        <v>32</v>
      </c>
      <c r="BQ27" s="891" t="s">
        <v>32</v>
      </c>
      <c r="BR27" s="891" t="s">
        <v>32</v>
      </c>
      <c r="BS27" s="891"/>
      <c r="BT27" s="891"/>
      <c r="BU27" s="891"/>
      <c r="BV27" s="891"/>
      <c r="BW27" s="896"/>
      <c r="BX27" s="896"/>
      <c r="BY27" s="896"/>
      <c r="BZ27" s="896"/>
      <c r="CA27" s="896"/>
      <c r="CB27" s="896"/>
      <c r="CC27" s="896"/>
      <c r="CD27" s="896"/>
      <c r="CE27" s="896"/>
      <c r="CF27" s="896"/>
      <c r="CG27" s="428"/>
      <c r="CH27" s="428"/>
      <c r="CI27" s="428"/>
      <c r="CJ27" s="428"/>
      <c r="CK27" s="230" t="s">
        <v>32</v>
      </c>
      <c r="CL27" s="230" t="s">
        <v>32</v>
      </c>
      <c r="CM27" s="230" t="s">
        <v>32</v>
      </c>
      <c r="CN27" s="230" t="s">
        <v>32</v>
      </c>
      <c r="CO27" s="230" t="s">
        <v>32</v>
      </c>
      <c r="CP27" s="230" t="s">
        <v>32</v>
      </c>
      <c r="CQ27" s="230" t="s">
        <v>32</v>
      </c>
    </row>
    <row r="28" spans="1:117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21</v>
      </c>
      <c r="G28" s="879" t="s">
        <v>890</v>
      </c>
      <c r="H28" s="879" t="s">
        <v>22</v>
      </c>
      <c r="I28" s="879" t="s">
        <v>891</v>
      </c>
      <c r="J28" s="846">
        <v>5</v>
      </c>
      <c r="K28" s="846">
        <v>1</v>
      </c>
      <c r="L28" s="816" t="str">
        <f>IF(J28="","",IF(J28&gt;K28,"W",IF(J28=K28,"D",IF(J28&lt;K28,"L"))))</f>
        <v>W</v>
      </c>
      <c r="M28" s="816">
        <f>IF(J28="","",J28+K28)</f>
        <v>6</v>
      </c>
      <c r="N28" s="816" t="str">
        <f t="shared" si="27"/>
        <v>O</v>
      </c>
      <c r="O28" s="816">
        <f t="shared" ref="O28:O62" si="28">IF(Q28="","",IF(SIGN(Q28)&lt;&gt;1,VLOOKUP(ABS(Q28),SUP_HDC,3,TRUE),-VLOOKUP(ABS(Q28),SUP_HDC,3,TRUE)))</f>
        <v>-0.75</v>
      </c>
      <c r="P28" s="829">
        <f t="shared" ref="P28:P62" si="29">IF(O28="","",IF((J28-K28+O28)&gt;=0.5,1,IF((J28-K28+O28)=0.25,0.5,IF((J28-K28+O28)&lt;=-0.5,-1,IF((J28-K28+O28)=-0.25,-0.5,0)))))</f>
        <v>1</v>
      </c>
      <c r="Q28" s="830">
        <v>0.77</v>
      </c>
      <c r="R28" s="871">
        <f t="shared" ref="R28:R33" si="30">IF(ISBLANK(Q28),"",J28-K28-Q28)</f>
        <v>3.23</v>
      </c>
      <c r="S28" s="830">
        <v>2.33</v>
      </c>
      <c r="T28" s="871">
        <f t="shared" ref="T28:T67" si="31">IF(ISBLANK(S28),"",J28+K28-S28)</f>
        <v>3.67</v>
      </c>
      <c r="U28" s="868">
        <f t="shared" ref="U28:U62" si="32">IF(Q28="","",(Q28+S28)/2)</f>
        <v>1.55</v>
      </c>
      <c r="V28" s="868">
        <f t="shared" ref="V28:V62" si="33">IF(Q28="","",S28-U28)</f>
        <v>0.78</v>
      </c>
      <c r="W28" s="829">
        <v>21</v>
      </c>
      <c r="X28" s="829">
        <v>23</v>
      </c>
      <c r="Y28" s="829">
        <v>9</v>
      </c>
      <c r="Z28" s="829">
        <v>7</v>
      </c>
      <c r="AA28" s="829">
        <v>56</v>
      </c>
      <c r="AB28" s="829">
        <v>44</v>
      </c>
      <c r="AC28" s="829"/>
      <c r="AD28" s="816" t="str">
        <f t="array" ref="AD28">IF($J28="","",IF(SUM(IF(ISNUMBER(VALUE(RIGHT($AG28:$DY28,1))),VALUE(RIGHT($AG28:$DY28,1)),0))=$J28,"T","F"))</f>
        <v>T</v>
      </c>
      <c r="AE28" s="831">
        <f t="array" ref="AE28">IF($J28="","",SUM(IF(LEFT($AG28:$DY28,1)="s",1,0))-SUM(IF(RIGHT(LEFT($AG28:$DY28,2))="-",1,0)))</f>
        <v>0</v>
      </c>
      <c r="AF28" s="816">
        <f t="array" ref="AF28">IF($J28="","",SUM(IF(LEFT($AG28:$DY28,1)="X",1,0)))</f>
        <v>11</v>
      </c>
      <c r="AG28" s="891" t="s">
        <v>34</v>
      </c>
      <c r="AH28" s="891" t="s">
        <v>32</v>
      </c>
      <c r="AI28" s="891" t="s">
        <v>1877</v>
      </c>
      <c r="AJ28" s="891" t="s">
        <v>32</v>
      </c>
      <c r="AK28" s="891" t="s">
        <v>34</v>
      </c>
      <c r="AL28" s="891" t="s">
        <v>34</v>
      </c>
      <c r="AM28" s="891" t="s">
        <v>32</v>
      </c>
      <c r="AN28" s="910"/>
      <c r="AO28" s="891" t="s">
        <v>32</v>
      </c>
      <c r="AP28" s="891" t="s">
        <v>34</v>
      </c>
      <c r="AQ28" s="910"/>
      <c r="AR28" s="891" t="s">
        <v>32</v>
      </c>
      <c r="AS28" s="904" t="s">
        <v>34</v>
      </c>
      <c r="AT28" s="891" t="s">
        <v>32</v>
      </c>
      <c r="AU28" s="891" t="s">
        <v>36</v>
      </c>
      <c r="AV28" s="891" t="s">
        <v>32</v>
      </c>
      <c r="AW28" s="891" t="s">
        <v>34</v>
      </c>
      <c r="AX28" s="891" t="s">
        <v>32</v>
      </c>
      <c r="AY28" s="910"/>
      <c r="AZ28" s="891" t="s">
        <v>32</v>
      </c>
      <c r="BA28" s="910"/>
      <c r="BB28" s="891" t="s">
        <v>2158</v>
      </c>
      <c r="BC28" s="891" t="s">
        <v>2166</v>
      </c>
      <c r="BD28" s="891" t="s">
        <v>2161</v>
      </c>
      <c r="BE28" s="891" t="s">
        <v>1877</v>
      </c>
      <c r="BF28" s="904" t="s">
        <v>35</v>
      </c>
      <c r="BG28" s="891" t="s">
        <v>35</v>
      </c>
      <c r="BH28" s="891" t="s">
        <v>32</v>
      </c>
      <c r="BI28" s="891" t="s">
        <v>2167</v>
      </c>
      <c r="BJ28" s="891" t="s">
        <v>1877</v>
      </c>
      <c r="BK28" s="891"/>
      <c r="BL28" s="891" t="s">
        <v>36</v>
      </c>
      <c r="BM28" s="891" t="s">
        <v>1877</v>
      </c>
      <c r="BN28" s="891" t="s">
        <v>32</v>
      </c>
      <c r="BO28" s="891" t="s">
        <v>32</v>
      </c>
      <c r="BP28" s="891" t="s">
        <v>32</v>
      </c>
      <c r="BQ28" s="891" t="s">
        <v>32</v>
      </c>
      <c r="BR28" s="891" t="s">
        <v>32</v>
      </c>
      <c r="BS28" s="891"/>
      <c r="BT28" s="891"/>
      <c r="BU28" s="891"/>
      <c r="BV28" s="891"/>
      <c r="BW28" s="896"/>
      <c r="BX28" s="896"/>
      <c r="BY28" s="896"/>
      <c r="BZ28" s="896"/>
      <c r="CA28" s="896"/>
      <c r="CB28" s="896"/>
      <c r="CC28" s="896"/>
      <c r="CD28" s="896"/>
      <c r="CE28" s="896"/>
      <c r="CF28" s="896"/>
      <c r="CG28" s="428"/>
      <c r="CH28" s="428"/>
      <c r="CI28" s="428"/>
      <c r="CJ28" s="428"/>
      <c r="CK28" s="230" t="s">
        <v>32</v>
      </c>
      <c r="CL28" s="230" t="s">
        <v>32</v>
      </c>
      <c r="CM28" s="230" t="s">
        <v>32</v>
      </c>
      <c r="CN28" s="230" t="s">
        <v>32</v>
      </c>
      <c r="CO28" s="230" t="s">
        <v>32</v>
      </c>
      <c r="CP28" s="230" t="s">
        <v>32</v>
      </c>
      <c r="CQ28" s="230" t="s">
        <v>32</v>
      </c>
    </row>
    <row r="29" spans="1:117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19</v>
      </c>
      <c r="G29" s="879" t="s">
        <v>885</v>
      </c>
      <c r="H29" s="879" t="s">
        <v>22</v>
      </c>
      <c r="I29" s="879" t="s">
        <v>891</v>
      </c>
      <c r="J29" s="846">
        <v>2</v>
      </c>
      <c r="K29" s="846">
        <v>1</v>
      </c>
      <c r="L29" s="816" t="str">
        <f t="shared" ref="L29:L33" si="34">IF(J29="","",IF(J29&gt;K29,"W",IF(J29=K29,"D",IF(J29&lt;K29,"L"))))</f>
        <v>W</v>
      </c>
      <c r="M29" s="816">
        <f t="shared" ref="M29:M33" si="35">IF(J29="","",J29+K29)</f>
        <v>3</v>
      </c>
      <c r="N29" s="816" t="str">
        <f t="shared" si="27"/>
        <v>O</v>
      </c>
      <c r="O29" s="816">
        <f t="shared" si="28"/>
        <v>-0.5</v>
      </c>
      <c r="P29" s="829">
        <f t="shared" si="29"/>
        <v>1</v>
      </c>
      <c r="Q29" s="830">
        <v>0.7</v>
      </c>
      <c r="R29" s="871">
        <f t="shared" si="30"/>
        <v>0.30000000000000004</v>
      </c>
      <c r="S29" s="830">
        <v>2.58</v>
      </c>
      <c r="T29" s="871">
        <f t="shared" si="31"/>
        <v>0.41999999999999993</v>
      </c>
      <c r="U29" s="868">
        <f t="shared" si="32"/>
        <v>1.6400000000000001</v>
      </c>
      <c r="V29" s="868">
        <f t="shared" si="33"/>
        <v>0.94</v>
      </c>
      <c r="W29" s="829">
        <v>9</v>
      </c>
      <c r="X29" s="829">
        <v>15</v>
      </c>
      <c r="Y29" s="829">
        <v>5</v>
      </c>
      <c r="Z29" s="829">
        <v>7</v>
      </c>
      <c r="AA29" s="829">
        <v>60</v>
      </c>
      <c r="AB29" s="829">
        <v>40</v>
      </c>
      <c r="AC29" s="829"/>
      <c r="AD29" s="816" t="str">
        <f t="array" ref="AD29">IF($J29="","",IF(SUM(IF(ISNUMBER(VALUE(RIGHT($AG29:$DY29,1))),VALUE(RIGHT($AG29:$DY29,1)),0))=$J29,"T","F"))</f>
        <v>T</v>
      </c>
      <c r="AE29" s="831">
        <f t="array" ref="AE29">IF($J29="","",SUM(IF(LEFT($AG29:$DY29,1)="s",1,0))-SUM(IF(RIGHT(LEFT($AG29:$DY29,2))="-",1,0)))</f>
        <v>0</v>
      </c>
      <c r="AF29" s="816">
        <f t="array" ref="AF29">IF($J29="","",SUM(IF(LEFT($AG29:$DY29,1)="X",1,0)))</f>
        <v>11</v>
      </c>
      <c r="AG29" s="891" t="s">
        <v>34</v>
      </c>
      <c r="AH29" s="891" t="s">
        <v>32</v>
      </c>
      <c r="AI29" s="891" t="s">
        <v>1877</v>
      </c>
      <c r="AJ29" s="891" t="s">
        <v>32</v>
      </c>
      <c r="AK29" s="891" t="s">
        <v>34</v>
      </c>
      <c r="AL29" s="891" t="s">
        <v>34</v>
      </c>
      <c r="AM29" s="891" t="s">
        <v>32</v>
      </c>
      <c r="AN29" s="910"/>
      <c r="AO29" s="891" t="s">
        <v>1877</v>
      </c>
      <c r="AP29" s="891" t="s">
        <v>34</v>
      </c>
      <c r="AQ29" s="910"/>
      <c r="AR29" s="891" t="s">
        <v>34</v>
      </c>
      <c r="AS29" s="904" t="s">
        <v>34</v>
      </c>
      <c r="AT29" s="891" t="s">
        <v>32</v>
      </c>
      <c r="AU29" s="891" t="s">
        <v>1877</v>
      </c>
      <c r="AV29" s="891" t="s">
        <v>32</v>
      </c>
      <c r="AW29" s="891" t="s">
        <v>1886</v>
      </c>
      <c r="AX29" s="891" t="s">
        <v>32</v>
      </c>
      <c r="AY29" s="910"/>
      <c r="AZ29" s="891" t="s">
        <v>32</v>
      </c>
      <c r="BA29" s="910"/>
      <c r="BB29" s="891" t="s">
        <v>34</v>
      </c>
      <c r="BC29" s="904" t="s">
        <v>34</v>
      </c>
      <c r="BD29" s="891" t="s">
        <v>2191</v>
      </c>
      <c r="BE29" s="891" t="s">
        <v>36</v>
      </c>
      <c r="BF29" s="891" t="s">
        <v>2193</v>
      </c>
      <c r="BG29" s="904" t="s">
        <v>2192</v>
      </c>
      <c r="BH29" s="891" t="s">
        <v>32</v>
      </c>
      <c r="BI29" s="891" t="s">
        <v>34</v>
      </c>
      <c r="BJ29" s="891" t="s">
        <v>35</v>
      </c>
      <c r="BK29" s="891"/>
      <c r="BL29" s="891" t="s">
        <v>32</v>
      </c>
      <c r="BM29" s="891" t="s">
        <v>32</v>
      </c>
      <c r="BN29" s="891" t="s">
        <v>1877</v>
      </c>
      <c r="BO29" s="891" t="s">
        <v>32</v>
      </c>
      <c r="BP29" s="891" t="s">
        <v>1877</v>
      </c>
      <c r="BQ29" s="891" t="s">
        <v>32</v>
      </c>
      <c r="BR29" s="891" t="s">
        <v>32</v>
      </c>
      <c r="BS29" s="891"/>
      <c r="BT29" s="891"/>
      <c r="BU29" s="891"/>
      <c r="BV29" s="891"/>
      <c r="BW29" s="896"/>
      <c r="BX29" s="896"/>
      <c r="BY29" s="896"/>
      <c r="BZ29" s="896"/>
      <c r="CA29" s="896"/>
      <c r="CB29" s="896"/>
      <c r="CC29" s="896"/>
      <c r="CD29" s="896"/>
      <c r="CE29" s="896"/>
      <c r="CF29" s="896"/>
      <c r="CG29" s="4"/>
      <c r="CH29" s="4"/>
      <c r="CI29" s="4"/>
      <c r="CJ29" s="4"/>
      <c r="CK29" s="4" t="s">
        <v>32</v>
      </c>
      <c r="CL29" s="4" t="s">
        <v>32</v>
      </c>
      <c r="CM29" s="4" t="s">
        <v>32</v>
      </c>
      <c r="CN29" s="6" t="s">
        <v>32</v>
      </c>
      <c r="CO29" s="6" t="s">
        <v>32</v>
      </c>
      <c r="CP29" s="6" t="s">
        <v>32</v>
      </c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20"/>
    </row>
    <row r="30" spans="1:117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7</v>
      </c>
      <c r="G30" s="879" t="s">
        <v>888</v>
      </c>
      <c r="H30" s="879" t="s">
        <v>18</v>
      </c>
      <c r="I30" s="879" t="s">
        <v>891</v>
      </c>
      <c r="J30" s="846">
        <v>2</v>
      </c>
      <c r="K30" s="846">
        <v>2</v>
      </c>
      <c r="L30" s="816" t="str">
        <f t="shared" si="34"/>
        <v>D</v>
      </c>
      <c r="M30" s="816">
        <f t="shared" si="35"/>
        <v>4</v>
      </c>
      <c r="N30" s="816" t="str">
        <f t="shared" si="27"/>
        <v>O</v>
      </c>
      <c r="O30" s="816">
        <f t="shared" si="28"/>
        <v>0</v>
      </c>
      <c r="P30" s="829">
        <f t="shared" si="29"/>
        <v>0</v>
      </c>
      <c r="Q30" s="830">
        <v>-0.03</v>
      </c>
      <c r="R30" s="871">
        <f t="shared" si="30"/>
        <v>0.03</v>
      </c>
      <c r="S30" s="830">
        <v>2.41</v>
      </c>
      <c r="T30" s="871">
        <f t="shared" si="31"/>
        <v>1.5899999999999999</v>
      </c>
      <c r="U30" s="868">
        <f t="shared" si="32"/>
        <v>1.1900000000000002</v>
      </c>
      <c r="V30" s="868">
        <f t="shared" si="33"/>
        <v>1.22</v>
      </c>
      <c r="W30" s="829">
        <v>9</v>
      </c>
      <c r="X30" s="829">
        <v>18</v>
      </c>
      <c r="Y30" s="829">
        <v>3</v>
      </c>
      <c r="Z30" s="829">
        <v>7</v>
      </c>
      <c r="AA30" s="829">
        <v>50</v>
      </c>
      <c r="AB30" s="829">
        <v>50</v>
      </c>
      <c r="AC30" s="829"/>
      <c r="AD30" s="816" t="str">
        <f t="array" ref="AD30">IF($J30="","",IF(SUM(IF(ISNUMBER(VALUE(RIGHT($AG30:$DY30,1))),VALUE(RIGHT($AG30:$DY30,1)),0))=$J30,"T","F"))</f>
        <v>T</v>
      </c>
      <c r="AE30" s="831">
        <f t="array" ref="AE30">IF($J30="","",SUM(IF(LEFT($AG30:$DY30,1)="s",1,0))-SUM(IF(RIGHT(LEFT($AG30:$DY30,2))="-",1,0)))</f>
        <v>0</v>
      </c>
      <c r="AF30" s="816">
        <f t="array" ref="AF30">IF($J30="","",SUM(IF(LEFT($AG30:$DY30,1)="X",1,0)))</f>
        <v>11</v>
      </c>
      <c r="AG30" s="891" t="s">
        <v>34</v>
      </c>
      <c r="AH30" s="891" t="s">
        <v>32</v>
      </c>
      <c r="AI30" s="891" t="s">
        <v>1877</v>
      </c>
      <c r="AJ30" s="891" t="s">
        <v>32</v>
      </c>
      <c r="AK30" s="891" t="s">
        <v>34</v>
      </c>
      <c r="AL30" s="891" t="s">
        <v>35</v>
      </c>
      <c r="AM30" s="891" t="s">
        <v>32</v>
      </c>
      <c r="AN30" s="910"/>
      <c r="AO30" s="891" t="s">
        <v>1877</v>
      </c>
      <c r="AP30" s="904" t="s">
        <v>34</v>
      </c>
      <c r="AQ30" s="910"/>
      <c r="AR30" s="904" t="s">
        <v>34</v>
      </c>
      <c r="AS30" s="891" t="s">
        <v>34</v>
      </c>
      <c r="AT30" s="891" t="s">
        <v>32</v>
      </c>
      <c r="AU30" s="891" t="s">
        <v>36</v>
      </c>
      <c r="AV30" s="891" t="s">
        <v>1877</v>
      </c>
      <c r="AW30" s="891" t="s">
        <v>1886</v>
      </c>
      <c r="AX30" s="891" t="s">
        <v>32</v>
      </c>
      <c r="AY30" s="910"/>
      <c r="AZ30" s="891" t="s">
        <v>32</v>
      </c>
      <c r="BA30" s="910"/>
      <c r="BB30" s="891" t="s">
        <v>34</v>
      </c>
      <c r="BC30" s="891" t="s">
        <v>2234</v>
      </c>
      <c r="BD30" s="891" t="s">
        <v>1886</v>
      </c>
      <c r="BE30" s="891" t="s">
        <v>1877</v>
      </c>
      <c r="BF30" s="891" t="s">
        <v>35</v>
      </c>
      <c r="BG30" s="891" t="s">
        <v>34</v>
      </c>
      <c r="BH30" s="891" t="s">
        <v>32</v>
      </c>
      <c r="BI30" s="891" t="s">
        <v>2230</v>
      </c>
      <c r="BJ30" s="891" t="s">
        <v>36</v>
      </c>
      <c r="BK30" s="891"/>
      <c r="BL30" s="891" t="s">
        <v>32</v>
      </c>
      <c r="BM30" s="891" t="s">
        <v>32</v>
      </c>
      <c r="BN30" s="891" t="s">
        <v>32</v>
      </c>
      <c r="BO30" s="891" t="s">
        <v>32</v>
      </c>
      <c r="BP30" s="891" t="s">
        <v>36</v>
      </c>
      <c r="BQ30" s="891" t="s">
        <v>32</v>
      </c>
      <c r="BR30" s="891" t="s">
        <v>32</v>
      </c>
      <c r="BS30" s="891"/>
      <c r="BT30" s="891"/>
      <c r="BU30" s="891"/>
      <c r="BV30" s="891"/>
      <c r="BW30" s="896"/>
      <c r="BX30" s="896"/>
      <c r="BY30" s="896"/>
      <c r="BZ30" s="896"/>
      <c r="CA30" s="896"/>
      <c r="CB30" s="896"/>
      <c r="CC30" s="896"/>
      <c r="CD30" s="896"/>
      <c r="CE30" s="896"/>
      <c r="CF30" s="896"/>
      <c r="CG30" s="865"/>
      <c r="CH30" s="865"/>
      <c r="CI30" s="865"/>
      <c r="CJ30" s="865"/>
      <c r="CK30" s="865" t="s">
        <v>32</v>
      </c>
      <c r="CL30" s="865" t="s">
        <v>32</v>
      </c>
      <c r="CM30" s="865" t="s">
        <v>32</v>
      </c>
      <c r="CN30" s="4" t="s">
        <v>32</v>
      </c>
      <c r="CO30" s="6" t="s">
        <v>32</v>
      </c>
      <c r="CP30" s="6" t="s">
        <v>32</v>
      </c>
      <c r="CQ30" s="6" t="s">
        <v>32</v>
      </c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</row>
    <row r="31" spans="1:117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20</v>
      </c>
      <c r="G31" s="879" t="s">
        <v>882</v>
      </c>
      <c r="H31" s="879" t="s">
        <v>22</v>
      </c>
      <c r="I31" s="879" t="s">
        <v>891</v>
      </c>
      <c r="J31" s="846">
        <v>0</v>
      </c>
      <c r="K31" s="846">
        <v>2</v>
      </c>
      <c r="L31" s="816" t="str">
        <f t="shared" si="34"/>
        <v>L</v>
      </c>
      <c r="M31" s="816">
        <f t="shared" si="35"/>
        <v>2</v>
      </c>
      <c r="N31" s="816" t="str">
        <f t="shared" si="27"/>
        <v>U</v>
      </c>
      <c r="O31" s="816">
        <f t="shared" si="28"/>
        <v>-0.25</v>
      </c>
      <c r="P31" s="829">
        <f t="shared" si="29"/>
        <v>-1</v>
      </c>
      <c r="Q31" s="830">
        <v>0.33</v>
      </c>
      <c r="R31" s="871">
        <f t="shared" si="30"/>
        <v>-2.33</v>
      </c>
      <c r="S31" s="830">
        <v>2.81</v>
      </c>
      <c r="T31" s="871">
        <f t="shared" si="31"/>
        <v>-0.81</v>
      </c>
      <c r="U31" s="868">
        <f t="shared" si="32"/>
        <v>1.57</v>
      </c>
      <c r="V31" s="868">
        <f t="shared" si="33"/>
        <v>1.24</v>
      </c>
      <c r="W31" s="829">
        <v>22</v>
      </c>
      <c r="X31" s="829">
        <v>10</v>
      </c>
      <c r="Y31" s="829">
        <v>4</v>
      </c>
      <c r="Z31" s="829">
        <v>4</v>
      </c>
      <c r="AA31" s="829">
        <v>62</v>
      </c>
      <c r="AB31" s="829">
        <v>38</v>
      </c>
      <c r="AC31" s="829"/>
      <c r="AD31" s="816" t="str">
        <f t="array" ref="AD31">IF($J31="","",IF(SUM(IF(ISNUMBER(VALUE(RIGHT($AG31:$DY31,1))),VALUE(RIGHT($AG31:$DY31,1)),0))=$J31,"T","F"))</f>
        <v>T</v>
      </c>
      <c r="AE31" s="831">
        <f t="array" ref="AE31">IF($J31="","",SUM(IF(LEFT($AG31:$DY31,1)="s",1,0))-SUM(IF(RIGHT(LEFT($AG31:$DY31,2))="-",1,0)))</f>
        <v>0</v>
      </c>
      <c r="AF31" s="816">
        <f t="array" ref="AF31">IF($J31="","",SUM(IF(LEFT($AG31:$DY31,1)="X",1,0)))</f>
        <v>11</v>
      </c>
      <c r="AG31" s="891" t="s">
        <v>34</v>
      </c>
      <c r="AH31" s="891" t="s">
        <v>32</v>
      </c>
      <c r="AI31" s="891" t="s">
        <v>1877</v>
      </c>
      <c r="AJ31" s="891" t="s">
        <v>32</v>
      </c>
      <c r="AK31" s="891" t="s">
        <v>34</v>
      </c>
      <c r="AL31" s="891" t="s">
        <v>34</v>
      </c>
      <c r="AM31" s="891" t="s">
        <v>32</v>
      </c>
      <c r="AN31" s="910"/>
      <c r="AO31" s="891" t="s">
        <v>34</v>
      </c>
      <c r="AP31" s="891" t="s">
        <v>34</v>
      </c>
      <c r="AQ31" s="910"/>
      <c r="AR31" s="891" t="s">
        <v>34</v>
      </c>
      <c r="AS31" s="891" t="s">
        <v>1877</v>
      </c>
      <c r="AT31" s="891" t="s">
        <v>32</v>
      </c>
      <c r="AU31" s="891" t="s">
        <v>35</v>
      </c>
      <c r="AV31" s="891" t="s">
        <v>32</v>
      </c>
      <c r="AW31" s="906" t="s">
        <v>2303</v>
      </c>
      <c r="AX31" s="891" t="s">
        <v>32</v>
      </c>
      <c r="AY31" s="910"/>
      <c r="AZ31" s="891" t="s">
        <v>32</v>
      </c>
      <c r="BA31" s="910"/>
      <c r="BB31" s="891" t="s">
        <v>34</v>
      </c>
      <c r="BC31" s="891" t="s">
        <v>36</v>
      </c>
      <c r="BD31" s="891" t="s">
        <v>1886</v>
      </c>
      <c r="BE31" s="891" t="s">
        <v>35</v>
      </c>
      <c r="BF31" s="891" t="s">
        <v>1877</v>
      </c>
      <c r="BG31" s="891" t="s">
        <v>34</v>
      </c>
      <c r="BH31" s="891" t="s">
        <v>32</v>
      </c>
      <c r="BI31" s="891" t="s">
        <v>36</v>
      </c>
      <c r="BJ31" s="891" t="s">
        <v>35</v>
      </c>
      <c r="BK31" s="891"/>
      <c r="BL31" s="891" t="s">
        <v>32</v>
      </c>
      <c r="BM31" s="891" t="s">
        <v>32</v>
      </c>
      <c r="BN31" s="891" t="s">
        <v>32</v>
      </c>
      <c r="BO31" s="891" t="s">
        <v>32</v>
      </c>
      <c r="BP31" s="891" t="s">
        <v>1877</v>
      </c>
      <c r="BQ31" s="891" t="s">
        <v>32</v>
      </c>
      <c r="BR31" s="891" t="s">
        <v>32</v>
      </c>
      <c r="BS31" s="891"/>
      <c r="BT31" s="891"/>
      <c r="BU31" s="891"/>
      <c r="BV31" s="891"/>
      <c r="BW31" s="896"/>
      <c r="BX31" s="896"/>
      <c r="BY31" s="896"/>
      <c r="BZ31" s="896"/>
      <c r="CA31" s="896"/>
      <c r="CB31" s="896"/>
      <c r="CC31" s="896"/>
      <c r="CD31" s="896"/>
      <c r="CE31" s="896"/>
      <c r="CF31" s="896"/>
      <c r="CG31" s="4"/>
      <c r="CH31" s="4"/>
      <c r="CI31" s="4"/>
      <c r="CJ31" s="4"/>
      <c r="CK31" s="4" t="s">
        <v>32</v>
      </c>
      <c r="CL31" s="4" t="s">
        <v>32</v>
      </c>
      <c r="CM31" s="4" t="s">
        <v>32</v>
      </c>
      <c r="CN31" s="4" t="s">
        <v>32</v>
      </c>
      <c r="CO31" s="6" t="s">
        <v>32</v>
      </c>
      <c r="CP31" s="6" t="s">
        <v>32</v>
      </c>
      <c r="CQ31" s="6" t="s">
        <v>32</v>
      </c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</row>
    <row r="32" spans="1:117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22</v>
      </c>
      <c r="G32" s="879" t="s">
        <v>1087</v>
      </c>
      <c r="H32" s="879" t="s">
        <v>18</v>
      </c>
      <c r="I32" s="879" t="s">
        <v>891</v>
      </c>
      <c r="J32" s="846">
        <v>4</v>
      </c>
      <c r="K32" s="846">
        <v>1</v>
      </c>
      <c r="L32" s="816" t="str">
        <f t="shared" si="34"/>
        <v>W</v>
      </c>
      <c r="M32" s="816">
        <f t="shared" si="35"/>
        <v>5</v>
      </c>
      <c r="N32" s="816" t="str">
        <f t="shared" si="27"/>
        <v>O</v>
      </c>
      <c r="O32" s="816">
        <f t="shared" si="28"/>
        <v>-0.5</v>
      </c>
      <c r="P32" s="829">
        <f t="shared" si="29"/>
        <v>1</v>
      </c>
      <c r="Q32" s="830">
        <v>0.65</v>
      </c>
      <c r="R32" s="871">
        <f t="shared" si="30"/>
        <v>2.35</v>
      </c>
      <c r="S32" s="830">
        <v>2.75</v>
      </c>
      <c r="T32" s="871">
        <f t="shared" si="31"/>
        <v>2.25</v>
      </c>
      <c r="U32" s="868">
        <f t="shared" si="32"/>
        <v>1.7</v>
      </c>
      <c r="V32" s="868">
        <f t="shared" si="33"/>
        <v>1.05</v>
      </c>
      <c r="W32" s="829">
        <v>10</v>
      </c>
      <c r="X32" s="829">
        <v>14</v>
      </c>
      <c r="Y32" s="829">
        <v>5</v>
      </c>
      <c r="Z32" s="829">
        <v>2</v>
      </c>
      <c r="AA32" s="829">
        <v>63</v>
      </c>
      <c r="AB32" s="829">
        <v>37</v>
      </c>
      <c r="AC32" s="829"/>
      <c r="AD32" s="816" t="str">
        <f t="array" ref="AD32">IF($J32="","",IF(SUM(IF(ISNUMBER(VALUE(RIGHT($AG32:$DY32,1))),VALUE(RIGHT($AG32:$DY32,1)),0))=$J32,"T","F"))</f>
        <v>T</v>
      </c>
      <c r="AE32" s="831">
        <f t="array" ref="AE32">IF($J32="","",SUM(IF(LEFT($AG32:$DY32,1)="s",1,0))-SUM(IF(RIGHT(LEFT($AG32:$DY32,2))="-",1,0)))</f>
        <v>0</v>
      </c>
      <c r="AF32" s="816">
        <f t="array" ref="AF32">IF($J32="","",SUM(IF(LEFT($AG32:$DY32,1)="X",1,0)))</f>
        <v>11</v>
      </c>
      <c r="AG32" s="891" t="s">
        <v>2344</v>
      </c>
      <c r="AH32" s="891"/>
      <c r="AI32" s="891" t="s">
        <v>2351</v>
      </c>
      <c r="AJ32" s="891"/>
      <c r="AK32" s="891"/>
      <c r="AL32" s="891" t="s">
        <v>2345</v>
      </c>
      <c r="AM32" s="891"/>
      <c r="AN32" s="910"/>
      <c r="AO32" s="891" t="s">
        <v>1879</v>
      </c>
      <c r="AP32" s="891" t="s">
        <v>871</v>
      </c>
      <c r="AQ32" s="910"/>
      <c r="AR32" s="891" t="s">
        <v>2345</v>
      </c>
      <c r="AS32" s="891"/>
      <c r="AT32" s="891" t="s">
        <v>2351</v>
      </c>
      <c r="AU32" s="891" t="s">
        <v>2351</v>
      </c>
      <c r="AV32" s="904" t="s">
        <v>2379</v>
      </c>
      <c r="AW32" s="891" t="s">
        <v>870</v>
      </c>
      <c r="AX32" s="891"/>
      <c r="AY32" s="910"/>
      <c r="AZ32" s="891"/>
      <c r="BA32" s="910"/>
      <c r="BB32" s="891" t="s">
        <v>1879</v>
      </c>
      <c r="BC32" s="891" t="s">
        <v>2380</v>
      </c>
      <c r="BD32" s="891" t="s">
        <v>2186</v>
      </c>
      <c r="BE32" s="891"/>
      <c r="BF32" s="891" t="s">
        <v>2350</v>
      </c>
      <c r="BG32" s="891" t="s">
        <v>2345</v>
      </c>
      <c r="BH32" s="891"/>
      <c r="BI32" s="891" t="s">
        <v>2399</v>
      </c>
      <c r="BJ32" s="891" t="s">
        <v>1647</v>
      </c>
      <c r="BK32" s="891"/>
      <c r="BL32" s="891"/>
      <c r="BM32" s="906" t="s">
        <v>2383</v>
      </c>
      <c r="BN32" s="891"/>
      <c r="BO32" s="891"/>
      <c r="BP32" s="891"/>
      <c r="BQ32" s="891" t="s">
        <v>2345</v>
      </c>
      <c r="BR32" s="891"/>
      <c r="BS32" s="891"/>
      <c r="BT32" s="891"/>
      <c r="BU32" s="891"/>
      <c r="BV32" s="891"/>
      <c r="BW32" s="896"/>
      <c r="BX32" s="896"/>
      <c r="BY32" s="896"/>
      <c r="BZ32" s="896"/>
      <c r="CA32" s="896"/>
      <c r="CB32" s="896"/>
      <c r="CC32" s="896"/>
      <c r="CD32" s="896"/>
      <c r="CE32" s="896"/>
      <c r="CF32" s="891"/>
      <c r="CG32" s="4"/>
      <c r="CH32" s="4"/>
      <c r="CI32" s="4"/>
      <c r="CJ32" s="4"/>
      <c r="CK32" s="4" t="s">
        <v>32</v>
      </c>
      <c r="CL32" s="4" t="s">
        <v>32</v>
      </c>
      <c r="CM32" s="4" t="s">
        <v>32</v>
      </c>
      <c r="CN32" s="4" t="s">
        <v>32</v>
      </c>
      <c r="CO32" s="6" t="s">
        <v>32</v>
      </c>
      <c r="CP32" s="6" t="s">
        <v>32</v>
      </c>
      <c r="CQ32" s="6" t="s">
        <v>32</v>
      </c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</row>
    <row r="33" spans="1:122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12</v>
      </c>
      <c r="G33" s="879" t="s">
        <v>879</v>
      </c>
      <c r="H33" s="879" t="s">
        <v>22</v>
      </c>
      <c r="I33" s="879" t="s">
        <v>891</v>
      </c>
      <c r="J33" s="846">
        <v>1</v>
      </c>
      <c r="K33" s="846">
        <v>1</v>
      </c>
      <c r="L33" s="816" t="str">
        <f t="shared" si="34"/>
        <v>D</v>
      </c>
      <c r="M33" s="816">
        <f t="shared" si="35"/>
        <v>2</v>
      </c>
      <c r="N33" s="816" t="str">
        <f t="shared" si="27"/>
        <v>U</v>
      </c>
      <c r="O33" s="816">
        <f t="shared" si="28"/>
        <v>-0.25</v>
      </c>
      <c r="P33" s="829">
        <f t="shared" si="29"/>
        <v>-0.5</v>
      </c>
      <c r="Q33" s="830">
        <v>0.2</v>
      </c>
      <c r="R33" s="871">
        <f t="shared" si="30"/>
        <v>-0.2</v>
      </c>
      <c r="S33" s="830">
        <v>2.65</v>
      </c>
      <c r="T33" s="871">
        <f t="shared" si="31"/>
        <v>-0.64999999999999991</v>
      </c>
      <c r="U33" s="868">
        <f t="shared" si="32"/>
        <v>1.425</v>
      </c>
      <c r="V33" s="868">
        <f t="shared" si="33"/>
        <v>1.2249999999999999</v>
      </c>
      <c r="W33" s="829">
        <v>10</v>
      </c>
      <c r="X33" s="829">
        <v>16</v>
      </c>
      <c r="Y33" s="829">
        <v>5</v>
      </c>
      <c r="Z33" s="829">
        <v>4</v>
      </c>
      <c r="AA33" s="829">
        <v>64</v>
      </c>
      <c r="AB33" s="829">
        <v>36</v>
      </c>
      <c r="AC33" s="829"/>
      <c r="AD33" s="816" t="str">
        <f t="array" ref="AD33">IF($J33="","",IF(SUM(IF(ISNUMBER(VALUE(RIGHT($AG33:$DY33,1))),VALUE(RIGHT($AG33:$DY33,1)),0))=$J33,"T","F"))</f>
        <v>T</v>
      </c>
      <c r="AE33" s="831">
        <f t="array" ref="AE33">IF($J33="","",SUM(IF(LEFT($AG33:$DY33,1)="s",1,0))-SUM(IF(RIGHT(LEFT($AG33:$DY33,2))="-",1,0)))</f>
        <v>0</v>
      </c>
      <c r="AF33" s="816">
        <f t="array" ref="AF33">IF($J33="","",SUM(IF(LEFT($AG33:$DY33,1)="X",1,0)))</f>
        <v>11</v>
      </c>
      <c r="AG33" s="891" t="s">
        <v>34</v>
      </c>
      <c r="AH33" s="891" t="s">
        <v>32</v>
      </c>
      <c r="AI33" s="891" t="s">
        <v>1877</v>
      </c>
      <c r="AJ33" s="891" t="s">
        <v>32</v>
      </c>
      <c r="AK33" s="891" t="s">
        <v>35</v>
      </c>
      <c r="AL33" s="891" t="s">
        <v>34</v>
      </c>
      <c r="AM33" s="891" t="s">
        <v>32</v>
      </c>
      <c r="AN33" s="910"/>
      <c r="AO33" s="891" t="s">
        <v>34</v>
      </c>
      <c r="AP33" s="891" t="s">
        <v>1885</v>
      </c>
      <c r="AQ33" s="910"/>
      <c r="AR33" s="904" t="s">
        <v>34</v>
      </c>
      <c r="AS33" s="891" t="s">
        <v>32</v>
      </c>
      <c r="AT33" s="891" t="s">
        <v>1877</v>
      </c>
      <c r="AU33" s="891" t="s">
        <v>36</v>
      </c>
      <c r="AV33" s="891" t="s">
        <v>32</v>
      </c>
      <c r="AW33" s="891" t="s">
        <v>34</v>
      </c>
      <c r="AX33" s="891" t="s">
        <v>32</v>
      </c>
      <c r="AY33" s="910"/>
      <c r="AZ33" s="891" t="s">
        <v>32</v>
      </c>
      <c r="BA33" s="910"/>
      <c r="BB33" s="891" t="s">
        <v>2423</v>
      </c>
      <c r="BC33" s="891" t="s">
        <v>36</v>
      </c>
      <c r="BD33" s="891" t="s">
        <v>1886</v>
      </c>
      <c r="BE33" s="891" t="s">
        <v>32</v>
      </c>
      <c r="BF33" s="891" t="s">
        <v>36</v>
      </c>
      <c r="BG33" s="891" t="s">
        <v>34</v>
      </c>
      <c r="BH33" s="891" t="s">
        <v>32</v>
      </c>
      <c r="BI33" s="891" t="s">
        <v>32</v>
      </c>
      <c r="BJ33" s="904" t="s">
        <v>35</v>
      </c>
      <c r="BK33" s="891"/>
      <c r="BL33" s="891" t="s">
        <v>35</v>
      </c>
      <c r="BM33" s="891" t="s">
        <v>1877</v>
      </c>
      <c r="BN33" s="891" t="s">
        <v>32</v>
      </c>
      <c r="BO33" s="891" t="s">
        <v>32</v>
      </c>
      <c r="BP33" s="891" t="s">
        <v>1877</v>
      </c>
      <c r="BQ33" s="891" t="s">
        <v>34</v>
      </c>
      <c r="BR33" s="891" t="s">
        <v>32</v>
      </c>
      <c r="BS33" s="891"/>
      <c r="BT33" s="891"/>
      <c r="BU33" s="891"/>
      <c r="BV33" s="891"/>
      <c r="BW33" s="896"/>
      <c r="BX33" s="896"/>
      <c r="BY33" s="896"/>
      <c r="BZ33" s="891"/>
      <c r="CA33" s="891"/>
      <c r="CB33" s="891"/>
      <c r="CC33" s="891"/>
      <c r="CD33" s="891"/>
      <c r="CE33" s="891"/>
      <c r="CF33" s="891"/>
      <c r="CG33" s="428"/>
      <c r="CH33" s="428"/>
      <c r="CI33" s="428"/>
      <c r="CJ33" s="428"/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  <c r="CP33" s="230" t="s">
        <v>32</v>
      </c>
      <c r="CQ33" s="230" t="s">
        <v>32</v>
      </c>
    </row>
    <row r="34" spans="1:122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11</v>
      </c>
      <c r="G34" s="879" t="s">
        <v>874</v>
      </c>
      <c r="H34" s="879" t="s">
        <v>18</v>
      </c>
      <c r="I34" s="879" t="s">
        <v>891</v>
      </c>
      <c r="J34" s="846">
        <v>0</v>
      </c>
      <c r="K34" s="846">
        <v>0</v>
      </c>
      <c r="L34" s="816" t="str">
        <f>IF(J34="","",IF(J34&gt;K34,"W",IF(J34=K34,"D",IF(J34&lt;K34,"L"))))</f>
        <v>D</v>
      </c>
      <c r="M34" s="816">
        <f>IF(J34="","",J34+K34)</f>
        <v>0</v>
      </c>
      <c r="N34" s="816" t="str">
        <f>IF($J34="","",IF($M34&gt;N$19,"O",IF($M34&lt;N$19,"U",IF($M34=N$19,"-"))))</f>
        <v>U</v>
      </c>
      <c r="O34" s="816">
        <f t="shared" si="28"/>
        <v>0</v>
      </c>
      <c r="P34" s="829">
        <f t="shared" si="29"/>
        <v>0</v>
      </c>
      <c r="Q34" s="830">
        <v>0.05</v>
      </c>
      <c r="R34" s="871">
        <f>IF(ISBLANK(Q34),"",J34-K34-Q34)</f>
        <v>-0.05</v>
      </c>
      <c r="S34" s="830">
        <v>2.38</v>
      </c>
      <c r="T34" s="871">
        <f t="shared" si="31"/>
        <v>-2.38</v>
      </c>
      <c r="U34" s="868">
        <f t="shared" si="32"/>
        <v>1.2149999999999999</v>
      </c>
      <c r="V34" s="868">
        <f t="shared" si="33"/>
        <v>1.165</v>
      </c>
      <c r="W34" s="829">
        <v>9</v>
      </c>
      <c r="X34" s="829">
        <v>16</v>
      </c>
      <c r="Y34" s="829">
        <v>2</v>
      </c>
      <c r="Z34" s="829">
        <v>4</v>
      </c>
      <c r="AA34" s="829">
        <v>55</v>
      </c>
      <c r="AB34" s="829">
        <v>45</v>
      </c>
      <c r="AC34" s="829"/>
      <c r="AD34" s="816" t="str">
        <f t="array" ref="AD34">IF($J34="","",IF(SUM(IF(ISNUMBER(VALUE(RIGHT($AG34:$DY34,1))),VALUE(RIGHT($AG34:$DY34,1)),0))=$J34,"T","F"))</f>
        <v>T</v>
      </c>
      <c r="AE34" s="831">
        <f t="array" ref="AE34">IF($J34="","",SUM(IF(LEFT($AG34:$DY34,1)="s",1,0))-SUM(IF(RIGHT(LEFT($AG34:$DY34,2))="-",1,0)))</f>
        <v>0</v>
      </c>
      <c r="AF34" s="816">
        <f t="array" ref="AF34">IF($J34="","",SUM(IF(LEFT($AG34:$DY34,1)="X",1,0)))</f>
        <v>11</v>
      </c>
      <c r="AG34" s="891" t="s">
        <v>34</v>
      </c>
      <c r="AH34" s="891" t="s">
        <v>32</v>
      </c>
      <c r="AI34" s="891" t="s">
        <v>1877</v>
      </c>
      <c r="AJ34" s="891" t="s">
        <v>32</v>
      </c>
      <c r="AK34" s="891" t="s">
        <v>34</v>
      </c>
      <c r="AL34" s="891" t="s">
        <v>34</v>
      </c>
      <c r="AM34" s="891" t="s">
        <v>32</v>
      </c>
      <c r="AN34" s="910"/>
      <c r="AO34" s="891" t="s">
        <v>34</v>
      </c>
      <c r="AP34" s="891" t="s">
        <v>35</v>
      </c>
      <c r="AQ34" s="910"/>
      <c r="AR34" s="891" t="s">
        <v>34</v>
      </c>
      <c r="AS34" s="891" t="s">
        <v>32</v>
      </c>
      <c r="AT34" s="891" t="s">
        <v>1877</v>
      </c>
      <c r="AU34" s="891" t="s">
        <v>34</v>
      </c>
      <c r="AV34" s="891" t="s">
        <v>32</v>
      </c>
      <c r="AW34" s="891" t="s">
        <v>35</v>
      </c>
      <c r="AX34" s="891" t="s">
        <v>32</v>
      </c>
      <c r="AY34" s="910"/>
      <c r="AZ34" s="891" t="s">
        <v>32</v>
      </c>
      <c r="BA34" s="910"/>
      <c r="BB34" s="891" t="s">
        <v>34</v>
      </c>
      <c r="BC34" s="891" t="s">
        <v>36</v>
      </c>
      <c r="BD34" s="891" t="s">
        <v>1886</v>
      </c>
      <c r="BE34" s="891" t="s">
        <v>32</v>
      </c>
      <c r="BF34" s="891" t="s">
        <v>36</v>
      </c>
      <c r="BG34" s="891" t="s">
        <v>34</v>
      </c>
      <c r="BH34" s="891" t="s">
        <v>32</v>
      </c>
      <c r="BI34" s="891" t="s">
        <v>2439</v>
      </c>
      <c r="BJ34" s="891" t="s">
        <v>1877</v>
      </c>
      <c r="BK34" s="891"/>
      <c r="BL34" s="891" t="s">
        <v>32</v>
      </c>
      <c r="BM34" s="891" t="s">
        <v>1877</v>
      </c>
      <c r="BN34" s="891" t="s">
        <v>32</v>
      </c>
      <c r="BO34" s="891" t="s">
        <v>32</v>
      </c>
      <c r="BP34" s="891" t="s">
        <v>1877</v>
      </c>
      <c r="BQ34" s="891" t="s">
        <v>34</v>
      </c>
      <c r="BR34" s="891" t="s">
        <v>32</v>
      </c>
      <c r="BS34" s="891"/>
      <c r="BT34" s="891"/>
      <c r="BU34" s="891"/>
      <c r="BV34" s="891"/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428"/>
      <c r="CH34" s="428"/>
      <c r="CI34" s="428"/>
      <c r="CJ34" s="428"/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  <c r="CP34" s="230" t="s">
        <v>32</v>
      </c>
      <c r="CQ34" s="230" t="s">
        <v>32</v>
      </c>
    </row>
    <row r="35" spans="1:122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9</v>
      </c>
      <c r="G35" s="879" t="s">
        <v>1083</v>
      </c>
      <c r="H35" s="879" t="s">
        <v>18</v>
      </c>
      <c r="I35" s="879" t="s">
        <v>891</v>
      </c>
      <c r="J35" s="846">
        <v>1</v>
      </c>
      <c r="K35" s="846">
        <v>4</v>
      </c>
      <c r="L35" s="816" t="str">
        <f>IF(J35="","",IF(J35&gt;K35,"W",IF(J35=K35,"D",IF(J35&lt;K35,"L"))))</f>
        <v>L</v>
      </c>
      <c r="M35" s="816">
        <f>IF(J35="","",J35+K35)</f>
        <v>5</v>
      </c>
      <c r="N35" s="816" t="str">
        <f>IF($J35="","",IF($M35&gt;N$19,"O",IF($M35&lt;N$19,"U",IF($M35=N$19,"-"))))</f>
        <v>O</v>
      </c>
      <c r="O35" s="816">
        <f t="shared" si="28"/>
        <v>0</v>
      </c>
      <c r="P35" s="829">
        <f t="shared" si="29"/>
        <v>-1</v>
      </c>
      <c r="Q35" s="830">
        <v>-7.0000000000000007E-2</v>
      </c>
      <c r="R35" s="871">
        <f>IF(ISBLANK(Q35),"",J35-K35-Q35)</f>
        <v>-2.93</v>
      </c>
      <c r="S35" s="830">
        <v>2.5499999999999998</v>
      </c>
      <c r="T35" s="871">
        <f t="shared" si="31"/>
        <v>2.4500000000000002</v>
      </c>
      <c r="U35" s="868">
        <f t="shared" si="32"/>
        <v>1.24</v>
      </c>
      <c r="V35" s="868">
        <f t="shared" si="33"/>
        <v>1.3099999999999998</v>
      </c>
      <c r="W35" s="829">
        <v>12</v>
      </c>
      <c r="X35" s="829">
        <v>14</v>
      </c>
      <c r="Y35" s="829">
        <v>3</v>
      </c>
      <c r="Z35" s="829">
        <v>7</v>
      </c>
      <c r="AA35" s="829">
        <v>53</v>
      </c>
      <c r="AB35" s="829">
        <v>47</v>
      </c>
      <c r="AC35" s="829"/>
      <c r="AD35" s="816" t="str">
        <f t="array" ref="AD35">IF($J35="","",IF(SUM(IF(ISNUMBER(VALUE(RIGHT($AG35:$DY35,1))),VALUE(RIGHT($AG35:$DY35,1)),0))=$J35,"T","F"))</f>
        <v>T</v>
      </c>
      <c r="AE35" s="831">
        <f t="array" ref="AE35">IF($J35="","",SUM(IF(LEFT($AG35:$DY35,1)="s",1,0))-SUM(IF(RIGHT(LEFT($AG35:$DY35,2))="-",1,0)))</f>
        <v>0</v>
      </c>
      <c r="AF35" s="816">
        <f t="array" ref="AF35">IF($J35="","",SUM(IF(LEFT($AG35:$DY35,1)="X",1,0)))</f>
        <v>11</v>
      </c>
      <c r="AG35" s="891" t="s">
        <v>34</v>
      </c>
      <c r="AH35" s="891" t="s">
        <v>32</v>
      </c>
      <c r="AI35" s="891" t="s">
        <v>1877</v>
      </c>
      <c r="AJ35" s="891" t="s">
        <v>32</v>
      </c>
      <c r="AK35" s="891" t="s">
        <v>35</v>
      </c>
      <c r="AL35" s="891" t="s">
        <v>34</v>
      </c>
      <c r="AM35" s="891" t="s">
        <v>32</v>
      </c>
      <c r="AN35" s="910"/>
      <c r="AO35" s="891" t="s">
        <v>34</v>
      </c>
      <c r="AP35" s="891" t="s">
        <v>34</v>
      </c>
      <c r="AQ35" s="910"/>
      <c r="AR35" s="891" t="s">
        <v>34</v>
      </c>
      <c r="AS35" s="891" t="s">
        <v>1877</v>
      </c>
      <c r="AT35" s="891" t="s">
        <v>32</v>
      </c>
      <c r="AU35" s="891" t="s">
        <v>1877</v>
      </c>
      <c r="AV35" s="891" t="s">
        <v>1877</v>
      </c>
      <c r="AW35" s="891" t="s">
        <v>34</v>
      </c>
      <c r="AX35" s="891" t="s">
        <v>32</v>
      </c>
      <c r="AY35" s="910"/>
      <c r="AZ35" s="891" t="s">
        <v>32</v>
      </c>
      <c r="BA35" s="910"/>
      <c r="BB35" s="891" t="s">
        <v>2471</v>
      </c>
      <c r="BC35" s="891" t="s">
        <v>36</v>
      </c>
      <c r="BD35" s="891" t="s">
        <v>35</v>
      </c>
      <c r="BE35" s="891" t="s">
        <v>35</v>
      </c>
      <c r="BF35" s="891" t="s">
        <v>36</v>
      </c>
      <c r="BG35" s="891" t="s">
        <v>34</v>
      </c>
      <c r="BH35" s="891"/>
      <c r="BI35" s="891" t="s">
        <v>2422</v>
      </c>
      <c r="BJ35" s="891"/>
      <c r="BK35" s="891"/>
      <c r="BL35" s="891" t="s">
        <v>32</v>
      </c>
      <c r="BM35" s="891" t="s">
        <v>34</v>
      </c>
      <c r="BN35" s="891" t="s">
        <v>32</v>
      </c>
      <c r="BO35" s="891" t="s">
        <v>32</v>
      </c>
      <c r="BP35" s="891" t="s">
        <v>32</v>
      </c>
      <c r="BQ35" s="891" t="s">
        <v>32</v>
      </c>
      <c r="BR35" s="891" t="s">
        <v>32</v>
      </c>
      <c r="BS35" s="891"/>
      <c r="BT35" s="891"/>
      <c r="BU35" s="891"/>
      <c r="BV35" s="891"/>
      <c r="BW35" s="896"/>
      <c r="BX35" s="896"/>
      <c r="BY35" s="896"/>
      <c r="BZ35" s="896"/>
      <c r="CA35" s="896"/>
      <c r="CB35" s="896"/>
      <c r="CC35" s="896"/>
      <c r="CD35" s="896"/>
      <c r="CE35" s="896"/>
      <c r="CF35" s="896"/>
      <c r="CG35" s="428"/>
      <c r="CH35" s="428"/>
      <c r="CI35" s="428"/>
      <c r="CJ35" s="428"/>
    </row>
    <row r="36" spans="1:122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16</v>
      </c>
      <c r="G36" s="879" t="s">
        <v>872</v>
      </c>
      <c r="H36" s="879" t="s">
        <v>22</v>
      </c>
      <c r="I36" s="879" t="s">
        <v>891</v>
      </c>
      <c r="J36" s="846">
        <v>2</v>
      </c>
      <c r="K36" s="846">
        <v>1</v>
      </c>
      <c r="L36" s="816" t="str">
        <f t="shared" ref="L36:L67" si="36">IF(J36="","",IF(J36&gt;K36,"W",IF(J36=K36,"D",IF(J36&lt;K36,"L"))))</f>
        <v>W</v>
      </c>
      <c r="M36" s="816">
        <f t="shared" ref="M36:M67" si="37">IF(J36="","",J36+K36)</f>
        <v>3</v>
      </c>
      <c r="N36" s="816" t="str">
        <f t="shared" ref="N36:N69" si="38">IF($J36="","",IF($M36&gt;N$19,"O",IF($M36&lt;N$19,"U",IF($M36=N$19,"-"))))</f>
        <v>O</v>
      </c>
      <c r="O36" s="816">
        <f t="shared" si="28"/>
        <v>-0.25</v>
      </c>
      <c r="P36" s="829">
        <f t="shared" si="29"/>
        <v>1</v>
      </c>
      <c r="Q36" s="830">
        <v>0.19</v>
      </c>
      <c r="R36" s="871">
        <f t="shared" ref="R36:R52" si="39">IF(ISBLANK(Q36),"",J36-K36-Q36)</f>
        <v>0.81</v>
      </c>
      <c r="S36" s="830">
        <v>2.62</v>
      </c>
      <c r="T36" s="871">
        <f t="shared" si="31"/>
        <v>0.37999999999999989</v>
      </c>
      <c r="U36" s="868">
        <f t="shared" si="32"/>
        <v>1.405</v>
      </c>
      <c r="V36" s="868">
        <f t="shared" si="33"/>
        <v>1.2150000000000001</v>
      </c>
      <c r="W36" s="829">
        <v>19</v>
      </c>
      <c r="X36" s="829">
        <v>6</v>
      </c>
      <c r="Y36" s="829">
        <v>7</v>
      </c>
      <c r="Z36" s="829">
        <v>2</v>
      </c>
      <c r="AA36" s="829">
        <v>58</v>
      </c>
      <c r="AB36" s="829">
        <v>42</v>
      </c>
      <c r="AC36" s="829"/>
      <c r="AD36" s="816" t="str">
        <f t="array" ref="AD36">IF($J36="","",IF(SUM(IF(ISNUMBER(VALUE(RIGHT($AG36:$DY36,1))),VALUE(RIGHT($AG36:$DY36,1)),0))=$J36,"T","F"))</f>
        <v>T</v>
      </c>
      <c r="AE36" s="831">
        <f t="array" ref="AE36">IF($J36="","",SUM(IF(LEFT($AG36:$DY36,1)="s",1,0))-SUM(IF(RIGHT(LEFT($AG36:$DY36,2))="-",1,0)))</f>
        <v>0</v>
      </c>
      <c r="AF36" s="816">
        <f t="array" ref="AF36">IF($J36="","",SUM(IF(LEFT($AG36:$DY36,1)="X",1,0)))</f>
        <v>11</v>
      </c>
      <c r="AG36" s="891" t="s">
        <v>34</v>
      </c>
      <c r="AH36" s="891" t="s">
        <v>32</v>
      </c>
      <c r="AI36" s="891" t="s">
        <v>1877</v>
      </c>
      <c r="AJ36" s="891" t="s">
        <v>32</v>
      </c>
      <c r="AK36" s="891" t="s">
        <v>34</v>
      </c>
      <c r="AL36" s="891" t="s">
        <v>34</v>
      </c>
      <c r="AM36" s="891" t="s">
        <v>32</v>
      </c>
      <c r="AN36" s="910"/>
      <c r="AO36" s="891" t="s">
        <v>32</v>
      </c>
      <c r="AP36" s="891" t="s">
        <v>34</v>
      </c>
      <c r="AQ36" s="910"/>
      <c r="AR36" s="891" t="s">
        <v>34</v>
      </c>
      <c r="AS36" s="904" t="s">
        <v>34</v>
      </c>
      <c r="AT36" s="891" t="s">
        <v>1877</v>
      </c>
      <c r="AU36" s="891" t="s">
        <v>1877</v>
      </c>
      <c r="AV36" s="891" t="s">
        <v>32</v>
      </c>
      <c r="AW36" s="891" t="s">
        <v>34</v>
      </c>
      <c r="AX36" s="891" t="s">
        <v>32</v>
      </c>
      <c r="AY36" s="910"/>
      <c r="AZ36" s="891" t="s">
        <v>32</v>
      </c>
      <c r="BA36" s="910"/>
      <c r="BB36" s="891" t="s">
        <v>2489</v>
      </c>
      <c r="BC36" s="891" t="s">
        <v>36</v>
      </c>
      <c r="BD36" s="891" t="s">
        <v>1877</v>
      </c>
      <c r="BE36" s="891" t="s">
        <v>32</v>
      </c>
      <c r="BF36" s="891" t="s">
        <v>36</v>
      </c>
      <c r="BG36" s="891" t="s">
        <v>2490</v>
      </c>
      <c r="BH36" s="891" t="s">
        <v>32</v>
      </c>
      <c r="BI36" s="891" t="s">
        <v>1886</v>
      </c>
      <c r="BJ36" s="891" t="s">
        <v>35</v>
      </c>
      <c r="BK36" s="891"/>
      <c r="BL36" s="891" t="s">
        <v>32</v>
      </c>
      <c r="BM36" s="904" t="s">
        <v>34</v>
      </c>
      <c r="BN36" s="891" t="s">
        <v>32</v>
      </c>
      <c r="BO36" s="891" t="s">
        <v>32</v>
      </c>
      <c r="BP36" s="891" t="s">
        <v>32</v>
      </c>
      <c r="BQ36" s="891" t="s">
        <v>32</v>
      </c>
      <c r="BR36" s="891" t="s">
        <v>1877</v>
      </c>
      <c r="BS36" s="891"/>
      <c r="BT36" s="891"/>
      <c r="BU36" s="891"/>
      <c r="BV36" s="891"/>
      <c r="BW36" s="896"/>
      <c r="BX36" s="896"/>
      <c r="BY36" s="896"/>
      <c r="BZ36" s="896"/>
      <c r="CA36" s="896"/>
      <c r="CB36" s="896"/>
      <c r="CC36" s="896"/>
      <c r="CD36" s="896"/>
      <c r="CE36" s="896"/>
      <c r="CF36" s="896"/>
      <c r="CG36" s="428"/>
      <c r="CH36" s="428"/>
      <c r="CI36" s="428"/>
      <c r="CJ36" s="428"/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</row>
    <row r="37" spans="1:122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15</v>
      </c>
      <c r="G37" s="879" t="s">
        <v>881</v>
      </c>
      <c r="H37" s="879" t="s">
        <v>18</v>
      </c>
      <c r="I37" s="879" t="s">
        <v>891</v>
      </c>
      <c r="J37" s="846">
        <v>2</v>
      </c>
      <c r="K37" s="846">
        <v>1</v>
      </c>
      <c r="L37" s="816" t="str">
        <f t="shared" si="36"/>
        <v>W</v>
      </c>
      <c r="M37" s="816">
        <f t="shared" si="37"/>
        <v>3</v>
      </c>
      <c r="N37" s="816" t="str">
        <f t="shared" si="38"/>
        <v>O</v>
      </c>
      <c r="O37" s="816">
        <f t="shared" si="28"/>
        <v>0</v>
      </c>
      <c r="P37" s="829">
        <f t="shared" si="29"/>
        <v>1</v>
      </c>
      <c r="Q37" s="830">
        <v>0.04</v>
      </c>
      <c r="R37" s="871">
        <f t="shared" si="39"/>
        <v>0.96</v>
      </c>
      <c r="S37" s="830">
        <v>2.4900000000000002</v>
      </c>
      <c r="T37" s="871">
        <f t="shared" si="31"/>
        <v>0.50999999999999979</v>
      </c>
      <c r="U37" s="868">
        <f t="shared" si="32"/>
        <v>1.2650000000000001</v>
      </c>
      <c r="V37" s="868">
        <f t="shared" si="33"/>
        <v>1.2250000000000001</v>
      </c>
      <c r="W37" s="829">
        <v>12</v>
      </c>
      <c r="X37" s="829">
        <v>11</v>
      </c>
      <c r="Y37" s="829">
        <v>4</v>
      </c>
      <c r="Z37" s="829">
        <v>3</v>
      </c>
      <c r="AA37" s="829">
        <v>58</v>
      </c>
      <c r="AB37" s="829">
        <v>42</v>
      </c>
      <c r="AC37" s="829"/>
      <c r="AD37" s="816" t="str">
        <f t="array" ref="AD37">IF($J37="","",IF(SUM(IF(ISNUMBER(VALUE(RIGHT($AG37:$DY37,1))),VALUE(RIGHT($AG37:$DY37,1)),0))=$J37,"T","F"))</f>
        <v>T</v>
      </c>
      <c r="AE37" s="831">
        <f t="array" ref="AE37">IF($J37="","",SUM(IF(LEFT($AG37:$DY37,1)="s",1,0))-SUM(IF(RIGHT(LEFT($AG37:$DY37,2))="-",1,0)))</f>
        <v>0</v>
      </c>
      <c r="AF37" s="816">
        <f t="array" ref="AF37">IF($J37="","",SUM(IF(LEFT($AG37:$DY37,1)="X",1,0)))</f>
        <v>11</v>
      </c>
      <c r="AG37" s="891" t="s">
        <v>34</v>
      </c>
      <c r="AH37" s="891" t="s">
        <v>32</v>
      </c>
      <c r="AI37" s="891" t="s">
        <v>1877</v>
      </c>
      <c r="AJ37" s="891" t="s">
        <v>32</v>
      </c>
      <c r="AK37" s="891" t="s">
        <v>34</v>
      </c>
      <c r="AL37" s="891" t="s">
        <v>34</v>
      </c>
      <c r="AM37" s="891" t="s">
        <v>32</v>
      </c>
      <c r="AN37" s="910"/>
      <c r="AO37" s="891" t="s">
        <v>32</v>
      </c>
      <c r="AP37" s="891" t="s">
        <v>34</v>
      </c>
      <c r="AQ37" s="910"/>
      <c r="AR37" s="891" t="s">
        <v>2505</v>
      </c>
      <c r="AS37" s="891" t="s">
        <v>2516</v>
      </c>
      <c r="AT37" s="891" t="s">
        <v>32</v>
      </c>
      <c r="AU37" s="891" t="s">
        <v>36</v>
      </c>
      <c r="AV37" s="891" t="s">
        <v>35</v>
      </c>
      <c r="AW37" s="891" t="s">
        <v>34</v>
      </c>
      <c r="AX37" s="891" t="s">
        <v>32</v>
      </c>
      <c r="AY37" s="910"/>
      <c r="AZ37" s="891" t="s">
        <v>32</v>
      </c>
      <c r="BA37" s="910"/>
      <c r="BB37" s="904" t="s">
        <v>34</v>
      </c>
      <c r="BC37" s="891" t="s">
        <v>36</v>
      </c>
      <c r="BD37" s="891" t="s">
        <v>1877</v>
      </c>
      <c r="BE37" s="891" t="s">
        <v>1877</v>
      </c>
      <c r="BF37" s="891" t="s">
        <v>36</v>
      </c>
      <c r="BG37" s="891" t="s">
        <v>2515</v>
      </c>
      <c r="BH37" s="891" t="s">
        <v>32</v>
      </c>
      <c r="BI37" s="891" t="s">
        <v>1886</v>
      </c>
      <c r="BJ37" s="891" t="s">
        <v>35</v>
      </c>
      <c r="BK37" s="891"/>
      <c r="BL37" s="891" t="s">
        <v>32</v>
      </c>
      <c r="BM37" s="904" t="s">
        <v>34</v>
      </c>
      <c r="BN37" s="891" t="s">
        <v>32</v>
      </c>
      <c r="BO37" s="891" t="s">
        <v>32</v>
      </c>
      <c r="BP37" s="891" t="s">
        <v>32</v>
      </c>
      <c r="BQ37" s="891" t="s">
        <v>1877</v>
      </c>
      <c r="BR37" s="891" t="s">
        <v>32</v>
      </c>
      <c r="BS37" s="891"/>
      <c r="BT37" s="891"/>
      <c r="BU37" s="891"/>
      <c r="BV37" s="891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428"/>
      <c r="CH37" s="428"/>
      <c r="CI37" s="428"/>
      <c r="CJ37" s="428"/>
    </row>
    <row r="38" spans="1:122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10</v>
      </c>
      <c r="G38" s="879" t="s">
        <v>883</v>
      </c>
      <c r="H38" s="879" t="s">
        <v>18</v>
      </c>
      <c r="I38" s="879" t="s">
        <v>891</v>
      </c>
      <c r="J38" s="846">
        <v>2</v>
      </c>
      <c r="K38" s="908">
        <v>1</v>
      </c>
      <c r="L38" s="816" t="str">
        <f t="shared" si="36"/>
        <v>W</v>
      </c>
      <c r="M38" s="816">
        <f t="shared" si="37"/>
        <v>3</v>
      </c>
      <c r="N38" s="816" t="str">
        <f t="shared" si="38"/>
        <v>O</v>
      </c>
      <c r="O38" s="816">
        <f t="shared" si="28"/>
        <v>0</v>
      </c>
      <c r="P38" s="829">
        <f t="shared" si="29"/>
        <v>1</v>
      </c>
      <c r="Q38" s="830">
        <v>0.02</v>
      </c>
      <c r="R38" s="871">
        <f t="shared" si="39"/>
        <v>0.98</v>
      </c>
      <c r="S38" s="830">
        <v>2.5499999999999998</v>
      </c>
      <c r="T38" s="871">
        <f t="shared" si="31"/>
        <v>0.45000000000000018</v>
      </c>
      <c r="U38" s="868">
        <f t="shared" si="32"/>
        <v>1.2849999999999999</v>
      </c>
      <c r="V38" s="868">
        <f t="shared" si="33"/>
        <v>1.2649999999999999</v>
      </c>
      <c r="W38" s="829">
        <v>8</v>
      </c>
      <c r="X38" s="829">
        <v>10</v>
      </c>
      <c r="Y38" s="829">
        <v>3</v>
      </c>
      <c r="Z38" s="829">
        <v>5</v>
      </c>
      <c r="AA38" s="829">
        <v>57</v>
      </c>
      <c r="AB38" s="829">
        <v>43</v>
      </c>
      <c r="AC38" s="829"/>
      <c r="AD38" s="816" t="str">
        <f t="array" ref="AD38">IF($J38="","",IF(SUM(IF(ISNUMBER(VALUE(RIGHT($AG38:$DY38,1))),VALUE(RIGHT($AG38:$DY38,1)),0))=$J38,"T","F"))</f>
        <v>T</v>
      </c>
      <c r="AE38" s="831">
        <f t="array" ref="AE38">IF($J38="","",SUM(IF(LEFT($AG38:$DY38,1)="s",1,0))-SUM(IF(RIGHT(LEFT($AG38:$DY38,2))="-",1,0)))</f>
        <v>0</v>
      </c>
      <c r="AF38" s="816">
        <f t="array" ref="AF38">IF($J38="","",SUM(IF(LEFT($AG38:$DY38,1)="X",1,0)))</f>
        <v>11</v>
      </c>
      <c r="AG38" s="891" t="s">
        <v>34</v>
      </c>
      <c r="AH38" s="891" t="s">
        <v>32</v>
      </c>
      <c r="AI38" s="891" t="s">
        <v>1877</v>
      </c>
      <c r="AJ38" s="891" t="s">
        <v>32</v>
      </c>
      <c r="AK38" s="904" t="s">
        <v>34</v>
      </c>
      <c r="AL38" s="891" t="s">
        <v>34</v>
      </c>
      <c r="AM38" s="891" t="s">
        <v>32</v>
      </c>
      <c r="AN38" s="910"/>
      <c r="AO38" s="891" t="s">
        <v>34</v>
      </c>
      <c r="AP38" s="891" t="s">
        <v>35</v>
      </c>
      <c r="AQ38" s="910"/>
      <c r="AR38" s="891" t="s">
        <v>34</v>
      </c>
      <c r="AS38" s="904" t="s">
        <v>34</v>
      </c>
      <c r="AT38" s="891" t="s">
        <v>32</v>
      </c>
      <c r="AU38" s="891" t="s">
        <v>36</v>
      </c>
      <c r="AV38" s="891" t="s">
        <v>36</v>
      </c>
      <c r="AW38" s="891" t="s">
        <v>34</v>
      </c>
      <c r="AX38" s="891" t="s">
        <v>32</v>
      </c>
      <c r="AY38" s="910"/>
      <c r="AZ38" s="891" t="s">
        <v>32</v>
      </c>
      <c r="BA38" s="910"/>
      <c r="BB38" s="904" t="s">
        <v>2540</v>
      </c>
      <c r="BC38" s="891" t="s">
        <v>32</v>
      </c>
      <c r="BD38" s="891" t="s">
        <v>1877</v>
      </c>
      <c r="BE38" s="891" t="s">
        <v>1877</v>
      </c>
      <c r="BF38" s="891" t="s">
        <v>36</v>
      </c>
      <c r="BG38" s="891" t="s">
        <v>35</v>
      </c>
      <c r="BH38" s="891" t="s">
        <v>32</v>
      </c>
      <c r="BI38" s="891" t="s">
        <v>1886</v>
      </c>
      <c r="BJ38" s="904" t="s">
        <v>35</v>
      </c>
      <c r="BK38" s="891"/>
      <c r="BL38" s="891" t="s">
        <v>32</v>
      </c>
      <c r="BM38" s="891" t="s">
        <v>2550</v>
      </c>
      <c r="BN38" s="891" t="s">
        <v>32</v>
      </c>
      <c r="BO38" s="891" t="s">
        <v>32</v>
      </c>
      <c r="BP38" s="891" t="s">
        <v>32</v>
      </c>
      <c r="BQ38" s="891" t="s">
        <v>1877</v>
      </c>
      <c r="BR38" s="891" t="s">
        <v>32</v>
      </c>
      <c r="BS38" s="891"/>
      <c r="BT38" s="891"/>
      <c r="BU38" s="891"/>
      <c r="BV38" s="891"/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428"/>
      <c r="CH38" s="428"/>
      <c r="CI38" s="428"/>
      <c r="CJ38" s="428"/>
      <c r="CN38" s="4" t="s">
        <v>32</v>
      </c>
      <c r="CO38" s="6" t="s">
        <v>32</v>
      </c>
      <c r="CP38" s="6" t="s">
        <v>32</v>
      </c>
      <c r="CQ38" s="6" t="s">
        <v>32</v>
      </c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</row>
    <row r="39" spans="1:122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17</v>
      </c>
      <c r="G39" s="879" t="s">
        <v>875</v>
      </c>
      <c r="H39" s="879" t="s">
        <v>22</v>
      </c>
      <c r="I39" s="879" t="s">
        <v>891</v>
      </c>
      <c r="J39" s="846">
        <v>2</v>
      </c>
      <c r="K39" s="846">
        <v>3</v>
      </c>
      <c r="L39" s="816" t="str">
        <f t="shared" si="36"/>
        <v>L</v>
      </c>
      <c r="M39" s="816">
        <f t="shared" si="37"/>
        <v>5</v>
      </c>
      <c r="N39" s="816" t="str">
        <f t="shared" si="38"/>
        <v>O</v>
      </c>
      <c r="O39" s="816">
        <f t="shared" si="28"/>
        <v>-0.75</v>
      </c>
      <c r="P39" s="829">
        <f t="shared" si="29"/>
        <v>-1</v>
      </c>
      <c r="Q39" s="830">
        <v>0.86</v>
      </c>
      <c r="R39" s="871">
        <f t="shared" si="39"/>
        <v>-1.8599999999999999</v>
      </c>
      <c r="S39" s="830">
        <v>2.71</v>
      </c>
      <c r="T39" s="871">
        <f t="shared" si="31"/>
        <v>2.29</v>
      </c>
      <c r="U39" s="868">
        <f t="shared" si="32"/>
        <v>1.7849999999999999</v>
      </c>
      <c r="V39" s="868">
        <f t="shared" si="33"/>
        <v>0.92500000000000004</v>
      </c>
      <c r="W39" s="829">
        <v>19</v>
      </c>
      <c r="X39" s="829">
        <v>17</v>
      </c>
      <c r="Y39" s="829">
        <v>10</v>
      </c>
      <c r="Z39" s="829">
        <v>5</v>
      </c>
      <c r="AA39" s="829">
        <v>64</v>
      </c>
      <c r="AB39" s="829">
        <v>36</v>
      </c>
      <c r="AC39" s="829"/>
      <c r="AD39" s="816" t="str">
        <f t="array" ref="AD39">IF($J39="","",IF(SUM(IF(ISNUMBER(VALUE(RIGHT($AG39:$DY39,1))),VALUE(RIGHT($AG39:$DY39,1)),0))=$J39,"T","F"))</f>
        <v>T</v>
      </c>
      <c r="AE39" s="831">
        <f t="array" ref="AE39">IF($J39="","",SUM(IF(LEFT($AG39:$DY39,1)="s",1,0))-SUM(IF(RIGHT(LEFT($AG39:$DY39,2))="-",1,0)))</f>
        <v>0</v>
      </c>
      <c r="AF39" s="816">
        <f t="array" ref="AF39">IF($J39="","",SUM(IF(LEFT($AG39:$DY39,1)="X",1,0)))</f>
        <v>11</v>
      </c>
      <c r="AG39" s="891" t="s">
        <v>34</v>
      </c>
      <c r="AH39" s="891" t="s">
        <v>32</v>
      </c>
      <c r="AI39" s="891" t="s">
        <v>1877</v>
      </c>
      <c r="AJ39" s="891" t="s">
        <v>32</v>
      </c>
      <c r="AK39" s="891" t="s">
        <v>34</v>
      </c>
      <c r="AL39" s="891" t="s">
        <v>34</v>
      </c>
      <c r="AM39" s="891" t="s">
        <v>32</v>
      </c>
      <c r="AN39" s="910"/>
      <c r="AO39" s="891" t="s">
        <v>34</v>
      </c>
      <c r="AP39" s="891" t="s">
        <v>1877</v>
      </c>
      <c r="AQ39" s="910"/>
      <c r="AR39" s="891" t="s">
        <v>34</v>
      </c>
      <c r="AS39" s="891" t="s">
        <v>34</v>
      </c>
      <c r="AT39" s="891" t="s">
        <v>1877</v>
      </c>
      <c r="AU39" s="891" t="s">
        <v>36</v>
      </c>
      <c r="AV39" s="891" t="s">
        <v>35</v>
      </c>
      <c r="AW39" s="891" t="s">
        <v>34</v>
      </c>
      <c r="AX39" s="891" t="s">
        <v>32</v>
      </c>
      <c r="AY39" s="910"/>
      <c r="AZ39" s="891" t="s">
        <v>32</v>
      </c>
      <c r="BA39" s="910"/>
      <c r="BB39" s="891" t="s">
        <v>2557</v>
      </c>
      <c r="BC39" s="891" t="s">
        <v>1877</v>
      </c>
      <c r="BD39" s="891" t="s">
        <v>36</v>
      </c>
      <c r="BE39" s="891" t="s">
        <v>32</v>
      </c>
      <c r="BF39" s="891" t="s">
        <v>2559</v>
      </c>
      <c r="BG39" s="891" t="s">
        <v>35</v>
      </c>
      <c r="BH39" s="891" t="s">
        <v>32</v>
      </c>
      <c r="BI39" s="891" t="s">
        <v>2558</v>
      </c>
      <c r="BJ39" s="891" t="s">
        <v>35</v>
      </c>
      <c r="BK39" s="891"/>
      <c r="BL39" s="891" t="s">
        <v>32</v>
      </c>
      <c r="BM39" s="891" t="s">
        <v>1886</v>
      </c>
      <c r="BN39" s="891" t="s">
        <v>32</v>
      </c>
      <c r="BO39" s="891" t="s">
        <v>32</v>
      </c>
      <c r="BP39" s="891" t="s">
        <v>32</v>
      </c>
      <c r="BQ39" s="891" t="s">
        <v>32</v>
      </c>
      <c r="BR39" s="891" t="s">
        <v>32</v>
      </c>
      <c r="BS39" s="891"/>
      <c r="BT39" s="891"/>
      <c r="BU39" s="891"/>
      <c r="BV39" s="891"/>
      <c r="BW39" s="891"/>
      <c r="BX39" s="891"/>
      <c r="BY39" s="891"/>
      <c r="BZ39" s="891"/>
      <c r="CA39" s="891"/>
      <c r="CB39" s="891"/>
      <c r="CC39" s="891"/>
      <c r="CD39" s="896"/>
      <c r="CE39" s="896"/>
      <c r="CF39" s="896"/>
      <c r="CG39" s="428"/>
      <c r="CH39" s="428"/>
      <c r="CI39" s="428"/>
      <c r="CJ39" s="428"/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</row>
    <row r="40" spans="1:122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5</v>
      </c>
      <c r="G40" s="879" t="s">
        <v>889</v>
      </c>
      <c r="H40" s="879" t="s">
        <v>18</v>
      </c>
      <c r="I40" s="879" t="s">
        <v>891</v>
      </c>
      <c r="J40" s="846">
        <v>1</v>
      </c>
      <c r="K40" s="846">
        <v>2</v>
      </c>
      <c r="L40" s="816" t="str">
        <f t="shared" si="36"/>
        <v>L</v>
      </c>
      <c r="M40" s="816">
        <f t="shared" si="37"/>
        <v>3</v>
      </c>
      <c r="N40" s="816" t="str">
        <f t="shared" si="38"/>
        <v>O</v>
      </c>
      <c r="O40" s="816">
        <f t="shared" si="28"/>
        <v>0</v>
      </c>
      <c r="P40" s="829">
        <f t="shared" si="29"/>
        <v>-1</v>
      </c>
      <c r="Q40" s="830">
        <v>-0.03</v>
      </c>
      <c r="R40" s="871">
        <f t="shared" si="39"/>
        <v>-0.97</v>
      </c>
      <c r="S40" s="830">
        <v>2.75</v>
      </c>
      <c r="T40" s="871">
        <f t="shared" si="31"/>
        <v>0.25</v>
      </c>
      <c r="U40" s="868">
        <f t="shared" si="32"/>
        <v>1.36</v>
      </c>
      <c r="V40" s="868">
        <f t="shared" si="33"/>
        <v>1.39</v>
      </c>
      <c r="W40" s="829">
        <v>21</v>
      </c>
      <c r="X40" s="829">
        <v>14</v>
      </c>
      <c r="Y40" s="829">
        <v>4</v>
      </c>
      <c r="Z40" s="829">
        <v>8</v>
      </c>
      <c r="AA40" s="829">
        <v>54</v>
      </c>
      <c r="AB40" s="829">
        <v>46</v>
      </c>
      <c r="AC40" s="829"/>
      <c r="AD40" s="816" t="str">
        <f t="array" ref="AD40">IF($J40="","",IF(SUM(IF(ISNUMBER(VALUE(RIGHT($AG40:$DY40,1))),VALUE(RIGHT($AG40:$DY40,1)),0))=$J40,"T","F"))</f>
        <v>T</v>
      </c>
      <c r="AE40" s="831">
        <f t="array" ref="AE40">IF($J40="","",SUM(IF(LEFT($AG40:$DY40,1)="s",1,0))-SUM(IF(RIGHT(LEFT($AG40:$DY40,2))="-",1,0)))</f>
        <v>0</v>
      </c>
      <c r="AF40" s="816">
        <f t="array" ref="AF40">IF($J40="","",SUM(IF(LEFT($AG40:$DY40,1)="X",1,0)))</f>
        <v>11</v>
      </c>
      <c r="AG40" s="891" t="s">
        <v>2601</v>
      </c>
      <c r="AH40" s="891" t="s">
        <v>1877</v>
      </c>
      <c r="AI40" s="891" t="s">
        <v>34</v>
      </c>
      <c r="AJ40" s="891" t="s">
        <v>32</v>
      </c>
      <c r="AK40" s="891" t="s">
        <v>34</v>
      </c>
      <c r="AL40" s="891" t="s">
        <v>34</v>
      </c>
      <c r="AM40" s="891" t="s">
        <v>32</v>
      </c>
      <c r="AN40" s="910"/>
      <c r="AO40" s="891" t="s">
        <v>1877</v>
      </c>
      <c r="AP40" s="891" t="s">
        <v>1877</v>
      </c>
      <c r="AQ40" s="910"/>
      <c r="AR40" s="891" t="s">
        <v>34</v>
      </c>
      <c r="AS40" s="891" t="s">
        <v>34</v>
      </c>
      <c r="AT40" s="904" t="s">
        <v>34</v>
      </c>
      <c r="AU40" s="891" t="s">
        <v>35</v>
      </c>
      <c r="AV40" s="891" t="s">
        <v>35</v>
      </c>
      <c r="AW40" s="891" t="s">
        <v>34</v>
      </c>
      <c r="AX40" s="891" t="s">
        <v>32</v>
      </c>
      <c r="AY40" s="910"/>
      <c r="AZ40" s="891" t="s">
        <v>32</v>
      </c>
      <c r="BA40" s="910"/>
      <c r="BB40" s="891" t="s">
        <v>34</v>
      </c>
      <c r="BC40" s="891" t="s">
        <v>1877</v>
      </c>
      <c r="BD40" s="891" t="s">
        <v>36</v>
      </c>
      <c r="BE40" s="891" t="s">
        <v>32</v>
      </c>
      <c r="BF40" s="891" t="s">
        <v>36</v>
      </c>
      <c r="BG40" s="891" t="s">
        <v>2602</v>
      </c>
      <c r="BH40" s="891" t="s">
        <v>32</v>
      </c>
      <c r="BI40" s="891" t="s">
        <v>36</v>
      </c>
      <c r="BJ40" s="891" t="s">
        <v>2583</v>
      </c>
      <c r="BK40" s="891"/>
      <c r="BL40" s="891" t="s">
        <v>32</v>
      </c>
      <c r="BM40" s="891" t="s">
        <v>1886</v>
      </c>
      <c r="BN40" s="891" t="s">
        <v>32</v>
      </c>
      <c r="BO40" s="891" t="s">
        <v>32</v>
      </c>
      <c r="BP40" s="891" t="s">
        <v>32</v>
      </c>
      <c r="BQ40" s="891" t="s">
        <v>32</v>
      </c>
      <c r="BR40" s="891" t="s">
        <v>32</v>
      </c>
      <c r="BS40" s="891"/>
      <c r="BT40" s="891"/>
      <c r="BU40" s="891"/>
      <c r="BV40" s="891"/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428"/>
      <c r="CH40" s="428"/>
      <c r="CI40" s="428"/>
      <c r="CJ40" s="428"/>
      <c r="CO40" s="4" t="s">
        <v>32</v>
      </c>
      <c r="CP40" s="4" t="s">
        <v>32</v>
      </c>
      <c r="CQ40" s="4" t="s">
        <v>32</v>
      </c>
      <c r="CR40" s="4" t="s">
        <v>32</v>
      </c>
      <c r="CS40" s="4" t="s">
        <v>32</v>
      </c>
      <c r="CT40" s="4" t="s">
        <v>32</v>
      </c>
      <c r="CU40" s="6" t="s">
        <v>32</v>
      </c>
      <c r="CV40" s="6" t="s">
        <v>32</v>
      </c>
      <c r="CW40" s="6" t="s">
        <v>32</v>
      </c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</row>
    <row r="41" spans="1:122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4</v>
      </c>
      <c r="G41" s="879" t="s">
        <v>1084</v>
      </c>
      <c r="H41" s="879" t="s">
        <v>18</v>
      </c>
      <c r="I41" s="879" t="s">
        <v>891</v>
      </c>
      <c r="J41" s="908">
        <v>1</v>
      </c>
      <c r="K41" s="846">
        <v>3</v>
      </c>
      <c r="L41" s="816" t="str">
        <f t="shared" si="36"/>
        <v>L</v>
      </c>
      <c r="M41" s="816">
        <f t="shared" si="37"/>
        <v>4</v>
      </c>
      <c r="N41" s="816" t="str">
        <f t="shared" si="38"/>
        <v>O</v>
      </c>
      <c r="O41" s="816">
        <f t="shared" si="28"/>
        <v>0.25</v>
      </c>
      <c r="P41" s="829">
        <f t="shared" si="29"/>
        <v>-1</v>
      </c>
      <c r="Q41" s="830">
        <v>-0.24</v>
      </c>
      <c r="R41" s="871">
        <f t="shared" si="39"/>
        <v>-1.76</v>
      </c>
      <c r="S41" s="830">
        <v>2.7</v>
      </c>
      <c r="T41" s="871">
        <f t="shared" si="31"/>
        <v>1.2999999999999998</v>
      </c>
      <c r="U41" s="868">
        <f t="shared" si="32"/>
        <v>1.23</v>
      </c>
      <c r="V41" s="868">
        <f t="shared" si="33"/>
        <v>1.4700000000000002</v>
      </c>
      <c r="W41" s="829">
        <v>6</v>
      </c>
      <c r="X41" s="829">
        <v>20</v>
      </c>
      <c r="Y41" s="829">
        <v>1</v>
      </c>
      <c r="Z41" s="829">
        <v>7</v>
      </c>
      <c r="AA41" s="829">
        <v>52</v>
      </c>
      <c r="AB41" s="829">
        <v>48</v>
      </c>
      <c r="AC41" s="829"/>
      <c r="AD41" s="816" t="str">
        <f t="array" ref="AD41">IF($J41="","",IF(SUM(IF(ISNUMBER(VALUE(RIGHT($AG41:$DY41,1))),VALUE(RIGHT($AG41:$DY41,1)),0))=$J41,"T","F"))</f>
        <v>T</v>
      </c>
      <c r="AE41" s="831">
        <f t="array" ref="AE41">IF($J41="","",SUM(IF(LEFT($AG41:$DY41,1)="s",1,0))-SUM(IF(RIGHT(LEFT($AG41:$DY41,2))="-",1,0)))</f>
        <v>0</v>
      </c>
      <c r="AF41" s="816">
        <f t="array" ref="AF41">IF($J41="","",SUM(IF(LEFT($AG41:$DY41,1)="X",1,0)))</f>
        <v>11</v>
      </c>
      <c r="AG41" s="891" t="s">
        <v>1886</v>
      </c>
      <c r="AH41" s="891" t="s">
        <v>1877</v>
      </c>
      <c r="AI41" s="891" t="s">
        <v>34</v>
      </c>
      <c r="AJ41" s="891" t="s">
        <v>32</v>
      </c>
      <c r="AK41" s="891" t="s">
        <v>36</v>
      </c>
      <c r="AL41" s="891" t="s">
        <v>34</v>
      </c>
      <c r="AM41" s="891" t="s">
        <v>32</v>
      </c>
      <c r="AN41" s="910"/>
      <c r="AO41" s="891" t="s">
        <v>32</v>
      </c>
      <c r="AP41" s="891" t="s">
        <v>36</v>
      </c>
      <c r="AQ41" s="910"/>
      <c r="AR41" s="891" t="s">
        <v>34</v>
      </c>
      <c r="AS41" s="891" t="s">
        <v>34</v>
      </c>
      <c r="AT41" s="891" t="s">
        <v>34</v>
      </c>
      <c r="AU41" s="891" t="s">
        <v>2665</v>
      </c>
      <c r="AV41" s="891" t="s">
        <v>34</v>
      </c>
      <c r="AW41" s="891" t="s">
        <v>34</v>
      </c>
      <c r="AX41" s="891" t="s">
        <v>32</v>
      </c>
      <c r="AY41" s="910"/>
      <c r="AZ41" s="891" t="s">
        <v>32</v>
      </c>
      <c r="BA41" s="910"/>
      <c r="BB41" s="891" t="s">
        <v>2667</v>
      </c>
      <c r="BC41" s="891" t="s">
        <v>32</v>
      </c>
      <c r="BD41" s="891" t="s">
        <v>1877</v>
      </c>
      <c r="BE41" s="909" t="s">
        <v>34</v>
      </c>
      <c r="BF41" s="891" t="s">
        <v>32</v>
      </c>
      <c r="BG41" s="891" t="s">
        <v>2666</v>
      </c>
      <c r="BH41" s="891" t="s">
        <v>32</v>
      </c>
      <c r="BI41" s="891" t="s">
        <v>36</v>
      </c>
      <c r="BJ41" s="891" t="s">
        <v>35</v>
      </c>
      <c r="BK41" s="891"/>
      <c r="BL41" s="891" t="s">
        <v>32</v>
      </c>
      <c r="BM41" s="891" t="s">
        <v>1877</v>
      </c>
      <c r="BN41" s="891" t="s">
        <v>1877</v>
      </c>
      <c r="BO41" s="891" t="s">
        <v>32</v>
      </c>
      <c r="BP41" s="891" t="s">
        <v>32</v>
      </c>
      <c r="BQ41" s="891" t="s">
        <v>35</v>
      </c>
      <c r="BR41" s="891" t="s">
        <v>32</v>
      </c>
      <c r="BS41" s="891"/>
      <c r="BT41" s="891"/>
      <c r="BU41" s="891"/>
      <c r="BV41" s="891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428"/>
      <c r="CH41" s="428"/>
      <c r="CI41" s="428"/>
      <c r="CJ41" s="428"/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  <c r="CP41" s="230" t="s">
        <v>32</v>
      </c>
      <c r="CQ41" s="230" t="s">
        <v>32</v>
      </c>
    </row>
    <row r="42" spans="1:122" ht="15">
      <c r="A42" s="912">
        <v>6382</v>
      </c>
      <c r="B42" s="894"/>
      <c r="C42" s="894"/>
      <c r="D42" s="894"/>
      <c r="E42" s="894"/>
      <c r="F42" s="894"/>
      <c r="G42" s="828" t="s">
        <v>2656</v>
      </c>
      <c r="H42" s="828" t="s">
        <v>22</v>
      </c>
      <c r="I42" s="828" t="s">
        <v>2649</v>
      </c>
      <c r="J42" s="895">
        <v>6</v>
      </c>
      <c r="K42" s="895">
        <v>0</v>
      </c>
      <c r="L42" s="816" t="str">
        <f t="shared" ref="L42" si="40">IF(J42="","",IF(J42&gt;K42,"W",IF(J42=K42,"D",IF(J42&lt;K42,"L"))))</f>
        <v>W</v>
      </c>
      <c r="M42" s="816">
        <f t="shared" ref="M42" si="41">IF(J42="","",J42+K42)</f>
        <v>6</v>
      </c>
      <c r="N42" s="816" t="str">
        <f t="shared" si="38"/>
        <v>O</v>
      </c>
      <c r="O42" s="816" t="str">
        <f t="shared" ref="O42" si="42">IF(Q42="","",IF(SIGN(Q42)&lt;&gt;1,VLOOKUP(ABS(Q42),SUP_HDC,3,TRUE),-VLOOKUP(ABS(Q42),SUP_HDC,3,TRUE)))</f>
        <v/>
      </c>
      <c r="P42" s="829" t="str">
        <f t="shared" ref="P42" si="43">IF(O42="","",IF((J42-K42+O42)&gt;=0.5,1,IF((J42-K42+O42)=0.25,0.5,IF((J42-K42+O42)&lt;=-0.5,-1,IF((J42-K42+O42)=-0.25,-0.5,0)))))</f>
        <v/>
      </c>
      <c r="Q42" s="830"/>
      <c r="R42" s="871" t="str">
        <f t="shared" ref="R42" si="44">IF(ISBLANK(Q42),"",J42-K42-Q42)</f>
        <v/>
      </c>
      <c r="S42" s="830"/>
      <c r="T42" s="871" t="str">
        <f t="shared" ref="T42" si="45">IF(ISBLANK(S42),"",J42+K42-S42)</f>
        <v/>
      </c>
      <c r="U42" s="868" t="str">
        <f t="shared" ref="U42" si="46">IF(Q42="","",(Q42+S42)/2)</f>
        <v/>
      </c>
      <c r="V42" s="868" t="str">
        <f t="shared" ref="V42" si="47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IF($J42="","",IF(SUM(IF(ISNUMBER(VALUE(RIGHT($AG42:$DY42,1))),VALUE(RIGHT($AG42:$DY42,1)),0))=$J42,"T","F"))</f>
        <v>T</v>
      </c>
      <c r="AE42" s="831">
        <f t="array" ref="AE42">IF($J42="","",SUM(IF(LEFT($AG42:$DY42,1)="s",1,0))-SUM(IF(RIGHT(LEFT($AG42:$DY42,2))="-",1,0)))</f>
        <v>0</v>
      </c>
      <c r="AF42" s="816">
        <f t="array" ref="AF42">IF($J42="","",SUM(IF(LEFT($AG42:$DY42,1)="X",1,0)))</f>
        <v>11</v>
      </c>
      <c r="AG42" s="891" t="s">
        <v>1886</v>
      </c>
      <c r="AH42" s="891" t="s">
        <v>1877</v>
      </c>
      <c r="AI42" s="891" t="s">
        <v>34</v>
      </c>
      <c r="AJ42" s="891" t="s">
        <v>32</v>
      </c>
      <c r="AK42" s="891" t="s">
        <v>34</v>
      </c>
      <c r="AL42" s="891" t="s">
        <v>32</v>
      </c>
      <c r="AM42" s="891" t="s">
        <v>35</v>
      </c>
      <c r="AN42" s="910"/>
      <c r="AO42" s="891" t="s">
        <v>34</v>
      </c>
      <c r="AP42" s="904" t="s">
        <v>2718</v>
      </c>
      <c r="AQ42" s="910"/>
      <c r="AR42" s="891" t="s">
        <v>1877</v>
      </c>
      <c r="AS42" s="891" t="s">
        <v>32</v>
      </c>
      <c r="AT42" s="891" t="s">
        <v>1877</v>
      </c>
      <c r="AU42" s="891" t="s">
        <v>1886</v>
      </c>
      <c r="AV42" s="906" t="s">
        <v>2719</v>
      </c>
      <c r="AW42" s="891" t="s">
        <v>1877</v>
      </c>
      <c r="AX42" s="891" t="s">
        <v>32</v>
      </c>
      <c r="AY42" s="910"/>
      <c r="AZ42" s="891" t="s">
        <v>32</v>
      </c>
      <c r="BA42" s="910"/>
      <c r="BB42" s="891" t="s">
        <v>36</v>
      </c>
      <c r="BC42" s="891" t="s">
        <v>35</v>
      </c>
      <c r="BD42" s="891" t="s">
        <v>2718</v>
      </c>
      <c r="BE42" s="904" t="s">
        <v>2720</v>
      </c>
      <c r="BF42" s="891" t="s">
        <v>32</v>
      </c>
      <c r="BG42" s="891" t="s">
        <v>1886</v>
      </c>
      <c r="BH42" s="891" t="s">
        <v>32</v>
      </c>
      <c r="BI42" s="891" t="s">
        <v>2821</v>
      </c>
      <c r="BJ42" s="891" t="s">
        <v>2721</v>
      </c>
      <c r="BK42" s="891"/>
      <c r="BL42" s="891" t="s">
        <v>32</v>
      </c>
      <c r="BM42" s="891" t="s">
        <v>34</v>
      </c>
      <c r="BN42" s="891" t="s">
        <v>34</v>
      </c>
      <c r="BO42" s="891" t="s">
        <v>32</v>
      </c>
      <c r="BP42" s="891" t="s">
        <v>34</v>
      </c>
      <c r="BQ42" s="891" t="s">
        <v>32</v>
      </c>
      <c r="BR42" s="891" t="s">
        <v>32</v>
      </c>
      <c r="BS42" s="891"/>
      <c r="BT42" s="891"/>
      <c r="BU42" s="891"/>
      <c r="BV42" s="891"/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428"/>
      <c r="CH42" s="428"/>
      <c r="CI42" s="428"/>
      <c r="CJ42" s="428"/>
    </row>
    <row r="43" spans="1:122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2</v>
      </c>
      <c r="G43" s="879" t="s">
        <v>886</v>
      </c>
      <c r="H43" s="879" t="s">
        <v>22</v>
      </c>
      <c r="I43" s="879" t="s">
        <v>891</v>
      </c>
      <c r="J43" s="846">
        <v>2</v>
      </c>
      <c r="K43" s="846">
        <v>0</v>
      </c>
      <c r="L43" s="816" t="str">
        <f t="shared" si="36"/>
        <v>W</v>
      </c>
      <c r="M43" s="816">
        <f t="shared" si="37"/>
        <v>2</v>
      </c>
      <c r="N43" s="816" t="str">
        <f t="shared" si="38"/>
        <v>U</v>
      </c>
      <c r="O43" s="816">
        <f t="shared" si="28"/>
        <v>-0.25</v>
      </c>
      <c r="P43" s="829">
        <f t="shared" si="29"/>
        <v>1</v>
      </c>
      <c r="Q43" s="830">
        <v>0.38</v>
      </c>
      <c r="R43" s="871">
        <f t="shared" si="39"/>
        <v>1.62</v>
      </c>
      <c r="S43" s="830">
        <v>2.63</v>
      </c>
      <c r="T43" s="871">
        <f t="shared" si="31"/>
        <v>-0.62999999999999989</v>
      </c>
      <c r="U43" s="868">
        <f t="shared" si="32"/>
        <v>1.5049999999999999</v>
      </c>
      <c r="V43" s="868">
        <f t="shared" si="33"/>
        <v>1.125</v>
      </c>
      <c r="W43" s="829">
        <v>8</v>
      </c>
      <c r="X43" s="829">
        <v>13</v>
      </c>
      <c r="Y43" s="829">
        <v>1</v>
      </c>
      <c r="Z43" s="829">
        <v>1</v>
      </c>
      <c r="AA43" s="829">
        <v>53</v>
      </c>
      <c r="AB43" s="829">
        <v>47</v>
      </c>
      <c r="AC43" s="829"/>
      <c r="AD43" s="816" t="str">
        <f t="array" ref="AD43">IF($J43="","",IF(SUM(IF(ISNUMBER(VALUE(RIGHT($AG43:$DY43,1))),VALUE(RIGHT($AG43:$DY43,1)),0))=$J43,"T","F"))</f>
        <v>T</v>
      </c>
      <c r="AE43" s="831">
        <f t="array" ref="AE43">IF($J43="","",SUM(IF(LEFT($AG43:$DY43,1)="s",1,0))-SUM(IF(RIGHT(LEFT($AG43:$DY43,2))="-",1,0)))</f>
        <v>0</v>
      </c>
      <c r="AF43" s="816">
        <f t="array" ref="AF43">IF($J43="","",SUM(IF(LEFT($AG43:$DY43,1)="X",1,0)))</f>
        <v>11</v>
      </c>
      <c r="AG43" s="891" t="s">
        <v>34</v>
      </c>
      <c r="AH43" s="891" t="s">
        <v>32</v>
      </c>
      <c r="AI43" s="891" t="s">
        <v>1877</v>
      </c>
      <c r="AJ43" s="891" t="s">
        <v>32</v>
      </c>
      <c r="AK43" s="891" t="s">
        <v>36</v>
      </c>
      <c r="AL43" s="891" t="s">
        <v>34</v>
      </c>
      <c r="AM43" s="891" t="s">
        <v>32</v>
      </c>
      <c r="AN43" s="910"/>
      <c r="AO43" s="891" t="s">
        <v>1877</v>
      </c>
      <c r="AP43" s="891" t="s">
        <v>35</v>
      </c>
      <c r="AQ43" s="910"/>
      <c r="AR43" s="891" t="s">
        <v>34</v>
      </c>
      <c r="AS43" s="891" t="s">
        <v>34</v>
      </c>
      <c r="AT43" s="904" t="s">
        <v>34</v>
      </c>
      <c r="AU43" s="891" t="s">
        <v>1886</v>
      </c>
      <c r="AV43" s="891" t="s">
        <v>2738</v>
      </c>
      <c r="AW43" s="891" t="s">
        <v>34</v>
      </c>
      <c r="AX43" s="891" t="s">
        <v>36</v>
      </c>
      <c r="AY43" s="910"/>
      <c r="AZ43" s="891" t="s">
        <v>32</v>
      </c>
      <c r="BA43" s="910"/>
      <c r="BB43" s="891" t="s">
        <v>36</v>
      </c>
      <c r="BC43" s="891" t="s">
        <v>1877</v>
      </c>
      <c r="BD43" s="891" t="s">
        <v>35</v>
      </c>
      <c r="BE43" s="891" t="s">
        <v>2748</v>
      </c>
      <c r="BF43" s="891" t="s">
        <v>32</v>
      </c>
      <c r="BG43" s="891" t="s">
        <v>1886</v>
      </c>
      <c r="BH43" s="891" t="s">
        <v>32</v>
      </c>
      <c r="BI43" s="891" t="s">
        <v>2821</v>
      </c>
      <c r="BJ43" s="891" t="s">
        <v>34</v>
      </c>
      <c r="BK43" s="891">
        <v>1</v>
      </c>
      <c r="BL43" s="891" t="s">
        <v>32</v>
      </c>
      <c r="BM43" s="891" t="s">
        <v>34</v>
      </c>
      <c r="BN43" s="891" t="s">
        <v>1877</v>
      </c>
      <c r="BO43" s="891" t="s">
        <v>32</v>
      </c>
      <c r="BP43" s="891" t="s">
        <v>32</v>
      </c>
      <c r="BQ43" s="891" t="s">
        <v>32</v>
      </c>
      <c r="BR43" s="910"/>
      <c r="BS43" s="891"/>
      <c r="BT43" s="891"/>
      <c r="BU43" s="891"/>
      <c r="BV43" s="891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428"/>
      <c r="CH43" s="428"/>
      <c r="CI43" s="428"/>
      <c r="CJ43" s="428"/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</row>
    <row r="44" spans="1:122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</v>
      </c>
      <c r="G44" s="879" t="s">
        <v>1086</v>
      </c>
      <c r="H44" s="879" t="s">
        <v>18</v>
      </c>
      <c r="I44" s="879" t="s">
        <v>891</v>
      </c>
      <c r="J44" s="846">
        <v>1</v>
      </c>
      <c r="K44" s="846">
        <v>2</v>
      </c>
      <c r="L44" s="816" t="str">
        <f t="shared" si="36"/>
        <v>L</v>
      </c>
      <c r="M44" s="816">
        <f t="shared" si="37"/>
        <v>3</v>
      </c>
      <c r="N44" s="816" t="str">
        <f t="shared" si="38"/>
        <v>O</v>
      </c>
      <c r="O44" s="816">
        <f t="shared" si="28"/>
        <v>0.25</v>
      </c>
      <c r="P44" s="829">
        <f t="shared" si="29"/>
        <v>-1</v>
      </c>
      <c r="Q44" s="830">
        <v>-0.33</v>
      </c>
      <c r="R44" s="871">
        <f t="shared" si="39"/>
        <v>-0.66999999999999993</v>
      </c>
      <c r="S44" s="830">
        <v>2.65</v>
      </c>
      <c r="T44" s="871">
        <f t="shared" si="31"/>
        <v>0.35000000000000009</v>
      </c>
      <c r="U44" s="868">
        <f t="shared" si="32"/>
        <v>1.1599999999999999</v>
      </c>
      <c r="V44" s="868">
        <f t="shared" si="33"/>
        <v>1.49</v>
      </c>
      <c r="W44" s="829">
        <v>16</v>
      </c>
      <c r="X44" s="829">
        <v>15</v>
      </c>
      <c r="Y44" s="829">
        <v>4</v>
      </c>
      <c r="Z44" s="829">
        <v>8</v>
      </c>
      <c r="AA44" s="829">
        <v>61</v>
      </c>
      <c r="AB44" s="829">
        <v>39</v>
      </c>
      <c r="AC44" s="829"/>
      <c r="AD44" s="816" t="str">
        <f t="array" ref="AD44">IF($J44="","",IF(SUM(IF(ISNUMBER(VALUE(RIGHT($AG44:$DY44,1))),VALUE(RIGHT($AG44:$DY44,1)),0))=$J44,"T","F"))</f>
        <v>T</v>
      </c>
      <c r="AE44" s="831">
        <f t="array" ref="AE44">IF($J44="","",SUM(IF(LEFT($AG44:$DY44,1)="s",1,0))-SUM(IF(RIGHT(LEFT($AG44:$DY44,2))="-",1,0)))</f>
        <v>0</v>
      </c>
      <c r="AF44" s="816">
        <f t="array" ref="AF44">IF($J44="","",SUM(IF(LEFT($AG44:$DY44,1)="X",1,0)))</f>
        <v>11</v>
      </c>
      <c r="AG44" s="891" t="s">
        <v>34</v>
      </c>
      <c r="AH44" s="891" t="s">
        <v>32</v>
      </c>
      <c r="AI44" s="891" t="s">
        <v>1877</v>
      </c>
      <c r="AJ44" s="891" t="s">
        <v>32</v>
      </c>
      <c r="AK44" s="891" t="s">
        <v>34</v>
      </c>
      <c r="AL44" s="891" t="s">
        <v>34</v>
      </c>
      <c r="AM44" s="891" t="s">
        <v>32</v>
      </c>
      <c r="AN44" s="910"/>
      <c r="AO44" s="891" t="s">
        <v>1877</v>
      </c>
      <c r="AP44" s="891" t="s">
        <v>32</v>
      </c>
      <c r="AQ44" s="910"/>
      <c r="AR44" s="891" t="s">
        <v>34</v>
      </c>
      <c r="AS44" s="891" t="s">
        <v>34</v>
      </c>
      <c r="AT44" s="891" t="s">
        <v>34</v>
      </c>
      <c r="AU44" s="891" t="s">
        <v>1886</v>
      </c>
      <c r="AV44" s="891" t="s">
        <v>32</v>
      </c>
      <c r="AW44" s="891" t="s">
        <v>34</v>
      </c>
      <c r="AX44" s="891" t="s">
        <v>1877</v>
      </c>
      <c r="AY44" s="910"/>
      <c r="AZ44" s="891" t="s">
        <v>32</v>
      </c>
      <c r="BA44" s="910"/>
      <c r="BB44" s="891" t="s">
        <v>34</v>
      </c>
      <c r="BC44" s="904" t="s">
        <v>36</v>
      </c>
      <c r="BD44" s="891" t="s">
        <v>35</v>
      </c>
      <c r="BE44" s="891" t="s">
        <v>32</v>
      </c>
      <c r="BF44" s="891" t="s">
        <v>36</v>
      </c>
      <c r="BG44" s="891" t="s">
        <v>1886</v>
      </c>
      <c r="BH44" s="891" t="s">
        <v>32</v>
      </c>
      <c r="BI44" s="891" t="s">
        <v>2821</v>
      </c>
      <c r="BJ44" s="904" t="s">
        <v>2800</v>
      </c>
      <c r="BK44" s="891"/>
      <c r="BL44" s="891" t="s">
        <v>32</v>
      </c>
      <c r="BM44" s="891" t="s">
        <v>34</v>
      </c>
      <c r="BN44" s="891" t="s">
        <v>1877</v>
      </c>
      <c r="BO44" s="891" t="s">
        <v>32</v>
      </c>
      <c r="BP44" s="891" t="s">
        <v>1877</v>
      </c>
      <c r="BQ44" s="910"/>
      <c r="BR44" s="910"/>
      <c r="BS44" s="891"/>
      <c r="BT44" s="891"/>
      <c r="BU44" s="891"/>
      <c r="BV44" s="891"/>
      <c r="BW44" s="896"/>
      <c r="BX44" s="896"/>
      <c r="BY44" s="896"/>
      <c r="BZ44" s="896"/>
      <c r="CA44" s="896"/>
      <c r="CB44" s="896"/>
      <c r="CC44" s="896"/>
      <c r="CD44" s="896"/>
      <c r="CE44" s="896"/>
      <c r="CF44" s="896"/>
      <c r="CG44" s="428"/>
      <c r="CH44" s="428"/>
      <c r="CI44" s="428"/>
      <c r="CJ44" s="428"/>
      <c r="CK44" s="230" t="s">
        <v>32</v>
      </c>
      <c r="CL44" s="230" t="s">
        <v>32</v>
      </c>
      <c r="CM44" s="230" t="s">
        <v>32</v>
      </c>
      <c r="CN44" s="230" t="s">
        <v>32</v>
      </c>
      <c r="CO44" s="230" t="s">
        <v>32</v>
      </c>
      <c r="CP44" s="230" t="s">
        <v>32</v>
      </c>
      <c r="CQ44" s="230" t="s">
        <v>32</v>
      </c>
    </row>
    <row r="45" spans="1:122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7</v>
      </c>
      <c r="G45" s="879" t="s">
        <v>888</v>
      </c>
      <c r="H45" s="879" t="s">
        <v>22</v>
      </c>
      <c r="I45" s="879" t="s">
        <v>891</v>
      </c>
      <c r="J45" s="846">
        <v>0</v>
      </c>
      <c r="K45" s="846">
        <v>2</v>
      </c>
      <c r="L45" s="816" t="str">
        <f t="shared" si="36"/>
        <v>L</v>
      </c>
      <c r="M45" s="816">
        <f t="shared" si="37"/>
        <v>2</v>
      </c>
      <c r="N45" s="816" t="str">
        <f t="shared" si="38"/>
        <v>U</v>
      </c>
      <c r="O45" s="816">
        <f t="shared" si="28"/>
        <v>0.25</v>
      </c>
      <c r="P45" s="829">
        <f t="shared" si="29"/>
        <v>-1</v>
      </c>
      <c r="Q45" s="830">
        <v>-0.21</v>
      </c>
      <c r="R45" s="871">
        <f t="shared" si="39"/>
        <v>-1.79</v>
      </c>
      <c r="S45" s="830">
        <v>2.94</v>
      </c>
      <c r="T45" s="871">
        <f t="shared" si="31"/>
        <v>-0.94</v>
      </c>
      <c r="U45" s="868">
        <f t="shared" si="32"/>
        <v>1.365</v>
      </c>
      <c r="V45" s="868">
        <f t="shared" si="33"/>
        <v>1.575</v>
      </c>
      <c r="W45" s="829">
        <v>18</v>
      </c>
      <c r="X45" s="829">
        <v>20</v>
      </c>
      <c r="Y45" s="829">
        <v>8</v>
      </c>
      <c r="Z45" s="829">
        <v>7</v>
      </c>
      <c r="AA45" s="829">
        <v>50</v>
      </c>
      <c r="AB45" s="829">
        <v>50</v>
      </c>
      <c r="AC45" s="829"/>
      <c r="AD45" s="816" t="str">
        <f t="array" ref="AD45">IF($J45="","",IF(SUM(IF(ISNUMBER(VALUE(RIGHT($AG45:$DY45,1))),VALUE(RIGHT($AG45:$DY45,1)),0))=$J45,"T","F"))</f>
        <v>T</v>
      </c>
      <c r="AE45" s="831">
        <f t="array" ref="AE45">IF($J45="","",SUM(IF(LEFT($AG45:$DY45,1)="s",1,0))-SUM(IF(RIGHT(LEFT($AG45:$DY45,2))="-",1,0)))</f>
        <v>0</v>
      </c>
      <c r="AF45" s="816">
        <f t="array" ref="AF45">IF($J45="","",SUM(IF(LEFT($AG45:$DY45,1)="X",1,0)))</f>
        <v>11</v>
      </c>
      <c r="AG45" s="891" t="s">
        <v>34</v>
      </c>
      <c r="AH45" s="891" t="s">
        <v>32</v>
      </c>
      <c r="AI45" s="891" t="s">
        <v>1877</v>
      </c>
      <c r="AJ45" s="891" t="s">
        <v>32</v>
      </c>
      <c r="AK45" s="891" t="s">
        <v>34</v>
      </c>
      <c r="AL45" s="891" t="s">
        <v>34</v>
      </c>
      <c r="AM45" s="891" t="s">
        <v>32</v>
      </c>
      <c r="AN45" s="910"/>
      <c r="AO45" s="891" t="s">
        <v>1877</v>
      </c>
      <c r="AP45" s="891" t="s">
        <v>32</v>
      </c>
      <c r="AQ45" s="910"/>
      <c r="AR45" s="891" t="s">
        <v>34</v>
      </c>
      <c r="AS45" s="904" t="s">
        <v>34</v>
      </c>
      <c r="AT45" s="891" t="s">
        <v>34</v>
      </c>
      <c r="AU45" s="891" t="s">
        <v>34</v>
      </c>
      <c r="AV45" s="891" t="s">
        <v>2839</v>
      </c>
      <c r="AW45" s="891" t="s">
        <v>35</v>
      </c>
      <c r="AX45" s="891" t="s">
        <v>35</v>
      </c>
      <c r="AY45" s="910"/>
      <c r="AZ45" s="891" t="s">
        <v>32</v>
      </c>
      <c r="BA45" s="910"/>
      <c r="BB45" s="891" t="s">
        <v>36</v>
      </c>
      <c r="BC45" s="891" t="s">
        <v>1886</v>
      </c>
      <c r="BD45" s="891" t="s">
        <v>36</v>
      </c>
      <c r="BE45" s="891" t="s">
        <v>1877</v>
      </c>
      <c r="BF45" s="891" t="s">
        <v>1877</v>
      </c>
      <c r="BG45" s="891" t="s">
        <v>32</v>
      </c>
      <c r="BH45" s="891" t="s">
        <v>32</v>
      </c>
      <c r="BI45" s="891" t="s">
        <v>35</v>
      </c>
      <c r="BJ45" s="906" t="s">
        <v>2837</v>
      </c>
      <c r="BK45" s="891"/>
      <c r="BL45" s="891" t="s">
        <v>32</v>
      </c>
      <c r="BM45" s="891" t="s">
        <v>34</v>
      </c>
      <c r="BN45" s="891" t="s">
        <v>32</v>
      </c>
      <c r="BO45" s="891" t="s">
        <v>32</v>
      </c>
      <c r="BP45" s="891" t="s">
        <v>32</v>
      </c>
      <c r="BQ45" s="910"/>
      <c r="BR45" s="910"/>
      <c r="BS45" s="891"/>
      <c r="BT45" s="891"/>
      <c r="BU45" s="891"/>
      <c r="BV45" s="891"/>
      <c r="BW45" s="896"/>
      <c r="BX45" s="896"/>
      <c r="BY45" s="896"/>
      <c r="BZ45" s="896"/>
      <c r="CA45" s="896"/>
      <c r="CB45" s="896"/>
      <c r="CC45" s="896"/>
      <c r="CD45" s="896"/>
      <c r="CE45" s="896"/>
      <c r="CF45" s="896"/>
      <c r="CG45" s="4"/>
      <c r="CH45" s="4"/>
      <c r="CI45" s="4"/>
      <c r="CJ45" s="4"/>
      <c r="CK45" s="6" t="s">
        <v>32</v>
      </c>
      <c r="CL45" s="6" t="s">
        <v>32</v>
      </c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</row>
    <row r="46" spans="1:122" ht="15">
      <c r="A46" s="912">
        <v>6403</v>
      </c>
      <c r="B46" s="894"/>
      <c r="C46" s="894"/>
      <c r="D46" s="894"/>
      <c r="E46" s="894"/>
      <c r="F46" s="894"/>
      <c r="G46" s="828" t="s">
        <v>2773</v>
      </c>
      <c r="H46" s="828" t="s">
        <v>2759</v>
      </c>
      <c r="I46" s="828" t="s">
        <v>2649</v>
      </c>
      <c r="J46" s="898">
        <v>2</v>
      </c>
      <c r="K46" s="898">
        <v>1</v>
      </c>
      <c r="L46" s="816" t="str">
        <f t="shared" si="36"/>
        <v>W</v>
      </c>
      <c r="M46" s="816">
        <f t="shared" si="37"/>
        <v>3</v>
      </c>
      <c r="N46" s="816" t="str">
        <f t="shared" si="38"/>
        <v>O</v>
      </c>
      <c r="O46" s="816"/>
      <c r="P46" s="829"/>
      <c r="Q46" s="830"/>
      <c r="R46" s="871"/>
      <c r="S46" s="830"/>
      <c r="T46" s="871"/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IF($J46="","",IF(SUM(IF(ISNUMBER(VALUE(RIGHT($AG46:$DY46,1))),VALUE(RIGHT($AG46:$DY46,1)),0))=$J46,"T","F"))</f>
        <v>T</v>
      </c>
      <c r="AE46" s="831">
        <f t="array" ref="AE46">IF($J46="","",SUM(IF(LEFT($AG46:$DY46,1)="s",1,0))-SUM(IF(RIGHT(LEFT($AG46:$DY46,2))="-",1,0)))</f>
        <v>0</v>
      </c>
      <c r="AF46" s="816">
        <f t="array" ref="AF46">IF($J46="","",SUM(IF(LEFT($AG46:$DY46,1)="X",1,0)))</f>
        <v>11</v>
      </c>
      <c r="AG46" s="891" t="s">
        <v>32</v>
      </c>
      <c r="AH46" s="891" t="s">
        <v>1877</v>
      </c>
      <c r="AI46" s="891" t="s">
        <v>34</v>
      </c>
      <c r="AJ46" s="891" t="s">
        <v>32</v>
      </c>
      <c r="AK46" s="891" t="s">
        <v>34</v>
      </c>
      <c r="AL46" s="891" t="s">
        <v>2997</v>
      </c>
      <c r="AM46" s="891" t="s">
        <v>32</v>
      </c>
      <c r="AN46" s="910"/>
      <c r="AO46" s="891" t="s">
        <v>34</v>
      </c>
      <c r="AP46" s="891" t="s">
        <v>2994</v>
      </c>
      <c r="AQ46" s="910"/>
      <c r="AR46" s="891" t="s">
        <v>2997</v>
      </c>
      <c r="AS46" s="891" t="s">
        <v>2999</v>
      </c>
      <c r="AT46" s="891" t="s">
        <v>34</v>
      </c>
      <c r="AU46" s="891" t="s">
        <v>32</v>
      </c>
      <c r="AV46" s="891" t="s">
        <v>1886</v>
      </c>
      <c r="AW46" s="891" t="s">
        <v>2995</v>
      </c>
      <c r="AX46" s="891" t="s">
        <v>32</v>
      </c>
      <c r="AY46" s="910"/>
      <c r="AZ46" s="891" t="s">
        <v>32</v>
      </c>
      <c r="BA46" s="910"/>
      <c r="BB46" s="891" t="s">
        <v>2998</v>
      </c>
      <c r="BC46" s="891" t="s">
        <v>1886</v>
      </c>
      <c r="BD46" s="891" t="s">
        <v>2997</v>
      </c>
      <c r="BE46" s="891" t="s">
        <v>34</v>
      </c>
      <c r="BF46" s="891" t="s">
        <v>2994</v>
      </c>
      <c r="BG46" s="891" t="s">
        <v>32</v>
      </c>
      <c r="BH46" s="891" t="s">
        <v>32</v>
      </c>
      <c r="BI46" s="891" t="s">
        <v>3000</v>
      </c>
      <c r="BJ46" s="891" t="s">
        <v>2997</v>
      </c>
      <c r="BK46" s="891"/>
      <c r="BL46" s="891" t="s">
        <v>2996</v>
      </c>
      <c r="BM46" s="891" t="s">
        <v>1877</v>
      </c>
      <c r="BN46" s="891" t="s">
        <v>2994</v>
      </c>
      <c r="BO46" s="891" t="s">
        <v>1877</v>
      </c>
      <c r="BP46" s="891" t="s">
        <v>2994</v>
      </c>
      <c r="BQ46" s="910"/>
      <c r="BR46" s="910"/>
      <c r="BS46" s="891"/>
      <c r="BT46" s="891"/>
      <c r="BU46" s="891"/>
      <c r="BV46" s="891"/>
      <c r="BW46" s="896"/>
      <c r="BX46" s="896"/>
      <c r="BY46" s="896"/>
      <c r="BZ46" s="896"/>
      <c r="CA46" s="896"/>
      <c r="CB46" s="896"/>
      <c r="CC46" s="896"/>
      <c r="CD46" s="896"/>
      <c r="CE46" s="896"/>
      <c r="CF46" s="896"/>
      <c r="CG46" s="4"/>
      <c r="CH46" s="4"/>
      <c r="CI46" s="4"/>
      <c r="CJ46" s="4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</row>
    <row r="47" spans="1:122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11</v>
      </c>
      <c r="G47" s="879" t="s">
        <v>874</v>
      </c>
      <c r="H47" s="879" t="s">
        <v>22</v>
      </c>
      <c r="I47" s="879" t="s">
        <v>891</v>
      </c>
      <c r="J47" s="846">
        <v>1</v>
      </c>
      <c r="K47" s="846">
        <v>0</v>
      </c>
      <c r="L47" s="816" t="str">
        <f t="shared" si="36"/>
        <v>W</v>
      </c>
      <c r="M47" s="816">
        <f t="shared" si="37"/>
        <v>1</v>
      </c>
      <c r="N47" s="816" t="str">
        <f t="shared" si="38"/>
        <v>U</v>
      </c>
      <c r="O47" s="816">
        <f t="shared" si="28"/>
        <v>-0.25</v>
      </c>
      <c r="P47" s="829">
        <f t="shared" si="29"/>
        <v>1</v>
      </c>
      <c r="Q47" s="830">
        <v>0.33</v>
      </c>
      <c r="R47" s="871">
        <f t="shared" si="39"/>
        <v>0.66999999999999993</v>
      </c>
      <c r="S47" s="830">
        <v>2.48</v>
      </c>
      <c r="T47" s="871">
        <f t="shared" si="31"/>
        <v>-1.48</v>
      </c>
      <c r="U47" s="868">
        <f t="shared" si="32"/>
        <v>1.405</v>
      </c>
      <c r="V47" s="868">
        <f t="shared" si="33"/>
        <v>1.075</v>
      </c>
      <c r="W47" s="829">
        <v>7</v>
      </c>
      <c r="X47" s="829">
        <v>13</v>
      </c>
      <c r="Y47" s="829">
        <v>3</v>
      </c>
      <c r="Z47" s="829">
        <v>4</v>
      </c>
      <c r="AA47" s="829">
        <v>44</v>
      </c>
      <c r="AB47" s="829">
        <v>56</v>
      </c>
      <c r="AC47" s="829"/>
      <c r="AD47" s="816" t="str">
        <f t="array" ref="AD47">IF($J47="","",IF(SUM(IF(ISNUMBER(VALUE(RIGHT($AG47:$DY47,1))),VALUE(RIGHT($AG47:$DY47,1)),0))=$J47,"T","F"))</f>
        <v>T</v>
      </c>
      <c r="AE47" s="831">
        <f t="array" ref="AE47">IF($J47="","",SUM(IF(LEFT($AG47:$DY47,1)="s",1,0))-SUM(IF(RIGHT(LEFT($AG47:$DY47,2))="-",1,0)))</f>
        <v>0</v>
      </c>
      <c r="AF47" s="816">
        <f t="array" ref="AF47">IF($J47="","",SUM(IF(LEFT($AG47:$DY47,1)="X",1,0)))</f>
        <v>11</v>
      </c>
      <c r="AG47" s="891" t="s">
        <v>1877</v>
      </c>
      <c r="AH47" s="891" t="s">
        <v>32</v>
      </c>
      <c r="AI47" s="891" t="s">
        <v>34</v>
      </c>
      <c r="AJ47" s="891" t="s">
        <v>32</v>
      </c>
      <c r="AK47" s="891" t="s">
        <v>34</v>
      </c>
      <c r="AL47" s="891" t="s">
        <v>34</v>
      </c>
      <c r="AM47" s="891" t="s">
        <v>32</v>
      </c>
      <c r="AN47" s="910"/>
      <c r="AO47" s="904" t="s">
        <v>34</v>
      </c>
      <c r="AP47" s="891" t="s">
        <v>32</v>
      </c>
      <c r="AQ47" s="910"/>
      <c r="AR47" s="891" t="s">
        <v>34</v>
      </c>
      <c r="AS47" s="904" t="s">
        <v>34</v>
      </c>
      <c r="AT47" s="891" t="s">
        <v>34</v>
      </c>
      <c r="AU47" s="891" t="s">
        <v>32</v>
      </c>
      <c r="AV47" s="891" t="s">
        <v>1886</v>
      </c>
      <c r="AW47" s="891" t="s">
        <v>32</v>
      </c>
      <c r="AX47" s="891" t="s">
        <v>1877</v>
      </c>
      <c r="AY47" s="910"/>
      <c r="AZ47" s="891" t="s">
        <v>32</v>
      </c>
      <c r="BA47" s="910"/>
      <c r="BB47" s="891" t="s">
        <v>36</v>
      </c>
      <c r="BC47" s="891" t="s">
        <v>1886</v>
      </c>
      <c r="BD47" s="891" t="s">
        <v>35</v>
      </c>
      <c r="BE47" s="891" t="s">
        <v>2886</v>
      </c>
      <c r="BF47" s="891" t="s">
        <v>36</v>
      </c>
      <c r="BG47" s="891" t="s">
        <v>32</v>
      </c>
      <c r="BH47" s="891" t="s">
        <v>32</v>
      </c>
      <c r="BI47" s="891" t="s">
        <v>32</v>
      </c>
      <c r="BJ47" s="891" t="s">
        <v>35</v>
      </c>
      <c r="BK47" s="891" t="s">
        <v>32</v>
      </c>
      <c r="BL47" s="891" t="s">
        <v>1877</v>
      </c>
      <c r="BM47" s="891" t="s">
        <v>34</v>
      </c>
      <c r="BN47" s="891" t="s">
        <v>1877</v>
      </c>
      <c r="BO47" s="891" t="s">
        <v>32</v>
      </c>
      <c r="BP47" s="891" t="s">
        <v>1877</v>
      </c>
      <c r="BQ47" s="910"/>
      <c r="BR47" s="910"/>
      <c r="BS47" s="891"/>
      <c r="BT47" s="891"/>
      <c r="BU47" s="891"/>
      <c r="BV47" s="891"/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428"/>
      <c r="CH47" s="428"/>
      <c r="CI47" s="428"/>
      <c r="CJ47" s="428"/>
      <c r="CK47" s="230" t="s">
        <v>32</v>
      </c>
      <c r="CL47" s="230" t="s">
        <v>32</v>
      </c>
      <c r="CM47" s="230" t="s">
        <v>32</v>
      </c>
      <c r="CN47" s="230" t="s">
        <v>32</v>
      </c>
      <c r="CO47" s="230" t="s">
        <v>32</v>
      </c>
      <c r="CP47" s="230" t="s">
        <v>32</v>
      </c>
      <c r="CQ47" s="230" t="s">
        <v>32</v>
      </c>
    </row>
    <row r="48" spans="1:122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12</v>
      </c>
      <c r="G48" s="879" t="s">
        <v>879</v>
      </c>
      <c r="H48" s="879" t="s">
        <v>18</v>
      </c>
      <c r="I48" s="879" t="s">
        <v>891</v>
      </c>
      <c r="J48" s="846">
        <v>1</v>
      </c>
      <c r="K48" s="846">
        <v>3</v>
      </c>
      <c r="L48" s="816" t="str">
        <f t="shared" si="36"/>
        <v>L</v>
      </c>
      <c r="M48" s="816">
        <f t="shared" si="37"/>
        <v>4</v>
      </c>
      <c r="N48" s="816" t="str">
        <f t="shared" si="38"/>
        <v>O</v>
      </c>
      <c r="O48" s="816">
        <f t="shared" si="28"/>
        <v>0.25</v>
      </c>
      <c r="P48" s="829">
        <f t="shared" si="29"/>
        <v>-1</v>
      </c>
      <c r="Q48" s="830">
        <v>-0.14000000000000001</v>
      </c>
      <c r="R48" s="871">
        <f t="shared" si="39"/>
        <v>-1.8599999999999999</v>
      </c>
      <c r="S48" s="830">
        <v>2.76</v>
      </c>
      <c r="T48" s="871">
        <f t="shared" si="31"/>
        <v>1.2400000000000002</v>
      </c>
      <c r="U48" s="868">
        <f t="shared" si="32"/>
        <v>1.3099999999999998</v>
      </c>
      <c r="V48" s="868">
        <f t="shared" si="33"/>
        <v>1.45</v>
      </c>
      <c r="W48" s="829">
        <v>11</v>
      </c>
      <c r="X48" s="829">
        <v>13</v>
      </c>
      <c r="Y48" s="829">
        <v>3</v>
      </c>
      <c r="Z48" s="829">
        <v>7</v>
      </c>
      <c r="AA48" s="829">
        <v>65</v>
      </c>
      <c r="AB48" s="829">
        <v>35</v>
      </c>
      <c r="AC48" s="829"/>
      <c r="AD48" s="816" t="str">
        <f t="array" ref="AD48">IF($J48="","",IF(SUM(IF(ISNUMBER(VALUE(RIGHT($AG48:$DY48,1))),VALUE(RIGHT($AG48:$DY48,1)),0))=$J48,"T","F"))</f>
        <v>T</v>
      </c>
      <c r="AE48" s="831">
        <f t="array" ref="AE48">IF($J48="","",SUM(IF(LEFT($AG48:$DY48,1)="s",1,0))-SUM(IF(RIGHT(LEFT($AG48:$DY48,2))="-",1,0)))</f>
        <v>0</v>
      </c>
      <c r="AF48" s="816">
        <f t="array" ref="AF48">IF($J48="","",SUM(IF(LEFT($AG48:$DY48,1)="X",1,0)))</f>
        <v>11</v>
      </c>
      <c r="AG48" s="891" t="s">
        <v>1877</v>
      </c>
      <c r="AH48" s="891" t="s">
        <v>32</v>
      </c>
      <c r="AI48" s="891" t="s">
        <v>34</v>
      </c>
      <c r="AJ48" s="891" t="s">
        <v>32</v>
      </c>
      <c r="AK48" s="891" t="s">
        <v>35</v>
      </c>
      <c r="AL48" s="891" t="s">
        <v>34</v>
      </c>
      <c r="AM48" s="891" t="s">
        <v>32</v>
      </c>
      <c r="AN48" s="910"/>
      <c r="AO48" s="891" t="s">
        <v>1877</v>
      </c>
      <c r="AP48" s="891" t="s">
        <v>32</v>
      </c>
      <c r="AQ48" s="910"/>
      <c r="AR48" s="891" t="s">
        <v>34</v>
      </c>
      <c r="AS48" s="891" t="s">
        <v>34</v>
      </c>
      <c r="AT48" s="891" t="s">
        <v>34</v>
      </c>
      <c r="AU48" s="891" t="s">
        <v>32</v>
      </c>
      <c r="AV48" s="891" t="s">
        <v>35</v>
      </c>
      <c r="AW48" s="891" t="s">
        <v>34</v>
      </c>
      <c r="AX48" s="891" t="s">
        <v>32</v>
      </c>
      <c r="AY48" s="910"/>
      <c r="AZ48" s="891" t="s">
        <v>32</v>
      </c>
      <c r="BA48" s="891" t="s">
        <v>2905</v>
      </c>
      <c r="BB48" s="891" t="s">
        <v>36</v>
      </c>
      <c r="BC48" s="891" t="s">
        <v>1886</v>
      </c>
      <c r="BD48" s="891" t="s">
        <v>1877</v>
      </c>
      <c r="BE48" s="904" t="s">
        <v>34</v>
      </c>
      <c r="BF48" s="891" t="s">
        <v>36</v>
      </c>
      <c r="BG48" s="891" t="s">
        <v>36</v>
      </c>
      <c r="BH48" s="891" t="s">
        <v>32</v>
      </c>
      <c r="BI48" s="891" t="s">
        <v>32</v>
      </c>
      <c r="BJ48" s="891" t="s">
        <v>35</v>
      </c>
      <c r="BK48" s="891"/>
      <c r="BL48" s="891" t="s">
        <v>32</v>
      </c>
      <c r="BM48" s="910"/>
      <c r="BN48" s="910" t="s">
        <v>32</v>
      </c>
      <c r="BO48" s="910" t="s">
        <v>32</v>
      </c>
      <c r="BP48" s="910" t="s">
        <v>32</v>
      </c>
      <c r="BQ48" s="910"/>
      <c r="BR48" s="910"/>
      <c r="BS48" s="891"/>
      <c r="BT48" s="891"/>
      <c r="BU48" s="891"/>
      <c r="BV48" s="891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428"/>
      <c r="CH48" s="428"/>
      <c r="CI48" s="428"/>
      <c r="CJ48" s="428"/>
    </row>
    <row r="49" spans="1:88" ht="15">
      <c r="A49" s="882">
        <v>6421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21</v>
      </c>
      <c r="G49" s="879" t="s">
        <v>890</v>
      </c>
      <c r="H49" s="879" t="s">
        <v>18</v>
      </c>
      <c r="I49" s="879" t="s">
        <v>891</v>
      </c>
      <c r="J49" s="846">
        <v>1</v>
      </c>
      <c r="K49" s="846">
        <v>0</v>
      </c>
      <c r="L49" s="816" t="str">
        <f t="shared" si="36"/>
        <v>W</v>
      </c>
      <c r="M49" s="816">
        <f t="shared" si="37"/>
        <v>1</v>
      </c>
      <c r="N49" s="816" t="str">
        <f t="shared" si="38"/>
        <v>U</v>
      </c>
      <c r="O49" s="816">
        <f t="shared" si="28"/>
        <v>-0.5</v>
      </c>
      <c r="P49" s="829">
        <f t="shared" si="29"/>
        <v>1</v>
      </c>
      <c r="Q49" s="830">
        <v>0.54</v>
      </c>
      <c r="R49" s="871">
        <f t="shared" si="39"/>
        <v>0.45999999999999996</v>
      </c>
      <c r="S49" s="830">
        <v>2.7</v>
      </c>
      <c r="T49" s="871">
        <f t="shared" si="31"/>
        <v>-1.7000000000000002</v>
      </c>
      <c r="U49" s="868">
        <f t="shared" si="32"/>
        <v>1.62</v>
      </c>
      <c r="V49" s="868">
        <f t="shared" si="33"/>
        <v>1.08</v>
      </c>
      <c r="W49" s="829">
        <v>15</v>
      </c>
      <c r="X49" s="829">
        <v>7</v>
      </c>
      <c r="Y49" s="829">
        <v>4</v>
      </c>
      <c r="Z49" s="829">
        <v>1</v>
      </c>
      <c r="AA49" s="829">
        <v>55</v>
      </c>
      <c r="AB49" s="829">
        <v>45</v>
      </c>
      <c r="AC49" s="829"/>
      <c r="AD49" s="816" t="str">
        <f t="array" ref="AD49">IF($J49="","",IF(SUM(IF(ISNUMBER(VALUE(RIGHT($AG49:$DY49,1))),VALUE(RIGHT($AG49:$DY49,1)),0))=$J49,"T","F"))</f>
        <v>T</v>
      </c>
      <c r="AE49" s="831">
        <f t="array" ref="AE49">IF($J49="","",SUM(IF(LEFT($AG49:$DY49,1)="s",1,0))-SUM(IF(RIGHT(LEFT($AG49:$DY49,2))="-",1,0)))</f>
        <v>0</v>
      </c>
      <c r="AF49" s="816">
        <f t="array" ref="AF49">IF($J49="","",SUM(IF(LEFT($AG49:$DY49,1)="X",1,0)))</f>
        <v>11</v>
      </c>
      <c r="AG49" s="891" t="s">
        <v>34</v>
      </c>
      <c r="AH49" s="891" t="s">
        <v>1877</v>
      </c>
      <c r="AI49" s="891" t="s">
        <v>32</v>
      </c>
      <c r="AJ49" s="891" t="s">
        <v>32</v>
      </c>
      <c r="AK49" s="891" t="s">
        <v>36</v>
      </c>
      <c r="AL49" s="891" t="s">
        <v>34</v>
      </c>
      <c r="AM49" s="891" t="s">
        <v>32</v>
      </c>
      <c r="AN49" s="891" t="s">
        <v>2964</v>
      </c>
      <c r="AO49" s="891" t="s">
        <v>36</v>
      </c>
      <c r="AP49" s="891" t="s">
        <v>32</v>
      </c>
      <c r="AQ49" s="910"/>
      <c r="AR49" s="891" t="s">
        <v>34</v>
      </c>
      <c r="AS49" s="904" t="s">
        <v>34</v>
      </c>
      <c r="AT49" s="904" t="s">
        <v>34</v>
      </c>
      <c r="AU49" s="891" t="s">
        <v>32</v>
      </c>
      <c r="AV49" s="891" t="s">
        <v>2957</v>
      </c>
      <c r="AW49" s="891" t="s">
        <v>34</v>
      </c>
      <c r="AX49" s="891" t="s">
        <v>32</v>
      </c>
      <c r="AY49" s="910"/>
      <c r="AZ49" s="891" t="s">
        <v>32</v>
      </c>
      <c r="BA49" s="891" t="s">
        <v>35</v>
      </c>
      <c r="BB49" s="891" t="s">
        <v>34</v>
      </c>
      <c r="BC49" s="891" t="s">
        <v>2946</v>
      </c>
      <c r="BD49" s="891" t="s">
        <v>35</v>
      </c>
      <c r="BE49" s="891" t="s">
        <v>32</v>
      </c>
      <c r="BF49" s="891" t="s">
        <v>1877</v>
      </c>
      <c r="BG49" s="891" t="s">
        <v>1877</v>
      </c>
      <c r="BH49" s="891" t="s">
        <v>32</v>
      </c>
      <c r="BI49" s="891" t="s">
        <v>32</v>
      </c>
      <c r="BJ49" s="891" t="s">
        <v>36</v>
      </c>
      <c r="BK49" s="891" t="s">
        <v>32</v>
      </c>
      <c r="BL49" s="891" t="s">
        <v>32</v>
      </c>
      <c r="BM49" s="910" t="s">
        <v>32</v>
      </c>
      <c r="BN49" s="910" t="s">
        <v>32</v>
      </c>
      <c r="BO49" s="910"/>
      <c r="BP49" s="910"/>
      <c r="BQ49" s="910"/>
      <c r="BR49" s="910"/>
      <c r="BS49" s="891"/>
      <c r="BT49" s="891"/>
      <c r="BU49" s="891"/>
      <c r="BV49" s="891"/>
      <c r="BW49" s="896"/>
      <c r="BX49" s="896"/>
      <c r="BY49" s="896"/>
      <c r="BZ49" s="891"/>
      <c r="CA49" s="891"/>
      <c r="CB49" s="891"/>
      <c r="CC49" s="891"/>
      <c r="CD49" s="891"/>
      <c r="CE49" s="891"/>
      <c r="CF49" s="891"/>
      <c r="CG49" s="428"/>
      <c r="CH49" s="428"/>
      <c r="CI49" s="428"/>
      <c r="CJ49" s="428"/>
    </row>
    <row r="50" spans="1:88" ht="15">
      <c r="A50" s="882">
        <v>6428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15</v>
      </c>
      <c r="G50" s="879" t="s">
        <v>881</v>
      </c>
      <c r="H50" s="879" t="s">
        <v>22</v>
      </c>
      <c r="I50" s="879" t="s">
        <v>891</v>
      </c>
      <c r="J50" s="846">
        <v>7</v>
      </c>
      <c r="K50" s="846">
        <v>4</v>
      </c>
      <c r="L50" s="816" t="str">
        <f t="shared" si="36"/>
        <v>W</v>
      </c>
      <c r="M50" s="816">
        <f t="shared" si="37"/>
        <v>11</v>
      </c>
      <c r="N50" s="816" t="str">
        <f t="shared" si="38"/>
        <v>O</v>
      </c>
      <c r="O50" s="816">
        <f t="shared" si="28"/>
        <v>-0.5</v>
      </c>
      <c r="P50" s="829">
        <f t="shared" si="29"/>
        <v>1</v>
      </c>
      <c r="Q50" s="830">
        <v>0.53</v>
      </c>
      <c r="R50" s="871">
        <f t="shared" si="39"/>
        <v>2.4699999999999998</v>
      </c>
      <c r="S50" s="830">
        <v>2.7</v>
      </c>
      <c r="T50" s="871">
        <f t="shared" si="31"/>
        <v>8.3000000000000007</v>
      </c>
      <c r="U50" s="868">
        <f t="shared" si="32"/>
        <v>1.6150000000000002</v>
      </c>
      <c r="V50" s="868">
        <f t="shared" si="33"/>
        <v>1.085</v>
      </c>
      <c r="W50" s="829">
        <v>17</v>
      </c>
      <c r="X50" s="829">
        <v>12</v>
      </c>
      <c r="Y50" s="829">
        <v>10</v>
      </c>
      <c r="Z50" s="829">
        <v>7</v>
      </c>
      <c r="AA50" s="829">
        <v>50</v>
      </c>
      <c r="AB50" s="829">
        <v>50</v>
      </c>
      <c r="AC50" s="829"/>
      <c r="AD50" s="816" t="str">
        <f t="array" ref="AD50">IF($J50="","",IF(SUM(IF(ISNUMBER(VALUE(RIGHT($AG50:$DY50,1))),VALUE(RIGHT($AG50:$DY50,1)),0))=$J50,"T","F"))</f>
        <v>T</v>
      </c>
      <c r="AE50" s="831">
        <f t="array" ref="AE50">IF($J50="","",SUM(IF(LEFT($AG50:$DY50,1)="s",1,0))-SUM(IF(RIGHT(LEFT($AG50:$DY50,2))="-",1,0)))</f>
        <v>0</v>
      </c>
      <c r="AF50" s="816">
        <f t="array" ref="AF50">IF($J50="","",SUM(IF(LEFT($AG50:$DY50,1)="X",1,0)))</f>
        <v>11</v>
      </c>
      <c r="AG50" s="891" t="s">
        <v>34</v>
      </c>
      <c r="AH50" s="891" t="s">
        <v>1877</v>
      </c>
      <c r="AI50" s="891" t="s">
        <v>32</v>
      </c>
      <c r="AJ50" s="891" t="s">
        <v>32</v>
      </c>
      <c r="AK50" s="891" t="s">
        <v>32</v>
      </c>
      <c r="AL50" s="891" t="s">
        <v>34</v>
      </c>
      <c r="AM50" s="891" t="s">
        <v>32</v>
      </c>
      <c r="AN50" s="891" t="s">
        <v>3035</v>
      </c>
      <c r="AO50" s="891" t="s">
        <v>36</v>
      </c>
      <c r="AP50" s="891" t="s">
        <v>32</v>
      </c>
      <c r="AQ50" s="910"/>
      <c r="AR50" s="904" t="s">
        <v>3039</v>
      </c>
      <c r="AS50" s="891" t="s">
        <v>3026</v>
      </c>
      <c r="AT50" s="891" t="s">
        <v>34</v>
      </c>
      <c r="AU50" s="891" t="s">
        <v>32</v>
      </c>
      <c r="AV50" s="891" t="s">
        <v>3038</v>
      </c>
      <c r="AW50" s="891" t="s">
        <v>34</v>
      </c>
      <c r="AX50" s="891" t="s">
        <v>32</v>
      </c>
      <c r="AY50" s="891" t="s">
        <v>34</v>
      </c>
      <c r="AZ50" s="891" t="s">
        <v>32</v>
      </c>
      <c r="BA50" s="891" t="s">
        <v>34</v>
      </c>
      <c r="BB50" s="891" t="s">
        <v>3037</v>
      </c>
      <c r="BC50" s="891" t="s">
        <v>36</v>
      </c>
      <c r="BD50" s="891" t="s">
        <v>3036</v>
      </c>
      <c r="BE50" s="891" t="s">
        <v>1877</v>
      </c>
      <c r="BF50" s="891" t="s">
        <v>32</v>
      </c>
      <c r="BG50" s="891" t="s">
        <v>36</v>
      </c>
      <c r="BH50" s="891" t="s">
        <v>32</v>
      </c>
      <c r="BI50" s="891" t="s">
        <v>32</v>
      </c>
      <c r="BJ50" s="891" t="s">
        <v>1877</v>
      </c>
      <c r="BK50" s="891" t="s">
        <v>32</v>
      </c>
      <c r="BL50" s="910" t="s">
        <v>32</v>
      </c>
      <c r="BM50" s="910" t="s">
        <v>32</v>
      </c>
      <c r="BN50" s="910" t="s">
        <v>32</v>
      </c>
      <c r="BO50" s="910" t="s">
        <v>32</v>
      </c>
      <c r="BP50" s="910" t="s">
        <v>32</v>
      </c>
      <c r="BQ50" s="910" t="s">
        <v>32</v>
      </c>
      <c r="BR50" s="910" t="s">
        <v>32</v>
      </c>
      <c r="BS50" s="891"/>
      <c r="BT50" s="891"/>
      <c r="BU50" s="891"/>
      <c r="BV50" s="891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428"/>
      <c r="CH50" s="428"/>
      <c r="CI50" s="428"/>
      <c r="CJ50" s="428"/>
    </row>
    <row r="51" spans="1:88" ht="15">
      <c r="A51" s="882">
        <v>6434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8</v>
      </c>
      <c r="G51" s="879" t="s">
        <v>880</v>
      </c>
      <c r="H51" s="879" t="s">
        <v>22</v>
      </c>
      <c r="I51" s="879" t="s">
        <v>891</v>
      </c>
      <c r="J51" s="846">
        <v>5</v>
      </c>
      <c r="K51" s="846">
        <v>2</v>
      </c>
      <c r="L51" s="816" t="str">
        <f t="shared" si="36"/>
        <v>W</v>
      </c>
      <c r="M51" s="816">
        <f t="shared" si="37"/>
        <v>7</v>
      </c>
      <c r="N51" s="816" t="str">
        <f t="shared" si="38"/>
        <v>O</v>
      </c>
      <c r="O51" s="816">
        <f t="shared" si="28"/>
        <v>0</v>
      </c>
      <c r="P51" s="829">
        <f t="shared" si="29"/>
        <v>1</v>
      </c>
      <c r="Q51" s="830">
        <v>0.08</v>
      </c>
      <c r="R51" s="871">
        <f t="shared" si="39"/>
        <v>2.92</v>
      </c>
      <c r="S51" s="830">
        <v>2.7</v>
      </c>
      <c r="T51" s="871">
        <f t="shared" si="31"/>
        <v>4.3</v>
      </c>
      <c r="U51" s="868">
        <f t="shared" si="32"/>
        <v>1.3900000000000001</v>
      </c>
      <c r="V51" s="868">
        <f t="shared" si="33"/>
        <v>1.31</v>
      </c>
      <c r="W51" s="829">
        <v>18</v>
      </c>
      <c r="X51" s="829">
        <v>20</v>
      </c>
      <c r="Y51" s="829">
        <v>8</v>
      </c>
      <c r="Z51" s="829">
        <v>6</v>
      </c>
      <c r="AA51" s="829">
        <v>61</v>
      </c>
      <c r="AB51" s="829">
        <v>39</v>
      </c>
      <c r="AC51" s="829"/>
      <c r="AD51" s="816" t="str">
        <f t="array" ref="AD51">IF($J51="","",IF(SUM(IF(ISNUMBER(VALUE(RIGHT($AG51:$DY51,1))),VALUE(RIGHT($AG51:$DY51,1)),0))=$J51,"T","F"))</f>
        <v>T</v>
      </c>
      <c r="AE51" s="831">
        <f t="array" ref="AE51">IF($J51="","",SUM(IF(LEFT($AG51:$DY51,1)="s",1,0))-SUM(IF(RIGHT(LEFT($AG51:$DY51,2))="-",1,0)))</f>
        <v>0</v>
      </c>
      <c r="AF51" s="816">
        <f t="array" ref="AF51">IF($J51="","",SUM(IF(LEFT($AG51:$DY51,1)="X",1,0)))</f>
        <v>11</v>
      </c>
      <c r="AG51" s="891" t="s">
        <v>34</v>
      </c>
      <c r="AH51" s="891" t="s">
        <v>1877</v>
      </c>
      <c r="AI51" s="891" t="s">
        <v>32</v>
      </c>
      <c r="AJ51" s="891" t="s">
        <v>32</v>
      </c>
      <c r="AK51" s="891" t="s">
        <v>1877</v>
      </c>
      <c r="AL51" s="904" t="s">
        <v>34</v>
      </c>
      <c r="AM51" s="891" t="s">
        <v>32</v>
      </c>
      <c r="AN51" s="891" t="s">
        <v>34</v>
      </c>
      <c r="AO51" s="891" t="s">
        <v>32</v>
      </c>
      <c r="AP51" s="891" t="s">
        <v>32</v>
      </c>
      <c r="AQ51" s="904" t="s">
        <v>34</v>
      </c>
      <c r="AR51" s="904" t="s">
        <v>34</v>
      </c>
      <c r="AS51" s="891" t="s">
        <v>3076</v>
      </c>
      <c r="AT51" s="891" t="s">
        <v>34</v>
      </c>
      <c r="AU51" s="891" t="s">
        <v>32</v>
      </c>
      <c r="AV51" s="891" t="s">
        <v>3078</v>
      </c>
      <c r="AW51" s="891" t="s">
        <v>36</v>
      </c>
      <c r="AX51" s="891" t="s">
        <v>32</v>
      </c>
      <c r="AY51" s="891" t="s">
        <v>34</v>
      </c>
      <c r="AZ51" s="891" t="s">
        <v>32</v>
      </c>
      <c r="BA51" s="891" t="s">
        <v>3077</v>
      </c>
      <c r="BB51" s="891" t="s">
        <v>34</v>
      </c>
      <c r="BC51" s="891" t="s">
        <v>36</v>
      </c>
      <c r="BD51" s="891" t="s">
        <v>3074</v>
      </c>
      <c r="BE51" s="891" t="s">
        <v>1877</v>
      </c>
      <c r="BF51" s="891" t="s">
        <v>32</v>
      </c>
      <c r="BG51" s="891" t="s">
        <v>1877</v>
      </c>
      <c r="BH51" s="891" t="s">
        <v>32</v>
      </c>
      <c r="BI51" s="891" t="s">
        <v>32</v>
      </c>
      <c r="BJ51" s="891" t="s">
        <v>1877</v>
      </c>
      <c r="BK51" s="891">
        <v>1</v>
      </c>
      <c r="BL51" s="910"/>
      <c r="BM51" s="910"/>
      <c r="BN51" s="910"/>
      <c r="BO51" s="910"/>
      <c r="BP51" s="910"/>
      <c r="BQ51" s="910"/>
      <c r="BR51" s="910"/>
      <c r="BS51" s="891"/>
      <c r="BT51" s="891"/>
      <c r="BU51" s="891"/>
      <c r="BV51" s="891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428"/>
      <c r="CH51" s="428"/>
      <c r="CI51" s="428"/>
      <c r="CJ51" s="428"/>
    </row>
    <row r="52" spans="1:88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16</v>
      </c>
      <c r="G52" s="879" t="s">
        <v>872</v>
      </c>
      <c r="H52" s="879" t="s">
        <v>18</v>
      </c>
      <c r="I52" s="879" t="s">
        <v>891</v>
      </c>
      <c r="J52" s="846">
        <v>4</v>
      </c>
      <c r="K52" s="908">
        <v>3</v>
      </c>
      <c r="L52" s="816" t="str">
        <f t="shared" si="36"/>
        <v>W</v>
      </c>
      <c r="M52" s="816">
        <f t="shared" si="37"/>
        <v>7</v>
      </c>
      <c r="N52" s="816" t="str">
        <f t="shared" si="38"/>
        <v>O</v>
      </c>
      <c r="O52" s="816">
        <f t="shared" si="28"/>
        <v>-0.25</v>
      </c>
      <c r="P52" s="829">
        <f t="shared" si="29"/>
        <v>1</v>
      </c>
      <c r="Q52" s="830">
        <v>0.18</v>
      </c>
      <c r="R52" s="871">
        <f t="shared" si="39"/>
        <v>0.82000000000000006</v>
      </c>
      <c r="S52" s="830">
        <v>2.85</v>
      </c>
      <c r="T52" s="871">
        <f t="shared" si="31"/>
        <v>4.1500000000000004</v>
      </c>
      <c r="U52" s="868">
        <f t="shared" si="32"/>
        <v>1.5150000000000001</v>
      </c>
      <c r="V52" s="868">
        <f t="shared" si="33"/>
        <v>1.335</v>
      </c>
      <c r="W52" s="829">
        <v>12</v>
      </c>
      <c r="X52" s="829">
        <v>24</v>
      </c>
      <c r="Y52" s="829">
        <v>8</v>
      </c>
      <c r="Z52" s="829">
        <v>5</v>
      </c>
      <c r="AA52" s="829">
        <v>54</v>
      </c>
      <c r="AB52" s="829">
        <v>46</v>
      </c>
      <c r="AC52" s="829"/>
      <c r="AD52" s="816" t="str">
        <f t="array" ref="AD52">IF($J52="","",IF(SUM(IF(ISNUMBER(VALUE(RIGHT($AG52:$DY52,1))),VALUE(RIGHT($AG52:$DY52,1)),0))=$J52,"T","F"))</f>
        <v>T</v>
      </c>
      <c r="AE52" s="831">
        <f t="array" ref="AE52">IF($J52="","",SUM(IF(LEFT($AG52:$DY52,1)="s",1,0))-SUM(IF(RIGHT(LEFT($AG52:$DY52,2))="-",1,0)))</f>
        <v>0</v>
      </c>
      <c r="AF52" s="816">
        <f t="array" ref="AF52">IF($J52="","",SUM(IF(LEFT($AG52:$DY52,1)="X",1,0)))</f>
        <v>11</v>
      </c>
      <c r="AG52" s="891" t="s">
        <v>34</v>
      </c>
      <c r="AH52" s="891" t="s">
        <v>1877</v>
      </c>
      <c r="AI52" s="891" t="s">
        <v>32</v>
      </c>
      <c r="AJ52" s="891" t="s">
        <v>32</v>
      </c>
      <c r="AK52" s="891" t="s">
        <v>32</v>
      </c>
      <c r="AL52" s="891" t="s">
        <v>34</v>
      </c>
      <c r="AM52" s="891" t="s">
        <v>32</v>
      </c>
      <c r="AN52" s="891" t="s">
        <v>1877</v>
      </c>
      <c r="AO52" s="891" t="s">
        <v>32</v>
      </c>
      <c r="AP52" s="891" t="s">
        <v>1877</v>
      </c>
      <c r="AQ52" s="891" t="s">
        <v>3088</v>
      </c>
      <c r="AR52" s="891" t="s">
        <v>3086</v>
      </c>
      <c r="AS52" s="891" t="s">
        <v>35</v>
      </c>
      <c r="AT52" s="891" t="s">
        <v>34</v>
      </c>
      <c r="AU52" s="891" t="s">
        <v>36</v>
      </c>
      <c r="AV52" s="891" t="s">
        <v>3088</v>
      </c>
      <c r="AW52" s="891" t="s">
        <v>34</v>
      </c>
      <c r="AX52" s="891" t="s">
        <v>32</v>
      </c>
      <c r="AY52" s="891" t="s">
        <v>35</v>
      </c>
      <c r="AZ52" s="891" t="s">
        <v>32</v>
      </c>
      <c r="BA52" s="891" t="s">
        <v>3088</v>
      </c>
      <c r="BB52" s="891" t="s">
        <v>3088</v>
      </c>
      <c r="BC52" s="891" t="s">
        <v>32</v>
      </c>
      <c r="BD52" s="891" t="s">
        <v>35</v>
      </c>
      <c r="BE52" s="891" t="s">
        <v>36</v>
      </c>
      <c r="BF52" s="891" t="s">
        <v>32</v>
      </c>
      <c r="BG52" s="891" t="s">
        <v>32</v>
      </c>
      <c r="BH52" s="891" t="s">
        <v>32</v>
      </c>
      <c r="BI52" s="891" t="s">
        <v>36</v>
      </c>
      <c r="BJ52" s="891" t="s">
        <v>1877</v>
      </c>
      <c r="BK52" s="891"/>
      <c r="BL52" s="910"/>
      <c r="BM52" s="910"/>
      <c r="BN52" s="910"/>
      <c r="BO52" s="910"/>
      <c r="BP52" s="910"/>
      <c r="BQ52" s="910"/>
      <c r="BR52" s="910"/>
      <c r="BS52" s="891"/>
      <c r="BT52" s="891"/>
      <c r="BU52" s="891"/>
      <c r="BV52" s="891" t="s">
        <v>32</v>
      </c>
      <c r="BW52" s="896" t="s">
        <v>32</v>
      </c>
      <c r="BX52" s="896" t="s">
        <v>32</v>
      </c>
      <c r="BY52" s="896" t="s">
        <v>32</v>
      </c>
      <c r="BZ52" s="896"/>
      <c r="CA52" s="896"/>
      <c r="CB52" s="896"/>
      <c r="CC52" s="896"/>
      <c r="CD52" s="896"/>
      <c r="CE52" s="896"/>
      <c r="CF52" s="896"/>
      <c r="CG52" s="428"/>
      <c r="CH52" s="428"/>
      <c r="CI52" s="428"/>
      <c r="CJ52" s="428"/>
    </row>
    <row r="53" spans="1:88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4</v>
      </c>
      <c r="G53" s="879" t="s">
        <v>1084</v>
      </c>
      <c r="H53" s="879" t="s">
        <v>22</v>
      </c>
      <c r="I53" s="879" t="s">
        <v>891</v>
      </c>
      <c r="J53" s="846">
        <v>3</v>
      </c>
      <c r="K53" s="846">
        <v>1</v>
      </c>
      <c r="L53" s="816" t="str">
        <f t="shared" si="36"/>
        <v>W</v>
      </c>
      <c r="M53" s="816">
        <f t="shared" si="37"/>
        <v>4</v>
      </c>
      <c r="N53" s="816" t="str">
        <f t="shared" si="38"/>
        <v>O</v>
      </c>
      <c r="O53" s="816">
        <f t="shared" si="28"/>
        <v>0</v>
      </c>
      <c r="P53" s="829">
        <f t="shared" si="29"/>
        <v>1</v>
      </c>
      <c r="Q53" s="830">
        <v>0.03</v>
      </c>
      <c r="R53" s="871">
        <f t="shared" ref="R53:R67" si="48">IF(ISBLANK(Q53),"",J53-K53-Q53)</f>
        <v>1.97</v>
      </c>
      <c r="S53" s="830">
        <v>2.7</v>
      </c>
      <c r="T53" s="871">
        <f t="shared" si="31"/>
        <v>1.2999999999999998</v>
      </c>
      <c r="U53" s="868">
        <f t="shared" si="32"/>
        <v>1.365</v>
      </c>
      <c r="V53" s="868">
        <f t="shared" si="33"/>
        <v>1.3350000000000002</v>
      </c>
      <c r="W53" s="829">
        <v>18</v>
      </c>
      <c r="X53" s="829">
        <v>7</v>
      </c>
      <c r="Y53" s="829">
        <v>7</v>
      </c>
      <c r="Z53" s="829">
        <v>4</v>
      </c>
      <c r="AA53" s="829">
        <v>59</v>
      </c>
      <c r="AB53" s="829">
        <v>41</v>
      </c>
      <c r="AC53" s="829"/>
      <c r="AD53" s="816" t="str">
        <f t="array" ref="AD53">IF($J53="","",IF(SUM(IF(ISNUMBER(VALUE(RIGHT($AG53:$DY53,1))),VALUE(RIGHT($AG53:$DY53,1)),0))=$J53,"T","F"))</f>
        <v>T</v>
      </c>
      <c r="AE53" s="831">
        <f t="array" ref="AE53">IF($J53="","",SUM(IF(LEFT($AG53:$DY53,1)="s",1,0))-SUM(IF(RIGHT(LEFT($AG53:$DY53,2))="-",1,0)))</f>
        <v>0</v>
      </c>
      <c r="AF53" s="816">
        <f t="array" ref="AF53">IF($J53="","",SUM(IF(LEFT($AG53:$DY53,1)="X",1,0)))</f>
        <v>11</v>
      </c>
      <c r="AG53" s="891" t="s">
        <v>34</v>
      </c>
      <c r="AH53" s="891" t="s">
        <v>32</v>
      </c>
      <c r="AI53" s="891" t="s">
        <v>1877</v>
      </c>
      <c r="AJ53" s="891" t="s">
        <v>32</v>
      </c>
      <c r="AK53" s="891" t="s">
        <v>32</v>
      </c>
      <c r="AL53" s="891" t="s">
        <v>34</v>
      </c>
      <c r="AM53" s="891" t="s">
        <v>32</v>
      </c>
      <c r="AN53" s="891" t="s">
        <v>3114</v>
      </c>
      <c r="AO53" s="891" t="s">
        <v>32</v>
      </c>
      <c r="AP53" s="891" t="s">
        <v>1877</v>
      </c>
      <c r="AQ53" s="891" t="s">
        <v>34</v>
      </c>
      <c r="AR53" s="891" t="s">
        <v>34</v>
      </c>
      <c r="AS53" s="891" t="s">
        <v>32</v>
      </c>
      <c r="AT53" s="891" t="s">
        <v>34</v>
      </c>
      <c r="AU53" s="891" t="s">
        <v>1877</v>
      </c>
      <c r="AV53" s="891" t="s">
        <v>3114</v>
      </c>
      <c r="AW53" s="891" t="s">
        <v>36</v>
      </c>
      <c r="AX53" s="891" t="s">
        <v>32</v>
      </c>
      <c r="AY53" s="891" t="s">
        <v>35</v>
      </c>
      <c r="AZ53" s="891" t="s">
        <v>32</v>
      </c>
      <c r="BA53" s="891" t="s">
        <v>34</v>
      </c>
      <c r="BB53" s="891" t="s">
        <v>3121</v>
      </c>
      <c r="BC53" s="891" t="s">
        <v>36</v>
      </c>
      <c r="BD53" s="891" t="s">
        <v>35</v>
      </c>
      <c r="BE53" s="891" t="s">
        <v>32</v>
      </c>
      <c r="BF53" s="891" t="s">
        <v>32</v>
      </c>
      <c r="BG53" s="891" t="s">
        <v>1877</v>
      </c>
      <c r="BH53" s="891" t="s">
        <v>32</v>
      </c>
      <c r="BI53" s="891" t="s">
        <v>36</v>
      </c>
      <c r="BJ53" s="891" t="s">
        <v>32</v>
      </c>
      <c r="BK53" s="891" t="s">
        <v>32</v>
      </c>
      <c r="BL53" s="910" t="s">
        <v>32</v>
      </c>
      <c r="BM53" s="910" t="s">
        <v>32</v>
      </c>
      <c r="BN53" s="910" t="s">
        <v>32</v>
      </c>
      <c r="BO53" s="910" t="s">
        <v>32</v>
      </c>
      <c r="BP53" s="910" t="s">
        <v>32</v>
      </c>
      <c r="BQ53" s="910" t="s">
        <v>32</v>
      </c>
      <c r="BR53" s="910" t="s">
        <v>32</v>
      </c>
      <c r="BS53" s="891"/>
      <c r="BT53" s="891"/>
      <c r="BU53" s="891"/>
      <c r="BV53" s="891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428"/>
      <c r="CH53" s="428"/>
      <c r="CI53" s="428"/>
      <c r="CJ53" s="428"/>
    </row>
    <row r="54" spans="1:88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10</v>
      </c>
      <c r="G54" s="879" t="s">
        <v>883</v>
      </c>
      <c r="H54" s="879" t="s">
        <v>22</v>
      </c>
      <c r="I54" s="879" t="s">
        <v>891</v>
      </c>
      <c r="J54" s="908">
        <v>2</v>
      </c>
      <c r="K54" s="846">
        <v>3</v>
      </c>
      <c r="L54" s="816" t="str">
        <f t="shared" si="36"/>
        <v>L</v>
      </c>
      <c r="M54" s="816">
        <f t="shared" si="37"/>
        <v>5</v>
      </c>
      <c r="N54" s="816" t="str">
        <f t="shared" si="38"/>
        <v>O</v>
      </c>
      <c r="O54" s="816">
        <f t="shared" si="28"/>
        <v>-0.5</v>
      </c>
      <c r="P54" s="829">
        <f t="shared" si="29"/>
        <v>-1</v>
      </c>
      <c r="Q54" s="830">
        <v>0.46</v>
      </c>
      <c r="R54" s="871">
        <f t="shared" si="48"/>
        <v>-1.46</v>
      </c>
      <c r="S54" s="830">
        <v>2.72</v>
      </c>
      <c r="T54" s="871">
        <f t="shared" si="31"/>
        <v>2.2799999999999998</v>
      </c>
      <c r="U54" s="868">
        <f t="shared" si="32"/>
        <v>1.59</v>
      </c>
      <c r="V54" s="868">
        <f t="shared" si="33"/>
        <v>1.1300000000000001</v>
      </c>
      <c r="W54" s="829">
        <v>15</v>
      </c>
      <c r="X54" s="829">
        <v>10</v>
      </c>
      <c r="Y54" s="829">
        <v>4</v>
      </c>
      <c r="Z54" s="829">
        <v>3</v>
      </c>
      <c r="AA54" s="829">
        <v>57</v>
      </c>
      <c r="AB54" s="829">
        <v>43</v>
      </c>
      <c r="AC54" s="829"/>
      <c r="AD54" s="816" t="str">
        <f t="array" ref="AD54">IF($J54="","",IF(SUM(IF(ISNUMBER(VALUE(RIGHT($AG54:$DY54,1))),VALUE(RIGHT($AG54:$DY54,1)),0))=$J54,"T","F"))</f>
        <v>T</v>
      </c>
      <c r="AE54" s="831">
        <f t="array" ref="AE54">IF($J54="","",SUM(IF(LEFT($AG54:$DY54,1)="s",1,0))-SUM(IF(RIGHT(LEFT($AG54:$DY54,2))="-",1,0)))</f>
        <v>0</v>
      </c>
      <c r="AF54" s="816">
        <f t="array" ref="AF54">IF($J54="","",SUM(IF(LEFT($AG54:$DY54,1)="X",1,0)))</f>
        <v>11</v>
      </c>
      <c r="AG54" s="891" t="s">
        <v>34</v>
      </c>
      <c r="AH54" s="891" t="s">
        <v>32</v>
      </c>
      <c r="AI54" s="891" t="s">
        <v>1877</v>
      </c>
      <c r="AJ54" s="891"/>
      <c r="AK54" s="891" t="s">
        <v>32</v>
      </c>
      <c r="AL54" s="891" t="s">
        <v>35</v>
      </c>
      <c r="AM54" s="891" t="s">
        <v>32</v>
      </c>
      <c r="AN54" s="891" t="s">
        <v>34</v>
      </c>
      <c r="AO54" s="891" t="s">
        <v>32</v>
      </c>
      <c r="AP54" s="891" t="s">
        <v>36</v>
      </c>
      <c r="AQ54" s="891" t="s">
        <v>34</v>
      </c>
      <c r="AR54" s="909" t="s">
        <v>3146</v>
      </c>
      <c r="AS54" s="891" t="s">
        <v>32</v>
      </c>
      <c r="AT54" s="891" t="s">
        <v>34</v>
      </c>
      <c r="AU54" s="891" t="s">
        <v>1877</v>
      </c>
      <c r="AV54" s="891" t="s">
        <v>34</v>
      </c>
      <c r="AW54" s="891" t="s">
        <v>34</v>
      </c>
      <c r="AX54" s="891" t="s">
        <v>32</v>
      </c>
      <c r="AY54" s="891" t="s">
        <v>35</v>
      </c>
      <c r="AZ54" s="891" t="s">
        <v>32</v>
      </c>
      <c r="BA54" s="904" t="s">
        <v>34</v>
      </c>
      <c r="BB54" s="891" t="s">
        <v>3145</v>
      </c>
      <c r="BC54" s="891" t="s">
        <v>36</v>
      </c>
      <c r="BD54" s="891" t="s">
        <v>3168</v>
      </c>
      <c r="BE54" s="891" t="s">
        <v>32</v>
      </c>
      <c r="BF54" s="891" t="s">
        <v>32</v>
      </c>
      <c r="BG54" s="891" t="s">
        <v>1877</v>
      </c>
      <c r="BH54" s="891" t="s">
        <v>32</v>
      </c>
      <c r="BI54" s="904" t="s">
        <v>36</v>
      </c>
      <c r="BJ54" s="891" t="s">
        <v>1877</v>
      </c>
      <c r="BK54" s="891"/>
      <c r="BL54" s="910"/>
      <c r="BM54" s="910"/>
      <c r="BN54" s="910"/>
      <c r="BO54" s="910"/>
      <c r="BP54" s="910"/>
      <c r="BQ54" s="910"/>
      <c r="BR54" s="910"/>
      <c r="BS54" s="891"/>
      <c r="BT54" s="891"/>
      <c r="BU54" s="891"/>
      <c r="BV54" s="891" t="s">
        <v>32</v>
      </c>
      <c r="BW54" s="896" t="s">
        <v>32</v>
      </c>
      <c r="BX54" s="896" t="s">
        <v>32</v>
      </c>
      <c r="BY54" s="896"/>
      <c r="BZ54" s="896"/>
      <c r="CA54" s="896"/>
      <c r="CB54" s="896"/>
      <c r="CC54" s="896"/>
      <c r="CD54" s="896"/>
      <c r="CE54" s="896"/>
      <c r="CF54" s="896"/>
      <c r="CG54" s="428"/>
      <c r="CH54" s="428"/>
      <c r="CI54" s="428"/>
      <c r="CJ54" s="428"/>
    </row>
    <row r="55" spans="1:88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14</v>
      </c>
      <c r="G55" s="879" t="s">
        <v>873</v>
      </c>
      <c r="H55" s="879" t="s">
        <v>18</v>
      </c>
      <c r="I55" s="879" t="s">
        <v>891</v>
      </c>
      <c r="J55" s="846">
        <v>1</v>
      </c>
      <c r="K55" s="846">
        <v>1</v>
      </c>
      <c r="L55" s="816" t="str">
        <f t="shared" si="36"/>
        <v>D</v>
      </c>
      <c r="M55" s="816">
        <f t="shared" si="37"/>
        <v>2</v>
      </c>
      <c r="N55" s="816" t="str">
        <f t="shared" si="38"/>
        <v>U</v>
      </c>
      <c r="O55" s="816">
        <f t="shared" si="28"/>
        <v>0</v>
      </c>
      <c r="P55" s="829">
        <f t="shared" si="29"/>
        <v>0</v>
      </c>
      <c r="Q55" s="830">
        <v>0.13</v>
      </c>
      <c r="R55" s="871">
        <f t="shared" si="48"/>
        <v>-0.13</v>
      </c>
      <c r="S55" s="830">
        <v>2.78</v>
      </c>
      <c r="T55" s="871">
        <f t="shared" si="31"/>
        <v>-0.7799999999999998</v>
      </c>
      <c r="U55" s="868">
        <f t="shared" si="32"/>
        <v>1.4549999999999998</v>
      </c>
      <c r="V55" s="868">
        <f t="shared" si="33"/>
        <v>1.325</v>
      </c>
      <c r="W55" s="829">
        <v>15</v>
      </c>
      <c r="X55" s="829">
        <v>10</v>
      </c>
      <c r="Y55" s="829">
        <v>3</v>
      </c>
      <c r="Z55" s="829">
        <v>3</v>
      </c>
      <c r="AA55" s="829">
        <v>61</v>
      </c>
      <c r="AB55" s="829">
        <v>39</v>
      </c>
      <c r="AC55" s="829"/>
      <c r="AD55" s="816" t="str">
        <f t="array" ref="AD55">IF($J55="","",IF(SUM(IF(ISNUMBER(VALUE(RIGHT($AG55:$DY55,1))),VALUE(RIGHT($AG55:$DY55,1)),0))=$J55,"T","F"))</f>
        <v>T</v>
      </c>
      <c r="AE55" s="831">
        <f t="array" ref="AE55">IF($J55="","",SUM(IF(LEFT($AG55:$DY55,1)="s",1,0))-SUM(IF(RIGHT(LEFT($AG55:$DY55,2))="-",1,0)))</f>
        <v>0</v>
      </c>
      <c r="AF55" s="816">
        <f t="array" ref="AF55">IF($J55="","",SUM(IF(LEFT($AG55:$DY55,1)="X",1,0)))</f>
        <v>11</v>
      </c>
      <c r="AG55" s="891" t="s">
        <v>34</v>
      </c>
      <c r="AH55" s="891" t="s">
        <v>1877</v>
      </c>
      <c r="AI55" s="891" t="s">
        <v>32</v>
      </c>
      <c r="AJ55" s="891" t="s">
        <v>32</v>
      </c>
      <c r="AK55" s="891" t="s">
        <v>1877</v>
      </c>
      <c r="AL55" s="891" t="s">
        <v>34</v>
      </c>
      <c r="AM55" s="891" t="s">
        <v>32</v>
      </c>
      <c r="AN55" s="891" t="s">
        <v>34</v>
      </c>
      <c r="AO55" s="891" t="s">
        <v>32</v>
      </c>
      <c r="AP55" s="891" t="s">
        <v>1877</v>
      </c>
      <c r="AQ55" s="891" t="s">
        <v>34</v>
      </c>
      <c r="AR55" s="891" t="s">
        <v>3170</v>
      </c>
      <c r="AS55" s="891" t="s">
        <v>32</v>
      </c>
      <c r="AT55" s="891" t="s">
        <v>34</v>
      </c>
      <c r="AU55" s="891" t="s">
        <v>35</v>
      </c>
      <c r="AV55" s="891" t="s">
        <v>34</v>
      </c>
      <c r="AW55" s="891" t="s">
        <v>34</v>
      </c>
      <c r="AX55" s="891" t="s">
        <v>32</v>
      </c>
      <c r="AY55" s="891" t="s">
        <v>35</v>
      </c>
      <c r="AZ55" s="891" t="s">
        <v>32</v>
      </c>
      <c r="BA55" s="891" t="s">
        <v>34</v>
      </c>
      <c r="BB55" s="891" t="s">
        <v>3175</v>
      </c>
      <c r="BC55" s="891" t="s">
        <v>36</v>
      </c>
      <c r="BD55" s="891" t="s">
        <v>3032</v>
      </c>
      <c r="BE55" s="891" t="s">
        <v>1877</v>
      </c>
      <c r="BF55" s="891" t="s">
        <v>32</v>
      </c>
      <c r="BG55" s="891" t="s">
        <v>1877</v>
      </c>
      <c r="BH55" s="891" t="s">
        <v>32</v>
      </c>
      <c r="BI55" s="891" t="s">
        <v>36</v>
      </c>
      <c r="BJ55" s="891"/>
      <c r="BK55" s="891"/>
      <c r="BL55" s="910"/>
      <c r="BM55" s="910"/>
      <c r="BN55" s="910"/>
      <c r="BO55" s="910"/>
      <c r="BP55" s="910"/>
      <c r="BQ55" s="910"/>
      <c r="BR55" s="910"/>
      <c r="BS55" s="891"/>
      <c r="BT55" s="891"/>
      <c r="BU55" s="891"/>
      <c r="BV55" s="891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428"/>
      <c r="CH55" s="428"/>
      <c r="CI55" s="428"/>
      <c r="CJ55" s="428"/>
    </row>
    <row r="56" spans="1:88" ht="15">
      <c r="A56" s="882">
        <v>6462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9</v>
      </c>
      <c r="G56" s="879" t="s">
        <v>1083</v>
      </c>
      <c r="H56" s="879" t="s">
        <v>22</v>
      </c>
      <c r="I56" s="879" t="s">
        <v>891</v>
      </c>
      <c r="J56" s="846">
        <v>0</v>
      </c>
      <c r="K56" s="846">
        <v>1</v>
      </c>
      <c r="L56" s="816" t="str">
        <f t="shared" si="36"/>
        <v>L</v>
      </c>
      <c r="M56" s="816">
        <f t="shared" si="37"/>
        <v>1</v>
      </c>
      <c r="N56" s="816" t="str">
        <f t="shared" si="38"/>
        <v>U</v>
      </c>
      <c r="O56" s="816">
        <f t="shared" si="28"/>
        <v>-0.5</v>
      </c>
      <c r="P56" s="829">
        <f t="shared" si="29"/>
        <v>-1</v>
      </c>
      <c r="Q56" s="830">
        <v>0.53</v>
      </c>
      <c r="R56" s="871">
        <f t="shared" si="48"/>
        <v>-1.53</v>
      </c>
      <c r="S56" s="830">
        <v>2.88</v>
      </c>
      <c r="T56" s="871">
        <f t="shared" si="31"/>
        <v>-1.88</v>
      </c>
      <c r="U56" s="868">
        <f t="shared" si="32"/>
        <v>1.7050000000000001</v>
      </c>
      <c r="V56" s="868">
        <f t="shared" si="33"/>
        <v>1.1749999999999998</v>
      </c>
      <c r="W56" s="829">
        <v>18</v>
      </c>
      <c r="X56" s="829">
        <v>11</v>
      </c>
      <c r="Y56" s="829">
        <v>4</v>
      </c>
      <c r="Z56" s="829">
        <v>4</v>
      </c>
      <c r="AA56" s="829">
        <v>59</v>
      </c>
      <c r="AB56" s="829">
        <v>41</v>
      </c>
      <c r="AC56" s="829"/>
      <c r="AD56" s="816" t="str">
        <f t="array" ref="AD56">IF($J56="","",IF(SUM(IF(ISNUMBER(VALUE(RIGHT($AG56:$DY56,1))),VALUE(RIGHT($AG56:$DY56,1)),0))=$J56,"T","F"))</f>
        <v>T</v>
      </c>
      <c r="AE56" s="831">
        <f t="array" ref="AE56">IF($J56="","",SUM(IF(LEFT($AG56:$DY56,1)="s",1,0))-SUM(IF(RIGHT(LEFT($AG56:$DY56,2))="-",1,0)))</f>
        <v>0</v>
      </c>
      <c r="AF56" s="816">
        <f t="array" ref="AF56">IF($J56="","",SUM(IF(LEFT($AG56:$DY56,1)="X",1,0)))</f>
        <v>11</v>
      </c>
      <c r="AG56" s="891" t="s">
        <v>34</v>
      </c>
      <c r="AH56" s="891" t="s">
        <v>1877</v>
      </c>
      <c r="AI56" s="891" t="s">
        <v>32</v>
      </c>
      <c r="AJ56" s="891" t="s">
        <v>32</v>
      </c>
      <c r="AK56" s="891" t="s">
        <v>1877</v>
      </c>
      <c r="AL56" s="891" t="s">
        <v>34</v>
      </c>
      <c r="AM56" s="891" t="s">
        <v>32</v>
      </c>
      <c r="AN56" s="904" t="s">
        <v>34</v>
      </c>
      <c r="AO56" s="891" t="s">
        <v>32</v>
      </c>
      <c r="AP56" s="891" t="s">
        <v>1877</v>
      </c>
      <c r="AQ56" s="891" t="s">
        <v>35</v>
      </c>
      <c r="AR56" s="891" t="s">
        <v>34</v>
      </c>
      <c r="AS56" s="891" t="s">
        <v>36</v>
      </c>
      <c r="AT56" s="904" t="s">
        <v>34</v>
      </c>
      <c r="AU56" s="891" t="s">
        <v>32</v>
      </c>
      <c r="AV56" s="891" t="s">
        <v>32</v>
      </c>
      <c r="AW56" s="891" t="s">
        <v>34</v>
      </c>
      <c r="AX56" s="891" t="s">
        <v>32</v>
      </c>
      <c r="AY56" s="891" t="s">
        <v>35</v>
      </c>
      <c r="AZ56" s="891" t="s">
        <v>32</v>
      </c>
      <c r="BA56" s="891" t="s">
        <v>34</v>
      </c>
      <c r="BB56" s="891" t="s">
        <v>34</v>
      </c>
      <c r="BC56" s="891" t="s">
        <v>32</v>
      </c>
      <c r="BD56" s="891" t="s">
        <v>3217</v>
      </c>
      <c r="BE56" s="891" t="s">
        <v>32</v>
      </c>
      <c r="BF56" s="891" t="s">
        <v>36</v>
      </c>
      <c r="BG56" s="891" t="s">
        <v>35</v>
      </c>
      <c r="BH56" s="891" t="s">
        <v>32</v>
      </c>
      <c r="BI56" s="891" t="s">
        <v>36</v>
      </c>
      <c r="BJ56" s="891" t="s">
        <v>1877</v>
      </c>
      <c r="BK56" s="891"/>
      <c r="BL56" s="910"/>
      <c r="BM56" s="910"/>
      <c r="BN56" s="910"/>
      <c r="BO56" s="910"/>
      <c r="BP56" s="910"/>
      <c r="BQ56" s="910"/>
      <c r="BR56" s="910"/>
      <c r="BS56" s="891"/>
      <c r="BT56" s="891"/>
      <c r="BU56" s="891"/>
      <c r="BV56" s="891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428"/>
      <c r="CH56" s="428"/>
      <c r="CI56" s="428"/>
      <c r="CJ56" s="428"/>
    </row>
    <row r="57" spans="1:88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17</v>
      </c>
      <c r="G57" s="879" t="s">
        <v>875</v>
      </c>
      <c r="H57" s="879" t="s">
        <v>18</v>
      </c>
      <c r="I57" s="879" t="s">
        <v>891</v>
      </c>
      <c r="J57" s="846">
        <v>1</v>
      </c>
      <c r="K57" s="846">
        <v>3</v>
      </c>
      <c r="L57" s="816" t="str">
        <f t="shared" si="36"/>
        <v>L</v>
      </c>
      <c r="M57" s="816">
        <f t="shared" si="37"/>
        <v>4</v>
      </c>
      <c r="N57" s="816" t="str">
        <f t="shared" si="38"/>
        <v>O</v>
      </c>
      <c r="O57" s="816">
        <f t="shared" si="28"/>
        <v>-0.5</v>
      </c>
      <c r="P57" s="829">
        <f t="shared" si="29"/>
        <v>-1</v>
      </c>
      <c r="Q57" s="830">
        <v>0.65</v>
      </c>
      <c r="R57" s="871">
        <f t="shared" si="48"/>
        <v>-2.65</v>
      </c>
      <c r="S57" s="830">
        <v>3</v>
      </c>
      <c r="T57" s="871">
        <f t="shared" si="31"/>
        <v>1</v>
      </c>
      <c r="U57" s="868">
        <f t="shared" si="32"/>
        <v>1.825</v>
      </c>
      <c r="V57" s="868">
        <f t="shared" si="33"/>
        <v>1.175</v>
      </c>
      <c r="W57" s="829">
        <v>21</v>
      </c>
      <c r="X57" s="829">
        <v>15</v>
      </c>
      <c r="Y57" s="829">
        <v>5</v>
      </c>
      <c r="Z57" s="829">
        <v>4</v>
      </c>
      <c r="AA57" s="829">
        <v>70</v>
      </c>
      <c r="AB57" s="829">
        <v>30</v>
      </c>
      <c r="AC57" s="829"/>
      <c r="AD57" s="816" t="str">
        <f t="array" ref="AD57">IF($J57="","",IF(SUM(IF(ISNUMBER(VALUE(RIGHT($AG57:$DY57,1))),VALUE(RIGHT($AG57:$DY57,1)),0))=$J57,"T","F"))</f>
        <v>T</v>
      </c>
      <c r="AE57" s="831">
        <f t="array" ref="AE57">IF($J57="","",SUM(IF(LEFT($AG57:$DY57,1)="s",1,0))-SUM(IF(RIGHT(LEFT($AG57:$DY57,2))="-",1,0)))</f>
        <v>0</v>
      </c>
      <c r="AF57" s="816">
        <f t="array" ref="AF57">IF($J57="","",SUM(IF(LEFT($AG57:$DY57,1)="X",1,0)))</f>
        <v>11</v>
      </c>
      <c r="AG57" s="891" t="s">
        <v>3260</v>
      </c>
      <c r="AH57" s="891" t="s">
        <v>1877</v>
      </c>
      <c r="AI57" s="891" t="s">
        <v>32</v>
      </c>
      <c r="AJ57" s="891" t="s">
        <v>32</v>
      </c>
      <c r="AK57" s="891" t="s">
        <v>34</v>
      </c>
      <c r="AL57" s="891" t="s">
        <v>34</v>
      </c>
      <c r="AM57" s="891" t="s">
        <v>32</v>
      </c>
      <c r="AN57" s="891" t="s">
        <v>34</v>
      </c>
      <c r="AO57" s="891" t="s">
        <v>32</v>
      </c>
      <c r="AP57" s="891" t="s">
        <v>1877</v>
      </c>
      <c r="AQ57" s="891" t="s">
        <v>1886</v>
      </c>
      <c r="AR57" s="891" t="s">
        <v>34</v>
      </c>
      <c r="AS57" s="891" t="s">
        <v>1877</v>
      </c>
      <c r="AT57" s="891" t="s">
        <v>32</v>
      </c>
      <c r="AU57" s="891" t="s">
        <v>32</v>
      </c>
      <c r="AV57" s="891" t="s">
        <v>34</v>
      </c>
      <c r="AW57" s="891" t="s">
        <v>34</v>
      </c>
      <c r="AX57" s="891" t="s">
        <v>32</v>
      </c>
      <c r="AY57" s="891" t="s">
        <v>3254</v>
      </c>
      <c r="AZ57" s="891" t="s">
        <v>32</v>
      </c>
      <c r="BA57" s="904" t="s">
        <v>34</v>
      </c>
      <c r="BB57" s="904" t="s">
        <v>3275</v>
      </c>
      <c r="BC57" s="891" t="s">
        <v>32</v>
      </c>
      <c r="BD57" s="891" t="s">
        <v>35</v>
      </c>
      <c r="BE57" s="891" t="s">
        <v>36</v>
      </c>
      <c r="BF57" s="891" t="s">
        <v>32</v>
      </c>
      <c r="BG57" s="891" t="s">
        <v>1877</v>
      </c>
      <c r="BH57" s="891" t="s">
        <v>32</v>
      </c>
      <c r="BI57" s="891" t="s">
        <v>35</v>
      </c>
      <c r="BJ57" s="891" t="s">
        <v>35</v>
      </c>
      <c r="BK57" s="891"/>
      <c r="BL57" s="910"/>
      <c r="BM57" s="910"/>
      <c r="BN57" s="910"/>
      <c r="BO57" s="910"/>
      <c r="BP57" s="910"/>
      <c r="BQ57" s="910"/>
      <c r="BR57" s="910"/>
      <c r="BS57" s="891"/>
      <c r="BT57" s="891"/>
      <c r="BU57" s="891"/>
      <c r="BV57" s="891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428"/>
      <c r="CH57" s="428"/>
      <c r="CI57" s="428"/>
      <c r="CJ57" s="428"/>
    </row>
    <row r="58" spans="1:88" s="919" customFormat="1" ht="15">
      <c r="A58" s="912">
        <v>6473</v>
      </c>
      <c r="B58" s="894"/>
      <c r="C58" s="894"/>
      <c r="D58" s="894"/>
      <c r="E58" s="894"/>
      <c r="F58" s="894"/>
      <c r="G58" s="828" t="s">
        <v>892</v>
      </c>
      <c r="H58" s="828" t="s">
        <v>22</v>
      </c>
      <c r="I58" s="828" t="s">
        <v>2649</v>
      </c>
      <c r="J58" s="898">
        <v>0</v>
      </c>
      <c r="K58" s="898">
        <v>1</v>
      </c>
      <c r="L58" s="816" t="str">
        <f t="shared" si="36"/>
        <v>L</v>
      </c>
      <c r="M58" s="816">
        <f t="shared" si="37"/>
        <v>1</v>
      </c>
      <c r="N58" s="816" t="str">
        <f t="shared" si="38"/>
        <v>U</v>
      </c>
      <c r="O58" s="816"/>
      <c r="P58" s="829"/>
      <c r="Q58" s="830"/>
      <c r="R58" s="871"/>
      <c r="S58" s="830"/>
      <c r="T58" s="871"/>
      <c r="U58" s="868"/>
      <c r="V58" s="868"/>
      <c r="W58" s="829"/>
      <c r="X58" s="829"/>
      <c r="Y58" s="829"/>
      <c r="Z58" s="829"/>
      <c r="AA58" s="829"/>
      <c r="AB58" s="829"/>
      <c r="AC58" s="829"/>
      <c r="AD58" s="816" t="str">
        <f t="array" ref="AD58">IF($J58="","",IF(SUM(IF(ISNUMBER(VALUE(RIGHT($AG58:$DY58,1))),VALUE(RIGHT($AG58:$DY58,1)),0))=$J58,"T","F"))</f>
        <v>T</v>
      </c>
      <c r="AE58" s="831">
        <f t="array" ref="AE58">IF($J58="","",SUM(IF(LEFT($AG58:$DY58,1)="s",1,0))-SUM(IF(RIGHT(LEFT($AG58:$DY58,2))="-",1,0)))</f>
        <v>0</v>
      </c>
      <c r="AF58" s="816">
        <f t="array" ref="AF58">IF($J58="","",SUM(IF(LEFT($AG58:$DY58,1)="X",1,0)))</f>
        <v>11</v>
      </c>
      <c r="AG58" s="891" t="s">
        <v>3304</v>
      </c>
      <c r="AH58" s="891" t="s">
        <v>3306</v>
      </c>
      <c r="AI58" s="891"/>
      <c r="AJ58" s="891"/>
      <c r="AK58" s="891" t="s">
        <v>3288</v>
      </c>
      <c r="AL58" s="891" t="s">
        <v>3288</v>
      </c>
      <c r="AM58" s="891"/>
      <c r="AO58" s="891" t="s">
        <v>3291</v>
      </c>
      <c r="AP58" s="891" t="s">
        <v>871</v>
      </c>
      <c r="AQ58" s="891" t="s">
        <v>3247</v>
      </c>
      <c r="AR58" s="891" t="s">
        <v>3288</v>
      </c>
      <c r="AS58" s="904" t="s">
        <v>3289</v>
      </c>
      <c r="AT58" s="891" t="s">
        <v>3290</v>
      </c>
      <c r="AU58" s="891"/>
      <c r="AV58" s="891" t="s">
        <v>871</v>
      </c>
      <c r="AW58" s="891" t="s">
        <v>1972</v>
      </c>
      <c r="AX58" s="891"/>
      <c r="AY58" s="891"/>
      <c r="AZ58" s="891"/>
      <c r="BA58" s="891" t="s">
        <v>3291</v>
      </c>
      <c r="BB58" s="891" t="s">
        <v>3288</v>
      </c>
      <c r="BC58" s="891" t="s">
        <v>3292</v>
      </c>
      <c r="BD58" s="891" t="s">
        <v>1972</v>
      </c>
      <c r="BE58" s="891" t="s">
        <v>3304</v>
      </c>
      <c r="BF58" s="891" t="s">
        <v>3305</v>
      </c>
      <c r="BG58" s="891" t="s">
        <v>3288</v>
      </c>
      <c r="BH58" s="891"/>
      <c r="BI58" s="891" t="s">
        <v>871</v>
      </c>
      <c r="BJ58" s="891"/>
      <c r="BK58" s="891"/>
      <c r="BL58" s="910"/>
      <c r="BM58" s="910"/>
      <c r="BN58" s="910"/>
      <c r="BO58" s="910"/>
      <c r="BP58" s="910"/>
      <c r="BQ58" s="910"/>
      <c r="BR58" s="910"/>
      <c r="BS58" s="891"/>
      <c r="BT58" s="891"/>
      <c r="BU58" s="891"/>
      <c r="BV58" s="891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920"/>
      <c r="CH58" s="920"/>
      <c r="CI58" s="920"/>
      <c r="CJ58" s="920"/>
    </row>
    <row r="59" spans="1:88" ht="15">
      <c r="A59" s="882">
        <v>6476</v>
      </c>
      <c r="B59" s="884"/>
      <c r="C59" s="884"/>
      <c r="D59" s="884"/>
      <c r="E59" s="884"/>
      <c r="F59" s="884">
        <f ca="1">IF(I59="","",IF(I59=Table!$C$1,VLOOKUP(G59,Table!$B$9:$AE$32,Table!$AE$6-1,FALSE),""))</f>
        <v>5</v>
      </c>
      <c r="G59" s="879" t="s">
        <v>889</v>
      </c>
      <c r="H59" s="879" t="s">
        <v>22</v>
      </c>
      <c r="I59" s="879" t="s">
        <v>891</v>
      </c>
      <c r="J59" s="846">
        <v>4</v>
      </c>
      <c r="K59" s="846">
        <v>1</v>
      </c>
      <c r="L59" s="816" t="str">
        <f t="shared" si="36"/>
        <v>W</v>
      </c>
      <c r="M59" s="816">
        <f t="shared" si="37"/>
        <v>5</v>
      </c>
      <c r="N59" s="816" t="str">
        <f t="shared" si="38"/>
        <v>O</v>
      </c>
      <c r="O59" s="816">
        <f t="shared" ref="O59" si="49">IF(Q59="","",IF(SIGN(Q59)&lt;&gt;1,VLOOKUP(ABS(Q59),SUP_HDC,3,TRUE),-VLOOKUP(ABS(Q59),SUP_HDC,3,TRUE)))</f>
        <v>-0.25</v>
      </c>
      <c r="P59" s="829">
        <f t="shared" ref="P59" si="50">IF(O59="","",IF((J59-K59+O59)&gt;=0.5,1,IF((J59-K59+O59)=0.25,0.5,IF((J59-K59+O59)&lt;=-0.5,-1,IF((J59-K59+O59)=-0.25,-0.5,0)))))</f>
        <v>1</v>
      </c>
      <c r="Q59" s="830">
        <v>0.23</v>
      </c>
      <c r="R59" s="871">
        <f t="shared" ref="R59" si="51">IF(ISBLANK(Q59),"",J59-K59-Q59)</f>
        <v>2.77</v>
      </c>
      <c r="S59" s="830">
        <v>3.05</v>
      </c>
      <c r="T59" s="871">
        <f t="shared" ref="T59" si="52">IF(ISBLANK(S59),"",J59+K59-S59)</f>
        <v>1.9500000000000002</v>
      </c>
      <c r="U59" s="868">
        <f t="shared" ref="U59" si="53">IF(Q59="","",(Q59+S59)/2)</f>
        <v>1.64</v>
      </c>
      <c r="V59" s="868">
        <f t="shared" ref="V59" si="54">IF(Q59="","",S59-U59)</f>
        <v>1.41</v>
      </c>
      <c r="W59" s="829">
        <v>16</v>
      </c>
      <c r="X59" s="829">
        <v>14</v>
      </c>
      <c r="Y59" s="829">
        <v>8</v>
      </c>
      <c r="Z59" s="829">
        <v>7</v>
      </c>
      <c r="AA59" s="829">
        <v>53</v>
      </c>
      <c r="AB59" s="829">
        <v>47</v>
      </c>
      <c r="AC59" s="829"/>
      <c r="AD59" s="816" t="str">
        <f t="array" ref="AD59">IF($J59="","",IF(SUM(IF(ISNUMBER(VALUE(RIGHT($AG59:$DY59,1))),VALUE(RIGHT($AG59:$DY59,1)),0))=$J59,"T","F"))</f>
        <v>T</v>
      </c>
      <c r="AE59" s="831">
        <f t="array" ref="AE59">IF($J59="","",SUM(IF(LEFT($AG59:$DY59,1)="s",1,0))-SUM(IF(RIGHT(LEFT($AG59:$DY59,2))="-",1,0)))</f>
        <v>0</v>
      </c>
      <c r="AF59" s="816">
        <f t="array" ref="AF59">IF($J59="","",SUM(IF(LEFT($AG59:$DY59,1)="X",1,0)))</f>
        <v>11</v>
      </c>
      <c r="AG59" s="891" t="s">
        <v>1877</v>
      </c>
      <c r="AH59" s="891" t="s">
        <v>34</v>
      </c>
      <c r="AI59" s="891" t="s">
        <v>32</v>
      </c>
      <c r="AJ59" s="891" t="s">
        <v>32</v>
      </c>
      <c r="AK59" s="891" t="s">
        <v>34</v>
      </c>
      <c r="AL59" s="891" t="s">
        <v>34</v>
      </c>
      <c r="AM59" s="891" t="s">
        <v>32</v>
      </c>
      <c r="AN59" s="891" t="s">
        <v>1647</v>
      </c>
      <c r="AO59" s="891" t="s">
        <v>32</v>
      </c>
      <c r="AP59" s="891" t="s">
        <v>32</v>
      </c>
      <c r="AQ59" s="891" t="s">
        <v>3338</v>
      </c>
      <c r="AR59" s="891" t="s">
        <v>3340</v>
      </c>
      <c r="AS59" s="904" t="s">
        <v>3339</v>
      </c>
      <c r="AT59" s="904" t="s">
        <v>3339</v>
      </c>
      <c r="AU59" s="891" t="s">
        <v>32</v>
      </c>
      <c r="AV59" s="891" t="s">
        <v>34</v>
      </c>
      <c r="AW59" s="904" t="s">
        <v>3322</v>
      </c>
      <c r="AX59" s="891" t="s">
        <v>32</v>
      </c>
      <c r="AY59" s="891" t="s">
        <v>36</v>
      </c>
      <c r="AZ59" s="891" t="s">
        <v>32</v>
      </c>
      <c r="BA59" s="891" t="s">
        <v>35</v>
      </c>
      <c r="BB59" s="891" t="s">
        <v>3328</v>
      </c>
      <c r="BC59" s="891" t="s">
        <v>1877</v>
      </c>
      <c r="BD59" s="891" t="s">
        <v>35</v>
      </c>
      <c r="BE59" s="891" t="s">
        <v>1877</v>
      </c>
      <c r="BF59" s="891" t="s">
        <v>32</v>
      </c>
      <c r="BG59" s="891" t="s">
        <v>35</v>
      </c>
      <c r="BH59" s="891" t="s">
        <v>32</v>
      </c>
      <c r="BI59" s="891" t="s">
        <v>36</v>
      </c>
      <c r="BJ59" s="891" t="s">
        <v>36</v>
      </c>
      <c r="BK59" s="891"/>
      <c r="BL59" s="910"/>
      <c r="BM59" s="910"/>
      <c r="BN59" s="910"/>
      <c r="BO59" s="910"/>
      <c r="BP59" s="910"/>
      <c r="BQ59" s="910"/>
      <c r="BR59" s="910"/>
      <c r="BS59" s="891"/>
      <c r="BT59" s="891"/>
      <c r="BU59" s="891"/>
      <c r="BV59" s="891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428"/>
      <c r="CH59" s="428"/>
      <c r="CI59" s="428"/>
      <c r="CJ59" s="428"/>
    </row>
    <row r="60" spans="1:88" ht="15">
      <c r="A60" s="882">
        <v>6483</v>
      </c>
      <c r="B60" s="884"/>
      <c r="C60" s="884"/>
      <c r="D60" s="884"/>
      <c r="E60" s="884"/>
      <c r="F60" s="884">
        <f ca="1">IF(I60="","",IF(I60=Table!$C$1,VLOOKUP(G60,Table!$B$9:$AE$32,Table!$AE$6-1,FALSE),""))</f>
        <v>18</v>
      </c>
      <c r="G60" s="879" t="s">
        <v>887</v>
      </c>
      <c r="H60" s="879" t="s">
        <v>18</v>
      </c>
      <c r="I60" s="879" t="s">
        <v>891</v>
      </c>
      <c r="J60" s="846">
        <v>6</v>
      </c>
      <c r="K60" s="846">
        <v>2</v>
      </c>
      <c r="L60" s="816" t="str">
        <f t="shared" si="36"/>
        <v>W</v>
      </c>
      <c r="M60" s="816">
        <f t="shared" si="37"/>
        <v>8</v>
      </c>
      <c r="N60" s="816" t="str">
        <f t="shared" si="38"/>
        <v>O</v>
      </c>
      <c r="O60" s="816">
        <f t="shared" ref="O60" si="55">IF(Q60="","",IF(SIGN(Q60)&lt;&gt;1,VLOOKUP(ABS(Q60),SUP_HDC,3,TRUE),-VLOOKUP(ABS(Q60),SUP_HDC,3,TRUE)))</f>
        <v>-0.25</v>
      </c>
      <c r="P60" s="829">
        <f t="shared" ref="P60" si="56">IF(O60="","",IF((J60-K60+O60)&gt;=0.5,1,IF((J60-K60+O60)=0.25,0.5,IF((J60-K60+O60)&lt;=-0.5,-1,IF((J60-K60+O60)=-0.25,-0.5,0)))))</f>
        <v>1</v>
      </c>
      <c r="Q60" s="830">
        <v>0.23</v>
      </c>
      <c r="R60" s="871">
        <f t="shared" ref="R60" si="57">IF(ISBLANK(Q60),"",J60-K60-Q60)</f>
        <v>3.77</v>
      </c>
      <c r="S60" s="830">
        <v>3.03</v>
      </c>
      <c r="T60" s="871">
        <f t="shared" ref="T60" si="58">IF(ISBLANK(S60),"",J60+K60-S60)</f>
        <v>4.9700000000000006</v>
      </c>
      <c r="U60" s="868">
        <f t="shared" ref="U60" si="59">IF(Q60="","",(Q60+S60)/2)</f>
        <v>1.63</v>
      </c>
      <c r="V60" s="868">
        <f t="shared" ref="V60" si="60">IF(Q60="","",S60-U60)</f>
        <v>1.4</v>
      </c>
      <c r="W60" s="829">
        <v>17</v>
      </c>
      <c r="X60" s="829">
        <v>13</v>
      </c>
      <c r="Y60" s="829">
        <v>10</v>
      </c>
      <c r="Z60" s="829">
        <v>6</v>
      </c>
      <c r="AA60" s="829">
        <v>43</v>
      </c>
      <c r="AB60" s="829">
        <v>57</v>
      </c>
      <c r="AC60" s="829"/>
      <c r="AD60" s="816" t="str">
        <f t="array" ref="AD60">IF($J60="","",IF(SUM(IF(ISNUMBER(VALUE(RIGHT($AG60:$DY60,1))),VALUE(RIGHT($AG60:$DY60,1)),0))=$J60,"T","F"))</f>
        <v>T</v>
      </c>
      <c r="AE60" s="831">
        <f t="array" ref="AE60">IF($J60="","",SUM(IF(LEFT($AG60:$DY60,1)="s",1,0))-SUM(IF(RIGHT(LEFT($AG60:$DY60,2))="-",1,0)))</f>
        <v>0</v>
      </c>
      <c r="AF60" s="816">
        <f t="array" ref="AF60">IF($J60="","",SUM(IF(LEFT($AG60:$DY60,1)="X",1,0)))</f>
        <v>11</v>
      </c>
      <c r="AG60" s="891" t="s">
        <v>1877</v>
      </c>
      <c r="AH60" s="891" t="s">
        <v>34</v>
      </c>
      <c r="AI60" s="891" t="s">
        <v>32</v>
      </c>
      <c r="AJ60" s="891" t="s">
        <v>32</v>
      </c>
      <c r="AK60" s="891" t="s">
        <v>34</v>
      </c>
      <c r="AL60" s="891" t="s">
        <v>34</v>
      </c>
      <c r="AM60" s="891" t="s">
        <v>32</v>
      </c>
      <c r="AN60" s="891" t="s">
        <v>1647</v>
      </c>
      <c r="AO60" s="891" t="s">
        <v>32</v>
      </c>
      <c r="AP60" s="891" t="s">
        <v>1877</v>
      </c>
      <c r="AQ60" s="891" t="s">
        <v>3338</v>
      </c>
      <c r="AR60" s="891" t="s">
        <v>3362</v>
      </c>
      <c r="AS60" s="891" t="s">
        <v>34</v>
      </c>
      <c r="AT60" s="891" t="s">
        <v>34</v>
      </c>
      <c r="AU60" s="891" t="s">
        <v>3358</v>
      </c>
      <c r="AV60" s="891" t="s">
        <v>3360</v>
      </c>
      <c r="AW60" s="891" t="s">
        <v>34</v>
      </c>
      <c r="AX60" s="891" t="s">
        <v>32</v>
      </c>
      <c r="AY60" s="891" t="s">
        <v>32</v>
      </c>
      <c r="AZ60" s="891" t="s">
        <v>32</v>
      </c>
      <c r="BA60" s="891" t="s">
        <v>3361</v>
      </c>
      <c r="BB60" s="891" t="s">
        <v>36</v>
      </c>
      <c r="BC60" s="891" t="s">
        <v>32</v>
      </c>
      <c r="BD60" s="891" t="s">
        <v>35</v>
      </c>
      <c r="BE60" s="891" t="s">
        <v>36</v>
      </c>
      <c r="BF60" s="891" t="s">
        <v>32</v>
      </c>
      <c r="BG60" s="891" t="s">
        <v>35</v>
      </c>
      <c r="BH60" s="891" t="s">
        <v>32</v>
      </c>
      <c r="BI60" s="891" t="s">
        <v>3359</v>
      </c>
      <c r="BJ60" s="891" t="s">
        <v>1877</v>
      </c>
      <c r="BK60" s="891"/>
      <c r="BL60" s="910"/>
      <c r="BM60" s="910"/>
      <c r="BN60" s="910"/>
      <c r="BO60" s="910"/>
      <c r="BP60" s="910"/>
      <c r="BQ60" s="910"/>
      <c r="BR60" s="910"/>
      <c r="BS60" s="891"/>
      <c r="BT60" s="891"/>
      <c r="BU60" s="891"/>
      <c r="BV60" s="891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428"/>
      <c r="CH60" s="428"/>
      <c r="CI60" s="428"/>
      <c r="CJ60" s="428"/>
    </row>
    <row r="61" spans="1:88" ht="15">
      <c r="A61" s="882">
        <v>6490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20</v>
      </c>
      <c r="G61" s="879" t="s">
        <v>882</v>
      </c>
      <c r="H61" s="879" t="s">
        <v>18</v>
      </c>
      <c r="I61" s="879" t="s">
        <v>891</v>
      </c>
      <c r="J61" s="846">
        <v>3</v>
      </c>
      <c r="K61" s="846">
        <v>1</v>
      </c>
      <c r="L61" s="816" t="str">
        <f t="shared" si="36"/>
        <v>W</v>
      </c>
      <c r="M61" s="816">
        <f t="shared" si="37"/>
        <v>4</v>
      </c>
      <c r="N61" s="816" t="str">
        <f t="shared" si="38"/>
        <v>O</v>
      </c>
      <c r="O61" s="816">
        <f t="shared" si="28"/>
        <v>-0.75</v>
      </c>
      <c r="P61" s="829">
        <f t="shared" si="29"/>
        <v>1</v>
      </c>
      <c r="Q61" s="830">
        <v>0.77</v>
      </c>
      <c r="R61" s="871">
        <f t="shared" si="48"/>
        <v>1.23</v>
      </c>
      <c r="S61" s="830">
        <v>3.38</v>
      </c>
      <c r="T61" s="871">
        <f t="shared" si="31"/>
        <v>0.62000000000000011</v>
      </c>
      <c r="U61" s="868">
        <f t="shared" si="32"/>
        <v>2.0750000000000002</v>
      </c>
      <c r="V61" s="868">
        <f t="shared" si="33"/>
        <v>1.3049999999999997</v>
      </c>
      <c r="W61" s="829">
        <v>14</v>
      </c>
      <c r="X61" s="829">
        <v>14</v>
      </c>
      <c r="Y61" s="829">
        <v>6</v>
      </c>
      <c r="Z61" s="829">
        <v>6</v>
      </c>
      <c r="AA61" s="829">
        <v>65</v>
      </c>
      <c r="AB61" s="829">
        <v>35</v>
      </c>
      <c r="AC61" s="829"/>
      <c r="AD61" s="816" t="str">
        <f t="array" ref="AD61">IF($J61="","",IF(SUM(IF(ISNUMBER(VALUE(RIGHT($AG61:$DY61,1))),VALUE(RIGHT($AG61:$DY61,1)),0))=$J61,"T","F"))</f>
        <v>T</v>
      </c>
      <c r="AE61" s="831">
        <f t="array" ref="AE61">IF($J61="","",SUM(IF(LEFT($AG61:$DY61,1)="s",1,0))-SUM(IF(RIGHT(LEFT($AG61:$DY61,2))="-",1,0)))</f>
        <v>0</v>
      </c>
      <c r="AF61" s="816">
        <f t="array" ref="AF61">IF($J61="","",SUM(IF(LEFT($AG61:$DY61,1)="X",1,0)))</f>
        <v>11</v>
      </c>
      <c r="AG61" s="891" t="s">
        <v>1877</v>
      </c>
      <c r="AH61" s="891" t="s">
        <v>34</v>
      </c>
      <c r="AI61" s="891" t="s">
        <v>32</v>
      </c>
      <c r="AJ61" s="891" t="s">
        <v>32</v>
      </c>
      <c r="AK61" s="891" t="s">
        <v>34</v>
      </c>
      <c r="AL61" s="891" t="s">
        <v>34</v>
      </c>
      <c r="AM61" s="891" t="s">
        <v>32</v>
      </c>
      <c r="AN61" s="891" t="s">
        <v>1877</v>
      </c>
      <c r="AO61" s="891" t="s">
        <v>32</v>
      </c>
      <c r="AP61" s="891" t="s">
        <v>1877</v>
      </c>
      <c r="AQ61" s="891" t="s">
        <v>1886</v>
      </c>
      <c r="AR61" s="891" t="s">
        <v>3400</v>
      </c>
      <c r="AS61" s="891" t="s">
        <v>34</v>
      </c>
      <c r="AT61" s="891" t="s">
        <v>34</v>
      </c>
      <c r="AU61" s="891" t="s">
        <v>32</v>
      </c>
      <c r="AV61" s="891" t="s">
        <v>35</v>
      </c>
      <c r="AW61" s="891" t="s">
        <v>34</v>
      </c>
      <c r="AX61" s="891" t="s">
        <v>32</v>
      </c>
      <c r="AY61" s="891" t="s">
        <v>32</v>
      </c>
      <c r="AZ61" s="891" t="s">
        <v>32</v>
      </c>
      <c r="BA61" s="904" t="s">
        <v>34</v>
      </c>
      <c r="BB61" s="891" t="s">
        <v>36</v>
      </c>
      <c r="BC61" s="891" t="s">
        <v>32</v>
      </c>
      <c r="BD61" s="891" t="s">
        <v>3412</v>
      </c>
      <c r="BE61" s="891" t="s">
        <v>1877</v>
      </c>
      <c r="BF61" s="891" t="s">
        <v>32</v>
      </c>
      <c r="BG61" s="891" t="s">
        <v>3416</v>
      </c>
      <c r="BH61" s="891" t="s">
        <v>32</v>
      </c>
      <c r="BI61" s="891" t="s">
        <v>36</v>
      </c>
      <c r="BJ61" s="891" t="s">
        <v>36</v>
      </c>
      <c r="BK61" s="891"/>
      <c r="BL61" s="910"/>
      <c r="BM61" s="910"/>
      <c r="BN61" s="910"/>
      <c r="BO61" s="910"/>
      <c r="BP61" s="910"/>
      <c r="BQ61" s="910"/>
      <c r="BR61" s="910"/>
      <c r="BS61" s="891"/>
      <c r="BT61" s="891"/>
      <c r="BU61" s="891"/>
      <c r="BV61" s="891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  <c r="CG61" s="428"/>
      <c r="CH61" s="428"/>
      <c r="CI61" s="428"/>
      <c r="CJ61" s="428"/>
    </row>
    <row r="62" spans="1:88" ht="15">
      <c r="A62" s="882">
        <v>6497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</v>
      </c>
      <c r="G62" s="879" t="s">
        <v>1086</v>
      </c>
      <c r="H62" s="879" t="s">
        <v>22</v>
      </c>
      <c r="I62" s="879" t="s">
        <v>891</v>
      </c>
      <c r="J62" s="846">
        <v>3</v>
      </c>
      <c r="K62" s="846">
        <v>2</v>
      </c>
      <c r="L62" s="816" t="str">
        <f t="shared" si="36"/>
        <v>W</v>
      </c>
      <c r="M62" s="816">
        <f t="shared" si="37"/>
        <v>5</v>
      </c>
      <c r="N62" s="816" t="str">
        <f t="shared" si="38"/>
        <v>O</v>
      </c>
      <c r="O62" s="816">
        <f t="shared" si="28"/>
        <v>0</v>
      </c>
      <c r="P62" s="829">
        <f t="shared" si="29"/>
        <v>1</v>
      </c>
      <c r="Q62" s="830">
        <v>0.13</v>
      </c>
      <c r="R62" s="871">
        <f t="shared" si="48"/>
        <v>0.87</v>
      </c>
      <c r="S62" s="830">
        <v>3</v>
      </c>
      <c r="T62" s="871">
        <f t="shared" si="31"/>
        <v>2</v>
      </c>
      <c r="U62" s="868">
        <f t="shared" si="32"/>
        <v>1.5649999999999999</v>
      </c>
      <c r="V62" s="868">
        <f t="shared" si="33"/>
        <v>1.4350000000000001</v>
      </c>
      <c r="W62" s="829">
        <v>12</v>
      </c>
      <c r="X62" s="829">
        <v>11</v>
      </c>
      <c r="Y62" s="829">
        <v>3</v>
      </c>
      <c r="Z62" s="829">
        <v>7</v>
      </c>
      <c r="AA62" s="829">
        <v>54</v>
      </c>
      <c r="AB62" s="829">
        <v>46</v>
      </c>
      <c r="AC62" s="829"/>
      <c r="AD62" s="816" t="str">
        <f t="array" ref="AD62">IF($J62="","",IF(SUM(IF(ISNUMBER(VALUE(RIGHT($AG62:$DY62,1))),VALUE(RIGHT($AG62:$DY62,1)),0))=$J62,"T","F"))</f>
        <v>T</v>
      </c>
      <c r="AE62" s="831">
        <f t="array" ref="AE62">IF($J62="","",SUM(IF(LEFT($AG62:$DY62,1)="s",1,0))-SUM(IF(RIGHT(LEFT($AG62:$DY62,2))="-",1,0)))</f>
        <v>0</v>
      </c>
      <c r="AF62" s="816">
        <f t="array" ref="AF62">IF($J62="","",SUM(IF(LEFT($AG62:$DY62,1)="X",1,0)))</f>
        <v>11</v>
      </c>
      <c r="AG62" s="891" t="s">
        <v>1877</v>
      </c>
      <c r="AH62" s="891" t="s">
        <v>34</v>
      </c>
      <c r="AI62" s="891" t="s">
        <v>32</v>
      </c>
      <c r="AJ62" s="891" t="s">
        <v>32</v>
      </c>
      <c r="AK62" s="891" t="s">
        <v>34</v>
      </c>
      <c r="AL62" s="891" t="s">
        <v>34</v>
      </c>
      <c r="AM62" s="891" t="s">
        <v>32</v>
      </c>
      <c r="AN62" s="891" t="s">
        <v>1877</v>
      </c>
      <c r="AO62" s="891" t="s">
        <v>32</v>
      </c>
      <c r="AP62" s="891" t="s">
        <v>1877</v>
      </c>
      <c r="AQ62" s="891" t="s">
        <v>3443</v>
      </c>
      <c r="AR62" s="904" t="s">
        <v>34</v>
      </c>
      <c r="AS62" s="891" t="s">
        <v>34</v>
      </c>
      <c r="AT62" s="891" t="s">
        <v>34</v>
      </c>
      <c r="AU62" s="891" t="s">
        <v>3427</v>
      </c>
      <c r="AV62" s="891" t="s">
        <v>34</v>
      </c>
      <c r="AW62" s="891" t="s">
        <v>34</v>
      </c>
      <c r="AX62" s="891" t="s">
        <v>32</v>
      </c>
      <c r="AY62" s="891" t="s">
        <v>32</v>
      </c>
      <c r="AZ62" s="891" t="s">
        <v>32</v>
      </c>
      <c r="BA62" s="891" t="s">
        <v>3422</v>
      </c>
      <c r="BB62" s="891" t="s">
        <v>3441</v>
      </c>
      <c r="BC62" s="891" t="s">
        <v>32</v>
      </c>
      <c r="BD62" s="891" t="s">
        <v>35</v>
      </c>
      <c r="BE62" s="891" t="s">
        <v>1877</v>
      </c>
      <c r="BF62" s="891" t="s">
        <v>32</v>
      </c>
      <c r="BG62" s="891" t="s">
        <v>3429</v>
      </c>
      <c r="BH62" s="891" t="s">
        <v>32</v>
      </c>
      <c r="BI62" s="891" t="s">
        <v>1877</v>
      </c>
      <c r="BJ62" s="891" t="s">
        <v>36</v>
      </c>
      <c r="BK62" s="891"/>
      <c r="BL62" s="910"/>
      <c r="BM62" s="910"/>
      <c r="BN62" s="910"/>
      <c r="BO62" s="910"/>
      <c r="BP62" s="910"/>
      <c r="BQ62" s="910"/>
      <c r="BR62" s="910"/>
      <c r="BS62" s="891"/>
      <c r="BT62" s="891"/>
      <c r="BU62" s="891"/>
      <c r="BV62" s="891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  <c r="CG62" s="428"/>
      <c r="CH62" s="428"/>
      <c r="CI62" s="428"/>
      <c r="CJ62" s="428"/>
    </row>
    <row r="63" spans="1:88" ht="15">
      <c r="A63" s="882">
        <v>6504</v>
      </c>
      <c r="B63" s="884"/>
      <c r="C63" s="884"/>
      <c r="D63" s="884"/>
      <c r="E63" s="884"/>
      <c r="F63" s="884">
        <f ca="1">IF(I63="","",IF(I63=Table!$C$1,VLOOKUP(G63,Table!$B$9:$AE$32,Table!$AE$6-1,FALSE),""))</f>
        <v>2</v>
      </c>
      <c r="G63" s="879" t="s">
        <v>886</v>
      </c>
      <c r="H63" s="879" t="s">
        <v>18</v>
      </c>
      <c r="I63" s="879" t="s">
        <v>891</v>
      </c>
      <c r="J63" s="846">
        <v>1</v>
      </c>
      <c r="K63" s="846">
        <v>1</v>
      </c>
      <c r="L63" s="816" t="str">
        <f t="shared" ref="L63" si="61">IF(J63="","",IF(J63&gt;K63,"W",IF(J63=K63,"D",IF(J63&lt;K63,"L"))))</f>
        <v>D</v>
      </c>
      <c r="M63" s="816">
        <f t="shared" ref="M63" si="62">IF(J63="","",J63+K63)</f>
        <v>2</v>
      </c>
      <c r="N63" s="816" t="str">
        <f t="shared" si="38"/>
        <v>U</v>
      </c>
      <c r="O63" s="816">
        <f t="shared" ref="O63:O67" si="63">IF(Q63="","",IF(SIGN(Q63)&lt;&gt;1,VLOOKUP(ABS(Q63),SUP_HDC,3,TRUE),-VLOOKUP(ABS(Q63),SUP_HDC,3,TRUE)))</f>
        <v>0</v>
      </c>
      <c r="P63" s="829">
        <f t="shared" ref="P63:P67" si="64">IF(O63="","",IF((J63-K63+O63)&gt;=0.5,1,IF((J63-K63+O63)=0.25,0.5,IF((J63-K63+O63)&lt;=-0.5,-1,IF((J63-K63+O63)=-0.25,-0.5,0)))))</f>
        <v>0</v>
      </c>
      <c r="Q63" s="830">
        <v>0.03</v>
      </c>
      <c r="R63" s="871">
        <f t="shared" ref="R63" si="65">IF(ISBLANK(Q63),"",J63-K63-Q63)</f>
        <v>-0.03</v>
      </c>
      <c r="S63" s="830">
        <v>2.83</v>
      </c>
      <c r="T63" s="871">
        <f t="shared" ref="T63" si="66">IF(ISBLANK(S63),"",J63+K63-S63)</f>
        <v>-0.83000000000000007</v>
      </c>
      <c r="U63" s="868">
        <f t="shared" ref="U63:U67" si="67">IF(Q63="","",(Q63+S63)/2)</f>
        <v>1.43</v>
      </c>
      <c r="V63" s="868">
        <f t="shared" ref="V63:V67" si="68">IF(Q63="","",S63-U63)</f>
        <v>1.4000000000000001</v>
      </c>
      <c r="W63" s="829">
        <v>11</v>
      </c>
      <c r="X63" s="829">
        <v>19</v>
      </c>
      <c r="Y63" s="829">
        <v>2</v>
      </c>
      <c r="Z63" s="829">
        <v>8</v>
      </c>
      <c r="AA63" s="829">
        <v>63</v>
      </c>
      <c r="AB63" s="829">
        <v>37</v>
      </c>
      <c r="AC63" s="829"/>
      <c r="AD63" s="816" t="str">
        <f t="array" ref="AD63">IF($J63="","",IF(SUM(IF(ISNUMBER(VALUE(RIGHT($AG63:$CK63,1))),VALUE(RIGHT($AG63:$CK63,1)),0))=$J63,"T","F"))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IF($J63="","",SUM(IF(LEFT($AG63:$DC63,1)="X",1,0)))</f>
        <v>11</v>
      </c>
      <c r="AG63" s="891" t="s">
        <v>1877</v>
      </c>
      <c r="AH63" s="891" t="s">
        <v>34</v>
      </c>
      <c r="AI63" s="891" t="s">
        <v>32</v>
      </c>
      <c r="AJ63" s="891" t="s">
        <v>32</v>
      </c>
      <c r="AK63" s="904" t="s">
        <v>34</v>
      </c>
      <c r="AL63" s="891" t="s">
        <v>32</v>
      </c>
      <c r="AM63" s="891" t="s">
        <v>32</v>
      </c>
      <c r="AN63" s="891" t="s">
        <v>34</v>
      </c>
      <c r="AO63" s="891" t="s">
        <v>32</v>
      </c>
      <c r="AP63" s="891" t="s">
        <v>1877</v>
      </c>
      <c r="AQ63" s="891" t="s">
        <v>1886</v>
      </c>
      <c r="AR63" s="904" t="s">
        <v>34</v>
      </c>
      <c r="AS63" s="891" t="s">
        <v>34</v>
      </c>
      <c r="AT63" s="891" t="s">
        <v>34</v>
      </c>
      <c r="AU63" s="891" t="s">
        <v>32</v>
      </c>
      <c r="AV63" s="891" t="s">
        <v>34</v>
      </c>
      <c r="AW63" s="891" t="s">
        <v>34</v>
      </c>
      <c r="AX63" s="891" t="s">
        <v>1877</v>
      </c>
      <c r="AY63" s="891" t="s">
        <v>32</v>
      </c>
      <c r="AZ63" s="891" t="s">
        <v>32</v>
      </c>
      <c r="BA63" s="891" t="s">
        <v>32</v>
      </c>
      <c r="BB63" s="891" t="s">
        <v>3478</v>
      </c>
      <c r="BC63" s="891" t="s">
        <v>36</v>
      </c>
      <c r="BD63" s="891" t="s">
        <v>35</v>
      </c>
      <c r="BE63" s="891" t="s">
        <v>1877</v>
      </c>
      <c r="BF63" s="891" t="s">
        <v>32</v>
      </c>
      <c r="BG63" s="891" t="s">
        <v>35</v>
      </c>
      <c r="BH63" s="891" t="s">
        <v>32</v>
      </c>
      <c r="BI63" s="891" t="s">
        <v>36</v>
      </c>
      <c r="BJ63" s="891" t="s">
        <v>1877</v>
      </c>
      <c r="BK63" s="891"/>
      <c r="BL63" s="910"/>
      <c r="BM63" s="910"/>
      <c r="BN63" s="910"/>
      <c r="BO63" s="910"/>
      <c r="BP63" s="910"/>
      <c r="BQ63" s="910"/>
      <c r="BR63" s="910"/>
      <c r="BS63" s="891"/>
      <c r="BT63" s="891"/>
      <c r="BU63" s="891"/>
      <c r="BV63" s="891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  <c r="CG63" s="428"/>
      <c r="CH63" s="428"/>
      <c r="CI63" s="428"/>
      <c r="CJ63" s="428"/>
    </row>
    <row r="64" spans="1:88" ht="15">
      <c r="A64" s="882">
        <v>6512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22</v>
      </c>
      <c r="G64" s="879" t="s">
        <v>1087</v>
      </c>
      <c r="H64" s="879" t="s">
        <v>22</v>
      </c>
      <c r="I64" s="879" t="s">
        <v>891</v>
      </c>
      <c r="J64" s="846">
        <v>4</v>
      </c>
      <c r="K64" s="846">
        <v>2</v>
      </c>
      <c r="L64" s="816" t="str">
        <f t="shared" si="36"/>
        <v>W</v>
      </c>
      <c r="M64" s="816">
        <f t="shared" si="37"/>
        <v>6</v>
      </c>
      <c r="N64" s="816" t="str">
        <f t="shared" si="38"/>
        <v>O</v>
      </c>
      <c r="O64" s="816">
        <f t="shared" si="63"/>
        <v>-1.75</v>
      </c>
      <c r="P64" s="829">
        <f t="shared" si="64"/>
        <v>0.5</v>
      </c>
      <c r="Q64" s="830">
        <v>1.78</v>
      </c>
      <c r="R64" s="871">
        <f t="shared" si="48"/>
        <v>0.21999999999999997</v>
      </c>
      <c r="S64" s="830">
        <v>3.52</v>
      </c>
      <c r="T64" s="871">
        <f t="shared" si="31"/>
        <v>2.48</v>
      </c>
      <c r="U64" s="868">
        <f t="shared" si="67"/>
        <v>2.65</v>
      </c>
      <c r="V64" s="868">
        <f t="shared" si="68"/>
        <v>0.87000000000000011</v>
      </c>
      <c r="W64" s="829">
        <v>17</v>
      </c>
      <c r="X64" s="829">
        <v>8</v>
      </c>
      <c r="Y64" s="829">
        <v>8</v>
      </c>
      <c r="Z64" s="829">
        <v>4</v>
      </c>
      <c r="AA64" s="829">
        <v>60</v>
      </c>
      <c r="AB64" s="829">
        <v>40</v>
      </c>
      <c r="AC64" s="829"/>
      <c r="AD64" s="816" t="str">
        <f t="array" ref="AD64">IF($J64="","",IF(SUM(IF(ISNUMBER(VALUE(RIGHT($AG64:$CK64,1))),VALUE(RIGHT($AG64:$CK64,1)),0))=$J64,"T","F"))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IF($J64="","",SUM(IF(LEFT($AG64:$DC64,1)="X",1,0)))</f>
        <v>11</v>
      </c>
      <c r="AG64" s="891" t="s">
        <v>1877</v>
      </c>
      <c r="AH64" s="891" t="s">
        <v>34</v>
      </c>
      <c r="AI64" s="891" t="s">
        <v>32</v>
      </c>
      <c r="AJ64" s="891" t="s">
        <v>32</v>
      </c>
      <c r="AK64" s="891" t="s">
        <v>34</v>
      </c>
      <c r="AL64" s="891" t="s">
        <v>34</v>
      </c>
      <c r="AM64" s="891" t="s">
        <v>32</v>
      </c>
      <c r="AN64" s="891" t="s">
        <v>36</v>
      </c>
      <c r="AO64" s="891" t="s">
        <v>32</v>
      </c>
      <c r="AP64" s="891" t="s">
        <v>1877</v>
      </c>
      <c r="AQ64" s="891" t="s">
        <v>3505</v>
      </c>
      <c r="AR64" s="891" t="s">
        <v>3484</v>
      </c>
      <c r="AS64" s="891" t="s">
        <v>34</v>
      </c>
      <c r="AT64" s="891" t="s">
        <v>34</v>
      </c>
      <c r="AU64" s="891" t="s">
        <v>32</v>
      </c>
      <c r="AV64" s="891" t="s">
        <v>3495</v>
      </c>
      <c r="AW64" s="891" t="s">
        <v>34</v>
      </c>
      <c r="AX64" s="891" t="s">
        <v>32</v>
      </c>
      <c r="AY64" s="891" t="s">
        <v>32</v>
      </c>
      <c r="AZ64" s="891" t="s">
        <v>32</v>
      </c>
      <c r="BA64" s="891" t="s">
        <v>3490</v>
      </c>
      <c r="BB64" s="891" t="s">
        <v>36</v>
      </c>
      <c r="BC64" s="891" t="s">
        <v>32</v>
      </c>
      <c r="BD64" s="891" t="s">
        <v>35</v>
      </c>
      <c r="BE64" s="904" t="s">
        <v>36</v>
      </c>
      <c r="BF64" s="891" t="s">
        <v>1877</v>
      </c>
      <c r="BG64" s="891" t="s">
        <v>3482</v>
      </c>
      <c r="BH64" s="891" t="s">
        <v>32</v>
      </c>
      <c r="BI64" s="891" t="s">
        <v>1877</v>
      </c>
      <c r="BJ64" s="891" t="s">
        <v>35</v>
      </c>
      <c r="BK64" s="891"/>
      <c r="BL64" s="910"/>
      <c r="BM64" s="910"/>
      <c r="BN64" s="910"/>
      <c r="BO64" s="910"/>
      <c r="BP64" s="910"/>
      <c r="BQ64" s="910"/>
      <c r="BR64" s="910"/>
      <c r="BS64" s="891"/>
      <c r="BT64" s="891"/>
      <c r="BU64" s="891"/>
      <c r="BV64" s="891"/>
      <c r="BW64" s="896"/>
      <c r="BX64" s="896"/>
      <c r="BY64" s="896"/>
      <c r="BZ64" s="896"/>
      <c r="CA64" s="896"/>
      <c r="CB64" s="896"/>
      <c r="CC64" s="896"/>
      <c r="CD64" s="896"/>
      <c r="CE64" s="896"/>
      <c r="CF64" s="896"/>
      <c r="CG64" s="428"/>
      <c r="CH64" s="428"/>
      <c r="CI64" s="428"/>
      <c r="CJ64" s="428"/>
    </row>
    <row r="65" spans="1:84" ht="15">
      <c r="A65" s="882">
        <v>6519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13</v>
      </c>
      <c r="G65" s="879" t="s">
        <v>884</v>
      </c>
      <c r="H65" s="879" t="s">
        <v>18</v>
      </c>
      <c r="I65" s="879" t="s">
        <v>891</v>
      </c>
      <c r="J65" s="846">
        <v>1</v>
      </c>
      <c r="K65" s="846">
        <v>0</v>
      </c>
      <c r="L65" s="816" t="str">
        <f t="shared" si="36"/>
        <v>W</v>
      </c>
      <c r="M65" s="816">
        <f t="shared" si="37"/>
        <v>1</v>
      </c>
      <c r="N65" s="816" t="str">
        <f t="shared" si="38"/>
        <v>U</v>
      </c>
      <c r="O65" s="816">
        <f t="shared" si="63"/>
        <v>-0.5</v>
      </c>
      <c r="P65" s="829">
        <f t="shared" si="64"/>
        <v>1</v>
      </c>
      <c r="Q65" s="830">
        <v>0.48</v>
      </c>
      <c r="R65" s="871">
        <f t="shared" si="48"/>
        <v>0.52</v>
      </c>
      <c r="S65" s="830">
        <v>3.23</v>
      </c>
      <c r="T65" s="871">
        <f t="shared" si="31"/>
        <v>-2.23</v>
      </c>
      <c r="U65" s="868">
        <f t="shared" si="67"/>
        <v>1.855</v>
      </c>
      <c r="V65" s="868">
        <f t="shared" si="68"/>
        <v>1.375</v>
      </c>
      <c r="W65" s="829">
        <v>12</v>
      </c>
      <c r="X65" s="829">
        <v>8</v>
      </c>
      <c r="Y65" s="829">
        <v>6</v>
      </c>
      <c r="Z65" s="829">
        <v>1</v>
      </c>
      <c r="AA65" s="829">
        <v>57</v>
      </c>
      <c r="AB65" s="829">
        <v>43</v>
      </c>
      <c r="AC65" s="829"/>
      <c r="AD65" s="816" t="str">
        <f t="array" ref="AD65">IF($J65="","",IF(SUM(IF(ISNUMBER(VALUE(RIGHT($AG65:$CK65,1))),VALUE(RIGHT($AG65:$CK65,1)),0))=$J65,"T","F"))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IF($J65="","",SUM(IF(LEFT($AG65:$DC65,1)="X",1,0)))</f>
        <v>11</v>
      </c>
      <c r="AG65" s="891" t="s">
        <v>1877</v>
      </c>
      <c r="AH65" s="891" t="s">
        <v>34</v>
      </c>
      <c r="AI65" s="891" t="s">
        <v>32</v>
      </c>
      <c r="AJ65" s="891" t="s">
        <v>32</v>
      </c>
      <c r="AK65" s="891" t="s">
        <v>34</v>
      </c>
      <c r="AL65" s="891" t="s">
        <v>34</v>
      </c>
      <c r="AM65" s="891" t="s">
        <v>32</v>
      </c>
      <c r="AN65" s="891" t="s">
        <v>36</v>
      </c>
      <c r="AO65" s="891" t="s">
        <v>32</v>
      </c>
      <c r="AP65" s="891" t="s">
        <v>1877</v>
      </c>
      <c r="AQ65" s="891" t="s">
        <v>1886</v>
      </c>
      <c r="AR65" s="891" t="s">
        <v>34</v>
      </c>
      <c r="AS65" s="891" t="s">
        <v>34</v>
      </c>
      <c r="AT65" s="891" t="s">
        <v>34</v>
      </c>
      <c r="AU65" s="891" t="s">
        <v>32</v>
      </c>
      <c r="AV65" s="891" t="s">
        <v>3516</v>
      </c>
      <c r="AW65" s="891" t="s">
        <v>34</v>
      </c>
      <c r="AX65" s="891" t="s">
        <v>32</v>
      </c>
      <c r="AY65" s="891" t="s">
        <v>32</v>
      </c>
      <c r="AZ65" s="891" t="s">
        <v>32</v>
      </c>
      <c r="BA65" s="891" t="s">
        <v>32</v>
      </c>
      <c r="BB65" s="904" t="s">
        <v>36</v>
      </c>
      <c r="BC65" s="891" t="s">
        <v>1877</v>
      </c>
      <c r="BD65" s="891" t="s">
        <v>35</v>
      </c>
      <c r="BE65" s="891" t="s">
        <v>35</v>
      </c>
      <c r="BF65" s="891" t="s">
        <v>1877</v>
      </c>
      <c r="BG65" s="891" t="s">
        <v>34</v>
      </c>
      <c r="BH65" s="891" t="s">
        <v>32</v>
      </c>
      <c r="BI65" s="891" t="s">
        <v>32</v>
      </c>
      <c r="BJ65" s="891" t="s">
        <v>1877</v>
      </c>
      <c r="BK65" s="891"/>
      <c r="BL65" s="910"/>
      <c r="BM65" s="910"/>
      <c r="BN65" s="910"/>
      <c r="BO65" s="910"/>
      <c r="BP65" s="910"/>
      <c r="BQ65" s="910"/>
      <c r="BR65" s="910"/>
      <c r="BS65" s="891"/>
      <c r="BT65" s="891"/>
      <c r="BU65" s="891"/>
      <c r="BV65" s="891"/>
      <c r="BW65" s="896"/>
      <c r="BX65" s="896"/>
      <c r="BY65" s="896"/>
      <c r="BZ65" s="896"/>
      <c r="CA65" s="896"/>
      <c r="CB65" s="896"/>
      <c r="CC65" s="896"/>
      <c r="CD65" s="896"/>
      <c r="CE65" s="896"/>
      <c r="CF65" s="896"/>
    </row>
    <row r="66" spans="1:84" ht="15">
      <c r="A66" s="882">
        <v>6525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6</v>
      </c>
      <c r="G66" s="879" t="s">
        <v>876</v>
      </c>
      <c r="H66" s="879" t="s">
        <v>22</v>
      </c>
      <c r="I66" s="879" t="s">
        <v>891</v>
      </c>
      <c r="J66" s="846">
        <v>0</v>
      </c>
      <c r="K66" s="846">
        <v>3</v>
      </c>
      <c r="L66" s="816" t="str">
        <f t="shared" si="36"/>
        <v>L</v>
      </c>
      <c r="M66" s="816">
        <f t="shared" si="37"/>
        <v>3</v>
      </c>
      <c r="N66" s="816" t="str">
        <f t="shared" si="38"/>
        <v>O</v>
      </c>
      <c r="O66" s="816">
        <f t="shared" si="63"/>
        <v>-0.5</v>
      </c>
      <c r="P66" s="829">
        <f t="shared" si="64"/>
        <v>-1</v>
      </c>
      <c r="Q66" s="830">
        <v>0.65</v>
      </c>
      <c r="R66" s="871">
        <f t="shared" si="48"/>
        <v>-3.65</v>
      </c>
      <c r="S66" s="830">
        <v>3.33</v>
      </c>
      <c r="T66" s="871">
        <f t="shared" si="31"/>
        <v>-0.33000000000000007</v>
      </c>
      <c r="U66" s="868">
        <f t="shared" si="67"/>
        <v>1.99</v>
      </c>
      <c r="V66" s="868">
        <f t="shared" si="68"/>
        <v>1.34</v>
      </c>
      <c r="W66" s="829">
        <v>9</v>
      </c>
      <c r="X66" s="829">
        <v>17</v>
      </c>
      <c r="Y66" s="829">
        <v>2</v>
      </c>
      <c r="Z66" s="829">
        <v>9</v>
      </c>
      <c r="AA66" s="829">
        <v>51</v>
      </c>
      <c r="AB66" s="829">
        <v>49</v>
      </c>
      <c r="AC66" s="829"/>
      <c r="AD66" s="816" t="str">
        <f t="array" ref="AD66">IF($J66="","",IF(SUM(IF(ISNUMBER(VALUE(RIGHT($AG66:$CK66,1))),VALUE(RIGHT($AG66:$CK66,1)),0))=$J66,"T","F"))</f>
        <v>T</v>
      </c>
      <c r="AE66" s="831">
        <f t="array" ref="AE66">IF($J66="","",SUM(IF(LEFT($AG66:$DW66,1)="s",1,0))-SUM(IF(RIGHT(LEFT($AG66:$DW66,2))="-",1,0)))</f>
        <v>0</v>
      </c>
      <c r="AF66" s="816">
        <f t="array" ref="AF66">IF($J66="","",SUM(IF(LEFT($AG66:$DC66,1)="X",1,0)))</f>
        <v>11</v>
      </c>
      <c r="AG66" s="891" t="s">
        <v>1877</v>
      </c>
      <c r="AH66" s="891" t="s">
        <v>34</v>
      </c>
      <c r="AI66" s="891" t="s">
        <v>32</v>
      </c>
      <c r="AJ66" s="891" t="s">
        <v>32</v>
      </c>
      <c r="AK66" s="891" t="s">
        <v>34</v>
      </c>
      <c r="AL66" s="891" t="s">
        <v>34</v>
      </c>
      <c r="AM66" s="891" t="s">
        <v>32</v>
      </c>
      <c r="AN66" s="891" t="s">
        <v>1877</v>
      </c>
      <c r="AO66" s="891" t="s">
        <v>32</v>
      </c>
      <c r="AP66" s="891" t="s">
        <v>32</v>
      </c>
      <c r="AQ66" s="891" t="s">
        <v>1886</v>
      </c>
      <c r="AR66" s="891" t="s">
        <v>34</v>
      </c>
      <c r="AS66" s="891" t="s">
        <v>34</v>
      </c>
      <c r="AT66" s="891" t="s">
        <v>34</v>
      </c>
      <c r="AU66" s="891" t="s">
        <v>1877</v>
      </c>
      <c r="AV66" s="891" t="s">
        <v>34</v>
      </c>
      <c r="AW66" s="891" t="s">
        <v>34</v>
      </c>
      <c r="AX66" s="891" t="s">
        <v>32</v>
      </c>
      <c r="AY66" s="891" t="s">
        <v>32</v>
      </c>
      <c r="AZ66" s="891" t="s">
        <v>32</v>
      </c>
      <c r="BA66" s="891" t="s">
        <v>34</v>
      </c>
      <c r="BB66" s="891" t="s">
        <v>36</v>
      </c>
      <c r="BC66" s="891" t="s">
        <v>32</v>
      </c>
      <c r="BD66" s="891" t="s">
        <v>35</v>
      </c>
      <c r="BE66" s="891" t="s">
        <v>1877</v>
      </c>
      <c r="BF66" s="891" t="s">
        <v>1877</v>
      </c>
      <c r="BG66" s="891" t="s">
        <v>35</v>
      </c>
      <c r="BH66" s="891" t="s">
        <v>32</v>
      </c>
      <c r="BI66" s="891" t="s">
        <v>32</v>
      </c>
      <c r="BJ66" s="891" t="s">
        <v>36</v>
      </c>
      <c r="BK66" s="891"/>
      <c r="BL66" s="910"/>
      <c r="BM66" s="910"/>
      <c r="BN66" s="910"/>
      <c r="BO66" s="910"/>
      <c r="BP66" s="910"/>
      <c r="BQ66" s="910"/>
      <c r="BR66" s="910"/>
      <c r="BS66" s="891"/>
      <c r="BT66" s="891"/>
      <c r="BU66" s="891"/>
      <c r="BV66" s="891"/>
      <c r="BW66" s="896"/>
      <c r="BX66" s="896"/>
      <c r="BY66" s="896"/>
      <c r="BZ66" s="896"/>
      <c r="CA66" s="896"/>
      <c r="CB66" s="896"/>
      <c r="CC66" s="896"/>
      <c r="CD66" s="896"/>
      <c r="CE66" s="896"/>
      <c r="CF66" s="896"/>
    </row>
    <row r="67" spans="1:84" ht="15">
      <c r="A67" s="882">
        <v>6533</v>
      </c>
      <c r="B67" s="884"/>
      <c r="C67" s="884"/>
      <c r="D67" s="884">
        <f ca="1">IF(I67=Table!$C$1,VLOOKUP(G67,Table!$B$38:$AO$61,Table!$AO$35-1,FALSE),"")</f>
        <v>0</v>
      </c>
      <c r="E67" s="884"/>
      <c r="F67" s="884">
        <f ca="1">IF(I67="","",IF(I67=Table!$C$1,VLOOKUP(G67,Table!$B$9:$AE$32,Table!$AE$6-1,FALSE),""))</f>
        <v>19</v>
      </c>
      <c r="G67" s="879" t="s">
        <v>885</v>
      </c>
      <c r="H67" s="879" t="s">
        <v>18</v>
      </c>
      <c r="I67" s="879" t="s">
        <v>891</v>
      </c>
      <c r="J67" s="846">
        <v>2</v>
      </c>
      <c r="K67" s="846">
        <v>0</v>
      </c>
      <c r="L67" s="816" t="str">
        <f t="shared" si="36"/>
        <v>W</v>
      </c>
      <c r="M67" s="816">
        <f t="shared" si="37"/>
        <v>2</v>
      </c>
      <c r="N67" s="816" t="str">
        <f t="shared" si="38"/>
        <v>U</v>
      </c>
      <c r="O67" s="816">
        <f t="shared" si="63"/>
        <v>-0.75</v>
      </c>
      <c r="P67" s="829">
        <f t="shared" si="64"/>
        <v>1</v>
      </c>
      <c r="Q67" s="830">
        <v>0.83</v>
      </c>
      <c r="R67" s="871">
        <f t="shared" si="48"/>
        <v>1.17</v>
      </c>
      <c r="S67" s="830">
        <v>2.98</v>
      </c>
      <c r="T67" s="871">
        <f t="shared" si="31"/>
        <v>-0.98</v>
      </c>
      <c r="U67" s="868">
        <f t="shared" si="67"/>
        <v>1.905</v>
      </c>
      <c r="V67" s="868">
        <f t="shared" si="68"/>
        <v>1.075</v>
      </c>
      <c r="W67" s="829">
        <v>20</v>
      </c>
      <c r="X67" s="829">
        <v>9</v>
      </c>
      <c r="Y67" s="829">
        <v>9</v>
      </c>
      <c r="Z67" s="829">
        <v>2</v>
      </c>
      <c r="AA67" s="829">
        <v>58</v>
      </c>
      <c r="AB67" s="829">
        <v>42</v>
      </c>
      <c r="AC67" s="829"/>
      <c r="AD67" s="816" t="str">
        <f t="array" ref="AD67">IF($J67="","",IF(SUM(IF(ISNUMBER(VALUE(RIGHT($AG67:$CK67,1))),VALUE(RIGHT($AG67:$CK67,1)),0))=$J67,"T","F"))</f>
        <v>T</v>
      </c>
      <c r="AE67" s="831">
        <f t="array" ref="AE67">IF($J67="","",SUM(IF(LEFT($AG67:$DW67,1)="s",1,0))-SUM(IF(RIGHT(LEFT($AG67:$DW67,2))="-",1,0)))</f>
        <v>0</v>
      </c>
      <c r="AF67" s="816">
        <f t="array" ref="AF67">IF($J67="","",SUM(IF(LEFT($AG67:$DC67,1)="X",1,0)))</f>
        <v>11</v>
      </c>
      <c r="AG67" s="891" t="s">
        <v>1877</v>
      </c>
      <c r="AH67" s="891" t="s">
        <v>34</v>
      </c>
      <c r="AI67" s="891" t="s">
        <v>32</v>
      </c>
      <c r="AJ67" s="891" t="s">
        <v>32</v>
      </c>
      <c r="AK67" s="891" t="s">
        <v>3571</v>
      </c>
      <c r="AL67" s="891" t="s">
        <v>34</v>
      </c>
      <c r="AM67" s="891" t="s">
        <v>32</v>
      </c>
      <c r="AN67" s="891" t="s">
        <v>36</v>
      </c>
      <c r="AO67" s="891" t="s">
        <v>32</v>
      </c>
      <c r="AP67" s="891" t="s">
        <v>32</v>
      </c>
      <c r="AQ67" s="891" t="s">
        <v>1886</v>
      </c>
      <c r="AR67" s="891" t="s">
        <v>34</v>
      </c>
      <c r="AS67" s="891" t="s">
        <v>34</v>
      </c>
      <c r="AT67" s="891" t="s">
        <v>34</v>
      </c>
      <c r="AU67" s="891" t="s">
        <v>36</v>
      </c>
      <c r="AV67" s="891" t="s">
        <v>34</v>
      </c>
      <c r="AW67" s="891" t="s">
        <v>35</v>
      </c>
      <c r="AX67" s="891" t="s">
        <v>32</v>
      </c>
      <c r="AY67" s="891" t="s">
        <v>32</v>
      </c>
      <c r="AZ67" s="891" t="s">
        <v>32</v>
      </c>
      <c r="BA67" s="891" t="s">
        <v>35</v>
      </c>
      <c r="BB67" s="891" t="s">
        <v>3571</v>
      </c>
      <c r="BC67" s="891" t="s">
        <v>32</v>
      </c>
      <c r="BD67" s="891" t="s">
        <v>35</v>
      </c>
      <c r="BE67" s="904" t="s">
        <v>36</v>
      </c>
      <c r="BF67" s="891" t="s">
        <v>1877</v>
      </c>
      <c r="BG67" s="891" t="s">
        <v>32</v>
      </c>
      <c r="BH67" s="891" t="s">
        <v>32</v>
      </c>
      <c r="BI67" s="891" t="s">
        <v>1877</v>
      </c>
      <c r="BJ67" s="891" t="s">
        <v>1877</v>
      </c>
      <c r="BK67" s="891"/>
      <c r="BL67" s="910"/>
      <c r="BM67" s="910"/>
      <c r="BN67" s="910"/>
      <c r="BO67" s="910"/>
      <c r="BP67" s="910"/>
      <c r="BQ67" s="910"/>
      <c r="BR67" s="910"/>
      <c r="BS67" s="891"/>
      <c r="BT67" s="891"/>
      <c r="BU67" s="891"/>
      <c r="BV67" s="891"/>
      <c r="BW67" s="896"/>
      <c r="BX67" s="896"/>
      <c r="BY67" s="896"/>
      <c r="BZ67" s="896"/>
      <c r="CA67" s="896"/>
      <c r="CB67" s="896"/>
      <c r="CC67" s="896"/>
      <c r="CD67" s="896"/>
      <c r="CE67" s="896"/>
      <c r="CF67" s="896"/>
    </row>
    <row r="68" spans="1:84" ht="15">
      <c r="A68" s="882">
        <v>6540</v>
      </c>
      <c r="B68" s="884"/>
      <c r="C68" s="884"/>
      <c r="D68" s="884"/>
      <c r="E68" s="884"/>
      <c r="F68" s="884">
        <f ca="1">IF(I68="","",IF(I68=Table!$C$1,VLOOKUP(G68,Table!$B$9:$AE$32,Table!$AE$6-1,FALSE),""))</f>
        <v>6</v>
      </c>
      <c r="G68" s="879" t="s">
        <v>876</v>
      </c>
      <c r="H68" s="879" t="s">
        <v>3588</v>
      </c>
      <c r="I68" s="879" t="s">
        <v>891</v>
      </c>
      <c r="J68" s="846">
        <v>4</v>
      </c>
      <c r="K68" s="846">
        <v>2</v>
      </c>
      <c r="L68" s="816" t="str">
        <f t="shared" ref="L68" si="69">IF(J68="","",IF(J68&gt;K68,"W",IF(J68=K68,"D",IF(J68&lt;K68,"L"))))</f>
        <v>W</v>
      </c>
      <c r="M68" s="816">
        <f t="shared" ref="M68" si="70">IF(J68="","",J68+K68)</f>
        <v>6</v>
      </c>
      <c r="N68" s="816" t="str">
        <f t="shared" si="38"/>
        <v>O</v>
      </c>
      <c r="O68" s="816">
        <f t="shared" ref="O68" si="71">IF(Q68="","",IF(SIGN(Q68)&lt;&gt;1,VLOOKUP(ABS(Q68),SUP_HDC,3,TRUE),-VLOOKUP(ABS(Q68),SUP_HDC,3,TRUE)))</f>
        <v>-0.25</v>
      </c>
      <c r="P68" s="829">
        <f t="shared" ref="P68" si="72">IF(O68="","",IF((J68-K68+O68)&gt;=0.5,1,IF((J68-K68+O68)=0.25,0.5,IF((J68-K68+O68)&lt;=-0.5,-1,IF((J68-K68+O68)=-0.25,-0.5,0)))))</f>
        <v>1</v>
      </c>
      <c r="Q68" s="830">
        <v>0.18</v>
      </c>
      <c r="R68" s="871">
        <f t="shared" ref="R68" si="73">IF(ISBLANK(Q68),"",J68-K68-Q68)</f>
        <v>1.82</v>
      </c>
      <c r="S68" s="830">
        <v>2.93</v>
      </c>
      <c r="T68" s="871">
        <f t="shared" ref="T68" si="74">IF(ISBLANK(S68),"",J68+K68-S68)</f>
        <v>3.07</v>
      </c>
      <c r="U68" s="868">
        <f t="shared" ref="U68" si="75">IF(Q68="","",(Q68+S68)/2)</f>
        <v>1.5550000000000002</v>
      </c>
      <c r="V68" s="868">
        <f t="shared" ref="V68" si="76">IF(Q68="","",S68-U68)</f>
        <v>1.375</v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IF($J68="","",IF(SUM(IF(ISNUMBER(VALUE(RIGHT($AG68:$CK68,1))),VALUE(RIGHT($AG68:$CK68,1)),0))=$J68,"T","F"))</f>
        <v>T</v>
      </c>
      <c r="AE68" s="831">
        <f t="array" ref="AE68">IF($J68="","",SUM(IF(LEFT($AG68:$DW68,1)="s",1,0))-SUM(IF(RIGHT(LEFT($AG68:$DW68,2))="-",1,0)))</f>
        <v>0</v>
      </c>
      <c r="AF68" s="816">
        <f t="array" ref="AF68">IF($J68="","",SUM(IF(LEFT($AG68:$DC68,1)="X",1,0)))</f>
        <v>11</v>
      </c>
      <c r="AG68" s="891" t="s">
        <v>3595</v>
      </c>
      <c r="AH68" s="891" t="s">
        <v>3592</v>
      </c>
      <c r="AI68" s="891"/>
      <c r="AJ68" s="891"/>
      <c r="AK68" s="891" t="s">
        <v>3594</v>
      </c>
      <c r="AL68" s="891" t="s">
        <v>3593</v>
      </c>
      <c r="AM68" s="891"/>
      <c r="AN68" s="891" t="s">
        <v>2997</v>
      </c>
      <c r="AO68" s="891"/>
      <c r="AP68" s="891"/>
      <c r="AQ68" s="891" t="s">
        <v>1886</v>
      </c>
      <c r="AR68" s="891" t="s">
        <v>3607</v>
      </c>
      <c r="AS68" s="904" t="s">
        <v>3593</v>
      </c>
      <c r="AT68" s="891" t="s">
        <v>3593</v>
      </c>
      <c r="AU68" s="891" t="s">
        <v>3595</v>
      </c>
      <c r="AV68" s="891" t="s">
        <v>3593</v>
      </c>
      <c r="AW68" s="891" t="s">
        <v>3593</v>
      </c>
      <c r="AX68" s="891"/>
      <c r="AY68" s="891"/>
      <c r="AZ68" s="891"/>
      <c r="BA68" s="904" t="s">
        <v>3606</v>
      </c>
      <c r="BB68" s="904" t="s">
        <v>3605</v>
      </c>
      <c r="BC68" s="891"/>
      <c r="BD68" s="891" t="s">
        <v>3606</v>
      </c>
      <c r="BE68" s="891" t="s">
        <v>3595</v>
      </c>
      <c r="BF68" s="891" t="s">
        <v>3595</v>
      </c>
      <c r="BG68" s="891" t="s">
        <v>2997</v>
      </c>
      <c r="BH68" s="891"/>
      <c r="BI68" s="891" t="s">
        <v>3595</v>
      </c>
      <c r="BJ68" s="891"/>
      <c r="BK68" s="891"/>
      <c r="BL68" s="910"/>
      <c r="BM68" s="910"/>
      <c r="BN68" s="910"/>
      <c r="BO68" s="910"/>
      <c r="BP68" s="910"/>
      <c r="BQ68" s="910"/>
      <c r="BR68" s="910"/>
      <c r="BS68" s="891"/>
      <c r="BT68" s="891"/>
      <c r="BU68" s="891"/>
      <c r="BV68" s="891"/>
      <c r="BW68" s="896"/>
      <c r="BX68" s="896"/>
      <c r="BY68" s="896"/>
      <c r="BZ68" s="896"/>
      <c r="CA68" s="896"/>
      <c r="CB68" s="896"/>
      <c r="CC68" s="896"/>
      <c r="CD68" s="896"/>
      <c r="CE68" s="896"/>
      <c r="CF68" s="896"/>
    </row>
    <row r="69" spans="1:84" ht="15">
      <c r="A69" s="882">
        <v>6547</v>
      </c>
      <c r="B69" s="884"/>
      <c r="C69" s="884"/>
      <c r="D69" s="884"/>
      <c r="E69" s="884"/>
      <c r="F69" s="884">
        <f ca="1">IF(I69="","",IF(I69=Table!$C$1,VLOOKUP(G69,Table!$B$9:$AE$32,Table!$AE$6-1,FALSE),""))</f>
        <v>4</v>
      </c>
      <c r="G69" s="879" t="s">
        <v>1084</v>
      </c>
      <c r="H69" s="879" t="s">
        <v>3604</v>
      </c>
      <c r="I69" s="879" t="s">
        <v>891</v>
      </c>
      <c r="J69" s="846">
        <v>0</v>
      </c>
      <c r="K69" s="846">
        <v>0</v>
      </c>
      <c r="L69" s="816" t="str">
        <f t="shared" ref="L69" si="77">IF(J69="","",IF(J69&gt;K69,"W",IF(J69=K69,"D",IF(J69&lt;K69,"L"))))</f>
        <v>D</v>
      </c>
      <c r="M69" s="816">
        <f t="shared" ref="M69" si="78">IF(J69="","",J69+K69)</f>
        <v>0</v>
      </c>
      <c r="N69" s="816" t="str">
        <f t="shared" si="38"/>
        <v>U</v>
      </c>
      <c r="O69" s="816"/>
      <c r="P69" s="829"/>
      <c r="Q69" s="830"/>
      <c r="R69" s="871"/>
      <c r="S69" s="830"/>
      <c r="T69" s="871"/>
      <c r="U69" s="868"/>
      <c r="V69" s="868"/>
      <c r="W69" s="829"/>
      <c r="X69" s="829"/>
      <c r="Y69" s="829"/>
      <c r="Z69" s="829"/>
      <c r="AA69" s="829"/>
      <c r="AB69" s="829"/>
      <c r="AC69" s="829"/>
      <c r="AE69" s="831"/>
      <c r="AG69" s="891" t="s">
        <v>1877</v>
      </c>
      <c r="AH69" s="904" t="s">
        <v>34</v>
      </c>
      <c r="AI69" s="891" t="s">
        <v>32</v>
      </c>
      <c r="AJ69" s="891" t="s">
        <v>32</v>
      </c>
      <c r="AK69" s="891" t="s">
        <v>34</v>
      </c>
      <c r="AL69" s="891" t="s">
        <v>34</v>
      </c>
      <c r="AM69" s="891" t="s">
        <v>32</v>
      </c>
      <c r="AN69" s="891" t="s">
        <v>36</v>
      </c>
      <c r="AO69" s="891" t="s">
        <v>32</v>
      </c>
      <c r="AP69" s="891" t="s">
        <v>32</v>
      </c>
      <c r="AQ69" s="891" t="s">
        <v>32</v>
      </c>
      <c r="AR69" s="891" t="s">
        <v>34</v>
      </c>
      <c r="AS69" s="891" t="s">
        <v>34</v>
      </c>
      <c r="AT69" s="891" t="s">
        <v>34</v>
      </c>
      <c r="AU69" s="891" t="s">
        <v>1877</v>
      </c>
      <c r="AV69" s="904" t="s">
        <v>34</v>
      </c>
      <c r="AW69" s="891" t="s">
        <v>34</v>
      </c>
      <c r="AX69" s="891" t="s">
        <v>32</v>
      </c>
      <c r="AY69" s="891" t="s">
        <v>32</v>
      </c>
      <c r="AZ69" s="891" t="s">
        <v>32</v>
      </c>
      <c r="BA69" s="891" t="s">
        <v>35</v>
      </c>
      <c r="BB69" s="904" t="s">
        <v>35</v>
      </c>
      <c r="BC69" s="891" t="s">
        <v>32</v>
      </c>
      <c r="BD69" s="891" t="s">
        <v>35</v>
      </c>
      <c r="BE69" s="891" t="s">
        <v>1877</v>
      </c>
      <c r="BF69" s="891" t="s">
        <v>1877</v>
      </c>
      <c r="BG69" s="891" t="s">
        <v>36</v>
      </c>
      <c r="BH69" s="891" t="s">
        <v>32</v>
      </c>
      <c r="BI69" s="891" t="s">
        <v>36</v>
      </c>
      <c r="BJ69" s="891"/>
      <c r="BK69" s="891"/>
      <c r="BL69" s="910"/>
      <c r="BM69" s="910"/>
      <c r="BN69" s="910"/>
      <c r="BO69" s="910"/>
      <c r="BP69" s="910"/>
      <c r="BQ69" s="910"/>
      <c r="BR69" s="910"/>
      <c r="BS69" s="891"/>
      <c r="BT69" s="891"/>
      <c r="BU69" s="891"/>
      <c r="BV69" s="891"/>
      <c r="BW69" s="896"/>
      <c r="BX69" s="896"/>
      <c r="BY69" s="896"/>
      <c r="BZ69" s="896"/>
      <c r="CA69" s="896"/>
      <c r="CB69" s="896"/>
      <c r="CC69" s="896"/>
      <c r="CD69" s="896"/>
      <c r="CE69" s="896"/>
      <c r="CF69" s="896"/>
    </row>
    <row r="70" spans="1:84" ht="15">
      <c r="A70" s="882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 t="str">
        <f t="array" ref="AE70">IF($J70="","",SUM(IF(LEFT($AG70:$DW70,1)="s",1,0))-SUM(IF(RIGHT(LEFT($AG70:$DW70,2))="-",1,0)))</f>
        <v/>
      </c>
      <c r="AF70" s="816" t="str">
        <f t="array" ref="AF70">IF($J70="","",SUM(IF(LEFT($AG70:$DC70,1)="X",1,0)))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1"/>
      <c r="BT70" s="891"/>
      <c r="BU70" s="891"/>
      <c r="BV70" s="891"/>
      <c r="BW70" s="896"/>
      <c r="BX70" s="896"/>
      <c r="BY70" s="896"/>
      <c r="BZ70" s="896"/>
      <c r="CA70" s="896"/>
      <c r="CB70" s="896"/>
      <c r="CC70" s="896"/>
      <c r="CD70" s="896"/>
      <c r="CE70" s="896"/>
      <c r="CF70" s="896"/>
    </row>
    <row r="71" spans="1:84" ht="15">
      <c r="A71" s="882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 t="str">
        <f t="array" ref="AE71">IF($J71="","",SUM(IF(LEFT($AG71:$DW71,1)="s",1,0))-SUM(IF(RIGHT(LEFT($AG71:$DW71,2))="-",1,0)))</f>
        <v/>
      </c>
      <c r="AF71" s="816" t="str">
        <f t="array" ref="AF71">IF($J71="","",SUM(IF(LEFT($AG71:$DC71,1)="X",1,0)))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1"/>
      <c r="BT71" s="891"/>
      <c r="BU71" s="891"/>
      <c r="BV71" s="891"/>
      <c r="BW71" s="897"/>
      <c r="BX71" s="897"/>
      <c r="BY71" s="897"/>
      <c r="BZ71" s="896"/>
      <c r="CA71" s="896"/>
      <c r="CB71" s="896"/>
      <c r="CC71" s="896"/>
      <c r="CD71" s="896"/>
      <c r="CE71" s="896"/>
      <c r="CF71" s="896"/>
    </row>
    <row r="72" spans="1:84" ht="15">
      <c r="A72" s="882"/>
      <c r="B72" s="884"/>
      <c r="C72" s="884"/>
      <c r="D72" s="884" t="str">
        <f>IF(I72=Table!$C$1,VLOOKUP(G72,Table!$B$38:$AO$61,Table!$AO$35-1,FALSE),"")</f>
        <v/>
      </c>
      <c r="E72" s="884"/>
      <c r="F72" s="884" t="str">
        <f>IF(I72="","",IF(I72=Table!$C$1,VLOOKUP(G72,Table!$B$9:$AE$32,Table!$AE$6-1,FALSE),""))</f>
        <v/>
      </c>
      <c r="G72" s="880"/>
      <c r="H72" s="879"/>
      <c r="I72" s="879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 t="str">
        <f t="array" ref="AE72">IF($J72="","",SUM(IF(LEFT($AG72:$DW72,1)="s",1,0))-SUM(IF(RIGHT(LEFT($AG72:$DW72,2))="-",1,0)))</f>
        <v/>
      </c>
      <c r="AF72" s="816" t="str">
        <f t="array" ref="AF72">IF($J72="","",SUM(IF(LEFT($AG72:$DC72,1)="X",1,0)))</f>
        <v/>
      </c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1"/>
      <c r="BR72" s="891"/>
      <c r="BS72" s="891"/>
      <c r="BT72" s="891"/>
      <c r="BU72" s="891"/>
      <c r="BV72" s="891"/>
      <c r="BW72" s="897"/>
      <c r="BX72" s="897"/>
      <c r="BY72" s="897"/>
      <c r="BZ72" s="896"/>
      <c r="CA72" s="896"/>
      <c r="CB72" s="896"/>
      <c r="CC72" s="896"/>
      <c r="CD72" s="896"/>
      <c r="CE72" s="896"/>
      <c r="CF72" s="896"/>
    </row>
    <row r="73" spans="1:84" ht="15">
      <c r="A73" s="881"/>
      <c r="B73" s="884"/>
      <c r="C73" s="884"/>
      <c r="D73" s="884" t="str">
        <f>IF(I73=Table!$C$1,VLOOKUP(G73,Table!$B$38:$AO$61,Table!$AO$35-1,FALSE),"")</f>
        <v/>
      </c>
      <c r="E73" s="884"/>
      <c r="F73" s="884" t="str">
        <f>IF(I73="","",IF(I73=Table!$C$1,VLOOKUP(G73,Table!$B$9:$AE$32,Table!$AE$6-1,FALSE),""))</f>
        <v/>
      </c>
      <c r="G73" s="879"/>
      <c r="H73" s="879"/>
      <c r="I73" s="879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 t="str">
        <f t="array" ref="AE73">IF($J73="","",SUM(IF(LEFT($AG73:$DW73,1)="s",1,0))-SUM(IF(RIGHT(LEFT($AG73:$DW73,2))="-",1,0)))</f>
        <v/>
      </c>
      <c r="AF73" s="816" t="str">
        <f t="array" ref="AF73">IF($J73="","",SUM(IF(LEFT($AG73:$DC73,1)="X",1,0)))</f>
        <v/>
      </c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/>
      <c r="BF73" s="891"/>
      <c r="BG73" s="891"/>
      <c r="BH73" s="891"/>
      <c r="BI73" s="891"/>
      <c r="BJ73" s="891"/>
      <c r="BK73" s="891"/>
      <c r="BL73" s="891"/>
      <c r="BM73" s="891"/>
      <c r="BN73" s="891"/>
      <c r="BO73" s="891"/>
      <c r="BP73" s="891"/>
      <c r="BQ73" s="891"/>
      <c r="BR73" s="891"/>
      <c r="BS73" s="891"/>
      <c r="BT73" s="891"/>
      <c r="BU73" s="891"/>
      <c r="BV73" s="891"/>
      <c r="BW73" s="897"/>
      <c r="BX73" s="897"/>
      <c r="BY73" s="897"/>
      <c r="BZ73" s="896"/>
      <c r="CA73" s="896"/>
      <c r="CB73" s="896"/>
      <c r="CC73" s="896"/>
      <c r="CD73" s="896"/>
      <c r="CE73" s="896"/>
      <c r="CF73" s="896"/>
    </row>
    <row r="74" spans="1:84" ht="15">
      <c r="A74" s="843"/>
      <c r="B74" s="894"/>
      <c r="C74" s="894"/>
      <c r="D74" s="894"/>
      <c r="E74" s="894"/>
      <c r="F74" s="894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 t="str">
        <f t="array" ref="AE74">IF($J74="","",SUM(IF(LEFT($AG74:$DW74,1)="s",1,0))-SUM(IF(RIGHT(LEFT($AG74:$DW74,2))="-",1,0)))</f>
        <v/>
      </c>
      <c r="AF74" s="816" t="str">
        <f t="array" ref="AF74">IF($J74="","",SUM(IF(LEFT($AG74:$DC74,1)="X",1,0)))</f>
        <v/>
      </c>
      <c r="AG74" s="891"/>
      <c r="AH74" s="891"/>
      <c r="AI74" s="891"/>
      <c r="AJ74" s="891"/>
      <c r="AK74" s="891"/>
      <c r="AL74" s="891"/>
      <c r="AM74" s="891"/>
      <c r="AN74" s="891"/>
      <c r="AO74" s="891"/>
      <c r="AP74" s="891"/>
      <c r="AQ74" s="891"/>
      <c r="AR74" s="891"/>
      <c r="AS74" s="891"/>
      <c r="AT74" s="891"/>
      <c r="AU74" s="891"/>
      <c r="AV74" s="891"/>
      <c r="AW74" s="891"/>
      <c r="AX74" s="891"/>
      <c r="AY74" s="891"/>
      <c r="AZ74" s="891"/>
      <c r="BA74" s="891"/>
      <c r="BB74" s="891"/>
      <c r="BC74" s="891"/>
      <c r="BD74" s="891"/>
      <c r="BE74" s="891"/>
      <c r="BF74" s="891"/>
      <c r="BG74" s="891"/>
      <c r="BH74" s="891"/>
      <c r="BI74" s="891"/>
      <c r="BJ74" s="891"/>
      <c r="BK74" s="891"/>
      <c r="BL74" s="891"/>
      <c r="BM74" s="891"/>
      <c r="BN74" s="891"/>
      <c r="BO74" s="891"/>
      <c r="BP74" s="891"/>
      <c r="BQ74" s="891"/>
      <c r="BR74" s="891"/>
      <c r="BS74" s="891"/>
      <c r="BT74" s="891"/>
      <c r="BU74" s="891"/>
      <c r="BV74" s="891"/>
      <c r="BW74" s="897"/>
      <c r="BX74" s="897"/>
      <c r="BY74" s="897"/>
      <c r="BZ74" s="896"/>
      <c r="CA74" s="896"/>
      <c r="CB74" s="896"/>
      <c r="CC74" s="896"/>
      <c r="CD74" s="896"/>
      <c r="CE74" s="896"/>
      <c r="CF74" s="896"/>
    </row>
    <row r="75" spans="1:84" ht="15">
      <c r="A75" s="881"/>
      <c r="B75" s="884"/>
      <c r="C75" s="884"/>
      <c r="D75" s="884" t="str">
        <f>IF(I75=Table!$C$1,VLOOKUP(G75,Table!$B$38:$AO$61,Table!$AO$35-1,FALSE),"")</f>
        <v/>
      </c>
      <c r="E75" s="884"/>
      <c r="F75" s="884" t="str">
        <f>IF(I75="","",IF(I75=Table!$C$1,VLOOKUP(G75,Table!$B$9:$AE$32,Table!$AE$6-1,FALSE),""))</f>
        <v/>
      </c>
      <c r="G75" s="879"/>
      <c r="H75" s="879"/>
      <c r="I75" s="879"/>
      <c r="J75" s="428"/>
      <c r="K75" s="428"/>
      <c r="T75" s="829"/>
      <c r="U75" s="829"/>
      <c r="V75" s="829"/>
      <c r="W75" s="829"/>
      <c r="X75" s="829"/>
      <c r="Y75" s="829"/>
      <c r="Z75" s="829"/>
      <c r="AA75" s="829"/>
      <c r="AB75" s="829"/>
      <c r="AC75" s="829"/>
      <c r="AE75" s="831" t="str">
        <f t="array" ref="AE75">IF($J75="","",SUM(IF(LEFT($AG75:$DW75,1)="s",1,0))-SUM(IF(RIGHT(LEFT($AG75:$DW75,2))="-",1,0)))</f>
        <v/>
      </c>
      <c r="AF75" s="816" t="str">
        <f t="array" ref="AF75">IF($J75="","",SUM(IF(LEFT($AG75:$DC75,1)="X",1,0)))</f>
        <v/>
      </c>
      <c r="AG75" s="891"/>
      <c r="AH75" s="891"/>
      <c r="AI75" s="891"/>
      <c r="AJ75" s="891"/>
      <c r="AK75" s="891"/>
      <c r="AL75" s="891"/>
      <c r="AM75" s="891"/>
      <c r="AN75" s="891"/>
      <c r="AO75" s="891"/>
      <c r="AP75" s="891"/>
      <c r="AQ75" s="891"/>
      <c r="AR75" s="891"/>
      <c r="AS75" s="891"/>
      <c r="AT75" s="891"/>
      <c r="AU75" s="891"/>
      <c r="AV75" s="891"/>
      <c r="AW75" s="891"/>
      <c r="AX75" s="891"/>
      <c r="AY75" s="891"/>
      <c r="AZ75" s="891"/>
      <c r="BA75" s="891"/>
      <c r="BB75" s="891"/>
      <c r="BC75" s="891"/>
      <c r="BD75" s="891"/>
      <c r="BE75" s="891"/>
      <c r="BF75" s="891"/>
      <c r="BG75" s="891"/>
      <c r="BH75" s="891"/>
      <c r="BI75" s="891"/>
      <c r="BJ75" s="891"/>
      <c r="BK75" s="891"/>
      <c r="BL75" s="891"/>
      <c r="BM75" s="891"/>
      <c r="BN75" s="891"/>
      <c r="BO75" s="891"/>
      <c r="BP75" s="891"/>
      <c r="BQ75" s="891"/>
      <c r="BR75" s="891"/>
      <c r="BS75" s="891"/>
      <c r="BT75" s="891"/>
      <c r="BU75" s="891"/>
      <c r="BV75" s="891"/>
      <c r="BW75" s="897"/>
      <c r="BX75" s="897"/>
      <c r="BY75" s="897"/>
      <c r="BZ75" s="896"/>
      <c r="CA75" s="896"/>
      <c r="CB75" s="896"/>
      <c r="CC75" s="896"/>
      <c r="CD75" s="896"/>
      <c r="CE75" s="896"/>
      <c r="CF75" s="896"/>
    </row>
    <row r="76" spans="1:84" ht="15">
      <c r="A76" s="881"/>
      <c r="B76" s="884"/>
      <c r="C76" s="884"/>
      <c r="D76" s="884" t="str">
        <f>IF(I76=Table!$C$1,VLOOKUP(G76,Table!$B$38:$AO$61,Table!$AO$35-1,FALSE),"")</f>
        <v/>
      </c>
      <c r="E76" s="884"/>
      <c r="F76" s="884" t="str">
        <f>IF(I76="","",IF(I76=Table!$C$1,VLOOKUP(G76,Table!$B$9:$AE$32,Table!$AE$6-1,FALSE),""))</f>
        <v/>
      </c>
      <c r="G76" s="879"/>
      <c r="H76" s="879"/>
      <c r="I76" s="879"/>
      <c r="J76" s="428"/>
      <c r="K76" s="428"/>
      <c r="T76" s="829"/>
      <c r="U76" s="829"/>
      <c r="V76" s="829"/>
      <c r="W76" s="829"/>
      <c r="X76" s="829"/>
      <c r="Y76" s="829"/>
      <c r="Z76" s="829"/>
      <c r="AA76" s="829"/>
      <c r="AB76" s="829"/>
      <c r="AC76" s="829"/>
      <c r="AE76" s="831" t="str">
        <f t="array" ref="AE76">IF($J76="","",SUM(IF(LEFT($AG76:$DW76,1)="s",1,0))-SUM(IF(RIGHT(LEFT($AG76:$DW76,2))="-",1,0)))</f>
        <v/>
      </c>
      <c r="AF76" s="816" t="str">
        <f t="array" ref="AF76">IF($J76="","",SUM(IF(LEFT($AG76:$DC76,1)="X",1,0)))</f>
        <v/>
      </c>
      <c r="AG76" s="891"/>
      <c r="AH76" s="891"/>
      <c r="AI76" s="891"/>
      <c r="AJ76" s="891"/>
      <c r="AK76" s="891"/>
      <c r="AL76" s="891"/>
      <c r="AM76" s="891"/>
      <c r="AN76" s="891"/>
      <c r="AO76" s="891"/>
      <c r="AP76" s="891"/>
      <c r="AQ76" s="891"/>
      <c r="AR76" s="891"/>
      <c r="AS76" s="891"/>
      <c r="AT76" s="891"/>
      <c r="AU76" s="891"/>
      <c r="AV76" s="891"/>
      <c r="AW76" s="891"/>
      <c r="AX76" s="891"/>
      <c r="AY76" s="891"/>
      <c r="AZ76" s="891"/>
      <c r="BA76" s="891"/>
      <c r="BB76" s="891"/>
      <c r="BC76" s="891"/>
      <c r="BD76" s="891"/>
      <c r="BE76" s="891"/>
      <c r="BF76" s="891"/>
      <c r="BG76" s="891"/>
      <c r="BH76" s="891"/>
      <c r="BI76" s="891"/>
      <c r="BJ76" s="891"/>
      <c r="BK76" s="891"/>
      <c r="BL76" s="891"/>
      <c r="BM76" s="891"/>
      <c r="BN76" s="891"/>
      <c r="BO76" s="891"/>
      <c r="BP76" s="891"/>
      <c r="BQ76" s="891"/>
      <c r="BR76" s="891"/>
      <c r="BS76" s="891"/>
      <c r="BT76" s="891"/>
      <c r="BU76" s="891"/>
      <c r="BV76" s="891"/>
      <c r="BW76" s="897"/>
      <c r="BX76" s="897"/>
      <c r="BY76" s="897"/>
      <c r="BZ76" s="896"/>
      <c r="CA76" s="896"/>
      <c r="CB76" s="896"/>
      <c r="CC76" s="896"/>
      <c r="CD76" s="896"/>
      <c r="CE76" s="896"/>
      <c r="CF76" s="896"/>
    </row>
    <row r="77" spans="1:84" ht="15">
      <c r="A77" s="843"/>
      <c r="E77" s="816"/>
      <c r="G77" s="828"/>
      <c r="H77" s="828"/>
      <c r="I77" s="828"/>
      <c r="J77" s="428"/>
      <c r="K77" s="428"/>
      <c r="T77" s="829"/>
      <c r="U77" s="829"/>
      <c r="V77" s="829"/>
      <c r="W77" s="829"/>
      <c r="X77" s="829"/>
      <c r="Y77" s="829"/>
      <c r="Z77" s="829"/>
      <c r="AA77" s="829"/>
      <c r="AB77" s="829"/>
      <c r="AC77" s="829"/>
      <c r="AE77" s="831"/>
      <c r="AG77" s="896"/>
      <c r="AH77" s="896"/>
      <c r="AI77" s="896"/>
      <c r="AJ77" s="893"/>
      <c r="AK77" s="893"/>
      <c r="AL77" s="896"/>
      <c r="AM77" s="896"/>
      <c r="AN77" s="896"/>
      <c r="AO77" s="896"/>
      <c r="AP77" s="896"/>
      <c r="AQ77" s="896"/>
      <c r="AR77" s="896"/>
      <c r="AS77" s="896"/>
      <c r="AT77" s="896"/>
      <c r="AU77" s="896"/>
      <c r="AV77" s="896"/>
      <c r="AW77" s="896"/>
      <c r="AX77" s="896"/>
      <c r="AY77" s="896"/>
      <c r="AZ77" s="893"/>
      <c r="BA77" s="893"/>
      <c r="BB77" s="893"/>
      <c r="BC77" s="896"/>
      <c r="BD77" s="896"/>
      <c r="BE77" s="896"/>
      <c r="BF77" s="893"/>
      <c r="BG77" s="896"/>
      <c r="BH77" s="896"/>
      <c r="BI77" s="896"/>
      <c r="BJ77" s="896"/>
      <c r="BK77" s="896"/>
      <c r="BL77" s="896"/>
      <c r="BM77" s="896"/>
      <c r="BN77" s="896"/>
      <c r="BO77" s="896"/>
      <c r="BP77" s="896"/>
      <c r="BQ77" s="896"/>
      <c r="BR77" s="896"/>
      <c r="BS77" s="893"/>
      <c r="BT77" s="893"/>
      <c r="BU77" s="897"/>
      <c r="BV77" s="897"/>
      <c r="BW77" s="897"/>
      <c r="BX77" s="897"/>
      <c r="BY77" s="897"/>
      <c r="BZ77" s="896"/>
      <c r="CA77" s="896"/>
      <c r="CB77" s="896"/>
      <c r="CC77" s="896"/>
      <c r="CD77" s="896"/>
      <c r="CE77" s="896"/>
      <c r="CF77" s="896"/>
    </row>
    <row r="78" spans="1:84" ht="15">
      <c r="A78" s="843"/>
      <c r="E78" s="816"/>
      <c r="G78" s="828"/>
      <c r="H78" s="828"/>
      <c r="I78" s="828"/>
      <c r="J78" s="428"/>
      <c r="K78" s="428"/>
      <c r="T78" s="829"/>
      <c r="U78" s="829"/>
      <c r="V78" s="829"/>
      <c r="W78" s="829"/>
      <c r="X78" s="829"/>
      <c r="Y78" s="829"/>
      <c r="Z78" s="829"/>
      <c r="AA78" s="829"/>
      <c r="AB78" s="829"/>
      <c r="AC78" s="829"/>
      <c r="AE78" s="831"/>
      <c r="AG78" s="896"/>
      <c r="AH78" s="896"/>
      <c r="AI78" s="896"/>
      <c r="AJ78" s="893"/>
      <c r="AK78" s="893"/>
      <c r="AL78" s="896"/>
      <c r="AM78" s="896"/>
      <c r="AN78" s="896"/>
      <c r="AO78" s="896"/>
      <c r="AP78" s="896"/>
      <c r="AQ78" s="896"/>
      <c r="AR78" s="896"/>
      <c r="AS78" s="896"/>
      <c r="AT78" s="896"/>
      <c r="AU78" s="896"/>
      <c r="AV78" s="896"/>
      <c r="AW78" s="896"/>
      <c r="AX78" s="896"/>
      <c r="AY78" s="896"/>
      <c r="AZ78" s="893"/>
      <c r="BA78" s="893"/>
      <c r="BB78" s="893"/>
      <c r="BC78" s="896"/>
      <c r="BD78" s="896"/>
      <c r="BE78" s="896"/>
      <c r="BF78" s="893"/>
      <c r="BG78" s="896"/>
      <c r="BH78" s="896"/>
      <c r="BI78" s="896"/>
      <c r="BJ78" s="896"/>
      <c r="BK78" s="896"/>
      <c r="BL78" s="896"/>
      <c r="BM78" s="896"/>
      <c r="BN78" s="896"/>
      <c r="BO78" s="896"/>
      <c r="BP78" s="896"/>
      <c r="BQ78" s="896"/>
      <c r="BR78" s="896"/>
      <c r="BS78" s="893"/>
      <c r="BT78" s="893"/>
      <c r="BU78" s="897"/>
      <c r="BV78" s="897"/>
      <c r="BW78" s="897"/>
      <c r="BX78" s="897"/>
      <c r="BY78" s="897"/>
      <c r="BZ78" s="896"/>
      <c r="CA78" s="896"/>
      <c r="CB78" s="896"/>
      <c r="CC78" s="896"/>
      <c r="CD78" s="896"/>
      <c r="CE78" s="896"/>
      <c r="CF78" s="896"/>
    </row>
    <row r="79" spans="1:84" ht="15">
      <c r="A79" s="843"/>
      <c r="E79" s="816"/>
      <c r="G79" s="828"/>
      <c r="H79" s="828"/>
      <c r="I79" s="828"/>
      <c r="J79" s="428"/>
      <c r="K79" s="428"/>
      <c r="T79" s="829"/>
      <c r="U79" s="829"/>
      <c r="V79" s="829"/>
      <c r="W79" s="829"/>
      <c r="X79" s="829"/>
      <c r="Y79" s="829"/>
      <c r="Z79" s="829"/>
      <c r="AA79" s="829"/>
      <c r="AB79" s="829"/>
      <c r="AC79" s="829"/>
      <c r="AE79" s="831"/>
      <c r="AG79" s="896"/>
      <c r="AH79" s="896"/>
      <c r="AI79" s="896"/>
      <c r="AJ79" s="893"/>
      <c r="AK79" s="893"/>
      <c r="AL79" s="896"/>
      <c r="AM79" s="896"/>
      <c r="AN79" s="896"/>
      <c r="AO79" s="896"/>
      <c r="AP79" s="896"/>
      <c r="AQ79" s="896"/>
      <c r="AR79" s="896"/>
      <c r="AS79" s="896"/>
      <c r="AT79" s="896"/>
      <c r="AU79" s="896"/>
      <c r="AV79" s="896"/>
      <c r="AW79" s="896"/>
      <c r="AX79" s="896"/>
      <c r="AY79" s="896"/>
      <c r="AZ79" s="893"/>
      <c r="BA79" s="893"/>
      <c r="BB79" s="893"/>
      <c r="BC79" s="896"/>
      <c r="BD79" s="896"/>
      <c r="BE79" s="896"/>
      <c r="BF79" s="893"/>
      <c r="BG79" s="896"/>
      <c r="BH79" s="896"/>
      <c r="BI79" s="896"/>
      <c r="BJ79" s="896"/>
      <c r="BK79" s="896"/>
      <c r="BL79" s="896"/>
      <c r="BM79" s="896"/>
      <c r="BN79" s="896"/>
      <c r="BO79" s="896"/>
      <c r="BP79" s="896"/>
      <c r="BQ79" s="896"/>
      <c r="BR79" s="896"/>
      <c r="BS79" s="893"/>
      <c r="BT79" s="893"/>
      <c r="BU79" s="897"/>
      <c r="BV79" s="897"/>
      <c r="BW79" s="897"/>
      <c r="BX79" s="897"/>
      <c r="BY79" s="897"/>
      <c r="BZ79" s="896"/>
      <c r="CA79" s="896"/>
      <c r="CB79" s="896"/>
      <c r="CC79" s="896"/>
      <c r="CD79" s="896"/>
      <c r="CE79" s="896"/>
      <c r="CF79" s="896"/>
    </row>
    <row r="80" spans="1:84" ht="15">
      <c r="A80" s="843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828"/>
      <c r="H80" s="828"/>
      <c r="I80" s="828"/>
      <c r="J80" s="428"/>
      <c r="K80" s="428"/>
      <c r="L80" s="816" t="str">
        <f t="shared" ref="L80:L137" si="79">IF(J80="","",IF(J80&gt;K80,"W",IF(J80=K80,"D",IF(J80&lt;K80,"L"))))</f>
        <v/>
      </c>
      <c r="M80" s="816" t="str">
        <f t="shared" ref="M80:M137" si="80">IF(J80="","",J80+K80)</f>
        <v/>
      </c>
      <c r="N80" s="816" t="str">
        <f t="shared" ref="N80:N137" si="81">IF($J80="","",IF($M80&gt;N$19,"O",IF($M80&lt;N$19,"U",IF($M80=N$19,"-"))))</f>
        <v/>
      </c>
      <c r="R80" s="816" t="str">
        <f t="shared" ref="R80:R137" si="82">IF(ISBLANK(Q80),"",J80-K80-Q80)</f>
        <v/>
      </c>
      <c r="T80" s="829" t="str">
        <f t="shared" ref="T80:T137" si="83">IF(ISBLANK(S80),"",J80+K80-S80)</f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IF($J80="","",IF(SUM(IF(ISNUMBER(VALUE(RIGHT($AG80:$CK80,1))),VALUE(RIGHT($AG80:$CK80,1)),0))=$J80,"T","F"))</f>
        <v/>
      </c>
      <c r="AE80" s="831" t="str">
        <f t="array" ref="AE80">IF($J80="","",SUM(IF(LEFT($AG80:$DW80,1)="s",1,0))-SUM(IF(RIGHT(LEFT($AG80:$DW80,2))="-",1,0)))</f>
        <v/>
      </c>
      <c r="AF80" s="816" t="str">
        <f t="array" ref="AF80">IF($J80="","",SUM(IF(LEFT($AG80:$DC80,1)="X",1,0)))</f>
        <v/>
      </c>
      <c r="AG80" s="897"/>
      <c r="AH80" s="897"/>
      <c r="AI80" s="897"/>
      <c r="AJ80" s="893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3"/>
      <c r="BA80" s="893"/>
      <c r="BB80" s="893"/>
      <c r="BC80" s="897"/>
      <c r="BD80" s="897"/>
      <c r="BE80" s="897"/>
      <c r="BF80" s="893"/>
      <c r="BG80" s="897"/>
      <c r="BH80" s="897"/>
      <c r="BI80" s="897"/>
      <c r="BJ80" s="897"/>
      <c r="BK80" s="897"/>
      <c r="BL80" s="897"/>
      <c r="BM80" s="897"/>
      <c r="BN80" s="897"/>
      <c r="BO80" s="897"/>
      <c r="BP80" s="897"/>
      <c r="BQ80" s="897"/>
      <c r="BR80" s="897"/>
      <c r="BS80" s="893"/>
      <c r="BT80" s="893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</row>
    <row r="81" spans="1:84" ht="15">
      <c r="A81" s="843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828"/>
      <c r="H81" s="828"/>
      <c r="I81" s="828"/>
      <c r="J81" s="428"/>
      <c r="K81" s="428"/>
      <c r="L81" s="816" t="str">
        <f t="shared" si="79"/>
        <v/>
      </c>
      <c r="M81" s="816" t="str">
        <f t="shared" si="80"/>
        <v/>
      </c>
      <c r="N81" s="816" t="str">
        <f t="shared" si="81"/>
        <v/>
      </c>
      <c r="R81" s="816" t="str">
        <f t="shared" si="82"/>
        <v/>
      </c>
      <c r="T81" s="829" t="str">
        <f t="shared" si="83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IF($J81="","",IF(SUM(IF(ISNUMBER(VALUE(RIGHT($AG81:$CK81,1))),VALUE(RIGHT($AG81:$CK81,1)),0))=$J81,"T","F"))</f>
        <v/>
      </c>
      <c r="AE81" s="831" t="str">
        <f t="array" ref="AE81">IF($J81="","",SUM(IF(LEFT($AG81:$DW81,1)="s",1,0))-SUM(IF(RIGHT(LEFT($AG81:$DW81,2))="-",1,0)))</f>
        <v/>
      </c>
      <c r="AF81" s="816" t="str">
        <f t="array" ref="AF81">IF($J81="","",SUM(IF(LEFT($AG81:$DC81,1)="X",1,0)))</f>
        <v/>
      </c>
      <c r="AG81" s="897"/>
      <c r="AH81" s="897"/>
      <c r="AI81" s="897"/>
      <c r="AJ81" s="893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3"/>
      <c r="BA81" s="893"/>
      <c r="BB81" s="893"/>
      <c r="BC81" s="897"/>
      <c r="BD81" s="897"/>
      <c r="BE81" s="897"/>
      <c r="BF81" s="893"/>
      <c r="BG81" s="897"/>
      <c r="BH81" s="897"/>
      <c r="BI81" s="897"/>
      <c r="BJ81" s="897"/>
      <c r="BK81" s="897"/>
      <c r="BL81" s="897"/>
      <c r="BM81" s="897"/>
      <c r="BN81" s="897"/>
      <c r="BO81" s="897"/>
      <c r="BP81" s="897"/>
      <c r="BQ81" s="897"/>
      <c r="BR81" s="897"/>
      <c r="BS81" s="893"/>
      <c r="BT81" s="893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</row>
    <row r="82" spans="1:84" ht="15">
      <c r="A82" s="843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828"/>
      <c r="H82" s="828"/>
      <c r="I82" s="828"/>
      <c r="J82" s="428"/>
      <c r="K82" s="428"/>
      <c r="L82" s="816" t="str">
        <f t="shared" si="79"/>
        <v/>
      </c>
      <c r="M82" s="816" t="str">
        <f t="shared" si="80"/>
        <v/>
      </c>
      <c r="N82" s="816" t="str">
        <f t="shared" si="81"/>
        <v/>
      </c>
      <c r="R82" s="816" t="str">
        <f t="shared" si="82"/>
        <v/>
      </c>
      <c r="T82" s="829" t="str">
        <f t="shared" si="83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IF($J82="","",IF(SUM(IF(ISNUMBER(VALUE(RIGHT($AG82:$CK82,1))),VALUE(RIGHT($AG82:$CK82,1)),0))=$J82,"T","F"))</f>
        <v/>
      </c>
      <c r="AE82" s="831" t="str">
        <f t="array" ref="AE82">IF($J82="","",SUM(IF(LEFT($AG82:$DW82,1)="s",1,0))-SUM(IF(RIGHT(LEFT($AG82:$DW82,2))="-",1,0)))</f>
        <v/>
      </c>
      <c r="AF82" s="816" t="str">
        <f t="array" ref="AF82">IF($J82="","",SUM(IF(LEFT($AG82:$DC82,1)="X",1,0)))</f>
        <v/>
      </c>
      <c r="AG82" s="897"/>
      <c r="AH82" s="897"/>
      <c r="AI82" s="897"/>
      <c r="AJ82" s="893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3"/>
      <c r="BA82" s="893"/>
      <c r="BB82" s="893"/>
      <c r="BC82" s="897"/>
      <c r="BD82" s="897"/>
      <c r="BE82" s="897"/>
      <c r="BF82" s="893"/>
      <c r="BG82" s="897"/>
      <c r="BH82" s="897"/>
      <c r="BI82" s="897"/>
      <c r="BJ82" s="897"/>
      <c r="BK82" s="897"/>
      <c r="BL82" s="897"/>
      <c r="BM82" s="897"/>
      <c r="BN82" s="897"/>
      <c r="BO82" s="897"/>
      <c r="BP82" s="897"/>
      <c r="BQ82" s="897"/>
      <c r="BR82" s="897"/>
      <c r="BS82" s="893"/>
      <c r="BT82" s="893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</row>
    <row r="83" spans="1:84" ht="15">
      <c r="A83" s="844"/>
      <c r="D83" s="816" t="str">
        <f>IF(I83=Table!$C$1,VLOOKUP(G83,Table!$B$38:$AO$61,Table!$AO$35-1,FALSE),"")</f>
        <v/>
      </c>
      <c r="E83" s="816"/>
      <c r="F83" s="816" t="str">
        <f>IF(I83="","",IF(I83=Table!$C$1,VLOOKUP(G83,Table!$B$9:$AE$32,Table!$AE$6-1,FALSE),""))</f>
        <v/>
      </c>
      <c r="G83" s="230"/>
      <c r="H83" s="230"/>
      <c r="I83" s="230"/>
      <c r="J83" s="428"/>
      <c r="K83" s="428"/>
      <c r="L83" s="816" t="str">
        <f t="shared" si="79"/>
        <v/>
      </c>
      <c r="M83" s="816" t="str">
        <f t="shared" si="80"/>
        <v/>
      </c>
      <c r="N83" s="816" t="str">
        <f t="shared" si="81"/>
        <v/>
      </c>
      <c r="R83" s="816" t="str">
        <f t="shared" si="82"/>
        <v/>
      </c>
      <c r="T83" s="829" t="str">
        <f t="shared" si="83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IF($J83="","",IF(SUM(IF(ISNUMBER(VALUE(RIGHT($AG83:$CK83,1))),VALUE(RIGHT($AG83:$CK83,1)),0))=$J83,"T","F"))</f>
        <v/>
      </c>
      <c r="AE83" s="831" t="str">
        <f t="array" ref="AE83">IF($J83="","",SUM(IF(LEFT($AG83:$DW83,1)="s",1,0))-SUM(IF(RIGHT(LEFT($AG83:$DW83,2))="-",1,0)))</f>
        <v/>
      </c>
      <c r="AF83" s="816" t="str">
        <f t="array" ref="AF83">IF($J83="","",SUM(IF(LEFT($AG83:$DC83,1)="X",1,0)))</f>
        <v/>
      </c>
      <c r="AG83" s="897"/>
      <c r="AH83" s="897"/>
      <c r="AI83" s="897"/>
      <c r="AJ83" s="893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3"/>
      <c r="BA83" s="893"/>
      <c r="BB83" s="893"/>
      <c r="BC83" s="897"/>
      <c r="BD83" s="897"/>
      <c r="BE83" s="897"/>
      <c r="BF83" s="893"/>
      <c r="BG83" s="897"/>
      <c r="BH83" s="897"/>
      <c r="BI83" s="897"/>
      <c r="BJ83" s="897"/>
      <c r="BK83" s="897"/>
      <c r="BL83" s="897"/>
      <c r="BM83" s="897"/>
      <c r="BN83" s="897"/>
      <c r="BO83" s="897"/>
      <c r="BP83" s="897"/>
      <c r="BQ83" s="897"/>
      <c r="BR83" s="897"/>
      <c r="BS83" s="893"/>
      <c r="BT83" s="893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</row>
    <row r="84" spans="1:84" ht="15">
      <c r="A84" s="844"/>
      <c r="D84" s="816" t="str">
        <f>IF(I84=Table!$C$1,VLOOKUP(G84,Table!$B$38:$AO$61,Table!$AO$35-1,FALSE),"")</f>
        <v/>
      </c>
      <c r="E84" s="816"/>
      <c r="F84" s="816" t="str">
        <f>IF(I84="","",IF(I84=Table!$C$1,VLOOKUP(G84,Table!$B$9:$AE$32,Table!$AE$6-1,FALSE),""))</f>
        <v/>
      </c>
      <c r="G84" s="230"/>
      <c r="H84" s="230"/>
      <c r="I84" s="230"/>
      <c r="J84" s="428"/>
      <c r="K84" s="428"/>
      <c r="L84" s="816" t="str">
        <f t="shared" si="79"/>
        <v/>
      </c>
      <c r="M84" s="816" t="str">
        <f t="shared" si="80"/>
        <v/>
      </c>
      <c r="N84" s="816" t="str">
        <f t="shared" si="81"/>
        <v/>
      </c>
      <c r="R84" s="816" t="str">
        <f t="shared" si="82"/>
        <v/>
      </c>
      <c r="T84" s="829" t="str">
        <f t="shared" si="83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IF($J84="","",IF(SUM(IF(ISNUMBER(VALUE(RIGHT($AG84:$CK84,1))),VALUE(RIGHT($AG84:$CK84,1)),0))=$J84,"T","F"))</f>
        <v/>
      </c>
      <c r="AE84" s="831" t="str">
        <f t="array" ref="AE84">IF($J84="","",SUM(IF(LEFT($AG84:$DW84,1)="s",1,0))-SUM(IF(RIGHT(LEFT($AG84:$DW84,2))="-",1,0)))</f>
        <v/>
      </c>
      <c r="AF84" s="816" t="str">
        <f t="array" ref="AF84">IF($J84="","",SUM(IF(LEFT($AG84:$DC84,1)="X",1,0)))</f>
        <v/>
      </c>
      <c r="AG84" s="897"/>
      <c r="AH84" s="897"/>
      <c r="AI84" s="897"/>
      <c r="AJ84" s="893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3"/>
      <c r="BA84" s="893"/>
      <c r="BB84" s="893"/>
      <c r="BC84" s="897"/>
      <c r="BD84" s="897"/>
      <c r="BE84" s="897"/>
      <c r="BF84" s="893"/>
      <c r="BG84" s="897"/>
      <c r="BH84" s="897"/>
      <c r="BI84" s="897"/>
      <c r="BJ84" s="897"/>
      <c r="BK84" s="897"/>
      <c r="BL84" s="897"/>
      <c r="BM84" s="897"/>
      <c r="BN84" s="897"/>
      <c r="BO84" s="897"/>
      <c r="BP84" s="897"/>
      <c r="BQ84" s="897"/>
      <c r="BR84" s="897"/>
      <c r="BS84" s="893"/>
      <c r="BT84" s="893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</row>
    <row r="85" spans="1:84" ht="15">
      <c r="A85" s="844"/>
      <c r="D85" s="816" t="str">
        <f>IF(I85=Table!$C$1,VLOOKUP(G85,Table!$B$38:$AO$61,Table!$AO$35-1,FALSE),"")</f>
        <v/>
      </c>
      <c r="E85" s="816"/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79"/>
        <v/>
      </c>
      <c r="M85" s="816" t="str">
        <f t="shared" si="80"/>
        <v/>
      </c>
      <c r="N85" s="816" t="str">
        <f t="shared" si="81"/>
        <v/>
      </c>
      <c r="R85" s="816" t="str">
        <f t="shared" si="82"/>
        <v/>
      </c>
      <c r="T85" s="829" t="str">
        <f t="shared" si="83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IF($J85="","",IF(SUM(IF(ISNUMBER(VALUE(RIGHT($AG85:$CK85,1))),VALUE(RIGHT($AG85:$CK85,1)),0))=$J85,"T","F"))</f>
        <v/>
      </c>
      <c r="AE85" s="831" t="str">
        <f t="array" ref="AE85">IF($J85="","",SUM(IF(LEFT($AG85:$DW85,1)="s",1,0))-SUM(IF(RIGHT(LEFT($AG85:$DW85,2))="-",1,0)))</f>
        <v/>
      </c>
      <c r="AF85" s="816" t="str">
        <f t="array" ref="AF85">IF($J85="","",SUM(IF(LEFT($AG85:$DC85,1)="X",1,0)))</f>
        <v/>
      </c>
      <c r="AG85" s="897"/>
      <c r="AH85" s="897"/>
      <c r="AI85" s="897"/>
      <c r="AJ85" s="893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3"/>
      <c r="BA85" s="893"/>
      <c r="BB85" s="893"/>
      <c r="BC85" s="897"/>
      <c r="BD85" s="897"/>
      <c r="BE85" s="897"/>
      <c r="BF85" s="893"/>
      <c r="BG85" s="897"/>
      <c r="BH85" s="897"/>
      <c r="BI85" s="897"/>
      <c r="BJ85" s="897"/>
      <c r="BK85" s="897"/>
      <c r="BL85" s="897"/>
      <c r="BM85" s="897"/>
      <c r="BN85" s="897"/>
      <c r="BO85" s="897"/>
      <c r="BP85" s="897"/>
      <c r="BQ85" s="897"/>
      <c r="BR85" s="897"/>
      <c r="BS85" s="893"/>
      <c r="BT85" s="893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</row>
    <row r="86" spans="1:84" ht="15">
      <c r="A86" s="844"/>
      <c r="D86" s="816" t="str">
        <f>IF(I86=Table!$C$1,VLOOKUP(G86,Table!$B$38:$AO$61,Table!$AO$35-1,FALSE),"")</f>
        <v/>
      </c>
      <c r="E86" s="816"/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79"/>
        <v/>
      </c>
      <c r="M86" s="816" t="str">
        <f t="shared" si="80"/>
        <v/>
      </c>
      <c r="N86" s="816" t="str">
        <f t="shared" si="81"/>
        <v/>
      </c>
      <c r="R86" s="816" t="str">
        <f t="shared" si="82"/>
        <v/>
      </c>
      <c r="T86" s="829" t="str">
        <f t="shared" si="83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IF($J86="","",IF(SUM(IF(ISNUMBER(VALUE(RIGHT($AG86:$CK86,1))),VALUE(RIGHT($AG86:$CK86,1)),0))=$J86,"T","F"))</f>
        <v/>
      </c>
      <c r="AE86" s="831" t="str">
        <f t="array" ref="AE86">IF($J86="","",SUM(IF(LEFT($AG86:$DW86,1)="s",1,0))-SUM(IF(RIGHT(LEFT($AG86:$DW86,2))="-",1,0)))</f>
        <v/>
      </c>
      <c r="AF86" s="816" t="str">
        <f t="array" ref="AF86">IF($J86="","",SUM(IF(LEFT($AG86:$DC86,1)="X",1,0)))</f>
        <v/>
      </c>
      <c r="AG86" s="897"/>
      <c r="AH86" s="897"/>
      <c r="AI86" s="897"/>
      <c r="AJ86" s="893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3"/>
      <c r="BA86" s="893"/>
      <c r="BB86" s="893"/>
      <c r="BC86" s="897"/>
      <c r="BD86" s="897"/>
      <c r="BE86" s="897"/>
      <c r="BF86" s="893"/>
      <c r="BG86" s="897"/>
      <c r="BH86" s="897"/>
      <c r="BI86" s="897"/>
      <c r="BJ86" s="897"/>
      <c r="BK86" s="897"/>
      <c r="BL86" s="897"/>
      <c r="BM86" s="897"/>
      <c r="BN86" s="897"/>
      <c r="BO86" s="897"/>
      <c r="BP86" s="897"/>
      <c r="BQ86" s="897"/>
      <c r="BR86" s="897"/>
      <c r="BS86" s="893"/>
      <c r="BT86" s="893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</row>
    <row r="87" spans="1:84" ht="15">
      <c r="A87" s="844"/>
      <c r="D87" s="816" t="str">
        <f>IF(I87=Table!$C$1,VLOOKUP(G87,Table!$B$38:$AO$61,Table!$AO$35-1,FALSE),"")</f>
        <v/>
      </c>
      <c r="E87" s="816"/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79"/>
        <v/>
      </c>
      <c r="M87" s="816" t="str">
        <f t="shared" si="80"/>
        <v/>
      </c>
      <c r="N87" s="816" t="str">
        <f t="shared" si="81"/>
        <v/>
      </c>
      <c r="R87" s="816" t="str">
        <f t="shared" si="82"/>
        <v/>
      </c>
      <c r="T87" s="829" t="str">
        <f t="shared" si="83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IF($J87="","",IF(SUM(IF(ISNUMBER(VALUE(RIGHT($AG87:$CK87,1))),VALUE(RIGHT($AG87:$CK87,1)),0))=$J87,"T","F"))</f>
        <v/>
      </c>
      <c r="AE87" s="831" t="str">
        <f t="array" ref="AE87">IF($J87="","",SUM(IF(LEFT($AG87:$DW87,1)="s",1,0))-SUM(IF(RIGHT(LEFT($AG87:$DW87,2))="-",1,0)))</f>
        <v/>
      </c>
      <c r="AF87" s="816" t="str">
        <f t="array" ref="AF87">IF($J87="","",SUM(IF(LEFT($AG87:$DC87,1)="X",1,0)))</f>
        <v/>
      </c>
      <c r="AG87" s="897"/>
      <c r="AH87" s="897"/>
      <c r="AI87" s="897"/>
      <c r="AJ87" s="893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3"/>
      <c r="BA87" s="893"/>
      <c r="BB87" s="893"/>
      <c r="BC87" s="897"/>
      <c r="BD87" s="897"/>
      <c r="BE87" s="897"/>
      <c r="BF87" s="893"/>
      <c r="BG87" s="897"/>
      <c r="BH87" s="897"/>
      <c r="BI87" s="897"/>
      <c r="BJ87" s="897"/>
      <c r="BK87" s="897"/>
      <c r="BL87" s="897"/>
      <c r="BM87" s="897"/>
      <c r="BN87" s="897"/>
      <c r="BO87" s="897"/>
      <c r="BP87" s="897"/>
      <c r="BQ87" s="897"/>
      <c r="BR87" s="897"/>
      <c r="BS87" s="893"/>
      <c r="BT87" s="893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</row>
    <row r="88" spans="1:84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230"/>
      <c r="H88" s="230"/>
      <c r="I88" s="230"/>
      <c r="J88" s="230"/>
      <c r="K88" s="230"/>
      <c r="L88" s="816" t="str">
        <f t="shared" si="79"/>
        <v/>
      </c>
      <c r="M88" s="816" t="str">
        <f t="shared" si="80"/>
        <v/>
      </c>
      <c r="N88" s="816" t="str">
        <f t="shared" si="81"/>
        <v/>
      </c>
      <c r="R88" s="816" t="str">
        <f t="shared" si="82"/>
        <v/>
      </c>
      <c r="T88" s="829" t="str">
        <f t="shared" si="83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IF($J88="","",IF(SUM(IF(ISNUMBER(VALUE(RIGHT($AG88:$CK88,1))),VALUE(RIGHT($AG88:$CK88,1)),0))=$J88,"T","F"))</f>
        <v/>
      </c>
      <c r="AE88" s="831" t="str">
        <f t="array" ref="AE88">IF($J88="","",SUM(IF(LEFT($AG88:$DW88,1)="s",1,0))-SUM(IF(RIGHT(LEFT($AG88:$DW88,2))="-",1,0)))</f>
        <v/>
      </c>
      <c r="AF88" s="816" t="str">
        <f t="array" ref="AF88">IF($J88="","",SUM(IF(LEFT($AG88:$DC88,1)="X",1,0)))</f>
        <v/>
      </c>
      <c r="AG88" s="897"/>
      <c r="AH88" s="897"/>
      <c r="AI88" s="897"/>
      <c r="AJ88" s="893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3"/>
      <c r="BA88" s="893"/>
      <c r="BB88" s="893"/>
      <c r="BC88" s="897"/>
      <c r="BD88" s="897"/>
      <c r="BE88" s="897"/>
      <c r="BF88" s="893"/>
      <c r="BG88" s="897"/>
      <c r="BH88" s="897"/>
      <c r="BI88" s="897"/>
      <c r="BJ88" s="897"/>
      <c r="BK88" s="897"/>
      <c r="BL88" s="897"/>
      <c r="BM88" s="897"/>
      <c r="BN88" s="897"/>
      <c r="BO88" s="897"/>
      <c r="BP88" s="897"/>
      <c r="BQ88" s="897"/>
      <c r="BR88" s="897"/>
      <c r="BS88" s="893"/>
      <c r="BT88" s="893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</row>
    <row r="89" spans="1:84" ht="15">
      <c r="A89" s="844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230"/>
      <c r="H89" s="230"/>
      <c r="I89" s="230"/>
      <c r="J89" s="230"/>
      <c r="K89" s="230"/>
      <c r="L89" s="816" t="str">
        <f t="shared" si="79"/>
        <v/>
      </c>
      <c r="M89" s="816" t="str">
        <f t="shared" si="80"/>
        <v/>
      </c>
      <c r="N89" s="816" t="str">
        <f t="shared" si="81"/>
        <v/>
      </c>
      <c r="R89" s="816" t="str">
        <f t="shared" si="82"/>
        <v/>
      </c>
      <c r="T89" s="829" t="str">
        <f t="shared" si="83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IF($J89="","",IF(SUM(IF(ISNUMBER(VALUE(RIGHT($AG89:$CK89,1))),VALUE(RIGHT($AG89:$CK89,1)),0))=$J89,"T","F"))</f>
        <v/>
      </c>
      <c r="AE89" s="831" t="str">
        <f t="array" ref="AE89">IF($J89="","",SUM(IF(LEFT($AG89:$DW89,1)="s",1,0))-SUM(IF(RIGHT(LEFT($AG89:$DW89,2))="-",1,0)))</f>
        <v/>
      </c>
      <c r="AF89" s="816" t="str">
        <f t="array" ref="AF89">IF($J89="","",SUM(IF(LEFT($AG89:$DC89,1)="X",1,0)))</f>
        <v/>
      </c>
      <c r="AG89" s="897"/>
      <c r="AH89" s="897"/>
      <c r="AI89" s="897"/>
      <c r="AJ89" s="893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3"/>
      <c r="BA89" s="893"/>
      <c r="BB89" s="893"/>
      <c r="BC89" s="897"/>
      <c r="BD89" s="897"/>
      <c r="BE89" s="897"/>
      <c r="BF89" s="893"/>
      <c r="BG89" s="897"/>
      <c r="BH89" s="897"/>
      <c r="BI89" s="897"/>
      <c r="BJ89" s="897"/>
      <c r="BK89" s="897"/>
      <c r="BL89" s="897"/>
      <c r="BM89" s="897"/>
      <c r="BN89" s="897"/>
      <c r="BO89" s="897"/>
      <c r="BP89" s="897"/>
      <c r="BQ89" s="897"/>
      <c r="BR89" s="897"/>
      <c r="BS89" s="893"/>
      <c r="BT89" s="893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</row>
    <row r="90" spans="1:84" ht="15">
      <c r="A90" s="844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230"/>
      <c r="H90" s="230"/>
      <c r="I90" s="230"/>
      <c r="J90" s="230"/>
      <c r="K90" s="230"/>
      <c r="L90" s="816" t="str">
        <f t="shared" si="79"/>
        <v/>
      </c>
      <c r="M90" s="816" t="str">
        <f t="shared" si="80"/>
        <v/>
      </c>
      <c r="N90" s="816" t="str">
        <f t="shared" si="81"/>
        <v/>
      </c>
      <c r="R90" s="816" t="str">
        <f t="shared" si="82"/>
        <v/>
      </c>
      <c r="T90" s="829" t="str">
        <f t="shared" si="83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IF($J90="","",IF(SUM(IF(ISNUMBER(VALUE(RIGHT($AG90:$CK90,1))),VALUE(RIGHT($AG90:$CK90,1)),0))=$J90,"T","F"))</f>
        <v/>
      </c>
      <c r="AE90" s="831" t="str">
        <f t="array" ref="AE90">IF($J90="","",SUM(IF(LEFT($AG90:$DW90,1)="s",1,0))-SUM(IF(RIGHT(LEFT($AG90:$DW90,2))="-",1,0)))</f>
        <v/>
      </c>
      <c r="AF90" s="816" t="str">
        <f t="array" ref="AF90">IF($J90="","",SUM(IF(LEFT($AG90:$DC90,1)="X",1,0)))</f>
        <v/>
      </c>
      <c r="AG90" s="897"/>
      <c r="AH90" s="897"/>
      <c r="AI90" s="897"/>
      <c r="AJ90" s="893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3"/>
      <c r="BA90" s="893"/>
      <c r="BB90" s="893"/>
      <c r="BC90" s="897"/>
      <c r="BD90" s="897"/>
      <c r="BE90" s="897"/>
      <c r="BF90" s="893"/>
      <c r="BG90" s="897"/>
      <c r="BH90" s="897"/>
      <c r="BI90" s="897"/>
      <c r="BJ90" s="897"/>
      <c r="BK90" s="897"/>
      <c r="BL90" s="897"/>
      <c r="BM90" s="897"/>
      <c r="BN90" s="897"/>
      <c r="BO90" s="897"/>
      <c r="BP90" s="897"/>
      <c r="BQ90" s="897"/>
      <c r="BR90" s="897"/>
      <c r="BS90" s="893"/>
      <c r="BT90" s="893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</row>
    <row r="91" spans="1:84" ht="15">
      <c r="A91" s="844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230"/>
      <c r="H91" s="230"/>
      <c r="I91" s="230"/>
      <c r="J91" s="230"/>
      <c r="K91" s="230"/>
      <c r="L91" s="816" t="str">
        <f t="shared" si="79"/>
        <v/>
      </c>
      <c r="M91" s="816" t="str">
        <f t="shared" si="80"/>
        <v/>
      </c>
      <c r="N91" s="816" t="str">
        <f t="shared" si="81"/>
        <v/>
      </c>
      <c r="R91" s="816" t="str">
        <f t="shared" si="82"/>
        <v/>
      </c>
      <c r="T91" s="829" t="str">
        <f t="shared" si="83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IF($J91="","",IF(SUM(IF(ISNUMBER(VALUE(RIGHT($AG91:$CK91,1))),VALUE(RIGHT($AG91:$CK91,1)),0))=$J91,"T","F"))</f>
        <v/>
      </c>
      <c r="AE91" s="831" t="str">
        <f t="array" ref="AE91">IF($J91="","",SUM(IF(LEFT($AG91:$DW91,1)="s",1,0))-SUM(IF(RIGHT(LEFT($AG91:$DW91,2))="-",1,0)))</f>
        <v/>
      </c>
      <c r="AF91" s="816" t="str">
        <f t="array" ref="AF91">IF($J91="","",SUM(IF(LEFT($AG91:$DC91,1)="X",1,0)))</f>
        <v/>
      </c>
      <c r="AG91" s="897"/>
      <c r="AH91" s="897"/>
      <c r="AI91" s="897"/>
      <c r="AJ91" s="893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3"/>
      <c r="BA91" s="893"/>
      <c r="BB91" s="893"/>
      <c r="BC91" s="897"/>
      <c r="BD91" s="897"/>
      <c r="BE91" s="897"/>
      <c r="BF91" s="893"/>
      <c r="BG91" s="897"/>
      <c r="BH91" s="897"/>
      <c r="BI91" s="897"/>
      <c r="BJ91" s="897"/>
      <c r="BK91" s="897"/>
      <c r="BL91" s="897"/>
      <c r="BM91" s="897"/>
      <c r="BN91" s="897"/>
      <c r="BO91" s="897"/>
      <c r="BP91" s="897"/>
      <c r="BQ91" s="897"/>
      <c r="BR91" s="897"/>
      <c r="BS91" s="893"/>
      <c r="BT91" s="893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</row>
    <row r="92" spans="1:84" ht="15">
      <c r="A92" s="844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230"/>
      <c r="H92" s="230"/>
      <c r="I92" s="230"/>
      <c r="J92" s="230"/>
      <c r="K92" s="230"/>
      <c r="L92" s="816" t="str">
        <f t="shared" si="79"/>
        <v/>
      </c>
      <c r="M92" s="816" t="str">
        <f t="shared" si="80"/>
        <v/>
      </c>
      <c r="N92" s="816" t="str">
        <f t="shared" si="81"/>
        <v/>
      </c>
      <c r="R92" s="816" t="str">
        <f t="shared" si="82"/>
        <v/>
      </c>
      <c r="T92" s="829" t="str">
        <f t="shared" si="83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IF($J92="","",IF(SUM(IF(ISNUMBER(VALUE(RIGHT($AG92:$CK92,1))),VALUE(RIGHT($AG92:$CK92,1)),0))=$J92,"T","F"))</f>
        <v/>
      </c>
      <c r="AE92" s="831" t="str">
        <f t="array" ref="AE92">IF($J92="","",SUM(IF(LEFT($AG92:$DW92,1)="s",1,0))-SUM(IF(RIGHT(LEFT($AG92:$DW92,2))="-",1,0)))</f>
        <v/>
      </c>
      <c r="AF92" s="816" t="str">
        <f t="array" ref="AF92">IF($J92="","",SUM(IF(LEFT($AG92:$DC92,1)="X",1,0)))</f>
        <v/>
      </c>
      <c r="AG92" s="897"/>
      <c r="AH92" s="897"/>
      <c r="AI92" s="897"/>
      <c r="AJ92" s="893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3"/>
      <c r="BA92" s="893"/>
      <c r="BB92" s="893"/>
      <c r="BC92" s="897"/>
      <c r="BD92" s="897"/>
      <c r="BE92" s="897"/>
      <c r="BF92" s="893"/>
      <c r="BG92" s="897"/>
      <c r="BH92" s="897"/>
      <c r="BI92" s="897"/>
      <c r="BJ92" s="897"/>
      <c r="BK92" s="897"/>
      <c r="BL92" s="897"/>
      <c r="BM92" s="897"/>
      <c r="BN92" s="897"/>
      <c r="BO92" s="897"/>
      <c r="BP92" s="897"/>
      <c r="BQ92" s="897"/>
      <c r="BR92" s="897"/>
      <c r="BS92" s="893"/>
      <c r="BT92" s="893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</row>
    <row r="93" spans="1:84" ht="15">
      <c r="A93" s="844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787"/>
      <c r="H93" s="833"/>
      <c r="I93" s="833"/>
      <c r="J93" s="833"/>
      <c r="K93" s="833"/>
      <c r="L93" s="816" t="str">
        <f t="shared" si="79"/>
        <v/>
      </c>
      <c r="M93" s="816" t="str">
        <f t="shared" si="80"/>
        <v/>
      </c>
      <c r="N93" s="816" t="str">
        <f t="shared" si="81"/>
        <v/>
      </c>
      <c r="R93" s="816" t="str">
        <f t="shared" si="82"/>
        <v/>
      </c>
      <c r="T93" s="829" t="str">
        <f t="shared" si="83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IF($J93="","",IF(SUM(IF(ISNUMBER(VALUE(RIGHT($AG93:$CK93,1))),VALUE(RIGHT($AG93:$CK93,1)),0))=$J93,"T","F"))</f>
        <v/>
      </c>
      <c r="AE93" s="831" t="str">
        <f t="array" ref="AE93">IF($J93="","",SUM(IF(LEFT($AG93:$DW93,1)="s",1,0))-SUM(IF(RIGHT(LEFT($AG93:$DW93,2))="-",1,0)))</f>
        <v/>
      </c>
      <c r="AF93" s="816" t="str">
        <f t="array" ref="AF93">IF($J93="","",SUM(IF(LEFT($AG93:$DC93,1)="X",1,0)))</f>
        <v/>
      </c>
      <c r="AG93" s="897"/>
      <c r="AH93" s="897"/>
      <c r="AI93" s="897"/>
      <c r="AJ93" s="893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3"/>
      <c r="BA93" s="893"/>
      <c r="BB93" s="893"/>
      <c r="BC93" s="897"/>
      <c r="BD93" s="897"/>
      <c r="BE93" s="897"/>
      <c r="BF93" s="893"/>
      <c r="BG93" s="897"/>
      <c r="BH93" s="897"/>
      <c r="BI93" s="897"/>
      <c r="BJ93" s="897"/>
      <c r="BK93" s="897"/>
      <c r="BL93" s="897"/>
      <c r="BM93" s="897"/>
      <c r="BN93" s="897"/>
      <c r="BO93" s="897"/>
      <c r="BP93" s="897"/>
      <c r="BQ93" s="897"/>
      <c r="BR93" s="897"/>
      <c r="BS93" s="893"/>
      <c r="BT93" s="893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</row>
    <row r="94" spans="1:84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79"/>
        <v/>
      </c>
      <c r="M94" s="816" t="str">
        <f t="shared" si="80"/>
        <v/>
      </c>
      <c r="N94" s="816" t="str">
        <f t="shared" si="81"/>
        <v/>
      </c>
      <c r="R94" s="816" t="str">
        <f t="shared" si="82"/>
        <v/>
      </c>
      <c r="T94" s="829" t="str">
        <f t="shared" si="83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IF($J94="","",IF(SUM(IF(ISNUMBER(VALUE(RIGHT($AG94:$CK94,1))),VALUE(RIGHT($AG94:$CK94,1)),0))=$J94,"T","F"))</f>
        <v/>
      </c>
      <c r="AE94" s="831" t="str">
        <f t="array" ref="AE94">IF($J94="","",SUM(IF(LEFT($AG94:$DW94,1)="s",1,0))-SUM(IF(RIGHT(LEFT($AG94:$DW94,2))="-",1,0)))</f>
        <v/>
      </c>
      <c r="AF94" s="816" t="str">
        <f t="array" ref="AF94">IF($J94="","",SUM(IF(LEFT($AG94:$DC94,1)="X",1,0)))</f>
        <v/>
      </c>
      <c r="AG94" s="897"/>
      <c r="AH94" s="897"/>
      <c r="AI94" s="897"/>
      <c r="AJ94" s="893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3"/>
      <c r="BA94" s="893"/>
      <c r="BB94" s="893"/>
      <c r="BC94" s="897"/>
      <c r="BD94" s="897"/>
      <c r="BE94" s="897"/>
      <c r="BF94" s="893"/>
      <c r="BG94" s="897"/>
      <c r="BH94" s="897"/>
      <c r="BI94" s="897"/>
      <c r="BJ94" s="897"/>
      <c r="BK94" s="897"/>
      <c r="BL94" s="897"/>
      <c r="BM94" s="897"/>
      <c r="BN94" s="897"/>
      <c r="BO94" s="897"/>
      <c r="BP94" s="897"/>
      <c r="BQ94" s="897"/>
      <c r="BR94" s="897"/>
      <c r="BS94" s="893"/>
      <c r="BT94" s="893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</row>
    <row r="95" spans="1:84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79"/>
        <v/>
      </c>
      <c r="M95" s="816" t="str">
        <f t="shared" si="80"/>
        <v/>
      </c>
      <c r="N95" s="816" t="str">
        <f t="shared" si="81"/>
        <v/>
      </c>
      <c r="R95" s="816" t="str">
        <f t="shared" si="82"/>
        <v/>
      </c>
      <c r="T95" s="829" t="str">
        <f t="shared" si="83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IF($J95="","",IF(SUM(IF(ISNUMBER(VALUE(RIGHT($AG95:$CK95,1))),VALUE(RIGHT($AG95:$CK95,1)),0))=$J95,"T","F"))</f>
        <v/>
      </c>
      <c r="AE95" s="831" t="str">
        <f t="array" ref="AE95">IF($J95="","",SUM(IF(LEFT($AG95:$DW95,1)="s",1,0))-SUM(IF(RIGHT(LEFT($AG95:$DW95,2))="-",1,0)))</f>
        <v/>
      </c>
      <c r="AF95" s="816" t="str">
        <f t="array" ref="AF95">IF($J95="","",SUM(IF(LEFT($AG95:$DC95,1)="X",1,0)))</f>
        <v/>
      </c>
      <c r="AG95" s="897"/>
      <c r="AH95" s="897"/>
      <c r="AI95" s="897"/>
      <c r="AJ95" s="893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3"/>
      <c r="BA95" s="893"/>
      <c r="BB95" s="893"/>
      <c r="BC95" s="897"/>
      <c r="BD95" s="897"/>
      <c r="BE95" s="897"/>
      <c r="BF95" s="893"/>
      <c r="BG95" s="897"/>
      <c r="BH95" s="897"/>
      <c r="BI95" s="897"/>
      <c r="BJ95" s="897"/>
      <c r="BK95" s="897"/>
      <c r="BL95" s="897"/>
      <c r="BM95" s="897"/>
      <c r="BN95" s="897"/>
      <c r="BO95" s="897"/>
      <c r="BP95" s="897"/>
      <c r="BQ95" s="897"/>
      <c r="BR95" s="897"/>
      <c r="BS95" s="893"/>
      <c r="BT95" s="893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</row>
    <row r="96" spans="1:84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79"/>
        <v/>
      </c>
      <c r="M96" s="816" t="str">
        <f t="shared" si="80"/>
        <v/>
      </c>
      <c r="N96" s="816" t="str">
        <f t="shared" si="81"/>
        <v/>
      </c>
      <c r="R96" s="816" t="str">
        <f t="shared" si="82"/>
        <v/>
      </c>
      <c r="T96" s="829" t="str">
        <f t="shared" si="83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IF($J96="","",IF(SUM(IF(ISNUMBER(VALUE(RIGHT($AG96:$CK96,1))),VALUE(RIGHT($AG96:$CK96,1)),0))=$J96,"T","F"))</f>
        <v/>
      </c>
      <c r="AE96" s="831" t="str">
        <f t="array" ref="AE96">IF($J96="","",SUM(IF(LEFT($AG96:$DW96,1)="s",1,0))-SUM(IF(RIGHT(LEFT($AG96:$DW96,2))="-",1,0)))</f>
        <v/>
      </c>
      <c r="AF96" s="816" t="str">
        <f t="array" ref="AF96">IF($J96="","",SUM(IF(LEFT($AG96:$DC96,1)="X",1,0)))</f>
        <v/>
      </c>
      <c r="AG96" s="897"/>
      <c r="AH96" s="897"/>
      <c r="AI96" s="897"/>
      <c r="AJ96" s="893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3"/>
      <c r="BA96" s="893"/>
      <c r="BB96" s="893"/>
      <c r="BC96" s="897"/>
      <c r="BD96" s="897"/>
      <c r="BE96" s="897"/>
      <c r="BF96" s="893"/>
      <c r="BG96" s="897"/>
      <c r="BH96" s="897"/>
      <c r="BI96" s="897"/>
      <c r="BJ96" s="897"/>
      <c r="BK96" s="897"/>
      <c r="BL96" s="897"/>
      <c r="BM96" s="897"/>
      <c r="BN96" s="897"/>
      <c r="BO96" s="897"/>
      <c r="BP96" s="897"/>
      <c r="BQ96" s="897"/>
      <c r="BR96" s="897"/>
      <c r="BS96" s="893"/>
      <c r="BT96" s="893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</row>
    <row r="97" spans="1:84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79"/>
        <v/>
      </c>
      <c r="M97" s="816" t="str">
        <f t="shared" si="80"/>
        <v/>
      </c>
      <c r="N97" s="816" t="str">
        <f t="shared" si="81"/>
        <v/>
      </c>
      <c r="R97" s="816" t="str">
        <f t="shared" si="82"/>
        <v/>
      </c>
      <c r="T97" s="829" t="str">
        <f t="shared" si="83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IF($J97="","",IF(SUM(IF(ISNUMBER(VALUE(RIGHT($AG97:$CK97,1))),VALUE(RIGHT($AG97:$CK97,1)),0))=$J97,"T","F"))</f>
        <v/>
      </c>
      <c r="AE97" s="831" t="str">
        <f t="array" ref="AE97">IF($J97="","",SUM(IF(LEFT($AG97:$DW97,1)="s",1,0))-SUM(IF(RIGHT(LEFT($AG97:$DW97,2))="-",1,0)))</f>
        <v/>
      </c>
      <c r="AF97" s="816" t="str">
        <f t="array" ref="AF97">IF($J97="","",SUM(IF(LEFT($AG97:$DC97,1)="X",1,0)))</f>
        <v/>
      </c>
      <c r="AG97" s="897"/>
      <c r="AH97" s="897"/>
      <c r="AI97" s="897"/>
      <c r="AJ97" s="893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3"/>
      <c r="BA97" s="893"/>
      <c r="BB97" s="893"/>
      <c r="BC97" s="897"/>
      <c r="BD97" s="897"/>
      <c r="BE97" s="897"/>
      <c r="BF97" s="893"/>
      <c r="BG97" s="897"/>
      <c r="BH97" s="897"/>
      <c r="BI97" s="897"/>
      <c r="BJ97" s="897"/>
      <c r="BK97" s="897"/>
      <c r="BL97" s="897"/>
      <c r="BM97" s="897"/>
      <c r="BN97" s="897"/>
      <c r="BO97" s="897"/>
      <c r="BP97" s="897"/>
      <c r="BQ97" s="897"/>
      <c r="BR97" s="897"/>
      <c r="BS97" s="893"/>
      <c r="BT97" s="893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</row>
    <row r="98" spans="1:84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79"/>
        <v/>
      </c>
      <c r="M98" s="816" t="str">
        <f t="shared" si="80"/>
        <v/>
      </c>
      <c r="N98" s="816" t="str">
        <f t="shared" si="81"/>
        <v/>
      </c>
      <c r="R98" s="816" t="str">
        <f t="shared" si="82"/>
        <v/>
      </c>
      <c r="T98" s="829" t="str">
        <f t="shared" si="83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IF($J98="","",IF(SUM(IF(ISNUMBER(VALUE(RIGHT($AG98:$CK98,1))),VALUE(RIGHT($AG98:$CK98,1)),0))=$J98,"T","F"))</f>
        <v/>
      </c>
      <c r="AE98" s="831" t="str">
        <f t="array" ref="AE98">IF($J98="","",SUM(IF(LEFT($AG98:$DW98,1)="s",1,0))-SUM(IF(RIGHT(LEFT($AG98:$DW98,2))="-",1,0)))</f>
        <v/>
      </c>
      <c r="AF98" s="816" t="str">
        <f t="array" ref="AF98">IF($J98="","",SUM(IF(LEFT($AG98:$DC98,1)="X",1,0)))</f>
        <v/>
      </c>
      <c r="AG98" s="897"/>
      <c r="AH98" s="897"/>
      <c r="AI98" s="897"/>
      <c r="AJ98" s="893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3"/>
      <c r="BA98" s="893"/>
      <c r="BB98" s="893"/>
      <c r="BC98" s="897"/>
      <c r="BD98" s="897"/>
      <c r="BE98" s="897"/>
      <c r="BF98" s="893"/>
      <c r="BG98" s="897"/>
      <c r="BH98" s="897"/>
      <c r="BI98" s="897"/>
      <c r="BJ98" s="897"/>
      <c r="BK98" s="897"/>
      <c r="BL98" s="897"/>
      <c r="BM98" s="897"/>
      <c r="BN98" s="897"/>
      <c r="BO98" s="897"/>
      <c r="BP98" s="897"/>
      <c r="BQ98" s="897"/>
      <c r="BR98" s="897"/>
      <c r="BS98" s="893"/>
      <c r="BT98" s="893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</row>
    <row r="99" spans="1:84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79"/>
        <v/>
      </c>
      <c r="M99" s="816" t="str">
        <f t="shared" si="80"/>
        <v/>
      </c>
      <c r="N99" s="816" t="str">
        <f t="shared" si="81"/>
        <v/>
      </c>
      <c r="R99" s="816" t="str">
        <f t="shared" si="82"/>
        <v/>
      </c>
      <c r="T99" s="829" t="str">
        <f t="shared" si="83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IF($J99="","",IF(SUM(IF(ISNUMBER(VALUE(RIGHT($AG99:$CK99,1))),VALUE(RIGHT($AG99:$CK99,1)),0))=$J99,"T","F"))</f>
        <v/>
      </c>
      <c r="AE99" s="831" t="str">
        <f t="array" ref="AE99">IF($J99="","",SUM(IF(LEFT($AG99:$DW99,1)="s",1,0))-SUM(IF(RIGHT(LEFT($AG99:$DW99,2))="-",1,0)))</f>
        <v/>
      </c>
      <c r="AF99" s="816" t="str">
        <f t="array" ref="AF99">IF($J99="","",SUM(IF(LEFT($AG99:$DC99,1)="X",1,0)))</f>
        <v/>
      </c>
      <c r="AG99" s="897"/>
      <c r="AH99" s="897"/>
      <c r="AI99" s="897"/>
      <c r="AJ99" s="893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3"/>
      <c r="BA99" s="893"/>
      <c r="BB99" s="893"/>
      <c r="BC99" s="897"/>
      <c r="BD99" s="897"/>
      <c r="BE99" s="897"/>
      <c r="BF99" s="893"/>
      <c r="BG99" s="897"/>
      <c r="BH99" s="897"/>
      <c r="BI99" s="897"/>
      <c r="BJ99" s="897"/>
      <c r="BK99" s="897"/>
      <c r="BL99" s="897"/>
      <c r="BM99" s="897"/>
      <c r="BN99" s="897"/>
      <c r="BO99" s="897"/>
      <c r="BP99" s="897"/>
      <c r="BQ99" s="897"/>
      <c r="BR99" s="897"/>
      <c r="BS99" s="893"/>
      <c r="BT99" s="893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</row>
    <row r="100" spans="1:84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79"/>
        <v/>
      </c>
      <c r="M100" s="816" t="str">
        <f t="shared" si="80"/>
        <v/>
      </c>
      <c r="N100" s="816" t="str">
        <f t="shared" si="81"/>
        <v/>
      </c>
      <c r="R100" s="816" t="str">
        <f t="shared" si="82"/>
        <v/>
      </c>
      <c r="T100" s="829" t="str">
        <f t="shared" si="83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IF($J100="","",IF(SUM(IF(ISNUMBER(VALUE(RIGHT($AG100:$CK100,1))),VALUE(RIGHT($AG100:$CK100,1)),0))=$J100,"T","F"))</f>
        <v/>
      </c>
      <c r="AE100" s="831" t="str">
        <f t="array" ref="AE100">IF($J100="","",SUM(IF(LEFT($AG100:$DW100,1)="s",1,0))-SUM(IF(RIGHT(LEFT($AG100:$DW100,2))="-",1,0)))</f>
        <v/>
      </c>
      <c r="AF100" s="816" t="str">
        <f t="array" ref="AF100">IF($J100="","",SUM(IF(LEFT($AG100:$DC100,1)="X",1,0)))</f>
        <v/>
      </c>
      <c r="AG100" s="897"/>
      <c r="AH100" s="897"/>
      <c r="AI100" s="897"/>
      <c r="AJ100" s="893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3"/>
      <c r="BA100" s="893"/>
      <c r="BB100" s="893"/>
      <c r="BC100" s="897"/>
      <c r="BD100" s="897"/>
      <c r="BE100" s="897"/>
      <c r="BF100" s="893"/>
      <c r="BG100" s="897"/>
      <c r="BH100" s="897"/>
      <c r="BI100" s="897"/>
      <c r="BJ100" s="897"/>
      <c r="BK100" s="897"/>
      <c r="BL100" s="897"/>
      <c r="BM100" s="897"/>
      <c r="BN100" s="897"/>
      <c r="BO100" s="897"/>
      <c r="BP100" s="897"/>
      <c r="BQ100" s="897"/>
      <c r="BR100" s="897"/>
      <c r="BS100" s="893"/>
      <c r="BT100" s="893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</row>
    <row r="101" spans="1:84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79"/>
        <v/>
      </c>
      <c r="M101" s="816" t="str">
        <f t="shared" si="80"/>
        <v/>
      </c>
      <c r="N101" s="816" t="str">
        <f t="shared" si="81"/>
        <v/>
      </c>
      <c r="R101" s="816" t="str">
        <f t="shared" si="82"/>
        <v/>
      </c>
      <c r="T101" s="829" t="str">
        <f t="shared" si="83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IF($J101="","",IF(SUM(IF(ISNUMBER(VALUE(RIGHT($AG101:$CK101,1))),VALUE(RIGHT($AG101:$CK101,1)),0))=$J101,"T","F"))</f>
        <v/>
      </c>
      <c r="AE101" s="831" t="str">
        <f t="array" ref="AE101">IF($J101="","",SUM(IF(LEFT($AG101:$DW101,1)="s",1,0))-SUM(IF(RIGHT(LEFT($AG101:$DW101,2))="-",1,0)))</f>
        <v/>
      </c>
      <c r="AF101" s="816" t="str">
        <f t="array" ref="AF101">IF($J101="","",SUM(IF(LEFT($AG101:$DC101,1)="X",1,0)))</f>
        <v/>
      </c>
      <c r="AG101" s="897"/>
      <c r="AH101" s="897"/>
      <c r="AI101" s="897"/>
      <c r="AJ101" s="893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3"/>
      <c r="BA101" s="893"/>
      <c r="BB101" s="893"/>
      <c r="BC101" s="897"/>
      <c r="BD101" s="897"/>
      <c r="BE101" s="897"/>
      <c r="BF101" s="893"/>
      <c r="BG101" s="897"/>
      <c r="BH101" s="897"/>
      <c r="BI101" s="897"/>
      <c r="BJ101" s="897"/>
      <c r="BK101" s="897"/>
      <c r="BL101" s="897"/>
      <c r="BM101" s="897"/>
      <c r="BN101" s="897"/>
      <c r="BO101" s="897"/>
      <c r="BP101" s="897"/>
      <c r="BQ101" s="897"/>
      <c r="BR101" s="897"/>
      <c r="BS101" s="893"/>
      <c r="BT101" s="893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</row>
    <row r="102" spans="1:84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79"/>
        <v/>
      </c>
      <c r="M102" s="816" t="str">
        <f t="shared" si="80"/>
        <v/>
      </c>
      <c r="N102" s="816" t="str">
        <f t="shared" si="81"/>
        <v/>
      </c>
      <c r="R102" s="816" t="str">
        <f t="shared" si="82"/>
        <v/>
      </c>
      <c r="T102" s="829" t="str">
        <f t="shared" si="83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IF($J102="","",IF(SUM(IF(ISNUMBER(VALUE(RIGHT($AG102:$CK102,1))),VALUE(RIGHT($AG102:$CK102,1)),0))=$J102,"T","F"))</f>
        <v/>
      </c>
      <c r="AE102" s="831" t="str">
        <f t="array" ref="AE102">IF($J102="","",SUM(IF(LEFT($AG102:$DW102,1)="s",1,0))-SUM(IF(RIGHT(LEFT($AG102:$DW102,2))="-",1,0)))</f>
        <v/>
      </c>
      <c r="AF102" s="816" t="str">
        <f t="array" ref="AF102">IF($J102="","",SUM(IF(LEFT($AG102:$DC102,1)="X",1,0)))</f>
        <v/>
      </c>
      <c r="AG102" s="897"/>
      <c r="AH102" s="897"/>
      <c r="AI102" s="897"/>
      <c r="AJ102" s="893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3"/>
      <c r="BA102" s="893"/>
      <c r="BB102" s="893"/>
      <c r="BC102" s="897"/>
      <c r="BD102" s="897"/>
      <c r="BE102" s="897"/>
      <c r="BF102" s="893"/>
      <c r="BG102" s="897"/>
      <c r="BH102" s="897"/>
      <c r="BI102" s="897"/>
      <c r="BJ102" s="897"/>
      <c r="BK102" s="897"/>
      <c r="BL102" s="897"/>
      <c r="BM102" s="897"/>
      <c r="BN102" s="897"/>
      <c r="BO102" s="897"/>
      <c r="BP102" s="897"/>
      <c r="BQ102" s="897"/>
      <c r="BR102" s="897"/>
      <c r="BS102" s="893"/>
      <c r="BT102" s="893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</row>
    <row r="103" spans="1:84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79"/>
        <v/>
      </c>
      <c r="M103" s="816" t="str">
        <f t="shared" si="80"/>
        <v/>
      </c>
      <c r="N103" s="816" t="str">
        <f t="shared" si="81"/>
        <v/>
      </c>
      <c r="R103" s="816" t="str">
        <f t="shared" si="82"/>
        <v/>
      </c>
      <c r="T103" s="829" t="str">
        <f t="shared" si="83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IF($J103="","",IF(SUM(IF(ISNUMBER(VALUE(RIGHT($AG103:$CK103,1))),VALUE(RIGHT($AG103:$CK103,1)),0))=$J103,"T","F"))</f>
        <v/>
      </c>
      <c r="AE103" s="831" t="str">
        <f t="array" ref="AE103">IF($J103="","",SUM(IF(LEFT($AG103:$DW103,1)="s",1,0))-SUM(IF(RIGHT(LEFT($AG103:$DW103,2))="-",1,0)))</f>
        <v/>
      </c>
      <c r="AF103" s="816" t="str">
        <f t="array" ref="AF103">IF($J103="","",SUM(IF(LEFT($AG103:$DC103,1)="X",1,0)))</f>
        <v/>
      </c>
      <c r="AG103" s="897"/>
      <c r="AH103" s="897"/>
      <c r="AI103" s="897"/>
      <c r="AJ103" s="893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3"/>
      <c r="BA103" s="893"/>
      <c r="BB103" s="893"/>
      <c r="BC103" s="897"/>
      <c r="BD103" s="897"/>
      <c r="BE103" s="897"/>
      <c r="BF103" s="893"/>
      <c r="BG103" s="897"/>
      <c r="BH103" s="897"/>
      <c r="BI103" s="897"/>
      <c r="BJ103" s="897"/>
      <c r="BK103" s="897"/>
      <c r="BL103" s="897"/>
      <c r="BM103" s="897"/>
      <c r="BN103" s="897"/>
      <c r="BO103" s="897"/>
      <c r="BP103" s="897"/>
      <c r="BQ103" s="897"/>
      <c r="BR103" s="897"/>
      <c r="BS103" s="893"/>
      <c r="BT103" s="893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</row>
    <row r="104" spans="1:84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79"/>
        <v/>
      </c>
      <c r="M104" s="816" t="str">
        <f t="shared" si="80"/>
        <v/>
      </c>
      <c r="N104" s="816" t="str">
        <f t="shared" si="81"/>
        <v/>
      </c>
      <c r="R104" s="816" t="str">
        <f t="shared" si="82"/>
        <v/>
      </c>
      <c r="T104" s="829" t="str">
        <f t="shared" si="83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IF($J104="","",IF(SUM(IF(ISNUMBER(VALUE(RIGHT($AG104:$CK104,1))),VALUE(RIGHT($AG104:$CK104,1)),0))=$J104,"T","F"))</f>
        <v/>
      </c>
      <c r="AE104" s="831" t="str">
        <f t="array" ref="AE104">IF($J104="","",SUM(IF(LEFT($AG104:$DW104,1)="s",1,0))-SUM(IF(RIGHT(LEFT($AG104:$DW104,2))="-",1,0)))</f>
        <v/>
      </c>
      <c r="AF104" s="816" t="str">
        <f t="array" ref="AF104">IF($J104="","",SUM(IF(LEFT($AG104:$DC104,1)="X",1,0)))</f>
        <v/>
      </c>
      <c r="AG104" s="897"/>
      <c r="AH104" s="897"/>
      <c r="AI104" s="897"/>
      <c r="AJ104" s="893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3"/>
      <c r="BA104" s="893"/>
      <c r="BB104" s="893"/>
      <c r="BC104" s="897"/>
      <c r="BD104" s="897"/>
      <c r="BE104" s="897"/>
      <c r="BF104" s="893"/>
      <c r="BG104" s="897"/>
      <c r="BH104" s="897"/>
      <c r="BI104" s="897"/>
      <c r="BJ104" s="897"/>
      <c r="BK104" s="897"/>
      <c r="BL104" s="897"/>
      <c r="BM104" s="897"/>
      <c r="BN104" s="897"/>
      <c r="BO104" s="897"/>
      <c r="BP104" s="897"/>
      <c r="BQ104" s="897"/>
      <c r="BR104" s="897"/>
      <c r="BS104" s="893"/>
      <c r="BT104" s="893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</row>
    <row r="105" spans="1:84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79"/>
        <v/>
      </c>
      <c r="M105" s="816" t="str">
        <f t="shared" si="80"/>
        <v/>
      </c>
      <c r="N105" s="816" t="str">
        <f t="shared" si="81"/>
        <v/>
      </c>
      <c r="R105" s="816" t="str">
        <f t="shared" si="82"/>
        <v/>
      </c>
      <c r="T105" s="829" t="str">
        <f t="shared" si="83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IF($J105="","",IF(SUM(IF(ISNUMBER(VALUE(RIGHT($AG105:$CK105,1))),VALUE(RIGHT($AG105:$CK105,1)),0))=$J105,"T","F"))</f>
        <v/>
      </c>
      <c r="AE105" s="831" t="str">
        <f t="array" ref="AE105">IF($J105="","",SUM(IF(LEFT($AG105:$DW105,1)="s",1,0))-SUM(IF(RIGHT(LEFT($AG105:$DW105,2))="-",1,0)))</f>
        <v/>
      </c>
      <c r="AF105" s="816" t="str">
        <f t="array" ref="AF105">IF($J105="","",SUM(IF(LEFT($AG105:$DC105,1)="X",1,0)))</f>
        <v/>
      </c>
      <c r="AG105" s="897"/>
      <c r="AH105" s="897"/>
      <c r="AI105" s="897"/>
      <c r="AJ105" s="893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3"/>
      <c r="BA105" s="893"/>
      <c r="BB105" s="893"/>
      <c r="BC105" s="897"/>
      <c r="BD105" s="897"/>
      <c r="BE105" s="897"/>
      <c r="BF105" s="893"/>
      <c r="BG105" s="897"/>
      <c r="BH105" s="897"/>
      <c r="BI105" s="897"/>
      <c r="BJ105" s="897"/>
      <c r="BK105" s="897"/>
      <c r="BL105" s="897"/>
      <c r="BM105" s="897"/>
      <c r="BN105" s="897"/>
      <c r="BO105" s="897"/>
      <c r="BP105" s="897"/>
      <c r="BQ105" s="897"/>
      <c r="BR105" s="897"/>
      <c r="BS105" s="893"/>
      <c r="BT105" s="893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</row>
    <row r="106" spans="1:84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79"/>
        <v/>
      </c>
      <c r="M106" s="816" t="str">
        <f t="shared" si="80"/>
        <v/>
      </c>
      <c r="N106" s="816" t="str">
        <f t="shared" si="81"/>
        <v/>
      </c>
      <c r="R106" s="816" t="str">
        <f t="shared" si="82"/>
        <v/>
      </c>
      <c r="T106" s="829" t="str">
        <f t="shared" si="83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IF($J106="","",IF(SUM(IF(ISNUMBER(VALUE(RIGHT($AG106:$CK106,1))),VALUE(RIGHT($AG106:$CK106,1)),0))=$J106,"T","F"))</f>
        <v/>
      </c>
      <c r="AE106" s="831" t="str">
        <f t="array" ref="AE106">IF($J106="","",SUM(IF(LEFT($AG106:$DW106,1)="s",1,0))-SUM(IF(RIGHT(LEFT($AG106:$DW106,2))="-",1,0)))</f>
        <v/>
      </c>
      <c r="AF106" s="816" t="str">
        <f t="array" ref="AF106">IF($J106="","",SUM(IF(LEFT($AG106:$DC106,1)="X",1,0)))</f>
        <v/>
      </c>
      <c r="AG106" s="897"/>
      <c r="AH106" s="897"/>
      <c r="AI106" s="897"/>
      <c r="AJ106" s="893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3"/>
      <c r="BA106" s="893"/>
      <c r="BB106" s="893"/>
      <c r="BC106" s="897"/>
      <c r="BD106" s="897"/>
      <c r="BE106" s="897"/>
      <c r="BF106" s="893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7"/>
      <c r="BS106" s="893"/>
      <c r="BT106" s="893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</row>
    <row r="107" spans="1:84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79"/>
        <v/>
      </c>
      <c r="M107" s="816" t="str">
        <f t="shared" si="80"/>
        <v/>
      </c>
      <c r="N107" s="816" t="str">
        <f t="shared" si="81"/>
        <v/>
      </c>
      <c r="R107" s="816" t="str">
        <f t="shared" si="82"/>
        <v/>
      </c>
      <c r="T107" s="829" t="str">
        <f t="shared" si="83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IF($J107="","",IF(SUM(IF(ISNUMBER(VALUE(RIGHT($AG107:$CK107,1))),VALUE(RIGHT($AG107:$CK107,1)),0))=$J107,"T","F"))</f>
        <v/>
      </c>
      <c r="AE107" s="831" t="str">
        <f t="array" ref="AE107">IF($J107="","",SUM(IF(LEFT($AG107:$DW107,1)="s",1,0))-SUM(IF(RIGHT(LEFT($AG107:$DW107,2))="-",1,0)))</f>
        <v/>
      </c>
      <c r="AF107" s="816" t="str">
        <f t="array" ref="AF107">IF($J107="","",SUM(IF(LEFT($AG107:$DC107,1)="X",1,0)))</f>
        <v/>
      </c>
      <c r="AG107" s="897"/>
      <c r="AH107" s="897"/>
      <c r="AI107" s="897"/>
      <c r="AJ107" s="893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3"/>
      <c r="BA107" s="893"/>
      <c r="BB107" s="893"/>
      <c r="BC107" s="897"/>
      <c r="BD107" s="897"/>
      <c r="BE107" s="897"/>
      <c r="BF107" s="893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7"/>
      <c r="BS107" s="893"/>
      <c r="BT107" s="893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</row>
    <row r="108" spans="1:84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79"/>
        <v/>
      </c>
      <c r="M108" s="816" t="str">
        <f t="shared" si="80"/>
        <v/>
      </c>
      <c r="N108" s="816" t="str">
        <f t="shared" si="81"/>
        <v/>
      </c>
      <c r="R108" s="816" t="str">
        <f t="shared" si="82"/>
        <v/>
      </c>
      <c r="T108" s="829" t="str">
        <f t="shared" si="83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IF($J108="","",IF(SUM(IF(ISNUMBER(VALUE(RIGHT($AG108:$CK108,1))),VALUE(RIGHT($AG108:$CK108,1)),0))=$J108,"T","F"))</f>
        <v/>
      </c>
      <c r="AE108" s="831" t="str">
        <f t="array" ref="AE108">IF($J108="","",SUM(IF(LEFT($AG108:$DW108,1)="s",1,0))-SUM(IF(RIGHT(LEFT($AG108:$DW108,2))="-",1,0)))</f>
        <v/>
      </c>
      <c r="AF108" s="816" t="str">
        <f t="array" ref="AF108">IF($J108="","",SUM(IF(LEFT($AG108:$DC108,1)="X",1,0)))</f>
        <v/>
      </c>
      <c r="AG108" s="897"/>
      <c r="AH108" s="897"/>
      <c r="AI108" s="897"/>
      <c r="AJ108" s="893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3"/>
      <c r="BA108" s="893"/>
      <c r="BB108" s="893"/>
      <c r="BC108" s="897"/>
      <c r="BD108" s="897"/>
      <c r="BE108" s="897"/>
      <c r="BF108" s="893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7"/>
      <c r="BS108" s="893"/>
      <c r="BT108" s="893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</row>
    <row r="109" spans="1:84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79"/>
        <v/>
      </c>
      <c r="M109" s="816" t="str">
        <f t="shared" si="80"/>
        <v/>
      </c>
      <c r="N109" s="816" t="str">
        <f t="shared" si="81"/>
        <v/>
      </c>
      <c r="R109" s="816" t="str">
        <f t="shared" si="82"/>
        <v/>
      </c>
      <c r="T109" s="829" t="str">
        <f t="shared" si="83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IF($J109="","",IF(SUM(IF(ISNUMBER(VALUE(RIGHT($AG109:$CK109,1))),VALUE(RIGHT($AG109:$CK109,1)),0))=$J109,"T","F"))</f>
        <v/>
      </c>
      <c r="AE109" s="831" t="str">
        <f t="array" ref="AE109">IF($J109="","",SUM(IF(LEFT($AG109:$DW109,1)="s",1,0))-SUM(IF(RIGHT(LEFT($AG109:$DW109,2))="-",1,0)))</f>
        <v/>
      </c>
      <c r="AF109" s="816" t="str">
        <f t="array" ref="AF109">IF($J109="","",SUM(IF(LEFT($AG109:$DC109,1)="X",1,0)))</f>
        <v/>
      </c>
      <c r="AG109" s="897"/>
      <c r="AH109" s="897"/>
      <c r="AI109" s="897"/>
      <c r="AJ109" s="893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3"/>
      <c r="BA109" s="893"/>
      <c r="BB109" s="893"/>
      <c r="BC109" s="897"/>
      <c r="BD109" s="897"/>
      <c r="BE109" s="897"/>
      <c r="BF109" s="893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7"/>
      <c r="BS109" s="893"/>
      <c r="BT109" s="893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</row>
    <row r="110" spans="1:84" ht="15">
      <c r="A110" s="845"/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79"/>
        <v/>
      </c>
      <c r="M110" s="816" t="str">
        <f t="shared" si="80"/>
        <v/>
      </c>
      <c r="N110" s="816" t="str">
        <f t="shared" si="81"/>
        <v/>
      </c>
      <c r="R110" s="816" t="str">
        <f t="shared" si="82"/>
        <v/>
      </c>
      <c r="T110" s="829" t="str">
        <f t="shared" si="83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IF($J110="","",IF(SUM(IF(ISNUMBER(VALUE(RIGHT($AG110:$CK110,1))),VALUE(RIGHT($AG110:$CK110,1)),0))=$J110,"T","F"))</f>
        <v/>
      </c>
      <c r="AE110" s="831" t="str">
        <f t="array" ref="AE110">IF($J110="","",SUM(IF(LEFT($AG110:$DW110,1)="s",1,0))-SUM(IF(RIGHT(LEFT($AG110:$DW110,2))="-",1,0)))</f>
        <v/>
      </c>
      <c r="AF110" s="816" t="str">
        <f t="array" ref="AF110">IF($J110="","",SUM(IF(LEFT($AG110:$DC110,1)="X",1,0)))</f>
        <v/>
      </c>
      <c r="AG110" s="897"/>
      <c r="AH110" s="897"/>
      <c r="AI110" s="897"/>
      <c r="AJ110" s="893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3"/>
      <c r="BA110" s="893"/>
      <c r="BB110" s="893"/>
      <c r="BC110" s="897"/>
      <c r="BD110" s="897"/>
      <c r="BE110" s="897"/>
      <c r="BF110" s="893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7"/>
      <c r="BS110" s="893"/>
      <c r="BT110" s="893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</row>
    <row r="111" spans="1:84" ht="15">
      <c r="A111" s="845"/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79"/>
        <v/>
      </c>
      <c r="M111" s="816" t="str">
        <f t="shared" si="80"/>
        <v/>
      </c>
      <c r="N111" s="816" t="str">
        <f t="shared" si="81"/>
        <v/>
      </c>
      <c r="R111" s="816" t="str">
        <f t="shared" si="82"/>
        <v/>
      </c>
      <c r="T111" s="829" t="str">
        <f t="shared" si="83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IF($J111="","",IF(SUM(IF(ISNUMBER(VALUE(RIGHT($AG111:$CK111,1))),VALUE(RIGHT($AG111:$CK111,1)),0))=$J111,"T","F"))</f>
        <v/>
      </c>
      <c r="AE111" s="831" t="str">
        <f t="array" ref="AE111">IF($J111="","",SUM(IF(LEFT($AG111:$DW111,1)="s",1,0))-SUM(IF(RIGHT(LEFT($AG111:$DW111,2))="-",1,0)))</f>
        <v/>
      </c>
      <c r="AF111" s="816" t="str">
        <f t="array" ref="AF111">IF($J111="","",SUM(IF(LEFT($AG111:$DC111,1)="X",1,0)))</f>
        <v/>
      </c>
      <c r="AG111" s="897"/>
      <c r="AH111" s="897"/>
      <c r="AI111" s="897"/>
      <c r="AJ111" s="893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3"/>
      <c r="BA111" s="893"/>
      <c r="BB111" s="893"/>
      <c r="BC111" s="897"/>
      <c r="BD111" s="897"/>
      <c r="BE111" s="897"/>
      <c r="BF111" s="893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7"/>
      <c r="BS111" s="893"/>
      <c r="BT111" s="893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</row>
    <row r="112" spans="1:84" ht="15">
      <c r="A112" s="845"/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79"/>
        <v/>
      </c>
      <c r="M112" s="816" t="str">
        <f t="shared" si="80"/>
        <v/>
      </c>
      <c r="N112" s="816" t="str">
        <f t="shared" si="81"/>
        <v/>
      </c>
      <c r="R112" s="816" t="str">
        <f t="shared" si="82"/>
        <v/>
      </c>
      <c r="T112" s="829" t="str">
        <f t="shared" si="83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IF($J112="","",IF(SUM(IF(ISNUMBER(VALUE(RIGHT($AG112:$CK112,1))),VALUE(RIGHT($AG112:$CK112,1)),0))=$J112,"T","F"))</f>
        <v/>
      </c>
      <c r="AE112" s="816" t="str">
        <f t="array" ref="AE112">IF($J112="","",SUM(IF(LEFT($AG112:$DW112,1)="s",1,0))-SUM(IF(RIGHT(LEFT($AG112:$DW112,2))="-",1,0)))</f>
        <v/>
      </c>
      <c r="AF112" s="816" t="str">
        <f t="array" ref="AF112">IF($J112="","",SUM(IF(LEFT($AG112:$DC112,1)="X",1,0)))</f>
        <v/>
      </c>
      <c r="AG112" s="897"/>
      <c r="AH112" s="897"/>
      <c r="AI112" s="897"/>
      <c r="AJ112" s="893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3"/>
      <c r="BA112" s="893"/>
      <c r="BB112" s="893"/>
      <c r="BC112" s="897"/>
      <c r="BD112" s="897"/>
      <c r="BE112" s="897"/>
      <c r="BF112" s="893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7"/>
      <c r="BS112" s="893"/>
      <c r="BT112" s="893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</row>
    <row r="113" spans="1:84" ht="15">
      <c r="A113" s="845"/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79"/>
        <v/>
      </c>
      <c r="M113" s="816" t="str">
        <f t="shared" si="80"/>
        <v/>
      </c>
      <c r="N113" s="816" t="str">
        <f t="shared" si="81"/>
        <v/>
      </c>
      <c r="R113" s="816" t="str">
        <f t="shared" si="82"/>
        <v/>
      </c>
      <c r="T113" s="829" t="str">
        <f t="shared" si="83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IF($J113="","",IF(SUM(IF(ISNUMBER(VALUE(RIGHT($AG113:$CK113,1))),VALUE(RIGHT($AG113:$CK113,1)),0))=$J113,"T","F"))</f>
        <v/>
      </c>
      <c r="AE113" s="816" t="str">
        <f t="array" ref="AE113">IF($J113="","",SUM(IF(LEFT($AG113:$DW113,1)="s",1,0))-SUM(IF(RIGHT(LEFT($AG113:$DW113,2))="-",1,0)))</f>
        <v/>
      </c>
      <c r="AF113" s="816" t="str">
        <f t="array" ref="AF113">IF($J113="","",SUM(IF(LEFT($AG113:$DC113,1)="X",1,0)))</f>
        <v/>
      </c>
      <c r="AG113" s="897"/>
      <c r="AH113" s="897"/>
      <c r="AI113" s="897"/>
      <c r="AJ113" s="893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3"/>
      <c r="BA113" s="893"/>
      <c r="BB113" s="893"/>
      <c r="BC113" s="897"/>
      <c r="BD113" s="897"/>
      <c r="BE113" s="897"/>
      <c r="BF113" s="893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7"/>
      <c r="BS113" s="893"/>
      <c r="BT113" s="893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</row>
    <row r="114" spans="1:84" ht="15">
      <c r="A114" s="845"/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79"/>
        <v/>
      </c>
      <c r="M114" s="816" t="str">
        <f t="shared" si="80"/>
        <v/>
      </c>
      <c r="N114" s="816" t="str">
        <f t="shared" si="81"/>
        <v/>
      </c>
      <c r="R114" s="816" t="str">
        <f t="shared" si="82"/>
        <v/>
      </c>
      <c r="T114" s="829" t="str">
        <f t="shared" si="83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IF($J114="","",IF(SUM(IF(ISNUMBER(VALUE(RIGHT($AG114:$CK114,1))),VALUE(RIGHT($AG114:$CK114,1)),0))=$J114,"T","F"))</f>
        <v/>
      </c>
      <c r="AE114" s="816" t="str">
        <f t="array" ref="AE114">IF($J114="","",SUM(IF(LEFT($AG114:$DW114,1)="s",1,0))-SUM(IF(RIGHT(LEFT($AG114:$DW114,2))="-",1,0)))</f>
        <v/>
      </c>
      <c r="AF114" s="816" t="str">
        <f t="array" ref="AF114">IF($J114="","",SUM(IF(LEFT($AG114:$DC114,1)="X",1,0)))</f>
        <v/>
      </c>
      <c r="AG114" s="897"/>
      <c r="AH114" s="897"/>
      <c r="AI114" s="897"/>
      <c r="AJ114" s="893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3"/>
      <c r="BA114" s="893"/>
      <c r="BB114" s="893"/>
      <c r="BC114" s="897"/>
      <c r="BD114" s="897"/>
      <c r="BE114" s="897"/>
      <c r="BF114" s="893"/>
      <c r="BG114" s="897"/>
      <c r="BH114" s="897"/>
      <c r="BI114" s="897"/>
      <c r="BJ114" s="897"/>
      <c r="BK114" s="897"/>
      <c r="BL114" s="897"/>
      <c r="BM114" s="897"/>
      <c r="BN114" s="897"/>
      <c r="BO114" s="897"/>
      <c r="BP114" s="897"/>
      <c r="BQ114" s="897"/>
      <c r="BR114" s="897"/>
      <c r="BS114" s="893"/>
      <c r="BT114" s="893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</row>
    <row r="115" spans="1:84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79"/>
        <v/>
      </c>
      <c r="M115" s="816" t="str">
        <f t="shared" si="80"/>
        <v/>
      </c>
      <c r="N115" s="816" t="str">
        <f t="shared" si="81"/>
        <v/>
      </c>
      <c r="R115" s="816" t="str">
        <f t="shared" si="82"/>
        <v/>
      </c>
      <c r="T115" s="829" t="str">
        <f t="shared" si="83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IF($J115="","",IF(SUM(IF(ISNUMBER(VALUE(RIGHT($AG115:$CK115,1))),VALUE(RIGHT($AG115:$CK115,1)),0))=$J115,"T","F"))</f>
        <v/>
      </c>
      <c r="AE115" s="816" t="str">
        <f t="array" ref="AE115">IF($J115="","",SUM(IF(LEFT($AG115:$DW115,1)="s",1,0))-SUM(IF(RIGHT(LEFT($AG115:$DW115,2))="-",1,0)))</f>
        <v/>
      </c>
      <c r="AF115" s="816" t="str">
        <f t="array" ref="AF115">IF($J115="","",SUM(IF(LEFT($AG115:$DC115,1)="X",1,0)))</f>
        <v/>
      </c>
      <c r="AG115" s="897"/>
      <c r="AH115" s="897"/>
      <c r="AI115" s="897"/>
      <c r="AJ115" s="893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3"/>
      <c r="BA115" s="893"/>
      <c r="BB115" s="893"/>
      <c r="BC115" s="897"/>
      <c r="BD115" s="897"/>
      <c r="BE115" s="897"/>
      <c r="BF115" s="893"/>
      <c r="BG115" s="897"/>
      <c r="BH115" s="897"/>
      <c r="BI115" s="897"/>
      <c r="BJ115" s="897"/>
      <c r="BK115" s="897"/>
      <c r="BL115" s="897"/>
      <c r="BM115" s="897"/>
      <c r="BN115" s="897"/>
      <c r="BO115" s="897"/>
      <c r="BP115" s="897"/>
      <c r="BQ115" s="897"/>
      <c r="BR115" s="897"/>
      <c r="BS115" s="893"/>
      <c r="BT115" s="893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</row>
    <row r="116" spans="1:84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79"/>
        <v/>
      </c>
      <c r="M116" s="816" t="str">
        <f t="shared" si="80"/>
        <v/>
      </c>
      <c r="N116" s="816" t="str">
        <f t="shared" si="81"/>
        <v/>
      </c>
      <c r="R116" s="816" t="str">
        <f t="shared" si="82"/>
        <v/>
      </c>
      <c r="T116" s="829" t="str">
        <f t="shared" si="83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IF($J116="","",IF(SUM(IF(ISNUMBER(VALUE(RIGHT($AG116:$CK116,1))),VALUE(RIGHT($AG116:$CK116,1)),0))=$J116,"T","F"))</f>
        <v/>
      </c>
      <c r="AE116" s="816" t="str">
        <f t="array" ref="AE116">IF($J116="","",SUM(IF(LEFT($AG116:$DW116,1)="s",1,0))-SUM(IF(RIGHT(LEFT($AG116:$DW116,2))="-",1,0)))</f>
        <v/>
      </c>
      <c r="AF116" s="816" t="str">
        <f t="array" ref="AF116">IF($J116="","",SUM(IF(LEFT($AG116:$DC116,1)="X",1,0)))</f>
        <v/>
      </c>
      <c r="AG116" s="897"/>
      <c r="AH116" s="897"/>
      <c r="AI116" s="897"/>
      <c r="AJ116" s="893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3"/>
      <c r="BA116" s="893"/>
      <c r="BB116" s="893"/>
      <c r="BC116" s="897"/>
      <c r="BD116" s="897"/>
      <c r="BE116" s="897"/>
      <c r="BF116" s="893"/>
      <c r="BG116" s="897"/>
      <c r="BH116" s="897"/>
      <c r="BI116" s="897"/>
      <c r="BJ116" s="897"/>
      <c r="BK116" s="897"/>
      <c r="BL116" s="897"/>
      <c r="BM116" s="897"/>
      <c r="BN116" s="897"/>
      <c r="BO116" s="897"/>
      <c r="BP116" s="897"/>
      <c r="BQ116" s="897"/>
      <c r="BR116" s="897"/>
      <c r="BS116" s="893"/>
      <c r="BT116" s="893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</row>
    <row r="117" spans="1:84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79"/>
        <v/>
      </c>
      <c r="M117" s="816" t="str">
        <f t="shared" si="80"/>
        <v/>
      </c>
      <c r="N117" s="816" t="str">
        <f t="shared" si="81"/>
        <v/>
      </c>
      <c r="R117" s="816" t="str">
        <f t="shared" si="82"/>
        <v/>
      </c>
      <c r="T117" s="829" t="str">
        <f t="shared" si="83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IF($J117="","",IF(SUM(IF(ISNUMBER(VALUE(RIGHT($AG117:$CK117,1))),VALUE(RIGHT($AG117:$CK117,1)),0))=$J117,"T","F"))</f>
        <v/>
      </c>
      <c r="AE117" s="816" t="str">
        <f t="array" ref="AE117">IF($J117="","",SUM(IF(LEFT($AG117:$DW117,1)="s",1,0))-SUM(IF(RIGHT(LEFT($AG117:$DW117,2))="-",1,0)))</f>
        <v/>
      </c>
      <c r="AF117" s="816" t="str">
        <f t="array" ref="AF117">IF($J117="","",SUM(IF(LEFT($AG117:$DC117,1)="X",1,0)))</f>
        <v/>
      </c>
      <c r="AG117" s="897"/>
      <c r="AH117" s="897"/>
      <c r="AI117" s="897"/>
      <c r="AJ117" s="893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3"/>
      <c r="BA117" s="893"/>
      <c r="BB117" s="893"/>
      <c r="BC117" s="897"/>
      <c r="BD117" s="897"/>
      <c r="BE117" s="897"/>
      <c r="BF117" s="893"/>
      <c r="BG117" s="897"/>
      <c r="BH117" s="897"/>
      <c r="BI117" s="897"/>
      <c r="BJ117" s="897"/>
      <c r="BK117" s="897"/>
      <c r="BL117" s="897"/>
      <c r="BM117" s="897"/>
      <c r="BN117" s="897"/>
      <c r="BO117" s="897"/>
      <c r="BP117" s="897"/>
      <c r="BQ117" s="897"/>
      <c r="BR117" s="897"/>
      <c r="BS117" s="893"/>
      <c r="BT117" s="893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</row>
    <row r="118" spans="1:84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79"/>
        <v/>
      </c>
      <c r="M118" s="816" t="str">
        <f t="shared" si="80"/>
        <v/>
      </c>
      <c r="N118" s="816" t="str">
        <f t="shared" si="81"/>
        <v/>
      </c>
      <c r="R118" s="816" t="str">
        <f t="shared" si="82"/>
        <v/>
      </c>
      <c r="T118" s="829" t="str">
        <f t="shared" si="83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IF($J118="","",IF(SUM(IF(ISNUMBER(VALUE(RIGHT($AG118:$CK118,1))),VALUE(RIGHT($AG118:$CK118,1)),0))=$J118,"T","F"))</f>
        <v/>
      </c>
      <c r="AE118" s="816" t="str">
        <f t="array" ref="AE118">IF($J118="","",SUM(IF(LEFT($AG118:$DW118,1)="s",1,0))-SUM(IF(RIGHT(LEFT($AG118:$DW118,2))="-",1,0)))</f>
        <v/>
      </c>
      <c r="AF118" s="816" t="str">
        <f t="array" ref="AF118">IF($J118="","",SUM(IF(LEFT($AG118:$DC118,1)="X",1,0)))</f>
        <v/>
      </c>
      <c r="AG118" s="897"/>
      <c r="AH118" s="897"/>
      <c r="AI118" s="897"/>
      <c r="AJ118" s="893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3"/>
      <c r="BA118" s="893"/>
      <c r="BB118" s="893"/>
      <c r="BC118" s="897"/>
      <c r="BD118" s="897"/>
      <c r="BE118" s="897"/>
      <c r="BF118" s="893"/>
      <c r="BG118" s="897"/>
      <c r="BH118" s="897"/>
      <c r="BI118" s="897"/>
      <c r="BJ118" s="897"/>
      <c r="BK118" s="897"/>
      <c r="BL118" s="897"/>
      <c r="BM118" s="897"/>
      <c r="BN118" s="897"/>
      <c r="BO118" s="897"/>
      <c r="BP118" s="897"/>
      <c r="BQ118" s="897"/>
      <c r="BR118" s="897"/>
      <c r="BS118" s="893"/>
      <c r="BT118" s="893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</row>
    <row r="119" spans="1:84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79"/>
        <v/>
      </c>
      <c r="M119" s="816" t="str">
        <f t="shared" si="80"/>
        <v/>
      </c>
      <c r="N119" s="816" t="str">
        <f t="shared" si="81"/>
        <v/>
      </c>
      <c r="R119" s="816" t="str">
        <f t="shared" si="82"/>
        <v/>
      </c>
      <c r="T119" s="829" t="str">
        <f t="shared" si="83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IF($J119="","",IF(SUM(IF(ISNUMBER(VALUE(RIGHT($AG119:$CK119,1))),VALUE(RIGHT($AG119:$CK119,1)),0))=$J119,"T","F"))</f>
        <v/>
      </c>
      <c r="AE119" s="816" t="str">
        <f t="array" ref="AE119">IF($J119="","",SUM(IF(LEFT($AG119:$DW119,1)="s",1,0))-SUM(IF(RIGHT(LEFT($AG119:$DW119,2))="-",1,0)))</f>
        <v/>
      </c>
      <c r="AF119" s="816" t="str">
        <f t="array" ref="AF119">IF($J119="","",SUM(IF(LEFT($AG119:$DC119,1)="X",1,0)))</f>
        <v/>
      </c>
      <c r="AG119" s="897"/>
      <c r="AH119" s="897"/>
      <c r="AI119" s="897"/>
      <c r="AJ119" s="893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3"/>
      <c r="BA119" s="893"/>
      <c r="BB119" s="893"/>
      <c r="BC119" s="897"/>
      <c r="BD119" s="897"/>
      <c r="BE119" s="897"/>
      <c r="BF119" s="893"/>
      <c r="BG119" s="897"/>
      <c r="BH119" s="897"/>
      <c r="BI119" s="897"/>
      <c r="BJ119" s="897"/>
      <c r="BK119" s="897"/>
      <c r="BL119" s="897"/>
      <c r="BM119" s="897"/>
      <c r="BN119" s="897"/>
      <c r="BO119" s="897"/>
      <c r="BP119" s="897"/>
      <c r="BQ119" s="897"/>
      <c r="BR119" s="897"/>
      <c r="BS119" s="893"/>
      <c r="BT119" s="893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</row>
    <row r="120" spans="1:84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79"/>
        <v/>
      </c>
      <c r="M120" s="816" t="str">
        <f t="shared" si="80"/>
        <v/>
      </c>
      <c r="N120" s="816" t="str">
        <f t="shared" si="81"/>
        <v/>
      </c>
      <c r="R120" s="816" t="str">
        <f t="shared" si="82"/>
        <v/>
      </c>
      <c r="T120" s="829" t="str">
        <f t="shared" si="83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IF($J120="","",IF(SUM(IF(ISNUMBER(VALUE(RIGHT($AG120:$CK120,1))),VALUE(RIGHT($AG120:$CK120,1)),0))=$J120,"T","F"))</f>
        <v/>
      </c>
      <c r="AE120" s="816" t="str">
        <f t="array" ref="AE120">IF($J120="","",SUM(IF(LEFT($AG120:$DW120,1)="s",1,0))-SUM(IF(RIGHT(LEFT($AG120:$DW120,2))="-",1,0)))</f>
        <v/>
      </c>
      <c r="AF120" s="816" t="str">
        <f t="array" ref="AF120">IF($J120="","",SUM(IF(LEFT($AG120:$DC120,1)="X",1,0)))</f>
        <v/>
      </c>
      <c r="AG120" s="897"/>
      <c r="AH120" s="897"/>
      <c r="AI120" s="897"/>
      <c r="AJ120" s="893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3"/>
      <c r="BA120" s="893"/>
      <c r="BB120" s="893"/>
      <c r="BC120" s="897"/>
      <c r="BD120" s="897"/>
      <c r="BE120" s="897"/>
      <c r="BF120" s="893"/>
      <c r="BG120" s="897"/>
      <c r="BH120" s="897"/>
      <c r="BI120" s="897"/>
      <c r="BJ120" s="897"/>
      <c r="BK120" s="897"/>
      <c r="BL120" s="897"/>
      <c r="BM120" s="897"/>
      <c r="BN120" s="897"/>
      <c r="BO120" s="897"/>
      <c r="BP120" s="897"/>
      <c r="BQ120" s="897"/>
      <c r="BR120" s="897"/>
      <c r="BS120" s="893"/>
      <c r="BT120" s="893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</row>
    <row r="121" spans="1:84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79"/>
        <v/>
      </c>
      <c r="M121" s="816" t="str">
        <f t="shared" si="80"/>
        <v/>
      </c>
      <c r="N121" s="816" t="str">
        <f t="shared" si="81"/>
        <v/>
      </c>
      <c r="R121" s="816" t="str">
        <f t="shared" si="82"/>
        <v/>
      </c>
      <c r="T121" s="829" t="str">
        <f t="shared" si="83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IF($J121="","",IF(SUM(IF(ISNUMBER(VALUE(RIGHT($AG121:$CK121,1))),VALUE(RIGHT($AG121:$CK121,1)),0))=$J121,"T","F"))</f>
        <v/>
      </c>
      <c r="AE121" s="816" t="str">
        <f t="array" ref="AE121">IF($J121="","",SUM(IF(LEFT($AG121:$DW121,1)="s",1,0))-SUM(IF(RIGHT(LEFT($AG121:$DW121,2))="-",1,0)))</f>
        <v/>
      </c>
      <c r="AF121" s="816" t="str">
        <f t="array" ref="AF121">IF($J121="","",SUM(IF(LEFT($AG121:$DC121,1)="X",1,0)))</f>
        <v/>
      </c>
      <c r="AG121" s="897"/>
      <c r="AH121" s="897"/>
      <c r="AI121" s="897"/>
      <c r="AJ121" s="893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3"/>
      <c r="BA121" s="893"/>
      <c r="BB121" s="893"/>
      <c r="BC121" s="897"/>
      <c r="BD121" s="897"/>
      <c r="BE121" s="897"/>
      <c r="BF121" s="893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7"/>
      <c r="BR121" s="897"/>
      <c r="BS121" s="893"/>
      <c r="BT121" s="893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</row>
    <row r="122" spans="1:84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79"/>
        <v/>
      </c>
      <c r="M122" s="816" t="str">
        <f t="shared" si="80"/>
        <v/>
      </c>
      <c r="N122" s="816" t="str">
        <f t="shared" si="81"/>
        <v/>
      </c>
      <c r="R122" s="816" t="str">
        <f t="shared" si="82"/>
        <v/>
      </c>
      <c r="T122" s="829" t="str">
        <f t="shared" si="83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IF($J122="","",IF(SUM(IF(ISNUMBER(VALUE(RIGHT($AG122:$CK122,1))),VALUE(RIGHT($AG122:$CK122,1)),0))=$J122,"T","F"))</f>
        <v/>
      </c>
      <c r="AE122" s="816" t="str">
        <f t="array" ref="AE122">IF($J122="","",SUM(IF(LEFT($AG122:$DW122,1)="s",1,0))-SUM(IF(RIGHT(LEFT($AG122:$DW122,2))="-",1,0)))</f>
        <v/>
      </c>
      <c r="AF122" s="816" t="str">
        <f t="array" ref="AF122">IF($J122="","",SUM(IF(LEFT($AG122:$DC122,1)="X",1,0)))</f>
        <v/>
      </c>
      <c r="AG122" s="897"/>
      <c r="AH122" s="897"/>
      <c r="AI122" s="897"/>
      <c r="AJ122" s="893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3"/>
      <c r="BA122" s="893"/>
      <c r="BB122" s="893"/>
      <c r="BC122" s="897"/>
      <c r="BD122" s="897"/>
      <c r="BE122" s="897"/>
      <c r="BF122" s="893"/>
      <c r="BG122" s="897"/>
      <c r="BH122" s="897"/>
      <c r="BI122" s="897"/>
      <c r="BJ122" s="897"/>
      <c r="BK122" s="897"/>
      <c r="BL122" s="897"/>
      <c r="BM122" s="897"/>
      <c r="BN122" s="897"/>
      <c r="BO122" s="897"/>
      <c r="BP122" s="897"/>
      <c r="BQ122" s="897"/>
      <c r="BR122" s="897"/>
      <c r="BS122" s="893"/>
      <c r="BT122" s="893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</row>
    <row r="123" spans="1:84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79"/>
        <v/>
      </c>
      <c r="M123" s="816" t="str">
        <f t="shared" si="80"/>
        <v/>
      </c>
      <c r="N123" s="816" t="str">
        <f t="shared" si="81"/>
        <v/>
      </c>
      <c r="R123" s="816" t="str">
        <f t="shared" si="82"/>
        <v/>
      </c>
      <c r="T123" s="829" t="str">
        <f t="shared" si="83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IF($J123="","",IF(SUM(IF(ISNUMBER(VALUE(RIGHT($AG123:$CK123,1))),VALUE(RIGHT($AG123:$CK123,1)),0))=$J123,"T","F"))</f>
        <v/>
      </c>
      <c r="AE123" s="816" t="str">
        <f t="array" ref="AE123">IF($J123="","",SUM(IF(LEFT($AG123:$DW123,1)="s",1,0))-SUM(IF(RIGHT(LEFT($AG123:$DW123,2))="-",1,0)))</f>
        <v/>
      </c>
      <c r="AF123" s="816" t="str">
        <f t="array" ref="AF123">IF($J123="","",SUM(IF(LEFT($AG123:$DC123,1)="X",1,0)))</f>
        <v/>
      </c>
      <c r="AG123" s="897"/>
      <c r="AH123" s="897"/>
      <c r="AI123" s="897"/>
      <c r="AJ123" s="893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3"/>
      <c r="BA123" s="893"/>
      <c r="BB123" s="893"/>
      <c r="BC123" s="897"/>
      <c r="BD123" s="897"/>
      <c r="BE123" s="897"/>
      <c r="BF123" s="893"/>
      <c r="BG123" s="897"/>
      <c r="BH123" s="897"/>
      <c r="BI123" s="897"/>
      <c r="BJ123" s="897"/>
      <c r="BK123" s="897"/>
      <c r="BL123" s="897"/>
      <c r="BM123" s="897"/>
      <c r="BN123" s="897"/>
      <c r="BO123" s="897"/>
      <c r="BP123" s="897"/>
      <c r="BQ123" s="897"/>
      <c r="BR123" s="897"/>
      <c r="BS123" s="893"/>
      <c r="BT123" s="893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</row>
    <row r="124" spans="1:84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79"/>
        <v/>
      </c>
      <c r="M124" s="816" t="str">
        <f t="shared" si="80"/>
        <v/>
      </c>
      <c r="N124" s="816" t="str">
        <f t="shared" si="81"/>
        <v/>
      </c>
      <c r="R124" s="816" t="str">
        <f t="shared" si="82"/>
        <v/>
      </c>
      <c r="T124" s="829" t="str">
        <f t="shared" si="83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IF($J124="","",IF(SUM(IF(ISNUMBER(VALUE(RIGHT($AG124:$CK124,1))),VALUE(RIGHT($AG124:$CK124,1)),0))=$J124,"T","F"))</f>
        <v/>
      </c>
      <c r="AE124" s="816" t="str">
        <f t="array" ref="AE124">IF($J124="","",SUM(IF(LEFT($AG124:$DW124,1)="s",1,0))-SUM(IF(RIGHT(LEFT($AG124:$DW124,2))="-",1,0)))</f>
        <v/>
      </c>
      <c r="AF124" s="816" t="str">
        <f t="array" ref="AF124">IF($J124="","",SUM(IF(LEFT($AG124:$DC124,1)="X",1,0)))</f>
        <v/>
      </c>
      <c r="AG124" s="897"/>
      <c r="AH124" s="897"/>
      <c r="AI124" s="897"/>
      <c r="AJ124" s="893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3"/>
      <c r="BA124" s="893"/>
      <c r="BB124" s="893"/>
      <c r="BC124" s="897"/>
      <c r="BD124" s="897"/>
      <c r="BE124" s="897"/>
      <c r="BF124" s="893"/>
      <c r="BG124" s="897"/>
      <c r="BH124" s="897"/>
      <c r="BI124" s="897"/>
      <c r="BJ124" s="897"/>
      <c r="BK124" s="897"/>
      <c r="BL124" s="897"/>
      <c r="BM124" s="897"/>
      <c r="BN124" s="897"/>
      <c r="BO124" s="897"/>
      <c r="BP124" s="897"/>
      <c r="BQ124" s="897"/>
      <c r="BR124" s="897"/>
      <c r="BS124" s="893"/>
      <c r="BT124" s="893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  <c r="CF124" s="897"/>
    </row>
    <row r="125" spans="1:84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79"/>
        <v/>
      </c>
      <c r="M125" s="816" t="str">
        <f t="shared" si="80"/>
        <v/>
      </c>
      <c r="N125" s="816" t="str">
        <f t="shared" si="81"/>
        <v/>
      </c>
      <c r="R125" s="816" t="str">
        <f t="shared" si="82"/>
        <v/>
      </c>
      <c r="T125" s="829" t="str">
        <f t="shared" si="83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IF($J125="","",IF(SUM(IF(ISNUMBER(VALUE(RIGHT($AG125:$CK125,1))),VALUE(RIGHT($AG125:$CK125,1)),0))=$J125,"T","F"))</f>
        <v/>
      </c>
      <c r="AE125" s="816" t="str">
        <f t="array" ref="AE125">IF($J125="","",SUM(IF(LEFT($AG125:$DW125,1)="s",1,0))-SUM(IF(RIGHT(LEFT($AG125:$DW125,2))="-",1,0)))</f>
        <v/>
      </c>
      <c r="AF125" s="816" t="str">
        <f t="array" ref="AF125">IF($J125="","",SUM(IF(LEFT($AG125:$DC125,1)="X",1,0)))</f>
        <v/>
      </c>
      <c r="AG125" s="897"/>
      <c r="AH125" s="897"/>
      <c r="AI125" s="897"/>
      <c r="AJ125" s="893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3"/>
      <c r="BA125" s="893"/>
      <c r="BB125" s="893"/>
      <c r="BC125" s="897"/>
      <c r="BD125" s="897"/>
      <c r="BE125" s="897"/>
      <c r="BF125" s="893"/>
      <c r="BG125" s="897"/>
      <c r="BH125" s="897"/>
      <c r="BI125" s="897"/>
      <c r="BJ125" s="897"/>
      <c r="BK125" s="897"/>
      <c r="BL125" s="897"/>
      <c r="BM125" s="897"/>
      <c r="BN125" s="897"/>
      <c r="BO125" s="897"/>
      <c r="BP125" s="897"/>
      <c r="BQ125" s="897"/>
      <c r="BR125" s="897"/>
      <c r="BS125" s="893"/>
      <c r="BT125" s="893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  <c r="CE125" s="897"/>
      <c r="CF125" s="897"/>
    </row>
    <row r="126" spans="1:84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79"/>
        <v/>
      </c>
      <c r="M126" s="816" t="str">
        <f t="shared" si="80"/>
        <v/>
      </c>
      <c r="N126" s="816" t="str">
        <f t="shared" si="81"/>
        <v/>
      </c>
      <c r="R126" s="816" t="str">
        <f t="shared" si="82"/>
        <v/>
      </c>
      <c r="T126" s="829" t="str">
        <f t="shared" si="83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IF($J126="","",IF(SUM(IF(ISNUMBER(VALUE(RIGHT($AG126:$CK126,1))),VALUE(RIGHT($AG126:$CK126,1)),0))=$J126,"T","F"))</f>
        <v/>
      </c>
      <c r="AE126" s="816" t="str">
        <f t="array" ref="AE126">IF($J126="","",SUM(IF(LEFT($AG126:$DW126,1)="s",1,0))-SUM(IF(RIGHT(LEFT($AG126:$DW126,2))="-",1,0)))</f>
        <v/>
      </c>
      <c r="AF126" s="816" t="str">
        <f t="array" ref="AF126">IF($J126="","",SUM(IF(LEFT($AG126:$DC126,1)="X",1,0)))</f>
        <v/>
      </c>
      <c r="AG126" s="897"/>
      <c r="AH126" s="897"/>
      <c r="AI126" s="897"/>
      <c r="AJ126" s="893"/>
      <c r="AK126" s="893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3"/>
      <c r="BA126" s="893"/>
      <c r="BB126" s="893"/>
      <c r="BC126" s="897"/>
      <c r="BD126" s="897"/>
      <c r="BE126" s="897"/>
      <c r="BF126" s="893"/>
      <c r="BG126" s="897"/>
      <c r="BH126" s="897"/>
      <c r="BI126" s="897"/>
      <c r="BJ126" s="897"/>
      <c r="BK126" s="897"/>
      <c r="BL126" s="897"/>
      <c r="BM126" s="897"/>
      <c r="BN126" s="897"/>
      <c r="BO126" s="897"/>
      <c r="BP126" s="897"/>
      <c r="BQ126" s="897"/>
      <c r="BR126" s="897"/>
      <c r="BS126" s="893"/>
      <c r="BT126" s="893"/>
      <c r="BU126" s="897"/>
      <c r="BV126" s="897"/>
      <c r="BW126" s="897"/>
      <c r="BX126" s="897"/>
      <c r="BY126" s="897"/>
      <c r="BZ126" s="897"/>
      <c r="CA126" s="897"/>
      <c r="CB126" s="897"/>
      <c r="CC126" s="897"/>
      <c r="CD126" s="897"/>
      <c r="CE126" s="897"/>
      <c r="CF126" s="897"/>
    </row>
    <row r="127" spans="1:84" ht="15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79"/>
        <v/>
      </c>
      <c r="M127" s="816" t="str">
        <f t="shared" si="80"/>
        <v/>
      </c>
      <c r="N127" s="816" t="str">
        <f t="shared" si="81"/>
        <v/>
      </c>
      <c r="R127" s="816" t="str">
        <f t="shared" si="82"/>
        <v/>
      </c>
      <c r="T127" s="829" t="str">
        <f t="shared" si="83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IF($J127="","",IF(SUM(IF(ISNUMBER(VALUE(RIGHT($AG127:$CK127,1))),VALUE(RIGHT($AG127:$CK127,1)),0))=$J127,"T","F"))</f>
        <v/>
      </c>
      <c r="AE127" s="816" t="str">
        <f t="array" ref="AE127">IF($J127="","",SUM(IF(LEFT($AG127:$DW127,1)="s",1,0))-SUM(IF(RIGHT(LEFT($AG127:$DW127,2))="-",1,0)))</f>
        <v/>
      </c>
      <c r="AF127" s="816" t="str">
        <f t="array" ref="AF127">IF($J127="","",SUM(IF(LEFT($AG127:$DC127,1)="X",1,0)))</f>
        <v/>
      </c>
      <c r="AG127" s="897"/>
      <c r="AH127" s="897"/>
      <c r="AI127" s="897"/>
      <c r="AJ127" s="893"/>
      <c r="AK127" s="893"/>
      <c r="AL127" s="897"/>
      <c r="AM127" s="897"/>
      <c r="AN127" s="897"/>
      <c r="AO127" s="897"/>
      <c r="AP127" s="897"/>
      <c r="AQ127" s="897"/>
      <c r="AR127" s="897"/>
      <c r="AS127" s="897"/>
      <c r="AT127" s="897"/>
      <c r="AU127" s="897"/>
      <c r="AV127" s="897"/>
      <c r="AW127" s="897"/>
      <c r="AX127" s="897"/>
      <c r="AY127" s="897"/>
      <c r="AZ127" s="893"/>
      <c r="BA127" s="893"/>
      <c r="BB127" s="893"/>
      <c r="BC127" s="897"/>
      <c r="BD127" s="897"/>
      <c r="BE127" s="897"/>
      <c r="BF127" s="893"/>
      <c r="BG127" s="897"/>
      <c r="BH127" s="897"/>
      <c r="BI127" s="897"/>
      <c r="BJ127" s="897"/>
      <c r="BK127" s="897"/>
      <c r="BL127" s="897"/>
      <c r="BM127" s="897"/>
      <c r="BN127" s="897"/>
      <c r="BO127" s="897"/>
      <c r="BP127" s="897"/>
      <c r="BQ127" s="897"/>
      <c r="BR127" s="897"/>
      <c r="BS127" s="893"/>
      <c r="BT127" s="893"/>
      <c r="BU127" s="897"/>
      <c r="BV127" s="897"/>
      <c r="BW127" s="897"/>
      <c r="BX127" s="897"/>
      <c r="BY127" s="897"/>
      <c r="BZ127" s="897"/>
      <c r="CA127" s="897"/>
      <c r="CB127" s="897"/>
      <c r="CC127" s="897"/>
      <c r="CD127" s="897"/>
      <c r="CE127" s="897"/>
      <c r="CF127" s="897"/>
    </row>
    <row r="128" spans="1:84" ht="15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79"/>
        <v/>
      </c>
      <c r="M128" s="816" t="str">
        <f t="shared" si="80"/>
        <v/>
      </c>
      <c r="N128" s="816" t="str">
        <f t="shared" si="81"/>
        <v/>
      </c>
      <c r="R128" s="816" t="str">
        <f t="shared" si="82"/>
        <v/>
      </c>
      <c r="T128" s="829" t="str">
        <f t="shared" si="83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IF($J128="","",IF(SUM(IF(ISNUMBER(VALUE(RIGHT($AG128:$CK128,1))),VALUE(RIGHT($AG128:$CK128,1)),0))=$J128,"T","F"))</f>
        <v/>
      </c>
      <c r="AE128" s="816" t="str">
        <f t="array" ref="AE128">IF($J128="","",SUM(IF(LEFT($AG128:$DW128,1)="s",1,0))-SUM(IF(RIGHT(LEFT($AG128:$DW128,2))="-",1,0)))</f>
        <v/>
      </c>
      <c r="AF128" s="816" t="str">
        <f t="array" ref="AF128">IF($J128="","",SUM(IF(LEFT($AG128:$DC128,1)="X",1,0)))</f>
        <v/>
      </c>
      <c r="AG128" s="897"/>
      <c r="AH128" s="897"/>
      <c r="AI128" s="897"/>
      <c r="AJ128" s="893"/>
      <c r="AK128" s="893"/>
      <c r="AL128" s="897"/>
      <c r="AM128" s="897"/>
      <c r="AN128" s="897"/>
      <c r="AO128" s="897"/>
      <c r="AP128" s="897"/>
      <c r="AQ128" s="897"/>
      <c r="AR128" s="897"/>
      <c r="AS128" s="897"/>
      <c r="AT128" s="897"/>
      <c r="AU128" s="897"/>
      <c r="AV128" s="897"/>
      <c r="AW128" s="897"/>
      <c r="AX128" s="897"/>
      <c r="AY128" s="897"/>
      <c r="AZ128" s="893"/>
      <c r="BA128" s="893"/>
      <c r="BB128" s="893"/>
      <c r="BC128" s="897"/>
      <c r="BD128" s="897"/>
      <c r="BE128" s="897"/>
      <c r="BF128" s="893"/>
      <c r="BG128" s="897"/>
      <c r="BH128" s="897"/>
      <c r="BI128" s="897"/>
      <c r="BJ128" s="897"/>
      <c r="BK128" s="897"/>
      <c r="BL128" s="897"/>
      <c r="BM128" s="897"/>
      <c r="BN128" s="897"/>
      <c r="BO128" s="897"/>
      <c r="BP128" s="897"/>
      <c r="BQ128" s="897"/>
      <c r="BR128" s="897"/>
      <c r="BS128" s="893"/>
      <c r="BT128" s="893"/>
      <c r="BU128" s="897"/>
      <c r="BV128" s="897"/>
      <c r="BW128" s="897"/>
      <c r="BX128" s="897"/>
      <c r="BY128" s="897"/>
      <c r="BZ128" s="897"/>
      <c r="CA128" s="897"/>
      <c r="CB128" s="897"/>
      <c r="CC128" s="897"/>
      <c r="CD128" s="897"/>
      <c r="CE128" s="897"/>
      <c r="CF128" s="897"/>
    </row>
    <row r="129" spans="4:84" ht="15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79"/>
        <v/>
      </c>
      <c r="M129" s="816" t="str">
        <f t="shared" si="80"/>
        <v/>
      </c>
      <c r="N129" s="816" t="str">
        <f t="shared" si="81"/>
        <v/>
      </c>
      <c r="R129" s="816" t="str">
        <f t="shared" si="82"/>
        <v/>
      </c>
      <c r="T129" s="829" t="str">
        <f t="shared" si="83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IF($J129="","",IF(SUM(IF(ISNUMBER(VALUE(RIGHT($AG129:$CK129,1))),VALUE(RIGHT($AG129:$CK129,1)),0))=$J129,"T","F"))</f>
        <v/>
      </c>
      <c r="AE129" s="816" t="str">
        <f t="array" ref="AE129">IF($J129="","",SUM(IF(LEFT($AG129:$DW129,1)="s",1,0))-SUM(IF(RIGHT(LEFT($AG129:$DW129,2))="-",1,0)))</f>
        <v/>
      </c>
      <c r="AF129" s="816" t="str">
        <f t="array" ref="AF129">IF($J129="","",SUM(IF(LEFT($AG129:$DC129,1)="X",1,0)))</f>
        <v/>
      </c>
      <c r="AG129" s="897"/>
      <c r="AH129" s="897"/>
      <c r="AI129" s="897"/>
      <c r="AJ129" s="893"/>
      <c r="AK129" s="893"/>
      <c r="AL129" s="897"/>
      <c r="AM129" s="897"/>
      <c r="AN129" s="897"/>
      <c r="AO129" s="897"/>
      <c r="AP129" s="897"/>
      <c r="AQ129" s="897"/>
      <c r="AR129" s="897"/>
      <c r="AS129" s="897"/>
      <c r="AT129" s="897"/>
      <c r="AU129" s="897"/>
      <c r="AV129" s="897"/>
      <c r="AW129" s="897"/>
      <c r="AX129" s="897"/>
      <c r="AY129" s="897"/>
      <c r="AZ129" s="893"/>
      <c r="BA129" s="893"/>
      <c r="BB129" s="893"/>
      <c r="BC129" s="897"/>
      <c r="BD129" s="897"/>
      <c r="BE129" s="897"/>
      <c r="BF129" s="893"/>
      <c r="BG129" s="897"/>
      <c r="BH129" s="897"/>
      <c r="BI129" s="897"/>
      <c r="BJ129" s="897"/>
      <c r="BK129" s="897"/>
      <c r="BL129" s="897"/>
      <c r="BM129" s="897"/>
      <c r="BN129" s="897"/>
      <c r="BO129" s="897"/>
      <c r="BP129" s="897"/>
      <c r="BQ129" s="897"/>
      <c r="BR129" s="897"/>
      <c r="BS129" s="893"/>
      <c r="BT129" s="893"/>
      <c r="BU129" s="897"/>
      <c r="BV129" s="897"/>
      <c r="BW129" s="897"/>
      <c r="BX129" s="897"/>
      <c r="BY129" s="897"/>
      <c r="BZ129" s="897"/>
      <c r="CA129" s="897"/>
      <c r="CB129" s="897"/>
      <c r="CC129" s="897"/>
      <c r="CD129" s="897"/>
      <c r="CE129" s="897"/>
      <c r="CF129" s="897"/>
    </row>
    <row r="130" spans="4:84" ht="15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79"/>
        <v/>
      </c>
      <c r="M130" s="816" t="str">
        <f t="shared" si="80"/>
        <v/>
      </c>
      <c r="N130" s="816" t="str">
        <f t="shared" si="81"/>
        <v/>
      </c>
      <c r="R130" s="816" t="str">
        <f t="shared" si="82"/>
        <v/>
      </c>
      <c r="T130" s="829" t="str">
        <f t="shared" si="83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IF($J130="","",IF(SUM(IF(ISNUMBER(VALUE(RIGHT($AG130:$CK130,1))),VALUE(RIGHT($AG130:$CK130,1)),0))=$J130,"T","F"))</f>
        <v/>
      </c>
      <c r="AE130" s="816" t="str">
        <f t="array" ref="AE130">IF($J130="","",SUM(IF(LEFT($AG130:$DW130,1)="s",1,0))-SUM(IF(RIGHT(LEFT($AG130:$DW130,2))="-",1,0)))</f>
        <v/>
      </c>
      <c r="AF130" s="816" t="str">
        <f t="array" ref="AF130">IF($J130="","",SUM(IF(LEFT($AG130:$DC130,1)="X",1,0)))</f>
        <v/>
      </c>
      <c r="AG130" s="897"/>
      <c r="AH130" s="897"/>
      <c r="AI130" s="897"/>
      <c r="AJ130" s="893"/>
      <c r="AK130" s="893"/>
      <c r="AL130" s="897"/>
      <c r="AM130" s="897"/>
      <c r="AN130" s="897"/>
      <c r="AO130" s="897"/>
      <c r="AP130" s="897"/>
      <c r="AQ130" s="897"/>
      <c r="AR130" s="897"/>
      <c r="AS130" s="897"/>
      <c r="AT130" s="897"/>
      <c r="AU130" s="897"/>
      <c r="AV130" s="897"/>
      <c r="AW130" s="897"/>
      <c r="AX130" s="897"/>
      <c r="AY130" s="897"/>
      <c r="AZ130" s="893"/>
      <c r="BA130" s="893"/>
      <c r="BB130" s="893"/>
      <c r="BC130" s="897"/>
      <c r="BD130" s="897"/>
      <c r="BE130" s="897"/>
      <c r="BF130" s="893"/>
      <c r="BG130" s="897"/>
      <c r="BH130" s="897"/>
      <c r="BI130" s="897"/>
      <c r="BJ130" s="897"/>
      <c r="BK130" s="897"/>
      <c r="BL130" s="897"/>
      <c r="BM130" s="897"/>
      <c r="BN130" s="897"/>
      <c r="BO130" s="897"/>
      <c r="BP130" s="897"/>
      <c r="BQ130" s="897"/>
      <c r="BR130" s="897"/>
      <c r="BS130" s="893"/>
      <c r="BT130" s="893"/>
      <c r="BU130" s="897"/>
      <c r="BV130" s="897"/>
      <c r="BW130" s="897"/>
      <c r="BX130" s="897"/>
      <c r="BY130" s="897"/>
      <c r="BZ130" s="897"/>
      <c r="CA130" s="897"/>
      <c r="CB130" s="897"/>
      <c r="CC130" s="897"/>
      <c r="CD130" s="897"/>
      <c r="CE130" s="897"/>
      <c r="CF130" s="897"/>
    </row>
    <row r="131" spans="4:84" ht="15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79"/>
        <v/>
      </c>
      <c r="M131" s="816" t="str">
        <f t="shared" si="80"/>
        <v/>
      </c>
      <c r="N131" s="816" t="str">
        <f t="shared" si="81"/>
        <v/>
      </c>
      <c r="R131" s="816" t="str">
        <f t="shared" si="82"/>
        <v/>
      </c>
      <c r="T131" s="829" t="str">
        <f t="shared" si="83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IF($J131="","",IF(SUM(IF(ISNUMBER(VALUE(RIGHT($AG131:$CK131,1))),VALUE(RIGHT($AG131:$CK131,1)),0))=$J131,"T","F"))</f>
        <v/>
      </c>
      <c r="AE131" s="816" t="str">
        <f t="array" ref="AE131">IF($J131="","",SUM(IF(LEFT($AG131:$DW131,1)="s",1,0))-SUM(IF(RIGHT(LEFT($AG131:$DW131,2))="-",1,0)))</f>
        <v/>
      </c>
      <c r="AF131" s="816" t="str">
        <f t="array" ref="AF131">IF($J131="","",SUM(IF(LEFT($AG131:$DC131,1)="X",1,0)))</f>
        <v/>
      </c>
      <c r="AG131" s="897"/>
      <c r="AH131" s="897"/>
      <c r="AI131" s="897"/>
      <c r="AJ131" s="893"/>
      <c r="AK131" s="893"/>
      <c r="AL131" s="897"/>
      <c r="AM131" s="897"/>
      <c r="AN131" s="897"/>
      <c r="AO131" s="897"/>
      <c r="AP131" s="897"/>
      <c r="AQ131" s="897"/>
      <c r="AR131" s="897"/>
      <c r="AS131" s="897"/>
      <c r="AT131" s="897"/>
      <c r="AU131" s="897"/>
      <c r="AV131" s="897"/>
      <c r="AW131" s="897"/>
      <c r="AX131" s="897"/>
      <c r="AY131" s="897"/>
      <c r="AZ131" s="893"/>
      <c r="BA131" s="893"/>
      <c r="BB131" s="893"/>
      <c r="BC131" s="897"/>
      <c r="BD131" s="897"/>
      <c r="BE131" s="897"/>
      <c r="BF131" s="893"/>
      <c r="BG131" s="897"/>
      <c r="BH131" s="897"/>
      <c r="BI131" s="897"/>
      <c r="BJ131" s="897"/>
      <c r="BK131" s="897"/>
      <c r="BL131" s="897"/>
      <c r="BM131" s="897"/>
      <c r="BN131" s="897"/>
      <c r="BO131" s="897"/>
      <c r="BP131" s="897"/>
      <c r="BQ131" s="897"/>
      <c r="BR131" s="897"/>
      <c r="BS131" s="893"/>
      <c r="BT131" s="893"/>
      <c r="BU131" s="897"/>
      <c r="BV131" s="897"/>
      <c r="BW131" s="897"/>
      <c r="BX131" s="897"/>
      <c r="BY131" s="897"/>
      <c r="BZ131" s="897"/>
      <c r="CA131" s="897"/>
      <c r="CB131" s="897"/>
      <c r="CC131" s="897"/>
      <c r="CD131" s="897"/>
      <c r="CE131" s="897"/>
      <c r="CF131" s="897"/>
    </row>
    <row r="132" spans="4:84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79"/>
        <v/>
      </c>
      <c r="M132" s="816" t="str">
        <f t="shared" si="80"/>
        <v/>
      </c>
      <c r="N132" s="816" t="str">
        <f t="shared" si="81"/>
        <v/>
      </c>
      <c r="R132" s="816" t="str">
        <f t="shared" si="82"/>
        <v/>
      </c>
      <c r="T132" s="829" t="str">
        <f t="shared" si="83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IF($J132="","",IF(SUM(IF(ISNUMBER(VALUE(RIGHT($AG132:$CK132,1))),VALUE(RIGHT($AG132:$CK132,1)),0))=$J132,"T","F"))</f>
        <v/>
      </c>
      <c r="AE132" s="816" t="str">
        <f t="array" ref="AE132">IF($J132="","",SUM(IF(LEFT($AG132:$DW132,1)="s",1,0))-SUM(IF(RIGHT(LEFT($AG132:$DW132,2))="-",1,0)))</f>
        <v/>
      </c>
      <c r="AF132" s="816" t="str">
        <f t="array" ref="AF132">IF($J132="","",SUM(IF(LEFT($AG132:$DC132,1)="X",1,0)))</f>
        <v/>
      </c>
    </row>
    <row r="133" spans="4:84">
      <c r="D133" s="816" t="str">
        <f>IF(I133=Table!$C$1,VLOOKUP(G133,Table!$B$38:$AO$61,Table!$AO$35-1,FALSE),"")</f>
        <v/>
      </c>
      <c r="E133" s="816" t="s">
        <v>32</v>
      </c>
      <c r="F133" s="816" t="str">
        <f>IF(I133="","",IF(I133=Table!$C$1,VLOOKUP(G133,Table!$B$9:$AE$32,Table!$AE$6-1,FALSE),""))</f>
        <v/>
      </c>
      <c r="G133" s="833"/>
      <c r="H133" s="833"/>
      <c r="I133" s="833"/>
      <c r="J133" s="833"/>
      <c r="K133" s="833"/>
      <c r="L133" s="816" t="str">
        <f t="shared" si="79"/>
        <v/>
      </c>
      <c r="M133" s="816" t="str">
        <f t="shared" si="80"/>
        <v/>
      </c>
      <c r="N133" s="816" t="str">
        <f t="shared" si="81"/>
        <v/>
      </c>
      <c r="R133" s="816" t="str">
        <f t="shared" si="82"/>
        <v/>
      </c>
      <c r="T133" s="829" t="str">
        <f t="shared" si="83"/>
        <v/>
      </c>
      <c r="U133" s="829"/>
      <c r="V133" s="829"/>
      <c r="W133" s="829"/>
      <c r="X133" s="829"/>
      <c r="Y133" s="829"/>
      <c r="Z133" s="829"/>
      <c r="AA133" s="829"/>
      <c r="AB133" s="829"/>
      <c r="AC133" s="829"/>
      <c r="AD133" s="816" t="str">
        <f t="array" ref="AD133">IF($J133="","",IF(SUM(IF(ISNUMBER(VALUE(RIGHT($AG133:$CK133,1))),VALUE(RIGHT($AG133:$CK133,1)),0))=$J133,"T","F"))</f>
        <v/>
      </c>
      <c r="AE133" s="816" t="str">
        <f t="array" ref="AE133">IF($J133="","",SUM(IF(LEFT($AG133:$DW133,1)="s",1,0))-SUM(IF(RIGHT(LEFT($AG133:$DW133,2))="-",1,0)))</f>
        <v/>
      </c>
      <c r="AF133" s="816" t="str">
        <f t="array" ref="AF133">IF($J133="","",SUM(IF(LEFT($AG133:$DC133,1)="X",1,0)))</f>
        <v/>
      </c>
    </row>
    <row r="134" spans="4:84">
      <c r="D134" s="816" t="str">
        <f>IF(I134=Table!$C$1,VLOOKUP(G134,Table!$B$38:$AO$61,Table!$AO$35-1,FALSE),"")</f>
        <v/>
      </c>
      <c r="E134" s="816" t="s">
        <v>32</v>
      </c>
      <c r="F134" s="816" t="str">
        <f>IF(I134="","",IF(I134=Table!$C$1,VLOOKUP(G134,Table!$B$9:$AE$32,Table!$AE$6-1,FALSE),""))</f>
        <v/>
      </c>
      <c r="G134" s="833"/>
      <c r="H134" s="833"/>
      <c r="I134" s="833"/>
      <c r="J134" s="833"/>
      <c r="K134" s="833"/>
      <c r="L134" s="816" t="str">
        <f t="shared" si="79"/>
        <v/>
      </c>
      <c r="M134" s="816" t="str">
        <f t="shared" si="80"/>
        <v/>
      </c>
      <c r="N134" s="816" t="str">
        <f t="shared" si="81"/>
        <v/>
      </c>
      <c r="R134" s="816" t="str">
        <f t="shared" si="82"/>
        <v/>
      </c>
      <c r="T134" s="829" t="str">
        <f t="shared" si="83"/>
        <v/>
      </c>
      <c r="U134" s="829"/>
      <c r="V134" s="829"/>
      <c r="W134" s="829"/>
      <c r="X134" s="829"/>
      <c r="Y134" s="829"/>
      <c r="Z134" s="829"/>
      <c r="AA134" s="829"/>
      <c r="AB134" s="829"/>
      <c r="AC134" s="829"/>
      <c r="AD134" s="816" t="str">
        <f t="array" ref="AD134">IF($J134="","",IF(SUM(IF(ISNUMBER(VALUE(RIGHT($AG134:$CK134,1))),VALUE(RIGHT($AG134:$CK134,1)),0))=$J134,"T","F"))</f>
        <v/>
      </c>
      <c r="AE134" s="816" t="str">
        <f t="array" ref="AE134">IF($J134="","",SUM(IF(LEFT($AG134:$DW134,1)="s",1,0))-SUM(IF(RIGHT(LEFT($AG134:$DW134,2))="-",1,0)))</f>
        <v/>
      </c>
      <c r="AF134" s="816" t="str">
        <f t="array" ref="AF134">IF($J134="","",SUM(IF(LEFT($AG134:$DC134,1)="X",1,0)))</f>
        <v/>
      </c>
    </row>
    <row r="135" spans="4:84">
      <c r="D135" s="816" t="str">
        <f>IF(I135=Table!$C$1,VLOOKUP(G135,Table!$B$38:$AO$61,Table!$AO$35-1,FALSE),"")</f>
        <v/>
      </c>
      <c r="E135" s="816" t="s">
        <v>32</v>
      </c>
      <c r="F135" s="816" t="str">
        <f>IF(I135="","",IF(I135=Table!$C$1,VLOOKUP(G135,Table!$B$9:$AE$32,Table!$AE$6-1,FALSE),""))</f>
        <v/>
      </c>
      <c r="G135" s="833"/>
      <c r="H135" s="833"/>
      <c r="I135" s="833"/>
      <c r="J135" s="833"/>
      <c r="K135" s="833"/>
      <c r="L135" s="816" t="str">
        <f t="shared" si="79"/>
        <v/>
      </c>
      <c r="M135" s="816" t="str">
        <f t="shared" si="80"/>
        <v/>
      </c>
      <c r="N135" s="816" t="str">
        <f t="shared" si="81"/>
        <v/>
      </c>
      <c r="R135" s="816" t="str">
        <f t="shared" si="82"/>
        <v/>
      </c>
      <c r="T135" s="829" t="str">
        <f t="shared" si="83"/>
        <v/>
      </c>
      <c r="U135" s="829"/>
      <c r="V135" s="829"/>
      <c r="W135" s="829"/>
      <c r="X135" s="829"/>
      <c r="Y135" s="829"/>
      <c r="Z135" s="829"/>
      <c r="AA135" s="829"/>
      <c r="AB135" s="829"/>
      <c r="AC135" s="829"/>
      <c r="AD135" s="816" t="str">
        <f t="array" ref="AD135">IF($J135="","",IF(SUM(IF(ISNUMBER(VALUE(RIGHT($AG135:$CK135,1))),VALUE(RIGHT($AG135:$CK135,1)),0))=$J135,"T","F"))</f>
        <v/>
      </c>
      <c r="AE135" s="816" t="str">
        <f t="array" ref="AE135">IF($J135="","",SUM(IF(LEFT($AG135:$DW135,1)="s",1,0))-SUM(IF(RIGHT(LEFT($AG135:$DW135,2))="-",1,0)))</f>
        <v/>
      </c>
      <c r="AF135" s="816" t="str">
        <f t="array" ref="AF135">IF($J135="","",SUM(IF(LEFT($AG135:$DC135,1)="X",1,0)))</f>
        <v/>
      </c>
    </row>
    <row r="136" spans="4:84">
      <c r="D136" s="816" t="str">
        <f>IF(I136=Table!$C$1,VLOOKUP(G136,Table!$B$38:$AO$61,Table!$AO$35-1,FALSE),"")</f>
        <v/>
      </c>
      <c r="E136" s="816" t="s">
        <v>32</v>
      </c>
      <c r="F136" s="816" t="str">
        <f>IF(I136="","",IF(I136=Table!$C$1,VLOOKUP(G136,Table!$B$9:$AE$32,Table!$AE$6-1,FALSE),""))</f>
        <v/>
      </c>
      <c r="G136" s="833"/>
      <c r="H136" s="833"/>
      <c r="I136" s="833"/>
      <c r="J136" s="833"/>
      <c r="K136" s="833"/>
      <c r="L136" s="816" t="str">
        <f t="shared" si="79"/>
        <v/>
      </c>
      <c r="M136" s="816" t="str">
        <f t="shared" si="80"/>
        <v/>
      </c>
      <c r="N136" s="816" t="str">
        <f t="shared" si="81"/>
        <v/>
      </c>
      <c r="R136" s="816" t="str">
        <f t="shared" si="82"/>
        <v/>
      </c>
      <c r="T136" s="829" t="str">
        <f t="shared" si="83"/>
        <v/>
      </c>
      <c r="U136" s="829"/>
      <c r="V136" s="829"/>
      <c r="W136" s="829"/>
      <c r="X136" s="829"/>
      <c r="Y136" s="829"/>
      <c r="Z136" s="829"/>
      <c r="AA136" s="829"/>
      <c r="AB136" s="829"/>
      <c r="AC136" s="829"/>
      <c r="AD136" s="816" t="str">
        <f t="array" ref="AD136">IF($J136="","",IF(SUM(IF(ISNUMBER(VALUE(RIGHT($AG136:$CK136,1))),VALUE(RIGHT($AG136:$CK136,1)),0))=$J136,"T","F"))</f>
        <v/>
      </c>
      <c r="AE136" s="816" t="str">
        <f t="array" ref="AE136">IF($J136="","",SUM(IF(LEFT($AG136:$DW136,1)="s",1,0))-SUM(IF(RIGHT(LEFT($AG136:$DW136,2))="-",1,0)))</f>
        <v/>
      </c>
      <c r="AF136" s="816" t="str">
        <f t="array" ref="AF136">IF($J136="","",SUM(IF(LEFT($AG136:$DC136,1)="X",1,0)))</f>
        <v/>
      </c>
    </row>
    <row r="137" spans="4:84">
      <c r="D137" s="816" t="str">
        <f>IF(I137=Table!$C$1,VLOOKUP(G137,Table!$B$38:$AO$61,Table!$AO$35-1,FALSE),"")</f>
        <v/>
      </c>
      <c r="E137" s="816" t="s">
        <v>32</v>
      </c>
      <c r="F137" s="816" t="str">
        <f>IF(I137="","",IF(I137=Table!$C$1,VLOOKUP(G137,Table!$B$9:$AE$32,Table!$AE$6-1,FALSE),""))</f>
        <v/>
      </c>
      <c r="G137" s="833"/>
      <c r="H137" s="833"/>
      <c r="I137" s="833"/>
      <c r="J137" s="833"/>
      <c r="K137" s="833"/>
      <c r="L137" s="816" t="str">
        <f t="shared" si="79"/>
        <v/>
      </c>
      <c r="M137" s="816" t="str">
        <f t="shared" si="80"/>
        <v/>
      </c>
      <c r="N137" s="816" t="str">
        <f t="shared" si="81"/>
        <v/>
      </c>
      <c r="R137" s="816" t="str">
        <f t="shared" si="82"/>
        <v/>
      </c>
      <c r="T137" s="829" t="str">
        <f t="shared" si="83"/>
        <v/>
      </c>
      <c r="U137" s="829"/>
      <c r="V137" s="829"/>
      <c r="W137" s="829"/>
      <c r="X137" s="829"/>
      <c r="Y137" s="829"/>
      <c r="Z137" s="829"/>
      <c r="AA137" s="829"/>
      <c r="AB137" s="829"/>
      <c r="AC137" s="829"/>
      <c r="AD137" s="816" t="str">
        <f t="array" ref="AD137">IF($J137="","",IF(SUM(IF(ISNUMBER(VALUE(RIGHT($AG137:$CK137,1))),VALUE(RIGHT($AG137:$CK137,1)),0))=$J137,"T","F"))</f>
        <v/>
      </c>
      <c r="AE137" s="816" t="str">
        <f t="array" ref="AE137">IF($J137="","",SUM(IF(LEFT($AG137:$DW137,1)="s",1,0))-SUM(IF(RIGHT(LEFT($AG137:$DW137,2))="-",1,0)))</f>
        <v/>
      </c>
      <c r="AF137" s="816" t="str">
        <f t="array" ref="AF137">IF($J137="","",SUM(IF(LEFT($AG137:$DC137,1)="X",1,0)))</f>
        <v/>
      </c>
    </row>
    <row r="138" spans="4:84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84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84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84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84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84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84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  <row r="240" spans="7:29">
      <c r="G240" s="833"/>
      <c r="H240" s="833"/>
      <c r="I240" s="833"/>
      <c r="J240" s="833"/>
      <c r="K240" s="833"/>
      <c r="T240" s="829"/>
      <c r="U240" s="829"/>
      <c r="V240" s="829"/>
      <c r="W240" s="829"/>
      <c r="X240" s="829"/>
      <c r="Y240" s="829"/>
      <c r="Z240" s="829"/>
      <c r="AA240" s="829"/>
      <c r="AB240" s="829"/>
      <c r="AC240" s="829"/>
    </row>
    <row r="241" spans="7:29">
      <c r="G241" s="833"/>
      <c r="H241" s="833"/>
      <c r="I241" s="833"/>
      <c r="J241" s="833"/>
      <c r="K241" s="833"/>
      <c r="T241" s="829"/>
      <c r="U241" s="829"/>
      <c r="V241" s="829"/>
      <c r="W241" s="829"/>
      <c r="X241" s="829"/>
      <c r="Y241" s="829"/>
      <c r="Z241" s="829"/>
      <c r="AA241" s="829"/>
      <c r="AB241" s="829"/>
      <c r="AC241" s="829"/>
    </row>
    <row r="242" spans="7:29">
      <c r="G242" s="833"/>
      <c r="H242" s="833"/>
      <c r="I242" s="833"/>
      <c r="J242" s="833"/>
      <c r="K242" s="833"/>
      <c r="T242" s="829"/>
      <c r="U242" s="829"/>
      <c r="V242" s="829"/>
      <c r="W242" s="829"/>
      <c r="X242" s="829"/>
      <c r="Y242" s="829"/>
      <c r="Z242" s="829"/>
      <c r="AA242" s="829"/>
      <c r="AB242" s="829"/>
      <c r="AC242" s="829"/>
    </row>
    <row r="243" spans="7:29">
      <c r="G243" s="833"/>
      <c r="H243" s="833"/>
      <c r="I243" s="833"/>
      <c r="J243" s="833"/>
      <c r="K243" s="833"/>
      <c r="T243" s="829"/>
      <c r="U243" s="829"/>
      <c r="V243" s="829"/>
      <c r="W243" s="829"/>
      <c r="X243" s="829"/>
      <c r="Y243" s="829"/>
      <c r="Z243" s="829"/>
      <c r="AA243" s="829"/>
      <c r="AB243" s="829"/>
      <c r="AC243" s="829"/>
    </row>
    <row r="244" spans="7:29">
      <c r="G244" s="833"/>
      <c r="H244" s="833"/>
      <c r="I244" s="833"/>
      <c r="J244" s="833"/>
      <c r="K244" s="833"/>
      <c r="T244" s="829"/>
      <c r="U244" s="829"/>
      <c r="V244" s="829"/>
      <c r="W244" s="829"/>
      <c r="X244" s="829"/>
      <c r="Y244" s="829"/>
      <c r="Z244" s="829"/>
      <c r="AA244" s="829"/>
      <c r="AB244" s="829"/>
      <c r="AC244" s="829"/>
    </row>
  </sheetData>
  <autoFilter ref="A22:DI84"/>
  <mergeCells count="3">
    <mergeCell ref="W19:X19"/>
    <mergeCell ref="Y19:Z19"/>
    <mergeCell ref="AA19:AB19"/>
  </mergeCells>
  <phoneticPr fontId="21" type="noConversion"/>
  <conditionalFormatting sqref="AD23:AD314">
    <cfRule type="cellIs" dxfId="983" priority="104" operator="equal">
      <formula>"T"</formula>
    </cfRule>
  </conditionalFormatting>
  <conditionalFormatting sqref="N23:N314">
    <cfRule type="cellIs" dxfId="982" priority="111" stopIfTrue="1" operator="equal">
      <formula>"U"</formula>
    </cfRule>
    <cfRule type="cellIs" dxfId="981" priority="112" stopIfTrue="1" operator="equal">
      <formula>"O"</formula>
    </cfRule>
  </conditionalFormatting>
  <conditionalFormatting sqref="L23:L314">
    <cfRule type="cellIs" dxfId="980" priority="109" stopIfTrue="1" operator="equal">
      <formula>"W"</formula>
    </cfRule>
    <cfRule type="cellIs" dxfId="979" priority="110" stopIfTrue="1" operator="equal">
      <formula>"D"</formula>
    </cfRule>
  </conditionalFormatting>
  <conditionalFormatting sqref="AF23:AF314">
    <cfRule type="cellIs" dxfId="978" priority="107" stopIfTrue="1" operator="notEqual">
      <formula>11</formula>
    </cfRule>
    <cfRule type="cellIs" dxfId="977" priority="108" stopIfTrue="1" operator="between">
      <formula>0</formula>
      <formula>20</formula>
    </cfRule>
  </conditionalFormatting>
  <conditionalFormatting sqref="AE23:AE314">
    <cfRule type="cellIs" dxfId="976" priority="105" stopIfTrue="1" operator="notEqual">
      <formula>0</formula>
    </cfRule>
    <cfRule type="cellIs" dxfId="975" priority="106" stopIfTrue="1" operator="between">
      <formula>0</formula>
      <formula>20</formula>
    </cfRule>
  </conditionalFormatting>
  <conditionalFormatting sqref="CH19:CY19">
    <cfRule type="expression" dxfId="974" priority="100">
      <formula>CH19="G"</formula>
    </cfRule>
    <cfRule type="expression" dxfId="973" priority="101">
      <formula>CH19="M"</formula>
    </cfRule>
    <cfRule type="expression" dxfId="972" priority="102">
      <formula>CH19="D"</formula>
    </cfRule>
    <cfRule type="expression" dxfId="971" priority="103">
      <formula>CH19="A"</formula>
    </cfRule>
  </conditionalFormatting>
  <conditionalFormatting sqref="BB19:BJ19 AK19:AM19 AO19:AZ19 BL19:CG19">
    <cfRule type="expression" dxfId="970" priority="96">
      <formula>AK19="G"</formula>
    </cfRule>
    <cfRule type="expression" dxfId="969" priority="97">
      <formula>OR(AK19="M",AK19="CM",AK19="LM",AK19="RM",AK19="DM",AK19="AM")</formula>
    </cfRule>
    <cfRule type="expression" dxfId="968" priority="98">
      <formula>OR(AK19="D",AK19="CB",AK19="LB",AK19="RB")</formula>
    </cfRule>
    <cfRule type="expression" dxfId="967" priority="99">
      <formula>OR(AK19="A",AK19="CF",AK19="SS",AK19="ST",AK19="RW",AK19="LW")</formula>
    </cfRule>
  </conditionalFormatting>
  <conditionalFormatting sqref="BU23:BX25 AH39:AJ39 AP39:AQ39 AX39:AZ39 BH39:BI39 BK39 BC39:BF39 BB23:BJ26 BB27:BK38 BM23:BM46 AM39 AG40:AM49 AG23:AM38 AT39:AU39 AO23:AZ38 AG71:BV76 BB40:BK49 BA23:BA49 AO40:AZ48 AO51:AR51 AO49:AX49 AZ49 BU27:BX74 BN23:BV69 BM48:BM69 BL23:BL69 AS50:BK51 AO58:AP69 AG70:AP70 AR70:BV70 AO52:BK57 AG51:AM69 AR58:BK68 AQ58:AQ70 AR69:BH69 BJ69:BK69">
    <cfRule type="expression" dxfId="966" priority="94">
      <formula>IF(ISNUMBER(VALUE(RIGHT(AG23,1))),1,0)</formula>
    </cfRule>
  </conditionalFormatting>
  <conditionalFormatting sqref="BU26:BX26">
    <cfRule type="expression" dxfId="965" priority="84">
      <formula>IF(ISNUMBER(VALUE(RIGHT(BU26,1))),1,0)</formula>
    </cfRule>
  </conditionalFormatting>
  <conditionalFormatting sqref="AG76:AH76">
    <cfRule type="expression" dxfId="964" priority="75">
      <formula>IF(ISNUMBER(VALUE(RIGHT(AG76,1))),1,0)</formula>
    </cfRule>
  </conditionalFormatting>
  <conditionalFormatting sqref="BB19:BJ19 AG19:AM19 AO19:AZ19 BL19:BR19">
    <cfRule type="cellIs" dxfId="963" priority="72" operator="equal">
      <formula>"M"</formula>
    </cfRule>
  </conditionalFormatting>
  <conditionalFormatting sqref="BB19:BJ19 AG19:AM19 AO19:AZ19 BL19:BR19">
    <cfRule type="cellIs" dxfId="962" priority="71" operator="equal">
      <formula>"D"</formula>
    </cfRule>
  </conditionalFormatting>
  <conditionalFormatting sqref="BB19:BJ19 AG19:AM19 AO19:AZ19 BL19:BR19">
    <cfRule type="cellIs" dxfId="961" priority="69" operator="equal">
      <formula>"G"</formula>
    </cfRule>
    <cfRule type="cellIs" dxfId="960" priority="70" operator="equal">
      <formula>"A"</formula>
    </cfRule>
  </conditionalFormatting>
  <conditionalFormatting sqref="BB19:BJ19 AG19:AM19 AO19:AZ19 BL19:BR19">
    <cfRule type="containsText" dxfId="959" priority="66" operator="containsText" text="FW">
      <formula>NOT(ISERROR(SEARCH("FW",AG19)))</formula>
    </cfRule>
    <cfRule type="containsText" dxfId="958" priority="67" operator="containsText" text="MF">
      <formula>NOT(ISERROR(SEARCH("MF",AG19)))</formula>
    </cfRule>
    <cfRule type="containsText" dxfId="957" priority="68" operator="containsText" text="DF">
      <formula>NOT(ISERROR(SEARCH("DF",AG19)))</formula>
    </cfRule>
  </conditionalFormatting>
  <conditionalFormatting sqref="BS14:BT17">
    <cfRule type="top10" dxfId="956" priority="65" rank="11"/>
  </conditionalFormatting>
  <conditionalFormatting sqref="BK26">
    <cfRule type="expression" dxfId="955" priority="53">
      <formula>IF(ISNUMBER(VALUE(RIGHT(BK26,1))),1,0)</formula>
    </cfRule>
  </conditionalFormatting>
  <conditionalFormatting sqref="AG39">
    <cfRule type="expression" dxfId="954" priority="52">
      <formula>IF(ISNUMBER(VALUE(RIGHT(AG39,1))),1,0)</formula>
    </cfRule>
  </conditionalFormatting>
  <conditionalFormatting sqref="AL39">
    <cfRule type="expression" dxfId="953" priority="51">
      <formula>IF(ISNUMBER(VALUE(RIGHT(AL39,1))),1,0)</formula>
    </cfRule>
  </conditionalFormatting>
  <conditionalFormatting sqref="AO39">
    <cfRule type="expression" dxfId="952" priority="50">
      <formula>IF(ISNUMBER(VALUE(RIGHT(AO39,1))),1,0)</formula>
    </cfRule>
  </conditionalFormatting>
  <conditionalFormatting sqref="AW39">
    <cfRule type="expression" dxfId="951" priority="49">
      <formula>IF(ISNUMBER(VALUE(RIGHT(AW39,1))),1,0)</formula>
    </cfRule>
  </conditionalFormatting>
  <conditionalFormatting sqref="AV39">
    <cfRule type="expression" dxfId="950" priority="48">
      <formula>IF(ISNUMBER(VALUE(RIGHT(AV39,1))),1,0)</formula>
    </cfRule>
  </conditionalFormatting>
  <conditionalFormatting sqref="AK39">
    <cfRule type="expression" dxfId="949" priority="47">
      <formula>IF(ISNUMBER(VALUE(RIGHT(AK39,1))),1,0)</formula>
    </cfRule>
  </conditionalFormatting>
  <conditionalFormatting sqref="AR39">
    <cfRule type="expression" dxfId="948" priority="46">
      <formula>IF(ISNUMBER(VALUE(RIGHT(AR39,1))),1,0)</formula>
    </cfRule>
  </conditionalFormatting>
  <conditionalFormatting sqref="AS39">
    <cfRule type="expression" dxfId="947" priority="45">
      <formula>IF(ISNUMBER(VALUE(RIGHT(AS39,1))),1,0)</formula>
    </cfRule>
  </conditionalFormatting>
  <conditionalFormatting sqref="BG39">
    <cfRule type="expression" dxfId="946" priority="44">
      <formula>IF(ISNUMBER(VALUE(RIGHT(BG39,1))),1,0)</formula>
    </cfRule>
  </conditionalFormatting>
  <conditionalFormatting sqref="BJ39">
    <cfRule type="expression" dxfId="945" priority="43">
      <formula>IF(ISNUMBER(VALUE(RIGHT(BJ39,1))),1,0)</formula>
    </cfRule>
  </conditionalFormatting>
  <conditionalFormatting sqref="BB39">
    <cfRule type="expression" dxfId="944" priority="42">
      <formula>IF(ISNUMBER(VALUE(RIGHT(BB39,1))),1,0)</formula>
    </cfRule>
  </conditionalFormatting>
  <conditionalFormatting sqref="BA19">
    <cfRule type="expression" dxfId="943" priority="38">
      <formula>BA19="G"</formula>
    </cfRule>
    <cfRule type="expression" dxfId="942" priority="39">
      <formula>OR(BA19="M",BA19="CM",BA19="LM",BA19="RM",BA19="DM",BA19="AM")</formula>
    </cfRule>
    <cfRule type="expression" dxfId="941" priority="40">
      <formula>OR(BA19="D",BA19="CB",BA19="LB",BA19="RB")</formula>
    </cfRule>
    <cfRule type="expression" dxfId="940" priority="41">
      <formula>OR(BA19="A",BA19="CF",BA19="SS",BA19="ST",BA19="RW",BA19="LW")</formula>
    </cfRule>
  </conditionalFormatting>
  <conditionalFormatting sqref="BA19">
    <cfRule type="cellIs" dxfId="939" priority="37" operator="equal">
      <formula>"M"</formula>
    </cfRule>
  </conditionalFormatting>
  <conditionalFormatting sqref="BA19">
    <cfRule type="cellIs" dxfId="938" priority="36" operator="equal">
      <formula>"D"</formula>
    </cfRule>
  </conditionalFormatting>
  <conditionalFormatting sqref="BA19">
    <cfRule type="cellIs" dxfId="937" priority="34" operator="equal">
      <formula>"G"</formula>
    </cfRule>
    <cfRule type="cellIs" dxfId="936" priority="35" operator="equal">
      <formula>"A"</formula>
    </cfRule>
  </conditionalFormatting>
  <conditionalFormatting sqref="BA19">
    <cfRule type="containsText" dxfId="935" priority="31" operator="containsText" text="FW">
      <formula>NOT(ISERROR(SEARCH("FW",BA19)))</formula>
    </cfRule>
    <cfRule type="containsText" dxfId="934" priority="32" operator="containsText" text="MF">
      <formula>NOT(ISERROR(SEARCH("MF",BA19)))</formula>
    </cfRule>
    <cfRule type="containsText" dxfId="933" priority="33" operator="containsText" text="DF">
      <formula>NOT(ISERROR(SEARCH("DF",BA19)))</formula>
    </cfRule>
  </conditionalFormatting>
  <conditionalFormatting sqref="BM47">
    <cfRule type="expression" dxfId="932" priority="29">
      <formula>IF(ISNUMBER(VALUE(RIGHT(BM47,1))),1,0)</formula>
    </cfRule>
  </conditionalFormatting>
  <conditionalFormatting sqref="BZ16:CF16 BU16 AG16:BR16">
    <cfRule type="top10" dxfId="931" priority="861" stopIfTrue="1" rank="5"/>
  </conditionalFormatting>
  <conditionalFormatting sqref="BZ15:CF15 BU15 AG15:BR15">
    <cfRule type="top10" dxfId="930" priority="866" rank="11"/>
  </conditionalFormatting>
  <conditionalFormatting sqref="BZ17:CF17 BU17 AG17:BR17">
    <cfRule type="top10" dxfId="929" priority="871" stopIfTrue="1" rank="5"/>
  </conditionalFormatting>
  <conditionalFormatting sqref="BZ14:CF14 BU14 AG14:BR14">
    <cfRule type="top10" dxfId="928" priority="876" rank="11"/>
  </conditionalFormatting>
  <conditionalFormatting sqref="AN19">
    <cfRule type="expression" dxfId="927" priority="25">
      <formula>AN19="G"</formula>
    </cfRule>
    <cfRule type="expression" dxfId="926" priority="26">
      <formula>OR(AN19="M",AN19="CM",AN19="LM",AN19="RM",AN19="DM",AN19="AM")</formula>
    </cfRule>
    <cfRule type="expression" dxfId="925" priority="27">
      <formula>OR(AN19="D",AN19="CB",AN19="LB",AN19="RB")</formula>
    </cfRule>
    <cfRule type="expression" dxfId="924" priority="28">
      <formula>OR(AN19="A",AN19="CF",AN19="SS",AN19="ST",AN19="RW",AN19="LW")</formula>
    </cfRule>
  </conditionalFormatting>
  <conditionalFormatting sqref="AN19">
    <cfRule type="cellIs" dxfId="923" priority="24" operator="equal">
      <formula>"M"</formula>
    </cfRule>
  </conditionalFormatting>
  <conditionalFormatting sqref="AN19">
    <cfRule type="cellIs" dxfId="922" priority="23" operator="equal">
      <formula>"D"</formula>
    </cfRule>
  </conditionalFormatting>
  <conditionalFormatting sqref="AN19">
    <cfRule type="cellIs" dxfId="921" priority="21" operator="equal">
      <formula>"G"</formula>
    </cfRule>
    <cfRule type="cellIs" dxfId="920" priority="22" operator="equal">
      <formula>"A"</formula>
    </cfRule>
  </conditionalFormatting>
  <conditionalFormatting sqref="AN19">
    <cfRule type="containsText" dxfId="919" priority="18" operator="containsText" text="FW">
      <formula>NOT(ISERROR(SEARCH("FW",AN19)))</formula>
    </cfRule>
    <cfRule type="containsText" dxfId="918" priority="19" operator="containsText" text="MF">
      <formula>NOT(ISERROR(SEARCH("MF",AN19)))</formula>
    </cfRule>
    <cfRule type="containsText" dxfId="917" priority="20" operator="containsText" text="DF">
      <formula>NOT(ISERROR(SEARCH("DF",AN19)))</formula>
    </cfRule>
  </conditionalFormatting>
  <conditionalFormatting sqref="AN23:AN48">
    <cfRule type="expression" dxfId="916" priority="17">
      <formula>IF(ISNUMBER(VALUE(RIGHT(AN23,1))),1,0)</formula>
    </cfRule>
  </conditionalFormatting>
  <conditionalFormatting sqref="AN49">
    <cfRule type="expression" dxfId="915" priority="16">
      <formula>IF(ISNUMBER(VALUE(RIGHT(AN49,1))),1,0)</formula>
    </cfRule>
  </conditionalFormatting>
  <conditionalFormatting sqref="AG50:AM50 AO50:AR50">
    <cfRule type="expression" dxfId="914" priority="15">
      <formula>IF(ISNUMBER(VALUE(RIGHT(AG50,1))),1,0)</formula>
    </cfRule>
  </conditionalFormatting>
  <conditionalFormatting sqref="AY49">
    <cfRule type="expression" dxfId="913" priority="14">
      <formula>IF(ISNUMBER(VALUE(RIGHT(AY49,1))),1,0)</formula>
    </cfRule>
  </conditionalFormatting>
  <conditionalFormatting sqref="AN50">
    <cfRule type="expression" dxfId="912" priority="13">
      <formula>IF(ISNUMBER(VALUE(RIGHT(AN50,1))),1,0)</formula>
    </cfRule>
  </conditionalFormatting>
  <conditionalFormatting sqref="AN51">
    <cfRule type="expression" dxfId="911" priority="12">
      <formula>IF(ISNUMBER(VALUE(RIGHT(AN51,1))),1,0)</formula>
    </cfRule>
  </conditionalFormatting>
  <conditionalFormatting sqref="AN52">
    <cfRule type="expression" dxfId="910" priority="11">
      <formula>IF(ISNUMBER(VALUE(RIGHT(AN52,1))),1,0)</formula>
    </cfRule>
  </conditionalFormatting>
  <conditionalFormatting sqref="AN53">
    <cfRule type="expression" dxfId="909" priority="10">
      <formula>IF(ISNUMBER(VALUE(RIGHT(AN53,1))),1,0)</formula>
    </cfRule>
  </conditionalFormatting>
  <conditionalFormatting sqref="AN54:AN55">
    <cfRule type="expression" dxfId="908" priority="9">
      <formula>IF(ISNUMBER(VALUE(RIGHT(AN54,1))),1,0)</formula>
    </cfRule>
  </conditionalFormatting>
  <conditionalFormatting sqref="AN56">
    <cfRule type="expression" dxfId="907" priority="8">
      <formula>IF(ISNUMBER(VALUE(RIGHT(AN56,1))),1,0)</formula>
    </cfRule>
  </conditionalFormatting>
  <conditionalFormatting sqref="AN57">
    <cfRule type="expression" dxfId="906" priority="7">
      <formula>IF(ISNUMBER(VALUE(RIGHT(AN57,1))),1,0)</formula>
    </cfRule>
  </conditionalFormatting>
  <conditionalFormatting sqref="AN59:AN61">
    <cfRule type="expression" dxfId="905" priority="6">
      <formula>IF(ISNUMBER(VALUE(RIGHT(AN59,1))),1,0)</formula>
    </cfRule>
  </conditionalFormatting>
  <conditionalFormatting sqref="AN62">
    <cfRule type="expression" dxfId="904" priority="5">
      <formula>IF(ISNUMBER(VALUE(RIGHT(AN62,1))),1,0)</formula>
    </cfRule>
  </conditionalFormatting>
  <conditionalFormatting sqref="AN63">
    <cfRule type="expression" dxfId="903" priority="4">
      <formula>IF(ISNUMBER(VALUE(RIGHT(AN63,1))),1,0)</formula>
    </cfRule>
  </conditionalFormatting>
  <conditionalFormatting sqref="AN64:AN69">
    <cfRule type="expression" dxfId="902" priority="2">
      <formula>IF(ISNUMBER(VALUE(RIGHT(AN64,1))),1,0)</formula>
    </cfRule>
  </conditionalFormatting>
  <conditionalFormatting sqref="BI69">
    <cfRule type="expression" dxfId="901" priority="1">
      <formula>IF(ISNUMBER(VALUE(RIGHT(BI69,1))),1,0)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DP239"/>
  <sheetViews>
    <sheetView zoomScale="85" zoomScaleNormal="85" workbookViewId="0">
      <pane xSplit="32" ySplit="22" topLeftCell="AG58" activePane="bottomRight" state="frozen"/>
      <selection activeCell="Q57" activeCellId="1" sqref="BA21 Q57"/>
      <selection pane="topRight" activeCell="Q57" activeCellId="1" sqref="BA21 Q57"/>
      <selection pane="bottomLeft" activeCell="Q57" activeCellId="1" sqref="BA21 Q57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1" width="4.875" style="816" customWidth="1" outlineLevel="1"/>
    <col min="22" max="22" width="5" style="816" customWidth="1" outlineLevel="1"/>
    <col min="23" max="28" width="3.625" style="816" customWidth="1" outlineLevel="1"/>
    <col min="29" max="29" width="2.375" style="816" customWidth="1" outlineLevel="1"/>
    <col min="30" max="32" width="3.75" style="816" customWidth="1"/>
    <col min="33" max="36" width="3.75" style="230" customWidth="1"/>
    <col min="37" max="37" width="3.75" bestFit="1" customWidth="1"/>
    <col min="38" max="52" width="3.75" style="230" customWidth="1"/>
    <col min="53" max="53" width="3.75" bestFit="1" customWidth="1"/>
    <col min="54" max="54" width="3.75" style="230" customWidth="1"/>
    <col min="55" max="56" width="3.75" bestFit="1" customWidth="1"/>
    <col min="57" max="57" width="3.75" style="230" customWidth="1"/>
    <col min="58" max="58" width="3.75" customWidth="1"/>
    <col min="59" max="61" width="3.75" style="230" customWidth="1"/>
    <col min="62" max="62" width="3.75" bestFit="1" customWidth="1"/>
    <col min="63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>AG20</f>
        <v>Tomohito Shugyo</v>
      </c>
      <c r="AH1" s="814" t="str">
        <f>AH20</f>
        <v>Naoto Kamifukumoto</v>
      </c>
      <c r="AI1" s="814" t="str">
        <f>AI20</f>
        <v>Shun Takagi</v>
      </c>
      <c r="AJ1" s="814"/>
      <c r="AL1" s="814" t="str">
        <f>AL20</f>
        <v>Kyohei Kuroki</v>
      </c>
      <c r="AM1" s="814"/>
      <c r="AN1" s="814" t="str">
        <f>AN20</f>
        <v>Yoshinori Suzuki</v>
      </c>
      <c r="AO1" s="814" t="str">
        <f>AO20</f>
        <v>Naoya Fukumori</v>
      </c>
      <c r="AP1" s="814"/>
      <c r="AQ1" s="814" t="str">
        <f>AQ20</f>
        <v>Koyo Sato</v>
      </c>
      <c r="AR1" s="814" t="str">
        <f>AR20</f>
        <v>Tomoki Iwata</v>
      </c>
      <c r="AS1" s="814"/>
      <c r="AT1" s="814"/>
      <c r="AU1" s="814" t="str">
        <f>AU20</f>
        <v>Rei Matsumoto</v>
      </c>
      <c r="AV1" s="814" t="str">
        <f>AW20</f>
        <v>Takumi Kiyomoto</v>
      </c>
      <c r="AW1" s="814" t="e">
        <f>#REF!</f>
        <v>#REF!</v>
      </c>
      <c r="AX1" s="814" t="str">
        <f>AX20</f>
        <v>Satoru Yamagishi</v>
      </c>
      <c r="AY1" s="814"/>
      <c r="AZ1" s="814" t="str">
        <f>BJ20</f>
        <v>Koki Kotegawa</v>
      </c>
      <c r="BB1" s="814">
        <f>BS20</f>
        <v>0</v>
      </c>
      <c r="BE1" s="814" t="str">
        <f>BD20</f>
        <v>Yohei Hayashi</v>
      </c>
      <c r="BG1" s="814"/>
      <c r="BH1" s="814"/>
      <c r="BI1" s="814"/>
      <c r="BK1" s="814" t="e">
        <f>#REF!</f>
        <v>#REF!</v>
      </c>
      <c r="BL1" s="814"/>
      <c r="BM1" s="814" t="str">
        <f>AZ20</f>
        <v>Yuya Himeno</v>
      </c>
      <c r="BN1" s="814" t="str">
        <f>BB20</f>
        <v>Jun Suzuki</v>
      </c>
      <c r="BO1" s="814"/>
      <c r="BQ1" s="814"/>
      <c r="BR1" s="814"/>
      <c r="BS1" s="814"/>
      <c r="BT1" s="814"/>
      <c r="BU1" s="814"/>
      <c r="BV1" s="814"/>
      <c r="BW1" s="814"/>
      <c r="BX1" s="814"/>
      <c r="BY1" s="814"/>
      <c r="BZ1" s="814"/>
      <c r="CA1" s="814"/>
      <c r="CB1" s="814"/>
      <c r="CC1" s="814"/>
      <c r="CD1" s="814"/>
      <c r="CE1" s="814"/>
      <c r="CF1" s="814">
        <f t="shared" ref="CF1:CK1" si="0">CF20</f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SUM(IF(L$23:L$241="",0,1)*IF(ISBLANK($T$1),1,IF($I$23:$I$241=$T$1,1,0)))</f>
        <v>44</v>
      </c>
      <c r="AG2" s="874">
        <f t="array" ref="AG2">SUM(IF(ISBLANK(AG$23:AG$241),0,IF(AG$23:AG$241="susp",0,1))*IF(ISBLANK($T$1),1,IF($I$23:$I$241=$T$1,1,0)))</f>
        <v>38</v>
      </c>
      <c r="AH2" s="874">
        <f t="array" ref="AH2">SUM(IF(ISBLANK(AH$23:AH$241),0,IF(AH$23:AH$241="susp",0,1))*IF(ISBLANK($T$1),1,IF($I$23:$I$241=$T$1,1,0)))</f>
        <v>44</v>
      </c>
      <c r="AI2" s="874">
        <f t="array" ref="AI2">SUM(IF(ISBLANK(AI$23:AI$241),0,IF(AI$23:AI$241="susp",0,1))*IF(ISBLANK($T$1),1,IF($I$23:$I$241=$T$1,1,0)))</f>
        <v>44</v>
      </c>
      <c r="AL2" s="874">
        <f t="array" ref="AL2">SUM(IF(ISBLANK(AL$23:AL$241),0,IF(AL$23:AL$241="susp",0,1))*IF(ISBLANK($T$1),1,IF($I$23:$I$241=$T$1,1,0)))</f>
        <v>44</v>
      </c>
      <c r="AN2" s="874">
        <f t="array" ref="AN2">SUM(IF(ISBLANK(AN$23:AN$241),0,IF(AN$23:AN$241="susp",0,1))*IF(ISBLANK($T$1),1,IF($I$23:$I$241=$T$1,1,0)))</f>
        <v>44</v>
      </c>
      <c r="AO2" s="874">
        <f t="array" ref="AO2">SUM(IF(ISBLANK(AO$23:AO$241),0,IF(AO$23:AO$241="susp",0,1))*IF(ISBLANK($T$1),1,IF($I$23:$I$241=$T$1,1,0)))</f>
        <v>44</v>
      </c>
      <c r="AQ2" s="874">
        <f t="array" ref="AQ2">SUM(IF(ISBLANK(AQ$23:AQ$241),0,IF(AQ$23:AQ$241="susp",0,1))*IF(ISBLANK($T$1),1,IF($I$23:$I$241=$T$1,1,0)))</f>
        <v>44</v>
      </c>
      <c r="AR2" s="874">
        <f t="array" ref="AR2">SUM(IF(ISBLANK(AR$23:AR$241),0,IF(AR$23:AR$241="susp",0,1))*IF(ISBLANK($T$1),1,IF($I$23:$I$241=$T$1,1,0)))</f>
        <v>44</v>
      </c>
      <c r="AU2" s="874">
        <f t="array" ref="AU2">SUM(IF(ISBLANK(AU$23:AU$241),0,IF(AU$23:AU$241="susp",0,1))*IF(ISBLANK($T$1),1,IF($I$23:$I$241=$T$1,1,0)))</f>
        <v>44</v>
      </c>
      <c r="AV2" s="874">
        <f t="array" ref="AV2">SUM(IF(ISBLANK(AV$23:AV$241),0,IF(AV$23:AV$241="susp",0,1))*IF(ISBLANK($T$1),1,IF($I$23:$I$241=$T$1,1,0)))</f>
        <v>43</v>
      </c>
      <c r="AW2" s="874">
        <f t="array" ref="AW2">SUM(IF(ISBLANK(AW$23:AW$241),0,IF(AW$23:AW$241="susp",0,1))*IF(ISBLANK($T$1),1,IF($I$23:$I$241=$T$1,1,0)))</f>
        <v>44</v>
      </c>
      <c r="AX2" s="874">
        <f t="array" ref="AX2">SUM(IF(ISBLANK(AX$23:AX$241),0,IF(AX$23:AX$241="susp",0,1))*IF(ISBLANK($T$1),1,IF($I$23:$I$241=$T$1,1,0)))</f>
        <v>44</v>
      </c>
      <c r="AZ2" s="874">
        <f t="array" ref="AZ2">SUM(IF(ISBLANK(AZ$27:AZ$241),0,IF(AZ$27:AZ$241="susp",0,1))*IF(ISBLANK($T$1),1,IF($I$23:$I$241=$T$1,1,0)))</f>
        <v>40</v>
      </c>
      <c r="BB2" s="874">
        <f t="array" ref="BB2">SUM(IF(ISBLANK(BB$23:BB$241),0,IF(BB$23:BB$241="susp",0,1))*IF(ISBLANK($T$1),1,IF($I$23:$I$241=$T$1,1,0)))</f>
        <v>44</v>
      </c>
      <c r="BE2" s="874">
        <f t="array" ref="BE2">SUM(IF(ISBLANK(BE$23:BE$241),0,IF(BE$23:BE$241="susp",0,1))*IF(ISBLANK($T$1),1,IF($I$23:$I$241=$T$1,1,0)))</f>
        <v>44</v>
      </c>
      <c r="BK2" s="874">
        <f t="array" ref="BK2">SUM(IF(ISBLANK(BK$27:BK$241),0,IF(BK$27:BK$241="susp",0,1))*IF(ISBLANK($T$1),1,IF($I$23:$I$241=$T$1,1,0)))</f>
        <v>7</v>
      </c>
      <c r="BM2" s="874">
        <f t="array" ref="BM2">SUM(IF(ISBLANK(BM$23:BM$241),0,IF(BM$23:BM$241="susp",0,1))*IF(ISBLANK($T$1),1,IF($I$23:$I$241=$T$1,1,0)))</f>
        <v>30</v>
      </c>
      <c r="BN2" s="874">
        <f t="array" ref="BN2">SUM(IF(ISBLANK(BN$23:BN$241),0,IF(BN$23:BN$241="susp",0,1))*IF(ISBLANK($T$1),1,IF($I$23:$I$241=$T$1,1,0)))</f>
        <v>28</v>
      </c>
      <c r="CF2" s="874">
        <f t="array" ref="CF2">SUM(IF(ISBLANK(CF$23:CF$241),0,IF(CF$23:CF$241="susp",0,1))*IF(ISBLANK($T$1),1,IF($I$23:$I$241=$T$1,1,0)))</f>
        <v>0</v>
      </c>
      <c r="CG2" s="874">
        <f t="array" ref="CG2">SUM(IF(ISBLANK(CG$23:CG$241),0,IF(CG$23:CG$241="susp",0,1))*IF(ISBLANK($T$1),1,IF($I$23:$I$241=$T$1,1,0)))</f>
        <v>0</v>
      </c>
      <c r="CH2" s="874">
        <f t="array" ref="CH2">SUM(IF(ISBLANK(CH$23:CH$241),0,IF(CH$23:CH$241="susp",0,1))*IF(ISBLANK($T$1),1,IF($I$23:$I$241=$T$1,1,0)))</f>
        <v>0</v>
      </c>
      <c r="CI2" s="874">
        <f t="array" ref="CI2">SUM(IF(ISBLANK(CI$23:CI$241),0,IF(CI$23:CI$241="susp",0,1))*IF(ISBLANK($T$1),1,IF($I$23:$I$241=$T$1,1,0)))</f>
        <v>16</v>
      </c>
      <c r="CJ2" s="874">
        <f t="array" ref="CJ2">SUM(IF(ISBLANK(CJ$23:CJ$241),0,IF(CJ$23:CJ$241="susp",0,1))*IF(ISBLANK($T$1),1,IF($I$23:$I$241=$T$1,1,0)))</f>
        <v>16</v>
      </c>
      <c r="CK2" s="874">
        <f t="array" ref="CK2">SUM(IF(ISBLANK(CK$23:CK$241),0,IF(CK$23:CK$241="susp",0,1))*IF(ISBLANK($T$1),1,IF($I$23:$I$241=$T$1,1,0)))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SUM(IF(L$23:L$241="W",1,0)*IF(ISBLANK($T$1),1,IF($I$23:$I$241=$T$1,1,0)))</f>
        <v>18</v>
      </c>
      <c r="AG3" s="874">
        <f t="array" ref="AG3">SUM(IF(ISTEXT(AG$23:AG$241),1,0)*IF(($L$23:$L$241)="W",1,0)*IF(ISBLANK($T$1),1,IF($I$23:$I$241=$T$1,1,0)))</f>
        <v>14</v>
      </c>
      <c r="AH3" s="874">
        <f t="array" ref="AH3">SUM(IF(ISTEXT(AH$23:AH$241),1,0)*IF(($L$23:$L$241)="W",1,0)*IF(ISBLANK($T$1),1,IF($I$23:$I$241=$T$1,1,0)))</f>
        <v>18</v>
      </c>
      <c r="AI3" s="874">
        <f t="array" ref="AI3">SUM(IF(ISTEXT(AI$23:AI$241),1,0)*IF(($L$23:$L$241)="W",1,0)*IF(ISBLANK($T$1),1,IF($I$23:$I$241=$T$1,1,0)))</f>
        <v>18</v>
      </c>
      <c r="AL3" s="874">
        <f t="array" ref="AL3">SUM(IF(ISTEXT(AL$23:AL$241),1,0)*IF(($L$23:$L$241)="W",1,0)*IF(ISBLANK($T$1),1,IF($I$23:$I$241=$T$1,1,0)))</f>
        <v>18</v>
      </c>
      <c r="AN3" s="874">
        <f t="array" ref="AN3">SUM(IF(ISTEXT(AN$23:AN$241),1,0)*IF(($L$23:$L$241)="W",1,0)*IF(ISBLANK($T$1),1,IF($I$23:$I$241=$T$1,1,0)))</f>
        <v>18</v>
      </c>
      <c r="AO3" s="874">
        <f t="array" ref="AO3">SUM(IF(ISTEXT(AO$23:AO$241),1,0)*IF(($L$23:$L$241)="W",1,0)*IF(ISBLANK($T$1),1,IF($I$23:$I$241=$T$1,1,0)))</f>
        <v>18</v>
      </c>
      <c r="AQ3" s="874">
        <f t="array" ref="AQ3">SUM(IF(ISTEXT(AQ$23:AQ$241),1,0)*IF(($L$23:$L$241)="W",1,0)*IF(ISBLANK($T$1),1,IF($I$23:$I$241=$T$1,1,0)))</f>
        <v>18</v>
      </c>
      <c r="AR3" s="874">
        <f t="array" ref="AR3">SUM(IF(ISTEXT(AR$23:AR$241),1,0)*IF(($L$23:$L$241)="W",1,0)*IF(ISBLANK($T$1),1,IF($I$23:$I$241=$T$1,1,0)))</f>
        <v>18</v>
      </c>
      <c r="AU3" s="874">
        <f t="array" ref="AU3">SUM(IF(ISTEXT(AU$23:AU$241),1,0)*IF(($L$23:$L$241)="W",1,0)*IF(ISBLANK($T$1),1,IF($I$23:$I$241=$T$1,1,0)))</f>
        <v>18</v>
      </c>
      <c r="AV3" s="874">
        <f t="array" ref="AV3">SUM(IF(ISTEXT(AV$23:AV$241),1,0)*IF(($L$23:$L$241)="W",1,0)*IF(ISBLANK($T$1),1,IF($I$23:$I$241=$T$1,1,0)))</f>
        <v>17</v>
      </c>
      <c r="AW3" s="874">
        <f t="array" ref="AW3">SUM(IF(ISTEXT(AW$23:AW$241),1,0)*IF(($L$23:$L$241)="W",1,0)*IF(ISBLANK($T$1),1,IF($I$23:$I$241=$T$1,1,0)))</f>
        <v>18</v>
      </c>
      <c r="AX3" s="874">
        <f t="array" ref="AX3">SUM(IF(ISTEXT(AX$23:AX$241),1,0)*IF(($L$23:$L$241)="W",1,0)*IF(ISBLANK($T$1),1,IF($I$23:$I$241=$T$1,1,0)))</f>
        <v>18</v>
      </c>
      <c r="AZ3" s="874" t="e">
        <f t="array" ref="AZ3">SUM(IF(ISTEXT(AZ$27:AZ$241),1,0)*IF(($L$23:$L$241)="W",1,0)*IF(ISBLANK($T$1),1,IF($I$23:$I$241=$T$1,1,0)))</f>
        <v>#N/A</v>
      </c>
      <c r="BB3" s="874">
        <f t="array" ref="BB3">SUM(IF(ISTEXT(BB$23:BB$241),1,0)*IF(($L$23:$L$241)="W",1,0)*IF(ISBLANK($T$1),1,IF($I$23:$I$241=$T$1,1,0)))</f>
        <v>18</v>
      </c>
      <c r="BE3" s="874">
        <f t="array" ref="BE3">SUM(IF(ISTEXT(BE$23:BE$241),1,0)*IF(($L$23:$L$241)="W",1,0)*IF(ISBLANK($T$1),1,IF($I$23:$I$241=$T$1,1,0)))</f>
        <v>18</v>
      </c>
      <c r="BK3" s="874" t="e">
        <f t="array" ref="BK3">SUM(IF(ISTEXT(BK$27:BK$241),1,0)*IF(($L$23:$L$241)="W",1,0)*IF(ISBLANK($T$1),1,IF($I$23:$I$241=$T$1,1,0)))</f>
        <v>#N/A</v>
      </c>
      <c r="BM3" s="874">
        <f t="array" ref="BM3">SUM(IF(ISTEXT(BM$23:BM$241),1,0)*IF(($L$23:$L$241)="W",1,0)*IF(ISBLANK($T$1),1,IF($I$23:$I$241=$T$1,1,0)))</f>
        <v>13</v>
      </c>
      <c r="BN3" s="874">
        <f t="array" ref="BN3">SUM(IF(ISTEXT(BN$23:BN$241),1,0)*IF(($L$23:$L$241)="W",1,0)*IF(ISBLANK($T$1),1,IF($I$23:$I$241=$T$1,1,0)))</f>
        <v>12</v>
      </c>
      <c r="CF3" s="874">
        <f t="array" ref="CF3">SUM(IF(ISTEXT(CF$23:CF$241),1,0)*IF(($L$23:$L$241)="W",1,0)*IF(ISBLANK($T$1),1,IF($I$23:$I$241=$T$1,1,0)))</f>
        <v>0</v>
      </c>
      <c r="CG3" s="874">
        <f t="array" ref="CG3">SUM(IF(ISTEXT(CG$23:CG$241),1,0)*IF(($L$23:$L$241)="W",1,0)*IF(ISBLANK($T$1),1,IF($I$23:$I$241=$T$1,1,0)))</f>
        <v>0</v>
      </c>
      <c r="CH3" s="874">
        <f t="array" ref="CH3">SUM(IF(ISTEXT(CH$23:CH$241),1,0)*IF(($L$23:$L$241)="W",1,0)*IF(ISBLANK($T$1),1,IF($I$23:$I$241=$T$1,1,0)))</f>
        <v>0</v>
      </c>
      <c r="CI3" s="874">
        <f t="array" ref="CI3">SUM(IF(ISTEXT(CI$23:CI$241),1,0)*IF(($L$23:$L$241)="W",1,0)*IF(ISBLANK($T$1),1,IF($I$23:$I$241=$T$1,1,0)))</f>
        <v>7</v>
      </c>
      <c r="CJ3" s="874">
        <f t="array" ref="CJ3">SUM(IF(ISTEXT(CJ$23:CJ$241),1,0)*IF(($L$23:$L$241)="W",1,0)*IF(ISBLANK($T$1),1,IF($I$23:$I$241=$T$1,1,0)))</f>
        <v>7</v>
      </c>
      <c r="CK3" s="874">
        <f t="array" ref="CK3">SUM(IF(ISTEXT(CK$23:CK$241),1,0)*IF(($L$23:$L$241)="W",1,0)*IF(ISBLANK($T$1),1,IF($I$23:$I$241=$T$1,1,0)))</f>
        <v>7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SUM(IF(L$23:L$241="D",1,0)*IF(ISBLANK($T$1),1,IF($I$23:$I$241=$T$1,1,0)))</f>
        <v>13</v>
      </c>
      <c r="AG4" s="874">
        <f t="array" ref="AG4">SUM(IF(ISTEXT(AG$23:AG$241),1,0)*IF(($L$23:$L$241)="D",1,0)*IF(ISBLANK($T$1),1,IF($I$23:$I$241=$T$1,1,0)))</f>
        <v>13</v>
      </c>
      <c r="AH4" s="874">
        <f t="array" ref="AH4">SUM(IF(ISTEXT(AH$23:AH$241),1,0)*IF(($L$23:$L$241)="D",1,0)*IF(ISBLANK($T$1),1,IF($I$23:$I$241=$T$1,1,0)))</f>
        <v>13</v>
      </c>
      <c r="AI4" s="874">
        <f t="array" ref="AI4">SUM(IF(ISTEXT(AI$23:AI$241),1,0)*IF(($L$23:$L$241)="D",1,0)*IF(ISBLANK($T$1),1,IF($I$23:$I$241=$T$1,1,0)))</f>
        <v>13</v>
      </c>
      <c r="AL4" s="874">
        <f t="array" ref="AL4">SUM(IF(ISTEXT(AL$23:AL$241),1,0)*IF(($L$23:$L$241)="D",1,0)*IF(ISBLANK($T$1),1,IF($I$23:$I$241=$T$1,1,0)))</f>
        <v>13</v>
      </c>
      <c r="AN4" s="874">
        <f t="array" ref="AN4">SUM(IF(ISTEXT(AN$23:AN$241),1,0)*IF(($L$23:$L$241)="D",1,0)*IF(ISBLANK($T$1),1,IF($I$23:$I$241=$T$1,1,0)))</f>
        <v>13</v>
      </c>
      <c r="AO4" s="874">
        <f t="array" ref="AO4">SUM(IF(ISTEXT(AO$23:AO$241),1,0)*IF(($L$23:$L$241)="D",1,0)*IF(ISBLANK($T$1),1,IF($I$23:$I$241=$T$1,1,0)))</f>
        <v>13</v>
      </c>
      <c r="AQ4" s="874">
        <f t="array" ref="AQ4">SUM(IF(ISTEXT(AQ$23:AQ$241),1,0)*IF(($L$23:$L$241)="D",1,0)*IF(ISBLANK($T$1),1,IF($I$23:$I$241=$T$1,1,0)))</f>
        <v>13</v>
      </c>
      <c r="AR4" s="874">
        <f t="array" ref="AR4">SUM(IF(ISTEXT(AR$23:AR$241),1,0)*IF(($L$23:$L$241)="D",1,0)*IF(ISBLANK($T$1),1,IF($I$23:$I$241=$T$1,1,0)))</f>
        <v>13</v>
      </c>
      <c r="AU4" s="874">
        <f t="array" ref="AU4">SUM(IF(ISTEXT(AU$23:AU$241),1,0)*IF(($L$23:$L$241)="D",1,0)*IF(ISBLANK($T$1),1,IF($I$23:$I$241=$T$1,1,0)))</f>
        <v>13</v>
      </c>
      <c r="AV4" s="874">
        <f t="array" ref="AV4">SUM(IF(ISTEXT(AV$23:AV$241),1,0)*IF(($L$23:$L$241)="D",1,0)*IF(ISBLANK($T$1),1,IF($I$23:$I$241=$T$1,1,0)))</f>
        <v>13</v>
      </c>
      <c r="AW4" s="874">
        <f t="array" ref="AW4">SUM(IF(ISTEXT(AW$23:AW$241),1,0)*IF(($L$23:$L$241)="D",1,0)*IF(ISBLANK($T$1),1,IF($I$23:$I$241=$T$1,1,0)))</f>
        <v>13</v>
      </c>
      <c r="AX4" s="874">
        <f t="array" ref="AX4">SUM(IF(ISTEXT(AX$23:AX$241),1,0)*IF(($L$23:$L$241)="D",1,0)*IF(ISBLANK($T$1),1,IF($I$23:$I$241=$T$1,1,0)))</f>
        <v>13</v>
      </c>
      <c r="AZ4" s="874" t="e">
        <f t="array" ref="AZ4">SUM(IF(ISTEXT(AZ$27:AZ$241),1,0)*IF(($L$23:$L$241)="D",1,0)*IF(ISBLANK($T$1),1,IF($I$23:$I$241=$T$1,1,0)))</f>
        <v>#N/A</v>
      </c>
      <c r="BB4" s="874">
        <f t="array" ref="BB4">SUM(IF(ISTEXT(BB$23:BB$241),1,0)*IF(($L$23:$L$241)="D",1,0)*IF(ISBLANK($T$1),1,IF($I$23:$I$241=$T$1,1,0)))</f>
        <v>13</v>
      </c>
      <c r="BE4" s="874">
        <f t="array" ref="BE4">SUM(IF(ISTEXT(BE$23:BE$241),1,0)*IF(($L$23:$L$241)="D",1,0)*IF(ISBLANK($T$1),1,IF($I$23:$I$241=$T$1,1,0)))</f>
        <v>13</v>
      </c>
      <c r="BK4" s="874" t="e">
        <f t="array" ref="BK4">SUM(IF(ISTEXT(BK$27:BK$241),1,0)*IF(($L$23:$L$241)="D",1,0)*IF(ISBLANK($T$1),1,IF($I$23:$I$241=$T$1,1,0)))</f>
        <v>#N/A</v>
      </c>
      <c r="BM4" s="874">
        <f t="array" ref="BM4">SUM(IF(ISTEXT(BM$23:BM$241),1,0)*IF(($L$23:$L$241)="D",1,0)*IF(ISBLANK($T$1),1,IF($I$23:$I$241=$T$1,1,0)))</f>
        <v>9</v>
      </c>
      <c r="BN4" s="874">
        <f t="array" ref="BN4">SUM(IF(ISTEXT(BN$23:BN$241),1,0)*IF(($L$23:$L$241)="D",1,0)*IF(ISBLANK($T$1),1,IF($I$23:$I$241=$T$1,1,0)))</f>
        <v>9</v>
      </c>
      <c r="CF4" s="874">
        <f t="array" ref="CF4">SUM(IF(ISTEXT(CF$23:CF$241),1,0)*IF(($L$23:$L$241)="D",1,0)*IF(ISBLANK($T$1),1,IF($I$23:$I$241=$T$1,1,0)))</f>
        <v>0</v>
      </c>
      <c r="CG4" s="874">
        <f t="array" ref="CG4">SUM(IF(ISTEXT(CG$23:CG$241),1,0)*IF(($L$23:$L$241)="D",1,0)*IF(ISBLANK($T$1),1,IF($I$23:$I$241=$T$1,1,0)))</f>
        <v>0</v>
      </c>
      <c r="CH4" s="874">
        <f t="array" ref="CH4">SUM(IF(ISTEXT(CH$23:CH$241),1,0)*IF(($L$23:$L$241)="D",1,0)*IF(ISBLANK($T$1),1,IF($I$23:$I$241=$T$1,1,0)))</f>
        <v>0</v>
      </c>
      <c r="CI4" s="874">
        <f t="array" ref="CI4">SUM(IF(ISTEXT(CI$23:CI$241),1,0)*IF(($L$23:$L$241)="D",1,0)*IF(ISBLANK($T$1),1,IF($I$23:$I$241=$T$1,1,0)))</f>
        <v>5</v>
      </c>
      <c r="CJ4" s="874">
        <f t="array" ref="CJ4">SUM(IF(ISTEXT(CJ$23:CJ$241),1,0)*IF(($L$23:$L$241)="D",1,0)*IF(ISBLANK($T$1),1,IF($I$23:$I$241=$T$1,1,0)))</f>
        <v>5</v>
      </c>
      <c r="CK4" s="874">
        <f t="array" ref="CK4">SUM(IF(ISTEXT(CK$23:CK$241),1,0)*IF(($L$23:$L$241)="D",1,0)*IF(ISBLANK($T$1),1,IF($I$23:$I$241=$T$1,1,0)))</f>
        <v>5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SUM(IF(L$23:L$241="L",1,0)*IF(ISBLANK($T$1),1,IF($I$23:$I$241=$T$1,1,0)))</f>
        <v>13</v>
      </c>
      <c r="AG5" s="874">
        <f t="array" ref="AG5">SUM(IF(ISTEXT(AG$23:AG$241),1,0)*IF(($L$23:$L$241)="L",1,0)*IF(ISBLANK($T$1),1,IF($I$23:$I$241=$T$1,1,0)))</f>
        <v>11</v>
      </c>
      <c r="AH5" s="874">
        <f t="array" ref="AH5">SUM(IF(ISTEXT(AH$23:AH$241),1,0)*IF(($L$23:$L$241)="L",1,0)*IF(ISBLANK($T$1),1,IF($I$23:$I$241=$T$1,1,0)))</f>
        <v>13</v>
      </c>
      <c r="AI5" s="874">
        <f t="array" ref="AI5">SUM(IF(ISTEXT(AI$23:AI$241),1,0)*IF(($L$23:$L$241)="L",1,0)*IF(ISBLANK($T$1),1,IF($I$23:$I$241=$T$1,1,0)))</f>
        <v>13</v>
      </c>
      <c r="AL5" s="874">
        <f t="array" ref="AL5">SUM(IF(ISTEXT(AL$23:AL$241),1,0)*IF(($L$23:$L$241)="L",1,0)*IF(ISBLANK($T$1),1,IF($I$23:$I$241=$T$1,1,0)))</f>
        <v>13</v>
      </c>
      <c r="AN5" s="874">
        <f t="array" ref="AN5">SUM(IF(ISTEXT(AN$23:AN$241),1,0)*IF(($L$23:$L$241)="L",1,0)*IF(ISBLANK($T$1),1,IF($I$23:$I$241=$T$1,1,0)))</f>
        <v>13</v>
      </c>
      <c r="AO5" s="874">
        <f t="array" ref="AO5">SUM(IF(ISTEXT(AO$23:AO$241),1,0)*IF(($L$23:$L$241)="L",1,0)*IF(ISBLANK($T$1),1,IF($I$23:$I$241=$T$1,1,0)))</f>
        <v>13</v>
      </c>
      <c r="AQ5" s="874">
        <f t="array" ref="AQ5">SUM(IF(ISTEXT(AQ$23:AQ$241),1,0)*IF(($L$23:$L$241)="L",1,0)*IF(ISBLANK($T$1),1,IF($I$23:$I$241=$T$1,1,0)))</f>
        <v>13</v>
      </c>
      <c r="AR5" s="874">
        <f t="array" ref="AR5">SUM(IF(ISTEXT(AR$23:AR$241),1,0)*IF(($L$23:$L$241)="L",1,0)*IF(ISBLANK($T$1),1,IF($I$23:$I$241=$T$1,1,0)))</f>
        <v>13</v>
      </c>
      <c r="AU5" s="874">
        <f t="array" ref="AU5">SUM(IF(ISTEXT(AU$23:AU$241),1,0)*IF(($L$23:$L$241)="L",1,0)*IF(ISBLANK($T$1),1,IF($I$23:$I$241=$T$1,1,0)))</f>
        <v>13</v>
      </c>
      <c r="AV5" s="874">
        <f t="array" ref="AV5">SUM(IF(ISTEXT(AV$23:AV$241),1,0)*IF(($L$23:$L$241)="L",1,0)*IF(ISBLANK($T$1),1,IF($I$23:$I$241=$T$1,1,0)))</f>
        <v>13</v>
      </c>
      <c r="AW5" s="874">
        <f t="array" ref="AW5">SUM(IF(ISTEXT(AW$23:AW$241),1,0)*IF(($L$23:$L$241)="L",1,0)*IF(ISBLANK($T$1),1,IF($I$23:$I$241=$T$1,1,0)))</f>
        <v>13</v>
      </c>
      <c r="AX5" s="874">
        <f t="array" ref="AX5">SUM(IF(ISTEXT(AX$23:AX$241),1,0)*IF(($L$23:$L$241)="L",1,0)*IF(ISBLANK($T$1),1,IF($I$23:$I$241=$T$1,1,0)))</f>
        <v>13</v>
      </c>
      <c r="AZ5" s="874" t="e">
        <f t="array" ref="AZ5">SUM(IF(ISTEXT(AZ$27:AZ$241),1,0)*IF(($L$23:$L$241)="L",1,0)*IF(ISBLANK($T$1),1,IF($I$23:$I$241=$T$1,1,0)))</f>
        <v>#N/A</v>
      </c>
      <c r="BB5" s="874">
        <f t="array" ref="BB5">SUM(IF(ISTEXT(BB$23:BB$241),1,0)*IF(($L$23:$L$241)="L",1,0)*IF(ISBLANK($T$1),1,IF($I$23:$I$241=$T$1,1,0)))</f>
        <v>13</v>
      </c>
      <c r="BE5" s="874">
        <f t="array" ref="BE5">SUM(IF(ISTEXT(BE$23:BE$241),1,0)*IF(($L$23:$L$241)="L",1,0)*IF(ISBLANK($T$1),1,IF($I$23:$I$241=$T$1,1,0)))</f>
        <v>13</v>
      </c>
      <c r="BK5" s="874" t="e">
        <f t="array" ref="BK5">SUM(IF(ISTEXT(BK$27:BK$241),1,0)*IF(($L$23:$L$241)="L",1,0)*IF(ISBLANK($T$1),1,IF($I$23:$I$241=$T$1,1,0)))</f>
        <v>#N/A</v>
      </c>
      <c r="BM5" s="874">
        <f t="array" ref="BM5">SUM(IF(ISTEXT(BM$23:BM$241),1,0)*IF(($L$23:$L$241)="L",1,0)*IF(ISBLANK($T$1),1,IF($I$23:$I$241=$T$1,1,0)))</f>
        <v>8</v>
      </c>
      <c r="BN5" s="874">
        <f t="array" ref="BN5">SUM(IF(ISTEXT(BN$23:BN$241),1,0)*IF(($L$23:$L$241)="L",1,0)*IF(ISBLANK($T$1),1,IF($I$23:$I$241=$T$1,1,0)))</f>
        <v>7</v>
      </c>
      <c r="CF5" s="874">
        <f t="array" ref="CF5">SUM(IF(ISTEXT(CF$23:CF$241),1,0)*IF(($L$23:$L$241)="L",1,0)*IF(ISBLANK($T$1),1,IF($I$23:$I$241=$T$1,1,0)))</f>
        <v>0</v>
      </c>
      <c r="CG5" s="874">
        <f t="array" ref="CG5">SUM(IF(ISTEXT(CG$23:CG$241),1,0)*IF(($L$23:$L$241)="L",1,0)*IF(ISBLANK($T$1),1,IF($I$23:$I$241=$T$1,1,0)))</f>
        <v>0</v>
      </c>
      <c r="CH5" s="874">
        <f t="array" ref="CH5">SUM(IF(ISTEXT(CH$23:CH$241),1,0)*IF(($L$23:$L$241)="L",1,0)*IF(ISBLANK($T$1),1,IF($I$23:$I$241=$T$1,1,0)))</f>
        <v>0</v>
      </c>
      <c r="CI5" s="874">
        <f t="array" ref="CI5">SUM(IF(ISTEXT(CI$23:CI$241),1,0)*IF(($L$23:$L$241)="L",1,0)*IF(ISBLANK($T$1),1,IF($I$23:$I$241=$T$1,1,0)))</f>
        <v>4</v>
      </c>
      <c r="CJ5" s="874">
        <f t="array" ref="CJ5">SUM(IF(ISTEXT(CJ$23:CJ$241),1,0)*IF(($L$23:$L$241)="L",1,0)*IF(ISBLANK($T$1),1,IF($I$23:$I$241=$T$1,1,0)))</f>
        <v>4</v>
      </c>
      <c r="CK5" s="874">
        <f t="array" ref="CK5">SUM(IF(ISTEXT(CK$23:CK$241),1,0)*IF(($L$23:$L$241)="L",1,0)*IF(ISBLANK($T$1),1,IF($I$23:$I$241=$T$1,1,0)))</f>
        <v>3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67</v>
      </c>
      <c r="AG6" s="874">
        <f>AG$3*3+AG$4</f>
        <v>55</v>
      </c>
      <c r="AH6" s="874">
        <f>AH$3*3+AH$4</f>
        <v>67</v>
      </c>
      <c r="AI6" s="874">
        <f>AI$3*3+AI$4</f>
        <v>67</v>
      </c>
      <c r="AL6" s="874">
        <f>AL$3*3+AL$4</f>
        <v>67</v>
      </c>
      <c r="AN6" s="874">
        <f>AN$3*3+AN$4</f>
        <v>67</v>
      </c>
      <c r="AO6" s="874">
        <f>AO$3*3+AO$4</f>
        <v>67</v>
      </c>
      <c r="AQ6" s="874">
        <f>AQ$3*3+AQ$4</f>
        <v>67</v>
      </c>
      <c r="AR6" s="874">
        <f>AR$3*3+AR$4</f>
        <v>67</v>
      </c>
      <c r="AU6" s="874">
        <f>AU$3*3+AU$4</f>
        <v>67</v>
      </c>
      <c r="AV6" s="874">
        <f>AV$3*3+AV$4</f>
        <v>64</v>
      </c>
      <c r="AW6" s="874">
        <f>AW$3*3+AW$4</f>
        <v>67</v>
      </c>
      <c r="AX6" s="874">
        <f>AX$3*3+AX$4</f>
        <v>67</v>
      </c>
      <c r="AZ6" s="874" t="e">
        <f>AZ$3*3+AZ$4</f>
        <v>#N/A</v>
      </c>
      <c r="BB6" s="874">
        <f>BB$3*3+BB$4</f>
        <v>67</v>
      </c>
      <c r="BE6" s="874">
        <f>BE$3*3+BE$4</f>
        <v>67</v>
      </c>
      <c r="BK6" s="874" t="e">
        <f>BK$3*3+BK$4</f>
        <v>#N/A</v>
      </c>
      <c r="BM6" s="874">
        <f>BM$3*3+BM$4</f>
        <v>48</v>
      </c>
      <c r="BN6" s="874">
        <f>BN$3*3+BN$4</f>
        <v>45</v>
      </c>
      <c r="CF6" s="874">
        <f t="shared" ref="CF6:CK6" si="1">CF$3*3+CF$4</f>
        <v>0</v>
      </c>
      <c r="CG6" s="874">
        <f t="shared" si="1"/>
        <v>0</v>
      </c>
      <c r="CH6" s="874">
        <f t="shared" si="1"/>
        <v>0</v>
      </c>
      <c r="CI6" s="874">
        <f t="shared" si="1"/>
        <v>26</v>
      </c>
      <c r="CJ6" s="874">
        <f t="shared" si="1"/>
        <v>26</v>
      </c>
      <c r="CK6" s="874">
        <f t="shared" si="1"/>
        <v>26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>AF6/AF2</f>
        <v>1.5227272727272727</v>
      </c>
      <c r="AG7" s="874">
        <f>AG6/AG2</f>
        <v>1.4473684210526316</v>
      </c>
      <c r="AH7" s="874">
        <f>AH6/AH2</f>
        <v>1.5227272727272727</v>
      </c>
      <c r="AI7" s="874">
        <f>AI6/AI2</f>
        <v>1.5227272727272727</v>
      </c>
      <c r="AL7" s="874">
        <f>AL6/AL2</f>
        <v>1.5227272727272727</v>
      </c>
      <c r="AN7" s="874">
        <f>AN6/AN2</f>
        <v>1.5227272727272727</v>
      </c>
      <c r="AO7" s="874">
        <f>AO6/AO2</f>
        <v>1.5227272727272727</v>
      </c>
      <c r="AQ7" s="874">
        <f>AQ6/AQ2</f>
        <v>1.5227272727272727</v>
      </c>
      <c r="AR7" s="874">
        <f>AR6/AR2</f>
        <v>1.5227272727272727</v>
      </c>
      <c r="AU7" s="874">
        <f>AU6/AU2</f>
        <v>1.5227272727272727</v>
      </c>
      <c r="AV7" s="874">
        <f>AV6/AV2</f>
        <v>1.4883720930232558</v>
      </c>
      <c r="AW7" s="874">
        <f>AW6/AW2</f>
        <v>1.5227272727272727</v>
      </c>
      <c r="AX7" s="874">
        <f>AX6/AX2</f>
        <v>1.5227272727272727</v>
      </c>
      <c r="AZ7" s="874" t="e">
        <f>AZ6/AZ2</f>
        <v>#N/A</v>
      </c>
      <c r="BB7" s="874">
        <f>BB6/BB2</f>
        <v>1.5227272727272727</v>
      </c>
      <c r="BE7" s="874">
        <f>BE6/BE2</f>
        <v>1.5227272727272727</v>
      </c>
      <c r="BK7" s="874" t="e">
        <f>BK6/BK2</f>
        <v>#N/A</v>
      </c>
      <c r="BM7" s="874">
        <f>BM6/BM2</f>
        <v>1.6</v>
      </c>
      <c r="BN7" s="874">
        <f>BN6/BN2</f>
        <v>1.6071428571428572</v>
      </c>
      <c r="CF7" s="874" t="e">
        <f t="shared" ref="CF7:CK7" si="2">CF6/CF2</f>
        <v>#DIV/0!</v>
      </c>
      <c r="CG7" s="874" t="e">
        <f t="shared" si="2"/>
        <v>#DIV/0!</v>
      </c>
      <c r="CH7" s="874" t="e">
        <f t="shared" si="2"/>
        <v>#DIV/0!</v>
      </c>
      <c r="CI7" s="874">
        <f t="shared" si="2"/>
        <v>1.625</v>
      </c>
      <c r="CJ7" s="874">
        <f t="shared" si="2"/>
        <v>1.625</v>
      </c>
      <c r="CK7" s="874">
        <f t="shared" si="2"/>
        <v>1.7333333333333334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SUM(IF(($T$23:$T$241)="",0,$T$23:$T$241)*IF(ISBLANK($T$1),1,IF($I$23:$I$241=$T$1,1,0)))</f>
        <v>5.5100000000000033</v>
      </c>
      <c r="AG8" s="874">
        <f t="array" ref="AG8">SUM(IF(ISTEXT(AG$23:AG$241),1,0)*IF(($T$23:$T$241)="",0,$T$23:$T$241)*IF(ISBLANK($T$1),1,IF($I$23:$I$241=$T$1,1,0)))</f>
        <v>2.2400000000000038</v>
      </c>
      <c r="AH8" s="874">
        <f t="array" ref="AH8">SUM(IF(ISTEXT(AH$23:AH$241),1,0)*IF(($T$23:$T$241)="",0,$T$23:$T$241)*IF(ISBLANK($T$1),1,IF($I$23:$I$241=$T$1,1,0)))</f>
        <v>5.5100000000000033</v>
      </c>
      <c r="AI8" s="874">
        <f t="array" ref="AI8">SUM(IF(ISTEXT(AI$23:AI$241),1,0)*IF(($T$23:$T$241)="",0,$T$23:$T$241)*IF(ISBLANK($T$1),1,IF($I$23:$I$241=$T$1,1,0)))</f>
        <v>5.5100000000000033</v>
      </c>
      <c r="AL8" s="874">
        <f t="array" ref="AL8">SUM(IF(ISTEXT(AL$23:AL$241),1,0)*IF(($T$23:$T$241)="",0,$T$23:$T$241)*IF(ISBLANK($T$1),1,IF($I$23:$I$241=$T$1,1,0)))</f>
        <v>5.5100000000000033</v>
      </c>
      <c r="AN8" s="874">
        <f t="array" ref="AN8">SUM(IF(ISTEXT(AN$23:AN$241),1,0)*IF(($T$23:$T$241)="",0,$T$23:$T$241)*IF(ISBLANK($T$1),1,IF($I$23:$I$241=$T$1,1,0)))</f>
        <v>5.5100000000000033</v>
      </c>
      <c r="AO8" s="874">
        <f t="array" ref="AO8">SUM(IF(ISTEXT(AO$23:AO$241),1,0)*IF(($T$23:$T$241)="",0,$T$23:$T$241)*IF(ISBLANK($T$1),1,IF($I$23:$I$241=$T$1,1,0)))</f>
        <v>5.5100000000000033</v>
      </c>
      <c r="AQ8" s="874">
        <f t="array" ref="AQ8">SUM(IF(ISTEXT(AQ$23:AQ$241),1,0)*IF(($T$23:$T$241)="",0,$T$23:$T$241)*IF(ISBLANK($T$1),1,IF($I$23:$I$241=$T$1,1,0)))</f>
        <v>5.5100000000000033</v>
      </c>
      <c r="AR8" s="874">
        <f t="array" ref="AR8">SUM(IF(ISTEXT(AR$23:AR$241),1,0)*IF(($T$23:$T$241)="",0,$T$23:$T$241)*IF(ISBLANK($T$1),1,IF($I$23:$I$241=$T$1,1,0)))</f>
        <v>5.5100000000000033</v>
      </c>
      <c r="AU8" s="874">
        <f t="array" ref="AU8">SUM(IF(ISTEXT(AU$23:AU$241),1,0)*IF(($T$23:$T$241)="",0,$T$23:$T$241)*IF(ISBLANK($T$1),1,IF($I$23:$I$241=$T$1,1,0)))</f>
        <v>5.5100000000000033</v>
      </c>
      <c r="AV8" s="874">
        <f t="array" ref="AV8">SUM(IF(ISTEXT(AV$23:AV$241),1,0)*IF(($T$23:$T$241)="",0,$T$23:$T$241)*IF(ISBLANK($T$1),1,IF($I$23:$I$241=$T$1,1,0)))</f>
        <v>6.6400000000000059</v>
      </c>
      <c r="AW8" s="874">
        <f t="array" ref="AW8">SUM(IF(ISTEXT(AW$23:AW$241),1,0)*IF(($T$23:$T$241)="",0,$T$23:$T$241)*IF(ISBLANK($T$1),1,IF($I$23:$I$241=$T$1,1,0)))</f>
        <v>5.5100000000000033</v>
      </c>
      <c r="AX8" s="874">
        <f t="array" ref="AX8">SUM(IF(ISTEXT(AX$23:AX$241),1,0)*IF(($T$23:$T$241)="",0,$T$23:$T$241)*IF(ISBLANK($T$1),1,IF($I$23:$I$241=$T$1,1,0)))</f>
        <v>5.5100000000000033</v>
      </c>
      <c r="AZ8" s="874" t="e">
        <f t="array" ref="AZ8">SUM(IF(ISTEXT(AZ$27:AZ$241),1,0)*IF(($T$23:$T$241)="",0,$T$23:$T$241)*IF(ISBLANK($T$1),1,IF($I$23:$I$241=$T$1,1,0)))</f>
        <v>#N/A</v>
      </c>
      <c r="BB8" s="874">
        <f t="array" ref="BB8">SUM(IF(ISTEXT(BB$23:BB$241),1,0)*IF(($T$23:$T$241)="",0,$T$23:$T$241)*IF(ISBLANK($T$1),1,IF($I$23:$I$241=$T$1,1,0)))</f>
        <v>5.5100000000000033</v>
      </c>
      <c r="BE8" s="874">
        <f t="array" ref="BE8">SUM(IF(ISTEXT(BE$23:BE$241),1,0)*IF(($T$23:$T$241)="",0,$T$23:$T$241)*IF(ISBLANK($T$1),1,IF($I$23:$I$241=$T$1,1,0)))</f>
        <v>5.5100000000000033</v>
      </c>
      <c r="BK8" s="874" t="e">
        <f t="array" ref="BK8">SUM(IF(ISTEXT(BK$27:BK$241),1,0)*IF(($T$23:$T$241)="",0,$T$23:$T$241)*IF(ISBLANK($T$1),1,IF($I$23:$I$241=$T$1,1,0)))</f>
        <v>#N/A</v>
      </c>
      <c r="BM8" s="874">
        <f t="array" ref="BM8">SUM(IF(ISTEXT(BM$23:BM$241),1,0)*IF(($T$23:$T$241)="",0,$T$23:$T$241)*IF(ISBLANK($T$1),1,IF($I$23:$I$241=$T$1,1,0)))</f>
        <v>7.7500000000000018</v>
      </c>
      <c r="BN8" s="874">
        <f t="array" ref="BN8">SUM(IF(ISTEXT(BN$23:BN$241),1,0)*IF(($T$23:$T$241)="",0,$T$23:$T$241)*IF(ISBLANK($T$1),1,IF($I$23:$I$241=$T$1,1,0)))</f>
        <v>7.5700000000000021</v>
      </c>
      <c r="CF8" s="874">
        <f t="array" ref="CF8">SUM(IF(ISTEXT(CF$23:CF$241),1,0)*IF(($T$23:$T$241)="",0,$T$23:$T$241)*IF(ISBLANK($T$1),1,IF($I$23:$I$241=$T$1,1,0)))</f>
        <v>0</v>
      </c>
      <c r="CG8" s="874">
        <f t="array" ref="CG8">SUM(IF(ISTEXT(CG$23:CG$241),1,0)*IF(($T$23:$T$241)="",0,$T$23:$T$241)*IF(ISBLANK($T$1),1,IF($I$23:$I$241=$T$1,1,0)))</f>
        <v>0</v>
      </c>
      <c r="CH8" s="874">
        <f t="array" ref="CH8">SUM(IF(ISTEXT(CH$23:CH$241),1,0)*IF(($T$23:$T$241)="",0,$T$23:$T$241)*IF(ISBLANK($T$1),1,IF($I$23:$I$241=$T$1,1,0)))</f>
        <v>0</v>
      </c>
      <c r="CI8" s="874">
        <f t="array" ref="CI8">SUM(IF(ISTEXT(CI$23:CI$241),1,0)*IF(($T$23:$T$241)="",0,$T$23:$T$241)*IF(ISBLANK($T$1),1,IF($I$23:$I$241=$T$1,1,0)))</f>
        <v>4.1500000000000004</v>
      </c>
      <c r="CJ8" s="874">
        <f t="array" ref="CJ8">SUM(IF(ISTEXT(CJ$23:CJ$241),1,0)*IF(($T$23:$T$241)="",0,$T$23:$T$241)*IF(ISBLANK($T$1),1,IF($I$23:$I$241=$T$1,1,0)))</f>
        <v>4.1500000000000004</v>
      </c>
      <c r="CK8" s="874">
        <f t="array" ref="CK8">SUM(IF(ISTEXT(CK$23:CK$241),1,0)*IF(($T$23:$T$241)="",0,$T$23:$T$241)*IF(ISBLANK($T$1),1,IF($I$23:$I$241=$T$1,1,0)))</f>
        <v>1.9300000000000006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>AF8/AF2</f>
        <v>0.1252272727272728</v>
      </c>
      <c r="AG9" s="874">
        <f>AG8/AG2</f>
        <v>5.8947368421052727E-2</v>
      </c>
      <c r="AH9" s="874">
        <f>AH8/AH2</f>
        <v>0.1252272727272728</v>
      </c>
      <c r="AI9" s="874">
        <f>AI8/AI2</f>
        <v>0.1252272727272728</v>
      </c>
      <c r="AL9" s="874">
        <f>AL8/AL2</f>
        <v>0.1252272727272728</v>
      </c>
      <c r="AN9" s="874">
        <f>AN8/AN2</f>
        <v>0.1252272727272728</v>
      </c>
      <c r="AO9" s="874">
        <f>AO8/AO2</f>
        <v>0.1252272727272728</v>
      </c>
      <c r="AQ9" s="874">
        <f>AQ8/AQ2</f>
        <v>0.1252272727272728</v>
      </c>
      <c r="AR9" s="874">
        <f>AR8/AR2</f>
        <v>0.1252272727272728</v>
      </c>
      <c r="AU9" s="874">
        <f>AU8/AU2</f>
        <v>0.1252272727272728</v>
      </c>
      <c r="AV9" s="874">
        <f>AV8/AV2</f>
        <v>0.15441860465116292</v>
      </c>
      <c r="AW9" s="874">
        <f>AW8/AW2</f>
        <v>0.1252272727272728</v>
      </c>
      <c r="AX9" s="874">
        <f>AX8/AX2</f>
        <v>0.1252272727272728</v>
      </c>
      <c r="AZ9" s="874" t="e">
        <f>AZ8/AZ2</f>
        <v>#N/A</v>
      </c>
      <c r="BB9" s="874">
        <f>BB8/BB2</f>
        <v>0.1252272727272728</v>
      </c>
      <c r="BE9" s="874">
        <f>BE8/BE2</f>
        <v>0.1252272727272728</v>
      </c>
      <c r="BK9" s="874" t="e">
        <f>BK8/BK2</f>
        <v>#N/A</v>
      </c>
      <c r="BM9" s="874">
        <f>BM8/BM2</f>
        <v>0.25833333333333341</v>
      </c>
      <c r="BN9" s="874">
        <f>BN8/BN2</f>
        <v>0.27035714285714291</v>
      </c>
      <c r="CF9" s="874" t="e">
        <f t="shared" ref="CF9:CK9" si="3">CF8/CF2</f>
        <v>#DIV/0!</v>
      </c>
      <c r="CG9" s="874" t="e">
        <f t="shared" si="3"/>
        <v>#DIV/0!</v>
      </c>
      <c r="CH9" s="874" t="e">
        <f t="shared" si="3"/>
        <v>#DIV/0!</v>
      </c>
      <c r="CI9" s="874">
        <f t="shared" si="3"/>
        <v>0.25937500000000002</v>
      </c>
      <c r="CJ9" s="874">
        <f t="shared" si="3"/>
        <v>0.25937500000000002</v>
      </c>
      <c r="CK9" s="874">
        <f t="shared" si="3"/>
        <v>0.12866666666666671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SUM(IF(ISBLANK($T$1),$J$23:$J$241,IF($I$23:$I$241=$T$1,$J$23:$J$241,0)))</f>
        <v>62</v>
      </c>
      <c r="AG10" s="874">
        <f t="array" ref="AG10">SUM(IF(ISBLANK(AG$23:AG$241),0,IF(ISNUMBER(VALUE(RIGHT(AG$23:AG$241,1))),RIGHT(AG$23:AG$241,1),0)*IF(ISBLANK($T$1),1,IF($I$23:$I$241=$T$1,1,0))))</f>
        <v>0</v>
      </c>
      <c r="AH10" s="874">
        <f t="array" ref="AH10">SUM(IF(ISBLANK(AH$23:AH$241),0,IF(ISNUMBER(VALUE(RIGHT(AH$23:AH$241,1))),RIGHT(AH$23:AH$241,1),0)*IF(ISBLANK($T$1),1,IF($I$23:$I$241=$T$1,1,0))))</f>
        <v>0</v>
      </c>
      <c r="AI10" s="874">
        <f t="array" ref="AI10">SUM(IF(ISBLANK(AI$23:AI$241),0,IF(ISNUMBER(VALUE(RIGHT(AI$23:AI$241,1))),RIGHT(AI$23:AI$241,1),0)*IF(ISBLANK($T$1),1,IF($I$23:$I$241=$T$1,1,0))))</f>
        <v>0</v>
      </c>
      <c r="AL10" s="874">
        <f t="array" ref="AL10">SUM(IF(ISBLANK(AL$23:AL$241),0,IF(ISNUMBER(VALUE(RIGHT(AL$23:AL$241,1))),RIGHT(AL$23:AL$241,1),0)*IF(ISBLANK($T$1),1,IF($I$23:$I$241=$T$1,1,0))))</f>
        <v>1</v>
      </c>
      <c r="AN10" s="874">
        <f t="array" ref="AN10">SUM(IF(ISBLANK(AN$23:AN$241),0,IF(ISNUMBER(VALUE(RIGHT(AN$23:AN$241,1))),RIGHT(AN$23:AN$241,1),0)*IF(ISBLANK($T$1),1,IF($I$23:$I$241=$T$1,1,0))))</f>
        <v>3</v>
      </c>
      <c r="AO10" s="874">
        <f t="array" ref="AO10">SUM(IF(ISBLANK(AO$23:AO$241),0,IF(ISNUMBER(VALUE(RIGHT(AO$23:AO$241,1))),RIGHT(AO$23:AO$241,1),0)*IF(ISBLANK($T$1),1,IF($I$23:$I$241=$T$1,1,0))))</f>
        <v>0</v>
      </c>
      <c r="AQ10" s="874">
        <f t="array" ref="AQ10">SUM(IF(ISBLANK(AQ$23:AQ$241),0,IF(ISNUMBER(VALUE(RIGHT(AQ$23:AQ$241,1))),RIGHT(AQ$23:AQ$241,1),0)*IF(ISBLANK($T$1),1,IF($I$23:$I$241=$T$1,1,0))))</f>
        <v>0</v>
      </c>
      <c r="AR10" s="874">
        <f t="array" ref="AR10">SUM(IF(ISBLANK(AR$23:AR$241),0,IF(ISNUMBER(VALUE(RIGHT(AR$23:AR$241,1))),RIGHT(AR$23:AR$241,1),0)*IF(ISBLANK($T$1),1,IF($I$23:$I$241=$T$1,1,0))))</f>
        <v>0</v>
      </c>
      <c r="AU10" s="874">
        <f t="array" ref="AU10">SUM(IF(ISBLANK(AU$23:AU$241),0,IF(ISNUMBER(VALUE(RIGHT(AU$23:AU$241,1))),RIGHT(AU$23:AU$241,1),0)*IF(ISBLANK($T$1),1,IF($I$23:$I$241=$T$1,1,0))))</f>
        <v>3</v>
      </c>
      <c r="AV10" s="874">
        <f t="array" ref="AV10">SUM(IF(ISBLANK(AV$23:AV$241),0,IF(ISNUMBER(VALUE(RIGHT(AV$23:AV$241,1))),RIGHT(AV$23:AV$241,1),0)*IF(ISBLANK($T$1),1,IF($I$23:$I$241=$T$1,1,0))))</f>
        <v>0</v>
      </c>
      <c r="AW10" s="874">
        <f t="array" ref="AW10">SUM(IF(ISBLANK(AW$23:AW$241),0,IF(ISNUMBER(VALUE(RIGHT(AW$23:AW$241,1))),RIGHT(AW$23:AW$241,1),0)*IF(ISBLANK($T$1),1,IF($I$23:$I$241=$T$1,1,0))))</f>
        <v>1</v>
      </c>
      <c r="AX10" s="874">
        <f t="array" ref="AX10">SUM(IF(ISBLANK(AX$23:AX$241),0,IF(ISNUMBER(VALUE(RIGHT(AX$23:AX$241,1))),RIGHT(AX$23:AX$241,1),0)*IF(ISBLANK($T$1),1,IF($I$23:$I$241=$T$1,1,0))))</f>
        <v>0</v>
      </c>
      <c r="AZ10" s="874">
        <f t="array" ref="AZ10">SUM(IF(ISBLANK(AZ$27:AZ$241),0,IF(ISNUMBER(VALUE(RIGHT(AZ$27:AZ$241,1))),RIGHT(AZ$27:AZ$241,1),0)*IF(ISBLANK($T$1),1,IF($I$23:$I$241=$T$1,1,0))))</f>
        <v>1</v>
      </c>
      <c r="BB10" s="874">
        <f t="array" ref="BB10">SUM(IF(ISBLANK(BB$23:BB$241),0,IF(ISNUMBER(VALUE(RIGHT(BB$23:BB$241,1))),RIGHT(BB$23:BB$241,1),0)*IF(ISBLANK($T$1),1,IF($I$23:$I$241=$T$1,1,0))))</f>
        <v>5</v>
      </c>
      <c r="BE10" s="874">
        <f t="array" ref="BE10">SUM(IF(ISBLANK(BE$23:BE$241),0,IF(ISNUMBER(VALUE(RIGHT(BE$23:BE$241,1))),RIGHT(BE$23:BE$241,1),0)*IF(ISBLANK($T$1),1,IF($I$23:$I$241=$T$1,1,0))))</f>
        <v>11</v>
      </c>
      <c r="BK10" s="874">
        <f t="array" ref="BK10">SUM(IF(ISBLANK(BK$27:BK$241),0,IF(ISNUMBER(VALUE(RIGHT(BK$27:BK$241,1))),RIGHT(BK$27:BK$241,1),0)*IF(ISBLANK($T$1),1,IF($I$23:$I$241=$T$1,1,0))))</f>
        <v>2</v>
      </c>
      <c r="BM10" s="874">
        <f t="array" ref="BM10">SUM(IF(ISBLANK(BM$23:BM$241),0,IF(ISNUMBER(VALUE(RIGHT(BM$23:BM$241,1))),RIGHT(BM$23:BM$241,1),0)*IF(ISBLANK($T$1),1,IF($I$23:$I$241=$T$1,1,0))))</f>
        <v>1</v>
      </c>
      <c r="BN10" s="874">
        <f t="array" ref="BN10">SUM(IF(ISBLANK(BN$23:BN$241),0,IF(ISNUMBER(VALUE(RIGHT(BN$23:BN$241,1))),RIGHT(BN$23:BN$241,1),0)*IF(ISBLANK($T$1),1,IF($I$23:$I$241=$T$1,1,0))))</f>
        <v>0</v>
      </c>
      <c r="CF10" s="874">
        <f t="array" ref="CF10">SUM(IF(ISBLANK(CF$23:CF$241),0,IF(ISNUMBER(VALUE(RIGHT(CF$23:CF$241,1))),RIGHT(CF$23:CF$241,1),0)*IF(ISBLANK($T$1),1,IF($I$23:$I$241=$T$1,1,0))))</f>
        <v>0</v>
      </c>
      <c r="CG10" s="874">
        <f t="array" ref="CG10">SUM(IF(ISBLANK(CG$23:CG$241),0,IF(ISNUMBER(VALUE(RIGHT(CG$23:CG$241,1))),RIGHT(CG$23:CG$241,1),0)*IF(ISBLANK($T$1),1,IF($I$23:$I$241=$T$1,1,0))))</f>
        <v>0</v>
      </c>
      <c r="CH10" s="874">
        <f t="array" ref="CH10">SUM(IF(ISBLANK(CH$23:CH$241),0,IF(ISNUMBER(VALUE(RIGHT(CH$23:CH$241,1))),RIGHT(CH$23:CH$241,1),0)*IF(ISBLANK($T$1),1,IF($I$23:$I$241=$T$1,1,0))))</f>
        <v>0</v>
      </c>
      <c r="CI10" s="874">
        <f t="array" ref="CI10">SUM(IF(ISBLANK(CI$23:CI$241),0,IF(ISNUMBER(VALUE(RIGHT(CI$23:CI$241,1))),RIGHT(CI$23:CI$241,1),0)*IF(ISBLANK($T$1),1,IF($I$23:$I$241=$T$1,1,0))))</f>
        <v>0</v>
      </c>
      <c r="CJ10" s="874">
        <f t="array" ref="CJ10">SUM(IF(ISBLANK(CJ$23:CJ$241),0,IF(ISNUMBER(VALUE(RIGHT(CJ$23:CJ$241,1))),RIGHT(CJ$23:CJ$241,1),0)*IF(ISBLANK($T$1),1,IF($I$23:$I$241=$T$1,1,0))))</f>
        <v>0</v>
      </c>
      <c r="CK10" s="874">
        <f t="array" ref="CK10">SUM(IF(ISBLANK(CK$23:CK$241),0,IF(ISNUMBER(VALUE(RIGHT(CK$23:CK$241,1))),RIGHT(CK$23:CK$241,1),0)*IF(ISBLANK($T$1),1,IF($I$23:$I$241=$T$1,1,0))))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>AF10/AF2</f>
        <v>1.4090909090909092</v>
      </c>
      <c r="AG11" s="874">
        <f>AG10/AG2</f>
        <v>0</v>
      </c>
      <c r="AH11" s="874">
        <f>AH10/AH2</f>
        <v>0</v>
      </c>
      <c r="AI11" s="874">
        <f>AI10/AI2</f>
        <v>0</v>
      </c>
      <c r="AL11" s="874">
        <f>AL10/AL2</f>
        <v>2.2727272727272728E-2</v>
      </c>
      <c r="AN11" s="874">
        <f>AN10/AN2</f>
        <v>6.8181818181818177E-2</v>
      </c>
      <c r="AO11" s="874">
        <f>AO10/AO2</f>
        <v>0</v>
      </c>
      <c r="AQ11" s="874">
        <f>AQ10/AQ2</f>
        <v>0</v>
      </c>
      <c r="AR11" s="874">
        <f>AR10/AR2</f>
        <v>0</v>
      </c>
      <c r="AU11" s="874">
        <f>AU10/AU2</f>
        <v>6.8181818181818177E-2</v>
      </c>
      <c r="AV11" s="874">
        <f>AV10/AV2</f>
        <v>0</v>
      </c>
      <c r="AW11" s="874">
        <f>AW10/AW2</f>
        <v>2.2727272727272728E-2</v>
      </c>
      <c r="AX11" s="874">
        <f>AX10/AX2</f>
        <v>0</v>
      </c>
      <c r="AZ11" s="874">
        <f>AZ10/AZ2</f>
        <v>2.5000000000000001E-2</v>
      </c>
      <c r="BB11" s="874">
        <f>BB10/BB2</f>
        <v>0.11363636363636363</v>
      </c>
      <c r="BE11" s="874">
        <f>BE10/BE2</f>
        <v>0.25</v>
      </c>
      <c r="BK11" s="874">
        <f>BK10/BK2</f>
        <v>0.2857142857142857</v>
      </c>
      <c r="BM11" s="874">
        <f>BM10/BM2</f>
        <v>3.3333333333333333E-2</v>
      </c>
      <c r="BN11" s="874">
        <f>BN10/BN2</f>
        <v>0</v>
      </c>
      <c r="CF11" s="874" t="e">
        <f t="shared" ref="CF11:CK11" si="4">CF10/CF2</f>
        <v>#DIV/0!</v>
      </c>
      <c r="CG11" s="874" t="e">
        <f t="shared" si="4"/>
        <v>#DIV/0!</v>
      </c>
      <c r="CH11" s="874" t="e">
        <f t="shared" si="4"/>
        <v>#DIV/0!</v>
      </c>
      <c r="CI11" s="874">
        <f t="shared" si="4"/>
        <v>0</v>
      </c>
      <c r="CJ11" s="874">
        <f t="shared" si="4"/>
        <v>0</v>
      </c>
      <c r="CK11" s="874">
        <f t="shared" si="4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SUM(IF(ISBLANK($T$1),$K$23:$K$241,IF($I$23:$I$241=$T$1,$K$23:$K$241,0)))</f>
        <v>54</v>
      </c>
      <c r="AG12" s="874">
        <f t="array" ref="AG12">SUM(IF(ISBLANK(AG$23:AG$241),0,$K23:$K241)*IF(ISBLANK($T$1),1,IF($I$23:$I$241=$T$1,1,0)))</f>
        <v>46</v>
      </c>
      <c r="AH12" s="874">
        <f t="array" ref="AH12">SUM(IF(ISBLANK(AH$23:AH$241),0,$K23:$K241)*IF(ISBLANK($T$1),1,IF($I$23:$I$241=$T$1,1,0)))</f>
        <v>54</v>
      </c>
      <c r="AI12" s="874">
        <f t="array" ref="AI12">SUM(IF(ISBLANK(AI$23:AI$241),0,$K23:$K241)*IF(ISBLANK($T$1),1,IF($I$23:$I$241=$T$1,1,0)))</f>
        <v>54</v>
      </c>
      <c r="AL12" s="874">
        <f t="array" ref="AL12">SUM(IF(ISBLANK(AL$23:AL$241),0,$K23:$K241)*IF(ISBLANK($T$1),1,IF($I$23:$I$241=$T$1,1,0)))</f>
        <v>54</v>
      </c>
      <c r="AN12" s="874">
        <f t="array" ref="AN12">SUM(IF(ISBLANK(AN$23:AN$241),0,$K23:$K241)*IF(ISBLANK($T$1),1,IF($I$23:$I$241=$T$1,1,0)))</f>
        <v>54</v>
      </c>
      <c r="AO12" s="874">
        <f t="array" ref="AO12">SUM(IF(ISBLANK(AO$23:AO$241),0,$K23:$K241)*IF(ISBLANK($T$1),1,IF($I$23:$I$241=$T$1,1,0)))</f>
        <v>54</v>
      </c>
      <c r="AQ12" s="874">
        <f t="array" ref="AQ12">SUM(IF(ISBLANK(AQ$23:AQ$241),0,$K23:$K241)*IF(ISBLANK($T$1),1,IF($I$23:$I$241=$T$1,1,0)))</f>
        <v>54</v>
      </c>
      <c r="AR12" s="874">
        <f t="array" ref="AR12">SUM(IF(ISBLANK(AR$23:AR$241),0,$K23:$K241)*IF(ISBLANK($T$1),1,IF($I$23:$I$241=$T$1,1,0)))</f>
        <v>54</v>
      </c>
      <c r="AU12" s="874">
        <f t="array" ref="AU12">SUM(IF(ISBLANK(AU$23:AU$241),0,$K23:$K241)*IF(ISBLANK($T$1),1,IF($I$23:$I$241=$T$1,1,0)))</f>
        <v>54</v>
      </c>
      <c r="AV12" s="874">
        <f t="array" ref="AV12">SUM(IF(ISBLANK(AV$23:AV$241),0,$K23:$K241)*IF(ISBLANK($T$1),1,IF($I$23:$I$241=$T$1,1,0)))</f>
        <v>54</v>
      </c>
      <c r="AW12" s="874">
        <f t="array" ref="AW12">SUM(IF(ISBLANK(AW$23:AW$241),0,$K23:$K241)*IF(ISBLANK($T$1),1,IF($I$23:$I$241=$T$1,1,0)))</f>
        <v>54</v>
      </c>
      <c r="AX12" s="874">
        <f t="array" ref="AX12">SUM(IF(ISBLANK(AX$23:AX$241),0,$K23:$K241)*IF(ISBLANK($T$1),1,IF($I$23:$I$241=$T$1,1,0)))</f>
        <v>54</v>
      </c>
      <c r="AZ12" s="874" t="e">
        <f t="array" ref="AZ12">SUM(IF(ISBLANK(AZ$27:AZ$241),0,$K23:$K241)*IF(ISBLANK($T$1),1,IF($I$23:$I$241=$T$1,1,0)))</f>
        <v>#N/A</v>
      </c>
      <c r="BB12" s="874">
        <f t="array" ref="BB12">SUM(IF(ISBLANK(BB$23:BB$241),0,$K23:$K241)*IF(ISBLANK($T$1),1,IF($I$23:$I$241=$T$1,1,0)))</f>
        <v>54</v>
      </c>
      <c r="BE12" s="874">
        <f t="array" ref="BE12">SUM(IF(ISBLANK(BE$23:BE$241),0,$K23:$K241)*IF(ISBLANK($T$1),1,IF($I$23:$I$241=$T$1,1,0)))</f>
        <v>54</v>
      </c>
      <c r="BK12" s="874" t="e">
        <f t="array" ref="BK12">SUM(IF(ISBLANK(BK$27:BK$241),0,$K23:$K241)*IF(ISBLANK($T$1),1,IF($I$23:$I$241=$T$1,1,0)))</f>
        <v>#N/A</v>
      </c>
      <c r="BM12" s="874">
        <f t="array" ref="BM12">SUM(IF(ISBLANK(BM$23:BM$241),0,$K23:$K241)*IF(ISBLANK($T$1),1,IF($I$23:$I$241=$T$1,1,0)))</f>
        <v>37</v>
      </c>
      <c r="BN12" s="874">
        <f t="array" ref="BN12">SUM(IF(ISBLANK(BN$23:BN$241),0,$K23:$K241)*IF(ISBLANK($T$1),1,IF($I$23:$I$241=$T$1,1,0)))</f>
        <v>34</v>
      </c>
      <c r="CF12" s="874">
        <f t="array" ref="CF12">SUM(IF(ISBLANK(CF$23:CF$241),0,$K23:$K241)*IF(ISBLANK($T$1),1,IF($I$23:$I$241=$T$1,1,0)))</f>
        <v>0</v>
      </c>
      <c r="CG12" s="874">
        <f t="array" ref="CG12">SUM(IF(ISBLANK(CG$23:CG$241),0,$K23:$K241)*IF(ISBLANK($T$1),1,IF($I$23:$I$241=$T$1,1,0)))</f>
        <v>0</v>
      </c>
      <c r="CH12" s="874">
        <f t="array" ref="CH12">SUM(IF(ISBLANK(CH$23:CH$241),0,$K23:$K241)*IF(ISBLANK($T$1),1,IF($I$23:$I$241=$T$1,1,0)))</f>
        <v>0</v>
      </c>
      <c r="CI12" s="874">
        <f t="array" ref="CI12">SUM(IF(ISBLANK(CI$23:CI$241),0,$K23:$K241)*IF(ISBLANK($T$1),1,IF($I$23:$I$241=$T$1,1,0)))</f>
        <v>19</v>
      </c>
      <c r="CJ12" s="874">
        <f t="array" ref="CJ12">SUM(IF(ISBLANK(CJ$23:CJ$241),0,$K23:$K241)*IF(ISBLANK($T$1),1,IF($I$23:$I$241=$T$1,1,0)))</f>
        <v>19</v>
      </c>
      <c r="CK12" s="874">
        <f t="array" ref="CK12">SUM(IF(ISBLANK(CK$23:CK$241),0,$K23:$K241)*IF(ISBLANK($T$1),1,IF($I$23:$I$241=$T$1,1,0)))</f>
        <v>15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>AF12/AF2</f>
        <v>1.2272727272727273</v>
      </c>
      <c r="AG13" s="874">
        <f>AG12/AG2</f>
        <v>1.2105263157894737</v>
      </c>
      <c r="AH13" s="874">
        <f>AH12/AH2</f>
        <v>1.2272727272727273</v>
      </c>
      <c r="AI13" s="874">
        <f>AI12/AI2</f>
        <v>1.2272727272727273</v>
      </c>
      <c r="AL13" s="874">
        <f>AL12/AL2</f>
        <v>1.2272727272727273</v>
      </c>
      <c r="AN13" s="874">
        <f>AN12/AN2</f>
        <v>1.2272727272727273</v>
      </c>
      <c r="AO13" s="874">
        <f>AO12/AO2</f>
        <v>1.2272727272727273</v>
      </c>
      <c r="AQ13" s="874">
        <f>AQ12/AQ2</f>
        <v>1.2272727272727273</v>
      </c>
      <c r="AR13" s="874">
        <f>AR12/AR2</f>
        <v>1.2272727272727273</v>
      </c>
      <c r="AU13" s="874">
        <f>AU12/AU2</f>
        <v>1.2272727272727273</v>
      </c>
      <c r="AV13" s="874">
        <f>AV12/AV2</f>
        <v>1.2558139534883721</v>
      </c>
      <c r="AW13" s="874">
        <f>AW12/AW2</f>
        <v>1.2272727272727273</v>
      </c>
      <c r="AX13" s="874">
        <f>AX12/AX2</f>
        <v>1.2272727272727273</v>
      </c>
      <c r="AZ13" s="874" t="e">
        <f>AZ12/AZ2</f>
        <v>#N/A</v>
      </c>
      <c r="BB13" s="874">
        <f>BB12/BB2</f>
        <v>1.2272727272727273</v>
      </c>
      <c r="BE13" s="874">
        <f>BE12/BE2</f>
        <v>1.2272727272727273</v>
      </c>
      <c r="BK13" s="874" t="e">
        <f>BK12/BK2</f>
        <v>#N/A</v>
      </c>
      <c r="BM13" s="874">
        <f>BM12/BM2</f>
        <v>1.2333333333333334</v>
      </c>
      <c r="BN13" s="874">
        <f>BN12/BN2</f>
        <v>1.2142857142857142</v>
      </c>
      <c r="CF13" s="874" t="e">
        <f t="shared" ref="CF13:CK13" si="5">CF12/CF2</f>
        <v>#DIV/0!</v>
      </c>
      <c r="CG13" s="874" t="e">
        <f t="shared" si="5"/>
        <v>#DIV/0!</v>
      </c>
      <c r="CH13" s="874" t="e">
        <f t="shared" si="5"/>
        <v>#DIV/0!</v>
      </c>
      <c r="CI13" s="874">
        <f t="shared" si="5"/>
        <v>1.1875</v>
      </c>
      <c r="CJ13" s="874">
        <f t="shared" si="5"/>
        <v>1.1875</v>
      </c>
      <c r="CK13" s="874">
        <f t="shared" si="5"/>
        <v>1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BJ14" si="6">AG15+AG16</f>
        <v>2</v>
      </c>
      <c r="AH14" s="849">
        <f t="shared" si="6"/>
        <v>38</v>
      </c>
      <c r="AI14" s="902">
        <f t="shared" ref="AI14:AJ14" si="7">AI15+AI16</f>
        <v>4</v>
      </c>
      <c r="AJ14" s="902">
        <f t="shared" si="7"/>
        <v>0</v>
      </c>
      <c r="AK14" s="849">
        <f t="shared" si="6"/>
        <v>4</v>
      </c>
      <c r="AL14" s="849">
        <f t="shared" si="6"/>
        <v>11</v>
      </c>
      <c r="AM14" s="849">
        <f t="shared" si="6"/>
        <v>39</v>
      </c>
      <c r="AN14" s="849">
        <f t="shared" si="6"/>
        <v>42</v>
      </c>
      <c r="AO14" s="849">
        <f t="shared" si="6"/>
        <v>39</v>
      </c>
      <c r="AP14" s="849">
        <f t="shared" si="6"/>
        <v>30</v>
      </c>
      <c r="AQ14" s="849">
        <f t="shared" si="6"/>
        <v>0</v>
      </c>
      <c r="AR14" s="849">
        <f t="shared" si="6"/>
        <v>12</v>
      </c>
      <c r="AS14" s="902">
        <f t="shared" si="6"/>
        <v>6</v>
      </c>
      <c r="AT14" s="902">
        <f t="shared" ref="AT14" si="8">AT15+AT16</f>
        <v>16</v>
      </c>
      <c r="AU14" s="902">
        <f t="shared" si="6"/>
        <v>32</v>
      </c>
      <c r="AV14" s="902">
        <f t="shared" si="6"/>
        <v>7</v>
      </c>
      <c r="AW14" s="902">
        <f t="shared" si="6"/>
        <v>3</v>
      </c>
      <c r="AX14" s="902">
        <f t="shared" si="6"/>
        <v>27</v>
      </c>
      <c r="AY14" s="902">
        <f t="shared" si="6"/>
        <v>15</v>
      </c>
      <c r="AZ14" s="902">
        <f t="shared" si="6"/>
        <v>14</v>
      </c>
      <c r="BA14" s="902">
        <f t="shared" si="6"/>
        <v>17</v>
      </c>
      <c r="BB14" s="902">
        <f t="shared" si="6"/>
        <v>39</v>
      </c>
      <c r="BC14" s="902">
        <f t="shared" si="6"/>
        <v>42</v>
      </c>
      <c r="BD14" s="902">
        <f t="shared" si="6"/>
        <v>14</v>
      </c>
      <c r="BE14" s="902">
        <f t="shared" si="6"/>
        <v>41</v>
      </c>
      <c r="BF14" s="902">
        <f t="shared" si="6"/>
        <v>5</v>
      </c>
      <c r="BG14" s="902">
        <f t="shared" si="6"/>
        <v>33</v>
      </c>
      <c r="BH14" s="902">
        <f t="shared" si="6"/>
        <v>6</v>
      </c>
      <c r="BI14" s="902">
        <f t="shared" si="6"/>
        <v>37</v>
      </c>
      <c r="BJ14" s="902">
        <f t="shared" si="6"/>
        <v>34</v>
      </c>
      <c r="BK14" s="877"/>
      <c r="BL14" s="877"/>
      <c r="BM14" s="902">
        <f>BM15+BM16</f>
        <v>6</v>
      </c>
      <c r="BN14" s="902">
        <f>BN15+BN16</f>
        <v>1</v>
      </c>
      <c r="BO14" s="877"/>
      <c r="BP14" s="877"/>
      <c r="BQ14" s="877"/>
      <c r="BR14" s="877"/>
      <c r="BS14" s="877"/>
      <c r="BT14" s="877"/>
      <c r="BU14" s="877"/>
      <c r="BV14" s="877"/>
      <c r="BW14" s="877"/>
      <c r="BX14" s="877"/>
      <c r="BY14" s="877"/>
      <c r="BZ14" s="877"/>
      <c r="CA14" s="877"/>
      <c r="CB14" s="877"/>
      <c r="CC14" s="877"/>
      <c r="CD14" s="877"/>
      <c r="CE14" s="877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AVERAGEIFS($Q$23:$Q$208,$H$23:$H$208,"H",$I$23:$I$208,Table!$C$1)</f>
        <v>0.20904761904761907</v>
      </c>
      <c r="S15" s="858">
        <f>AVERAGEIFS($Q$23:$Q$208,$H$23:$H$208,"A",$I$23:$I$208,Table!$C$1)</f>
        <v>-6.6190476190476202E-2</v>
      </c>
      <c r="AF15" s="848" t="s">
        <v>821</v>
      </c>
      <c r="AG15" s="850">
        <f t="array" ref="AG15">SUM(IF(LEFT(AG23:AG162,1)="X",1,0))</f>
        <v>2</v>
      </c>
      <c r="AH15" s="850">
        <f t="array" ref="AH15">SUM(IF(LEFT(AH23:AH162,1)="X",1,0))</f>
        <v>38</v>
      </c>
      <c r="AI15" s="903">
        <f t="array" ref="AI15">SUM(IF(LEFT(AI23:AI162,1)="X",1,0))</f>
        <v>4</v>
      </c>
      <c r="AJ15" s="903">
        <f t="array" ref="AJ15">SUM(IF(LEFT(AJ23:AJ162,1)="X",1,0))</f>
        <v>0</v>
      </c>
      <c r="AK15" s="850">
        <f t="array" ref="AK15">SUM(IF(LEFT(AK23:AK162,1)="X",1,0))</f>
        <v>3</v>
      </c>
      <c r="AL15" s="850">
        <f t="array" ref="AL15">SUM(IF(LEFT(AL23:AL162,1)="X",1,0))</f>
        <v>5</v>
      </c>
      <c r="AM15" s="850">
        <f t="array" ref="AM15">SUM(IF(LEFT(AM23:AM162,1)="X",1,0))</f>
        <v>39</v>
      </c>
      <c r="AN15" s="850">
        <f t="array" ref="AN15">SUM(IF(LEFT(AN23:AN162,1)="X",1,0))</f>
        <v>42</v>
      </c>
      <c r="AO15" s="850">
        <f t="array" ref="AO15">SUM(IF(LEFT(AO23:AO162,1)="X",1,0))</f>
        <v>38</v>
      </c>
      <c r="AP15" s="850">
        <f t="array" ref="AP15">SUM(IF(LEFT(AP23:AP162,1)="X",1,0))</f>
        <v>26</v>
      </c>
      <c r="AQ15" s="850">
        <f t="array" ref="AQ15">SUM(IF(LEFT(AQ23:AQ162,1)="X",1,0))</f>
        <v>0</v>
      </c>
      <c r="AR15" s="850">
        <f t="array" ref="AR15">SUM(IF(LEFT(AR23:AR162,1)="X",1,0))</f>
        <v>6</v>
      </c>
      <c r="AS15" s="903">
        <f t="array" ref="AS15">SUM(IF(LEFT(AS23:AS162,1)="X",1,0))</f>
        <v>3</v>
      </c>
      <c r="AT15" s="903">
        <f t="array" ref="AT15">SUM(IF(LEFT(AT23:AT162,1)="X",1,0))</f>
        <v>1</v>
      </c>
      <c r="AU15" s="903">
        <f t="array" ref="AU15">SUM(IF(LEFT(AU23:AU162,1)="X",1,0))</f>
        <v>27</v>
      </c>
      <c r="AV15" s="903">
        <f t="array" ref="AV15">SUM(IF(LEFT(AV23:AV162,1)="X",1,0))</f>
        <v>5</v>
      </c>
      <c r="AW15" s="903">
        <f t="array" ref="AW15">SUM(IF(LEFT(AW23:AW162,1)="X",1,0))</f>
        <v>0</v>
      </c>
      <c r="AX15" s="903">
        <f t="array" ref="AX15">SUM(IF(LEFT(AX23:AX162,1)="X",1,0))</f>
        <v>26</v>
      </c>
      <c r="AY15" s="903">
        <f t="array" ref="AY15">SUM(IF(LEFT(AY23:AY162,1)="X",1,0))</f>
        <v>4</v>
      </c>
      <c r="AZ15" s="903">
        <f t="array" ref="AZ15">SUM(IF(LEFT(AZ23:AZ162,1)="X",1,0))</f>
        <v>6</v>
      </c>
      <c r="BA15" s="903">
        <f t="array" ref="BA15">SUM(IF(LEFT(BA23:BA162,1)="X",1,0))</f>
        <v>3</v>
      </c>
      <c r="BB15" s="903">
        <f t="array" ref="BB15">SUM(IF(LEFT(BB23:BB162,1)="X",1,0))</f>
        <v>39</v>
      </c>
      <c r="BC15" s="903">
        <f t="array" ref="BC15">SUM(IF(LEFT(BC23:BC162,1)="X",1,0))</f>
        <v>41</v>
      </c>
      <c r="BD15" s="903">
        <f t="array" ref="BD15">SUM(IF(LEFT(BD23:BD162,1)="X",1,0))</f>
        <v>9</v>
      </c>
      <c r="BE15" s="903">
        <f t="array" ref="BE15">SUM(IF(LEFT(BE23:BE162,1)="X",1,0))</f>
        <v>17</v>
      </c>
      <c r="BF15" s="903">
        <f t="array" ref="BF15">SUM(IF(LEFT(BF23:BF162,1)="X",1,0))</f>
        <v>1</v>
      </c>
      <c r="BG15" s="903">
        <f t="array" ref="BG15">SUM(IF(LEFT(BG23:BG162,1)="X",1,0))</f>
        <v>31</v>
      </c>
      <c r="BH15" s="903">
        <f t="array" ref="BH15">SUM(IF(LEFT(BH23:BH162,1)="X",1,0))</f>
        <v>2</v>
      </c>
      <c r="BI15" s="903">
        <f t="array" ref="BI15">SUM(IF(LEFT(BI23:BI162,1)="X",1,0))</f>
        <v>31</v>
      </c>
      <c r="BJ15" s="903">
        <f t="array" ref="BJ15">SUM(IF(LEFT(BJ23:BJ162,1)="X",1,0))</f>
        <v>33</v>
      </c>
      <c r="BK15" s="877"/>
      <c r="BL15" s="877"/>
      <c r="BM15" s="903">
        <f t="array" ref="BM15">SUM(IF(LEFT(BM23:BM162,1)="X",1,0))</f>
        <v>2</v>
      </c>
      <c r="BN15" s="903">
        <f t="array" ref="BN15">SUM(IF(LEFT(BN23:BN162,1)="X",1,0))</f>
        <v>0</v>
      </c>
      <c r="BO15" s="877"/>
      <c r="BP15" s="877"/>
      <c r="BQ15" s="877"/>
      <c r="BR15" s="877"/>
      <c r="BS15" s="877"/>
      <c r="BT15" s="877"/>
      <c r="BU15" s="877"/>
      <c r="BV15" s="877"/>
      <c r="BW15" s="877"/>
      <c r="BX15" s="877"/>
      <c r="BY15" s="877"/>
      <c r="BZ15" s="877"/>
      <c r="CA15" s="877"/>
      <c r="CB15" s="877"/>
      <c r="CC15" s="877"/>
      <c r="CD15" s="877"/>
      <c r="CE15" s="877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AVERAGEIF($H$23:$H$205,"=H",$J$23:$J$205)</f>
        <v>1.1904761904761905</v>
      </c>
      <c r="J16" s="858">
        <f>AVERAGEIF($H$23:$H$209,"=H",$K$23:$K$209)</f>
        <v>1.1904761904761905</v>
      </c>
      <c r="K16" s="858">
        <f>I16-J16</f>
        <v>0</v>
      </c>
      <c r="L16" s="857">
        <f>COUNTIFS($L$23:$L$205,"=W",$H$23:$H$205,"=H")</f>
        <v>6</v>
      </c>
      <c r="M16" s="857">
        <f>COUNTIFS($L$23:$L$205,"=D",$H$23:$H$205,"=H")</f>
        <v>9</v>
      </c>
      <c r="N16" s="863">
        <f>COUNTIFS($L$23:$L$205,"=L",$H$23:$H$205,"=H")</f>
        <v>6</v>
      </c>
      <c r="O16" s="858">
        <f>SUM(I16:J16)</f>
        <v>2.3809523809523809</v>
      </c>
      <c r="Q16" s="861" t="s">
        <v>212</v>
      </c>
      <c r="R16" s="858">
        <f>AVERAGEIFS($S$23:$S$206,$H$23:$H$206,"H",$I$23:$I$206,Table!$C$1)</f>
        <v>2.4557142857142855</v>
      </c>
      <c r="S16" s="858">
        <f>AVERAGEIFS($S$23:$S$206,$H$23:$H$206,"A",$I$23:$I$206,Table!$C$1)</f>
        <v>2.4247619047619051</v>
      </c>
      <c r="AF16" s="848" t="s">
        <v>724</v>
      </c>
      <c r="AG16" s="850">
        <f t="array" ref="AG16">SUM(IF(LEFT(AG23:AG163,1)="s",1,0))</f>
        <v>0</v>
      </c>
      <c r="AH16" s="850">
        <f t="array" ref="AH16">SUM(IF(LEFT(AH23:AH163,1)="s",1,0))</f>
        <v>0</v>
      </c>
      <c r="AI16" s="903">
        <f t="array" ref="AI16">SUM(IF(LEFT(AI23:AI163,1)="s",1,0))</f>
        <v>0</v>
      </c>
      <c r="AJ16" s="903">
        <f t="array" ref="AJ16">SUM(IF(LEFT(AJ23:AJ163,1)="s",1,0))</f>
        <v>0</v>
      </c>
      <c r="AK16" s="850">
        <f t="array" ref="AK16">SUM(IF(LEFT(AK23:AK163,1)="s",1,0))</f>
        <v>1</v>
      </c>
      <c r="AL16" s="850">
        <f t="array" ref="AL16">SUM(IF(LEFT(AL23:AL163,1)="s",1,0))</f>
        <v>6</v>
      </c>
      <c r="AM16" s="850">
        <f t="array" ref="AM16">SUM(IF(LEFT(AM23:AM163,1)="s",1,0))</f>
        <v>0</v>
      </c>
      <c r="AN16" s="850">
        <f t="array" ref="AN16">SUM(IF(LEFT(AN23:AN163,1)="s",1,0))</f>
        <v>0</v>
      </c>
      <c r="AO16" s="850">
        <f t="array" ref="AO16">SUM(IF(LEFT(AO23:AO163,1)="s",1,0))</f>
        <v>1</v>
      </c>
      <c r="AP16" s="850">
        <f t="array" ref="AP16">SUM(IF(LEFT(AP23:AP163,1)="s",1,0))</f>
        <v>4</v>
      </c>
      <c r="AQ16" s="850">
        <f t="array" ref="AQ16">SUM(IF(LEFT(AQ23:AQ163,1)="s",1,0))</f>
        <v>0</v>
      </c>
      <c r="AR16" s="850">
        <f t="array" ref="AR16">SUM(IF(LEFT(AR23:AR163,1)="s",1,0))</f>
        <v>6</v>
      </c>
      <c r="AS16" s="903">
        <f t="array" ref="AS16">SUM(IF(LEFT(AS23:AS163,1)="s",1,0))</f>
        <v>3</v>
      </c>
      <c r="AT16" s="903">
        <f t="array" ref="AT16">SUM(IF(LEFT(AT23:AT163,1)="s",1,0))</f>
        <v>15</v>
      </c>
      <c r="AU16" s="903">
        <f t="array" ref="AU16">SUM(IF(LEFT(AU23:AU163,1)="s",1,0))</f>
        <v>5</v>
      </c>
      <c r="AV16" s="903">
        <f t="array" ref="AV16">SUM(IF(LEFT(AV23:AV163,1)="s",1,0))</f>
        <v>2</v>
      </c>
      <c r="AW16" s="903">
        <f t="array" ref="AW16">SUM(IF(LEFT(AW23:AW163,1)="s",1,0))</f>
        <v>3</v>
      </c>
      <c r="AX16" s="903">
        <f t="array" ref="AX16">SUM(IF(LEFT(AX23:AX163,1)="s",1,0))</f>
        <v>1</v>
      </c>
      <c r="AY16" s="903">
        <f t="array" ref="AY16">SUM(IF(LEFT(AY23:AY163,1)="s",1,0))</f>
        <v>11</v>
      </c>
      <c r="AZ16" s="903">
        <f t="array" ref="AZ16">SUM(IF(LEFT(AZ23:AZ163,1)="s",1,0))</f>
        <v>8</v>
      </c>
      <c r="BA16" s="903">
        <f t="array" ref="BA16">SUM(IF(LEFT(BA23:BA163,1)="s",1,0))</f>
        <v>14</v>
      </c>
      <c r="BB16" s="903">
        <f t="array" ref="BB16">SUM(IF(LEFT(BB23:BB163,1)="s",1,0))</f>
        <v>0</v>
      </c>
      <c r="BC16" s="903">
        <f t="array" ref="BC16">SUM(IF(LEFT(BC23:BC163,1)="s",1,0))</f>
        <v>1</v>
      </c>
      <c r="BD16" s="903">
        <f t="array" ref="BD16">SUM(IF(LEFT(BD23:BD163,1)="s",1,0))</f>
        <v>5</v>
      </c>
      <c r="BE16" s="903">
        <f t="array" ref="BE16">SUM(IF(LEFT(BE23:BE163,1)="s",1,0))</f>
        <v>24</v>
      </c>
      <c r="BF16" s="903">
        <f t="array" ref="BF16">SUM(IF(LEFT(BF23:BF163,1)="s",1,0))</f>
        <v>4</v>
      </c>
      <c r="BG16" s="903">
        <f t="array" ref="BG16">SUM(IF(LEFT(BG23:BG163,1)="s",1,0))</f>
        <v>2</v>
      </c>
      <c r="BH16" s="903">
        <f t="array" ref="BH16">SUM(IF(LEFT(BH23:BH163,1)="s",1,0))</f>
        <v>4</v>
      </c>
      <c r="BI16" s="903">
        <f t="array" ref="BI16">SUM(IF(LEFT(BI23:BI163,1)="s",1,0))</f>
        <v>6</v>
      </c>
      <c r="BJ16" s="903">
        <f t="array" ref="BJ16">SUM(IF(LEFT(BJ23:BJ163,1)="s",1,0))</f>
        <v>1</v>
      </c>
      <c r="BK16" s="877"/>
      <c r="BL16" s="877"/>
      <c r="BM16" s="903">
        <f t="array" ref="BM16">SUM(IF(LEFT(BM23:BM163,1)="s",1,0))</f>
        <v>4</v>
      </c>
      <c r="BN16" s="903">
        <f t="array" ref="BN16">SUM(IF(LEFT(BN23:BN163,1)="s",1,0))</f>
        <v>1</v>
      </c>
      <c r="BO16" s="877"/>
      <c r="BP16" s="877"/>
      <c r="BQ16" s="877"/>
      <c r="BR16" s="877"/>
      <c r="BS16" s="877"/>
      <c r="BT16" s="877"/>
      <c r="BU16" s="877"/>
      <c r="BV16" s="877"/>
      <c r="BW16" s="877"/>
      <c r="BX16" s="877"/>
      <c r="BY16" s="877"/>
      <c r="BZ16" s="877"/>
      <c r="CA16" s="877"/>
      <c r="CB16" s="877"/>
      <c r="CC16" s="877"/>
      <c r="CD16" s="877"/>
      <c r="CE16" s="877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23</v>
      </c>
      <c r="I17" s="860">
        <f>AVERAGEIF($H$23:$H$205,"=A",$J$23:$J$205)</f>
        <v>1.6086956521739131</v>
      </c>
      <c r="J17" s="860">
        <f>AVERAGEIF($H$23:$H$209,"=A",$K$23:$K$209)</f>
        <v>1.2608695652173914</v>
      </c>
      <c r="K17" s="858">
        <f>I17-J17</f>
        <v>0.34782608695652173</v>
      </c>
      <c r="L17" s="857">
        <f>COUNTIFS($L$23:$L$205,"=W",$H$23:$H$205,"=A")</f>
        <v>12</v>
      </c>
      <c r="M17" s="857">
        <f>COUNTIFS($L$23:$L$205,"=D",$H$23:$H$205,"=A")</f>
        <v>4</v>
      </c>
      <c r="N17" s="863">
        <f>COUNTIFS($L$23:$L$205,"=L",$H$23:$H$205,"=A")</f>
        <v>7</v>
      </c>
      <c r="O17" s="858">
        <f>SUM(I17:J17)</f>
        <v>2.8695652173913047</v>
      </c>
      <c r="Q17" s="848"/>
      <c r="R17" s="859"/>
      <c r="S17" s="855"/>
      <c r="AF17" s="848" t="s">
        <v>718</v>
      </c>
      <c r="AG17" s="850">
        <f t="array" ref="AG17">SUM(IF(ISNUMBER(VALUE(RIGHT(AG23:AG171,1))),VALUE(RIGHT(AG23:AG171,1)),0))</f>
        <v>0</v>
      </c>
      <c r="AH17" s="850">
        <f t="array" ref="AH17">SUM(IF(ISNUMBER(VALUE(RIGHT(AH23:AH171,1))),VALUE(RIGHT(AH23:AH171,1)),0))</f>
        <v>0</v>
      </c>
      <c r="AI17" s="903">
        <f t="array" ref="AI17">SUM(IF(ISNUMBER(VALUE(RIGHT(AI23:AI171,1))),VALUE(RIGHT(AI23:AI171,1)),0))</f>
        <v>0</v>
      </c>
      <c r="AJ17" s="903">
        <f t="array" ref="AJ17">SUM(IF(ISNUMBER(VALUE(RIGHT(AJ23:AJ171,1))),VALUE(RIGHT(AJ23:AJ171,1)),0))</f>
        <v>0</v>
      </c>
      <c r="AK17" s="850">
        <f t="array" ref="AK17">SUM(IF(ISNUMBER(VALUE(RIGHT(AK23:AK171,1))),VALUE(RIGHT(AK23:AK171,1)),0))</f>
        <v>0</v>
      </c>
      <c r="AL17" s="850">
        <f t="array" ref="AL17">SUM(IF(ISNUMBER(VALUE(RIGHT(AL23:AL171,1))),VALUE(RIGHT(AL23:AL171,1)),0))</f>
        <v>1</v>
      </c>
      <c r="AM17" s="850">
        <f t="array" ref="AM17">SUM(IF(ISNUMBER(VALUE(RIGHT(AM23:AM171,1))),VALUE(RIGHT(AM23:AM171,1)),0))</f>
        <v>1</v>
      </c>
      <c r="AN17" s="850">
        <f t="array" ref="AN17">SUM(IF(ISNUMBER(VALUE(RIGHT(AN23:AN171,1))),VALUE(RIGHT(AN23:AN171,1)),0))</f>
        <v>3</v>
      </c>
      <c r="AO17" s="850">
        <f t="array" ref="AO17">SUM(IF(ISNUMBER(VALUE(RIGHT(AO23:AO171,1))),VALUE(RIGHT(AO23:AO171,1)),0))</f>
        <v>0</v>
      </c>
      <c r="AP17" s="850">
        <f t="array" ref="AP17">SUM(IF(ISNUMBER(VALUE(RIGHT(AP23:AP171,1))),VALUE(RIGHT(AP23:AP171,1)),0))</f>
        <v>1</v>
      </c>
      <c r="AQ17" s="850">
        <f t="array" ref="AQ17">SUM(IF(ISNUMBER(VALUE(RIGHT(AQ23:AQ171,1))),VALUE(RIGHT(AQ23:AQ171,1)),0))</f>
        <v>0</v>
      </c>
      <c r="AR17" s="850">
        <f t="array" ref="AR17">SUM(IF(ISNUMBER(VALUE(RIGHT(AR23:AR171,1))),VALUE(RIGHT(AR23:AR171,1)),0))</f>
        <v>0</v>
      </c>
      <c r="AS17" s="903">
        <f t="array" ref="AS17">SUM(IF(ISNUMBER(VALUE(RIGHT(AS23:AS171,1))),VALUE(RIGHT(AS23:AS171,1)),0))</f>
        <v>0</v>
      </c>
      <c r="AT17" s="903">
        <f t="array" ref="AT17">SUM(IF(ISNUMBER(VALUE(RIGHT(AT23:AT171,1))),VALUE(RIGHT(AT23:AT171,1)),0))</f>
        <v>0</v>
      </c>
      <c r="AU17" s="903">
        <f t="array" ref="AU17">SUM(IF(ISNUMBER(VALUE(RIGHT(AU23:AU171,1))),VALUE(RIGHT(AU23:AU171,1)),0))</f>
        <v>3</v>
      </c>
      <c r="AV17" s="903">
        <f t="array" ref="AV17">SUM(IF(ISNUMBER(VALUE(RIGHT(AV23:AV171,1))),VALUE(RIGHT(AV23:AV171,1)),0))</f>
        <v>0</v>
      </c>
      <c r="AW17" s="903">
        <f t="array" ref="AW17">SUM(IF(ISNUMBER(VALUE(RIGHT(AW23:AW171,1))),VALUE(RIGHT(AW23:AW171,1)),0))</f>
        <v>1</v>
      </c>
      <c r="AX17" s="903">
        <f t="array" ref="AX17">SUM(IF(ISNUMBER(VALUE(RIGHT(AX23:AX171,1))),VALUE(RIGHT(AX23:AX171,1)),0))</f>
        <v>0</v>
      </c>
      <c r="AY17" s="903">
        <f t="array" ref="AY17">SUM(IF(ISNUMBER(VALUE(RIGHT(AY23:AY171,1))),VALUE(RIGHT(AY23:AY171,1)),0))</f>
        <v>0</v>
      </c>
      <c r="AZ17" s="903">
        <f t="array" ref="AZ17">SUM(IF(ISNUMBER(VALUE(RIGHT(AZ23:AZ171,1))),VALUE(RIGHT(AZ23:AZ171,1)),0))</f>
        <v>1</v>
      </c>
      <c r="BA17" s="903">
        <f t="array" ref="BA17">SUM(IF(ISNUMBER(VALUE(RIGHT(BA23:BA171,1))),VALUE(RIGHT(BA23:BA171,1)),0))</f>
        <v>1</v>
      </c>
      <c r="BB17" s="903">
        <f t="array" ref="BB17">SUM(IF(ISNUMBER(VALUE(RIGHT(BB23:BB171,1))),VALUE(RIGHT(BB23:BB171,1)),0))</f>
        <v>5</v>
      </c>
      <c r="BC17" s="903">
        <f t="array" ref="BC17">SUM(IF(ISNUMBER(VALUE(RIGHT(BC23:BC171,1))),VALUE(RIGHT(BC23:BC171,1)),0))</f>
        <v>17</v>
      </c>
      <c r="BD17" s="903">
        <f t="array" ref="BD17">SUM(IF(ISNUMBER(VALUE(RIGHT(BD23:BD171,1))),VALUE(RIGHT(BD23:BD171,1)),0))</f>
        <v>1</v>
      </c>
      <c r="BE17" s="903">
        <f t="array" ref="BE17">SUM(IF(ISNUMBER(VALUE(RIGHT(BE23:BE171,1))),VALUE(RIGHT(BE23:BE171,1)),0))</f>
        <v>11</v>
      </c>
      <c r="BF17" s="903">
        <f t="array" ref="BF17">SUM(IF(ISNUMBER(VALUE(RIGHT(BF23:BF171,1))),VALUE(RIGHT(BF23:BF171,1)),0))</f>
        <v>3</v>
      </c>
      <c r="BG17" s="903">
        <f t="array" ref="BG17">SUM(IF(ISNUMBER(VALUE(RIGHT(BG23:BG171,1))),VALUE(RIGHT(BG23:BG171,1)),0))</f>
        <v>5</v>
      </c>
      <c r="BH17" s="903">
        <f t="array" ref="BH17">SUM(IF(ISNUMBER(VALUE(RIGHT(BH23:BH171,1))),VALUE(RIGHT(BH23:BH171,1)),0))</f>
        <v>0</v>
      </c>
      <c r="BI17" s="903">
        <f t="array" ref="BI17">SUM(IF(ISNUMBER(VALUE(RIGHT(BI23:BI171,1))),VALUE(RIGHT(BI23:BI171,1)),0))</f>
        <v>2</v>
      </c>
      <c r="BJ17" s="903">
        <f t="array" ref="BJ17">SUM(IF(ISNUMBER(VALUE(RIGHT(BJ23:BJ171,1))),VALUE(RIGHT(BJ23:BJ171,1)),0))</f>
        <v>3</v>
      </c>
      <c r="BK17" s="877"/>
      <c r="BL17" s="877"/>
      <c r="BM17" s="903">
        <f t="array" ref="BM17">SUM(IF(ISNUMBER(VALUE(RIGHT(BM23:BM171,1))),VALUE(RIGHT(BM23:BM171,1)),0))</f>
        <v>1</v>
      </c>
      <c r="BN17" s="903">
        <f t="array" ref="BN17">SUM(IF(ISNUMBER(VALUE(RIGHT(BN23:BN171,1))),VALUE(RIGHT(BN23:BN171,1)),0))</f>
        <v>0</v>
      </c>
      <c r="BO17" s="877"/>
      <c r="BP17" s="877"/>
      <c r="BQ17" s="877"/>
      <c r="BR17" s="877"/>
      <c r="BS17" s="877"/>
      <c r="BT17" s="877"/>
      <c r="BU17" s="877"/>
      <c r="BV17" s="877"/>
      <c r="BW17" s="877"/>
      <c r="BX17" s="877"/>
      <c r="BY17" s="877"/>
      <c r="BZ17" s="877"/>
      <c r="CA17" s="877"/>
      <c r="CB17" s="877"/>
      <c r="CC17" s="877"/>
      <c r="CD17" s="877"/>
      <c r="CE17" s="877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AVERAGEIFS($W$23:$W$208,$H$23:$H$208,"H",$I$23:$I$208,Table!$C$1)</f>
        <v>12.238095238095237</v>
      </c>
      <c r="S18" s="858">
        <f>AVERAGEIFS($W$23:$W$208,$H$23:$H$208,"A",$I$23:$I$208,Table!$C$1)</f>
        <v>14.714285714285714</v>
      </c>
      <c r="AG18" s="885">
        <v>1</v>
      </c>
      <c r="AH18" s="885">
        <v>21</v>
      </c>
      <c r="AI18" s="885">
        <v>31</v>
      </c>
      <c r="AJ18" s="885">
        <v>22</v>
      </c>
      <c r="AK18" s="885">
        <v>2</v>
      </c>
      <c r="AL18" s="885">
        <v>3</v>
      </c>
      <c r="AM18" s="885">
        <v>4</v>
      </c>
      <c r="AN18" s="885">
        <v>5</v>
      </c>
      <c r="AO18" s="885">
        <v>6</v>
      </c>
      <c r="AP18" s="885">
        <v>14</v>
      </c>
      <c r="AQ18" s="885">
        <v>25</v>
      </c>
      <c r="AR18" s="885">
        <v>29</v>
      </c>
      <c r="AS18" s="885">
        <v>35</v>
      </c>
      <c r="AT18" s="885">
        <v>10</v>
      </c>
      <c r="AU18" s="885">
        <v>7</v>
      </c>
      <c r="AV18" s="885">
        <v>8</v>
      </c>
      <c r="AW18" s="885">
        <v>15</v>
      </c>
      <c r="AX18" s="885">
        <v>16</v>
      </c>
      <c r="AY18" s="885">
        <v>17</v>
      </c>
      <c r="AZ18" s="885">
        <v>24</v>
      </c>
      <c r="BA18" s="885">
        <v>32</v>
      </c>
      <c r="BB18" s="885">
        <v>33</v>
      </c>
      <c r="BC18" s="885">
        <v>9</v>
      </c>
      <c r="BD18" s="885">
        <v>11</v>
      </c>
      <c r="BE18" s="885">
        <v>18</v>
      </c>
      <c r="BF18" s="885">
        <v>19</v>
      </c>
      <c r="BG18" s="885">
        <v>27</v>
      </c>
      <c r="BH18" s="885">
        <v>30</v>
      </c>
      <c r="BI18" s="885">
        <v>48</v>
      </c>
      <c r="BJ18" s="885">
        <v>20</v>
      </c>
      <c r="BL18" s="877"/>
      <c r="BM18" s="885">
        <v>28</v>
      </c>
      <c r="BN18" s="885">
        <v>36</v>
      </c>
      <c r="BO18" s="877"/>
      <c r="BP18" s="877"/>
      <c r="BQ18" s="877"/>
      <c r="BR18" s="877"/>
      <c r="BS18" s="877"/>
      <c r="BT18" s="877"/>
      <c r="BU18" s="877"/>
      <c r="BV18" s="877"/>
      <c r="BW18" s="877"/>
      <c r="BX18" s="877"/>
      <c r="BY18" s="877"/>
      <c r="BZ18" s="877"/>
      <c r="CA18" s="877"/>
      <c r="CB18" s="877"/>
      <c r="CC18" s="877"/>
      <c r="CD18" s="877"/>
      <c r="CE18" s="877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AVERAGEIFS($X$23:$X$206,$H$23:$H$206,"H",$I$23:$I$206,Table!$C$1)</f>
        <v>12.571428571428571</v>
      </c>
      <c r="S19" s="858">
        <f>AVERAGEIFS($X$23:$X$206,$H$23:$H$206,"A",$I$23:$I$206,Table!$C$1)</f>
        <v>15.523809523809524</v>
      </c>
      <c r="V19" s="875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2986</v>
      </c>
      <c r="AK19" s="901" t="s">
        <v>2057</v>
      </c>
      <c r="AL19" s="901" t="s">
        <v>2056</v>
      </c>
      <c r="AM19" s="901" t="s">
        <v>2057</v>
      </c>
      <c r="AN19" s="901" t="s">
        <v>2057</v>
      </c>
      <c r="AO19" s="901" t="s">
        <v>2056</v>
      </c>
      <c r="AP19" s="901" t="s">
        <v>2058</v>
      </c>
      <c r="AQ19" s="901" t="s">
        <v>2014</v>
      </c>
      <c r="AR19" s="901" t="s">
        <v>2058</v>
      </c>
      <c r="AS19" s="901" t="s">
        <v>2057</v>
      </c>
      <c r="AT19" s="901" t="s">
        <v>1988</v>
      </c>
      <c r="AU19" s="901" t="s">
        <v>2069</v>
      </c>
      <c r="AV19" s="901" t="s">
        <v>2062</v>
      </c>
      <c r="AW19" s="901" t="s">
        <v>2070</v>
      </c>
      <c r="AX19" s="901" t="s">
        <v>2071</v>
      </c>
      <c r="AY19" s="901" t="s">
        <v>1709</v>
      </c>
      <c r="AZ19" s="901" t="s">
        <v>2065</v>
      </c>
      <c r="BA19" s="901" t="s">
        <v>2062</v>
      </c>
      <c r="BB19" s="901" t="s">
        <v>2062</v>
      </c>
      <c r="BC19" s="901" t="s">
        <v>2067</v>
      </c>
      <c r="BD19" s="901" t="s">
        <v>2063</v>
      </c>
      <c r="BE19" s="901" t="s">
        <v>2063</v>
      </c>
      <c r="BF19" s="901" t="s">
        <v>2068</v>
      </c>
      <c r="BG19" s="901" t="s">
        <v>2063</v>
      </c>
      <c r="BH19" s="901" t="s">
        <v>1663</v>
      </c>
      <c r="BI19" s="901" t="s">
        <v>2063</v>
      </c>
      <c r="BJ19" s="901" t="s">
        <v>2068</v>
      </c>
      <c r="BL19" s="877"/>
      <c r="BM19" s="901" t="s">
        <v>2065</v>
      </c>
      <c r="BN19" s="901" t="s">
        <v>1709</v>
      </c>
      <c r="BO19" s="877"/>
      <c r="BP19" s="877"/>
      <c r="BQ19" s="877"/>
      <c r="BR19" s="877"/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0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9</v>
      </c>
      <c r="G20" s="822" t="s">
        <v>1874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1569</v>
      </c>
      <c r="AH20" s="887" t="s">
        <v>1570</v>
      </c>
      <c r="AI20" s="887" t="s">
        <v>2659</v>
      </c>
      <c r="AJ20" s="887" t="s">
        <v>2984</v>
      </c>
      <c r="AK20" s="887" t="s">
        <v>1571</v>
      </c>
      <c r="AL20" s="887" t="s">
        <v>1572</v>
      </c>
      <c r="AM20" s="887" t="s">
        <v>3057</v>
      </c>
      <c r="AN20" s="887" t="s">
        <v>1573</v>
      </c>
      <c r="AO20" s="887" t="s">
        <v>1574</v>
      </c>
      <c r="AP20" s="887" t="s">
        <v>1575</v>
      </c>
      <c r="AQ20" s="887" t="s">
        <v>1576</v>
      </c>
      <c r="AR20" s="887" t="s">
        <v>1577</v>
      </c>
      <c r="AS20" s="887" t="s">
        <v>1578</v>
      </c>
      <c r="AT20" s="887" t="s">
        <v>1633</v>
      </c>
      <c r="AU20" s="887" t="s">
        <v>2281</v>
      </c>
      <c r="AV20" s="887" t="s">
        <v>1579</v>
      </c>
      <c r="AW20" s="887" t="s">
        <v>2283</v>
      </c>
      <c r="AX20" s="887" t="s">
        <v>1580</v>
      </c>
      <c r="AY20" s="887" t="s">
        <v>1581</v>
      </c>
      <c r="AZ20" s="887" t="s">
        <v>1583</v>
      </c>
      <c r="BA20" s="887" t="s">
        <v>1585</v>
      </c>
      <c r="BB20" s="887" t="s">
        <v>1414</v>
      </c>
      <c r="BC20" s="887" t="s">
        <v>2877</v>
      </c>
      <c r="BD20" s="887" t="s">
        <v>1586</v>
      </c>
      <c r="BE20" s="887" t="s">
        <v>1587</v>
      </c>
      <c r="BF20" s="887" t="s">
        <v>1588</v>
      </c>
      <c r="BG20" s="887" t="s">
        <v>1589</v>
      </c>
      <c r="BH20" s="887" t="s">
        <v>1590</v>
      </c>
      <c r="BI20" s="887" t="s">
        <v>3209</v>
      </c>
      <c r="BJ20" s="887" t="s">
        <v>1582</v>
      </c>
      <c r="BL20" s="887"/>
      <c r="BM20" s="887" t="s">
        <v>1584</v>
      </c>
      <c r="BN20" s="887" t="s">
        <v>1918</v>
      </c>
      <c r="BO20" s="864"/>
      <c r="BP20" s="864"/>
      <c r="BQ20" s="864"/>
      <c r="BR20" s="864"/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89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1341</v>
      </c>
      <c r="AH21" s="886" t="s">
        <v>1342</v>
      </c>
      <c r="AI21" s="886" t="s">
        <v>1343</v>
      </c>
      <c r="AJ21" s="886" t="s">
        <v>2985</v>
      </c>
      <c r="AK21" s="886" t="s">
        <v>1344</v>
      </c>
      <c r="AL21" s="886" t="s">
        <v>995</v>
      </c>
      <c r="AM21" s="886" t="s">
        <v>1761</v>
      </c>
      <c r="AN21" s="886" t="s">
        <v>1345</v>
      </c>
      <c r="AO21" s="886" t="s">
        <v>1346</v>
      </c>
      <c r="AP21" s="886" t="s">
        <v>1347</v>
      </c>
      <c r="AQ21" s="886" t="s">
        <v>1348</v>
      </c>
      <c r="AR21" s="886" t="s">
        <v>1349</v>
      </c>
      <c r="AS21" s="886" t="s">
        <v>1078</v>
      </c>
      <c r="AT21" s="886" t="s">
        <v>1679</v>
      </c>
      <c r="AU21" s="886" t="s">
        <v>2282</v>
      </c>
      <c r="AV21" s="886" t="s">
        <v>1350</v>
      </c>
      <c r="AW21" s="886" t="s">
        <v>2284</v>
      </c>
      <c r="AX21" s="886" t="s">
        <v>1762</v>
      </c>
      <c r="AY21" s="886" t="s">
        <v>1763</v>
      </c>
      <c r="AZ21" s="886" t="s">
        <v>1352</v>
      </c>
      <c r="BA21" s="886" t="s">
        <v>1354</v>
      </c>
      <c r="BB21" s="886" t="s">
        <v>1764</v>
      </c>
      <c r="BC21" s="886" t="s">
        <v>2878</v>
      </c>
      <c r="BD21" s="886" t="s">
        <v>2577</v>
      </c>
      <c r="BE21" s="886" t="s">
        <v>1356</v>
      </c>
      <c r="BF21" s="886" t="s">
        <v>1765</v>
      </c>
      <c r="BG21" s="886" t="s">
        <v>1357</v>
      </c>
      <c r="BH21" s="886" t="s">
        <v>1766</v>
      </c>
      <c r="BI21" s="886" t="s">
        <v>1358</v>
      </c>
      <c r="BJ21" s="886" t="s">
        <v>1351</v>
      </c>
      <c r="BK21" s="886" t="s">
        <v>2686</v>
      </c>
      <c r="BL21" s="886"/>
      <c r="BM21" s="886" t="s">
        <v>1353</v>
      </c>
      <c r="BN21" s="886" t="s">
        <v>1355</v>
      </c>
      <c r="BO21" s="864"/>
      <c r="BP21" s="864"/>
      <c r="BQ21" s="864"/>
      <c r="BR21" s="864"/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4</v>
      </c>
      <c r="G23" s="879" t="s">
        <v>1084</v>
      </c>
      <c r="H23" s="879" t="s">
        <v>18</v>
      </c>
      <c r="I23" s="879" t="s">
        <v>891</v>
      </c>
      <c r="J23" s="846">
        <v>2</v>
      </c>
      <c r="K23" s="846">
        <v>1</v>
      </c>
      <c r="L23" s="816" t="str">
        <f t="shared" ref="L23:L42" si="9">IF(J23="","",IF(J23&gt;K23,"W",IF(J23=K23,"D",IF(J23&lt;K23,"L"))))</f>
        <v>W</v>
      </c>
      <c r="M23" s="816">
        <f t="shared" ref="M23:M42" si="10">IF(J23="","",J23+K23)</f>
        <v>3</v>
      </c>
      <c r="N23" s="816" t="str">
        <f t="shared" ref="N23:N41" si="11">IF($J23="","",IF($M23&gt;N$19,"O",IF($M23&lt;N$19,"U",IF($M23=N$19,"-"))))</f>
        <v>O</v>
      </c>
      <c r="O23" s="816">
        <f t="shared" ref="O23:O42" si="12">IF(Q23="","",IF(SIGN(Q23)&lt;&gt;1,VLOOKUP(ABS(Q23),SUP_HDC,3,TRUE),-VLOOKUP(ABS(Q23),SUP_HDC,3,TRUE)))</f>
        <v>0.25</v>
      </c>
      <c r="P23" s="829">
        <f t="shared" ref="P23:P42" si="13">IF(O23="","",IF((J23-K23+O23)&gt;=0.5,1,IF((J23-K23+O23)=0.25,0.5,IF((J23-K23+O23)&lt;=-0.5,-1,IF((J23-K23+O23)=-0.25,-0.5,0)))))</f>
        <v>1</v>
      </c>
      <c r="Q23" s="830">
        <v>-0.15</v>
      </c>
      <c r="R23" s="871">
        <f t="shared" ref="R23:R42" si="14">IF(ISBLANK(Q23),"",J23-K23-Q23)</f>
        <v>1.1499999999999999</v>
      </c>
      <c r="S23" s="830">
        <v>2.25</v>
      </c>
      <c r="T23" s="871">
        <f t="shared" ref="T23:T42" si="15">IF(ISBLANK(S23),"",J23+K23-S23)</f>
        <v>0.75</v>
      </c>
      <c r="U23" s="868">
        <f t="shared" ref="U23:U42" si="16">IF(Q23="","",(Q23+S23)/2)</f>
        <v>1.05</v>
      </c>
      <c r="V23" s="868">
        <f t="shared" ref="V23:V42" si="17">IF(Q23="","",S23-U23)</f>
        <v>1.2</v>
      </c>
      <c r="W23" s="829">
        <v>17</v>
      </c>
      <c r="X23" s="829">
        <v>17</v>
      </c>
      <c r="Y23" s="829">
        <v>3</v>
      </c>
      <c r="Z23" s="829">
        <v>6</v>
      </c>
      <c r="AA23" s="816">
        <v>52</v>
      </c>
      <c r="AB23" s="816">
        <v>48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32</v>
      </c>
      <c r="AH23" s="891" t="s">
        <v>1877</v>
      </c>
      <c r="AI23" s="891" t="s">
        <v>34</v>
      </c>
      <c r="AJ23" s="910"/>
      <c r="AK23" s="891" t="s">
        <v>32</v>
      </c>
      <c r="AL23" s="891" t="s">
        <v>32</v>
      </c>
      <c r="AM23" s="891" t="s">
        <v>34</v>
      </c>
      <c r="AN23" s="891" t="s">
        <v>1879</v>
      </c>
      <c r="AO23" s="891" t="s">
        <v>34</v>
      </c>
      <c r="AP23" s="891" t="s">
        <v>32</v>
      </c>
      <c r="AQ23" s="891" t="s">
        <v>32</v>
      </c>
      <c r="AR23" s="891" t="s">
        <v>35</v>
      </c>
      <c r="AS23" s="891" t="s">
        <v>1877</v>
      </c>
      <c r="AT23" s="910"/>
      <c r="AU23" s="891" t="s">
        <v>1879</v>
      </c>
      <c r="AV23" s="891" t="s">
        <v>32</v>
      </c>
      <c r="AW23" s="891" t="s">
        <v>36</v>
      </c>
      <c r="AX23" s="891" t="s">
        <v>1877</v>
      </c>
      <c r="AY23" s="891" t="s">
        <v>32</v>
      </c>
      <c r="AZ23" s="891" t="s">
        <v>35</v>
      </c>
      <c r="BA23" s="891" t="s">
        <v>36</v>
      </c>
      <c r="BB23" s="891" t="s">
        <v>32</v>
      </c>
      <c r="BC23" s="891" t="s">
        <v>34</v>
      </c>
      <c r="BD23" s="891" t="s">
        <v>35</v>
      </c>
      <c r="BE23" s="891" t="s">
        <v>36</v>
      </c>
      <c r="BF23" s="891" t="s">
        <v>32</v>
      </c>
      <c r="BG23" s="891" t="s">
        <v>34</v>
      </c>
      <c r="BH23" s="891" t="s">
        <v>32</v>
      </c>
      <c r="BI23" s="891" t="s">
        <v>1877</v>
      </c>
      <c r="BJ23" s="891" t="s">
        <v>34</v>
      </c>
      <c r="BL23" s="891"/>
      <c r="BM23" s="891" t="s">
        <v>32</v>
      </c>
      <c r="BN23" s="891" t="s">
        <v>32</v>
      </c>
      <c r="BO23" s="891"/>
      <c r="BP23" s="891"/>
      <c r="BQ23" s="891"/>
      <c r="BR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6274</v>
      </c>
      <c r="B24" s="884"/>
      <c r="C24" s="884"/>
      <c r="D24" s="884"/>
      <c r="E24" s="884"/>
      <c r="F24" s="884">
        <f ca="1">IF(I24="","",IF(I24=Table!$C$1,VLOOKUP(G24,Table!$B$9:$AE$32,Table!$AE$6-1,FALSE),""))</f>
        <v>5</v>
      </c>
      <c r="G24" s="879" t="s">
        <v>889</v>
      </c>
      <c r="H24" s="879" t="s">
        <v>18</v>
      </c>
      <c r="I24" s="879" t="s">
        <v>891</v>
      </c>
      <c r="J24" s="846">
        <v>0</v>
      </c>
      <c r="K24" s="846">
        <v>1</v>
      </c>
      <c r="L24" s="816" t="str">
        <f t="shared" si="9"/>
        <v>L</v>
      </c>
      <c r="M24" s="816">
        <f t="shared" si="10"/>
        <v>1</v>
      </c>
      <c r="N24" s="816" t="str">
        <f t="shared" si="11"/>
        <v>U</v>
      </c>
      <c r="O24" s="816">
        <f t="shared" si="12"/>
        <v>-0.25</v>
      </c>
      <c r="P24" s="829">
        <f t="shared" si="13"/>
        <v>-1</v>
      </c>
      <c r="Q24" s="830">
        <v>0.2</v>
      </c>
      <c r="R24" s="871">
        <f t="shared" si="14"/>
        <v>-1.2</v>
      </c>
      <c r="S24" s="830">
        <v>2.15</v>
      </c>
      <c r="T24" s="871">
        <f t="shared" si="15"/>
        <v>-1.1499999999999999</v>
      </c>
      <c r="U24" s="868">
        <f t="shared" si="16"/>
        <v>1.175</v>
      </c>
      <c r="V24" s="868">
        <f t="shared" si="17"/>
        <v>0.97499999999999987</v>
      </c>
      <c r="W24" s="829">
        <v>16</v>
      </c>
      <c r="X24" s="829">
        <v>15</v>
      </c>
      <c r="Y24" s="829">
        <v>4</v>
      </c>
      <c r="Z24" s="829">
        <v>3</v>
      </c>
      <c r="AA24" s="829">
        <v>52</v>
      </c>
      <c r="AB24" s="829">
        <v>48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32</v>
      </c>
      <c r="AH24" s="891" t="s">
        <v>1877</v>
      </c>
      <c r="AI24" s="891" t="s">
        <v>34</v>
      </c>
      <c r="AJ24" s="910"/>
      <c r="AK24" s="891" t="s">
        <v>32</v>
      </c>
      <c r="AL24" s="891" t="s">
        <v>32</v>
      </c>
      <c r="AM24" s="891" t="s">
        <v>34</v>
      </c>
      <c r="AN24" s="891" t="s">
        <v>34</v>
      </c>
      <c r="AO24" s="891" t="s">
        <v>34</v>
      </c>
      <c r="AP24" s="891" t="s">
        <v>1877</v>
      </c>
      <c r="AQ24" s="891" t="s">
        <v>32</v>
      </c>
      <c r="AR24" s="904" t="s">
        <v>34</v>
      </c>
      <c r="AS24" s="891" t="s">
        <v>32</v>
      </c>
      <c r="AT24" s="910"/>
      <c r="AU24" s="891" t="s">
        <v>34</v>
      </c>
      <c r="AV24" s="891" t="s">
        <v>32</v>
      </c>
      <c r="AW24" s="891" t="s">
        <v>36</v>
      </c>
      <c r="AX24" s="891" t="s">
        <v>1877</v>
      </c>
      <c r="AY24" s="891" t="s">
        <v>32</v>
      </c>
      <c r="AZ24" s="891" t="s">
        <v>34</v>
      </c>
      <c r="BA24" s="891" t="s">
        <v>32</v>
      </c>
      <c r="BB24" s="891" t="s">
        <v>1877</v>
      </c>
      <c r="BC24" s="891" t="s">
        <v>34</v>
      </c>
      <c r="BD24" s="891" t="s">
        <v>35</v>
      </c>
      <c r="BE24" s="891" t="s">
        <v>36</v>
      </c>
      <c r="BF24" s="891" t="s">
        <v>32</v>
      </c>
      <c r="BG24" s="904" t="s">
        <v>35</v>
      </c>
      <c r="BH24" s="891" t="s">
        <v>32</v>
      </c>
      <c r="BI24" s="891" t="s">
        <v>36</v>
      </c>
      <c r="BJ24" s="891" t="s">
        <v>35</v>
      </c>
      <c r="BL24" s="891"/>
      <c r="BM24" s="891" t="s">
        <v>32</v>
      </c>
      <c r="BN24" s="891" t="s">
        <v>32</v>
      </c>
      <c r="BO24" s="891"/>
      <c r="BP24" s="891"/>
      <c r="BQ24" s="891"/>
      <c r="BR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</row>
    <row r="25" spans="1:115" ht="15">
      <c r="A25" s="882">
        <v>6281</v>
      </c>
      <c r="B25" s="884"/>
      <c r="C25" s="884"/>
      <c r="D25" s="884"/>
      <c r="E25" s="884"/>
      <c r="F25" s="884">
        <f ca="1">IF(I25="","",IF(I25=Table!$C$1,VLOOKUP(G25,Table!$B$9:$AE$32,Table!$AE$6-1,FALSE),""))</f>
        <v>20</v>
      </c>
      <c r="G25" s="879" t="s">
        <v>882</v>
      </c>
      <c r="H25" s="879" t="s">
        <v>22</v>
      </c>
      <c r="I25" s="879" t="s">
        <v>891</v>
      </c>
      <c r="J25" s="846">
        <v>2</v>
      </c>
      <c r="K25" s="846">
        <v>0</v>
      </c>
      <c r="L25" s="816" t="str">
        <f t="shared" si="9"/>
        <v>W</v>
      </c>
      <c r="M25" s="816">
        <f t="shared" si="10"/>
        <v>2</v>
      </c>
      <c r="N25" s="816" t="str">
        <f t="shared" si="11"/>
        <v>U</v>
      </c>
      <c r="O25" s="816">
        <f t="shared" si="12"/>
        <v>-0.25</v>
      </c>
      <c r="P25" s="829">
        <f t="shared" si="13"/>
        <v>1</v>
      </c>
      <c r="Q25" s="830">
        <v>0.14000000000000001</v>
      </c>
      <c r="R25" s="871">
        <f t="shared" si="14"/>
        <v>1.8599999999999999</v>
      </c>
      <c r="S25" s="830">
        <v>2.48</v>
      </c>
      <c r="T25" s="871">
        <f t="shared" si="15"/>
        <v>-0.48</v>
      </c>
      <c r="U25" s="868">
        <f t="shared" si="16"/>
        <v>1.31</v>
      </c>
      <c r="V25" s="868">
        <f t="shared" si="17"/>
        <v>1.17</v>
      </c>
      <c r="W25" s="829">
        <v>7</v>
      </c>
      <c r="X25" s="829">
        <v>6</v>
      </c>
      <c r="Y25" s="829">
        <v>5</v>
      </c>
      <c r="Z25" s="829">
        <v>3</v>
      </c>
      <c r="AA25" s="829">
        <v>37</v>
      </c>
      <c r="AB25" s="829">
        <v>63</v>
      </c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32</v>
      </c>
      <c r="AH25" s="891" t="s">
        <v>34</v>
      </c>
      <c r="AI25" s="891" t="s">
        <v>1877</v>
      </c>
      <c r="AJ25" s="910"/>
      <c r="AK25" s="891" t="s">
        <v>32</v>
      </c>
      <c r="AL25" s="891" t="s">
        <v>32</v>
      </c>
      <c r="AM25" s="891" t="s">
        <v>34</v>
      </c>
      <c r="AN25" s="891" t="s">
        <v>34</v>
      </c>
      <c r="AO25" s="891" t="s">
        <v>34</v>
      </c>
      <c r="AP25" s="891" t="s">
        <v>36</v>
      </c>
      <c r="AQ25" s="891" t="s">
        <v>32</v>
      </c>
      <c r="AR25" s="891" t="s">
        <v>1877</v>
      </c>
      <c r="AS25" s="891" t="s">
        <v>32</v>
      </c>
      <c r="AT25" s="910"/>
      <c r="AU25" s="891" t="s">
        <v>34</v>
      </c>
      <c r="AV25" s="891" t="s">
        <v>32</v>
      </c>
      <c r="AW25" s="891" t="s">
        <v>2013</v>
      </c>
      <c r="AX25" s="891" t="s">
        <v>35</v>
      </c>
      <c r="AY25" s="891" t="s">
        <v>1877</v>
      </c>
      <c r="AZ25" s="891" t="s">
        <v>36</v>
      </c>
      <c r="BA25" s="891" t="s">
        <v>32</v>
      </c>
      <c r="BB25" s="891" t="s">
        <v>34</v>
      </c>
      <c r="BC25" s="891" t="s">
        <v>1964</v>
      </c>
      <c r="BD25" s="891" t="s">
        <v>35</v>
      </c>
      <c r="BE25" s="891" t="s">
        <v>1966</v>
      </c>
      <c r="BF25" s="891" t="s">
        <v>32</v>
      </c>
      <c r="BG25" s="891" t="s">
        <v>35</v>
      </c>
      <c r="BH25" s="891" t="s">
        <v>32</v>
      </c>
      <c r="BI25" s="891" t="s">
        <v>1877</v>
      </c>
      <c r="BJ25" s="891" t="s">
        <v>34</v>
      </c>
      <c r="BL25" s="891"/>
      <c r="BM25" s="891" t="s">
        <v>32</v>
      </c>
      <c r="BN25" s="891" t="s">
        <v>32</v>
      </c>
      <c r="BO25" s="891"/>
      <c r="BP25" s="891"/>
      <c r="BQ25" s="891"/>
      <c r="BR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</row>
    <row r="26" spans="1:115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7</v>
      </c>
      <c r="G26" s="879" t="s">
        <v>888</v>
      </c>
      <c r="H26" s="879" t="s">
        <v>22</v>
      </c>
      <c r="I26" s="879" t="s">
        <v>891</v>
      </c>
      <c r="J26" s="846">
        <v>0</v>
      </c>
      <c r="K26" s="846">
        <v>1</v>
      </c>
      <c r="L26" s="816" t="str">
        <f t="shared" si="9"/>
        <v>L</v>
      </c>
      <c r="M26" s="816">
        <f t="shared" si="10"/>
        <v>1</v>
      </c>
      <c r="N26" s="816" t="str">
        <f t="shared" si="11"/>
        <v>U</v>
      </c>
      <c r="O26" s="816">
        <f t="shared" si="12"/>
        <v>0</v>
      </c>
      <c r="P26" s="829">
        <f t="shared" si="13"/>
        <v>-1</v>
      </c>
      <c r="Q26" s="830">
        <v>0.12</v>
      </c>
      <c r="R26" s="871">
        <f t="shared" si="14"/>
        <v>-1.1200000000000001</v>
      </c>
      <c r="S26" s="830">
        <v>2.16</v>
      </c>
      <c r="T26" s="871">
        <f t="shared" si="15"/>
        <v>-1.1600000000000001</v>
      </c>
      <c r="U26" s="868">
        <f t="shared" si="16"/>
        <v>1.1400000000000001</v>
      </c>
      <c r="V26" s="868">
        <f t="shared" si="17"/>
        <v>1.02</v>
      </c>
      <c r="W26" s="829">
        <v>8</v>
      </c>
      <c r="X26" s="829">
        <v>25</v>
      </c>
      <c r="Y26" s="829">
        <v>1</v>
      </c>
      <c r="Z26" s="829">
        <v>8</v>
      </c>
      <c r="AA26" s="829">
        <v>47</v>
      </c>
      <c r="AB26" s="829">
        <v>53</v>
      </c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32</v>
      </c>
      <c r="AH26" s="891" t="s">
        <v>34</v>
      </c>
      <c r="AI26" s="891" t="s">
        <v>1877</v>
      </c>
      <c r="AJ26" s="910"/>
      <c r="AK26" s="891" t="s">
        <v>32</v>
      </c>
      <c r="AL26" s="891" t="s">
        <v>32</v>
      </c>
      <c r="AM26" s="904" t="s">
        <v>34</v>
      </c>
      <c r="AN26" s="891" t="s">
        <v>34</v>
      </c>
      <c r="AO26" s="891" t="s">
        <v>34</v>
      </c>
      <c r="AP26" s="891" t="s">
        <v>1877</v>
      </c>
      <c r="AQ26" s="891" t="s">
        <v>32</v>
      </c>
      <c r="AR26" s="891" t="s">
        <v>34</v>
      </c>
      <c r="AS26" s="891" t="s">
        <v>32</v>
      </c>
      <c r="AT26" s="910"/>
      <c r="AU26" s="891" t="s">
        <v>35</v>
      </c>
      <c r="AV26" s="891" t="s">
        <v>32</v>
      </c>
      <c r="AW26" s="891" t="s">
        <v>1884</v>
      </c>
      <c r="AX26" s="891" t="s">
        <v>1877</v>
      </c>
      <c r="AY26" s="891" t="s">
        <v>36</v>
      </c>
      <c r="AZ26" s="891" t="s">
        <v>36</v>
      </c>
      <c r="BA26" s="891" t="s">
        <v>32</v>
      </c>
      <c r="BB26" s="891" t="s">
        <v>34</v>
      </c>
      <c r="BC26" s="891" t="s">
        <v>35</v>
      </c>
      <c r="BD26" s="891" t="s">
        <v>1877</v>
      </c>
      <c r="BE26" s="891" t="s">
        <v>34</v>
      </c>
      <c r="BF26" s="891" t="s">
        <v>32</v>
      </c>
      <c r="BG26" s="891" t="s">
        <v>35</v>
      </c>
      <c r="BH26" s="891" t="s">
        <v>32</v>
      </c>
      <c r="BI26" s="891" t="s">
        <v>36</v>
      </c>
      <c r="BJ26" s="891" t="s">
        <v>34</v>
      </c>
      <c r="BL26" s="891"/>
      <c r="BM26" s="891" t="s">
        <v>32</v>
      </c>
      <c r="BN26" s="891" t="s">
        <v>32</v>
      </c>
      <c r="BO26" s="891"/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28"/>
      <c r="CF26" s="428"/>
      <c r="CG26" s="428"/>
      <c r="CH26" s="428"/>
    </row>
    <row r="27" spans="1:115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21</v>
      </c>
      <c r="G27" s="879" t="s">
        <v>890</v>
      </c>
      <c r="H27" s="879" t="s">
        <v>18</v>
      </c>
      <c r="I27" s="879" t="s">
        <v>891</v>
      </c>
      <c r="J27" s="846">
        <v>1</v>
      </c>
      <c r="K27" s="846">
        <v>0</v>
      </c>
      <c r="L27" s="816" t="str">
        <f t="shared" si="9"/>
        <v>W</v>
      </c>
      <c r="M27" s="816">
        <f t="shared" si="10"/>
        <v>1</v>
      </c>
      <c r="N27" s="816" t="str">
        <f t="shared" si="11"/>
        <v>U</v>
      </c>
      <c r="O27" s="816">
        <f t="shared" si="12"/>
        <v>-0.25</v>
      </c>
      <c r="P27" s="829">
        <f t="shared" si="13"/>
        <v>1</v>
      </c>
      <c r="Q27" s="830">
        <v>0.23</v>
      </c>
      <c r="R27" s="871">
        <f t="shared" si="14"/>
        <v>0.77</v>
      </c>
      <c r="S27" s="830">
        <v>2.13</v>
      </c>
      <c r="T27" s="871">
        <f t="shared" si="15"/>
        <v>-1.1299999999999999</v>
      </c>
      <c r="U27" s="868">
        <f t="shared" si="16"/>
        <v>1.18</v>
      </c>
      <c r="V27" s="868">
        <f t="shared" si="17"/>
        <v>0.95</v>
      </c>
      <c r="W27" s="829">
        <v>19</v>
      </c>
      <c r="X27" s="829">
        <v>15</v>
      </c>
      <c r="Y27" s="829">
        <v>4</v>
      </c>
      <c r="Z27" s="829">
        <v>3</v>
      </c>
      <c r="AA27" s="829">
        <v>58</v>
      </c>
      <c r="AB27" s="829">
        <v>42</v>
      </c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/>
      <c r="AH27" s="891" t="s">
        <v>34</v>
      </c>
      <c r="AI27" s="891" t="s">
        <v>1877</v>
      </c>
      <c r="AJ27" s="910"/>
      <c r="AK27" s="891" t="s">
        <v>32</v>
      </c>
      <c r="AL27" s="891" t="s">
        <v>35</v>
      </c>
      <c r="AM27" s="891" t="s">
        <v>34</v>
      </c>
      <c r="AN27" s="891" t="s">
        <v>34</v>
      </c>
      <c r="AO27" s="891" t="s">
        <v>32</v>
      </c>
      <c r="AP27" s="891" t="s">
        <v>34</v>
      </c>
      <c r="AQ27" s="891" t="s">
        <v>32</v>
      </c>
      <c r="AR27" s="891" t="s">
        <v>32</v>
      </c>
      <c r="AS27" s="891" t="s">
        <v>36</v>
      </c>
      <c r="AT27" s="910"/>
      <c r="AU27" s="891" t="s">
        <v>34</v>
      </c>
      <c r="AV27" s="891" t="s">
        <v>32</v>
      </c>
      <c r="AW27" s="891" t="s">
        <v>1884</v>
      </c>
      <c r="AX27" s="891" t="s">
        <v>1877</v>
      </c>
      <c r="AY27" s="891" t="s">
        <v>36</v>
      </c>
      <c r="AZ27" s="891" t="s">
        <v>1877</v>
      </c>
      <c r="BA27" s="891" t="s">
        <v>32</v>
      </c>
      <c r="BB27" s="891" t="s">
        <v>34</v>
      </c>
      <c r="BC27" s="891" t="s">
        <v>35</v>
      </c>
      <c r="BD27" s="891" t="s">
        <v>1877</v>
      </c>
      <c r="BE27" s="891" t="s">
        <v>2140</v>
      </c>
      <c r="BF27" s="891" t="s">
        <v>32</v>
      </c>
      <c r="BG27" s="891" t="s">
        <v>35</v>
      </c>
      <c r="BH27" s="891" t="s">
        <v>32</v>
      </c>
      <c r="BI27" s="891" t="s">
        <v>36</v>
      </c>
      <c r="BJ27" s="891" t="s">
        <v>34</v>
      </c>
      <c r="BK27" s="891"/>
      <c r="BL27" s="891"/>
      <c r="BM27" s="891" t="s">
        <v>2141</v>
      </c>
      <c r="BN27" s="891" t="s">
        <v>32</v>
      </c>
      <c r="BO27" s="891"/>
      <c r="BP27" s="891"/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428"/>
      <c r="CF27" s="428"/>
      <c r="CG27" s="428"/>
      <c r="CH27" s="428"/>
      <c r="CI27" s="230" t="s">
        <v>32</v>
      </c>
      <c r="CJ27" s="230" t="s">
        <v>32</v>
      </c>
      <c r="CK27" s="230" t="s">
        <v>32</v>
      </c>
      <c r="CL27" s="230" t="s">
        <v>32</v>
      </c>
      <c r="CM27" s="230" t="s">
        <v>32</v>
      </c>
      <c r="CN27" s="230" t="s">
        <v>32</v>
      </c>
      <c r="CO27" s="230" t="s">
        <v>32</v>
      </c>
    </row>
    <row r="28" spans="1:115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15</v>
      </c>
      <c r="G28" s="879" t="s">
        <v>881</v>
      </c>
      <c r="H28" s="879" t="s">
        <v>22</v>
      </c>
      <c r="I28" s="879" t="s">
        <v>891</v>
      </c>
      <c r="J28" s="846">
        <v>1</v>
      </c>
      <c r="K28" s="846">
        <v>1</v>
      </c>
      <c r="L28" s="816" t="str">
        <f t="shared" si="9"/>
        <v>D</v>
      </c>
      <c r="M28" s="816">
        <f t="shared" si="10"/>
        <v>2</v>
      </c>
      <c r="N28" s="816" t="str">
        <f t="shared" si="11"/>
        <v>U</v>
      </c>
      <c r="O28" s="816">
        <f t="shared" si="12"/>
        <v>0</v>
      </c>
      <c r="P28" s="829">
        <f t="shared" si="13"/>
        <v>0</v>
      </c>
      <c r="Q28" s="830">
        <v>0.05</v>
      </c>
      <c r="R28" s="871">
        <f t="shared" si="14"/>
        <v>-0.05</v>
      </c>
      <c r="S28" s="830">
        <v>2.16</v>
      </c>
      <c r="T28" s="871">
        <f t="shared" si="15"/>
        <v>-0.16000000000000014</v>
      </c>
      <c r="U28" s="868">
        <f t="shared" si="16"/>
        <v>1.105</v>
      </c>
      <c r="V28" s="868">
        <f t="shared" si="17"/>
        <v>1.0550000000000002</v>
      </c>
      <c r="W28" s="829">
        <v>9</v>
      </c>
      <c r="X28" s="829">
        <v>9</v>
      </c>
      <c r="Y28" s="829">
        <v>2</v>
      </c>
      <c r="Z28" s="829">
        <v>2</v>
      </c>
      <c r="AA28" s="829">
        <v>63</v>
      </c>
      <c r="AB28" s="829">
        <v>37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32</v>
      </c>
      <c r="AH28" s="891" t="s">
        <v>34</v>
      </c>
      <c r="AI28" s="891" t="s">
        <v>1877</v>
      </c>
      <c r="AJ28" s="910"/>
      <c r="AK28" s="891" t="s">
        <v>32</v>
      </c>
      <c r="AL28" s="904" t="s">
        <v>35</v>
      </c>
      <c r="AM28" s="891" t="s">
        <v>34</v>
      </c>
      <c r="AN28" s="904" t="s">
        <v>34</v>
      </c>
      <c r="AO28" s="891" t="s">
        <v>32</v>
      </c>
      <c r="AP28" s="891" t="s">
        <v>34</v>
      </c>
      <c r="AQ28" s="891" t="s">
        <v>32</v>
      </c>
      <c r="AR28" s="906" t="s">
        <v>2164</v>
      </c>
      <c r="AS28" s="891" t="s">
        <v>32</v>
      </c>
      <c r="AT28" s="910"/>
      <c r="AU28" s="891" t="s">
        <v>2185</v>
      </c>
      <c r="AV28" s="891" t="s">
        <v>32</v>
      </c>
      <c r="AW28" s="891" t="s">
        <v>1884</v>
      </c>
      <c r="AX28" s="891" t="s">
        <v>1877</v>
      </c>
      <c r="AY28" s="891" t="s">
        <v>36</v>
      </c>
      <c r="AZ28" s="891" t="s">
        <v>1877</v>
      </c>
      <c r="BA28" s="891" t="s">
        <v>32</v>
      </c>
      <c r="BB28" s="891" t="s">
        <v>34</v>
      </c>
      <c r="BC28" s="891" t="s">
        <v>34</v>
      </c>
      <c r="BD28" s="891" t="s">
        <v>2163</v>
      </c>
      <c r="BE28" s="891" t="s">
        <v>32</v>
      </c>
      <c r="BF28" s="891" t="s">
        <v>1877</v>
      </c>
      <c r="BG28" s="891" t="s">
        <v>35</v>
      </c>
      <c r="BH28" s="891" t="s">
        <v>32</v>
      </c>
      <c r="BI28" s="891" t="s">
        <v>36</v>
      </c>
      <c r="BJ28" s="891" t="s">
        <v>34</v>
      </c>
      <c r="BK28" s="891"/>
      <c r="BL28" s="891"/>
      <c r="BM28" s="891" t="s">
        <v>32</v>
      </c>
      <c r="BN28" s="891" t="s">
        <v>32</v>
      </c>
      <c r="BO28" s="891"/>
      <c r="BP28" s="891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28"/>
      <c r="CF28" s="428"/>
      <c r="CG28" s="428"/>
      <c r="CH28" s="428"/>
      <c r="CI28" s="230" t="s">
        <v>32</v>
      </c>
      <c r="CJ28" s="230" t="s">
        <v>32</v>
      </c>
      <c r="CK28" s="230" t="s">
        <v>32</v>
      </c>
      <c r="CL28" s="230" t="s">
        <v>32</v>
      </c>
      <c r="CM28" s="230" t="s">
        <v>32</v>
      </c>
      <c r="CN28" s="230" t="s">
        <v>32</v>
      </c>
      <c r="CO28" s="230" t="s">
        <v>32</v>
      </c>
    </row>
    <row r="29" spans="1:115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11</v>
      </c>
      <c r="G29" s="879" t="s">
        <v>874</v>
      </c>
      <c r="H29" s="879" t="s">
        <v>18</v>
      </c>
      <c r="I29" s="879" t="s">
        <v>891</v>
      </c>
      <c r="J29" s="846">
        <v>2</v>
      </c>
      <c r="K29" s="846">
        <v>3</v>
      </c>
      <c r="L29" s="816" t="str">
        <f t="shared" si="9"/>
        <v>L</v>
      </c>
      <c r="M29" s="816">
        <f t="shared" si="10"/>
        <v>5</v>
      </c>
      <c r="N29" s="816" t="str">
        <f t="shared" si="11"/>
        <v>O</v>
      </c>
      <c r="O29" s="816">
        <f t="shared" si="12"/>
        <v>0.25</v>
      </c>
      <c r="P29" s="829">
        <f t="shared" si="13"/>
        <v>-1</v>
      </c>
      <c r="Q29" s="830">
        <v>-0.15</v>
      </c>
      <c r="R29" s="871">
        <f t="shared" si="14"/>
        <v>-0.85</v>
      </c>
      <c r="S29" s="830">
        <v>2.0099999999999998</v>
      </c>
      <c r="T29" s="871">
        <f t="shared" si="15"/>
        <v>2.99</v>
      </c>
      <c r="U29" s="868">
        <f t="shared" si="16"/>
        <v>0.92999999999999994</v>
      </c>
      <c r="V29" s="868">
        <f t="shared" si="17"/>
        <v>1.0799999999999998</v>
      </c>
      <c r="W29" s="829">
        <v>16</v>
      </c>
      <c r="X29" s="829">
        <v>11</v>
      </c>
      <c r="Y29" s="829">
        <v>9</v>
      </c>
      <c r="Z29" s="829">
        <v>3</v>
      </c>
      <c r="AA29" s="829">
        <v>59</v>
      </c>
      <c r="AB29" s="829">
        <v>41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32</v>
      </c>
      <c r="AH29" s="891" t="s">
        <v>34</v>
      </c>
      <c r="AI29" s="891" t="s">
        <v>1877</v>
      </c>
      <c r="AJ29" s="910"/>
      <c r="AK29" s="891" t="s">
        <v>32</v>
      </c>
      <c r="AL29" s="891" t="s">
        <v>1877</v>
      </c>
      <c r="AM29" s="891" t="s">
        <v>34</v>
      </c>
      <c r="AN29" s="891" t="s">
        <v>34</v>
      </c>
      <c r="AO29" s="891" t="s">
        <v>32</v>
      </c>
      <c r="AP29" s="891" t="s">
        <v>34</v>
      </c>
      <c r="AQ29" s="891" t="s">
        <v>32</v>
      </c>
      <c r="AR29" s="891" t="s">
        <v>34</v>
      </c>
      <c r="AS29" s="891" t="s">
        <v>32</v>
      </c>
      <c r="AT29" s="910"/>
      <c r="AU29" s="891" t="s">
        <v>1886</v>
      </c>
      <c r="AV29" s="891" t="s">
        <v>1877</v>
      </c>
      <c r="AW29" s="891" t="s">
        <v>1884</v>
      </c>
      <c r="AX29" s="891" t="s">
        <v>35</v>
      </c>
      <c r="AY29" s="891" t="s">
        <v>36</v>
      </c>
      <c r="AZ29" s="891" t="s">
        <v>1877</v>
      </c>
      <c r="BA29" s="891" t="s">
        <v>32</v>
      </c>
      <c r="BB29" s="891" t="s">
        <v>34</v>
      </c>
      <c r="BC29" s="891" t="s">
        <v>2206</v>
      </c>
      <c r="BD29" s="891" t="s">
        <v>35</v>
      </c>
      <c r="BE29" s="891" t="s">
        <v>36</v>
      </c>
      <c r="BF29" s="891" t="s">
        <v>32</v>
      </c>
      <c r="BG29" s="891" t="s">
        <v>2189</v>
      </c>
      <c r="BH29" s="891" t="s">
        <v>32</v>
      </c>
      <c r="BI29" s="891" t="s">
        <v>36</v>
      </c>
      <c r="BJ29" s="891" t="s">
        <v>34</v>
      </c>
      <c r="BK29" s="891"/>
      <c r="BL29" s="891"/>
      <c r="BM29" s="891" t="s">
        <v>32</v>
      </c>
      <c r="BN29" s="891" t="s">
        <v>32</v>
      </c>
      <c r="BO29" s="891"/>
      <c r="BP29" s="891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6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6" t="s">
        <v>32</v>
      </c>
      <c r="CM29" s="6" t="s">
        <v>32</v>
      </c>
      <c r="CN29" s="6" t="s">
        <v>32</v>
      </c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20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17</v>
      </c>
      <c r="G30" s="879" t="s">
        <v>875</v>
      </c>
      <c r="H30" s="879" t="s">
        <v>22</v>
      </c>
      <c r="I30" s="879" t="s">
        <v>891</v>
      </c>
      <c r="J30" s="846">
        <v>1</v>
      </c>
      <c r="K30" s="846">
        <v>0</v>
      </c>
      <c r="L30" s="816" t="str">
        <f t="shared" si="9"/>
        <v>W</v>
      </c>
      <c r="M30" s="816">
        <f t="shared" si="10"/>
        <v>1</v>
      </c>
      <c r="N30" s="816" t="str">
        <f t="shared" si="11"/>
        <v>U</v>
      </c>
      <c r="O30" s="816">
        <f t="shared" si="12"/>
        <v>-0.25</v>
      </c>
      <c r="P30" s="829">
        <f t="shared" si="13"/>
        <v>1</v>
      </c>
      <c r="Q30" s="830">
        <v>0.25</v>
      </c>
      <c r="R30" s="871">
        <f t="shared" si="14"/>
        <v>0.75</v>
      </c>
      <c r="S30" s="830">
        <v>2.13</v>
      </c>
      <c r="T30" s="871">
        <f t="shared" si="15"/>
        <v>-1.1299999999999999</v>
      </c>
      <c r="U30" s="868">
        <f t="shared" si="16"/>
        <v>1.19</v>
      </c>
      <c r="V30" s="868">
        <f t="shared" si="17"/>
        <v>0.94</v>
      </c>
      <c r="W30" s="829">
        <v>14</v>
      </c>
      <c r="X30" s="829">
        <v>9</v>
      </c>
      <c r="Y30" s="829">
        <v>5</v>
      </c>
      <c r="Z30" s="829">
        <v>2</v>
      </c>
      <c r="AA30" s="829">
        <v>66</v>
      </c>
      <c r="AB30" s="829">
        <v>34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32</v>
      </c>
      <c r="AH30" s="891" t="s">
        <v>34</v>
      </c>
      <c r="AI30" s="891" t="s">
        <v>1877</v>
      </c>
      <c r="AJ30" s="910"/>
      <c r="AK30" s="891" t="s">
        <v>32</v>
      </c>
      <c r="AL30" s="891" t="s">
        <v>32</v>
      </c>
      <c r="AM30" s="891" t="s">
        <v>34</v>
      </c>
      <c r="AN30" s="891" t="s">
        <v>34</v>
      </c>
      <c r="AO30" s="891" t="s">
        <v>34</v>
      </c>
      <c r="AP30" s="891" t="s">
        <v>34</v>
      </c>
      <c r="AQ30" s="891" t="s">
        <v>2409</v>
      </c>
      <c r="AR30" s="891" t="s">
        <v>1877</v>
      </c>
      <c r="AS30" s="891" t="s">
        <v>1877</v>
      </c>
      <c r="AT30" s="910"/>
      <c r="AU30" s="891" t="s">
        <v>1886</v>
      </c>
      <c r="AV30" s="891"/>
      <c r="AW30" s="891" t="s">
        <v>1884</v>
      </c>
      <c r="AX30" s="891" t="s">
        <v>35</v>
      </c>
      <c r="AY30" s="891" t="s">
        <v>36</v>
      </c>
      <c r="AZ30" s="891" t="s">
        <v>1877</v>
      </c>
      <c r="BA30" s="891" t="s">
        <v>32</v>
      </c>
      <c r="BB30" s="904" t="s">
        <v>34</v>
      </c>
      <c r="BC30" s="891" t="s">
        <v>2235</v>
      </c>
      <c r="BD30" s="891" t="s">
        <v>35</v>
      </c>
      <c r="BE30" s="891" t="s">
        <v>36</v>
      </c>
      <c r="BF30" s="891" t="s">
        <v>32</v>
      </c>
      <c r="BG30" s="891" t="s">
        <v>35</v>
      </c>
      <c r="BH30" s="891" t="s">
        <v>32</v>
      </c>
      <c r="BI30" s="891" t="s">
        <v>36</v>
      </c>
      <c r="BJ30" s="891" t="s">
        <v>34</v>
      </c>
      <c r="BK30" s="891"/>
      <c r="BL30" s="891"/>
      <c r="BM30" s="891" t="s">
        <v>32</v>
      </c>
      <c r="BN30" s="891" t="s">
        <v>32</v>
      </c>
      <c r="BO30" s="891"/>
      <c r="BP30" s="891" t="s">
        <v>32</v>
      </c>
      <c r="BQ30" s="891" t="s">
        <v>32</v>
      </c>
      <c r="BR30" s="891" t="s">
        <v>32</v>
      </c>
      <c r="BS30" s="891" t="s">
        <v>32</v>
      </c>
      <c r="BT30" s="896" t="s">
        <v>32</v>
      </c>
      <c r="BU30" s="896" t="s">
        <v>32</v>
      </c>
      <c r="BV30" s="896"/>
      <c r="BW30" s="896"/>
      <c r="BX30" s="896"/>
      <c r="BY30" s="896"/>
      <c r="BZ30" s="896"/>
      <c r="CA30" s="896"/>
      <c r="CB30" s="896"/>
      <c r="CC30" s="896"/>
      <c r="CD30" s="896"/>
      <c r="CE30" s="865"/>
      <c r="CF30" s="865"/>
      <c r="CG30" s="865"/>
      <c r="CH30" s="865"/>
      <c r="CI30" s="865" t="s">
        <v>32</v>
      </c>
      <c r="CJ30" s="865" t="s">
        <v>32</v>
      </c>
      <c r="CK30" s="865" t="s">
        <v>32</v>
      </c>
      <c r="CL30" s="4" t="s">
        <v>32</v>
      </c>
      <c r="CM30" s="6" t="s">
        <v>32</v>
      </c>
      <c r="CN30" s="6" t="s">
        <v>32</v>
      </c>
      <c r="CO30" s="6" t="s">
        <v>32</v>
      </c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</v>
      </c>
      <c r="G31" s="879" t="s">
        <v>1086</v>
      </c>
      <c r="H31" s="879" t="s">
        <v>18</v>
      </c>
      <c r="I31" s="879" t="s">
        <v>891</v>
      </c>
      <c r="J31" s="846">
        <v>1</v>
      </c>
      <c r="K31" s="908">
        <v>0</v>
      </c>
      <c r="L31" s="816" t="str">
        <f t="shared" si="9"/>
        <v>W</v>
      </c>
      <c r="M31" s="816">
        <f t="shared" si="10"/>
        <v>1</v>
      </c>
      <c r="N31" s="816" t="str">
        <f t="shared" si="11"/>
        <v>U</v>
      </c>
      <c r="O31" s="816">
        <f t="shared" si="12"/>
        <v>0.25</v>
      </c>
      <c r="P31" s="829">
        <f t="shared" si="13"/>
        <v>1</v>
      </c>
      <c r="Q31" s="830">
        <v>-0.3</v>
      </c>
      <c r="R31" s="871">
        <f t="shared" si="14"/>
        <v>1.3</v>
      </c>
      <c r="S31" s="830">
        <v>2.39</v>
      </c>
      <c r="T31" s="871">
        <f t="shared" si="15"/>
        <v>-1.3900000000000001</v>
      </c>
      <c r="U31" s="868">
        <f t="shared" si="16"/>
        <v>1.0450000000000002</v>
      </c>
      <c r="V31" s="868">
        <f t="shared" si="17"/>
        <v>1.345</v>
      </c>
      <c r="W31" s="829">
        <v>12</v>
      </c>
      <c r="X31" s="829">
        <v>26</v>
      </c>
      <c r="Y31" s="829">
        <v>4</v>
      </c>
      <c r="Z31" s="829">
        <v>6</v>
      </c>
      <c r="AA31" s="829">
        <v>48</v>
      </c>
      <c r="AB31" s="829">
        <v>52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32</v>
      </c>
      <c r="AH31" s="891" t="s">
        <v>34</v>
      </c>
      <c r="AI31" s="891" t="s">
        <v>1877</v>
      </c>
      <c r="AJ31" s="910"/>
      <c r="AK31" s="891" t="s">
        <v>32</v>
      </c>
      <c r="AL31" s="891" t="s">
        <v>36</v>
      </c>
      <c r="AM31" s="891" t="s">
        <v>34</v>
      </c>
      <c r="AN31" s="891" t="s">
        <v>2316</v>
      </c>
      <c r="AO31" s="891" t="s">
        <v>34</v>
      </c>
      <c r="AP31" s="891" t="s">
        <v>32</v>
      </c>
      <c r="AQ31" s="891" t="s">
        <v>2409</v>
      </c>
      <c r="AR31" s="891" t="s">
        <v>34</v>
      </c>
      <c r="AS31" s="891" t="s">
        <v>1877</v>
      </c>
      <c r="AT31" s="910"/>
      <c r="AU31" s="891" t="s">
        <v>1886</v>
      </c>
      <c r="AV31" s="891" t="s">
        <v>1877</v>
      </c>
      <c r="AW31" s="891" t="s">
        <v>1884</v>
      </c>
      <c r="AX31" s="891" t="s">
        <v>35</v>
      </c>
      <c r="AY31" s="891" t="s">
        <v>1877</v>
      </c>
      <c r="AZ31" s="891" t="s">
        <v>36</v>
      </c>
      <c r="BA31" s="891" t="s">
        <v>32</v>
      </c>
      <c r="BB31" s="891" t="s">
        <v>34</v>
      </c>
      <c r="BC31" s="891" t="s">
        <v>34</v>
      </c>
      <c r="BD31" s="891" t="s">
        <v>32</v>
      </c>
      <c r="BE31" s="891" t="s">
        <v>36</v>
      </c>
      <c r="BF31" s="891" t="s">
        <v>32</v>
      </c>
      <c r="BG31" s="891" t="s">
        <v>35</v>
      </c>
      <c r="BH31" s="891" t="s">
        <v>32</v>
      </c>
      <c r="BI31" s="891" t="s">
        <v>34</v>
      </c>
      <c r="BJ31" s="891" t="s">
        <v>35</v>
      </c>
      <c r="BK31" s="891"/>
      <c r="BL31" s="891"/>
      <c r="BM31" s="891" t="s">
        <v>32</v>
      </c>
      <c r="BN31" s="891" t="s">
        <v>32</v>
      </c>
      <c r="BO31" s="891"/>
      <c r="BP31" s="891"/>
      <c r="BQ31" s="891"/>
      <c r="BR31" s="891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"/>
      <c r="CF31" s="4"/>
      <c r="CG31" s="4"/>
      <c r="CH31" s="4"/>
      <c r="CI31" s="4" t="s">
        <v>32</v>
      </c>
      <c r="CJ31" s="4" t="s">
        <v>32</v>
      </c>
      <c r="CK31" s="4" t="s">
        <v>32</v>
      </c>
      <c r="CL31" s="4" t="s">
        <v>32</v>
      </c>
      <c r="CM31" s="6" t="s">
        <v>32</v>
      </c>
      <c r="CN31" s="6" t="s">
        <v>32</v>
      </c>
      <c r="CO31" s="6" t="s">
        <v>32</v>
      </c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12</v>
      </c>
      <c r="G32" s="879" t="s">
        <v>879</v>
      </c>
      <c r="H32" s="879" t="s">
        <v>22</v>
      </c>
      <c r="I32" s="879" t="s">
        <v>891</v>
      </c>
      <c r="J32" s="846">
        <v>1</v>
      </c>
      <c r="K32" s="846">
        <v>3</v>
      </c>
      <c r="L32" s="816" t="str">
        <f t="shared" si="9"/>
        <v>L</v>
      </c>
      <c r="M32" s="816">
        <f t="shared" si="10"/>
        <v>4</v>
      </c>
      <c r="N32" s="816" t="str">
        <f t="shared" si="11"/>
        <v>O</v>
      </c>
      <c r="O32" s="816">
        <f t="shared" si="12"/>
        <v>-0.25</v>
      </c>
      <c r="P32" s="829">
        <f t="shared" si="13"/>
        <v>-1</v>
      </c>
      <c r="Q32" s="830">
        <v>0.33</v>
      </c>
      <c r="R32" s="871">
        <f t="shared" si="14"/>
        <v>-2.33</v>
      </c>
      <c r="S32" s="830">
        <v>2.2799999999999998</v>
      </c>
      <c r="T32" s="871">
        <f t="shared" si="15"/>
        <v>1.7200000000000002</v>
      </c>
      <c r="U32" s="868">
        <f t="shared" si="16"/>
        <v>1.3049999999999999</v>
      </c>
      <c r="V32" s="868">
        <f t="shared" si="17"/>
        <v>0.97499999999999987</v>
      </c>
      <c r="W32" s="829">
        <v>9</v>
      </c>
      <c r="X32" s="829">
        <v>15</v>
      </c>
      <c r="Y32" s="829">
        <v>2</v>
      </c>
      <c r="Z32" s="829">
        <v>4</v>
      </c>
      <c r="AA32" s="829">
        <v>62</v>
      </c>
      <c r="AB32" s="829">
        <v>38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/>
      <c r="AH32" s="891" t="s">
        <v>34</v>
      </c>
      <c r="AI32" s="891" t="s">
        <v>2351</v>
      </c>
      <c r="AJ32" s="910"/>
      <c r="AK32" s="891"/>
      <c r="AL32" s="891" t="s">
        <v>2350</v>
      </c>
      <c r="AM32" s="891" t="s">
        <v>34</v>
      </c>
      <c r="AN32" s="891" t="s">
        <v>34</v>
      </c>
      <c r="AO32" s="891" t="s">
        <v>34</v>
      </c>
      <c r="AP32" s="891"/>
      <c r="AQ32" s="891" t="s">
        <v>2409</v>
      </c>
      <c r="AR32" s="891" t="s">
        <v>2369</v>
      </c>
      <c r="AS32" s="891" t="s">
        <v>2351</v>
      </c>
      <c r="AT32" s="910"/>
      <c r="AU32" s="891" t="s">
        <v>2187</v>
      </c>
      <c r="AV32" s="891" t="s">
        <v>2351</v>
      </c>
      <c r="AW32" s="891" t="s">
        <v>2013</v>
      </c>
      <c r="AX32" s="891" t="s">
        <v>2359</v>
      </c>
      <c r="AY32" s="891" t="s">
        <v>2350</v>
      </c>
      <c r="AZ32" s="891" t="s">
        <v>2351</v>
      </c>
      <c r="BA32" s="891"/>
      <c r="BB32" s="891" t="s">
        <v>34</v>
      </c>
      <c r="BC32" s="891" t="s">
        <v>34</v>
      </c>
      <c r="BD32" s="891"/>
      <c r="BE32" s="904" t="s">
        <v>2372</v>
      </c>
      <c r="BF32" s="891"/>
      <c r="BG32" s="891"/>
      <c r="BH32" s="891"/>
      <c r="BI32" s="891" t="s">
        <v>34</v>
      </c>
      <c r="BJ32" s="891" t="s">
        <v>2373</v>
      </c>
      <c r="BK32" s="891"/>
      <c r="BL32" s="891"/>
      <c r="BM32" s="891" t="s">
        <v>2350</v>
      </c>
      <c r="BN32" s="891"/>
      <c r="BO32" s="891"/>
      <c r="BP32" s="891"/>
      <c r="BQ32" s="891"/>
      <c r="BR32" s="891"/>
      <c r="BS32" s="891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1"/>
      <c r="CE32" s="4"/>
      <c r="CF32" s="4"/>
      <c r="CG32" s="4"/>
      <c r="CH32" s="4"/>
      <c r="CI32" s="4" t="s">
        <v>32</v>
      </c>
      <c r="CJ32" s="4" t="s">
        <v>32</v>
      </c>
      <c r="CK32" s="4" t="s">
        <v>32</v>
      </c>
      <c r="CL32" s="4" t="s">
        <v>32</v>
      </c>
      <c r="CM32" s="6" t="s">
        <v>32</v>
      </c>
      <c r="CN32" s="6" t="s">
        <v>32</v>
      </c>
      <c r="CO32" s="6" t="s">
        <v>32</v>
      </c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8</v>
      </c>
      <c r="G33" s="879" t="s">
        <v>880</v>
      </c>
      <c r="H33" s="879" t="s">
        <v>22</v>
      </c>
      <c r="I33" s="879" t="s">
        <v>891</v>
      </c>
      <c r="J33" s="846">
        <v>0</v>
      </c>
      <c r="K33" s="846">
        <v>0</v>
      </c>
      <c r="L33" s="816" t="str">
        <f t="shared" si="9"/>
        <v>D</v>
      </c>
      <c r="M33" s="816">
        <f t="shared" si="10"/>
        <v>0</v>
      </c>
      <c r="N33" s="816" t="str">
        <f t="shared" si="11"/>
        <v>U</v>
      </c>
      <c r="O33" s="816">
        <f t="shared" si="12"/>
        <v>0.25</v>
      </c>
      <c r="P33" s="829">
        <f t="shared" si="13"/>
        <v>0.5</v>
      </c>
      <c r="Q33" s="830">
        <v>-0.2</v>
      </c>
      <c r="R33" s="871">
        <f t="shared" si="14"/>
        <v>0.2</v>
      </c>
      <c r="S33" s="830">
        <v>2.2799999999999998</v>
      </c>
      <c r="T33" s="871">
        <f t="shared" si="15"/>
        <v>-2.2799999999999998</v>
      </c>
      <c r="U33" s="868">
        <f t="shared" si="16"/>
        <v>1.0399999999999998</v>
      </c>
      <c r="V33" s="868">
        <f t="shared" si="17"/>
        <v>1.24</v>
      </c>
      <c r="W33" s="829">
        <v>16</v>
      </c>
      <c r="X33" s="829">
        <v>11</v>
      </c>
      <c r="Y33" s="829">
        <v>2</v>
      </c>
      <c r="Z33" s="829">
        <v>3</v>
      </c>
      <c r="AA33" s="829">
        <v>49</v>
      </c>
      <c r="AB33" s="829">
        <v>51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1877</v>
      </c>
      <c r="AH33" s="891" t="s">
        <v>34</v>
      </c>
      <c r="AI33" s="891" t="s">
        <v>32</v>
      </c>
      <c r="AJ33" s="910"/>
      <c r="AK33" s="891" t="s">
        <v>1877</v>
      </c>
      <c r="AL33" s="891" t="s">
        <v>32</v>
      </c>
      <c r="AM33" s="891" t="s">
        <v>34</v>
      </c>
      <c r="AN33" s="891" t="s">
        <v>34</v>
      </c>
      <c r="AO33" s="891" t="s">
        <v>34</v>
      </c>
      <c r="AP33" s="891" t="s">
        <v>34</v>
      </c>
      <c r="AQ33" s="891" t="s">
        <v>1886</v>
      </c>
      <c r="AR33" s="891" t="s">
        <v>1877</v>
      </c>
      <c r="AS33" s="891" t="s">
        <v>32</v>
      </c>
      <c r="AT33" s="910"/>
      <c r="AU33" s="891" t="s">
        <v>1886</v>
      </c>
      <c r="AV33" s="891" t="s">
        <v>32</v>
      </c>
      <c r="AW33" s="891" t="s">
        <v>1884</v>
      </c>
      <c r="AX33" s="891" t="s">
        <v>35</v>
      </c>
      <c r="AY33" s="891" t="s">
        <v>36</v>
      </c>
      <c r="AZ33" s="891" t="s">
        <v>36</v>
      </c>
      <c r="BA33" s="891" t="s">
        <v>32</v>
      </c>
      <c r="BB33" s="891" t="s">
        <v>35</v>
      </c>
      <c r="BC33" s="891" t="s">
        <v>34</v>
      </c>
      <c r="BD33" s="891" t="s">
        <v>32</v>
      </c>
      <c r="BE33" s="891" t="s">
        <v>34</v>
      </c>
      <c r="BF33" s="891" t="s">
        <v>1877</v>
      </c>
      <c r="BG33" s="891" t="s">
        <v>32</v>
      </c>
      <c r="BH33" s="891" t="s">
        <v>32</v>
      </c>
      <c r="BI33" s="891" t="s">
        <v>34</v>
      </c>
      <c r="BJ33" s="891" t="s">
        <v>35</v>
      </c>
      <c r="BK33" s="891"/>
      <c r="BL33" s="891"/>
      <c r="BM33" s="891" t="s">
        <v>36</v>
      </c>
      <c r="BN33" s="891" t="s">
        <v>32</v>
      </c>
      <c r="BO33" s="891"/>
      <c r="BP33" s="891"/>
      <c r="BQ33" s="891"/>
      <c r="BR33" s="891"/>
      <c r="BS33" s="891"/>
      <c r="BT33" s="896"/>
      <c r="BU33" s="896"/>
      <c r="BV33" s="896"/>
      <c r="BW33" s="896"/>
      <c r="BX33" s="891"/>
      <c r="BY33" s="891"/>
      <c r="BZ33" s="891"/>
      <c r="CA33" s="891"/>
      <c r="CB33" s="891"/>
      <c r="CC33" s="891"/>
      <c r="CD33" s="891"/>
      <c r="CE33" s="428"/>
      <c r="CF33" s="428"/>
      <c r="CG33" s="428"/>
      <c r="CH33" s="428"/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18</v>
      </c>
      <c r="G34" s="879" t="s">
        <v>887</v>
      </c>
      <c r="H34" s="879" t="s">
        <v>18</v>
      </c>
      <c r="I34" s="879" t="s">
        <v>891</v>
      </c>
      <c r="J34" s="846">
        <v>2</v>
      </c>
      <c r="K34" s="846">
        <v>1</v>
      </c>
      <c r="L34" s="816" t="str">
        <f t="shared" si="9"/>
        <v>W</v>
      </c>
      <c r="M34" s="816">
        <f t="shared" si="10"/>
        <v>3</v>
      </c>
      <c r="N34" s="816" t="str">
        <f t="shared" si="11"/>
        <v>O</v>
      </c>
      <c r="O34" s="816">
        <f t="shared" si="12"/>
        <v>0.25</v>
      </c>
      <c r="P34" s="829">
        <f t="shared" si="13"/>
        <v>1</v>
      </c>
      <c r="Q34" s="830">
        <v>-0.17</v>
      </c>
      <c r="R34" s="871">
        <f t="shared" si="14"/>
        <v>1.17</v>
      </c>
      <c r="S34" s="830">
        <v>2.33</v>
      </c>
      <c r="T34" s="871">
        <f t="shared" si="15"/>
        <v>0.66999999999999993</v>
      </c>
      <c r="U34" s="868">
        <f t="shared" si="16"/>
        <v>1.08</v>
      </c>
      <c r="V34" s="868">
        <f t="shared" si="17"/>
        <v>1.25</v>
      </c>
      <c r="W34" s="829">
        <v>8</v>
      </c>
      <c r="X34" s="829">
        <v>10</v>
      </c>
      <c r="Y34" s="829">
        <v>3</v>
      </c>
      <c r="Z34" s="829">
        <v>4</v>
      </c>
      <c r="AA34" s="829">
        <v>32</v>
      </c>
      <c r="AB34" s="829">
        <v>68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1877</v>
      </c>
      <c r="AH34" s="891" t="s">
        <v>34</v>
      </c>
      <c r="AI34" s="891" t="s">
        <v>32</v>
      </c>
      <c r="AJ34" s="910"/>
      <c r="AK34" s="891" t="s">
        <v>32</v>
      </c>
      <c r="AL34" s="891" t="s">
        <v>36</v>
      </c>
      <c r="AM34" s="891" t="s">
        <v>34</v>
      </c>
      <c r="AN34" s="891" t="s">
        <v>34</v>
      </c>
      <c r="AO34" s="891" t="s">
        <v>34</v>
      </c>
      <c r="AP34" s="891" t="s">
        <v>34</v>
      </c>
      <c r="AQ34" s="891" t="s">
        <v>1886</v>
      </c>
      <c r="AR34" s="891" t="s">
        <v>1877</v>
      </c>
      <c r="AS34" s="891" t="s">
        <v>32</v>
      </c>
      <c r="AT34" s="910"/>
      <c r="AU34" s="891" t="s">
        <v>1886</v>
      </c>
      <c r="AV34" s="891" t="s">
        <v>32</v>
      </c>
      <c r="AW34" s="891" t="s">
        <v>1884</v>
      </c>
      <c r="AX34" s="891" t="s">
        <v>35</v>
      </c>
      <c r="AY34" s="891" t="s">
        <v>36</v>
      </c>
      <c r="AZ34" s="891" t="s">
        <v>32</v>
      </c>
      <c r="BA34" s="891" t="s">
        <v>1877</v>
      </c>
      <c r="BB34" s="904" t="s">
        <v>34</v>
      </c>
      <c r="BC34" s="891" t="s">
        <v>2448</v>
      </c>
      <c r="BD34" s="891" t="s">
        <v>32</v>
      </c>
      <c r="BE34" s="891" t="s">
        <v>35</v>
      </c>
      <c r="BF34" s="891" t="s">
        <v>1877</v>
      </c>
      <c r="BG34" s="891" t="s">
        <v>32</v>
      </c>
      <c r="BH34" s="891" t="s">
        <v>32</v>
      </c>
      <c r="BI34" s="891" t="s">
        <v>34</v>
      </c>
      <c r="BJ34" s="891" t="s">
        <v>35</v>
      </c>
      <c r="BK34" s="891"/>
      <c r="BL34" s="891"/>
      <c r="BM34" s="891" t="s">
        <v>36</v>
      </c>
      <c r="BN34" s="891" t="s">
        <v>32</v>
      </c>
      <c r="BO34" s="891"/>
      <c r="BP34" s="891"/>
      <c r="BQ34" s="891"/>
      <c r="BR34" s="891"/>
      <c r="BS34" s="891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428"/>
      <c r="CF34" s="428"/>
      <c r="CG34" s="428"/>
      <c r="CH34" s="428"/>
      <c r="CI34" s="230" t="s">
        <v>32</v>
      </c>
      <c r="CJ34" s="230" t="s">
        <v>32</v>
      </c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3</v>
      </c>
      <c r="G35" s="879" t="s">
        <v>1085</v>
      </c>
      <c r="H35" s="879" t="s">
        <v>22</v>
      </c>
      <c r="I35" s="879" t="s">
        <v>891</v>
      </c>
      <c r="J35" s="846">
        <v>4</v>
      </c>
      <c r="K35" s="846">
        <v>1</v>
      </c>
      <c r="L35" s="816" t="str">
        <f t="shared" si="9"/>
        <v>W</v>
      </c>
      <c r="M35" s="816">
        <f t="shared" si="10"/>
        <v>5</v>
      </c>
      <c r="N35" s="816" t="str">
        <f t="shared" si="11"/>
        <v>O</v>
      </c>
      <c r="O35" s="816">
        <f t="shared" si="12"/>
        <v>0</v>
      </c>
      <c r="P35" s="829">
        <f t="shared" si="13"/>
        <v>1</v>
      </c>
      <c r="Q35" s="830">
        <v>7.0000000000000007E-2</v>
      </c>
      <c r="R35" s="871">
        <f t="shared" si="14"/>
        <v>2.93</v>
      </c>
      <c r="S35" s="830">
        <v>2.5499999999999998</v>
      </c>
      <c r="T35" s="871">
        <f t="shared" si="15"/>
        <v>2.4500000000000002</v>
      </c>
      <c r="U35" s="868">
        <f t="shared" si="16"/>
        <v>1.3099999999999998</v>
      </c>
      <c r="V35" s="868">
        <f t="shared" si="17"/>
        <v>1.24</v>
      </c>
      <c r="W35" s="829">
        <v>14</v>
      </c>
      <c r="X35" s="829">
        <v>12</v>
      </c>
      <c r="Y35" s="829">
        <v>7</v>
      </c>
      <c r="Z35" s="829">
        <v>3</v>
      </c>
      <c r="AA35" s="829">
        <v>47</v>
      </c>
      <c r="AB35" s="829">
        <v>53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1877</v>
      </c>
      <c r="AH35" s="891" t="s">
        <v>34</v>
      </c>
      <c r="AI35" s="891" t="s">
        <v>32</v>
      </c>
      <c r="AJ35" s="910"/>
      <c r="AK35" s="891" t="s">
        <v>32</v>
      </c>
      <c r="AL35" s="891" t="s">
        <v>36</v>
      </c>
      <c r="AM35" s="891" t="s">
        <v>34</v>
      </c>
      <c r="AN35" s="891" t="s">
        <v>34</v>
      </c>
      <c r="AO35" s="891" t="s">
        <v>34</v>
      </c>
      <c r="AP35" s="891" t="s">
        <v>35</v>
      </c>
      <c r="AQ35" s="891" t="s">
        <v>1886</v>
      </c>
      <c r="AR35" s="891" t="s">
        <v>36</v>
      </c>
      <c r="AS35" s="891" t="s">
        <v>2468</v>
      </c>
      <c r="AT35" s="910"/>
      <c r="AU35" s="891" t="s">
        <v>32</v>
      </c>
      <c r="AV35" s="891" t="s">
        <v>32</v>
      </c>
      <c r="AW35" s="891" t="s">
        <v>32</v>
      </c>
      <c r="AX35" s="891" t="s">
        <v>35</v>
      </c>
      <c r="AY35" s="891" t="s">
        <v>1877</v>
      </c>
      <c r="AZ35" s="891" t="s">
        <v>32</v>
      </c>
      <c r="BA35" s="891" t="s">
        <v>36</v>
      </c>
      <c r="BB35" s="891" t="s">
        <v>34</v>
      </c>
      <c r="BC35" s="891" t="s">
        <v>2469</v>
      </c>
      <c r="BD35" s="891" t="s">
        <v>1877</v>
      </c>
      <c r="BE35" s="891" t="s">
        <v>35</v>
      </c>
      <c r="BF35" s="891" t="s">
        <v>1877</v>
      </c>
      <c r="BG35" s="891" t="s">
        <v>32</v>
      </c>
      <c r="BH35" s="891" t="s">
        <v>32</v>
      </c>
      <c r="BI35" s="891" t="s">
        <v>34</v>
      </c>
      <c r="BJ35" s="891" t="s">
        <v>2470</v>
      </c>
      <c r="BK35" s="891"/>
      <c r="BL35" s="891"/>
      <c r="BM35" s="891" t="s">
        <v>32</v>
      </c>
      <c r="BN35" s="891" t="s">
        <v>32</v>
      </c>
      <c r="BO35" s="891"/>
      <c r="BP35" s="892"/>
      <c r="BQ35" s="896"/>
      <c r="BR35" s="896"/>
      <c r="BS35" s="891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896"/>
      <c r="CE35" s="428"/>
      <c r="CF35" s="428"/>
      <c r="CG35" s="428"/>
      <c r="CH35" s="428"/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2</v>
      </c>
      <c r="G36" s="879" t="s">
        <v>886</v>
      </c>
      <c r="H36" s="879" t="s">
        <v>18</v>
      </c>
      <c r="I36" s="879" t="s">
        <v>891</v>
      </c>
      <c r="J36" s="846">
        <v>1</v>
      </c>
      <c r="K36" s="846">
        <v>2</v>
      </c>
      <c r="L36" s="816" t="str">
        <f t="shared" si="9"/>
        <v>L</v>
      </c>
      <c r="M36" s="816">
        <f t="shared" si="10"/>
        <v>3</v>
      </c>
      <c r="N36" s="816" t="str">
        <f t="shared" si="11"/>
        <v>O</v>
      </c>
      <c r="O36" s="816">
        <f t="shared" si="12"/>
        <v>-0.25</v>
      </c>
      <c r="P36" s="829">
        <f t="shared" si="13"/>
        <v>-1</v>
      </c>
      <c r="Q36" s="830">
        <v>0.15</v>
      </c>
      <c r="R36" s="871">
        <f t="shared" si="14"/>
        <v>-1.1499999999999999</v>
      </c>
      <c r="S36" s="830">
        <v>2.09</v>
      </c>
      <c r="T36" s="871">
        <f t="shared" si="15"/>
        <v>0.91000000000000014</v>
      </c>
      <c r="U36" s="868">
        <f t="shared" si="16"/>
        <v>1.1199999999999999</v>
      </c>
      <c r="V36" s="868">
        <f t="shared" si="17"/>
        <v>0.97</v>
      </c>
      <c r="W36" s="829">
        <v>11</v>
      </c>
      <c r="X36" s="829">
        <v>17</v>
      </c>
      <c r="Y36" s="829">
        <v>3</v>
      </c>
      <c r="Z36" s="829">
        <v>7</v>
      </c>
      <c r="AA36" s="829">
        <v>62</v>
      </c>
      <c r="AB36" s="829">
        <v>38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1877</v>
      </c>
      <c r="AH36" s="891" t="s">
        <v>34</v>
      </c>
      <c r="AI36" s="891" t="s">
        <v>32</v>
      </c>
      <c r="AJ36" s="910"/>
      <c r="AK36" s="891" t="s">
        <v>32</v>
      </c>
      <c r="AL36" s="891" t="s">
        <v>1877</v>
      </c>
      <c r="AM36" s="891" t="s">
        <v>2484</v>
      </c>
      <c r="AN36" s="891" t="s">
        <v>34</v>
      </c>
      <c r="AO36" s="891" t="s">
        <v>34</v>
      </c>
      <c r="AP36" s="891" t="s">
        <v>34</v>
      </c>
      <c r="AQ36" s="891" t="s">
        <v>1886</v>
      </c>
      <c r="AR36" s="904" t="s">
        <v>36</v>
      </c>
      <c r="AS36" s="891" t="s">
        <v>32</v>
      </c>
      <c r="AT36" s="910"/>
      <c r="AU36" s="891" t="s">
        <v>32</v>
      </c>
      <c r="AV36" s="891" t="s">
        <v>32</v>
      </c>
      <c r="AW36" s="891" t="s">
        <v>32</v>
      </c>
      <c r="AX36" s="891" t="s">
        <v>35</v>
      </c>
      <c r="AY36" s="891" t="s">
        <v>36</v>
      </c>
      <c r="AZ36" s="891" t="s">
        <v>1877</v>
      </c>
      <c r="BA36" s="891" t="s">
        <v>34</v>
      </c>
      <c r="BB36" s="891" t="s">
        <v>35</v>
      </c>
      <c r="BC36" s="904" t="s">
        <v>34</v>
      </c>
      <c r="BD36" s="891" t="s">
        <v>36</v>
      </c>
      <c r="BE36" s="891" t="s">
        <v>35</v>
      </c>
      <c r="BF36" s="891" t="s">
        <v>32</v>
      </c>
      <c r="BG36" s="891" t="s">
        <v>32</v>
      </c>
      <c r="BH36" s="891" t="s">
        <v>1877</v>
      </c>
      <c r="BI36" s="891" t="s">
        <v>34</v>
      </c>
      <c r="BJ36" s="891"/>
      <c r="BK36" s="891"/>
      <c r="BL36" s="891"/>
      <c r="BM36" s="891" t="s">
        <v>32</v>
      </c>
      <c r="BN36" s="891" t="s">
        <v>32</v>
      </c>
      <c r="BO36" s="891"/>
      <c r="BP36" s="892"/>
      <c r="BQ36" s="896"/>
      <c r="BR36" s="896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428"/>
      <c r="CF36" s="428"/>
      <c r="CG36" s="428"/>
      <c r="CH36" s="428"/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16</v>
      </c>
      <c r="G37" s="879" t="s">
        <v>872</v>
      </c>
      <c r="H37" s="879" t="s">
        <v>18</v>
      </c>
      <c r="I37" s="879" t="s">
        <v>891</v>
      </c>
      <c r="J37" s="846">
        <v>2</v>
      </c>
      <c r="K37" s="846">
        <v>2</v>
      </c>
      <c r="L37" s="816" t="str">
        <f t="shared" si="9"/>
        <v>D</v>
      </c>
      <c r="M37" s="816">
        <f t="shared" si="10"/>
        <v>4</v>
      </c>
      <c r="N37" s="816" t="str">
        <f t="shared" si="11"/>
        <v>O</v>
      </c>
      <c r="O37" s="816">
        <f t="shared" si="12"/>
        <v>0</v>
      </c>
      <c r="P37" s="829">
        <f t="shared" si="13"/>
        <v>0</v>
      </c>
      <c r="Q37" s="830">
        <v>-0.13</v>
      </c>
      <c r="R37" s="871">
        <f t="shared" si="14"/>
        <v>0.13</v>
      </c>
      <c r="S37" s="830">
        <v>2.25</v>
      </c>
      <c r="T37" s="871">
        <f t="shared" si="15"/>
        <v>1.75</v>
      </c>
      <c r="U37" s="868">
        <f t="shared" si="16"/>
        <v>1.06</v>
      </c>
      <c r="V37" s="868">
        <f t="shared" si="17"/>
        <v>1.19</v>
      </c>
      <c r="W37" s="829">
        <v>19</v>
      </c>
      <c r="X37" s="829">
        <v>22</v>
      </c>
      <c r="Y37" s="829">
        <v>7</v>
      </c>
      <c r="Z37" s="829">
        <v>7</v>
      </c>
      <c r="AA37" s="829">
        <v>61</v>
      </c>
      <c r="AB37" s="829">
        <v>39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1877</v>
      </c>
      <c r="AH37" s="891" t="s">
        <v>34</v>
      </c>
      <c r="AI37" s="891" t="s">
        <v>32</v>
      </c>
      <c r="AJ37" s="910"/>
      <c r="AK37" s="891" t="s">
        <v>1877</v>
      </c>
      <c r="AL37" s="891" t="s">
        <v>2518</v>
      </c>
      <c r="AM37" s="891" t="s">
        <v>34</v>
      </c>
      <c r="AN37" s="891" t="s">
        <v>34</v>
      </c>
      <c r="AO37" s="891" t="s">
        <v>34</v>
      </c>
      <c r="AP37" s="904" t="s">
        <v>34</v>
      </c>
      <c r="AQ37" s="891" t="s">
        <v>1886</v>
      </c>
      <c r="AR37" s="891" t="s">
        <v>1877</v>
      </c>
      <c r="AS37" s="891" t="s">
        <v>32</v>
      </c>
      <c r="AT37" s="910"/>
      <c r="AU37" s="891" t="s">
        <v>32</v>
      </c>
      <c r="AV37" s="891" t="s">
        <v>32</v>
      </c>
      <c r="AW37" s="891" t="s">
        <v>32</v>
      </c>
      <c r="AX37" s="891" t="s">
        <v>36</v>
      </c>
      <c r="AY37" s="891" t="s">
        <v>35</v>
      </c>
      <c r="AZ37" s="891" t="s">
        <v>32</v>
      </c>
      <c r="BA37" s="891" t="s">
        <v>36</v>
      </c>
      <c r="BB37" s="891" t="s">
        <v>34</v>
      </c>
      <c r="BC37" s="891" t="s">
        <v>34</v>
      </c>
      <c r="BD37" s="891" t="s">
        <v>35</v>
      </c>
      <c r="BE37" s="891" t="s">
        <v>2519</v>
      </c>
      <c r="BF37" s="891" t="s">
        <v>32</v>
      </c>
      <c r="BG37" s="891" t="s">
        <v>32</v>
      </c>
      <c r="BH37" s="891" t="s">
        <v>1877</v>
      </c>
      <c r="BI37" s="891" t="s">
        <v>34</v>
      </c>
      <c r="BJ37" s="891"/>
      <c r="BK37" s="891"/>
      <c r="BL37" s="891"/>
      <c r="BM37" s="891" t="s">
        <v>32</v>
      </c>
      <c r="BN37" s="891" t="s">
        <v>32</v>
      </c>
      <c r="BO37" s="891"/>
      <c r="BP37" s="891"/>
      <c r="BQ37" s="891"/>
      <c r="BR37" s="891"/>
      <c r="BS37" s="891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  <c r="CL37" s="4" t="s">
        <v>32</v>
      </c>
      <c r="CM37" s="6" t="s">
        <v>32</v>
      </c>
      <c r="CN37" s="6" t="s">
        <v>32</v>
      </c>
      <c r="CO37" s="6" t="s">
        <v>32</v>
      </c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</row>
    <row r="38" spans="1:120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13</v>
      </c>
      <c r="G38" s="879" t="s">
        <v>884</v>
      </c>
      <c r="H38" s="879" t="s">
        <v>22</v>
      </c>
      <c r="I38" s="879" t="s">
        <v>891</v>
      </c>
      <c r="J38" s="846">
        <v>1</v>
      </c>
      <c r="K38" s="846">
        <v>1</v>
      </c>
      <c r="L38" s="816" t="str">
        <f t="shared" si="9"/>
        <v>D</v>
      </c>
      <c r="M38" s="816">
        <f t="shared" si="10"/>
        <v>2</v>
      </c>
      <c r="N38" s="816" t="str">
        <f t="shared" si="11"/>
        <v>U</v>
      </c>
      <c r="O38" s="816">
        <f t="shared" si="12"/>
        <v>-0.25</v>
      </c>
      <c r="P38" s="829">
        <f t="shared" si="13"/>
        <v>-0.5</v>
      </c>
      <c r="Q38" s="830">
        <v>0.42</v>
      </c>
      <c r="R38" s="871">
        <f t="shared" si="14"/>
        <v>-0.42</v>
      </c>
      <c r="S38" s="830">
        <v>2.27</v>
      </c>
      <c r="T38" s="871">
        <f t="shared" si="15"/>
        <v>-0.27</v>
      </c>
      <c r="U38" s="868">
        <f t="shared" si="16"/>
        <v>1.345</v>
      </c>
      <c r="V38" s="868">
        <f t="shared" si="17"/>
        <v>0.92500000000000004</v>
      </c>
      <c r="W38" s="829">
        <v>13</v>
      </c>
      <c r="X38" s="829">
        <v>11</v>
      </c>
      <c r="Y38" s="829">
        <v>5</v>
      </c>
      <c r="Z38" s="829">
        <v>4</v>
      </c>
      <c r="AA38" s="829">
        <v>55</v>
      </c>
      <c r="AB38" s="829">
        <v>45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32</v>
      </c>
      <c r="AH38" s="891" t="s">
        <v>34</v>
      </c>
      <c r="AI38" s="891" t="s">
        <v>1877</v>
      </c>
      <c r="AJ38" s="910"/>
      <c r="AK38" s="891" t="s">
        <v>1877</v>
      </c>
      <c r="AL38" s="891" t="s">
        <v>36</v>
      </c>
      <c r="AM38" s="891" t="s">
        <v>34</v>
      </c>
      <c r="AN38" s="891" t="s">
        <v>34</v>
      </c>
      <c r="AO38" s="891" t="s">
        <v>34</v>
      </c>
      <c r="AP38" s="891" t="s">
        <v>34</v>
      </c>
      <c r="AQ38" s="891" t="s">
        <v>1886</v>
      </c>
      <c r="AR38" s="891" t="s">
        <v>1877</v>
      </c>
      <c r="AS38" s="891" t="s">
        <v>32</v>
      </c>
      <c r="AT38" s="910"/>
      <c r="AU38" s="891" t="s">
        <v>32</v>
      </c>
      <c r="AV38" s="891" t="s">
        <v>32</v>
      </c>
      <c r="AW38" s="891" t="s">
        <v>32</v>
      </c>
      <c r="AX38" s="891" t="s">
        <v>35</v>
      </c>
      <c r="AY38" s="891" t="s">
        <v>35</v>
      </c>
      <c r="AZ38" s="891" t="s">
        <v>32</v>
      </c>
      <c r="BA38" s="891" t="s">
        <v>1877</v>
      </c>
      <c r="BB38" s="891" t="s">
        <v>34</v>
      </c>
      <c r="BC38" s="891" t="s">
        <v>34</v>
      </c>
      <c r="BD38" s="891" t="s">
        <v>36</v>
      </c>
      <c r="BE38" s="891" t="s">
        <v>2539</v>
      </c>
      <c r="BF38" s="891" t="s">
        <v>32</v>
      </c>
      <c r="BG38" s="891" t="s">
        <v>36</v>
      </c>
      <c r="BH38" s="891" t="s">
        <v>32</v>
      </c>
      <c r="BI38" s="891" t="s">
        <v>34</v>
      </c>
      <c r="BJ38" s="891"/>
      <c r="BK38" s="891"/>
      <c r="BL38" s="891"/>
      <c r="BM38" s="891" t="s">
        <v>32</v>
      </c>
      <c r="BN38" s="891" t="s">
        <v>32</v>
      </c>
      <c r="BO38" s="891"/>
      <c r="BP38" s="891"/>
      <c r="BQ38" s="891"/>
      <c r="BR38" s="891"/>
      <c r="BS38" s="891"/>
      <c r="BT38" s="891"/>
      <c r="BU38" s="891"/>
      <c r="BV38" s="891"/>
      <c r="BW38" s="891"/>
      <c r="BX38" s="891"/>
      <c r="BY38" s="891"/>
      <c r="BZ38" s="891"/>
      <c r="CA38" s="891"/>
      <c r="CB38" s="896"/>
      <c r="CC38" s="896"/>
      <c r="CD38" s="896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14</v>
      </c>
      <c r="G39" s="879" t="s">
        <v>873</v>
      </c>
      <c r="H39" s="879" t="s">
        <v>18</v>
      </c>
      <c r="I39" s="879" t="s">
        <v>891</v>
      </c>
      <c r="J39" s="846">
        <v>0</v>
      </c>
      <c r="K39" s="846">
        <v>2</v>
      </c>
      <c r="L39" s="816" t="str">
        <f t="shared" si="9"/>
        <v>L</v>
      </c>
      <c r="M39" s="816">
        <f t="shared" si="10"/>
        <v>2</v>
      </c>
      <c r="N39" s="816" t="str">
        <f t="shared" si="11"/>
        <v>U</v>
      </c>
      <c r="O39" s="816">
        <f t="shared" si="12"/>
        <v>0</v>
      </c>
      <c r="P39" s="829">
        <f t="shared" si="13"/>
        <v>-1</v>
      </c>
      <c r="Q39" s="830">
        <v>-0.01</v>
      </c>
      <c r="R39" s="871">
        <f t="shared" si="14"/>
        <v>-1.99</v>
      </c>
      <c r="S39" s="830">
        <v>2.13</v>
      </c>
      <c r="T39" s="871">
        <f t="shared" si="15"/>
        <v>-0.12999999999999989</v>
      </c>
      <c r="U39" s="868">
        <f t="shared" si="16"/>
        <v>1.06</v>
      </c>
      <c r="V39" s="868">
        <f t="shared" si="17"/>
        <v>1.0699999999999998</v>
      </c>
      <c r="W39" s="829">
        <v>14</v>
      </c>
      <c r="X39" s="829">
        <v>14</v>
      </c>
      <c r="Y39" s="829">
        <v>3</v>
      </c>
      <c r="Z39" s="829">
        <v>4</v>
      </c>
      <c r="AA39" s="829">
        <v>46</v>
      </c>
      <c r="AB39" s="829">
        <v>54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32</v>
      </c>
      <c r="AH39" s="891" t="s">
        <v>34</v>
      </c>
      <c r="AI39" s="891" t="s">
        <v>1877</v>
      </c>
      <c r="AJ39" s="910"/>
      <c r="AK39" s="891" t="s">
        <v>32</v>
      </c>
      <c r="AL39" s="891" t="s">
        <v>1877</v>
      </c>
      <c r="AM39" s="891" t="s">
        <v>34</v>
      </c>
      <c r="AN39" s="891" t="s">
        <v>34</v>
      </c>
      <c r="AO39" s="891" t="s">
        <v>34</v>
      </c>
      <c r="AP39" s="891" t="s">
        <v>34</v>
      </c>
      <c r="AQ39" s="891" t="s">
        <v>32</v>
      </c>
      <c r="AR39" s="891" t="s">
        <v>1877</v>
      </c>
      <c r="AS39" s="891" t="s">
        <v>32</v>
      </c>
      <c r="AT39" s="910"/>
      <c r="AU39" s="891" t="s">
        <v>32</v>
      </c>
      <c r="AV39" s="891" t="s">
        <v>32</v>
      </c>
      <c r="AW39" s="891" t="s">
        <v>32</v>
      </c>
      <c r="AX39" s="891" t="s">
        <v>35</v>
      </c>
      <c r="AY39" s="891" t="s">
        <v>36</v>
      </c>
      <c r="AZ39" s="891" t="s">
        <v>32</v>
      </c>
      <c r="BA39" s="891" t="s">
        <v>1877</v>
      </c>
      <c r="BB39" s="891" t="s">
        <v>34</v>
      </c>
      <c r="BC39" s="891" t="s">
        <v>34</v>
      </c>
      <c r="BD39" s="891" t="s">
        <v>36</v>
      </c>
      <c r="BE39" s="891" t="s">
        <v>35</v>
      </c>
      <c r="BF39" s="891" t="s">
        <v>32</v>
      </c>
      <c r="BG39" s="891" t="s">
        <v>36</v>
      </c>
      <c r="BH39" s="891" t="s">
        <v>35</v>
      </c>
      <c r="BI39" s="891" t="s">
        <v>34</v>
      </c>
      <c r="BJ39" s="891"/>
      <c r="BK39" s="891"/>
      <c r="BL39" s="891"/>
      <c r="BM39" s="891" t="s">
        <v>32</v>
      </c>
      <c r="BN39" s="891" t="s">
        <v>32</v>
      </c>
      <c r="BO39" s="891"/>
      <c r="BP39" s="891"/>
      <c r="BQ39" s="891"/>
      <c r="BR39" s="891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428"/>
      <c r="CF39" s="428"/>
      <c r="CG39" s="428"/>
      <c r="CH39" s="428"/>
      <c r="CM39" s="4" t="s">
        <v>32</v>
      </c>
      <c r="CN39" s="4" t="s">
        <v>32</v>
      </c>
      <c r="CO39" s="4" t="s">
        <v>32</v>
      </c>
      <c r="CP39" s="4" t="s">
        <v>32</v>
      </c>
      <c r="CQ39" s="4" t="s">
        <v>32</v>
      </c>
      <c r="CR39" s="4" t="s">
        <v>32</v>
      </c>
      <c r="CS39" s="6" t="s">
        <v>32</v>
      </c>
      <c r="CT39" s="6" t="s">
        <v>32</v>
      </c>
      <c r="CU39" s="6" t="s">
        <v>32</v>
      </c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</row>
    <row r="40" spans="1:120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10</v>
      </c>
      <c r="G40" s="879" t="s">
        <v>883</v>
      </c>
      <c r="H40" s="879" t="s">
        <v>22</v>
      </c>
      <c r="I40" s="879" t="s">
        <v>891</v>
      </c>
      <c r="J40" s="846">
        <v>2</v>
      </c>
      <c r="K40" s="846">
        <v>2</v>
      </c>
      <c r="L40" s="816" t="str">
        <f t="shared" si="9"/>
        <v>D</v>
      </c>
      <c r="M40" s="816">
        <f t="shared" si="10"/>
        <v>4</v>
      </c>
      <c r="N40" s="816" t="str">
        <f t="shared" si="11"/>
        <v>O</v>
      </c>
      <c r="O40" s="816">
        <f t="shared" si="12"/>
        <v>0</v>
      </c>
      <c r="P40" s="829">
        <f t="shared" si="13"/>
        <v>0</v>
      </c>
      <c r="Q40" s="830">
        <v>0.05</v>
      </c>
      <c r="R40" s="871">
        <f t="shared" si="14"/>
        <v>-0.05</v>
      </c>
      <c r="S40" s="830">
        <v>2.2799999999999998</v>
      </c>
      <c r="T40" s="871">
        <f t="shared" si="15"/>
        <v>1.7200000000000002</v>
      </c>
      <c r="U40" s="868">
        <f t="shared" si="16"/>
        <v>1.1649999999999998</v>
      </c>
      <c r="V40" s="868">
        <f t="shared" si="17"/>
        <v>1.115</v>
      </c>
      <c r="W40" s="829">
        <v>10</v>
      </c>
      <c r="X40" s="829">
        <v>16</v>
      </c>
      <c r="Y40" s="829">
        <v>3</v>
      </c>
      <c r="Z40" s="829">
        <v>4</v>
      </c>
      <c r="AA40" s="829">
        <v>51</v>
      </c>
      <c r="AB40" s="829">
        <v>49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1877</v>
      </c>
      <c r="AH40" s="891" t="s">
        <v>34</v>
      </c>
      <c r="AI40" s="891" t="s">
        <v>32</v>
      </c>
      <c r="AJ40" s="910"/>
      <c r="AK40" s="891" t="s">
        <v>32</v>
      </c>
      <c r="AL40" s="891" t="s">
        <v>32</v>
      </c>
      <c r="AM40" s="891" t="s">
        <v>34</v>
      </c>
      <c r="AN40" s="891" t="s">
        <v>34</v>
      </c>
      <c r="AO40" s="904" t="s">
        <v>35</v>
      </c>
      <c r="AP40" s="891" t="s">
        <v>34</v>
      </c>
      <c r="AQ40" s="891" t="s">
        <v>32</v>
      </c>
      <c r="AR40" s="891" t="s">
        <v>32</v>
      </c>
      <c r="AS40" s="891" t="s">
        <v>36</v>
      </c>
      <c r="AT40" s="910"/>
      <c r="AU40" s="891" t="s">
        <v>36</v>
      </c>
      <c r="AV40" s="891" t="s">
        <v>32</v>
      </c>
      <c r="AW40" s="891" t="s">
        <v>32</v>
      </c>
      <c r="AX40" s="891" t="s">
        <v>35</v>
      </c>
      <c r="AY40" s="891" t="s">
        <v>1877</v>
      </c>
      <c r="AZ40" s="891" t="s">
        <v>32</v>
      </c>
      <c r="BA40" s="891" t="s">
        <v>36</v>
      </c>
      <c r="BB40" s="891" t="s">
        <v>2579</v>
      </c>
      <c r="BC40" s="891" t="s">
        <v>34</v>
      </c>
      <c r="BD40" s="891" t="s">
        <v>1886</v>
      </c>
      <c r="BE40" s="891" t="s">
        <v>1877</v>
      </c>
      <c r="BF40" s="891" t="s">
        <v>32</v>
      </c>
      <c r="BG40" s="891" t="s">
        <v>2580</v>
      </c>
      <c r="BH40" s="891" t="s">
        <v>1877</v>
      </c>
      <c r="BI40" s="891" t="s">
        <v>34</v>
      </c>
      <c r="BJ40" s="891" t="s">
        <v>35</v>
      </c>
      <c r="BK40" s="891"/>
      <c r="BL40" s="891"/>
      <c r="BM40" s="891" t="s">
        <v>32</v>
      </c>
      <c r="BN40" s="891" t="s">
        <v>32</v>
      </c>
      <c r="BO40" s="891"/>
      <c r="BP40" s="891"/>
      <c r="BQ40" s="891"/>
      <c r="BR40" s="891"/>
      <c r="BS40" s="891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28"/>
      <c r="CF40" s="428"/>
      <c r="CG40" s="428"/>
      <c r="CH40" s="428"/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  <c r="CN40" s="230" t="s">
        <v>32</v>
      </c>
      <c r="CO40" s="230" t="s">
        <v>32</v>
      </c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19</v>
      </c>
      <c r="G41" s="879" t="s">
        <v>885</v>
      </c>
      <c r="H41" s="879" t="s">
        <v>22</v>
      </c>
      <c r="I41" s="879" t="s">
        <v>891</v>
      </c>
      <c r="J41" s="846">
        <v>2</v>
      </c>
      <c r="K41" s="846">
        <v>1</v>
      </c>
      <c r="L41" s="816" t="str">
        <f t="shared" si="9"/>
        <v>W</v>
      </c>
      <c r="M41" s="816">
        <f t="shared" si="10"/>
        <v>3</v>
      </c>
      <c r="N41" s="816" t="str">
        <f t="shared" si="11"/>
        <v>O</v>
      </c>
      <c r="O41" s="816">
        <f t="shared" si="12"/>
        <v>-0.5</v>
      </c>
      <c r="P41" s="829">
        <f t="shared" si="13"/>
        <v>1</v>
      </c>
      <c r="Q41" s="830">
        <v>0.64</v>
      </c>
      <c r="R41" s="871">
        <f t="shared" si="14"/>
        <v>0.36</v>
      </c>
      <c r="S41" s="830">
        <v>2.4900000000000002</v>
      </c>
      <c r="T41" s="871">
        <f t="shared" si="15"/>
        <v>0.50999999999999979</v>
      </c>
      <c r="U41" s="868">
        <f t="shared" si="16"/>
        <v>1.5650000000000002</v>
      </c>
      <c r="V41" s="868">
        <f t="shared" si="17"/>
        <v>0.92500000000000004</v>
      </c>
      <c r="W41" s="829">
        <v>8</v>
      </c>
      <c r="X41" s="829">
        <v>11</v>
      </c>
      <c r="Y41" s="829">
        <v>3</v>
      </c>
      <c r="Z41" s="829">
        <v>4</v>
      </c>
      <c r="AA41" s="829">
        <v>51</v>
      </c>
      <c r="AB41" s="829">
        <v>49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1877</v>
      </c>
      <c r="AH41" s="891" t="s">
        <v>34</v>
      </c>
      <c r="AI41" s="891" t="s">
        <v>1886</v>
      </c>
      <c r="AJ41" s="910"/>
      <c r="AK41" s="891" t="s">
        <v>32</v>
      </c>
      <c r="AL41" s="891" t="s">
        <v>1877</v>
      </c>
      <c r="AM41" s="904" t="s">
        <v>34</v>
      </c>
      <c r="AN41" s="891" t="s">
        <v>34</v>
      </c>
      <c r="AO41" s="891" t="s">
        <v>32</v>
      </c>
      <c r="AP41" s="891" t="s">
        <v>34</v>
      </c>
      <c r="AQ41" s="891" t="s">
        <v>32</v>
      </c>
      <c r="AR41" s="891" t="s">
        <v>32</v>
      </c>
      <c r="AS41" s="904" t="s">
        <v>34</v>
      </c>
      <c r="AT41" s="910"/>
      <c r="AU41" s="891" t="s">
        <v>36</v>
      </c>
      <c r="AV41" s="891" t="s">
        <v>1877</v>
      </c>
      <c r="AW41" s="891" t="s">
        <v>32</v>
      </c>
      <c r="AX41" s="891" t="s">
        <v>35</v>
      </c>
      <c r="AY41" s="891" t="s">
        <v>32</v>
      </c>
      <c r="AZ41" s="891" t="s">
        <v>36</v>
      </c>
      <c r="BA41" s="891" t="s">
        <v>32</v>
      </c>
      <c r="BB41" s="891" t="s">
        <v>34</v>
      </c>
      <c r="BC41" s="891" t="s">
        <v>34</v>
      </c>
      <c r="BD41" s="891" t="s">
        <v>1886</v>
      </c>
      <c r="BE41" s="891" t="s">
        <v>36</v>
      </c>
      <c r="BF41" s="891" t="s">
        <v>32</v>
      </c>
      <c r="BG41" s="891" t="s">
        <v>35</v>
      </c>
      <c r="BH41" s="891" t="s">
        <v>32</v>
      </c>
      <c r="BI41" s="891" t="s">
        <v>34</v>
      </c>
      <c r="BJ41" s="891" t="s">
        <v>2685</v>
      </c>
      <c r="BK41" s="891">
        <v>1</v>
      </c>
      <c r="BL41" s="891"/>
      <c r="BM41" s="891" t="s">
        <v>1877</v>
      </c>
      <c r="BN41" s="891" t="s">
        <v>32</v>
      </c>
      <c r="BO41" s="891"/>
      <c r="BP41" s="892"/>
      <c r="BQ41" s="896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872</v>
      </c>
      <c r="H42" s="828" t="s">
        <v>2651</v>
      </c>
      <c r="I42" s="828" t="s">
        <v>2649</v>
      </c>
      <c r="J42" s="895">
        <v>4</v>
      </c>
      <c r="K42" s="895">
        <v>2</v>
      </c>
      <c r="L42" s="816" t="str">
        <f t="shared" si="9"/>
        <v>W</v>
      </c>
      <c r="M42" s="816">
        <f t="shared" si="10"/>
        <v>6</v>
      </c>
      <c r="N42" s="816" t="str">
        <f t="shared" ref="N42:N66" si="18">IF($J42="","",IF($M42&gt;N$19,"O",IF($M42&lt;N$19,"U",IF($M42=N$19,"-"))))</f>
        <v>O</v>
      </c>
      <c r="O42" s="816" t="str">
        <f t="shared" si="12"/>
        <v/>
      </c>
      <c r="P42" s="829" t="str">
        <f t="shared" si="13"/>
        <v/>
      </c>
      <c r="Q42" s="830"/>
      <c r="R42" s="871" t="str">
        <f t="shared" si="14"/>
        <v/>
      </c>
      <c r="S42" s="830"/>
      <c r="T42" s="871" t="str">
        <f t="shared" si="15"/>
        <v/>
      </c>
      <c r="U42" s="868" t="str">
        <f t="shared" si="16"/>
        <v/>
      </c>
      <c r="V42" s="868" t="str">
        <f t="shared" si="17"/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34</v>
      </c>
      <c r="AH42" s="891" t="s">
        <v>1877</v>
      </c>
      <c r="AI42" s="891" t="s">
        <v>1886</v>
      </c>
      <c r="AJ42" s="910"/>
      <c r="AK42" s="891" t="s">
        <v>34</v>
      </c>
      <c r="AL42" s="891" t="s">
        <v>35</v>
      </c>
      <c r="AM42" s="891" t="s">
        <v>32</v>
      </c>
      <c r="AN42" s="891" t="s">
        <v>32</v>
      </c>
      <c r="AO42" s="891" t="s">
        <v>32</v>
      </c>
      <c r="AP42" s="891" t="s">
        <v>36</v>
      </c>
      <c r="AQ42" s="891" t="s">
        <v>32</v>
      </c>
      <c r="AR42" s="891" t="s">
        <v>32</v>
      </c>
      <c r="AS42" s="891" t="s">
        <v>34</v>
      </c>
      <c r="AT42" s="910"/>
      <c r="AU42" s="904" t="s">
        <v>36</v>
      </c>
      <c r="AV42" s="891" t="s">
        <v>34</v>
      </c>
      <c r="AW42" s="891" t="s">
        <v>32</v>
      </c>
      <c r="AX42" s="891" t="s">
        <v>32</v>
      </c>
      <c r="AY42" s="904" t="s">
        <v>34</v>
      </c>
      <c r="AZ42" s="891" t="s">
        <v>2718</v>
      </c>
      <c r="BA42" s="891" t="s">
        <v>34</v>
      </c>
      <c r="BB42" s="891" t="s">
        <v>32</v>
      </c>
      <c r="BC42" s="891" t="s">
        <v>32</v>
      </c>
      <c r="BD42" s="891" t="s">
        <v>1886</v>
      </c>
      <c r="BE42" s="891" t="s">
        <v>2716</v>
      </c>
      <c r="BF42" s="891" t="s">
        <v>1877</v>
      </c>
      <c r="BG42" s="891" t="s">
        <v>32</v>
      </c>
      <c r="BH42" s="891" t="s">
        <v>35</v>
      </c>
      <c r="BI42" s="891"/>
      <c r="BJ42" s="891"/>
      <c r="BK42" s="891"/>
      <c r="BL42" s="891"/>
      <c r="BM42" s="891" t="s">
        <v>2717</v>
      </c>
      <c r="BN42" s="891" t="s">
        <v>36</v>
      </c>
      <c r="BO42" s="891"/>
      <c r="BP42" s="891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428"/>
      <c r="CG42" s="428"/>
      <c r="CH42" s="428"/>
      <c r="CI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22</v>
      </c>
      <c r="G43" s="879" t="s">
        <v>1087</v>
      </c>
      <c r="H43" s="879" t="s">
        <v>18</v>
      </c>
      <c r="I43" s="879" t="s">
        <v>891</v>
      </c>
      <c r="J43" s="846">
        <v>4</v>
      </c>
      <c r="K43" s="846">
        <v>0</v>
      </c>
      <c r="L43" s="816" t="str">
        <f t="shared" ref="L43:L66" si="19">IF(J43="","",IF(J43&gt;K43,"W",IF(J43=K43,"D",IF(J43&lt;K43,"L"))))</f>
        <v>W</v>
      </c>
      <c r="M43" s="816">
        <f t="shared" ref="M43:M66" si="20">IF(J43="","",J43+K43)</f>
        <v>4</v>
      </c>
      <c r="N43" s="816" t="str">
        <f t="shared" si="18"/>
        <v>O</v>
      </c>
      <c r="O43" s="816">
        <f t="shared" ref="O43:O61" si="21">IF(Q43="","",IF(SIGN(Q43)&lt;&gt;1,VLOOKUP(ABS(Q43),SUP_HDC,3,TRUE),-VLOOKUP(ABS(Q43),SUP_HDC,3,TRUE)))</f>
        <v>-0.5</v>
      </c>
      <c r="P43" s="829">
        <f t="shared" ref="P43:P61" si="22">IF(O43="","",IF((J43-K43+O43)&gt;=0.5,1,IF((J43-K43+O43)=0.25,0.5,IF((J43-K43+O43)&lt;=-0.5,-1,IF((J43-K43+O43)=-0.25,-0.5,0)))))</f>
        <v>1</v>
      </c>
      <c r="Q43" s="830">
        <v>0.45</v>
      </c>
      <c r="R43" s="871">
        <f t="shared" ref="R43:R57" si="23">IF(ISBLANK(Q43),"",J43-K43-Q43)</f>
        <v>3.55</v>
      </c>
      <c r="S43" s="830">
        <v>2.48</v>
      </c>
      <c r="T43" s="871">
        <f t="shared" ref="T43:T71" si="24">IF(ISBLANK(S43),"",J43+K43-S43)</f>
        <v>1.52</v>
      </c>
      <c r="U43" s="868">
        <f t="shared" ref="U43:U65" si="25">IF(Q43="","",(Q43+S43)/2)</f>
        <v>1.4650000000000001</v>
      </c>
      <c r="V43" s="868">
        <f t="shared" ref="V43:V65" si="26">IF(Q43="","",S43-U43)</f>
        <v>1.0149999999999999</v>
      </c>
      <c r="W43" s="829">
        <v>14</v>
      </c>
      <c r="X43" s="829">
        <v>17</v>
      </c>
      <c r="Y43" s="829">
        <v>6</v>
      </c>
      <c r="Z43" s="829">
        <v>2</v>
      </c>
      <c r="AA43" s="829">
        <v>47</v>
      </c>
      <c r="AB43" s="829">
        <v>53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1877</v>
      </c>
      <c r="AH43" s="891" t="s">
        <v>34</v>
      </c>
      <c r="AI43" s="891" t="s">
        <v>1886</v>
      </c>
      <c r="AJ43" s="910"/>
      <c r="AK43" s="891" t="s">
        <v>32</v>
      </c>
      <c r="AL43" s="891" t="s">
        <v>1877</v>
      </c>
      <c r="AM43" s="891" t="s">
        <v>34</v>
      </c>
      <c r="AN43" s="891" t="s">
        <v>34</v>
      </c>
      <c r="AO43" s="891" t="s">
        <v>34</v>
      </c>
      <c r="AP43" s="891" t="s">
        <v>35</v>
      </c>
      <c r="AQ43" s="891" t="s">
        <v>32</v>
      </c>
      <c r="AR43" s="891" t="s">
        <v>32</v>
      </c>
      <c r="AS43" s="891" t="s">
        <v>36</v>
      </c>
      <c r="AT43" s="910"/>
      <c r="AU43" s="891" t="s">
        <v>36</v>
      </c>
      <c r="AV43" s="891" t="s">
        <v>32</v>
      </c>
      <c r="AW43" s="891" t="s">
        <v>32</v>
      </c>
      <c r="AX43" s="891" t="s">
        <v>35</v>
      </c>
      <c r="AY43" s="891" t="s">
        <v>32</v>
      </c>
      <c r="AZ43" s="891" t="s">
        <v>1877</v>
      </c>
      <c r="BA43" s="891" t="s">
        <v>32</v>
      </c>
      <c r="BB43" s="891" t="s">
        <v>34</v>
      </c>
      <c r="BC43" s="891" t="s">
        <v>2753</v>
      </c>
      <c r="BD43" s="891" t="s">
        <v>1886</v>
      </c>
      <c r="BE43" s="891" t="s">
        <v>2754</v>
      </c>
      <c r="BF43" s="891" t="s">
        <v>32</v>
      </c>
      <c r="BG43" s="891" t="s">
        <v>35</v>
      </c>
      <c r="BH43" s="891" t="s">
        <v>32</v>
      </c>
      <c r="BI43" s="904" t="s">
        <v>34</v>
      </c>
      <c r="BJ43" s="891" t="s">
        <v>34</v>
      </c>
      <c r="BK43" s="891"/>
      <c r="BL43" s="891"/>
      <c r="BM43" s="891" t="s">
        <v>1877</v>
      </c>
      <c r="BN43" s="891" t="s">
        <v>32</v>
      </c>
      <c r="BO43" s="891"/>
      <c r="BP43" s="892"/>
      <c r="BQ43" s="896"/>
      <c r="BR43" s="891"/>
      <c r="BS43" s="891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6</v>
      </c>
      <c r="G44" s="879" t="s">
        <v>876</v>
      </c>
      <c r="H44" s="879" t="s">
        <v>18</v>
      </c>
      <c r="I44" s="879" t="s">
        <v>891</v>
      </c>
      <c r="J44" s="846">
        <v>1</v>
      </c>
      <c r="K44" s="846">
        <v>4</v>
      </c>
      <c r="L44" s="816" t="str">
        <f t="shared" si="19"/>
        <v>L</v>
      </c>
      <c r="M44" s="816">
        <f t="shared" si="20"/>
        <v>5</v>
      </c>
      <c r="N44" s="816" t="str">
        <f t="shared" si="18"/>
        <v>O</v>
      </c>
      <c r="O44" s="816">
        <f t="shared" si="21"/>
        <v>0.25</v>
      </c>
      <c r="P44" s="829">
        <f t="shared" si="22"/>
        <v>-1</v>
      </c>
      <c r="Q44" s="830">
        <v>-0.35</v>
      </c>
      <c r="R44" s="871">
        <f t="shared" si="23"/>
        <v>-2.65</v>
      </c>
      <c r="S44" s="830">
        <v>2.78</v>
      </c>
      <c r="T44" s="871">
        <f t="shared" si="24"/>
        <v>2.2200000000000002</v>
      </c>
      <c r="U44" s="868">
        <f t="shared" si="25"/>
        <v>1.2149999999999999</v>
      </c>
      <c r="V44" s="868">
        <f t="shared" si="26"/>
        <v>1.5649999999999999</v>
      </c>
      <c r="W44" s="829">
        <v>9</v>
      </c>
      <c r="X44" s="829">
        <v>27</v>
      </c>
      <c r="Y44" s="829">
        <v>4</v>
      </c>
      <c r="Z44" s="829">
        <v>10</v>
      </c>
      <c r="AA44" s="829">
        <v>47</v>
      </c>
      <c r="AB44" s="829">
        <v>53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1877</v>
      </c>
      <c r="AH44" s="891" t="s">
        <v>34</v>
      </c>
      <c r="AI44" s="891" t="s">
        <v>1886</v>
      </c>
      <c r="AJ44" s="910"/>
      <c r="AK44" s="891" t="s">
        <v>32</v>
      </c>
      <c r="AL44" s="891" t="s">
        <v>36</v>
      </c>
      <c r="AM44" s="891" t="s">
        <v>35</v>
      </c>
      <c r="AN44" s="891" t="s">
        <v>34</v>
      </c>
      <c r="AO44" s="891" t="s">
        <v>34</v>
      </c>
      <c r="AP44" s="891" t="s">
        <v>34</v>
      </c>
      <c r="AQ44" s="891" t="s">
        <v>32</v>
      </c>
      <c r="AR44" s="891" t="s">
        <v>32</v>
      </c>
      <c r="AS44" s="891" t="s">
        <v>1877</v>
      </c>
      <c r="AT44" s="910" t="s">
        <v>32</v>
      </c>
      <c r="AU44" s="891" t="s">
        <v>36</v>
      </c>
      <c r="AV44" s="891" t="s">
        <v>32</v>
      </c>
      <c r="AW44" s="891" t="s">
        <v>32</v>
      </c>
      <c r="AX44" s="891" t="s">
        <v>35</v>
      </c>
      <c r="AY44" s="891" t="s">
        <v>1877</v>
      </c>
      <c r="AZ44" s="891" t="s">
        <v>32</v>
      </c>
      <c r="BA44" s="891" t="s">
        <v>1877</v>
      </c>
      <c r="BB44" s="891" t="s">
        <v>34</v>
      </c>
      <c r="BC44" s="891" t="s">
        <v>2795</v>
      </c>
      <c r="BD44" s="891" t="s">
        <v>1886</v>
      </c>
      <c r="BE44" s="891" t="s">
        <v>36</v>
      </c>
      <c r="BF44" s="891" t="s">
        <v>32</v>
      </c>
      <c r="BG44" s="891" t="s">
        <v>35</v>
      </c>
      <c r="BH44" s="891" t="s">
        <v>32</v>
      </c>
      <c r="BI44" s="891" t="s">
        <v>34</v>
      </c>
      <c r="BJ44" s="891" t="s">
        <v>34</v>
      </c>
      <c r="BK44" s="891"/>
      <c r="BL44" s="891"/>
      <c r="BM44" s="891" t="s">
        <v>32</v>
      </c>
      <c r="BN44" s="891" t="s">
        <v>32</v>
      </c>
      <c r="BO44" s="891"/>
      <c r="BP44" s="892"/>
      <c r="BQ44" s="896"/>
      <c r="BR44" s="891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4"/>
      <c r="CF44" s="4"/>
      <c r="CG44" s="4"/>
      <c r="CH44" s="4"/>
      <c r="CI44" s="6" t="s">
        <v>32</v>
      </c>
      <c r="CJ44" s="6" t="s">
        <v>32</v>
      </c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</row>
    <row r="45" spans="1:120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</v>
      </c>
      <c r="G45" s="879" t="s">
        <v>1086</v>
      </c>
      <c r="H45" s="879" t="s">
        <v>22</v>
      </c>
      <c r="I45" s="879" t="s">
        <v>891</v>
      </c>
      <c r="J45" s="846">
        <v>0</v>
      </c>
      <c r="K45" s="846">
        <v>0</v>
      </c>
      <c r="L45" s="816" t="str">
        <f t="shared" si="19"/>
        <v>D</v>
      </c>
      <c r="M45" s="816">
        <f t="shared" si="20"/>
        <v>0</v>
      </c>
      <c r="N45" s="816" t="str">
        <f t="shared" si="18"/>
        <v>U</v>
      </c>
      <c r="O45" s="816">
        <f t="shared" si="21"/>
        <v>0</v>
      </c>
      <c r="P45" s="829">
        <f t="shared" si="22"/>
        <v>0</v>
      </c>
      <c r="Q45" s="830">
        <v>-0.09</v>
      </c>
      <c r="R45" s="871">
        <f t="shared" si="23"/>
        <v>0.09</v>
      </c>
      <c r="S45" s="830">
        <v>2.5</v>
      </c>
      <c r="T45" s="871">
        <f t="shared" si="24"/>
        <v>-2.5</v>
      </c>
      <c r="U45" s="868">
        <f t="shared" si="25"/>
        <v>1.2050000000000001</v>
      </c>
      <c r="V45" s="868">
        <f t="shared" si="26"/>
        <v>1.2949999999999999</v>
      </c>
      <c r="W45" s="829">
        <v>8</v>
      </c>
      <c r="X45" s="829">
        <v>15</v>
      </c>
      <c r="Y45" s="829">
        <v>3</v>
      </c>
      <c r="Z45" s="829">
        <v>1</v>
      </c>
      <c r="AA45" s="829">
        <v>52</v>
      </c>
      <c r="AB45" s="829">
        <v>48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1877</v>
      </c>
      <c r="AH45" s="891" t="s">
        <v>34</v>
      </c>
      <c r="AI45" s="891" t="s">
        <v>1886</v>
      </c>
      <c r="AJ45" s="910"/>
      <c r="AK45" s="891" t="s">
        <v>1877</v>
      </c>
      <c r="AL45" s="891" t="s">
        <v>1877</v>
      </c>
      <c r="AM45" s="904" t="s">
        <v>2843</v>
      </c>
      <c r="AN45" s="891" t="s">
        <v>34</v>
      </c>
      <c r="AO45" s="891" t="s">
        <v>34</v>
      </c>
      <c r="AP45" s="891" t="s">
        <v>34</v>
      </c>
      <c r="AQ45" s="891" t="s">
        <v>32</v>
      </c>
      <c r="AR45" s="891" t="s">
        <v>32</v>
      </c>
      <c r="AS45" s="891" t="s">
        <v>32</v>
      </c>
      <c r="AT45" s="910" t="s">
        <v>32</v>
      </c>
      <c r="AU45" s="891" t="s">
        <v>34</v>
      </c>
      <c r="AV45" s="891" t="s">
        <v>32</v>
      </c>
      <c r="AW45" s="891" t="s">
        <v>32</v>
      </c>
      <c r="AX45" s="891" t="s">
        <v>1877</v>
      </c>
      <c r="AY45" s="891" t="s">
        <v>32</v>
      </c>
      <c r="AZ45" s="891" t="s">
        <v>32</v>
      </c>
      <c r="BA45" s="891" t="s">
        <v>36</v>
      </c>
      <c r="BB45" s="891" t="s">
        <v>34</v>
      </c>
      <c r="BC45" s="891" t="s">
        <v>34</v>
      </c>
      <c r="BD45" s="891" t="s">
        <v>2842</v>
      </c>
      <c r="BE45" s="891" t="s">
        <v>36</v>
      </c>
      <c r="BF45" s="891" t="s">
        <v>32</v>
      </c>
      <c r="BG45" s="891" t="s">
        <v>35</v>
      </c>
      <c r="BH45" s="891" t="s">
        <v>32</v>
      </c>
      <c r="BI45" s="891" t="s">
        <v>35</v>
      </c>
      <c r="BJ45" s="904" t="s">
        <v>35</v>
      </c>
      <c r="BK45" s="891"/>
      <c r="BL45" s="891"/>
      <c r="BM45" s="891" t="s">
        <v>36</v>
      </c>
      <c r="BN45" s="891" t="s">
        <v>32</v>
      </c>
      <c r="BO45" s="891"/>
      <c r="BP45" s="892" t="s">
        <v>32</v>
      </c>
      <c r="BQ45" s="896" t="s">
        <v>32</v>
      </c>
      <c r="BR45" s="896"/>
      <c r="BS45" s="896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428"/>
      <c r="CF45" s="428"/>
      <c r="CG45" s="428"/>
      <c r="CH45" s="428"/>
      <c r="CI45" s="230" t="s">
        <v>32</v>
      </c>
      <c r="CJ45" s="230" t="s">
        <v>32</v>
      </c>
      <c r="CK45" s="230" t="s">
        <v>32</v>
      </c>
      <c r="CL45" s="230" t="s">
        <v>32</v>
      </c>
      <c r="CM45" s="230" t="s">
        <v>32</v>
      </c>
      <c r="CN45" s="230" t="s">
        <v>32</v>
      </c>
      <c r="CO45" s="230" t="s">
        <v>32</v>
      </c>
    </row>
    <row r="46" spans="1:120" ht="15">
      <c r="A46" s="912">
        <v>6403</v>
      </c>
      <c r="B46" s="894"/>
      <c r="C46" s="894"/>
      <c r="D46" s="894"/>
      <c r="E46" s="894"/>
      <c r="F46" s="894"/>
      <c r="G46" s="828" t="s">
        <v>2764</v>
      </c>
      <c r="H46" s="828" t="s">
        <v>2651</v>
      </c>
      <c r="I46" s="828" t="s">
        <v>2649</v>
      </c>
      <c r="J46" s="914">
        <v>0</v>
      </c>
      <c r="K46" s="895">
        <v>2</v>
      </c>
      <c r="L46" s="816" t="str">
        <f t="shared" si="19"/>
        <v>L</v>
      </c>
      <c r="M46" s="816">
        <f t="shared" si="20"/>
        <v>2</v>
      </c>
      <c r="N46" s="816" t="str">
        <f t="shared" si="18"/>
        <v>U</v>
      </c>
      <c r="O46" s="816"/>
      <c r="P46" s="829"/>
      <c r="Q46" s="830"/>
      <c r="R46" s="871" t="str">
        <f t="shared" si="23"/>
        <v/>
      </c>
      <c r="S46" s="830"/>
      <c r="T46" s="871" t="str">
        <f t="shared" si="24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904" t="s">
        <v>34</v>
      </c>
      <c r="AH46" s="891" t="s">
        <v>32</v>
      </c>
      <c r="AI46" s="891" t="s">
        <v>1886</v>
      </c>
      <c r="AJ46" s="910"/>
      <c r="AK46" s="891" t="s">
        <v>34</v>
      </c>
      <c r="AL46" s="891" t="s">
        <v>34</v>
      </c>
      <c r="AM46" s="891" t="s">
        <v>32</v>
      </c>
      <c r="AN46" s="891" t="s">
        <v>1877</v>
      </c>
      <c r="AO46" s="891" t="s">
        <v>36</v>
      </c>
      <c r="AP46" s="891" t="s">
        <v>32</v>
      </c>
      <c r="AQ46" s="891" t="s">
        <v>32</v>
      </c>
      <c r="AR46" s="891" t="s">
        <v>32</v>
      </c>
      <c r="AS46" s="904" t="s">
        <v>35</v>
      </c>
      <c r="AT46" s="910" t="s">
        <v>32</v>
      </c>
      <c r="AU46" s="891" t="s">
        <v>32</v>
      </c>
      <c r="AV46" s="891" t="s">
        <v>34</v>
      </c>
      <c r="AW46" s="891" t="s">
        <v>32</v>
      </c>
      <c r="AX46" s="891" t="s">
        <v>35</v>
      </c>
      <c r="AY46" s="891" t="s">
        <v>34</v>
      </c>
      <c r="AZ46" s="891" t="s">
        <v>34</v>
      </c>
      <c r="BA46" s="891" t="s">
        <v>34</v>
      </c>
      <c r="BB46" s="891" t="s">
        <v>32</v>
      </c>
      <c r="BC46" s="909" t="s">
        <v>36</v>
      </c>
      <c r="BD46" s="891" t="s">
        <v>2851</v>
      </c>
      <c r="BE46" s="904" t="s">
        <v>34</v>
      </c>
      <c r="BF46" s="891" t="s">
        <v>1877</v>
      </c>
      <c r="BG46" s="891" t="s">
        <v>32</v>
      </c>
      <c r="BH46" s="891" t="s">
        <v>36</v>
      </c>
      <c r="BI46" s="891"/>
      <c r="BJ46" s="891"/>
      <c r="BK46" s="891"/>
      <c r="BL46" s="891"/>
      <c r="BM46" s="891" t="s">
        <v>35</v>
      </c>
      <c r="BN46" s="891" t="s">
        <v>1877</v>
      </c>
      <c r="BO46" s="891"/>
      <c r="BP46" s="892"/>
      <c r="BQ46" s="896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428"/>
      <c r="CF46" s="428"/>
      <c r="CG46" s="428"/>
      <c r="CH46" s="428"/>
    </row>
    <row r="47" spans="1:120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15</v>
      </c>
      <c r="G47" s="879" t="s">
        <v>881</v>
      </c>
      <c r="H47" s="879" t="s">
        <v>18</v>
      </c>
      <c r="I47" s="879" t="s">
        <v>891</v>
      </c>
      <c r="J47" s="846">
        <v>2</v>
      </c>
      <c r="K47" s="846">
        <v>2</v>
      </c>
      <c r="L47" s="816" t="str">
        <f t="shared" si="19"/>
        <v>D</v>
      </c>
      <c r="M47" s="816">
        <f t="shared" si="20"/>
        <v>4</v>
      </c>
      <c r="N47" s="816" t="str">
        <f t="shared" si="18"/>
        <v>O</v>
      </c>
      <c r="O47" s="816">
        <f t="shared" si="21"/>
        <v>0</v>
      </c>
      <c r="P47" s="829">
        <f t="shared" si="22"/>
        <v>0</v>
      </c>
      <c r="Q47" s="830">
        <v>0.13</v>
      </c>
      <c r="R47" s="871">
        <f t="shared" si="23"/>
        <v>-0.13</v>
      </c>
      <c r="S47" s="830">
        <v>2.42</v>
      </c>
      <c r="T47" s="871">
        <f t="shared" si="24"/>
        <v>1.58</v>
      </c>
      <c r="U47" s="868">
        <f t="shared" si="25"/>
        <v>1.2749999999999999</v>
      </c>
      <c r="V47" s="868">
        <f t="shared" si="26"/>
        <v>1.145</v>
      </c>
      <c r="W47" s="829">
        <v>17</v>
      </c>
      <c r="X47" s="829">
        <v>12</v>
      </c>
      <c r="Y47" s="829">
        <v>4</v>
      </c>
      <c r="Z47" s="829">
        <v>4</v>
      </c>
      <c r="AA47" s="829">
        <v>45</v>
      </c>
      <c r="AB47" s="829">
        <v>55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1877</v>
      </c>
      <c r="AH47" s="891" t="s">
        <v>34</v>
      </c>
      <c r="AI47" s="891" t="s">
        <v>2891</v>
      </c>
      <c r="AJ47" s="910"/>
      <c r="AK47" s="891" t="s">
        <v>32</v>
      </c>
      <c r="AL47" s="891" t="s">
        <v>1877</v>
      </c>
      <c r="AM47" s="891" t="s">
        <v>34</v>
      </c>
      <c r="AN47" s="891" t="s">
        <v>34</v>
      </c>
      <c r="AO47" s="891" t="s">
        <v>34</v>
      </c>
      <c r="AP47" s="891" t="s">
        <v>34</v>
      </c>
      <c r="AQ47" s="891" t="s">
        <v>32</v>
      </c>
      <c r="AR47" s="891" t="s">
        <v>32</v>
      </c>
      <c r="AS47" s="891" t="s">
        <v>32</v>
      </c>
      <c r="AT47" s="910"/>
      <c r="AU47" s="891" t="s">
        <v>34</v>
      </c>
      <c r="AV47" s="891" t="s">
        <v>1877</v>
      </c>
      <c r="AW47" s="891" t="s">
        <v>32</v>
      </c>
      <c r="AX47" s="891" t="s">
        <v>1877</v>
      </c>
      <c r="AY47" s="891" t="s">
        <v>32</v>
      </c>
      <c r="AZ47" s="891" t="s">
        <v>32</v>
      </c>
      <c r="BA47" s="891" t="s">
        <v>2892</v>
      </c>
      <c r="BB47" s="891" t="s">
        <v>34</v>
      </c>
      <c r="BC47" s="891" t="s">
        <v>2890</v>
      </c>
      <c r="BD47" s="891" t="s">
        <v>1886</v>
      </c>
      <c r="BE47" s="891" t="s">
        <v>36</v>
      </c>
      <c r="BF47" s="891" t="s">
        <v>2884</v>
      </c>
      <c r="BG47" s="891" t="s">
        <v>35</v>
      </c>
      <c r="BH47" s="891" t="s">
        <v>36</v>
      </c>
      <c r="BI47" s="891" t="s">
        <v>35</v>
      </c>
      <c r="BJ47" s="891" t="s">
        <v>34</v>
      </c>
      <c r="BK47" s="891"/>
      <c r="BL47" s="891"/>
      <c r="BM47" s="891" t="s">
        <v>2889</v>
      </c>
      <c r="BN47" s="891" t="s">
        <v>32</v>
      </c>
      <c r="BO47" s="891"/>
      <c r="BP47" s="892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428"/>
      <c r="CF47" s="428"/>
      <c r="CG47" s="428"/>
      <c r="CH47" s="428"/>
    </row>
    <row r="48" spans="1:120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14</v>
      </c>
      <c r="G48" s="879" t="s">
        <v>873</v>
      </c>
      <c r="H48" s="879" t="s">
        <v>22</v>
      </c>
      <c r="I48" s="879" t="s">
        <v>891</v>
      </c>
      <c r="J48" s="846">
        <v>0</v>
      </c>
      <c r="K48" s="846">
        <v>0</v>
      </c>
      <c r="L48" s="816" t="str">
        <f t="shared" si="19"/>
        <v>D</v>
      </c>
      <c r="M48" s="816">
        <f t="shared" si="20"/>
        <v>0</v>
      </c>
      <c r="N48" s="816" t="str">
        <f t="shared" si="18"/>
        <v>U</v>
      </c>
      <c r="O48" s="816">
        <f t="shared" si="21"/>
        <v>-0.25</v>
      </c>
      <c r="P48" s="829">
        <f t="shared" si="22"/>
        <v>-0.5</v>
      </c>
      <c r="Q48" s="830">
        <v>0.25</v>
      </c>
      <c r="R48" s="871">
        <f t="shared" si="23"/>
        <v>-0.25</v>
      </c>
      <c r="S48" s="830">
        <v>2.36</v>
      </c>
      <c r="T48" s="871">
        <f t="shared" si="24"/>
        <v>-2.36</v>
      </c>
      <c r="U48" s="868">
        <f t="shared" si="25"/>
        <v>1.3049999999999999</v>
      </c>
      <c r="V48" s="868">
        <f t="shared" si="26"/>
        <v>1.0549999999999999</v>
      </c>
      <c r="W48" s="829">
        <v>20</v>
      </c>
      <c r="X48" s="829">
        <v>8</v>
      </c>
      <c r="Y48" s="829">
        <v>4</v>
      </c>
      <c r="Z48" s="829">
        <v>5</v>
      </c>
      <c r="AA48" s="829">
        <v>60</v>
      </c>
      <c r="AB48" s="829">
        <v>40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1877</v>
      </c>
      <c r="AH48" s="891" t="s">
        <v>34</v>
      </c>
      <c r="AI48" s="891" t="s">
        <v>2891</v>
      </c>
      <c r="AJ48" s="910"/>
      <c r="AK48" s="891" t="s">
        <v>1877</v>
      </c>
      <c r="AL48" s="891" t="s">
        <v>32</v>
      </c>
      <c r="AM48" s="891" t="s">
        <v>34</v>
      </c>
      <c r="AN48" s="891" t="s">
        <v>34</v>
      </c>
      <c r="AO48" s="891" t="s">
        <v>34</v>
      </c>
      <c r="AP48" s="891" t="s">
        <v>1877</v>
      </c>
      <c r="AQ48" s="891" t="s">
        <v>32</v>
      </c>
      <c r="AR48" s="891" t="s">
        <v>32</v>
      </c>
      <c r="AS48" s="891" t="s">
        <v>32</v>
      </c>
      <c r="AT48" s="891" t="s">
        <v>36</v>
      </c>
      <c r="AU48" s="891" t="s">
        <v>34</v>
      </c>
      <c r="AV48" s="891" t="s">
        <v>32</v>
      </c>
      <c r="AW48" s="891" t="s">
        <v>32</v>
      </c>
      <c r="AX48" s="891" t="s">
        <v>35</v>
      </c>
      <c r="AY48" s="891" t="s">
        <v>32</v>
      </c>
      <c r="AZ48" s="891" t="s">
        <v>32</v>
      </c>
      <c r="BA48" s="904" t="s">
        <v>36</v>
      </c>
      <c r="BB48" s="891" t="s">
        <v>35</v>
      </c>
      <c r="BC48" s="891" t="s">
        <v>34</v>
      </c>
      <c r="BD48" s="891" t="s">
        <v>1886</v>
      </c>
      <c r="BE48" s="891" t="s">
        <v>36</v>
      </c>
      <c r="BF48" s="891" t="s">
        <v>1877</v>
      </c>
      <c r="BG48" s="891" t="s">
        <v>35</v>
      </c>
      <c r="BH48" s="891" t="s">
        <v>32</v>
      </c>
      <c r="BI48" s="891" t="s">
        <v>34</v>
      </c>
      <c r="BJ48" s="891" t="s">
        <v>34</v>
      </c>
      <c r="BK48" s="891"/>
      <c r="BL48" s="891"/>
      <c r="BM48" s="891" t="s">
        <v>32</v>
      </c>
      <c r="BN48" s="910" t="s">
        <v>32</v>
      </c>
      <c r="BO48" s="891"/>
      <c r="BP48" s="892"/>
      <c r="BQ48" s="896"/>
      <c r="BR48" s="891"/>
      <c r="BS48" s="896"/>
      <c r="BT48" s="896"/>
      <c r="BU48" s="896"/>
      <c r="BV48" s="896"/>
      <c r="BW48" s="896"/>
      <c r="BX48" s="891"/>
      <c r="BY48" s="891"/>
      <c r="BZ48" s="891"/>
      <c r="CA48" s="891"/>
      <c r="CB48" s="891"/>
      <c r="CC48" s="891"/>
      <c r="CD48" s="891"/>
      <c r="CE48" s="428"/>
      <c r="CF48" s="428"/>
      <c r="CG48" s="428"/>
      <c r="CH48" s="428"/>
    </row>
    <row r="49" spans="1:86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19</v>
      </c>
      <c r="G49" s="879" t="s">
        <v>885</v>
      </c>
      <c r="H49" s="879" t="s">
        <v>18</v>
      </c>
      <c r="I49" s="879" t="s">
        <v>891</v>
      </c>
      <c r="J49" s="846">
        <v>1</v>
      </c>
      <c r="K49" s="846">
        <v>0</v>
      </c>
      <c r="L49" s="816" t="str">
        <f t="shared" si="19"/>
        <v>W</v>
      </c>
      <c r="M49" s="816">
        <f t="shared" si="20"/>
        <v>1</v>
      </c>
      <c r="N49" s="816" t="str">
        <f t="shared" si="18"/>
        <v>U</v>
      </c>
      <c r="O49" s="816">
        <f t="shared" si="21"/>
        <v>-0.25</v>
      </c>
      <c r="P49" s="829">
        <f t="shared" si="22"/>
        <v>1</v>
      </c>
      <c r="Q49" s="830">
        <v>0.36</v>
      </c>
      <c r="R49" s="871">
        <f t="shared" si="23"/>
        <v>0.64</v>
      </c>
      <c r="S49" s="830">
        <v>2.54</v>
      </c>
      <c r="T49" s="871">
        <f t="shared" si="24"/>
        <v>-1.54</v>
      </c>
      <c r="U49" s="868">
        <f t="shared" si="25"/>
        <v>1.45</v>
      </c>
      <c r="V49" s="868">
        <f t="shared" si="26"/>
        <v>1.0900000000000001</v>
      </c>
      <c r="W49" s="829">
        <v>12</v>
      </c>
      <c r="X49" s="829">
        <v>10</v>
      </c>
      <c r="Y49" s="829">
        <v>4</v>
      </c>
      <c r="Z49" s="829">
        <v>1</v>
      </c>
      <c r="AA49" s="829">
        <v>56</v>
      </c>
      <c r="AB49" s="829">
        <v>44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1877</v>
      </c>
      <c r="AH49" s="891" t="s">
        <v>34</v>
      </c>
      <c r="AI49" s="891" t="s">
        <v>2891</v>
      </c>
      <c r="AJ49" s="910"/>
      <c r="AK49" s="891" t="s">
        <v>1877</v>
      </c>
      <c r="AL49" s="891" t="s">
        <v>32</v>
      </c>
      <c r="AM49" s="891" t="s">
        <v>34</v>
      </c>
      <c r="AN49" s="891" t="s">
        <v>34</v>
      </c>
      <c r="AO49" s="891" t="s">
        <v>34</v>
      </c>
      <c r="AP49" s="891" t="s">
        <v>1877</v>
      </c>
      <c r="AQ49" s="891" t="s">
        <v>32</v>
      </c>
      <c r="AR49" s="891" t="s">
        <v>32</v>
      </c>
      <c r="AS49" s="891" t="s">
        <v>32</v>
      </c>
      <c r="AT49" s="891" t="s">
        <v>36</v>
      </c>
      <c r="AU49" s="891" t="s">
        <v>34</v>
      </c>
      <c r="AV49" s="891" t="s">
        <v>32</v>
      </c>
      <c r="AW49" s="891" t="s">
        <v>32</v>
      </c>
      <c r="AX49" s="891" t="s">
        <v>35</v>
      </c>
      <c r="AY49" s="891" t="s">
        <v>32</v>
      </c>
      <c r="AZ49" s="891" t="s">
        <v>32</v>
      </c>
      <c r="BA49" s="891" t="s">
        <v>36</v>
      </c>
      <c r="BB49" s="891" t="s">
        <v>34</v>
      </c>
      <c r="BC49" s="891" t="s">
        <v>34</v>
      </c>
      <c r="BD49" s="891" t="s">
        <v>1886</v>
      </c>
      <c r="BE49" s="891" t="s">
        <v>1877</v>
      </c>
      <c r="BF49" s="891" t="s">
        <v>2949</v>
      </c>
      <c r="BG49" s="891" t="s">
        <v>35</v>
      </c>
      <c r="BH49" s="891" t="s">
        <v>32</v>
      </c>
      <c r="BI49" s="891" t="s">
        <v>34</v>
      </c>
      <c r="BJ49" s="891" t="s">
        <v>35</v>
      </c>
      <c r="BK49" s="891" t="s">
        <v>32</v>
      </c>
      <c r="BL49" s="891" t="s">
        <v>32</v>
      </c>
      <c r="BM49" s="891" t="s">
        <v>32</v>
      </c>
      <c r="BN49" s="910"/>
      <c r="BO49" s="891"/>
      <c r="BP49" s="892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86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10</v>
      </c>
      <c r="G50" s="879" t="s">
        <v>883</v>
      </c>
      <c r="H50" s="879" t="s">
        <v>18</v>
      </c>
      <c r="I50" s="879" t="s">
        <v>891</v>
      </c>
      <c r="J50" s="846">
        <v>2</v>
      </c>
      <c r="K50" s="846">
        <v>1</v>
      </c>
      <c r="L50" s="816" t="str">
        <f t="shared" si="19"/>
        <v>W</v>
      </c>
      <c r="M50" s="816">
        <f t="shared" si="20"/>
        <v>3</v>
      </c>
      <c r="N50" s="816" t="str">
        <f t="shared" si="18"/>
        <v>O</v>
      </c>
      <c r="O50" s="816">
        <f t="shared" si="21"/>
        <v>0.25</v>
      </c>
      <c r="P50" s="829">
        <f t="shared" si="22"/>
        <v>1</v>
      </c>
      <c r="Q50" s="830">
        <v>-0.25</v>
      </c>
      <c r="R50" s="871">
        <f t="shared" si="23"/>
        <v>1.25</v>
      </c>
      <c r="S50" s="830">
        <v>2.4</v>
      </c>
      <c r="T50" s="871">
        <f t="shared" si="24"/>
        <v>0.60000000000000009</v>
      </c>
      <c r="U50" s="868">
        <f t="shared" si="25"/>
        <v>1.075</v>
      </c>
      <c r="V50" s="868">
        <f t="shared" si="26"/>
        <v>1.325</v>
      </c>
      <c r="W50" s="829">
        <v>20</v>
      </c>
      <c r="X50" s="829">
        <v>12</v>
      </c>
      <c r="Y50" s="829">
        <v>8</v>
      </c>
      <c r="Z50" s="829">
        <v>3</v>
      </c>
      <c r="AA50" s="829">
        <v>55</v>
      </c>
      <c r="AB50" s="829">
        <v>45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32</v>
      </c>
      <c r="AH50" s="891" t="s">
        <v>34</v>
      </c>
      <c r="AI50" s="891" t="s">
        <v>1877</v>
      </c>
      <c r="AJ50" s="891" t="s">
        <v>32</v>
      </c>
      <c r="AK50" s="891" t="s">
        <v>1877</v>
      </c>
      <c r="AL50" s="891" t="s">
        <v>32</v>
      </c>
      <c r="AM50" s="904" t="s">
        <v>34</v>
      </c>
      <c r="AN50" s="904" t="s">
        <v>34</v>
      </c>
      <c r="AO50" s="891" t="s">
        <v>34</v>
      </c>
      <c r="AP50" s="891" t="s">
        <v>1877</v>
      </c>
      <c r="AQ50" s="891" t="s">
        <v>32</v>
      </c>
      <c r="AR50" s="891" t="s">
        <v>32</v>
      </c>
      <c r="AS50" s="891" t="s">
        <v>32</v>
      </c>
      <c r="AT50" s="891" t="s">
        <v>36</v>
      </c>
      <c r="AU50" s="891" t="s">
        <v>34</v>
      </c>
      <c r="AV50" s="891" t="s">
        <v>32</v>
      </c>
      <c r="AW50" s="891" t="s">
        <v>32</v>
      </c>
      <c r="AX50" s="891" t="s">
        <v>35</v>
      </c>
      <c r="AY50" s="891" t="s">
        <v>32</v>
      </c>
      <c r="AZ50" s="891" t="s">
        <v>32</v>
      </c>
      <c r="BA50" s="891" t="s">
        <v>36</v>
      </c>
      <c r="BB50" s="891" t="s">
        <v>34</v>
      </c>
      <c r="BC50" s="891" t="s">
        <v>34</v>
      </c>
      <c r="BD50" s="891" t="s">
        <v>3007</v>
      </c>
      <c r="BE50" s="891" t="s">
        <v>3009</v>
      </c>
      <c r="BF50" s="891" t="s">
        <v>1877</v>
      </c>
      <c r="BG50" s="891" t="s">
        <v>3008</v>
      </c>
      <c r="BH50" s="891" t="s">
        <v>32</v>
      </c>
      <c r="BI50" s="891" t="s">
        <v>35</v>
      </c>
      <c r="BJ50" s="891" t="s">
        <v>34</v>
      </c>
      <c r="BK50" s="891" t="s">
        <v>32</v>
      </c>
      <c r="BL50" s="891" t="s">
        <v>32</v>
      </c>
      <c r="BM50" s="910" t="s">
        <v>32</v>
      </c>
      <c r="BN50" s="910" t="s">
        <v>32</v>
      </c>
      <c r="BO50" s="891"/>
      <c r="BP50" s="892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86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16</v>
      </c>
      <c r="G51" s="879" t="s">
        <v>872</v>
      </c>
      <c r="H51" s="879" t="s">
        <v>22</v>
      </c>
      <c r="I51" s="879" t="s">
        <v>891</v>
      </c>
      <c r="J51" s="846">
        <v>1</v>
      </c>
      <c r="K51" s="846">
        <v>3</v>
      </c>
      <c r="L51" s="816" t="str">
        <f t="shared" si="19"/>
        <v>L</v>
      </c>
      <c r="M51" s="816">
        <f t="shared" si="20"/>
        <v>4</v>
      </c>
      <c r="N51" s="816" t="str">
        <f t="shared" si="18"/>
        <v>O</v>
      </c>
      <c r="O51" s="816">
        <f t="shared" si="21"/>
        <v>-0.25</v>
      </c>
      <c r="P51" s="829">
        <f t="shared" si="22"/>
        <v>-1</v>
      </c>
      <c r="Q51" s="830">
        <v>0.28000000000000003</v>
      </c>
      <c r="R51" s="871">
        <f t="shared" si="23"/>
        <v>-2.2800000000000002</v>
      </c>
      <c r="S51" s="830">
        <v>2.4500000000000002</v>
      </c>
      <c r="T51" s="871">
        <f t="shared" si="24"/>
        <v>1.5499999999999998</v>
      </c>
      <c r="U51" s="868">
        <f t="shared" si="25"/>
        <v>1.3650000000000002</v>
      </c>
      <c r="V51" s="868">
        <f t="shared" si="26"/>
        <v>1.085</v>
      </c>
      <c r="W51" s="829">
        <v>14</v>
      </c>
      <c r="X51" s="829">
        <v>12</v>
      </c>
      <c r="Y51" s="829">
        <v>2</v>
      </c>
      <c r="Z51" s="829">
        <v>5</v>
      </c>
      <c r="AA51" s="829">
        <v>60</v>
      </c>
      <c r="AB51" s="829">
        <v>40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/>
      <c r="AH51" s="891" t="s">
        <v>34</v>
      </c>
      <c r="AI51" s="891" t="s">
        <v>1877</v>
      </c>
      <c r="AJ51" s="891" t="s">
        <v>32</v>
      </c>
      <c r="AK51" s="904" t="s">
        <v>35</v>
      </c>
      <c r="AL51" s="891" t="s">
        <v>32</v>
      </c>
      <c r="AM51" s="891" t="s">
        <v>3072</v>
      </c>
      <c r="AN51" s="891" t="s">
        <v>34</v>
      </c>
      <c r="AO51" s="891" t="s">
        <v>34</v>
      </c>
      <c r="AP51" s="891" t="s">
        <v>1877</v>
      </c>
      <c r="AQ51" s="891" t="s">
        <v>32</v>
      </c>
      <c r="AR51" s="891" t="s">
        <v>32</v>
      </c>
      <c r="AS51" s="891" t="s">
        <v>32</v>
      </c>
      <c r="AT51" s="891" t="s">
        <v>36</v>
      </c>
      <c r="AU51" s="891" t="s">
        <v>34</v>
      </c>
      <c r="AV51" s="891" t="s">
        <v>1877</v>
      </c>
      <c r="AW51" s="891" t="s">
        <v>32</v>
      </c>
      <c r="AX51" s="891" t="s">
        <v>35</v>
      </c>
      <c r="AY51" s="891" t="s">
        <v>32</v>
      </c>
      <c r="AZ51" s="891" t="s">
        <v>36</v>
      </c>
      <c r="BA51" s="891" t="s">
        <v>32</v>
      </c>
      <c r="BB51" s="891" t="s">
        <v>34</v>
      </c>
      <c r="BC51" s="891" t="s">
        <v>3065</v>
      </c>
      <c r="BD51" s="891" t="s">
        <v>32</v>
      </c>
      <c r="BE51" s="891" t="s">
        <v>36</v>
      </c>
      <c r="BF51" s="891" t="s">
        <v>1877</v>
      </c>
      <c r="BG51" s="891" t="s">
        <v>35</v>
      </c>
      <c r="BH51" s="891" t="s">
        <v>32</v>
      </c>
      <c r="BI51" s="891" t="s">
        <v>34</v>
      </c>
      <c r="BJ51" s="891" t="s">
        <v>34</v>
      </c>
      <c r="BK51" s="891"/>
      <c r="BL51" s="891"/>
      <c r="BM51" s="910"/>
      <c r="BN51" s="910"/>
      <c r="BO51" s="891"/>
      <c r="BP51" s="892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86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5</v>
      </c>
      <c r="G52" s="879" t="s">
        <v>889</v>
      </c>
      <c r="H52" s="879" t="s">
        <v>22</v>
      </c>
      <c r="I52" s="879" t="s">
        <v>891</v>
      </c>
      <c r="J52" s="846">
        <v>0</v>
      </c>
      <c r="K52" s="846">
        <v>2</v>
      </c>
      <c r="L52" s="816" t="str">
        <f t="shared" si="19"/>
        <v>L</v>
      </c>
      <c r="M52" s="816">
        <f t="shared" si="20"/>
        <v>2</v>
      </c>
      <c r="N52" s="816" t="str">
        <f t="shared" si="18"/>
        <v>U</v>
      </c>
      <c r="O52" s="816">
        <f t="shared" si="21"/>
        <v>0</v>
      </c>
      <c r="P52" s="829">
        <f t="shared" si="22"/>
        <v>-1</v>
      </c>
      <c r="Q52" s="830">
        <v>0.05</v>
      </c>
      <c r="R52" s="871">
        <f t="shared" si="23"/>
        <v>-2.0499999999999998</v>
      </c>
      <c r="S52" s="830">
        <v>2.63</v>
      </c>
      <c r="T52" s="871">
        <f t="shared" si="24"/>
        <v>-0.62999999999999989</v>
      </c>
      <c r="U52" s="868">
        <f t="shared" si="25"/>
        <v>1.3399999999999999</v>
      </c>
      <c r="V52" s="868">
        <f t="shared" si="26"/>
        <v>1.29</v>
      </c>
      <c r="W52" s="829">
        <v>12</v>
      </c>
      <c r="X52" s="829">
        <v>16</v>
      </c>
      <c r="Y52" s="829">
        <v>1</v>
      </c>
      <c r="Z52" s="829">
        <v>3</v>
      </c>
      <c r="AA52" s="829">
        <v>55</v>
      </c>
      <c r="AB52" s="829">
        <v>45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 t="s">
        <v>1877</v>
      </c>
      <c r="AH52" s="891" t="s">
        <v>34</v>
      </c>
      <c r="AI52" s="891" t="s">
        <v>32</v>
      </c>
      <c r="AJ52" s="891" t="s">
        <v>32</v>
      </c>
      <c r="AK52" s="891" t="s">
        <v>1877</v>
      </c>
      <c r="AL52" s="891" t="s">
        <v>32</v>
      </c>
      <c r="AM52" s="904" t="s">
        <v>34</v>
      </c>
      <c r="AN52" s="891" t="s">
        <v>34</v>
      </c>
      <c r="AO52" s="891" t="s">
        <v>35</v>
      </c>
      <c r="AP52" s="891" t="s">
        <v>36</v>
      </c>
      <c r="AQ52" s="891" t="s">
        <v>32</v>
      </c>
      <c r="AR52" s="891" t="s">
        <v>32</v>
      </c>
      <c r="AS52" s="891" t="s">
        <v>32</v>
      </c>
      <c r="AT52" s="891" t="s">
        <v>35</v>
      </c>
      <c r="AU52" s="891" t="s">
        <v>34</v>
      </c>
      <c r="AV52" s="891" t="s">
        <v>32</v>
      </c>
      <c r="AW52" s="891" t="s">
        <v>32</v>
      </c>
      <c r="AX52" s="891" t="s">
        <v>1877</v>
      </c>
      <c r="AY52" s="891" t="s">
        <v>32</v>
      </c>
      <c r="AZ52" s="891" t="s">
        <v>32</v>
      </c>
      <c r="BA52" s="891" t="s">
        <v>36</v>
      </c>
      <c r="BB52" s="904" t="s">
        <v>34</v>
      </c>
      <c r="BC52" s="891" t="s">
        <v>34</v>
      </c>
      <c r="BD52" s="891" t="s">
        <v>32</v>
      </c>
      <c r="BE52" s="891" t="s">
        <v>36</v>
      </c>
      <c r="BF52" s="891" t="s">
        <v>1877</v>
      </c>
      <c r="BG52" s="891" t="s">
        <v>35</v>
      </c>
      <c r="BH52" s="891" t="s">
        <v>32</v>
      </c>
      <c r="BI52" s="891" t="s">
        <v>34</v>
      </c>
      <c r="BJ52" s="891" t="s">
        <v>34</v>
      </c>
      <c r="BK52" s="891"/>
      <c r="BL52" s="891"/>
      <c r="BM52" s="910"/>
      <c r="BN52" s="910"/>
      <c r="BO52" s="891"/>
      <c r="BP52" s="892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86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12</v>
      </c>
      <c r="G53" s="879" t="s">
        <v>879</v>
      </c>
      <c r="H53" s="879" t="s">
        <v>18</v>
      </c>
      <c r="I53" s="879" t="s">
        <v>891</v>
      </c>
      <c r="J53" s="846">
        <v>2</v>
      </c>
      <c r="K53" s="846">
        <v>2</v>
      </c>
      <c r="L53" s="816" t="str">
        <f t="shared" si="19"/>
        <v>D</v>
      </c>
      <c r="M53" s="816">
        <f t="shared" si="20"/>
        <v>4</v>
      </c>
      <c r="N53" s="816" t="str">
        <f t="shared" si="18"/>
        <v>O</v>
      </c>
      <c r="O53" s="816">
        <f t="shared" si="21"/>
        <v>0</v>
      </c>
      <c r="P53" s="829">
        <f t="shared" si="22"/>
        <v>0</v>
      </c>
      <c r="Q53" s="830">
        <v>-0.05</v>
      </c>
      <c r="R53" s="871">
        <f t="shared" si="23"/>
        <v>0.05</v>
      </c>
      <c r="S53" s="830">
        <v>2.35</v>
      </c>
      <c r="T53" s="871">
        <f t="shared" si="24"/>
        <v>1.65</v>
      </c>
      <c r="U53" s="868">
        <f t="shared" si="25"/>
        <v>1.1500000000000001</v>
      </c>
      <c r="V53" s="868">
        <f t="shared" si="26"/>
        <v>1.2</v>
      </c>
      <c r="W53" s="829">
        <v>11</v>
      </c>
      <c r="X53" s="829">
        <v>17</v>
      </c>
      <c r="Y53" s="829">
        <v>2</v>
      </c>
      <c r="Z53" s="829">
        <v>8</v>
      </c>
      <c r="AA53" s="829">
        <v>53</v>
      </c>
      <c r="AB53" s="829">
        <v>47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32</v>
      </c>
      <c r="AH53" s="891" t="s">
        <v>34</v>
      </c>
      <c r="AI53" s="891" t="s">
        <v>1877</v>
      </c>
      <c r="AJ53" s="891" t="s">
        <v>32</v>
      </c>
      <c r="AK53" s="891" t="s">
        <v>1877</v>
      </c>
      <c r="AL53" s="891" t="s">
        <v>32</v>
      </c>
      <c r="AM53" s="891" t="s">
        <v>34</v>
      </c>
      <c r="AN53" s="891" t="s">
        <v>34</v>
      </c>
      <c r="AO53" s="891" t="s">
        <v>34</v>
      </c>
      <c r="AP53" s="891" t="s">
        <v>1877</v>
      </c>
      <c r="AQ53" s="891" t="s">
        <v>32</v>
      </c>
      <c r="AR53" s="891" t="s">
        <v>32</v>
      </c>
      <c r="AS53" s="891" t="s">
        <v>32</v>
      </c>
      <c r="AT53" s="891" t="s">
        <v>36</v>
      </c>
      <c r="AU53" s="891" t="s">
        <v>34</v>
      </c>
      <c r="AV53" s="891" t="s">
        <v>32</v>
      </c>
      <c r="AW53" s="891" t="s">
        <v>32</v>
      </c>
      <c r="AX53" s="891" t="s">
        <v>35</v>
      </c>
      <c r="AY53" s="891" t="s">
        <v>32</v>
      </c>
      <c r="AZ53" s="891" t="s">
        <v>32</v>
      </c>
      <c r="BA53" s="891" t="s">
        <v>36</v>
      </c>
      <c r="BB53" s="891" t="s">
        <v>3114</v>
      </c>
      <c r="BC53" s="891" t="s">
        <v>34</v>
      </c>
      <c r="BD53" s="891" t="s">
        <v>32</v>
      </c>
      <c r="BE53" s="904" t="s">
        <v>3122</v>
      </c>
      <c r="BF53" s="891" t="s">
        <v>1877</v>
      </c>
      <c r="BG53" s="891" t="s">
        <v>34</v>
      </c>
      <c r="BH53" s="891" t="s">
        <v>32</v>
      </c>
      <c r="BI53" s="891" t="s">
        <v>35</v>
      </c>
      <c r="BJ53" s="891" t="s">
        <v>35</v>
      </c>
      <c r="BK53" s="891" t="s">
        <v>32</v>
      </c>
      <c r="BL53" s="891" t="s">
        <v>32</v>
      </c>
      <c r="BM53" s="910" t="s">
        <v>32</v>
      </c>
      <c r="BN53" s="910" t="s">
        <v>32</v>
      </c>
      <c r="BO53" s="891"/>
      <c r="BP53" s="892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86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20</v>
      </c>
      <c r="G54" s="879" t="s">
        <v>882</v>
      </c>
      <c r="H54" s="879" t="s">
        <v>18</v>
      </c>
      <c r="I54" s="879" t="s">
        <v>891</v>
      </c>
      <c r="J54" s="846">
        <v>3</v>
      </c>
      <c r="K54" s="846">
        <v>2</v>
      </c>
      <c r="L54" s="816" t="str">
        <f t="shared" si="19"/>
        <v>W</v>
      </c>
      <c r="M54" s="816">
        <f t="shared" si="20"/>
        <v>5</v>
      </c>
      <c r="N54" s="816" t="str">
        <f t="shared" si="18"/>
        <v>O</v>
      </c>
      <c r="O54" s="816">
        <f t="shared" si="21"/>
        <v>0</v>
      </c>
      <c r="P54" s="829">
        <f t="shared" si="22"/>
        <v>1</v>
      </c>
      <c r="Q54" s="830">
        <v>0.13</v>
      </c>
      <c r="R54" s="871">
        <f t="shared" si="23"/>
        <v>0.87</v>
      </c>
      <c r="S54" s="830">
        <v>2.61</v>
      </c>
      <c r="T54" s="871">
        <f t="shared" si="24"/>
        <v>2.39</v>
      </c>
      <c r="U54" s="868">
        <f t="shared" si="25"/>
        <v>1.3699999999999999</v>
      </c>
      <c r="V54" s="868">
        <f t="shared" si="26"/>
        <v>1.24</v>
      </c>
      <c r="W54" s="829">
        <v>15</v>
      </c>
      <c r="X54" s="829">
        <v>13</v>
      </c>
      <c r="Y54" s="829">
        <v>5</v>
      </c>
      <c r="Z54" s="829">
        <v>5</v>
      </c>
      <c r="AA54" s="829">
        <v>49</v>
      </c>
      <c r="AB54" s="829">
        <v>51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/>
      <c r="AH54" s="891" t="s">
        <v>34</v>
      </c>
      <c r="AI54" s="891" t="s">
        <v>1877</v>
      </c>
      <c r="AJ54" s="891" t="s">
        <v>32</v>
      </c>
      <c r="AK54" s="891" t="s">
        <v>32</v>
      </c>
      <c r="AL54" s="891" t="s">
        <v>32</v>
      </c>
      <c r="AM54" s="891" t="s">
        <v>34</v>
      </c>
      <c r="AN54" s="891" t="s">
        <v>34</v>
      </c>
      <c r="AO54" s="891" t="s">
        <v>34</v>
      </c>
      <c r="AP54" s="891" t="s">
        <v>1877</v>
      </c>
      <c r="AQ54" s="891" t="s">
        <v>32</v>
      </c>
      <c r="AR54" s="891" t="s">
        <v>32</v>
      </c>
      <c r="AS54" s="891" t="s">
        <v>32</v>
      </c>
      <c r="AT54" s="891" t="s">
        <v>36</v>
      </c>
      <c r="AU54" s="891" t="s">
        <v>34</v>
      </c>
      <c r="AV54" s="891" t="s">
        <v>32</v>
      </c>
      <c r="AW54" s="891" t="s">
        <v>32</v>
      </c>
      <c r="AX54" s="891" t="s">
        <v>35</v>
      </c>
      <c r="AY54" s="891" t="s">
        <v>1877</v>
      </c>
      <c r="AZ54" s="891" t="s">
        <v>36</v>
      </c>
      <c r="BA54" s="891" t="s">
        <v>36</v>
      </c>
      <c r="BB54" s="891" t="s">
        <v>3147</v>
      </c>
      <c r="BC54" s="904" t="s">
        <v>34</v>
      </c>
      <c r="BD54" s="891" t="s">
        <v>1877</v>
      </c>
      <c r="BE54" s="891" t="s">
        <v>3147</v>
      </c>
      <c r="BF54" s="891" t="s">
        <v>32</v>
      </c>
      <c r="BG54" s="891" t="s">
        <v>3145</v>
      </c>
      <c r="BH54" s="891" t="s">
        <v>32</v>
      </c>
      <c r="BI54" s="891" t="s">
        <v>32</v>
      </c>
      <c r="BJ54" s="891" t="s">
        <v>35</v>
      </c>
      <c r="BK54" s="891" t="s">
        <v>32</v>
      </c>
      <c r="BL54" s="891" t="s">
        <v>32</v>
      </c>
      <c r="BM54" s="910" t="s">
        <v>32</v>
      </c>
      <c r="BN54" s="910" t="s">
        <v>32</v>
      </c>
      <c r="BO54" s="891"/>
      <c r="BP54" s="892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86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22</v>
      </c>
      <c r="G55" s="879" t="s">
        <v>1087</v>
      </c>
      <c r="H55" s="879" t="s">
        <v>22</v>
      </c>
      <c r="I55" s="879" t="s">
        <v>891</v>
      </c>
      <c r="J55" s="846">
        <v>1</v>
      </c>
      <c r="K55" s="846">
        <v>0</v>
      </c>
      <c r="L55" s="816" t="str">
        <f t="shared" si="19"/>
        <v>W</v>
      </c>
      <c r="M55" s="816">
        <f t="shared" si="20"/>
        <v>1</v>
      </c>
      <c r="N55" s="816" t="str">
        <f t="shared" si="18"/>
        <v>U</v>
      </c>
      <c r="O55" s="816">
        <f t="shared" si="21"/>
        <v>-0.75</v>
      </c>
      <c r="P55" s="829">
        <f t="shared" si="22"/>
        <v>0.5</v>
      </c>
      <c r="Q55" s="830">
        <v>0.85</v>
      </c>
      <c r="R55" s="871">
        <f t="shared" si="23"/>
        <v>0.15000000000000002</v>
      </c>
      <c r="S55" s="830">
        <v>2.83</v>
      </c>
      <c r="T55" s="871">
        <f t="shared" si="24"/>
        <v>-1.83</v>
      </c>
      <c r="U55" s="868">
        <f t="shared" si="25"/>
        <v>1.84</v>
      </c>
      <c r="V55" s="868">
        <f t="shared" si="26"/>
        <v>0.99</v>
      </c>
      <c r="W55" s="829">
        <v>14</v>
      </c>
      <c r="X55" s="829">
        <v>12</v>
      </c>
      <c r="Y55" s="829">
        <v>3</v>
      </c>
      <c r="Z55" s="829">
        <v>3</v>
      </c>
      <c r="AA55" s="829">
        <v>52</v>
      </c>
      <c r="AB55" s="829">
        <v>48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/>
      <c r="AH55" s="891" t="s">
        <v>34</v>
      </c>
      <c r="AI55" s="891" t="s">
        <v>1877</v>
      </c>
      <c r="AJ55" s="891" t="s">
        <v>32</v>
      </c>
      <c r="AK55" s="891" t="s">
        <v>32</v>
      </c>
      <c r="AL55" s="891" t="s">
        <v>32</v>
      </c>
      <c r="AM55" s="891" t="s">
        <v>34</v>
      </c>
      <c r="AN55" s="891" t="s">
        <v>34</v>
      </c>
      <c r="AO55" s="891" t="s">
        <v>34</v>
      </c>
      <c r="AP55" s="891" t="s">
        <v>1877</v>
      </c>
      <c r="AQ55" s="891" t="s">
        <v>32</v>
      </c>
      <c r="AR55" s="891" t="s">
        <v>32</v>
      </c>
      <c r="AS55" s="891" t="s">
        <v>32</v>
      </c>
      <c r="AT55" s="891" t="s">
        <v>36</v>
      </c>
      <c r="AU55" s="891" t="s">
        <v>34</v>
      </c>
      <c r="AV55" s="891" t="s">
        <v>32</v>
      </c>
      <c r="AW55" s="891" t="s">
        <v>32</v>
      </c>
      <c r="AX55" s="891" t="s">
        <v>35</v>
      </c>
      <c r="AY55" s="891" t="s">
        <v>1877</v>
      </c>
      <c r="AZ55" s="891" t="s">
        <v>1877</v>
      </c>
      <c r="BA55" s="891" t="s">
        <v>36</v>
      </c>
      <c r="BB55" s="891" t="s">
        <v>3195</v>
      </c>
      <c r="BC55" s="891" t="s">
        <v>34</v>
      </c>
      <c r="BD55" s="891" t="s">
        <v>36</v>
      </c>
      <c r="BE55" s="891" t="s">
        <v>35</v>
      </c>
      <c r="BF55" s="891" t="s">
        <v>32</v>
      </c>
      <c r="BG55" s="891" t="s">
        <v>35</v>
      </c>
      <c r="BH55" s="891" t="s">
        <v>32</v>
      </c>
      <c r="BI55" s="891" t="s">
        <v>32</v>
      </c>
      <c r="BJ55" s="891" t="s">
        <v>34</v>
      </c>
      <c r="BK55" s="891"/>
      <c r="BL55" s="891"/>
      <c r="BM55" s="910"/>
      <c r="BN55" s="910"/>
      <c r="BO55" s="891"/>
      <c r="BP55" s="892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</row>
    <row r="56" spans="1:86" ht="15">
      <c r="A56" s="882">
        <v>6462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3</v>
      </c>
      <c r="G56" s="879" t="s">
        <v>1085</v>
      </c>
      <c r="H56" s="879" t="s">
        <v>18</v>
      </c>
      <c r="I56" s="879" t="s">
        <v>891</v>
      </c>
      <c r="J56" s="846">
        <v>1</v>
      </c>
      <c r="K56" s="846">
        <v>0</v>
      </c>
      <c r="L56" s="816" t="str">
        <f t="shared" si="19"/>
        <v>W</v>
      </c>
      <c r="M56" s="816">
        <f t="shared" si="20"/>
        <v>1</v>
      </c>
      <c r="N56" s="816" t="str">
        <f t="shared" si="18"/>
        <v>U</v>
      </c>
      <c r="O56" s="816">
        <f t="shared" si="21"/>
        <v>0.5</v>
      </c>
      <c r="P56" s="829">
        <f t="shared" si="22"/>
        <v>1</v>
      </c>
      <c r="Q56" s="830">
        <v>-0.53</v>
      </c>
      <c r="R56" s="871">
        <f t="shared" si="23"/>
        <v>1.53</v>
      </c>
      <c r="S56" s="830">
        <v>2.88</v>
      </c>
      <c r="T56" s="871">
        <f t="shared" si="24"/>
        <v>-1.88</v>
      </c>
      <c r="U56" s="868">
        <f t="shared" si="25"/>
        <v>1.1749999999999998</v>
      </c>
      <c r="V56" s="868">
        <f t="shared" si="26"/>
        <v>1.7050000000000001</v>
      </c>
      <c r="W56" s="829">
        <v>11</v>
      </c>
      <c r="X56" s="829">
        <v>18</v>
      </c>
      <c r="Y56" s="829">
        <v>4</v>
      </c>
      <c r="Z56" s="829">
        <v>4</v>
      </c>
      <c r="AA56" s="829">
        <v>41</v>
      </c>
      <c r="AB56" s="829">
        <v>59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32</v>
      </c>
      <c r="AH56" s="904" t="s">
        <v>34</v>
      </c>
      <c r="AI56" s="891" t="s">
        <v>1877</v>
      </c>
      <c r="AJ56" s="891" t="s">
        <v>32</v>
      </c>
      <c r="AK56" s="891" t="s">
        <v>32</v>
      </c>
      <c r="AL56" s="891" t="s">
        <v>32</v>
      </c>
      <c r="AM56" s="891" t="s">
        <v>34</v>
      </c>
      <c r="AN56" s="891" t="s">
        <v>3222</v>
      </c>
      <c r="AO56" s="904" t="s">
        <v>35</v>
      </c>
      <c r="AP56" s="891" t="s">
        <v>34</v>
      </c>
      <c r="AQ56" s="891" t="s">
        <v>32</v>
      </c>
      <c r="AR56" s="891" t="s">
        <v>32</v>
      </c>
      <c r="AS56" s="891" t="s">
        <v>32</v>
      </c>
      <c r="AT56" s="891" t="s">
        <v>1877</v>
      </c>
      <c r="AU56" s="891" t="s">
        <v>34</v>
      </c>
      <c r="AV56" s="891" t="s">
        <v>32</v>
      </c>
      <c r="AW56" s="891" t="s">
        <v>32</v>
      </c>
      <c r="AX56" s="891" t="s">
        <v>1877</v>
      </c>
      <c r="AY56" s="891" t="s">
        <v>36</v>
      </c>
      <c r="AZ56" s="891" t="s">
        <v>35</v>
      </c>
      <c r="BA56" s="891" t="s">
        <v>36</v>
      </c>
      <c r="BB56" s="891" t="s">
        <v>34</v>
      </c>
      <c r="BC56" s="891" t="s">
        <v>34</v>
      </c>
      <c r="BD56" s="891" t="s">
        <v>32</v>
      </c>
      <c r="BE56" s="891" t="s">
        <v>36</v>
      </c>
      <c r="BF56" s="891" t="s">
        <v>32</v>
      </c>
      <c r="BG56" s="891" t="s">
        <v>35</v>
      </c>
      <c r="BH56" s="891" t="s">
        <v>1877</v>
      </c>
      <c r="BI56" s="891" t="s">
        <v>3226</v>
      </c>
      <c r="BJ56" s="891" t="s">
        <v>34</v>
      </c>
      <c r="BK56" s="891" t="s">
        <v>32</v>
      </c>
      <c r="BL56" s="891"/>
      <c r="BM56" s="910"/>
      <c r="BN56" s="910"/>
      <c r="BO56" s="891"/>
      <c r="BP56" s="892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86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2</v>
      </c>
      <c r="G57" s="879" t="s">
        <v>886</v>
      </c>
      <c r="H57" s="879" t="s">
        <v>22</v>
      </c>
      <c r="I57" s="879" t="s">
        <v>891</v>
      </c>
      <c r="J57" s="846">
        <v>1</v>
      </c>
      <c r="K57" s="846">
        <v>2</v>
      </c>
      <c r="L57" s="816" t="str">
        <f t="shared" si="19"/>
        <v>L</v>
      </c>
      <c r="M57" s="816">
        <f t="shared" si="20"/>
        <v>3</v>
      </c>
      <c r="N57" s="816" t="str">
        <f t="shared" si="18"/>
        <v>O</v>
      </c>
      <c r="O57" s="816">
        <f t="shared" si="21"/>
        <v>-0.25</v>
      </c>
      <c r="P57" s="829">
        <f t="shared" si="22"/>
        <v>-1</v>
      </c>
      <c r="Q57" s="830">
        <v>0.23</v>
      </c>
      <c r="R57" s="871">
        <f t="shared" si="23"/>
        <v>-1.23</v>
      </c>
      <c r="S57" s="830">
        <v>2.4</v>
      </c>
      <c r="T57" s="871">
        <f t="shared" si="24"/>
        <v>0.60000000000000009</v>
      </c>
      <c r="U57" s="868">
        <f t="shared" si="25"/>
        <v>1.3149999999999999</v>
      </c>
      <c r="V57" s="868">
        <f t="shared" si="26"/>
        <v>1.085</v>
      </c>
      <c r="W57" s="829">
        <v>13</v>
      </c>
      <c r="X57" s="829">
        <v>14</v>
      </c>
      <c r="Y57" s="829">
        <v>4</v>
      </c>
      <c r="Z57" s="829">
        <v>4</v>
      </c>
      <c r="AA57" s="829">
        <v>56</v>
      </c>
      <c r="AB57" s="829">
        <v>44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32</v>
      </c>
      <c r="AH57" s="891" t="s">
        <v>34</v>
      </c>
      <c r="AI57" s="891" t="s">
        <v>1877</v>
      </c>
      <c r="AJ57" s="891" t="s">
        <v>32</v>
      </c>
      <c r="AK57" s="891" t="s">
        <v>32</v>
      </c>
      <c r="AL57" s="891" t="s">
        <v>32</v>
      </c>
      <c r="AM57" s="891" t="s">
        <v>34</v>
      </c>
      <c r="AN57" s="891" t="s">
        <v>34</v>
      </c>
      <c r="AO57" s="891" t="s">
        <v>34</v>
      </c>
      <c r="AP57" s="891" t="s">
        <v>34</v>
      </c>
      <c r="AQ57" s="891" t="s">
        <v>32</v>
      </c>
      <c r="AR57" s="891" t="s">
        <v>32</v>
      </c>
      <c r="AS57" s="891" t="s">
        <v>1877</v>
      </c>
      <c r="AT57" s="891" t="s">
        <v>36</v>
      </c>
      <c r="AU57" s="891" t="s">
        <v>35</v>
      </c>
      <c r="AV57" s="891" t="s">
        <v>32</v>
      </c>
      <c r="AW57" s="891" t="s">
        <v>32</v>
      </c>
      <c r="AX57" s="891" t="s">
        <v>1877</v>
      </c>
      <c r="AY57" s="891" t="s">
        <v>32</v>
      </c>
      <c r="AZ57" s="891" t="s">
        <v>1877</v>
      </c>
      <c r="BA57" s="891" t="s">
        <v>3344</v>
      </c>
      <c r="BB57" s="891" t="s">
        <v>34</v>
      </c>
      <c r="BC57" s="891" t="s">
        <v>3252</v>
      </c>
      <c r="BD57" s="891" t="s">
        <v>36</v>
      </c>
      <c r="BE57" s="891" t="s">
        <v>35</v>
      </c>
      <c r="BF57" s="891" t="s">
        <v>36</v>
      </c>
      <c r="BG57" s="891" t="s">
        <v>35</v>
      </c>
      <c r="BH57" s="891" t="s">
        <v>32</v>
      </c>
      <c r="BI57" s="891" t="s">
        <v>34</v>
      </c>
      <c r="BJ57" s="891"/>
      <c r="BK57" s="891"/>
      <c r="BL57" s="891"/>
      <c r="BM57" s="910"/>
      <c r="BN57" s="910"/>
      <c r="BO57" s="891"/>
      <c r="BP57" s="892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86" ht="15">
      <c r="A58" s="882">
        <v>6476</v>
      </c>
      <c r="B58" s="884"/>
      <c r="C58" s="884"/>
      <c r="D58" s="884"/>
      <c r="E58" s="884"/>
      <c r="F58" s="884">
        <f ca="1">IF(I58="","",IF(I58=Table!$C$1,VLOOKUP(G58,Table!$B$9:$AE$32,Table!$AE$6-1,FALSE),""))</f>
        <v>17</v>
      </c>
      <c r="G58" s="879" t="s">
        <v>875</v>
      </c>
      <c r="H58" s="879" t="s">
        <v>18</v>
      </c>
      <c r="I58" s="879" t="s">
        <v>891</v>
      </c>
      <c r="J58" s="905">
        <v>1</v>
      </c>
      <c r="K58" s="846">
        <v>1</v>
      </c>
      <c r="L58" s="816" t="str">
        <f t="shared" si="19"/>
        <v>D</v>
      </c>
      <c r="M58" s="816">
        <f t="shared" si="20"/>
        <v>2</v>
      </c>
      <c r="N58" s="816" t="str">
        <f t="shared" si="18"/>
        <v>U</v>
      </c>
      <c r="O58" s="816">
        <f t="shared" si="21"/>
        <v>-0.25</v>
      </c>
      <c r="P58" s="829">
        <f t="shared" si="22"/>
        <v>-0.5</v>
      </c>
      <c r="Q58" s="830">
        <v>0.26</v>
      </c>
      <c r="R58" s="871">
        <f t="shared" ref="R58" si="27">IF(ISBLANK(Q58),"",J58-K58-Q58)</f>
        <v>-0.26</v>
      </c>
      <c r="S58" s="830">
        <v>2.64</v>
      </c>
      <c r="T58" s="871">
        <f t="shared" si="24"/>
        <v>-0.64000000000000012</v>
      </c>
      <c r="U58" s="868">
        <f t="shared" si="25"/>
        <v>1.4500000000000002</v>
      </c>
      <c r="V58" s="868">
        <f t="shared" si="26"/>
        <v>1.19</v>
      </c>
      <c r="W58" s="829">
        <v>17</v>
      </c>
      <c r="X58" s="829">
        <v>10</v>
      </c>
      <c r="Y58" s="829">
        <v>8</v>
      </c>
      <c r="Z58" s="829">
        <v>3</v>
      </c>
      <c r="AA58" s="829">
        <v>66</v>
      </c>
      <c r="AB58" s="829">
        <v>34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32</v>
      </c>
      <c r="AH58" s="891" t="s">
        <v>34</v>
      </c>
      <c r="AI58" s="891" t="s">
        <v>1877</v>
      </c>
      <c r="AJ58" s="891" t="s">
        <v>32</v>
      </c>
      <c r="AK58" s="891" t="s">
        <v>32</v>
      </c>
      <c r="AL58" s="891" t="s">
        <v>32</v>
      </c>
      <c r="AM58" s="891" t="s">
        <v>34</v>
      </c>
      <c r="AN58" s="891" t="s">
        <v>34</v>
      </c>
      <c r="AO58" s="891" t="s">
        <v>34</v>
      </c>
      <c r="AP58" s="891" t="s">
        <v>36</v>
      </c>
      <c r="AQ58" s="891" t="s">
        <v>32</v>
      </c>
      <c r="AR58" s="891" t="s">
        <v>32</v>
      </c>
      <c r="AS58" s="891" t="s">
        <v>1877</v>
      </c>
      <c r="AT58" s="891" t="s">
        <v>36</v>
      </c>
      <c r="AU58" s="891" t="s">
        <v>34</v>
      </c>
      <c r="AV58" s="891" t="s">
        <v>32</v>
      </c>
      <c r="AW58" s="891" t="s">
        <v>32</v>
      </c>
      <c r="AX58" s="891" t="s">
        <v>35</v>
      </c>
      <c r="AY58" s="891" t="s">
        <v>32</v>
      </c>
      <c r="AZ58" s="891" t="s">
        <v>1877</v>
      </c>
      <c r="BA58" s="891" t="s">
        <v>3344</v>
      </c>
      <c r="BB58" s="891" t="s">
        <v>34</v>
      </c>
      <c r="BC58" s="891" t="s">
        <v>34</v>
      </c>
      <c r="BD58" s="891" t="s">
        <v>35</v>
      </c>
      <c r="BE58" s="891" t="s">
        <v>3334</v>
      </c>
      <c r="BF58" s="891" t="s">
        <v>32</v>
      </c>
      <c r="BG58" s="891" t="s">
        <v>35</v>
      </c>
      <c r="BH58" s="891" t="s">
        <v>1877</v>
      </c>
      <c r="BI58" s="891" t="s">
        <v>34</v>
      </c>
      <c r="BJ58" s="891"/>
      <c r="BK58" s="891"/>
      <c r="BL58" s="891"/>
      <c r="BM58" s="910"/>
      <c r="BN58" s="910"/>
      <c r="BO58" s="891"/>
      <c r="BP58" s="892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86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13</v>
      </c>
      <c r="G59" s="879" t="s">
        <v>884</v>
      </c>
      <c r="H59" s="879" t="s">
        <v>18</v>
      </c>
      <c r="I59" s="879" t="s">
        <v>891</v>
      </c>
      <c r="J59" s="905">
        <v>3</v>
      </c>
      <c r="K59" s="905">
        <v>0</v>
      </c>
      <c r="L59" s="816" t="str">
        <f t="shared" si="19"/>
        <v>W</v>
      </c>
      <c r="M59" s="816">
        <f t="shared" si="20"/>
        <v>3</v>
      </c>
      <c r="N59" s="816" t="str">
        <f t="shared" si="18"/>
        <v>O</v>
      </c>
      <c r="O59" s="816">
        <f t="shared" si="21"/>
        <v>0</v>
      </c>
      <c r="P59" s="829">
        <f t="shared" si="22"/>
        <v>1</v>
      </c>
      <c r="Q59" s="830">
        <v>-0.08</v>
      </c>
      <c r="R59" s="871">
        <f t="shared" ref="R59" si="28">IF(ISBLANK(Q59),"",J59-K59-Q59)</f>
        <v>3.08</v>
      </c>
      <c r="S59" s="830">
        <v>2.4300000000000002</v>
      </c>
      <c r="T59" s="871">
        <f t="shared" si="24"/>
        <v>0.56999999999999984</v>
      </c>
      <c r="U59" s="868">
        <f t="shared" si="25"/>
        <v>1.175</v>
      </c>
      <c r="V59" s="868">
        <f t="shared" si="26"/>
        <v>1.2550000000000001</v>
      </c>
      <c r="W59" s="829">
        <v>13</v>
      </c>
      <c r="X59" s="829">
        <v>9</v>
      </c>
      <c r="Y59" s="829">
        <v>7</v>
      </c>
      <c r="Z59" s="829">
        <v>3</v>
      </c>
      <c r="AA59" s="829">
        <v>48</v>
      </c>
      <c r="AB59" s="829">
        <v>52</v>
      </c>
      <c r="AC59" s="829"/>
      <c r="AD59" s="816" t="str">
        <f t="array" ref="AD59">IF($J59="","",IF(SUM(IF(ISNUMBER(VALUE(RIGHT($AG59:$DW59,1))),VALUE(RIGHT($AG59:$DW59,1)),0))=$J59,"T","F"))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IF($J59="","",SUM(IF(LEFT($AG59:$DW59,1)="X",1,0)))</f>
        <v>11</v>
      </c>
      <c r="AG59" s="891"/>
      <c r="AH59" s="891" t="s">
        <v>34</v>
      </c>
      <c r="AI59" s="891" t="s">
        <v>1877</v>
      </c>
      <c r="AJ59" s="891" t="s">
        <v>32</v>
      </c>
      <c r="AK59" s="891" t="s">
        <v>32</v>
      </c>
      <c r="AL59" s="891" t="s">
        <v>32</v>
      </c>
      <c r="AM59" s="891" t="s">
        <v>34</v>
      </c>
      <c r="AN59" s="891" t="s">
        <v>34</v>
      </c>
      <c r="AO59" s="891" t="s">
        <v>34</v>
      </c>
      <c r="AP59" s="891" t="s">
        <v>1877</v>
      </c>
      <c r="AQ59" s="891" t="s">
        <v>32</v>
      </c>
      <c r="AR59" s="891" t="s">
        <v>32</v>
      </c>
      <c r="AS59" s="891" t="s">
        <v>1877</v>
      </c>
      <c r="AT59" s="891" t="s">
        <v>36</v>
      </c>
      <c r="AU59" s="891" t="s">
        <v>3356</v>
      </c>
      <c r="AV59" s="891" t="s">
        <v>36</v>
      </c>
      <c r="AW59" s="891" t="s">
        <v>32</v>
      </c>
      <c r="AX59" s="891" t="s">
        <v>35</v>
      </c>
      <c r="AY59" s="891" t="s">
        <v>1877</v>
      </c>
      <c r="AZ59" s="891" t="s">
        <v>32</v>
      </c>
      <c r="BA59" s="891" t="s">
        <v>3344</v>
      </c>
      <c r="BB59" s="891" t="s">
        <v>3362</v>
      </c>
      <c r="BC59" s="891" t="s">
        <v>34</v>
      </c>
      <c r="BD59" s="891" t="s">
        <v>35</v>
      </c>
      <c r="BE59" s="891" t="s">
        <v>36</v>
      </c>
      <c r="BF59" s="891" t="s">
        <v>32</v>
      </c>
      <c r="BG59" s="891" t="s">
        <v>35</v>
      </c>
      <c r="BH59" s="891" t="s">
        <v>32</v>
      </c>
      <c r="BI59" s="891" t="s">
        <v>3356</v>
      </c>
      <c r="BJ59" s="891"/>
      <c r="BK59" s="891"/>
      <c r="BL59" s="891"/>
      <c r="BM59" s="910"/>
      <c r="BN59" s="910"/>
      <c r="BO59" s="891"/>
      <c r="BP59" s="892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86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18</v>
      </c>
      <c r="G60" s="879" t="s">
        <v>887</v>
      </c>
      <c r="H60" s="879" t="s">
        <v>22</v>
      </c>
      <c r="I60" s="879" t="s">
        <v>891</v>
      </c>
      <c r="J60" s="905">
        <v>3</v>
      </c>
      <c r="K60" s="905">
        <v>3</v>
      </c>
      <c r="L60" s="816" t="str">
        <f t="shared" si="19"/>
        <v>D</v>
      </c>
      <c r="M60" s="816">
        <f t="shared" si="20"/>
        <v>6</v>
      </c>
      <c r="N60" s="816" t="str">
        <f t="shared" si="18"/>
        <v>O</v>
      </c>
      <c r="O60" s="816">
        <f t="shared" si="21"/>
        <v>-0.25</v>
      </c>
      <c r="P60" s="829">
        <f t="shared" si="22"/>
        <v>-0.5</v>
      </c>
      <c r="Q60" s="830">
        <v>0.35</v>
      </c>
      <c r="R60" s="871">
        <f t="shared" ref="R60:R66" si="29">IF(ISBLANK(Q60),"",J60-K60-Q60)</f>
        <v>-0.35</v>
      </c>
      <c r="S60" s="830">
        <v>2.8</v>
      </c>
      <c r="T60" s="829">
        <f t="shared" si="24"/>
        <v>3.2</v>
      </c>
      <c r="U60" s="868">
        <f t="shared" si="25"/>
        <v>1.575</v>
      </c>
      <c r="V60" s="868">
        <f t="shared" si="26"/>
        <v>1.2249999999999999</v>
      </c>
      <c r="W60" s="829">
        <v>15</v>
      </c>
      <c r="X60" s="829">
        <v>18</v>
      </c>
      <c r="Y60" s="829">
        <v>10</v>
      </c>
      <c r="Z60" s="829">
        <v>5</v>
      </c>
      <c r="AA60" s="829">
        <v>35</v>
      </c>
      <c r="AB60" s="829">
        <v>65</v>
      </c>
      <c r="AC60" s="829"/>
      <c r="AD60" s="816" t="str">
        <f t="array" ref="AD60">IF($J60="","",IF(SUM(IF(ISNUMBER(VALUE(RIGHT($AG60:$DW60,1))),VALUE(RIGHT($AG60:$DW60,1)),0))=$J60,"T","F"))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IF($J60="","",SUM(IF(LEFT($AG60:$DW60,1)="X",1,0)))</f>
        <v>11</v>
      </c>
      <c r="AG60" s="891" t="s">
        <v>32</v>
      </c>
      <c r="AH60" s="891" t="s">
        <v>34</v>
      </c>
      <c r="AI60" s="891" t="s">
        <v>1877</v>
      </c>
      <c r="AJ60" s="891" t="s">
        <v>32</v>
      </c>
      <c r="AK60" s="891" t="s">
        <v>32</v>
      </c>
      <c r="AL60" s="891" t="s">
        <v>32</v>
      </c>
      <c r="AM60" s="891" t="s">
        <v>35</v>
      </c>
      <c r="AN60" s="891" t="s">
        <v>34</v>
      </c>
      <c r="AO60" s="891" t="s">
        <v>34</v>
      </c>
      <c r="AP60" s="891" t="s">
        <v>34</v>
      </c>
      <c r="AQ60" s="891" t="s">
        <v>32</v>
      </c>
      <c r="AR60" s="891" t="s">
        <v>32</v>
      </c>
      <c r="AS60" s="891" t="s">
        <v>32</v>
      </c>
      <c r="AT60" s="891" t="s">
        <v>36</v>
      </c>
      <c r="AU60" s="891" t="s">
        <v>34</v>
      </c>
      <c r="AV60" s="891" t="s">
        <v>36</v>
      </c>
      <c r="AW60" s="891" t="s">
        <v>32</v>
      </c>
      <c r="AX60" s="891" t="s">
        <v>35</v>
      </c>
      <c r="AY60" s="891" t="s">
        <v>1877</v>
      </c>
      <c r="AZ60" s="891" t="s">
        <v>1877</v>
      </c>
      <c r="BA60" s="891" t="s">
        <v>1886</v>
      </c>
      <c r="BB60" s="904" t="s">
        <v>34</v>
      </c>
      <c r="BC60" s="891" t="s">
        <v>3400</v>
      </c>
      <c r="BD60" s="891" t="s">
        <v>1877</v>
      </c>
      <c r="BE60" s="891" t="s">
        <v>36</v>
      </c>
      <c r="BF60" s="891" t="s">
        <v>32</v>
      </c>
      <c r="BG60" s="891" t="s">
        <v>35</v>
      </c>
      <c r="BH60" s="891" t="s">
        <v>32</v>
      </c>
      <c r="BI60" s="891" t="s">
        <v>3400</v>
      </c>
      <c r="BJ60" s="891"/>
      <c r="BK60" s="891">
        <v>1</v>
      </c>
      <c r="BL60" s="891"/>
      <c r="BM60" s="910"/>
      <c r="BN60" s="910"/>
      <c r="BO60" s="891"/>
      <c r="BP60" s="892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428"/>
      <c r="CF60" s="428"/>
      <c r="CG60" s="428"/>
      <c r="CH60" s="428"/>
    </row>
    <row r="61" spans="1:86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4</v>
      </c>
      <c r="G61" s="879" t="s">
        <v>1084</v>
      </c>
      <c r="H61" s="879" t="s">
        <v>22</v>
      </c>
      <c r="I61" s="879" t="s">
        <v>891</v>
      </c>
      <c r="J61" s="905">
        <v>1</v>
      </c>
      <c r="K61" s="905">
        <v>1</v>
      </c>
      <c r="L61" s="816" t="str">
        <f t="shared" si="19"/>
        <v>D</v>
      </c>
      <c r="M61" s="816">
        <f t="shared" si="20"/>
        <v>2</v>
      </c>
      <c r="N61" s="816" t="str">
        <f t="shared" si="18"/>
        <v>U</v>
      </c>
      <c r="O61" s="816">
        <f t="shared" si="21"/>
        <v>0.25</v>
      </c>
      <c r="P61" s="829">
        <f t="shared" si="22"/>
        <v>0.5</v>
      </c>
      <c r="Q61" s="830">
        <v>-0.22</v>
      </c>
      <c r="R61" s="871">
        <f t="shared" si="29"/>
        <v>0.22</v>
      </c>
      <c r="S61" s="830">
        <v>2.61</v>
      </c>
      <c r="T61" s="829">
        <f t="shared" si="24"/>
        <v>-0.60999999999999988</v>
      </c>
      <c r="U61" s="868">
        <f t="shared" si="25"/>
        <v>1.1949999999999998</v>
      </c>
      <c r="V61" s="868">
        <f t="shared" si="26"/>
        <v>1.415</v>
      </c>
      <c r="W61" s="829">
        <v>15</v>
      </c>
      <c r="X61" s="829">
        <v>14</v>
      </c>
      <c r="Y61" s="829">
        <v>2</v>
      </c>
      <c r="Z61" s="829">
        <v>2</v>
      </c>
      <c r="AA61" s="829">
        <v>52</v>
      </c>
      <c r="AB61" s="829">
        <v>48</v>
      </c>
      <c r="AC61" s="829"/>
      <c r="AD61" s="816" t="str">
        <f t="array" ref="AD61">IF($J61="","",IF(SUM(IF(ISNUMBER(VALUE(RIGHT($AG61:$DW61,1))),VALUE(RIGHT($AG61:$DW61,1)),0))=$J61,"T","F"))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IF($J61="","",SUM(IF(LEFT($AG61:$DW61,1)="X",1,0)))</f>
        <v>11</v>
      </c>
      <c r="AG61" s="891" t="s">
        <v>32</v>
      </c>
      <c r="AH61" s="891" t="s">
        <v>34</v>
      </c>
      <c r="AI61" s="891" t="s">
        <v>1877</v>
      </c>
      <c r="AJ61" s="891" t="s">
        <v>32</v>
      </c>
      <c r="AK61" s="891" t="s">
        <v>1877</v>
      </c>
      <c r="AL61" s="891" t="s">
        <v>32</v>
      </c>
      <c r="AM61" s="891" t="s">
        <v>34</v>
      </c>
      <c r="AN61" s="891" t="s">
        <v>34</v>
      </c>
      <c r="AO61" s="891" t="s">
        <v>34</v>
      </c>
      <c r="AP61" s="891" t="s">
        <v>34</v>
      </c>
      <c r="AQ61" s="891" t="s">
        <v>32</v>
      </c>
      <c r="AR61" s="891" t="s">
        <v>36</v>
      </c>
      <c r="AS61" s="891" t="s">
        <v>32</v>
      </c>
      <c r="AT61" s="891" t="s">
        <v>1877</v>
      </c>
      <c r="AU61" s="891" t="s">
        <v>34</v>
      </c>
      <c r="AV61" s="904" t="s">
        <v>35</v>
      </c>
      <c r="AW61" s="891" t="s">
        <v>32</v>
      </c>
      <c r="AX61" s="891" t="s">
        <v>1877</v>
      </c>
      <c r="AY61" s="891" t="s">
        <v>32</v>
      </c>
      <c r="AZ61" s="891" t="s">
        <v>35</v>
      </c>
      <c r="BA61" s="891" t="s">
        <v>1886</v>
      </c>
      <c r="BB61" s="891" t="s">
        <v>3421</v>
      </c>
      <c r="BC61" s="891" t="s">
        <v>34</v>
      </c>
      <c r="BD61" s="891" t="s">
        <v>32</v>
      </c>
      <c r="BE61" s="891" t="s">
        <v>36</v>
      </c>
      <c r="BF61" s="891" t="s">
        <v>32</v>
      </c>
      <c r="BG61" s="891" t="s">
        <v>3422</v>
      </c>
      <c r="BH61" s="891" t="s">
        <v>32</v>
      </c>
      <c r="BI61" s="891" t="s">
        <v>34</v>
      </c>
      <c r="BJ61" s="891" t="s">
        <v>36</v>
      </c>
      <c r="BK61" s="891"/>
      <c r="BL61" s="891"/>
      <c r="BM61" s="910"/>
      <c r="BN61" s="910"/>
      <c r="BO61" s="891"/>
      <c r="BP61" s="892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428"/>
      <c r="CF61" s="428"/>
      <c r="CG61" s="428"/>
      <c r="CH61" s="428"/>
    </row>
    <row r="62" spans="1:86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8</v>
      </c>
      <c r="G62" s="879" t="s">
        <v>880</v>
      </c>
      <c r="H62" s="879" t="s">
        <v>18</v>
      </c>
      <c r="I62" s="879" t="s">
        <v>891</v>
      </c>
      <c r="J62" s="905">
        <v>2</v>
      </c>
      <c r="K62" s="905">
        <v>0</v>
      </c>
      <c r="L62" s="816" t="str">
        <f t="shared" si="19"/>
        <v>W</v>
      </c>
      <c r="M62" s="816">
        <f t="shared" si="20"/>
        <v>2</v>
      </c>
      <c r="N62" s="816" t="str">
        <f t="shared" si="18"/>
        <v>U</v>
      </c>
      <c r="O62" s="816">
        <f t="shared" ref="O62:O66" si="30">IF(Q62="","",IF(SIGN(Q62)&lt;&gt;1,VLOOKUP(ABS(Q62),SUP_HDC,3,TRUE),-VLOOKUP(ABS(Q62),SUP_HDC,3,TRUE)))</f>
        <v>0.5</v>
      </c>
      <c r="P62" s="829">
        <f t="shared" ref="P62:P66" si="31">IF(O62="","",IF((J62-K62+O62)&gt;=0.5,1,IF((J62-K62+O62)=0.25,0.5,IF((J62-K62+O62)&lt;=-0.5,-1,IF((J62-K62+O62)=-0.25,-0.5,0)))))</f>
        <v>1</v>
      </c>
      <c r="Q62" s="830">
        <v>-0.45</v>
      </c>
      <c r="R62" s="871">
        <f t="shared" si="29"/>
        <v>2.4500000000000002</v>
      </c>
      <c r="S62" s="830">
        <v>2.78</v>
      </c>
      <c r="T62" s="829">
        <f t="shared" si="24"/>
        <v>-0.7799999999999998</v>
      </c>
      <c r="U62" s="829">
        <f t="shared" si="25"/>
        <v>1.1649999999999998</v>
      </c>
      <c r="V62" s="829">
        <f t="shared" si="26"/>
        <v>1.615</v>
      </c>
      <c r="W62" s="829">
        <v>22</v>
      </c>
      <c r="X62" s="829">
        <v>18</v>
      </c>
      <c r="Y62" s="829">
        <v>9</v>
      </c>
      <c r="Z62" s="829">
        <v>5</v>
      </c>
      <c r="AA62" s="829">
        <v>52</v>
      </c>
      <c r="AB62" s="829">
        <v>48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32</v>
      </c>
      <c r="AH62" s="891" t="s">
        <v>34</v>
      </c>
      <c r="AI62" s="891" t="s">
        <v>1877</v>
      </c>
      <c r="AJ62" s="891" t="s">
        <v>32</v>
      </c>
      <c r="AK62" s="891" t="s">
        <v>36</v>
      </c>
      <c r="AL62" s="891" t="s">
        <v>32</v>
      </c>
      <c r="AM62" s="904" t="s">
        <v>34</v>
      </c>
      <c r="AN62" s="891" t="s">
        <v>34</v>
      </c>
      <c r="AO62" s="891" t="s">
        <v>34</v>
      </c>
      <c r="AP62" s="891" t="s">
        <v>3472</v>
      </c>
      <c r="AQ62" s="891" t="s">
        <v>32</v>
      </c>
      <c r="AR62" s="891" t="s">
        <v>1877</v>
      </c>
      <c r="AS62" s="891" t="s">
        <v>32</v>
      </c>
      <c r="AT62" s="891" t="s">
        <v>1877</v>
      </c>
      <c r="AU62" s="891" t="s">
        <v>3472</v>
      </c>
      <c r="AV62" s="891" t="s">
        <v>32</v>
      </c>
      <c r="AW62" s="891" t="s">
        <v>32</v>
      </c>
      <c r="AX62" s="891" t="s">
        <v>32</v>
      </c>
      <c r="AY62" s="891" t="s">
        <v>32</v>
      </c>
      <c r="AZ62" s="891" t="s">
        <v>36</v>
      </c>
      <c r="BA62" s="891" t="s">
        <v>3469</v>
      </c>
      <c r="BB62" s="891" t="s">
        <v>34</v>
      </c>
      <c r="BC62" s="891" t="s">
        <v>35</v>
      </c>
      <c r="BD62" s="891" t="s">
        <v>32</v>
      </c>
      <c r="BE62" s="904" t="s">
        <v>35</v>
      </c>
      <c r="BF62" s="891" t="s">
        <v>1877</v>
      </c>
      <c r="BG62" s="891" t="s">
        <v>32</v>
      </c>
      <c r="BH62" s="891" t="s">
        <v>36</v>
      </c>
      <c r="BI62" s="891" t="s">
        <v>34</v>
      </c>
      <c r="BJ62" s="891" t="s">
        <v>35</v>
      </c>
      <c r="BK62" s="891"/>
      <c r="BL62" s="891"/>
      <c r="BM62" s="910"/>
      <c r="BN62" s="910"/>
      <c r="BO62" s="891"/>
      <c r="BP62" s="892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428"/>
      <c r="CF62" s="428"/>
      <c r="CG62" s="428"/>
      <c r="CH62" s="428"/>
    </row>
    <row r="63" spans="1:86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6</v>
      </c>
      <c r="G63" s="879" t="s">
        <v>876</v>
      </c>
      <c r="H63" s="879" t="s">
        <v>22</v>
      </c>
      <c r="I63" s="879" t="s">
        <v>891</v>
      </c>
      <c r="J63" s="905">
        <v>1</v>
      </c>
      <c r="K63" s="905">
        <v>2</v>
      </c>
      <c r="L63" s="816" t="str">
        <f t="shared" si="19"/>
        <v>L</v>
      </c>
      <c r="M63" s="816">
        <f t="shared" si="20"/>
        <v>3</v>
      </c>
      <c r="N63" s="816" t="str">
        <f t="shared" si="18"/>
        <v>O</v>
      </c>
      <c r="O63" s="816">
        <f t="shared" si="30"/>
        <v>0</v>
      </c>
      <c r="P63" s="829">
        <f t="shared" si="31"/>
        <v>-1</v>
      </c>
      <c r="Q63" s="830">
        <v>-0.13</v>
      </c>
      <c r="R63" s="871">
        <f t="shared" si="29"/>
        <v>-0.87</v>
      </c>
      <c r="S63" s="830">
        <v>2.85</v>
      </c>
      <c r="T63" s="829">
        <f t="shared" si="24"/>
        <v>0.14999999999999991</v>
      </c>
      <c r="U63" s="829">
        <f t="shared" si="25"/>
        <v>1.36</v>
      </c>
      <c r="V63" s="829">
        <f t="shared" si="26"/>
        <v>1.49</v>
      </c>
      <c r="W63" s="829">
        <v>11</v>
      </c>
      <c r="X63" s="829">
        <v>16</v>
      </c>
      <c r="Y63" s="829">
        <v>4</v>
      </c>
      <c r="Z63" s="829">
        <v>5</v>
      </c>
      <c r="AA63" s="829">
        <v>48</v>
      </c>
      <c r="AB63" s="829">
        <v>52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32</v>
      </c>
      <c r="AH63" s="891" t="s">
        <v>34</v>
      </c>
      <c r="AI63" s="891" t="s">
        <v>1877</v>
      </c>
      <c r="AJ63" s="891" t="s">
        <v>32</v>
      </c>
      <c r="AK63" s="891" t="s">
        <v>1877</v>
      </c>
      <c r="AL63" s="891" t="s">
        <v>32</v>
      </c>
      <c r="AM63" s="891" t="s">
        <v>35</v>
      </c>
      <c r="AN63" s="891" t="s">
        <v>34</v>
      </c>
      <c r="AO63" s="891" t="s">
        <v>34</v>
      </c>
      <c r="AP63" s="891" t="s">
        <v>35</v>
      </c>
      <c r="AQ63" s="891" t="s">
        <v>32</v>
      </c>
      <c r="AR63" s="904" t="s">
        <v>36</v>
      </c>
      <c r="AS63" s="891" t="s">
        <v>32</v>
      </c>
      <c r="AT63" s="891" t="s">
        <v>36</v>
      </c>
      <c r="AU63" s="891" t="s">
        <v>34</v>
      </c>
      <c r="AV63" s="891" t="s">
        <v>1877</v>
      </c>
      <c r="AW63" s="891" t="s">
        <v>32</v>
      </c>
      <c r="AX63" s="891" t="s">
        <v>32</v>
      </c>
      <c r="AY63" s="891" t="s">
        <v>32</v>
      </c>
      <c r="AZ63" s="891" t="s">
        <v>32</v>
      </c>
      <c r="BA63" s="891" t="s">
        <v>32</v>
      </c>
      <c r="BB63" s="891" t="s">
        <v>34</v>
      </c>
      <c r="BC63" s="891" t="s">
        <v>3484</v>
      </c>
      <c r="BD63" s="891" t="s">
        <v>32</v>
      </c>
      <c r="BE63" s="891" t="s">
        <v>34</v>
      </c>
      <c r="BF63" s="891" t="s">
        <v>1877</v>
      </c>
      <c r="BG63" s="891" t="s">
        <v>32</v>
      </c>
      <c r="BH63" s="891" t="s">
        <v>36</v>
      </c>
      <c r="BI63" s="891" t="s">
        <v>34</v>
      </c>
      <c r="BJ63" s="891" t="s">
        <v>35</v>
      </c>
      <c r="BK63" s="891"/>
      <c r="BL63" s="891"/>
      <c r="BM63" s="910"/>
      <c r="BN63" s="910"/>
      <c r="BO63" s="891"/>
      <c r="BP63" s="892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</row>
    <row r="64" spans="1:86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11</v>
      </c>
      <c r="G64" s="879" t="s">
        <v>874</v>
      </c>
      <c r="H64" s="879" t="s">
        <v>22</v>
      </c>
      <c r="I64" s="879" t="s">
        <v>891</v>
      </c>
      <c r="J64" s="905">
        <v>1</v>
      </c>
      <c r="K64" s="905">
        <v>1</v>
      </c>
      <c r="L64" s="816" t="str">
        <f t="shared" si="19"/>
        <v>D</v>
      </c>
      <c r="M64" s="816">
        <f t="shared" si="20"/>
        <v>2</v>
      </c>
      <c r="N64" s="816" t="str">
        <f t="shared" si="18"/>
        <v>U</v>
      </c>
      <c r="O64" s="816">
        <f t="shared" si="30"/>
        <v>-0.25</v>
      </c>
      <c r="P64" s="829">
        <f t="shared" si="31"/>
        <v>-0.5</v>
      </c>
      <c r="Q64" s="830">
        <v>0.35</v>
      </c>
      <c r="R64" s="871">
        <f t="shared" si="29"/>
        <v>-0.35</v>
      </c>
      <c r="S64" s="830">
        <v>2.5299999999999998</v>
      </c>
      <c r="T64" s="829">
        <f t="shared" si="24"/>
        <v>-0.5299999999999998</v>
      </c>
      <c r="U64" s="829">
        <f t="shared" si="25"/>
        <v>1.44</v>
      </c>
      <c r="V64" s="829">
        <f t="shared" si="26"/>
        <v>1.0899999999999999</v>
      </c>
      <c r="W64" s="829">
        <v>16</v>
      </c>
      <c r="X64" s="829">
        <v>8</v>
      </c>
      <c r="Y64" s="829">
        <v>5</v>
      </c>
      <c r="Z64" s="829">
        <v>2</v>
      </c>
      <c r="AA64" s="829">
        <v>50</v>
      </c>
      <c r="AB64" s="829">
        <v>50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32</v>
      </c>
      <c r="AH64" s="891" t="s">
        <v>34</v>
      </c>
      <c r="AI64" s="891" t="s">
        <v>1877</v>
      </c>
      <c r="AJ64" s="891" t="s">
        <v>32</v>
      </c>
      <c r="AK64" s="891" t="s">
        <v>1877</v>
      </c>
      <c r="AL64" s="891" t="s">
        <v>32</v>
      </c>
      <c r="AM64" s="891" t="s">
        <v>35</v>
      </c>
      <c r="AN64" s="891" t="s">
        <v>34</v>
      </c>
      <c r="AO64" s="891" t="s">
        <v>34</v>
      </c>
      <c r="AP64" s="891" t="s">
        <v>35</v>
      </c>
      <c r="AQ64" s="891" t="s">
        <v>32</v>
      </c>
      <c r="AR64" s="891" t="s">
        <v>36</v>
      </c>
      <c r="AS64" s="891" t="s">
        <v>32</v>
      </c>
      <c r="AT64" s="891" t="s">
        <v>36</v>
      </c>
      <c r="AU64" s="891" t="s">
        <v>35</v>
      </c>
      <c r="AV64" s="891" t="s">
        <v>1877</v>
      </c>
      <c r="AW64" s="891" t="s">
        <v>32</v>
      </c>
      <c r="AX64" s="891" t="s">
        <v>32</v>
      </c>
      <c r="AY64" s="891" t="s">
        <v>32</v>
      </c>
      <c r="AZ64" s="891" t="s">
        <v>32</v>
      </c>
      <c r="BA64" s="891" t="s">
        <v>32</v>
      </c>
      <c r="BB64" s="891" t="s">
        <v>34</v>
      </c>
      <c r="BC64" s="891" t="s">
        <v>34</v>
      </c>
      <c r="BD64" s="891" t="s">
        <v>32</v>
      </c>
      <c r="BE64" s="891" t="s">
        <v>34</v>
      </c>
      <c r="BF64" s="891" t="s">
        <v>3517</v>
      </c>
      <c r="BG64" s="891" t="s">
        <v>32</v>
      </c>
      <c r="BH64" s="891" t="s">
        <v>1877</v>
      </c>
      <c r="BI64" s="891" t="s">
        <v>34</v>
      </c>
      <c r="BJ64" s="891" t="s">
        <v>34</v>
      </c>
      <c r="BK64" s="891"/>
      <c r="BL64" s="891"/>
      <c r="BM64" s="910"/>
      <c r="BN64" s="910"/>
      <c r="BO64" s="891"/>
      <c r="BP64" s="892"/>
      <c r="BQ64" s="896"/>
      <c r="BR64" s="896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</row>
    <row r="65" spans="1:82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7</v>
      </c>
      <c r="G65" s="879" t="s">
        <v>888</v>
      </c>
      <c r="H65" s="879" t="s">
        <v>18</v>
      </c>
      <c r="I65" s="879" t="s">
        <v>891</v>
      </c>
      <c r="J65" s="905">
        <v>0</v>
      </c>
      <c r="K65" s="905">
        <v>1</v>
      </c>
      <c r="L65" s="816" t="str">
        <f t="shared" si="19"/>
        <v>L</v>
      </c>
      <c r="M65" s="816">
        <f t="shared" si="20"/>
        <v>1</v>
      </c>
      <c r="N65" s="816" t="str">
        <f t="shared" si="18"/>
        <v>U</v>
      </c>
      <c r="O65" s="816">
        <f t="shared" si="30"/>
        <v>0.5</v>
      </c>
      <c r="P65" s="829">
        <f t="shared" si="31"/>
        <v>-1</v>
      </c>
      <c r="Q65" s="830">
        <v>-0.68</v>
      </c>
      <c r="R65" s="871">
        <f t="shared" si="29"/>
        <v>-0.31999999999999995</v>
      </c>
      <c r="S65" s="830">
        <v>2.88</v>
      </c>
      <c r="T65" s="829">
        <f t="shared" si="24"/>
        <v>-1.88</v>
      </c>
      <c r="U65" s="829">
        <f t="shared" si="25"/>
        <v>1.0999999999999999</v>
      </c>
      <c r="V65" s="829">
        <f t="shared" si="26"/>
        <v>1.78</v>
      </c>
      <c r="W65" s="829">
        <v>16</v>
      </c>
      <c r="X65" s="829">
        <v>16</v>
      </c>
      <c r="Y65" s="829">
        <v>4</v>
      </c>
      <c r="Z65" s="829">
        <v>4</v>
      </c>
      <c r="AA65" s="829">
        <v>49</v>
      </c>
      <c r="AB65" s="829">
        <v>51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32</v>
      </c>
      <c r="AH65" s="891" t="s">
        <v>1877</v>
      </c>
      <c r="AI65" s="891" t="s">
        <v>34</v>
      </c>
      <c r="AJ65" s="891" t="s">
        <v>32</v>
      </c>
      <c r="AK65" s="891" t="s">
        <v>32</v>
      </c>
      <c r="AL65" s="891" t="s">
        <v>32</v>
      </c>
      <c r="AM65" s="891" t="s">
        <v>1877</v>
      </c>
      <c r="AN65" s="891" t="s">
        <v>34</v>
      </c>
      <c r="AO65" s="891" t="s">
        <v>34</v>
      </c>
      <c r="AP65" s="891" t="s">
        <v>35</v>
      </c>
      <c r="AQ65" s="891" t="s">
        <v>32</v>
      </c>
      <c r="AR65" s="891" t="s">
        <v>1877</v>
      </c>
      <c r="AS65" s="891" t="s">
        <v>32</v>
      </c>
      <c r="AT65" s="891" t="s">
        <v>36</v>
      </c>
      <c r="AU65" s="891" t="s">
        <v>34</v>
      </c>
      <c r="AV65" s="891" t="s">
        <v>35</v>
      </c>
      <c r="AW65" s="891" t="s">
        <v>32</v>
      </c>
      <c r="AX65" s="891" t="s">
        <v>32</v>
      </c>
      <c r="AY65" s="891" t="s">
        <v>32</v>
      </c>
      <c r="AZ65" s="891" t="s">
        <v>1877</v>
      </c>
      <c r="BA65" s="891" t="s">
        <v>32</v>
      </c>
      <c r="BB65" s="891" t="s">
        <v>34</v>
      </c>
      <c r="BC65" s="891" t="s">
        <v>34</v>
      </c>
      <c r="BD65" s="891" t="s">
        <v>32</v>
      </c>
      <c r="BE65" s="891" t="s">
        <v>36</v>
      </c>
      <c r="BF65" s="904" t="s">
        <v>36</v>
      </c>
      <c r="BG65" s="891" t="s">
        <v>35</v>
      </c>
      <c r="BH65" s="891" t="s">
        <v>32</v>
      </c>
      <c r="BI65" s="891" t="s">
        <v>34</v>
      </c>
      <c r="BJ65" s="891" t="s">
        <v>34</v>
      </c>
      <c r="BK65" s="891"/>
      <c r="BL65" s="891"/>
      <c r="BM65" s="910"/>
      <c r="BN65" s="910"/>
      <c r="BO65" s="891"/>
      <c r="BP65" s="892"/>
      <c r="BQ65" s="896"/>
      <c r="BR65" s="896"/>
      <c r="BS65" s="896"/>
      <c r="BT65" s="896"/>
      <c r="BU65" s="896"/>
      <c r="BV65" s="896"/>
      <c r="BW65" s="896"/>
      <c r="BX65" s="896"/>
      <c r="BY65" s="896"/>
      <c r="BZ65" s="896"/>
      <c r="CA65" s="896"/>
      <c r="CB65" s="896"/>
      <c r="CC65" s="896"/>
      <c r="CD65" s="896"/>
    </row>
    <row r="66" spans="1:82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21</v>
      </c>
      <c r="G66" s="879" t="s">
        <v>890</v>
      </c>
      <c r="H66" s="879" t="s">
        <v>22</v>
      </c>
      <c r="I66" s="879" t="s">
        <v>891</v>
      </c>
      <c r="J66" s="905">
        <v>2</v>
      </c>
      <c r="K66" s="905">
        <v>1</v>
      </c>
      <c r="L66" s="816" t="str">
        <f t="shared" si="19"/>
        <v>W</v>
      </c>
      <c r="M66" s="816">
        <f t="shared" si="20"/>
        <v>3</v>
      </c>
      <c r="N66" s="816" t="str">
        <f t="shared" si="18"/>
        <v>O</v>
      </c>
      <c r="O66" s="816">
        <f t="shared" si="30"/>
        <v>-0.5</v>
      </c>
      <c r="P66" s="829">
        <f t="shared" si="31"/>
        <v>1</v>
      </c>
      <c r="Q66" s="830">
        <v>0.6</v>
      </c>
      <c r="R66" s="871">
        <f t="shared" si="29"/>
        <v>0.4</v>
      </c>
      <c r="S66" s="830">
        <v>2.5299999999999998</v>
      </c>
      <c r="T66" s="829">
        <f t="shared" si="24"/>
        <v>0.4700000000000002</v>
      </c>
      <c r="U66" s="829">
        <f t="shared" ref="U66:U71" si="32">IF(Q66="","",(Q66+S66)/2)</f>
        <v>1.5649999999999999</v>
      </c>
      <c r="V66" s="829">
        <f t="shared" ref="V66:V71" si="33">IF(Q66="","",S66-U66)</f>
        <v>0.96499999999999986</v>
      </c>
      <c r="W66" s="829">
        <v>11</v>
      </c>
      <c r="X66" s="829">
        <v>6</v>
      </c>
      <c r="Y66" s="829">
        <v>3</v>
      </c>
      <c r="Z66" s="829">
        <v>1</v>
      </c>
      <c r="AA66" s="829">
        <v>61</v>
      </c>
      <c r="AB66" s="829">
        <v>39</v>
      </c>
      <c r="AC66" s="829"/>
      <c r="AD66" s="816" t="str">
        <f t="array" ref="AD66">IF($J66="","",IF(SUM(IF(ISNUMBER(VALUE(RIGHT($AG66:$CI66,1))),VALUE(RIGHT($AG66:$CI66,1)),0))=$J66,"T","F"))</f>
        <v>T</v>
      </c>
      <c r="AE66" s="831">
        <f t="array" ref="AE66">IF($J66="","",SUM(IF(LEFT($AG66:$DU66,1)="s",1,0))-SUM(IF(RIGHT(LEFT($AG66:$DU66,2))="-",1,0)))</f>
        <v>0</v>
      </c>
      <c r="AF66" s="816">
        <f t="array" ref="AF66">IF($J66="","",SUM(IF(LEFT($AG66:$DA66,1)="X",1,0)))</f>
        <v>11</v>
      </c>
      <c r="AG66" s="891" t="s">
        <v>32</v>
      </c>
      <c r="AH66" s="891" t="s">
        <v>1877</v>
      </c>
      <c r="AI66" s="891" t="s">
        <v>34</v>
      </c>
      <c r="AJ66" s="891" t="s">
        <v>32</v>
      </c>
      <c r="AK66" s="891" t="s">
        <v>32</v>
      </c>
      <c r="AL66" s="891" t="s">
        <v>32</v>
      </c>
      <c r="AM66" s="891" t="s">
        <v>1877</v>
      </c>
      <c r="AN66" s="891" t="s">
        <v>34</v>
      </c>
      <c r="AO66" s="891" t="s">
        <v>34</v>
      </c>
      <c r="AP66" s="891" t="s">
        <v>35</v>
      </c>
      <c r="AQ66" s="891" t="s">
        <v>32</v>
      </c>
      <c r="AR66" s="891" t="s">
        <v>1877</v>
      </c>
      <c r="AS66" s="891" t="s">
        <v>32</v>
      </c>
      <c r="AT66" s="891" t="s">
        <v>36</v>
      </c>
      <c r="AU66" s="891" t="s">
        <v>34</v>
      </c>
      <c r="AV66" s="891" t="s">
        <v>35</v>
      </c>
      <c r="AW66" s="891" t="s">
        <v>3582</v>
      </c>
      <c r="AX66" s="891" t="s">
        <v>32</v>
      </c>
      <c r="AY66" s="891" t="s">
        <v>32</v>
      </c>
      <c r="AZ66" s="891" t="s">
        <v>1877</v>
      </c>
      <c r="BA66" s="891" t="s">
        <v>32</v>
      </c>
      <c r="BB66" s="904" t="s">
        <v>34</v>
      </c>
      <c r="BC66" s="891" t="s">
        <v>3571</v>
      </c>
      <c r="BD66" s="891" t="s">
        <v>32</v>
      </c>
      <c r="BE66" s="891" t="s">
        <v>36</v>
      </c>
      <c r="BF66" s="891" t="s">
        <v>32</v>
      </c>
      <c r="BG66" s="891" t="s">
        <v>35</v>
      </c>
      <c r="BH66" s="891" t="s">
        <v>32</v>
      </c>
      <c r="BI66" s="891" t="s">
        <v>34</v>
      </c>
      <c r="BJ66" s="891" t="s">
        <v>34</v>
      </c>
      <c r="BK66" s="891"/>
      <c r="BL66" s="891"/>
      <c r="BM66" s="910"/>
      <c r="BN66" s="910"/>
      <c r="BO66" s="891"/>
      <c r="BP66" s="893"/>
      <c r="BQ66" s="896"/>
      <c r="BR66" s="896"/>
      <c r="BS66" s="896"/>
      <c r="BT66" s="896"/>
      <c r="BU66" s="896"/>
      <c r="BV66" s="896"/>
      <c r="BW66" s="896"/>
      <c r="BX66" s="896"/>
      <c r="BY66" s="896"/>
      <c r="BZ66" s="896"/>
      <c r="CA66" s="896"/>
      <c r="CB66" s="896"/>
      <c r="CC66" s="896"/>
      <c r="CD66" s="896"/>
    </row>
    <row r="67" spans="1:82" ht="15">
      <c r="A67" s="882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29" t="str">
        <f t="shared" si="24"/>
        <v/>
      </c>
      <c r="U67" s="829" t="str">
        <f t="shared" si="32"/>
        <v/>
      </c>
      <c r="V67" s="829" t="str">
        <f t="shared" si="33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IF($J67="","",IF(SUM(IF(ISNUMBER(VALUE(RIGHT($AG67:$CI67,1))),VALUE(RIGHT($AG67:$CI67,1)),0))=$J67,"T","F"))</f>
        <v/>
      </c>
      <c r="AE67" s="831" t="str">
        <f t="array" ref="AE67">IF($J67="","",SUM(IF(LEFT($AG67:$DU67,1)="s",1,0))-SUM(IF(RIGHT(LEFT($AG67:$DU67,2))="-",1,0)))</f>
        <v/>
      </c>
      <c r="AF67" s="816" t="str">
        <f t="array" ref="AF67">IF($J67="","",SUM(IF(LEFT($AG67:$DA67,1)="X",1,0)))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3"/>
      <c r="BQ67" s="896"/>
      <c r="BR67" s="896"/>
      <c r="BS67" s="897"/>
      <c r="BT67" s="897"/>
      <c r="BU67" s="897"/>
      <c r="BV67" s="897"/>
      <c r="BW67" s="897"/>
      <c r="BX67" s="896"/>
      <c r="BY67" s="896"/>
      <c r="BZ67" s="896"/>
      <c r="CA67" s="896"/>
      <c r="CB67" s="896"/>
      <c r="CC67" s="896"/>
      <c r="CD67" s="896"/>
    </row>
    <row r="68" spans="1:82" ht="15">
      <c r="A68" s="882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80"/>
      <c r="H68" s="879"/>
      <c r="I68" s="879"/>
      <c r="J68" s="428"/>
      <c r="K68" s="428"/>
      <c r="T68" s="829" t="str">
        <f t="shared" si="24"/>
        <v/>
      </c>
      <c r="U68" s="829" t="str">
        <f t="shared" si="32"/>
        <v/>
      </c>
      <c r="V68" s="829" t="str">
        <f t="shared" si="33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IF($J68="","",IF(SUM(IF(ISNUMBER(VALUE(RIGHT($AG68:$CI68,1))),VALUE(RIGHT($AG68:$CI68,1)),0))=$J68,"T","F"))</f>
        <v/>
      </c>
      <c r="AE68" s="831" t="str">
        <f t="array" ref="AE68">IF($J68="","",SUM(IF(LEFT($AG68:$DU68,1)="s",1,0))-SUM(IF(RIGHT(LEFT($AG68:$DU68,2))="-",1,0)))</f>
        <v/>
      </c>
      <c r="AF68" s="816" t="str">
        <f t="array" ref="AF68">IF($J68="","",SUM(IF(LEFT($AG68:$DA68,1)="X",1,0)))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3"/>
      <c r="BQ68" s="896"/>
      <c r="BR68" s="896"/>
      <c r="BS68" s="897"/>
      <c r="BT68" s="897"/>
      <c r="BU68" s="897"/>
      <c r="BV68" s="897"/>
      <c r="BW68" s="897"/>
      <c r="BX68" s="896"/>
      <c r="BY68" s="896"/>
      <c r="BZ68" s="896"/>
      <c r="CA68" s="896"/>
      <c r="CB68" s="896"/>
      <c r="CC68" s="896"/>
      <c r="CD68" s="896"/>
    </row>
    <row r="69" spans="1:82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29" t="str">
        <f t="shared" si="24"/>
        <v/>
      </c>
      <c r="U69" s="829" t="str">
        <f t="shared" si="32"/>
        <v/>
      </c>
      <c r="V69" s="829" t="str">
        <f t="shared" si="33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IF($J69="","",IF(SUM(IF(ISNUMBER(VALUE(RIGHT($AG69:$CI69,1))),VALUE(RIGHT($AG69:$CI69,1)),0))=$J69,"T","F"))</f>
        <v/>
      </c>
      <c r="AE69" s="831" t="str">
        <f t="array" ref="AE69">IF($J69="","",SUM(IF(LEFT($AG69:$DU69,1)="s",1,0))-SUM(IF(RIGHT(LEFT($AG69:$DU69,2))="-",1,0)))</f>
        <v/>
      </c>
      <c r="AF69" s="816" t="str">
        <f t="array" ref="AF69">IF($J69="","",SUM(IF(LEFT($AG69:$DA69,1)="X",1,0)))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3"/>
      <c r="BQ69" s="896"/>
      <c r="BR69" s="896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29" t="str">
        <f t="shared" si="24"/>
        <v/>
      </c>
      <c r="U70" s="829" t="str">
        <f t="shared" si="32"/>
        <v/>
      </c>
      <c r="V70" s="829" t="str">
        <f t="shared" si="33"/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IF($J70="","",IF(SUM(IF(ISNUMBER(VALUE(RIGHT($AG70:$CI70,1))),VALUE(RIGHT($AG70:$CI70,1)),0))=$J70,"T","F"))</f>
        <v/>
      </c>
      <c r="AE70" s="831" t="str">
        <f t="array" ref="AE70">IF($J70="","",SUM(IF(LEFT($AG70:$DU70,1)="s",1,0))-SUM(IF(RIGHT(LEFT($AG70:$DU70,2))="-",1,0)))</f>
        <v/>
      </c>
      <c r="AF70" s="816" t="str">
        <f t="array" ref="AF70">IF($J70="","",SUM(IF(LEFT($AG70:$DA70,1)="X",1,0)))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3"/>
      <c r="BQ70" s="896"/>
      <c r="BR70" s="896"/>
      <c r="BS70" s="897"/>
      <c r="BT70" s="897"/>
      <c r="BU70" s="897"/>
      <c r="BV70" s="897"/>
      <c r="BW70" s="897"/>
      <c r="BX70" s="896"/>
      <c r="BY70" s="896"/>
      <c r="BZ70" s="896"/>
      <c r="CA70" s="896"/>
      <c r="CB70" s="896"/>
      <c r="CC70" s="896"/>
      <c r="CD70" s="896"/>
    </row>
    <row r="71" spans="1:82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29" t="str">
        <f t="shared" si="24"/>
        <v/>
      </c>
      <c r="U71" s="829" t="str">
        <f t="shared" si="32"/>
        <v/>
      </c>
      <c r="V71" s="829" t="str">
        <f t="shared" si="33"/>
        <v/>
      </c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IF($J71="","",IF(SUM(IF(ISNUMBER(VALUE(RIGHT($AG71:$CI71,1))),VALUE(RIGHT($AG71:$CI71,1)),0))=$J71,"T","F"))</f>
        <v/>
      </c>
      <c r="AE71" s="831" t="str">
        <f t="array" ref="AE71">IF($J71="","",SUM(IF(LEFT($AG71:$DU71,1)="s",1,0))-SUM(IF(RIGHT(LEFT($AG71:$DU71,2))="-",1,0)))</f>
        <v/>
      </c>
      <c r="AF71" s="816" t="str">
        <f t="array" ref="AF71">IF($J71="","",SUM(IF(LEFT($AG71:$DA71,1)="X",1,0)))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3"/>
      <c r="BQ71" s="896"/>
      <c r="BR71" s="896"/>
      <c r="BS71" s="897"/>
      <c r="BT71" s="897"/>
      <c r="BU71" s="897"/>
      <c r="BV71" s="897"/>
      <c r="BW71" s="897"/>
      <c r="BX71" s="896"/>
      <c r="BY71" s="896"/>
      <c r="BZ71" s="896"/>
      <c r="CA71" s="896"/>
      <c r="CB71" s="896"/>
      <c r="CC71" s="896"/>
      <c r="CD71" s="896"/>
    </row>
    <row r="72" spans="1:82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3"/>
      <c r="BQ72" s="896"/>
      <c r="BR72" s="896"/>
      <c r="BS72" s="897"/>
      <c r="BT72" s="897"/>
      <c r="BU72" s="897"/>
      <c r="BV72" s="897"/>
      <c r="BW72" s="897"/>
      <c r="BX72" s="896"/>
      <c r="BY72" s="896"/>
      <c r="BZ72" s="896"/>
      <c r="CA72" s="896"/>
      <c r="CB72" s="896"/>
      <c r="CC72" s="896"/>
      <c r="CD72" s="896"/>
    </row>
    <row r="73" spans="1:82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6"/>
      <c r="AH73" s="896"/>
      <c r="AI73" s="896"/>
      <c r="AJ73" s="896"/>
      <c r="AK73" s="893"/>
      <c r="AL73" s="896"/>
      <c r="AM73" s="896"/>
      <c r="AN73" s="896"/>
      <c r="AO73" s="896"/>
      <c r="AP73" s="896"/>
      <c r="AQ73" s="896"/>
      <c r="AR73" s="896"/>
      <c r="AS73" s="896"/>
      <c r="AT73" s="896"/>
      <c r="AU73" s="896"/>
      <c r="AV73" s="896"/>
      <c r="AW73" s="896"/>
      <c r="AX73" s="896"/>
      <c r="AY73" s="896"/>
      <c r="AZ73" s="896"/>
      <c r="BA73" s="896"/>
      <c r="BB73" s="896"/>
      <c r="BC73" s="896"/>
      <c r="BD73" s="893"/>
      <c r="BE73" s="893"/>
      <c r="BF73" s="893"/>
      <c r="BG73" s="893"/>
      <c r="BH73" s="896"/>
      <c r="BI73" s="896"/>
      <c r="BJ73" s="896"/>
      <c r="BK73" s="893"/>
      <c r="BL73" s="893"/>
      <c r="BM73" s="896"/>
      <c r="BN73" s="896"/>
      <c r="BO73" s="896"/>
      <c r="BP73" s="893"/>
      <c r="BQ73" s="896"/>
      <c r="BR73" s="896"/>
      <c r="BS73" s="897"/>
      <c r="BT73" s="897"/>
      <c r="BU73" s="897"/>
      <c r="BV73" s="897"/>
      <c r="BW73" s="897"/>
      <c r="BX73" s="896"/>
      <c r="BY73" s="896"/>
      <c r="BZ73" s="896"/>
      <c r="CA73" s="896"/>
      <c r="CB73" s="896"/>
      <c r="CC73" s="896"/>
      <c r="CD73" s="896"/>
    </row>
    <row r="74" spans="1:82" ht="15">
      <c r="A74" s="843"/>
      <c r="E74" s="816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/>
      <c r="AG74" s="896"/>
      <c r="AH74" s="896"/>
      <c r="AI74" s="896"/>
      <c r="AJ74" s="896"/>
      <c r="AK74" s="893"/>
      <c r="AL74" s="896"/>
      <c r="AM74" s="896"/>
      <c r="AN74" s="896"/>
      <c r="AO74" s="896"/>
      <c r="AP74" s="896"/>
      <c r="AQ74" s="896"/>
      <c r="AR74" s="896"/>
      <c r="AS74" s="896"/>
      <c r="AT74" s="896"/>
      <c r="AU74" s="896"/>
      <c r="AV74" s="896"/>
      <c r="AW74" s="896"/>
      <c r="AX74" s="896"/>
      <c r="AY74" s="896"/>
      <c r="AZ74" s="896"/>
      <c r="BA74" s="896"/>
      <c r="BB74" s="896"/>
      <c r="BC74" s="896"/>
      <c r="BD74" s="893"/>
      <c r="BE74" s="893"/>
      <c r="BF74" s="893"/>
      <c r="BG74" s="893"/>
      <c r="BH74" s="896"/>
      <c r="BI74" s="896"/>
      <c r="BJ74" s="896"/>
      <c r="BK74" s="893"/>
      <c r="BL74" s="893"/>
      <c r="BM74" s="896"/>
      <c r="BN74" s="896"/>
      <c r="BO74" s="896"/>
      <c r="BP74" s="893"/>
      <c r="BQ74" s="896"/>
      <c r="BR74" s="896"/>
      <c r="BS74" s="897"/>
      <c r="BT74" s="897"/>
      <c r="BU74" s="897"/>
      <c r="BV74" s="897"/>
      <c r="BW74" s="897"/>
      <c r="BX74" s="896"/>
      <c r="BY74" s="896"/>
      <c r="BZ74" s="896"/>
      <c r="CA74" s="896"/>
      <c r="CB74" s="896"/>
      <c r="CC74" s="896"/>
      <c r="CD74" s="896"/>
    </row>
    <row r="75" spans="1:82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ref="L75:L111" si="34">IF(J75="","",IF(J75&gt;K75,"W",IF(J75=K75,"D",IF(J75&lt;K75,"L"))))</f>
        <v/>
      </c>
      <c r="M75" s="816" t="str">
        <f t="shared" ref="M75:M112" si="35">IF(J75="","",J75+K75)</f>
        <v/>
      </c>
      <c r="N75" s="816" t="str">
        <f t="shared" ref="N75:N106" si="36">IF($J75="","",IF($M75&gt;N$19,"O",IF($M75&lt;N$19,"U",IF($M75=N$19,"-"))))</f>
        <v/>
      </c>
      <c r="R75" s="816" t="str">
        <f t="shared" ref="R75:R116" si="37">IF(ISBLANK(Q75),"",J75-K75-Q75)</f>
        <v/>
      </c>
      <c r="T75" s="829" t="str">
        <f t="shared" ref="T75:T94" si="38">IF(ISBLANK(S75),"",J75+K75-S75)</f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7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3"/>
      <c r="BE75" s="893"/>
      <c r="BF75" s="893"/>
      <c r="BG75" s="893"/>
      <c r="BH75" s="897"/>
      <c r="BI75" s="897"/>
      <c r="BJ75" s="897"/>
      <c r="BK75" s="893"/>
      <c r="BL75" s="893"/>
      <c r="BM75" s="897"/>
      <c r="BN75" s="897"/>
      <c r="BO75" s="897"/>
      <c r="BP75" s="893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</row>
    <row r="76" spans="1:82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34"/>
        <v/>
      </c>
      <c r="M76" s="816" t="str">
        <f t="shared" si="35"/>
        <v/>
      </c>
      <c r="N76" s="816" t="str">
        <f t="shared" si="36"/>
        <v/>
      </c>
      <c r="R76" s="816" t="str">
        <f t="shared" si="37"/>
        <v/>
      </c>
      <c r="T76" s="829" t="str">
        <f t="shared" si="38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7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3"/>
      <c r="BE76" s="893"/>
      <c r="BF76" s="893"/>
      <c r="BG76" s="893"/>
      <c r="BH76" s="897"/>
      <c r="BI76" s="897"/>
      <c r="BJ76" s="897"/>
      <c r="BK76" s="893"/>
      <c r="BL76" s="893"/>
      <c r="BM76" s="897"/>
      <c r="BN76" s="897"/>
      <c r="BO76" s="897"/>
      <c r="BP76" s="893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</row>
    <row r="77" spans="1:82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34"/>
        <v/>
      </c>
      <c r="M77" s="816" t="str">
        <f t="shared" si="35"/>
        <v/>
      </c>
      <c r="N77" s="816" t="str">
        <f t="shared" si="36"/>
        <v/>
      </c>
      <c r="R77" s="816" t="str">
        <f t="shared" si="37"/>
        <v/>
      </c>
      <c r="T77" s="829" t="str">
        <f t="shared" si="38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3"/>
      <c r="BE77" s="893"/>
      <c r="BF77" s="893"/>
      <c r="BG77" s="893"/>
      <c r="BH77" s="897"/>
      <c r="BI77" s="897"/>
      <c r="BJ77" s="897"/>
      <c r="BK77" s="893"/>
      <c r="BL77" s="893"/>
      <c r="BM77" s="897"/>
      <c r="BN77" s="897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34"/>
        <v/>
      </c>
      <c r="M78" s="816" t="str">
        <f t="shared" si="35"/>
        <v/>
      </c>
      <c r="N78" s="816" t="str">
        <f t="shared" si="36"/>
        <v/>
      </c>
      <c r="R78" s="816" t="str">
        <f t="shared" si="37"/>
        <v/>
      </c>
      <c r="T78" s="829" t="str">
        <f t="shared" si="38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3"/>
      <c r="BE78" s="893"/>
      <c r="BF78" s="893"/>
      <c r="BG78" s="893"/>
      <c r="BH78" s="897"/>
      <c r="BI78" s="897"/>
      <c r="BJ78" s="897"/>
      <c r="BK78" s="893"/>
      <c r="BL78" s="893"/>
      <c r="BM78" s="897"/>
      <c r="BN78" s="897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428"/>
      <c r="K79" s="428"/>
      <c r="L79" s="816" t="str">
        <f t="shared" si="34"/>
        <v/>
      </c>
      <c r="M79" s="816" t="str">
        <f t="shared" si="35"/>
        <v/>
      </c>
      <c r="N79" s="816" t="str">
        <f t="shared" si="36"/>
        <v/>
      </c>
      <c r="R79" s="816" t="str">
        <f t="shared" si="37"/>
        <v/>
      </c>
      <c r="T79" s="829" t="str">
        <f t="shared" si="38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3"/>
      <c r="BE79" s="893"/>
      <c r="BF79" s="893"/>
      <c r="BG79" s="893"/>
      <c r="BH79" s="897"/>
      <c r="BI79" s="897"/>
      <c r="BJ79" s="897"/>
      <c r="BK79" s="893"/>
      <c r="BL79" s="893"/>
      <c r="BM79" s="897"/>
      <c r="BN79" s="897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34"/>
        <v/>
      </c>
      <c r="M80" s="816" t="str">
        <f t="shared" si="35"/>
        <v/>
      </c>
      <c r="N80" s="816" t="str">
        <f t="shared" si="36"/>
        <v/>
      </c>
      <c r="R80" s="816" t="str">
        <f t="shared" si="37"/>
        <v/>
      </c>
      <c r="T80" s="829" t="str">
        <f t="shared" si="38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3"/>
      <c r="BE80" s="893"/>
      <c r="BF80" s="893"/>
      <c r="BG80" s="893"/>
      <c r="BH80" s="897"/>
      <c r="BI80" s="897"/>
      <c r="BJ80" s="897"/>
      <c r="BK80" s="893"/>
      <c r="BL80" s="893"/>
      <c r="BM80" s="897"/>
      <c r="BN80" s="897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34"/>
        <v/>
      </c>
      <c r="M81" s="816" t="str">
        <f t="shared" si="35"/>
        <v/>
      </c>
      <c r="N81" s="816" t="str">
        <f t="shared" si="36"/>
        <v/>
      </c>
      <c r="R81" s="816" t="str">
        <f t="shared" si="37"/>
        <v/>
      </c>
      <c r="T81" s="829" t="str">
        <f t="shared" si="38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3"/>
      <c r="BE81" s="893"/>
      <c r="BF81" s="893"/>
      <c r="BG81" s="893"/>
      <c r="BH81" s="897"/>
      <c r="BI81" s="897"/>
      <c r="BJ81" s="897"/>
      <c r="BK81" s="893"/>
      <c r="BL81" s="893"/>
      <c r="BM81" s="897"/>
      <c r="BN81" s="897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34"/>
        <v/>
      </c>
      <c r="M82" s="816" t="str">
        <f t="shared" si="35"/>
        <v/>
      </c>
      <c r="N82" s="816" t="str">
        <f t="shared" si="36"/>
        <v/>
      </c>
      <c r="R82" s="816" t="str">
        <f t="shared" si="37"/>
        <v/>
      </c>
      <c r="T82" s="829" t="str">
        <f t="shared" si="38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3"/>
      <c r="BE82" s="893"/>
      <c r="BF82" s="893"/>
      <c r="BG82" s="893"/>
      <c r="BH82" s="897"/>
      <c r="BI82" s="897"/>
      <c r="BJ82" s="897"/>
      <c r="BK82" s="893"/>
      <c r="BL82" s="893"/>
      <c r="BM82" s="897"/>
      <c r="BN82" s="897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34"/>
        <v/>
      </c>
      <c r="M83" s="816" t="str">
        <f t="shared" si="35"/>
        <v/>
      </c>
      <c r="N83" s="816" t="str">
        <f t="shared" si="36"/>
        <v/>
      </c>
      <c r="R83" s="816" t="str">
        <f t="shared" si="37"/>
        <v/>
      </c>
      <c r="T83" s="829" t="str">
        <f t="shared" si="38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3"/>
      <c r="BE83" s="893"/>
      <c r="BF83" s="893"/>
      <c r="BG83" s="893"/>
      <c r="BH83" s="897"/>
      <c r="BI83" s="897"/>
      <c r="BJ83" s="897"/>
      <c r="BK83" s="893"/>
      <c r="BL83" s="893"/>
      <c r="BM83" s="897"/>
      <c r="BN83" s="897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34"/>
        <v/>
      </c>
      <c r="M84" s="816" t="str">
        <f t="shared" si="35"/>
        <v/>
      </c>
      <c r="N84" s="816" t="str">
        <f t="shared" si="36"/>
        <v/>
      </c>
      <c r="R84" s="816" t="str">
        <f t="shared" si="37"/>
        <v/>
      </c>
      <c r="T84" s="829" t="str">
        <f t="shared" si="38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3"/>
      <c r="BE84" s="893"/>
      <c r="BF84" s="893"/>
      <c r="BG84" s="893"/>
      <c r="BH84" s="897"/>
      <c r="BI84" s="897"/>
      <c r="BJ84" s="897"/>
      <c r="BK84" s="893"/>
      <c r="BL84" s="893"/>
      <c r="BM84" s="897"/>
      <c r="BN84" s="897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34"/>
        <v/>
      </c>
      <c r="M85" s="816" t="str">
        <f t="shared" si="35"/>
        <v/>
      </c>
      <c r="N85" s="816" t="str">
        <f t="shared" si="36"/>
        <v/>
      </c>
      <c r="R85" s="816" t="str">
        <f t="shared" si="37"/>
        <v/>
      </c>
      <c r="T85" s="829" t="str">
        <f t="shared" si="38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3"/>
      <c r="BE85" s="893"/>
      <c r="BF85" s="893"/>
      <c r="BG85" s="893"/>
      <c r="BH85" s="897"/>
      <c r="BI85" s="897"/>
      <c r="BJ85" s="897"/>
      <c r="BK85" s="893"/>
      <c r="BL85" s="893"/>
      <c r="BM85" s="897"/>
      <c r="BN85" s="897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34"/>
        <v/>
      </c>
      <c r="M86" s="816" t="str">
        <f t="shared" si="35"/>
        <v/>
      </c>
      <c r="N86" s="816" t="str">
        <f t="shared" si="36"/>
        <v/>
      </c>
      <c r="R86" s="816" t="str">
        <f t="shared" si="37"/>
        <v/>
      </c>
      <c r="T86" s="829" t="str">
        <f t="shared" si="38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3"/>
      <c r="BE86" s="893"/>
      <c r="BF86" s="893"/>
      <c r="BG86" s="893"/>
      <c r="BH86" s="897"/>
      <c r="BI86" s="897"/>
      <c r="BJ86" s="897"/>
      <c r="BK86" s="893"/>
      <c r="BL86" s="893"/>
      <c r="BM86" s="897"/>
      <c r="BN86" s="897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34"/>
        <v/>
      </c>
      <c r="M87" s="816" t="str">
        <f t="shared" si="35"/>
        <v/>
      </c>
      <c r="N87" s="816" t="str">
        <f t="shared" si="36"/>
        <v/>
      </c>
      <c r="R87" s="816" t="str">
        <f t="shared" si="37"/>
        <v/>
      </c>
      <c r="T87" s="829" t="str">
        <f t="shared" si="38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3"/>
      <c r="BE87" s="893"/>
      <c r="BF87" s="893"/>
      <c r="BG87" s="893"/>
      <c r="BH87" s="897"/>
      <c r="BI87" s="897"/>
      <c r="BJ87" s="897"/>
      <c r="BK87" s="893"/>
      <c r="BL87" s="893"/>
      <c r="BM87" s="897"/>
      <c r="BN87" s="897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787"/>
      <c r="H88" s="833"/>
      <c r="I88" s="833"/>
      <c r="J88" s="833"/>
      <c r="K88" s="833"/>
      <c r="L88" s="816" t="str">
        <f t="shared" si="34"/>
        <v/>
      </c>
      <c r="M88" s="816" t="str">
        <f t="shared" si="35"/>
        <v/>
      </c>
      <c r="N88" s="816" t="str">
        <f t="shared" si="36"/>
        <v/>
      </c>
      <c r="R88" s="816" t="str">
        <f t="shared" si="37"/>
        <v/>
      </c>
      <c r="T88" s="829" t="str">
        <f t="shared" si="38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3"/>
      <c r="BE88" s="893"/>
      <c r="BF88" s="893"/>
      <c r="BG88" s="893"/>
      <c r="BH88" s="897"/>
      <c r="BI88" s="897"/>
      <c r="BJ88" s="897"/>
      <c r="BK88" s="893"/>
      <c r="BL88" s="893"/>
      <c r="BM88" s="897"/>
      <c r="BN88" s="897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34"/>
        <v/>
      </c>
      <c r="M89" s="816" t="str">
        <f t="shared" si="35"/>
        <v/>
      </c>
      <c r="N89" s="816" t="str">
        <f t="shared" si="36"/>
        <v/>
      </c>
      <c r="R89" s="816" t="str">
        <f t="shared" si="37"/>
        <v/>
      </c>
      <c r="T89" s="829" t="str">
        <f t="shared" si="38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3"/>
      <c r="BE89" s="893"/>
      <c r="BF89" s="893"/>
      <c r="BG89" s="893"/>
      <c r="BH89" s="897"/>
      <c r="BI89" s="897"/>
      <c r="BJ89" s="897"/>
      <c r="BK89" s="893"/>
      <c r="BL89" s="893"/>
      <c r="BM89" s="897"/>
      <c r="BN89" s="897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34"/>
        <v/>
      </c>
      <c r="M90" s="816" t="str">
        <f t="shared" si="35"/>
        <v/>
      </c>
      <c r="N90" s="816" t="str">
        <f t="shared" si="36"/>
        <v/>
      </c>
      <c r="R90" s="816" t="str">
        <f t="shared" si="37"/>
        <v/>
      </c>
      <c r="T90" s="829" t="str">
        <f t="shared" si="38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3"/>
      <c r="BE90" s="893"/>
      <c r="BF90" s="893"/>
      <c r="BG90" s="893"/>
      <c r="BH90" s="897"/>
      <c r="BI90" s="897"/>
      <c r="BJ90" s="897"/>
      <c r="BK90" s="893"/>
      <c r="BL90" s="893"/>
      <c r="BM90" s="897"/>
      <c r="BN90" s="897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34"/>
        <v/>
      </c>
      <c r="M91" s="816" t="str">
        <f t="shared" si="35"/>
        <v/>
      </c>
      <c r="N91" s="816" t="str">
        <f t="shared" si="36"/>
        <v/>
      </c>
      <c r="R91" s="816" t="str">
        <f t="shared" si="37"/>
        <v/>
      </c>
      <c r="T91" s="829" t="str">
        <f t="shared" si="38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3"/>
      <c r="BE91" s="893"/>
      <c r="BF91" s="893"/>
      <c r="BG91" s="893"/>
      <c r="BH91" s="897"/>
      <c r="BI91" s="897"/>
      <c r="BJ91" s="897"/>
      <c r="BK91" s="893"/>
      <c r="BL91" s="893"/>
      <c r="BM91" s="897"/>
      <c r="BN91" s="897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34"/>
        <v/>
      </c>
      <c r="M92" s="816" t="str">
        <f t="shared" si="35"/>
        <v/>
      </c>
      <c r="N92" s="816" t="str">
        <f t="shared" si="36"/>
        <v/>
      </c>
      <c r="R92" s="816" t="str">
        <f t="shared" si="37"/>
        <v/>
      </c>
      <c r="T92" s="829" t="str">
        <f t="shared" si="38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3"/>
      <c r="BE92" s="893"/>
      <c r="BF92" s="893"/>
      <c r="BG92" s="893"/>
      <c r="BH92" s="897"/>
      <c r="BI92" s="897"/>
      <c r="BJ92" s="897"/>
      <c r="BK92" s="893"/>
      <c r="BL92" s="893"/>
      <c r="BM92" s="897"/>
      <c r="BN92" s="897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34"/>
        <v/>
      </c>
      <c r="M93" s="816" t="str">
        <f t="shared" si="35"/>
        <v/>
      </c>
      <c r="N93" s="816" t="str">
        <f t="shared" si="36"/>
        <v/>
      </c>
      <c r="R93" s="816" t="str">
        <f t="shared" si="37"/>
        <v/>
      </c>
      <c r="T93" s="829" t="str">
        <f t="shared" si="38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3"/>
      <c r="BE93" s="893"/>
      <c r="BF93" s="893"/>
      <c r="BG93" s="893"/>
      <c r="BH93" s="897"/>
      <c r="BI93" s="897"/>
      <c r="BJ93" s="897"/>
      <c r="BK93" s="893"/>
      <c r="BL93" s="893"/>
      <c r="BM93" s="897"/>
      <c r="BN93" s="897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34"/>
        <v/>
      </c>
      <c r="M94" s="816" t="str">
        <f t="shared" si="35"/>
        <v/>
      </c>
      <c r="N94" s="816" t="str">
        <f t="shared" si="36"/>
        <v/>
      </c>
      <c r="R94" s="816" t="str">
        <f t="shared" si="37"/>
        <v/>
      </c>
      <c r="T94" s="829" t="str">
        <f t="shared" si="38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3"/>
      <c r="BE94" s="893"/>
      <c r="BF94" s="893"/>
      <c r="BG94" s="893"/>
      <c r="BH94" s="897"/>
      <c r="BI94" s="897"/>
      <c r="BJ94" s="897"/>
      <c r="BK94" s="893"/>
      <c r="BL94" s="893"/>
      <c r="BM94" s="897"/>
      <c r="BN94" s="897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34"/>
        <v/>
      </c>
      <c r="M95" s="816" t="str">
        <f t="shared" si="35"/>
        <v/>
      </c>
      <c r="N95" s="816" t="str">
        <f t="shared" si="36"/>
        <v/>
      </c>
      <c r="R95" s="816" t="str">
        <f t="shared" si="37"/>
        <v/>
      </c>
      <c r="T95" s="829" t="str">
        <f t="shared" ref="T95:T132" si="39">IF(ISBLANK(S95),"",J95+K95-S95)</f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3"/>
      <c r="BE95" s="893"/>
      <c r="BF95" s="893"/>
      <c r="BG95" s="893"/>
      <c r="BH95" s="897"/>
      <c r="BI95" s="897"/>
      <c r="BJ95" s="897"/>
      <c r="BK95" s="893"/>
      <c r="BL95" s="893"/>
      <c r="BM95" s="897"/>
      <c r="BN95" s="897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34"/>
        <v/>
      </c>
      <c r="M96" s="816" t="str">
        <f t="shared" si="35"/>
        <v/>
      </c>
      <c r="N96" s="816" t="str">
        <f t="shared" si="36"/>
        <v/>
      </c>
      <c r="R96" s="816" t="str">
        <f t="shared" si="37"/>
        <v/>
      </c>
      <c r="T96" s="829" t="str">
        <f t="shared" si="39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3"/>
      <c r="BE96" s="893"/>
      <c r="BF96" s="893"/>
      <c r="BG96" s="893"/>
      <c r="BH96" s="897"/>
      <c r="BI96" s="897"/>
      <c r="BJ96" s="897"/>
      <c r="BK96" s="893"/>
      <c r="BL96" s="893"/>
      <c r="BM96" s="897"/>
      <c r="BN96" s="897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34"/>
        <v/>
      </c>
      <c r="M97" s="816" t="str">
        <f t="shared" si="35"/>
        <v/>
      </c>
      <c r="N97" s="816" t="str">
        <f t="shared" si="36"/>
        <v/>
      </c>
      <c r="R97" s="816" t="str">
        <f t="shared" si="37"/>
        <v/>
      </c>
      <c r="T97" s="829" t="str">
        <f t="shared" si="39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3"/>
      <c r="BE97" s="893"/>
      <c r="BF97" s="893"/>
      <c r="BG97" s="893"/>
      <c r="BH97" s="897"/>
      <c r="BI97" s="897"/>
      <c r="BJ97" s="897"/>
      <c r="BK97" s="893"/>
      <c r="BL97" s="893"/>
      <c r="BM97" s="897"/>
      <c r="BN97" s="897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34"/>
        <v/>
      </c>
      <c r="M98" s="816" t="str">
        <f t="shared" si="35"/>
        <v/>
      </c>
      <c r="N98" s="816" t="str">
        <f t="shared" si="36"/>
        <v/>
      </c>
      <c r="R98" s="816" t="str">
        <f t="shared" si="37"/>
        <v/>
      </c>
      <c r="T98" s="829" t="str">
        <f t="shared" si="39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3"/>
      <c r="BE98" s="893"/>
      <c r="BF98" s="893"/>
      <c r="BG98" s="893"/>
      <c r="BH98" s="897"/>
      <c r="BI98" s="897"/>
      <c r="BJ98" s="897"/>
      <c r="BK98" s="893"/>
      <c r="BL98" s="893"/>
      <c r="BM98" s="897"/>
      <c r="BN98" s="897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34"/>
        <v/>
      </c>
      <c r="M99" s="816" t="str">
        <f t="shared" si="35"/>
        <v/>
      </c>
      <c r="N99" s="816" t="str">
        <f t="shared" si="36"/>
        <v/>
      </c>
      <c r="R99" s="816" t="str">
        <f t="shared" si="37"/>
        <v/>
      </c>
      <c r="T99" s="829" t="str">
        <f t="shared" si="39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3"/>
      <c r="BE99" s="893"/>
      <c r="BF99" s="893"/>
      <c r="BG99" s="893"/>
      <c r="BH99" s="897"/>
      <c r="BI99" s="897"/>
      <c r="BJ99" s="897"/>
      <c r="BK99" s="893"/>
      <c r="BL99" s="893"/>
      <c r="BM99" s="897"/>
      <c r="BN99" s="897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34"/>
        <v/>
      </c>
      <c r="M100" s="816" t="str">
        <f t="shared" si="35"/>
        <v/>
      </c>
      <c r="N100" s="816" t="str">
        <f t="shared" si="36"/>
        <v/>
      </c>
      <c r="R100" s="816" t="str">
        <f t="shared" si="37"/>
        <v/>
      </c>
      <c r="T100" s="829" t="str">
        <f t="shared" si="39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3"/>
      <c r="BE100" s="893"/>
      <c r="BF100" s="893"/>
      <c r="BG100" s="893"/>
      <c r="BH100" s="897"/>
      <c r="BI100" s="897"/>
      <c r="BJ100" s="897"/>
      <c r="BK100" s="893"/>
      <c r="BL100" s="893"/>
      <c r="BM100" s="897"/>
      <c r="BN100" s="897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34"/>
        <v/>
      </c>
      <c r="M101" s="816" t="str">
        <f t="shared" si="35"/>
        <v/>
      </c>
      <c r="N101" s="816" t="str">
        <f t="shared" si="36"/>
        <v/>
      </c>
      <c r="R101" s="816" t="str">
        <f t="shared" si="37"/>
        <v/>
      </c>
      <c r="T101" s="829" t="str">
        <f t="shared" si="39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3"/>
      <c r="BE101" s="893"/>
      <c r="BF101" s="893"/>
      <c r="BG101" s="893"/>
      <c r="BH101" s="897"/>
      <c r="BI101" s="897"/>
      <c r="BJ101" s="897"/>
      <c r="BK101" s="893"/>
      <c r="BL101" s="893"/>
      <c r="BM101" s="897"/>
      <c r="BN101" s="897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34"/>
        <v/>
      </c>
      <c r="M102" s="816" t="str">
        <f t="shared" si="35"/>
        <v/>
      </c>
      <c r="N102" s="816" t="str">
        <f t="shared" si="36"/>
        <v/>
      </c>
      <c r="R102" s="816" t="str">
        <f t="shared" si="37"/>
        <v/>
      </c>
      <c r="T102" s="829" t="str">
        <f t="shared" si="39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3"/>
      <c r="BE102" s="893"/>
      <c r="BF102" s="893"/>
      <c r="BG102" s="893"/>
      <c r="BH102" s="897"/>
      <c r="BI102" s="897"/>
      <c r="BJ102" s="897"/>
      <c r="BK102" s="893"/>
      <c r="BL102" s="893"/>
      <c r="BM102" s="897"/>
      <c r="BN102" s="897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34"/>
        <v/>
      </c>
      <c r="M103" s="816" t="str">
        <f t="shared" si="35"/>
        <v/>
      </c>
      <c r="N103" s="816" t="str">
        <f t="shared" si="36"/>
        <v/>
      </c>
      <c r="R103" s="816" t="str">
        <f t="shared" si="37"/>
        <v/>
      </c>
      <c r="T103" s="829" t="str">
        <f t="shared" si="39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3"/>
      <c r="BE103" s="893"/>
      <c r="BF103" s="893"/>
      <c r="BG103" s="893"/>
      <c r="BH103" s="897"/>
      <c r="BI103" s="897"/>
      <c r="BJ103" s="897"/>
      <c r="BK103" s="893"/>
      <c r="BL103" s="893"/>
      <c r="BM103" s="897"/>
      <c r="BN103" s="897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34"/>
        <v/>
      </c>
      <c r="M104" s="816" t="str">
        <f t="shared" si="35"/>
        <v/>
      </c>
      <c r="N104" s="816" t="str">
        <f t="shared" si="36"/>
        <v/>
      </c>
      <c r="R104" s="816" t="str">
        <f t="shared" si="37"/>
        <v/>
      </c>
      <c r="T104" s="829" t="str">
        <f t="shared" si="39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3"/>
      <c r="BE104" s="893"/>
      <c r="BF104" s="893"/>
      <c r="BG104" s="893"/>
      <c r="BH104" s="897"/>
      <c r="BI104" s="897"/>
      <c r="BJ104" s="897"/>
      <c r="BK104" s="893"/>
      <c r="BL104" s="893"/>
      <c r="BM104" s="897"/>
      <c r="BN104" s="897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34"/>
        <v/>
      </c>
      <c r="M105" s="816" t="str">
        <f t="shared" si="35"/>
        <v/>
      </c>
      <c r="N105" s="816" t="str">
        <f t="shared" si="36"/>
        <v/>
      </c>
      <c r="R105" s="816" t="str">
        <f t="shared" si="37"/>
        <v/>
      </c>
      <c r="T105" s="829" t="str">
        <f t="shared" si="39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31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3"/>
      <c r="BE105" s="893"/>
      <c r="BF105" s="893"/>
      <c r="BG105" s="893"/>
      <c r="BH105" s="897"/>
      <c r="BI105" s="897"/>
      <c r="BJ105" s="897"/>
      <c r="BK105" s="893"/>
      <c r="BL105" s="893"/>
      <c r="BM105" s="897"/>
      <c r="BN105" s="897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34"/>
        <v/>
      </c>
      <c r="M106" s="816" t="str">
        <f t="shared" si="35"/>
        <v/>
      </c>
      <c r="N106" s="816" t="str">
        <f t="shared" si="36"/>
        <v/>
      </c>
      <c r="R106" s="816" t="str">
        <f t="shared" si="37"/>
        <v/>
      </c>
      <c r="T106" s="829" t="str">
        <f t="shared" si="39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31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3"/>
      <c r="BE106" s="893"/>
      <c r="BF106" s="893"/>
      <c r="BG106" s="893"/>
      <c r="BH106" s="897"/>
      <c r="BI106" s="897"/>
      <c r="BJ106" s="897"/>
      <c r="BK106" s="893"/>
      <c r="BL106" s="893"/>
      <c r="BM106" s="897"/>
      <c r="BN106" s="897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34"/>
        <v/>
      </c>
      <c r="M107" s="816" t="str">
        <f t="shared" si="35"/>
        <v/>
      </c>
      <c r="N107" s="816" t="str">
        <f t="shared" ref="N107:N132" si="40">IF($J107="","",IF($M107&gt;N$19,"O",IF($M107&lt;N$19,"U",IF($M107=N$19,"-"))))</f>
        <v/>
      </c>
      <c r="R107" s="816" t="str">
        <f t="shared" si="37"/>
        <v/>
      </c>
      <c r="T107" s="829" t="str">
        <f t="shared" si="39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3"/>
      <c r="BE107" s="893"/>
      <c r="BF107" s="893"/>
      <c r="BG107" s="893"/>
      <c r="BH107" s="897"/>
      <c r="BI107" s="897"/>
      <c r="BJ107" s="897"/>
      <c r="BK107" s="893"/>
      <c r="BL107" s="893"/>
      <c r="BM107" s="897"/>
      <c r="BN107" s="897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34"/>
        <v/>
      </c>
      <c r="M108" s="816" t="str">
        <f t="shared" si="35"/>
        <v/>
      </c>
      <c r="N108" s="816" t="str">
        <f t="shared" si="40"/>
        <v/>
      </c>
      <c r="R108" s="816" t="str">
        <f t="shared" si="37"/>
        <v/>
      </c>
      <c r="T108" s="829" t="str">
        <f t="shared" si="39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3"/>
      <c r="BE108" s="893"/>
      <c r="BF108" s="893"/>
      <c r="BG108" s="893"/>
      <c r="BH108" s="897"/>
      <c r="BI108" s="897"/>
      <c r="BJ108" s="897"/>
      <c r="BK108" s="893"/>
      <c r="BL108" s="893"/>
      <c r="BM108" s="897"/>
      <c r="BN108" s="897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34"/>
        <v/>
      </c>
      <c r="M109" s="816" t="str">
        <f t="shared" si="35"/>
        <v/>
      </c>
      <c r="N109" s="816" t="str">
        <f t="shared" si="40"/>
        <v/>
      </c>
      <c r="R109" s="816" t="str">
        <f t="shared" si="37"/>
        <v/>
      </c>
      <c r="T109" s="829" t="str">
        <f t="shared" si="39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3"/>
      <c r="BE109" s="893"/>
      <c r="BF109" s="893"/>
      <c r="BG109" s="893"/>
      <c r="BH109" s="897"/>
      <c r="BI109" s="897"/>
      <c r="BJ109" s="897"/>
      <c r="BK109" s="893"/>
      <c r="BL109" s="893"/>
      <c r="BM109" s="897"/>
      <c r="BN109" s="897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34"/>
        <v/>
      </c>
      <c r="M110" s="816" t="str">
        <f t="shared" si="35"/>
        <v/>
      </c>
      <c r="N110" s="816" t="str">
        <f t="shared" si="40"/>
        <v/>
      </c>
      <c r="R110" s="816" t="str">
        <f t="shared" si="37"/>
        <v/>
      </c>
      <c r="T110" s="829" t="str">
        <f t="shared" si="39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3"/>
      <c r="BE110" s="893"/>
      <c r="BF110" s="893"/>
      <c r="BG110" s="893"/>
      <c r="BH110" s="897"/>
      <c r="BI110" s="897"/>
      <c r="BJ110" s="897"/>
      <c r="BK110" s="893"/>
      <c r="BL110" s="893"/>
      <c r="BM110" s="897"/>
      <c r="BN110" s="897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34"/>
        <v/>
      </c>
      <c r="M111" s="816" t="str">
        <f t="shared" si="35"/>
        <v/>
      </c>
      <c r="N111" s="816" t="str">
        <f t="shared" si="40"/>
        <v/>
      </c>
      <c r="R111" s="816" t="str">
        <f t="shared" si="37"/>
        <v/>
      </c>
      <c r="T111" s="829" t="str">
        <f t="shared" si="39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3"/>
      <c r="BE111" s="893"/>
      <c r="BF111" s="893"/>
      <c r="BG111" s="893"/>
      <c r="BH111" s="897"/>
      <c r="BI111" s="897"/>
      <c r="BJ111" s="897"/>
      <c r="BK111" s="893"/>
      <c r="BL111" s="893"/>
      <c r="BM111" s="897"/>
      <c r="BN111" s="897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ref="L112:L132" si="41">IF(J112="","",IF(J112&gt;K112,"W",IF(J112=K112,"D",IF(J112&lt;K112,"L"))))</f>
        <v/>
      </c>
      <c r="M112" s="816" t="str">
        <f t="shared" si="35"/>
        <v/>
      </c>
      <c r="N112" s="816" t="str">
        <f t="shared" si="40"/>
        <v/>
      </c>
      <c r="R112" s="816" t="str">
        <f t="shared" si="37"/>
        <v/>
      </c>
      <c r="T112" s="829" t="str">
        <f t="shared" si="39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3"/>
      <c r="BE112" s="893"/>
      <c r="BF112" s="893"/>
      <c r="BG112" s="893"/>
      <c r="BH112" s="897"/>
      <c r="BI112" s="897"/>
      <c r="BJ112" s="897"/>
      <c r="BK112" s="893"/>
      <c r="BL112" s="893"/>
      <c r="BM112" s="897"/>
      <c r="BN112" s="897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41"/>
        <v/>
      </c>
      <c r="M113" s="816" t="str">
        <f t="shared" ref="M113:M132" si="42">IF(J113="","",J113+K113)</f>
        <v/>
      </c>
      <c r="N113" s="816" t="str">
        <f t="shared" si="40"/>
        <v/>
      </c>
      <c r="R113" s="816" t="str">
        <f t="shared" si="37"/>
        <v/>
      </c>
      <c r="T113" s="829" t="str">
        <f t="shared" si="39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3"/>
      <c r="BE113" s="893"/>
      <c r="BF113" s="893"/>
      <c r="BG113" s="893"/>
      <c r="BH113" s="897"/>
      <c r="BI113" s="897"/>
      <c r="BJ113" s="897"/>
      <c r="BK113" s="893"/>
      <c r="BL113" s="893"/>
      <c r="BM113" s="897"/>
      <c r="BN113" s="897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41"/>
        <v/>
      </c>
      <c r="M114" s="816" t="str">
        <f t="shared" si="42"/>
        <v/>
      </c>
      <c r="N114" s="816" t="str">
        <f t="shared" si="40"/>
        <v/>
      </c>
      <c r="R114" s="816" t="str">
        <f t="shared" si="37"/>
        <v/>
      </c>
      <c r="T114" s="829" t="str">
        <f t="shared" si="39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3"/>
      <c r="BE114" s="893"/>
      <c r="BF114" s="893"/>
      <c r="BG114" s="893"/>
      <c r="BH114" s="897"/>
      <c r="BI114" s="897"/>
      <c r="BJ114" s="897"/>
      <c r="BK114" s="893"/>
      <c r="BL114" s="893"/>
      <c r="BM114" s="897"/>
      <c r="BN114" s="897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41"/>
        <v/>
      </c>
      <c r="M115" s="816" t="str">
        <f t="shared" si="42"/>
        <v/>
      </c>
      <c r="N115" s="816" t="str">
        <f t="shared" si="40"/>
        <v/>
      </c>
      <c r="R115" s="816" t="str">
        <f t="shared" si="37"/>
        <v/>
      </c>
      <c r="T115" s="829" t="str">
        <f t="shared" si="39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3"/>
      <c r="BE115" s="893"/>
      <c r="BF115" s="893"/>
      <c r="BG115" s="893"/>
      <c r="BH115" s="897"/>
      <c r="BI115" s="897"/>
      <c r="BJ115" s="897"/>
      <c r="BK115" s="893"/>
      <c r="BL115" s="893"/>
      <c r="BM115" s="897"/>
      <c r="BN115" s="897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41"/>
        <v/>
      </c>
      <c r="M116" s="816" t="str">
        <f t="shared" si="42"/>
        <v/>
      </c>
      <c r="N116" s="816" t="str">
        <f t="shared" si="40"/>
        <v/>
      </c>
      <c r="R116" s="816" t="str">
        <f t="shared" si="37"/>
        <v/>
      </c>
      <c r="T116" s="829" t="str">
        <f t="shared" si="39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3"/>
      <c r="BE116" s="893"/>
      <c r="BF116" s="893"/>
      <c r="BG116" s="893"/>
      <c r="BH116" s="897"/>
      <c r="BI116" s="897"/>
      <c r="BJ116" s="897"/>
      <c r="BK116" s="893"/>
      <c r="BL116" s="893"/>
      <c r="BM116" s="897"/>
      <c r="BN116" s="897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41"/>
        <v/>
      </c>
      <c r="M117" s="816" t="str">
        <f t="shared" si="42"/>
        <v/>
      </c>
      <c r="N117" s="816" t="str">
        <f t="shared" si="40"/>
        <v/>
      </c>
      <c r="R117" s="816" t="str">
        <f t="shared" ref="R117:R132" si="43">IF(ISBLANK(Q117),"",J117-K117-Q117)</f>
        <v/>
      </c>
      <c r="T117" s="829" t="str">
        <f t="shared" si="39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3"/>
      <c r="BE117" s="893"/>
      <c r="BF117" s="893"/>
      <c r="BG117" s="893"/>
      <c r="BH117" s="897"/>
      <c r="BI117" s="897"/>
      <c r="BJ117" s="897"/>
      <c r="BK117" s="893"/>
      <c r="BL117" s="893"/>
      <c r="BM117" s="897"/>
      <c r="BN117" s="897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41"/>
        <v/>
      </c>
      <c r="M118" s="816" t="str">
        <f t="shared" si="42"/>
        <v/>
      </c>
      <c r="N118" s="816" t="str">
        <f t="shared" si="40"/>
        <v/>
      </c>
      <c r="R118" s="816" t="str">
        <f t="shared" si="43"/>
        <v/>
      </c>
      <c r="T118" s="829" t="str">
        <f t="shared" si="39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3"/>
      <c r="BE118" s="893"/>
      <c r="BF118" s="893"/>
      <c r="BG118" s="893"/>
      <c r="BH118" s="897"/>
      <c r="BI118" s="897"/>
      <c r="BJ118" s="897"/>
      <c r="BK118" s="893"/>
      <c r="BL118" s="893"/>
      <c r="BM118" s="897"/>
      <c r="BN118" s="897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41"/>
        <v/>
      </c>
      <c r="M119" s="816" t="str">
        <f t="shared" si="42"/>
        <v/>
      </c>
      <c r="N119" s="816" t="str">
        <f t="shared" si="40"/>
        <v/>
      </c>
      <c r="R119" s="816" t="str">
        <f t="shared" si="43"/>
        <v/>
      </c>
      <c r="T119" s="829" t="str">
        <f t="shared" si="39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3"/>
      <c r="BE119" s="893"/>
      <c r="BF119" s="893"/>
      <c r="BG119" s="893"/>
      <c r="BH119" s="897"/>
      <c r="BI119" s="897"/>
      <c r="BJ119" s="897"/>
      <c r="BK119" s="893"/>
      <c r="BL119" s="893"/>
      <c r="BM119" s="897"/>
      <c r="BN119" s="897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41"/>
        <v/>
      </c>
      <c r="M120" s="816" t="str">
        <f t="shared" si="42"/>
        <v/>
      </c>
      <c r="N120" s="816" t="str">
        <f t="shared" si="40"/>
        <v/>
      </c>
      <c r="R120" s="816" t="str">
        <f t="shared" si="43"/>
        <v/>
      </c>
      <c r="T120" s="829" t="str">
        <f t="shared" si="39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3"/>
      <c r="BE120" s="893"/>
      <c r="BF120" s="893"/>
      <c r="BG120" s="893"/>
      <c r="BH120" s="897"/>
      <c r="BI120" s="897"/>
      <c r="BJ120" s="897"/>
      <c r="BK120" s="893"/>
      <c r="BL120" s="893"/>
      <c r="BM120" s="897"/>
      <c r="BN120" s="897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41"/>
        <v/>
      </c>
      <c r="M121" s="816" t="str">
        <f t="shared" si="42"/>
        <v/>
      </c>
      <c r="N121" s="816" t="str">
        <f t="shared" si="40"/>
        <v/>
      </c>
      <c r="R121" s="816" t="str">
        <f t="shared" si="43"/>
        <v/>
      </c>
      <c r="T121" s="829" t="str">
        <f t="shared" si="39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3"/>
      <c r="BE121" s="893"/>
      <c r="BF121" s="893"/>
      <c r="BG121" s="893"/>
      <c r="BH121" s="897"/>
      <c r="BI121" s="897"/>
      <c r="BJ121" s="897"/>
      <c r="BK121" s="893"/>
      <c r="BL121" s="893"/>
      <c r="BM121" s="897"/>
      <c r="BN121" s="897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41"/>
        <v/>
      </c>
      <c r="M122" s="816" t="str">
        <f t="shared" si="42"/>
        <v/>
      </c>
      <c r="N122" s="816" t="str">
        <f t="shared" si="40"/>
        <v/>
      </c>
      <c r="R122" s="816" t="str">
        <f t="shared" si="43"/>
        <v/>
      </c>
      <c r="T122" s="829" t="str">
        <f t="shared" si="39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3"/>
      <c r="BE122" s="893"/>
      <c r="BF122" s="893"/>
      <c r="BG122" s="893"/>
      <c r="BH122" s="897"/>
      <c r="BI122" s="897"/>
      <c r="BJ122" s="897"/>
      <c r="BK122" s="893"/>
      <c r="BL122" s="893"/>
      <c r="BM122" s="897"/>
      <c r="BN122" s="897"/>
      <c r="BO122" s="897"/>
      <c r="BP122" s="893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41"/>
        <v/>
      </c>
      <c r="M123" s="816" t="str">
        <f t="shared" si="42"/>
        <v/>
      </c>
      <c r="N123" s="816" t="str">
        <f t="shared" si="40"/>
        <v/>
      </c>
      <c r="R123" s="816" t="str">
        <f t="shared" si="43"/>
        <v/>
      </c>
      <c r="T123" s="829" t="str">
        <f t="shared" si="39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3"/>
      <c r="BE123" s="893"/>
      <c r="BF123" s="893"/>
      <c r="BG123" s="893"/>
      <c r="BH123" s="897"/>
      <c r="BI123" s="897"/>
      <c r="BJ123" s="897"/>
      <c r="BK123" s="893"/>
      <c r="BL123" s="893"/>
      <c r="BM123" s="897"/>
      <c r="BN123" s="897"/>
      <c r="BO123" s="897"/>
      <c r="BP123" s="893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</row>
    <row r="124" spans="4:82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41"/>
        <v/>
      </c>
      <c r="M124" s="816" t="str">
        <f t="shared" si="42"/>
        <v/>
      </c>
      <c r="N124" s="816" t="str">
        <f t="shared" si="40"/>
        <v/>
      </c>
      <c r="R124" s="816" t="str">
        <f t="shared" si="43"/>
        <v/>
      </c>
      <c r="T124" s="829" t="str">
        <f t="shared" si="39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3"/>
      <c r="BE124" s="893"/>
      <c r="BF124" s="893"/>
      <c r="BG124" s="893"/>
      <c r="BH124" s="897"/>
      <c r="BI124" s="897"/>
      <c r="BJ124" s="897"/>
      <c r="BK124" s="893"/>
      <c r="BL124" s="893"/>
      <c r="BM124" s="897"/>
      <c r="BN124" s="897"/>
      <c r="BO124" s="897"/>
      <c r="BP124" s="893"/>
      <c r="BQ124" s="897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</row>
    <row r="125" spans="4:82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41"/>
        <v/>
      </c>
      <c r="M125" s="816" t="str">
        <f t="shared" si="42"/>
        <v/>
      </c>
      <c r="N125" s="816" t="str">
        <f t="shared" si="40"/>
        <v/>
      </c>
      <c r="R125" s="816" t="str">
        <f t="shared" si="43"/>
        <v/>
      </c>
      <c r="T125" s="829" t="str">
        <f t="shared" si="39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  <c r="AG125" s="897"/>
      <c r="AH125" s="897"/>
      <c r="AI125" s="897"/>
      <c r="AJ125" s="897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7"/>
      <c r="BD125" s="893"/>
      <c r="BE125" s="893"/>
      <c r="BF125" s="893"/>
      <c r="BG125" s="893"/>
      <c r="BH125" s="897"/>
      <c r="BI125" s="897"/>
      <c r="BJ125" s="897"/>
      <c r="BK125" s="893"/>
      <c r="BL125" s="893"/>
      <c r="BM125" s="897"/>
      <c r="BN125" s="897"/>
      <c r="BO125" s="897"/>
      <c r="BP125" s="893"/>
      <c r="BQ125" s="897"/>
      <c r="BR125" s="897"/>
      <c r="BS125" s="897"/>
      <c r="BT125" s="897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</row>
    <row r="126" spans="4:82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41"/>
        <v/>
      </c>
      <c r="M126" s="816" t="str">
        <f t="shared" si="42"/>
        <v/>
      </c>
      <c r="N126" s="816" t="str">
        <f t="shared" si="40"/>
        <v/>
      </c>
      <c r="R126" s="816" t="str">
        <f t="shared" si="43"/>
        <v/>
      </c>
      <c r="T126" s="829" t="str">
        <f t="shared" si="39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  <c r="AG126" s="897"/>
      <c r="AH126" s="897"/>
      <c r="AI126" s="897"/>
      <c r="AJ126" s="897"/>
      <c r="AK126" s="893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7"/>
      <c r="BC126" s="897"/>
      <c r="BD126" s="893"/>
      <c r="BE126" s="893"/>
      <c r="BF126" s="893"/>
      <c r="BG126" s="893"/>
      <c r="BH126" s="897"/>
      <c r="BI126" s="897"/>
      <c r="BJ126" s="897"/>
      <c r="BK126" s="893"/>
      <c r="BL126" s="893"/>
      <c r="BM126" s="897"/>
      <c r="BN126" s="897"/>
      <c r="BO126" s="897"/>
      <c r="BP126" s="893"/>
      <c r="BQ126" s="897"/>
      <c r="BR126" s="897"/>
      <c r="BS126" s="897"/>
      <c r="BT126" s="897"/>
      <c r="BU126" s="897"/>
      <c r="BV126" s="897"/>
      <c r="BW126" s="897"/>
      <c r="BX126" s="897"/>
      <c r="BY126" s="897"/>
      <c r="BZ126" s="897"/>
      <c r="CA126" s="897"/>
      <c r="CB126" s="897"/>
      <c r="CC126" s="897"/>
      <c r="CD126" s="897"/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41"/>
        <v/>
      </c>
      <c r="M127" s="816" t="str">
        <f t="shared" si="42"/>
        <v/>
      </c>
      <c r="N127" s="816" t="str">
        <f t="shared" si="40"/>
        <v/>
      </c>
      <c r="R127" s="816" t="str">
        <f t="shared" si="43"/>
        <v/>
      </c>
      <c r="T127" s="829" t="str">
        <f t="shared" si="39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41"/>
        <v/>
      </c>
      <c r="M128" s="816" t="str">
        <f t="shared" si="42"/>
        <v/>
      </c>
      <c r="N128" s="816" t="str">
        <f t="shared" si="40"/>
        <v/>
      </c>
      <c r="R128" s="816" t="str">
        <f t="shared" si="43"/>
        <v/>
      </c>
      <c r="T128" s="829" t="str">
        <f t="shared" si="39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41"/>
        <v/>
      </c>
      <c r="M129" s="816" t="str">
        <f t="shared" si="42"/>
        <v/>
      </c>
      <c r="N129" s="816" t="str">
        <f t="shared" si="40"/>
        <v/>
      </c>
      <c r="R129" s="816" t="str">
        <f t="shared" si="43"/>
        <v/>
      </c>
      <c r="T129" s="829" t="str">
        <f t="shared" si="39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41"/>
        <v/>
      </c>
      <c r="M130" s="816" t="str">
        <f t="shared" si="42"/>
        <v/>
      </c>
      <c r="N130" s="816" t="str">
        <f t="shared" si="40"/>
        <v/>
      </c>
      <c r="R130" s="816" t="str">
        <f t="shared" si="43"/>
        <v/>
      </c>
      <c r="T130" s="829" t="str">
        <f t="shared" si="39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41"/>
        <v/>
      </c>
      <c r="M131" s="816" t="str">
        <f t="shared" si="42"/>
        <v/>
      </c>
      <c r="N131" s="816" t="str">
        <f t="shared" si="40"/>
        <v/>
      </c>
      <c r="R131" s="816" t="str">
        <f t="shared" si="43"/>
        <v/>
      </c>
      <c r="T131" s="829" t="str">
        <f t="shared" si="39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IF($J131="","",IF(SUM(IF(ISNUMBER(VALUE(RIGHT($AG131:$CI131,1))),VALUE(RIGHT($AG131:$CI131,1)),0))=$J131,"T","F"))</f>
        <v/>
      </c>
      <c r="AE131" s="816" t="str">
        <f t="array" ref="AE131">IF($J131="","",SUM(IF(LEFT($AG131:$DU131,1)="s",1,0))-SUM(IF(RIGHT(LEFT($AG131:$DU131,2))="-",1,0)))</f>
        <v/>
      </c>
      <c r="AF131" s="816" t="str">
        <f t="array" ref="AF131">IF($J131="","",SUM(IF(LEFT($AG131:$DA131,1)="X",1,0)))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41"/>
        <v/>
      </c>
      <c r="M132" s="816" t="str">
        <f t="shared" si="42"/>
        <v/>
      </c>
      <c r="N132" s="816" t="str">
        <f t="shared" si="40"/>
        <v/>
      </c>
      <c r="R132" s="816" t="str">
        <f t="shared" si="43"/>
        <v/>
      </c>
      <c r="T132" s="829" t="str">
        <f t="shared" si="39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IF($J132="","",IF(SUM(IF(ISNUMBER(VALUE(RIGHT($AG132:$CI132,1))),VALUE(RIGHT($AG132:$CI132,1)),0))=$J132,"T","F"))</f>
        <v/>
      </c>
      <c r="AE132" s="816" t="str">
        <f t="array" ref="AE132">IF($J132="","",SUM(IF(LEFT($AG132:$DU132,1)="s",1,0))-SUM(IF(RIGHT(LEFT($AG132:$DU132,2))="-",1,0)))</f>
        <v/>
      </c>
      <c r="AF132" s="816" t="str">
        <f t="array" ref="AF132">IF($J132="","",SUM(IF(LEFT($AG132:$DA132,1)="X",1,0)))</f>
        <v/>
      </c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</sheetData>
  <autoFilter ref="A22:DG79"/>
  <mergeCells count="3">
    <mergeCell ref="AA19:AB19"/>
    <mergeCell ref="W19:X19"/>
    <mergeCell ref="Y19:Z19"/>
  </mergeCells>
  <phoneticPr fontId="21" type="noConversion"/>
  <conditionalFormatting sqref="AD23:AD309">
    <cfRule type="cellIs" dxfId="900" priority="114" operator="equal">
      <formula>"T"</formula>
    </cfRule>
  </conditionalFormatting>
  <conditionalFormatting sqref="N23:N309">
    <cfRule type="cellIs" dxfId="899" priority="121" stopIfTrue="1" operator="equal">
      <formula>"U"</formula>
    </cfRule>
    <cfRule type="cellIs" dxfId="898" priority="122" stopIfTrue="1" operator="equal">
      <formula>"O"</formula>
    </cfRule>
  </conditionalFormatting>
  <conditionalFormatting sqref="L23:L309">
    <cfRule type="cellIs" dxfId="897" priority="119" stopIfTrue="1" operator="equal">
      <formula>"W"</formula>
    </cfRule>
    <cfRule type="cellIs" dxfId="896" priority="120" stopIfTrue="1" operator="equal">
      <formula>"D"</formula>
    </cfRule>
  </conditionalFormatting>
  <conditionalFormatting sqref="AF23:AF309">
    <cfRule type="cellIs" dxfId="895" priority="117" stopIfTrue="1" operator="notEqual">
      <formula>11</formula>
    </cfRule>
    <cfRule type="cellIs" dxfId="894" priority="118" stopIfTrue="1" operator="between">
      <formula>0</formula>
      <formula>20</formula>
    </cfRule>
  </conditionalFormatting>
  <conditionalFormatting sqref="AE23:AE309">
    <cfRule type="cellIs" dxfId="893" priority="115" stopIfTrue="1" operator="notEqual">
      <formula>0</formula>
    </cfRule>
    <cfRule type="cellIs" dxfId="892" priority="116" stopIfTrue="1" operator="between">
      <formula>0</formula>
      <formula>20</formula>
    </cfRule>
  </conditionalFormatting>
  <conditionalFormatting sqref="CF19:CW19">
    <cfRule type="expression" dxfId="891" priority="110">
      <formula>CF19="G"</formula>
    </cfRule>
    <cfRule type="expression" dxfId="890" priority="111">
      <formula>CF19="M"</formula>
    </cfRule>
    <cfRule type="expression" dxfId="889" priority="112">
      <formula>CF19="D"</formula>
    </cfRule>
    <cfRule type="expression" dxfId="888" priority="113">
      <formula>CF19="A"</formula>
    </cfRule>
  </conditionalFormatting>
  <conditionalFormatting sqref="AK19:AS19 AU19:BJ19 BM19:CE19">
    <cfRule type="expression" dxfId="887" priority="106">
      <formula>AK19="G"</formula>
    </cfRule>
    <cfRule type="expression" dxfId="886" priority="107">
      <formula>OR(AK19="M",AK19="CM",AK19="LM",AK19="RM",AK19="DM",AK19="AM")</formula>
    </cfRule>
    <cfRule type="expression" dxfId="885" priority="108">
      <formula>OR(AK19="D",AK19="CB",AK19="LB",AK19="RB")</formula>
    </cfRule>
    <cfRule type="expression" dxfId="884" priority="109">
      <formula>OR(AK19="A",AK19="CF",AK19="SS",AK19="ST",AK19="RW",AK19="LW")</formula>
    </cfRule>
  </conditionalFormatting>
  <conditionalFormatting sqref="BM16:BN16 AG16:BJ16">
    <cfRule type="top10" dxfId="883" priority="123" stopIfTrue="1" rank="5"/>
  </conditionalFormatting>
  <conditionalFormatting sqref="BM15:BN15 AG15:BJ15">
    <cfRule type="top10" dxfId="882" priority="124" rank="11"/>
  </conditionalFormatting>
  <conditionalFormatting sqref="BM17:BN17 AG17:BJ17">
    <cfRule type="top10" dxfId="881" priority="125" stopIfTrue="1" rank="5"/>
  </conditionalFormatting>
  <conditionalFormatting sqref="BM14:BN14 AG14:BJ14">
    <cfRule type="top10" dxfId="880" priority="126" rank="11"/>
  </conditionalFormatting>
  <conditionalFormatting sqref="BO14:CE18">
    <cfRule type="expression" dxfId="879" priority="101">
      <formula>BO14="G"</formula>
    </cfRule>
    <cfRule type="expression" dxfId="878" priority="102">
      <formula>OR(BO14="M",BO14="CM",BO14="LM",BO14="RM",BO14="DM",BO14="AM")</formula>
    </cfRule>
    <cfRule type="expression" dxfId="877" priority="103">
      <formula>OR(BO14="D",BO14="CB",BO14="LB",BO14="RB")</formula>
    </cfRule>
    <cfRule type="expression" dxfId="876" priority="104">
      <formula>OR(BO14="A",BO14="CF",BO14="SS",BO14="ST",BO14="RW",BO14="LW")</formula>
    </cfRule>
  </conditionalFormatting>
  <conditionalFormatting sqref="BL23:BL26 AG41:AH41 AK42:AT47 BO49:BO72 BO43:BV69 BO42:BW42 BO23:BV41 BC23:BJ26 BC27:BL72 AG43:AH50 AK48:AS48 AG23:AZ40 AK41:AZ41 AU42:AZ48 AG51:AZ72 AK49:AZ50 BA23:BB72 BM23:BN72">
    <cfRule type="expression" dxfId="875" priority="84">
      <formula>IF(ISNUMBER(VALUE(RIGHT(AG23,1))),1,0)</formula>
    </cfRule>
  </conditionalFormatting>
  <conditionalFormatting sqref="AY41">
    <cfRule type="expression" dxfId="874" priority="80">
      <formula>IF(ISNUMBER(VALUE(RIGHT(AY41,1))),1,0)</formula>
    </cfRule>
  </conditionalFormatting>
  <conditionalFormatting sqref="BM41 BM47:BM48 BM53:BM69 BM71 BM43:BM44">
    <cfRule type="expression" dxfId="873" priority="79">
      <formula>IF(ISNUMBER(VALUE(RIGHT(BM41,1))),1,0)</formula>
    </cfRule>
  </conditionalFormatting>
  <conditionalFormatting sqref="BM45:BM46">
    <cfRule type="expression" dxfId="872" priority="78">
      <formula>IF(ISNUMBER(VALUE(RIGHT(BM45,1))),1,0)</formula>
    </cfRule>
  </conditionalFormatting>
  <conditionalFormatting sqref="AK45:AK46">
    <cfRule type="expression" dxfId="871" priority="77">
      <formula>IF(ISNUMBER(VALUE(RIGHT(AK45,1))),1,0)</formula>
    </cfRule>
  </conditionalFormatting>
  <conditionalFormatting sqref="AK47">
    <cfRule type="expression" dxfId="870" priority="75">
      <formula>IF(ISNUMBER(VALUE(RIGHT(AK47,1))),1,0)</formula>
    </cfRule>
  </conditionalFormatting>
  <conditionalFormatting sqref="AK48">
    <cfRule type="expression" dxfId="869" priority="74">
      <formula>IF(ISNUMBER(VALUE(RIGHT(AK48,1))),1,0)</formula>
    </cfRule>
  </conditionalFormatting>
  <conditionalFormatting sqref="AY49:AZ49 AY50">
    <cfRule type="expression" dxfId="868" priority="73">
      <formula>IF(ISNUMBER(VALUE(RIGHT(AY49,1))),1,0)</formula>
    </cfRule>
  </conditionalFormatting>
  <conditionalFormatting sqref="BM49">
    <cfRule type="expression" dxfId="867" priority="72">
      <formula>IF(ISNUMBER(VALUE(RIGHT(BM49,1))),1,0)</formula>
    </cfRule>
  </conditionalFormatting>
  <conditionalFormatting sqref="AK49">
    <cfRule type="expression" dxfId="866" priority="71">
      <formula>IF(ISNUMBER(VALUE(RIGHT(AK49,1))),1,0)</formula>
    </cfRule>
  </conditionalFormatting>
  <conditionalFormatting sqref="AZ50:AZ51">
    <cfRule type="expression" dxfId="865" priority="70">
      <formula>IF(ISNUMBER(VALUE(RIGHT(AZ50,1))),1,0)</formula>
    </cfRule>
  </conditionalFormatting>
  <conditionalFormatting sqref="BM50">
    <cfRule type="expression" dxfId="864" priority="69">
      <formula>IF(ISNUMBER(VALUE(RIGHT(BM50,1))),1,0)</formula>
    </cfRule>
  </conditionalFormatting>
  <conditionalFormatting sqref="AK50">
    <cfRule type="expression" dxfId="863" priority="68">
      <formula>IF(ISNUMBER(VALUE(RIGHT(AK50,1))),1,0)</formula>
    </cfRule>
  </conditionalFormatting>
  <conditionalFormatting sqref="AG51:AL51 AR51:AY51 AN51:AP51">
    <cfRule type="expression" dxfId="862" priority="67">
      <formula>IF(ISNUMBER(VALUE(RIGHT(AG51,1))),1,0)</formula>
    </cfRule>
  </conditionalFormatting>
  <conditionalFormatting sqref="BM51">
    <cfRule type="expression" dxfId="861" priority="66">
      <formula>IF(ISNUMBER(VALUE(RIGHT(BM51,1))),1,0)</formula>
    </cfRule>
  </conditionalFormatting>
  <conditionalFormatting sqref="AI52:AJ56">
    <cfRule type="expression" dxfId="860" priority="65">
      <formula>IF(ISNUMBER(VALUE(RIGHT(AI52,1))),1,0)</formula>
    </cfRule>
  </conditionalFormatting>
  <conditionalFormatting sqref="AK52">
    <cfRule type="expression" dxfId="859" priority="64">
      <formula>IF(ISNUMBER(VALUE(RIGHT(AK52,1))),1,0)</formula>
    </cfRule>
  </conditionalFormatting>
  <conditionalFormatting sqref="BM52">
    <cfRule type="expression" dxfId="858" priority="63">
      <formula>IF(ISNUMBER(VALUE(RIGHT(BM52,1))),1,0)</formula>
    </cfRule>
  </conditionalFormatting>
  <conditionalFormatting sqref="AG19:AS19 AU19:BJ19 BM19:BN19">
    <cfRule type="cellIs" dxfId="857" priority="61" operator="equal">
      <formula>"M"</formula>
    </cfRule>
  </conditionalFormatting>
  <conditionalFormatting sqref="AG19:AS19 AU19:BJ19 BM19:BN19">
    <cfRule type="cellIs" dxfId="856" priority="60" operator="equal">
      <formula>"D"</formula>
    </cfRule>
  </conditionalFormatting>
  <conditionalFormatting sqref="AG19:AS19 AU19:BJ19 BM19:BN19">
    <cfRule type="cellIs" dxfId="855" priority="58" operator="equal">
      <formula>"G"</formula>
    </cfRule>
    <cfRule type="cellIs" dxfId="854" priority="59" operator="equal">
      <formula>"A"</formula>
    </cfRule>
  </conditionalFormatting>
  <conditionalFormatting sqref="AG19:AS19 AU19:BJ19 BM19:BN19">
    <cfRule type="containsText" dxfId="853" priority="55" operator="containsText" text="FW">
      <formula>NOT(ISERROR(SEARCH("FW",AG19)))</formula>
    </cfRule>
    <cfRule type="containsText" dxfId="852" priority="56" operator="containsText" text="MF">
      <formula>NOT(ISERROR(SEARCH("MF",AG19)))</formula>
    </cfRule>
    <cfRule type="containsText" dxfId="851" priority="57" operator="containsText" text="DF">
      <formula>NOT(ISERROR(SEARCH("DF",AG19)))</formula>
    </cfRule>
  </conditionalFormatting>
  <conditionalFormatting sqref="BL19">
    <cfRule type="expression" dxfId="850" priority="51">
      <formula>BL19="G"</formula>
    </cfRule>
    <cfRule type="expression" dxfId="849" priority="52">
      <formula>OR(BL19="M",BL19="CM",BL19="LM",BL19="RM",BL19="DM",BL19="AM")</formula>
    </cfRule>
    <cfRule type="expression" dxfId="848" priority="53">
      <formula>OR(BL19="D",BL19="CB",BL19="LB",BL19="RB")</formula>
    </cfRule>
    <cfRule type="expression" dxfId="847" priority="54">
      <formula>OR(BL19="A",BL19="CF",BL19="SS",BL19="ST",BL19="RW",BL19="LW")</formula>
    </cfRule>
  </conditionalFormatting>
  <conditionalFormatting sqref="BK14:BL17 BL18">
    <cfRule type="expression" dxfId="846" priority="47">
      <formula>BK14="G"</formula>
    </cfRule>
    <cfRule type="expression" dxfId="845" priority="48">
      <formula>OR(BK14="M",BK14="CM",BK14="LM",BK14="RM",BK14="DM",BK14="AM")</formula>
    </cfRule>
    <cfRule type="expression" dxfId="844" priority="49">
      <formula>OR(BK14="D",BK14="CB",BK14="LB",BK14="RB")</formula>
    </cfRule>
    <cfRule type="expression" dxfId="843" priority="50">
      <formula>OR(BK14="A",BK14="CF",BK14="SS",BK14="ST",BK14="RW",BK14="LW")</formula>
    </cfRule>
  </conditionalFormatting>
  <conditionalFormatting sqref="AG42:AH42">
    <cfRule type="expression" dxfId="842" priority="25">
      <formula>IF(ISNUMBER(VALUE(RIGHT(AG42,1))),1,0)</formula>
    </cfRule>
  </conditionalFormatting>
  <conditionalFormatting sqref="AI41:AJ42 AI45:AJ50">
    <cfRule type="expression" dxfId="841" priority="15">
      <formula>IF(ISNUMBER(VALUE(RIGHT(AI41,1))),1,0)</formula>
    </cfRule>
  </conditionalFormatting>
  <conditionalFormatting sqref="AI43:AJ43">
    <cfRule type="expression" dxfId="840" priority="14">
      <formula>IF(ISNUMBER(VALUE(RIGHT(AI43,1))),1,0)</formula>
    </cfRule>
  </conditionalFormatting>
  <conditionalFormatting sqref="AT19">
    <cfRule type="expression" dxfId="839" priority="10">
      <formula>AT19="G"</formula>
    </cfRule>
    <cfRule type="expression" dxfId="838" priority="11">
      <formula>OR(AT19="M",AT19="CM",AT19="LM",AT19="RM",AT19="DM",AT19="AM")</formula>
    </cfRule>
    <cfRule type="expression" dxfId="837" priority="12">
      <formula>OR(AT19="D",AT19="CB",AT19="LB",AT19="RB")</formula>
    </cfRule>
    <cfRule type="expression" dxfId="836" priority="13">
      <formula>OR(AT19="A",AT19="CF",AT19="SS",AT19="ST",AT19="RW",AT19="LW")</formula>
    </cfRule>
  </conditionalFormatting>
  <conditionalFormatting sqref="AT19">
    <cfRule type="cellIs" dxfId="835" priority="9" operator="equal">
      <formula>"M"</formula>
    </cfRule>
  </conditionalFormatting>
  <conditionalFormatting sqref="AT19">
    <cfRule type="cellIs" dxfId="834" priority="8" operator="equal">
      <formula>"D"</formula>
    </cfRule>
  </conditionalFormatting>
  <conditionalFormatting sqref="AT19">
    <cfRule type="cellIs" dxfId="833" priority="6" operator="equal">
      <formula>"G"</formula>
    </cfRule>
    <cfRule type="cellIs" dxfId="832" priority="7" operator="equal">
      <formula>"A"</formula>
    </cfRule>
  </conditionalFormatting>
  <conditionalFormatting sqref="AT19">
    <cfRule type="containsText" dxfId="831" priority="3" operator="containsText" text="FW">
      <formula>NOT(ISERROR(SEARCH("FW",AT19)))</formula>
    </cfRule>
    <cfRule type="containsText" dxfId="830" priority="4" operator="containsText" text="MF">
      <formula>NOT(ISERROR(SEARCH("MF",AT19)))</formula>
    </cfRule>
    <cfRule type="containsText" dxfId="829" priority="5" operator="containsText" text="DF">
      <formula>NOT(ISERROR(SEARCH("DF",AT19)))</formula>
    </cfRule>
  </conditionalFormatting>
  <conditionalFormatting sqref="AI44:AJ44">
    <cfRule type="expression" dxfId="828" priority="2">
      <formula>IF(ISNUMBER(VALUE(RIGHT(AI44,1))),1,0)</formula>
    </cfRule>
  </conditionalFormatting>
  <conditionalFormatting sqref="AT48">
    <cfRule type="expression" dxfId="827" priority="1">
      <formula>IF(ISNUMBER(VALUE(RIGHT(AT48,1))),1,0)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DT236"/>
  <sheetViews>
    <sheetView zoomScale="90" zoomScaleNormal="90" workbookViewId="0">
      <pane xSplit="32" ySplit="22" topLeftCell="AG59" activePane="bottomRight" state="frozen"/>
      <selection activeCell="AI58" activeCellId="3" sqref="BA21 Q57 AE61:AI62 AI24:AI58"/>
      <selection pane="topRight" activeCell="AI58" activeCellId="3" sqref="BA21 Q57 AE61:AI62 AI24:AI58"/>
      <selection pane="bottomLeft" activeCell="AI58" activeCellId="3" sqref="BA21 Q57 AE61:AI62 AI24:AI58"/>
      <selection pane="bottomRight" activeCell="AA65" sqref="AA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7" width="3.75" style="230" customWidth="1"/>
    <col min="48" max="48" width="3.75" bestFit="1" customWidth="1"/>
    <col min="49" max="53" width="3.75" customWidth="1"/>
    <col min="54" max="62" width="3.75" style="230" customWidth="1"/>
    <col min="63" max="63" width="3.75" bestFit="1" customWidth="1"/>
    <col min="64" max="64" width="3.75" customWidth="1"/>
    <col min="65" max="65" width="3.75" style="230" customWidth="1"/>
    <col min="66" max="66" width="3.75" bestFit="1" customWidth="1"/>
    <col min="67" max="69" width="3.75" style="230" customWidth="1"/>
    <col min="70" max="70" width="3.75" bestFit="1" customWidth="1"/>
    <col min="71" max="71" width="3.75" style="230" customWidth="1"/>
    <col min="72" max="72" width="3.75" bestFit="1" customWidth="1"/>
    <col min="73" max="105" width="3.75" style="230" customWidth="1"/>
    <col min="106" max="16384" width="5.75" style="230"/>
  </cols>
  <sheetData>
    <row r="1" spans="1:93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str">
        <f>AG20</f>
        <v>Masaaki Murakami</v>
      </c>
      <c r="AK1" s="814" t="str">
        <f>AI20</f>
        <v>Daisuke Yoshimitsu</v>
      </c>
      <c r="AL1" s="814" t="str">
        <f>AJ20</f>
        <v>Masafumi Miyagi</v>
      </c>
      <c r="AM1" s="814" t="str">
        <f>AL20</f>
        <v>Yohei Fukumoto</v>
      </c>
      <c r="AN1" s="814"/>
      <c r="AO1" s="814"/>
      <c r="AP1" s="814" t="str">
        <f>AN20</f>
        <v>Yuki Kagawa</v>
      </c>
      <c r="AQ1" s="814"/>
      <c r="AR1" s="814" t="str">
        <f>AO20</f>
        <v>Yuji Hoshi</v>
      </c>
      <c r="AS1" s="814"/>
      <c r="AT1" s="814"/>
      <c r="AU1" s="814" t="str">
        <f>BD20</f>
        <v>Yuya Torikai</v>
      </c>
      <c r="BB1" s="814" t="str">
        <f>AP20</f>
        <v>Yuma Hiroki</v>
      </c>
      <c r="BC1" s="814" t="str">
        <f>AY20</f>
        <v>Kazuki Kozuka</v>
      </c>
      <c r="BD1" s="814" t="str">
        <f>BA20</f>
        <v>Hideya Okamoto</v>
      </c>
      <c r="BE1" s="814" t="e">
        <f>#REF!</f>
        <v>#REF!</v>
      </c>
      <c r="BF1" s="814" t="str">
        <f>BC20</f>
        <v>Kazuhito Kishida</v>
      </c>
      <c r="BG1" s="814">
        <f>BW20</f>
        <v>0</v>
      </c>
      <c r="BH1" s="814"/>
      <c r="BI1" s="814" t="str">
        <f>BH20</f>
        <v>Tsugutoshi Oishi</v>
      </c>
      <c r="BJ1" s="814"/>
      <c r="BM1" s="814">
        <f>BM20</f>
        <v>0</v>
      </c>
      <c r="BO1" s="814"/>
      <c r="BP1" s="814"/>
      <c r="BQ1" s="814"/>
      <c r="BS1" s="814">
        <f>BS20</f>
        <v>0</v>
      </c>
      <c r="BU1" s="814">
        <f>BU20</f>
        <v>0</v>
      </c>
      <c r="BV1" s="814">
        <f>BV20</f>
        <v>0</v>
      </c>
      <c r="BW1" s="814" t="e">
        <f>#REF!</f>
        <v>#REF!</v>
      </c>
      <c r="BX1" s="814"/>
      <c r="BY1" s="814"/>
      <c r="BZ1" s="814"/>
      <c r="CA1" s="814"/>
      <c r="CB1" s="814">
        <f t="shared" ref="CB1:CH1" si="0">CB20</f>
        <v>0</v>
      </c>
      <c r="CC1" s="814">
        <f t="shared" si="0"/>
        <v>0</v>
      </c>
      <c r="CD1" s="814">
        <f t="shared" si="0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ref="CI1:CO1" si="1">CI20</f>
        <v>0</v>
      </c>
      <c r="CJ1" s="814">
        <f t="shared" si="1"/>
        <v>0</v>
      </c>
      <c r="CK1" s="814">
        <f t="shared" si="1"/>
        <v>0</v>
      </c>
      <c r="CL1" s="814">
        <f t="shared" si="1"/>
        <v>0</v>
      </c>
      <c r="CM1" s="814">
        <f t="shared" si="1"/>
        <v>0</v>
      </c>
      <c r="CN1" s="814">
        <f t="shared" si="1"/>
        <v>0</v>
      </c>
      <c r="CO1" s="814">
        <f t="shared" si="1"/>
        <v>0</v>
      </c>
    </row>
    <row r="2" spans="1:93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SUM(IF(L$23:L$238="",0,1)*IF(ISBLANK($T$1),1,IF($I$23:$I$238=$T$1,1,0)))</f>
        <v>43</v>
      </c>
      <c r="AG2" s="874">
        <f t="array" ref="AG2">SUM(IF(ISBLANK(AG$23:AG$238),0,IF(AG$23:AG$238="susp",0,1))*IF(ISBLANK($T$1),1,IF($I$23:$I$238=$T$1,1,0)))</f>
        <v>41</v>
      </c>
      <c r="AH2" s="874">
        <f t="array" ref="AH2">SUM(IF(ISBLANK(AH$23:AH$238),0,IF(AH$23:AH$238="susp",0,1))*IF(ISBLANK($T$1),1,IF($I$23:$I$238=$T$1,1,0)))</f>
        <v>42</v>
      </c>
      <c r="AI2" s="874">
        <f t="array" ref="AI2">SUM(IF(ISBLANK(AI$23:AI$238),0,IF(AI$23:AI$238="susp",0,1))*IF(ISBLANK($T$1),1,IF($I$23:$I$238=$T$1,1,0)))</f>
        <v>42</v>
      </c>
      <c r="AK2" s="874">
        <f t="array" ref="AK2">SUM(IF(ISBLANK(AK$23:AK$238),0,IF(AK$23:AK$238="susp",0,1))*IF(ISBLANK($T$1),1,IF($I$23:$I$238=$T$1,1,0)))</f>
        <v>42</v>
      </c>
      <c r="AL2" s="874">
        <f t="array" ref="AL2">SUM(IF(ISBLANK(AL$23:AL$238),0,IF(AL$23:AL$238="susp",0,1))*IF(ISBLANK($T$1),1,IF($I$23:$I$238=$T$1,1,0)))</f>
        <v>42</v>
      </c>
      <c r="AM2" s="874">
        <f t="array" ref="AM2">SUM(IF(ISBLANK(AM$23:AM$238),0,IF(AM$23:AM$238="susp",0,1))*IF(ISBLANK($T$1),1,IF($I$23:$I$238=$T$1,1,0)))</f>
        <v>43</v>
      </c>
      <c r="AP2" s="874">
        <f t="array" ref="AP2">SUM(IF(ISBLANK(AP$23:AP$238),0,IF(AP$23:AP$238="susp",0,1))*IF(ISBLANK($T$1),1,IF($I$23:$I$238=$T$1,1,0)))</f>
        <v>43</v>
      </c>
      <c r="AR2" s="874">
        <f t="array" ref="AR2">SUM(IF(ISBLANK(AR$23:AR$238),0,IF(AR$23:AR$238="susp",0,1))*IF(ISBLANK($T$1),1,IF($I$23:$I$238=$T$1,1,0)))</f>
        <v>43</v>
      </c>
      <c r="AU2" s="874">
        <f t="array" ref="AU2">SUM(IF(ISBLANK(AU$23:AU$238),0,IF(AU$23:AU$238="susp",0,1))*IF(ISBLANK($T$1),1,IF($I$23:$I$238=$T$1,1,0)))</f>
        <v>43</v>
      </c>
      <c r="BB2" s="874">
        <f t="array" ref="BB2">SUM(IF(ISBLANK(BB$23:BB$238),0,IF(BB$23:BB$238="susp",0,1))*IF(ISBLANK($T$1),1,IF($I$23:$I$238=$T$1,1,0)))</f>
        <v>43</v>
      </c>
      <c r="BC2" s="874">
        <f t="array" ref="BC2">SUM(IF(ISBLANK(BC$23:BC$238),0,IF(BC$23:BC$238="susp",0,1))*IF(ISBLANK($T$1),1,IF($I$23:$I$238=$T$1,1,0)))</f>
        <v>42</v>
      </c>
      <c r="BD2" s="874">
        <f t="array" ref="BD2">SUM(IF(ISBLANK(BD$23:BD$238),0,IF(BD$23:BD$238="susp",0,1))*IF(ISBLANK($T$1),1,IF($I$23:$I$238=$T$1,1,0)))</f>
        <v>42</v>
      </c>
      <c r="BE2" s="874">
        <f t="array" ref="BE2">SUM(IF(ISBLANK(BE$23:BE$238),0,IF(BE$23:BE$238="susp",0,1))*IF(ISBLANK($T$1),1,IF($I$23:$I$238=$T$1,1,0)))</f>
        <v>43</v>
      </c>
      <c r="BF2" s="874">
        <f t="array" ref="BF2">SUM(IF(ISBLANK(BF$23:BF$238),0,IF(BF$23:BF$238="susp",0,1))*IF(ISBLANK($T$1),1,IF($I$23:$I$238=$T$1,1,0)))</f>
        <v>19</v>
      </c>
      <c r="BG2" s="874">
        <f t="array" ref="BG2">SUM(IF(ISBLANK(BG$23:BG$238),0,IF(BG$23:BG$238="susp",0,1))*IF(ISBLANK($T$1),1,IF($I$23:$I$238=$T$1,1,0)))</f>
        <v>38</v>
      </c>
      <c r="BI2" s="874">
        <f t="array" ref="BI2">SUM(IF(ISBLANK(BI$23:BI$238),0,IF(BI$23:BI$238="susp",0,1))*IF(ISBLANK($T$1),1,IF($I$23:$I$238=$T$1,1,0)))</f>
        <v>1</v>
      </c>
      <c r="BM2" s="874">
        <f t="array" ref="BM2">SUM(IF(ISBLANK(BM$23:BM$238),0,IF(BM$23:BM$238="susp",0,1))*IF(ISBLANK($T$1),1,IF($I$23:$I$238=$T$1,1,0)))</f>
        <v>0</v>
      </c>
      <c r="BS2" s="874">
        <f t="array" ref="BS2">SUM(IF(ISBLANK(BS$23:BS$238),0,IF(BS$23:BS$238="susp",0,1))*IF(ISBLANK($T$1),1,IF($I$23:$I$238=$T$1,1,0)))</f>
        <v>1</v>
      </c>
      <c r="BU2" s="874">
        <f t="array" ref="BU2">SUM(IF(ISBLANK(BU$23:BU$238),0,IF(BU$23:BU$238="susp",0,1))*IF(ISBLANK($T$1),1,IF($I$23:$I$238=$T$1,1,0)))</f>
        <v>1</v>
      </c>
      <c r="BV2" s="874">
        <f t="array" ref="BV2">SUM(IF(ISBLANK(BV$23:BV$238),0,IF(BV$23:BV$238="susp",0,1))*IF(ISBLANK($T$1),1,IF($I$23:$I$238=$T$1,1,0)))</f>
        <v>1</v>
      </c>
      <c r="BW2" s="874">
        <f t="array" ref="BW2">SUM(IF(ISBLANK(BW$41:BW$238),0,IF(BW$41:BW$238="susp",0,1))*IF(ISBLANK($T$1),1,IF($I$23:$I$238=$T$1,1,0)))</f>
        <v>1</v>
      </c>
      <c r="CB2" s="874">
        <f t="array" ref="CB2">SUM(IF(ISBLANK(CB$23:CB$238),0,IF(CB$23:CB$238="susp",0,1))*IF(ISBLANK($T$1),1,IF($I$23:$I$238=$T$1,1,0)))</f>
        <v>0</v>
      </c>
      <c r="CC2" s="874">
        <f t="array" ref="CC2">SUM(IF(ISBLANK(CC$23:CC$238),0,IF(CC$23:CC$238="susp",0,1))*IF(ISBLANK($T$1),1,IF($I$23:$I$238=$T$1,1,0)))</f>
        <v>0</v>
      </c>
      <c r="CD2" s="874">
        <f t="array" ref="CD2">SUM(IF(ISBLANK(CD$23:CD$238),0,IF(CD$23:CD$238="susp",0,1))*IF(ISBLANK($T$1),1,IF($I$23:$I$238=$T$1,1,0)))</f>
        <v>0</v>
      </c>
      <c r="CE2" s="874">
        <f t="array" ref="CE2">SUM(IF(ISBLANK(CE$23:CE$238),0,IF(CE$23:CE$238="susp",0,1))*IF(ISBLANK($T$1),1,IF($I$23:$I$238=$T$1,1,0)))</f>
        <v>0</v>
      </c>
      <c r="CF2" s="874">
        <f t="array" ref="CF2">SUM(IF(ISBLANK(CF$23:CF$238),0,IF(CF$23:CF$238="susp",0,1))*IF(ISBLANK($T$1),1,IF($I$23:$I$238=$T$1,1,0)))</f>
        <v>0</v>
      </c>
      <c r="CG2" s="874">
        <f t="array" ref="CG2">SUM(IF(ISBLANK(CG$23:CG$238),0,IF(CG$23:CG$238="susp",0,1))*IF(ISBLANK($T$1),1,IF($I$23:$I$238=$T$1,1,0)))</f>
        <v>0</v>
      </c>
      <c r="CH2" s="874">
        <f t="array" ref="CH2">SUM(IF(ISBLANK(CH$23:CH$238),0,IF(CH$23:CH$238="susp",0,1))*IF(ISBLANK($T$1),1,IF($I$23:$I$238=$T$1,1,0)))</f>
        <v>0</v>
      </c>
      <c r="CI2" s="874">
        <f t="array" ref="CI2">SUM(IF(ISBLANK(CI$23:CI$238),0,IF(CI$23:CI$238="susp",0,1))*IF(ISBLANK($T$1),1,IF($I$23:$I$238=$T$1,1,0)))</f>
        <v>0</v>
      </c>
      <c r="CJ2" s="874">
        <f t="array" ref="CJ2">SUM(IF(ISBLANK(CJ$23:CJ$238),0,IF(CJ$23:CJ$238="susp",0,1))*IF(ISBLANK($T$1),1,IF($I$23:$I$238=$T$1,1,0)))</f>
        <v>0</v>
      </c>
      <c r="CK2" s="874">
        <f t="array" ref="CK2">SUM(IF(ISBLANK(CK$23:CK$238),0,IF(CK$23:CK$238="susp",0,1))*IF(ISBLANK($T$1),1,IF($I$23:$I$238=$T$1,1,0)))</f>
        <v>0</v>
      </c>
      <c r="CL2" s="874">
        <f t="array" ref="CL2">SUM(IF(ISBLANK(CL$23:CL$238),0,IF(CL$23:CL$238="susp",0,1))*IF(ISBLANK($T$1),1,IF($I$23:$I$238=$T$1,1,0)))</f>
        <v>0</v>
      </c>
      <c r="CM2" s="874">
        <f t="array" ref="CM2">SUM(IF(ISBLANK(CM$23:CM$238),0,IF(CM$23:CM$238="susp",0,1))*IF(ISBLANK($T$1),1,IF($I$23:$I$238=$T$1,1,0)))</f>
        <v>16</v>
      </c>
      <c r="CN2" s="874">
        <f t="array" ref="CN2">SUM(IF(ISBLANK(CN$23:CN$238),0,IF(CN$23:CN$238="susp",0,1))*IF(ISBLANK($T$1),1,IF($I$23:$I$238=$T$1,1,0)))</f>
        <v>16</v>
      </c>
      <c r="CO2" s="874">
        <f t="array" ref="CO2">SUM(IF(ISBLANK(CO$23:CO$238),0,IF(CO$23:CO$238="susp",0,1))*IF(ISBLANK($T$1),1,IF($I$23:$I$238=$T$1,1,0)))</f>
        <v>15</v>
      </c>
    </row>
    <row r="3" spans="1:93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SUM(IF(L$23:L$238="W",1,0)*IF(ISBLANK($T$1),1,IF($I$23:$I$238=$T$1,1,0)))</f>
        <v>11</v>
      </c>
      <c r="AG3" s="874">
        <f t="array" ref="AG3">SUM(IF(ISTEXT(AG$23:AG$238),1,0)*IF(($L$23:$L$238)="W",1,0)*IF(ISBLANK($T$1),1,IF($I$23:$I$238=$T$1,1,0)))</f>
        <v>10</v>
      </c>
      <c r="AH3" s="874">
        <f t="array" ref="AH3">SUM(IF(ISTEXT(AH$23:AH$238),1,0)*IF(($L$23:$L$238)="W",1,0)*IF(ISBLANK($T$1),1,IF($I$23:$I$238=$T$1,1,0)))</f>
        <v>10</v>
      </c>
      <c r="AI3" s="874">
        <f t="array" ref="AI3">SUM(IF(ISTEXT(AI$23:AI$238),1,0)*IF(($L$23:$L$238)="W",1,0)*IF(ISBLANK($T$1),1,IF($I$23:$I$238=$T$1,1,0)))</f>
        <v>11</v>
      </c>
      <c r="AK3" s="874">
        <f t="array" ref="AK3">SUM(IF(ISTEXT(AK$23:AK$238),1,0)*IF(($L$23:$L$238)="W",1,0)*IF(ISBLANK($T$1),1,IF($I$23:$I$238=$T$1,1,0)))</f>
        <v>11</v>
      </c>
      <c r="AL3" s="874">
        <f t="array" ref="AL3">SUM(IF(ISTEXT(AL$23:AL$238),1,0)*IF(($L$23:$L$238)="W",1,0)*IF(ISBLANK($T$1),1,IF($I$23:$I$238=$T$1,1,0)))</f>
        <v>11</v>
      </c>
      <c r="AM3" s="874">
        <f t="array" ref="AM3">SUM(IF(ISTEXT(AM$23:AM$238),1,0)*IF(($L$23:$L$238)="W",1,0)*IF(ISBLANK($T$1),1,IF($I$23:$I$238=$T$1,1,0)))</f>
        <v>11</v>
      </c>
      <c r="AP3" s="874">
        <f t="array" ref="AP3">SUM(IF(ISTEXT(AP$23:AP$238),1,0)*IF(($L$23:$L$238)="W",1,0)*IF(ISBLANK($T$1),1,IF($I$23:$I$238=$T$1,1,0)))</f>
        <v>11</v>
      </c>
      <c r="AR3" s="874">
        <f t="array" ref="AR3">SUM(IF(ISTEXT(AR$23:AR$238),1,0)*IF(($L$23:$L$238)="W",1,0)*IF(ISBLANK($T$1),1,IF($I$23:$I$238=$T$1,1,0)))</f>
        <v>11</v>
      </c>
      <c r="AU3" s="874">
        <f t="array" ref="AU3">SUM(IF(ISTEXT(AU$23:AU$238),1,0)*IF(($L$23:$L$238)="W",1,0)*IF(ISBLANK($T$1),1,IF($I$23:$I$238=$T$1,1,0)))</f>
        <v>11</v>
      </c>
      <c r="BB3" s="874">
        <f t="array" ref="BB3">SUM(IF(ISTEXT(BB$23:BB$238),1,0)*IF(($L$23:$L$238)="W",1,0)*IF(ISBLANK($T$1),1,IF($I$23:$I$238=$T$1,1,0)))</f>
        <v>11</v>
      </c>
      <c r="BC3" s="874">
        <f t="array" ref="BC3">SUM(IF(ISTEXT(BC$23:BC$238),1,0)*IF(($L$23:$L$238)="W",1,0)*IF(ISBLANK($T$1),1,IF($I$23:$I$238=$T$1,1,0)))</f>
        <v>11</v>
      </c>
      <c r="BD3" s="874">
        <f t="array" ref="BD3">SUM(IF(ISTEXT(BD$23:BD$238),1,0)*IF(($L$23:$L$238)="W",1,0)*IF(ISBLANK($T$1),1,IF($I$23:$I$238=$T$1,1,0)))</f>
        <v>11</v>
      </c>
      <c r="BE3" s="874">
        <f t="array" ref="BE3">SUM(IF(ISTEXT(BE$23:BE$238),1,0)*IF(($L$23:$L$238)="W",1,0)*IF(ISBLANK($T$1),1,IF($I$23:$I$238=$T$1,1,0)))</f>
        <v>11</v>
      </c>
      <c r="BF3" s="874">
        <f t="array" ref="BF3">SUM(IF(ISTEXT(BF$23:BF$238),1,0)*IF(($L$23:$L$238)="W",1,0)*IF(ISBLANK($T$1),1,IF($I$23:$I$238=$T$1,1,0)))</f>
        <v>6</v>
      </c>
      <c r="BG3" s="874">
        <f t="array" ref="BG3">SUM(IF(ISTEXT(BG$23:BG$238),1,0)*IF(($L$23:$L$238)="W",1,0)*IF(ISBLANK($T$1),1,IF($I$23:$I$238=$T$1,1,0)))</f>
        <v>10</v>
      </c>
      <c r="BI3" s="874">
        <f t="array" ref="BI3">SUM(IF(ISTEXT(BI$23:BI$238),1,0)*IF(($L$23:$L$238)="W",1,0)*IF(ISBLANK($T$1),1,IF($I$23:$I$238=$T$1,1,0)))</f>
        <v>0</v>
      </c>
      <c r="BM3" s="874">
        <f t="array" ref="BM3">SUM(IF(ISTEXT(BM$23:BM$238),1,0)*IF(($L$23:$L$238)="W",1,0)*IF(ISBLANK($T$1),1,IF($I$23:$I$238=$T$1,1,0)))</f>
        <v>0</v>
      </c>
      <c r="BS3" s="874">
        <f t="array" ref="BS3">SUM(IF(ISTEXT(BS$23:BS$238),1,0)*IF(($L$23:$L$238)="W",1,0)*IF(ISBLANK($T$1),1,IF($I$23:$I$238=$T$1,1,0)))</f>
        <v>0</v>
      </c>
      <c r="BU3" s="874">
        <f t="array" ref="BU3">SUM(IF(ISTEXT(BU$23:BU$238),1,0)*IF(($L$23:$L$238)="W",1,0)*IF(ISBLANK($T$1),1,IF($I$23:$I$238=$T$1,1,0)))</f>
        <v>0</v>
      </c>
      <c r="BV3" s="874">
        <f t="array" ref="BV3">SUM(IF(ISTEXT(BV$23:BV$238),1,0)*IF(($L$23:$L$238)="W",1,0)*IF(ISBLANK($T$1),1,IF($I$23:$I$238=$T$1,1,0)))</f>
        <v>0</v>
      </c>
      <c r="BW3" s="874" t="e">
        <f t="array" ref="BW3">SUM(IF(ISTEXT(BW$41:BW$238),1,0)*IF(($L$23:$L$238)="W",1,0)*IF(ISBLANK($T$1),1,IF($I$23:$I$238=$T$1,1,0)))</f>
        <v>#N/A</v>
      </c>
      <c r="CB3" s="874">
        <f t="array" ref="CB3">SUM(IF(ISTEXT(CB$23:CB$238),1,0)*IF(($L$23:$L$238)="W",1,0)*IF(ISBLANK($T$1),1,IF($I$23:$I$238=$T$1,1,0)))</f>
        <v>0</v>
      </c>
      <c r="CC3" s="874">
        <f t="array" ref="CC3">SUM(IF(ISTEXT(CC$23:CC$238),1,0)*IF(($L$23:$L$238)="W",1,0)*IF(ISBLANK($T$1),1,IF($I$23:$I$238=$T$1,1,0)))</f>
        <v>0</v>
      </c>
      <c r="CD3" s="874">
        <f t="array" ref="CD3">SUM(IF(ISTEXT(CD$23:CD$238),1,0)*IF(($L$23:$L$238)="W",1,0)*IF(ISBLANK($T$1),1,IF($I$23:$I$238=$T$1,1,0)))</f>
        <v>0</v>
      </c>
      <c r="CE3" s="874">
        <f t="array" ref="CE3">SUM(IF(ISTEXT(CE$23:CE$238),1,0)*IF(($L$23:$L$238)="W",1,0)*IF(ISBLANK($T$1),1,IF($I$23:$I$238=$T$1,1,0)))</f>
        <v>0</v>
      </c>
      <c r="CF3" s="874">
        <f t="array" ref="CF3">SUM(IF(ISTEXT(CF$23:CF$238),1,0)*IF(($L$23:$L$238)="W",1,0)*IF(ISBLANK($T$1),1,IF($I$23:$I$238=$T$1,1,0)))</f>
        <v>0</v>
      </c>
      <c r="CG3" s="874">
        <f t="array" ref="CG3">SUM(IF(ISTEXT(CG$23:CG$238),1,0)*IF(($L$23:$L$238)="W",1,0)*IF(ISBLANK($T$1),1,IF($I$23:$I$238=$T$1,1,0)))</f>
        <v>0</v>
      </c>
      <c r="CH3" s="874">
        <f t="array" ref="CH3">SUM(IF(ISTEXT(CH$23:CH$238),1,0)*IF(($L$23:$L$238)="W",1,0)*IF(ISBLANK($T$1),1,IF($I$23:$I$238=$T$1,1,0)))</f>
        <v>0</v>
      </c>
      <c r="CI3" s="874">
        <f t="array" ref="CI3">SUM(IF(ISTEXT(CI$23:CI$238),1,0)*IF(($L$23:$L$238)="W",1,0)*IF(ISBLANK($T$1),1,IF($I$23:$I$238=$T$1,1,0)))</f>
        <v>0</v>
      </c>
      <c r="CJ3" s="874">
        <f t="array" ref="CJ3">SUM(IF(ISTEXT(CJ$23:CJ$238),1,0)*IF(($L$23:$L$238)="W",1,0)*IF(ISBLANK($T$1),1,IF($I$23:$I$238=$T$1,1,0)))</f>
        <v>0</v>
      </c>
      <c r="CK3" s="874">
        <f t="array" ref="CK3">SUM(IF(ISTEXT(CK$23:CK$238),1,0)*IF(($L$23:$L$238)="W",1,0)*IF(ISBLANK($T$1),1,IF($I$23:$I$238=$T$1,1,0)))</f>
        <v>0</v>
      </c>
      <c r="CL3" s="874">
        <f t="array" ref="CL3">SUM(IF(ISTEXT(CL$23:CL$238),1,0)*IF(($L$23:$L$238)="W",1,0)*IF(ISBLANK($T$1),1,IF($I$23:$I$238=$T$1,1,0)))</f>
        <v>0</v>
      </c>
      <c r="CM3" s="874">
        <f t="array" ref="CM3">SUM(IF(ISTEXT(CM$23:CM$238),1,0)*IF(($L$23:$L$238)="W",1,0)*IF(ISBLANK($T$1),1,IF($I$23:$I$238=$T$1,1,0)))</f>
        <v>3</v>
      </c>
      <c r="CN3" s="874">
        <f t="array" ref="CN3">SUM(IF(ISTEXT(CN$23:CN$238),1,0)*IF(($L$23:$L$238)="W",1,0)*IF(ISBLANK($T$1),1,IF($I$23:$I$238=$T$1,1,0)))</f>
        <v>3</v>
      </c>
      <c r="CO3" s="874">
        <f t="array" ref="CO3">SUM(IF(ISTEXT(CO$23:CO$238),1,0)*IF(($L$23:$L$238)="W",1,0)*IF(ISBLANK($T$1),1,IF($I$23:$I$238=$T$1,1,0)))</f>
        <v>3</v>
      </c>
    </row>
    <row r="4" spans="1:93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SUM(IF(L$23:L$238="D",1,0)*IF(ISBLANK($T$1),1,IF($I$23:$I$238=$T$1,1,0)))</f>
        <v>5</v>
      </c>
      <c r="AG4" s="874">
        <f t="array" ref="AG4">SUM(IF(ISTEXT(AG$23:AG$238),1,0)*IF(($L$23:$L$238)="D",1,0)*IF(ISBLANK($T$1),1,IF($I$23:$I$238=$T$1,1,0)))</f>
        <v>5</v>
      </c>
      <c r="AH4" s="874">
        <f t="array" ref="AH4">SUM(IF(ISTEXT(AH$23:AH$238),1,0)*IF(($L$23:$L$238)="D",1,0)*IF(ISBLANK($T$1),1,IF($I$23:$I$238=$T$1,1,0)))</f>
        <v>5</v>
      </c>
      <c r="AI4" s="874">
        <f t="array" ref="AI4">SUM(IF(ISTEXT(AI$23:AI$238),1,0)*IF(($L$23:$L$238)="D",1,0)*IF(ISBLANK($T$1),1,IF($I$23:$I$238=$T$1,1,0)))</f>
        <v>5</v>
      </c>
      <c r="AK4" s="874">
        <f t="array" ref="AK4">SUM(IF(ISTEXT(AK$23:AK$238),1,0)*IF(($L$23:$L$238)="D",1,0)*IF(ISBLANK($T$1),1,IF($I$23:$I$238=$T$1,1,0)))</f>
        <v>5</v>
      </c>
      <c r="AL4" s="874">
        <f t="array" ref="AL4">SUM(IF(ISTEXT(AL$23:AL$238),1,0)*IF(($L$23:$L$238)="D",1,0)*IF(ISBLANK($T$1),1,IF($I$23:$I$238=$T$1,1,0)))</f>
        <v>5</v>
      </c>
      <c r="AM4" s="874">
        <f t="array" ref="AM4">SUM(IF(ISTEXT(AM$23:AM$238),1,0)*IF(($L$23:$L$238)="D",1,0)*IF(ISBLANK($T$1),1,IF($I$23:$I$238=$T$1,1,0)))</f>
        <v>5</v>
      </c>
      <c r="AP4" s="874">
        <f t="array" ref="AP4">SUM(IF(ISTEXT(AP$23:AP$238),1,0)*IF(($L$23:$L$238)="D",1,0)*IF(ISBLANK($T$1),1,IF($I$23:$I$238=$T$1,1,0)))</f>
        <v>5</v>
      </c>
      <c r="AR4" s="874">
        <f t="array" ref="AR4">SUM(IF(ISTEXT(AR$23:AR$238),1,0)*IF(($L$23:$L$238)="D",1,0)*IF(ISBLANK($T$1),1,IF($I$23:$I$238=$T$1,1,0)))</f>
        <v>5</v>
      </c>
      <c r="AU4" s="874">
        <f t="array" ref="AU4">SUM(IF(ISTEXT(AU$23:AU$238),1,0)*IF(($L$23:$L$238)="D",1,0)*IF(ISBLANK($T$1),1,IF($I$23:$I$238=$T$1,1,0)))</f>
        <v>5</v>
      </c>
      <c r="BB4" s="874">
        <f t="array" ref="BB4">SUM(IF(ISTEXT(BB$23:BB$238),1,0)*IF(($L$23:$L$238)="D",1,0)*IF(ISBLANK($T$1),1,IF($I$23:$I$238=$T$1,1,0)))</f>
        <v>5</v>
      </c>
      <c r="BC4" s="874">
        <f t="array" ref="BC4">SUM(IF(ISTEXT(BC$23:BC$238),1,0)*IF(($L$23:$L$238)="D",1,0)*IF(ISBLANK($T$1),1,IF($I$23:$I$238=$T$1,1,0)))</f>
        <v>5</v>
      </c>
      <c r="BD4" s="874">
        <f t="array" ref="BD4">SUM(IF(ISTEXT(BD$23:BD$238),1,0)*IF(($L$23:$L$238)="D",1,0)*IF(ISBLANK($T$1),1,IF($I$23:$I$238=$T$1,1,0)))</f>
        <v>5</v>
      </c>
      <c r="BE4" s="874">
        <f t="array" ref="BE4">SUM(IF(ISTEXT(BE$23:BE$238),1,0)*IF(($L$23:$L$238)="D",1,0)*IF(ISBLANK($T$1),1,IF($I$23:$I$238=$T$1,1,0)))</f>
        <v>5</v>
      </c>
      <c r="BF4" s="874">
        <f t="array" ref="BF4">SUM(IF(ISTEXT(BF$23:BF$238),1,0)*IF(($L$23:$L$238)="D",1,0)*IF(ISBLANK($T$1),1,IF($I$23:$I$238=$T$1,1,0)))</f>
        <v>1</v>
      </c>
      <c r="BG4" s="874">
        <f t="array" ref="BG4">SUM(IF(ISTEXT(BG$23:BG$238),1,0)*IF(($L$23:$L$238)="D",1,0)*IF(ISBLANK($T$1),1,IF($I$23:$I$238=$T$1,1,0)))</f>
        <v>4</v>
      </c>
      <c r="BI4" s="874">
        <f t="array" ref="BI4">SUM(IF(ISTEXT(BI$23:BI$238),1,0)*IF(($L$23:$L$238)="D",1,0)*IF(ISBLANK($T$1),1,IF($I$23:$I$238=$T$1,1,0)))</f>
        <v>0</v>
      </c>
      <c r="BM4" s="874">
        <f t="array" ref="BM4">SUM(IF(ISTEXT(BM$23:BM$238),1,0)*IF(($L$23:$L$238)="D",1,0)*IF(ISBLANK($T$1),1,IF($I$23:$I$238=$T$1,1,0)))</f>
        <v>0</v>
      </c>
      <c r="BS4" s="874">
        <f t="array" ref="BS4">SUM(IF(ISTEXT(BS$23:BS$238),1,0)*IF(($L$23:$L$238)="D",1,0)*IF(ISBLANK($T$1),1,IF($I$23:$I$238=$T$1,1,0)))</f>
        <v>0</v>
      </c>
      <c r="BU4" s="874">
        <f t="array" ref="BU4">SUM(IF(ISTEXT(BU$23:BU$238),1,0)*IF(($L$23:$L$238)="D",1,0)*IF(ISBLANK($T$1),1,IF($I$23:$I$238=$T$1,1,0)))</f>
        <v>0</v>
      </c>
      <c r="BV4" s="874">
        <f t="array" ref="BV4">SUM(IF(ISTEXT(BV$23:BV$238),1,0)*IF(($L$23:$L$238)="D",1,0)*IF(ISBLANK($T$1),1,IF($I$23:$I$238=$T$1,1,0)))</f>
        <v>0</v>
      </c>
      <c r="BW4" s="874" t="e">
        <f t="array" ref="BW4">SUM(IF(ISTEXT(BW$41:BW$238),1,0)*IF(($L$23:$L$238)="D",1,0)*IF(ISBLANK($T$1),1,IF($I$23:$I$238=$T$1,1,0)))</f>
        <v>#N/A</v>
      </c>
      <c r="CB4" s="874">
        <f t="array" ref="CB4">SUM(IF(ISTEXT(CB$23:CB$238),1,0)*IF(($L$23:$L$238)="D",1,0)*IF(ISBLANK($T$1),1,IF($I$23:$I$238=$T$1,1,0)))</f>
        <v>0</v>
      </c>
      <c r="CC4" s="874">
        <f t="array" ref="CC4">SUM(IF(ISTEXT(CC$23:CC$238),1,0)*IF(($L$23:$L$238)="D",1,0)*IF(ISBLANK($T$1),1,IF($I$23:$I$238=$T$1,1,0)))</f>
        <v>0</v>
      </c>
      <c r="CD4" s="874">
        <f t="array" ref="CD4">SUM(IF(ISTEXT(CD$23:CD$238),1,0)*IF(($L$23:$L$238)="D",1,0)*IF(ISBLANK($T$1),1,IF($I$23:$I$238=$T$1,1,0)))</f>
        <v>0</v>
      </c>
      <c r="CE4" s="874">
        <f t="array" ref="CE4">SUM(IF(ISTEXT(CE$23:CE$238),1,0)*IF(($L$23:$L$238)="D",1,0)*IF(ISBLANK($T$1),1,IF($I$23:$I$238=$T$1,1,0)))</f>
        <v>0</v>
      </c>
      <c r="CF4" s="874">
        <f t="array" ref="CF4">SUM(IF(ISTEXT(CF$23:CF$238),1,0)*IF(($L$23:$L$238)="D",1,0)*IF(ISBLANK($T$1),1,IF($I$23:$I$238=$T$1,1,0)))</f>
        <v>0</v>
      </c>
      <c r="CG4" s="874">
        <f t="array" ref="CG4">SUM(IF(ISTEXT(CG$23:CG$238),1,0)*IF(($L$23:$L$238)="D",1,0)*IF(ISBLANK($T$1),1,IF($I$23:$I$238=$T$1,1,0)))</f>
        <v>0</v>
      </c>
      <c r="CH4" s="874">
        <f t="array" ref="CH4">SUM(IF(ISTEXT(CH$23:CH$238),1,0)*IF(($L$23:$L$238)="D",1,0)*IF(ISBLANK($T$1),1,IF($I$23:$I$238=$T$1,1,0)))</f>
        <v>0</v>
      </c>
      <c r="CI4" s="874">
        <f t="array" ref="CI4">SUM(IF(ISTEXT(CI$23:CI$238),1,0)*IF(($L$23:$L$238)="D",1,0)*IF(ISBLANK($T$1),1,IF($I$23:$I$238=$T$1,1,0)))</f>
        <v>0</v>
      </c>
      <c r="CJ4" s="874">
        <f t="array" ref="CJ4">SUM(IF(ISTEXT(CJ$23:CJ$238),1,0)*IF(($L$23:$L$238)="D",1,0)*IF(ISBLANK($T$1),1,IF($I$23:$I$238=$T$1,1,0)))</f>
        <v>0</v>
      </c>
      <c r="CK4" s="874">
        <f t="array" ref="CK4">SUM(IF(ISTEXT(CK$23:CK$238),1,0)*IF(($L$23:$L$238)="D",1,0)*IF(ISBLANK($T$1),1,IF($I$23:$I$238=$T$1,1,0)))</f>
        <v>0</v>
      </c>
      <c r="CL4" s="874">
        <f t="array" ref="CL4">SUM(IF(ISTEXT(CL$23:CL$238),1,0)*IF(($L$23:$L$238)="D",1,0)*IF(ISBLANK($T$1),1,IF($I$23:$I$238=$T$1,1,0)))</f>
        <v>0</v>
      </c>
      <c r="CM4" s="874">
        <f t="array" ref="CM4">SUM(IF(ISTEXT(CM$23:CM$238),1,0)*IF(($L$23:$L$238)="D",1,0)*IF(ISBLANK($T$1),1,IF($I$23:$I$238=$T$1,1,0)))</f>
        <v>3</v>
      </c>
      <c r="CN4" s="874">
        <f t="array" ref="CN4">SUM(IF(ISTEXT(CN$23:CN$238),1,0)*IF(($L$23:$L$238)="D",1,0)*IF(ISBLANK($T$1),1,IF($I$23:$I$238=$T$1,1,0)))</f>
        <v>3</v>
      </c>
      <c r="CO4" s="874">
        <f t="array" ref="CO4">SUM(IF(ISTEXT(CO$23:CO$238),1,0)*IF(($L$23:$L$238)="D",1,0)*IF(ISBLANK($T$1),1,IF($I$23:$I$238=$T$1,1,0)))</f>
        <v>3</v>
      </c>
    </row>
    <row r="5" spans="1:93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SUM(IF(L$23:L$238="L",1,0)*IF(ISBLANK($T$1),1,IF($I$23:$I$238=$T$1,1,0)))</f>
        <v>27</v>
      </c>
      <c r="AG5" s="874">
        <f t="array" ref="AG5">SUM(IF(ISTEXT(AG$23:AG$238),1,0)*IF(($L$23:$L$238)="L",1,0)*IF(ISBLANK($T$1),1,IF($I$23:$I$238=$T$1,1,0)))</f>
        <v>26</v>
      </c>
      <c r="AH5" s="874">
        <f t="array" ref="AH5">SUM(IF(ISTEXT(AH$23:AH$238),1,0)*IF(($L$23:$L$238)="L",1,0)*IF(ISBLANK($T$1),1,IF($I$23:$I$238=$T$1,1,0)))</f>
        <v>27</v>
      </c>
      <c r="AI5" s="874">
        <f t="array" ref="AI5">SUM(IF(ISTEXT(AI$23:AI$238),1,0)*IF(($L$23:$L$238)="L",1,0)*IF(ISBLANK($T$1),1,IF($I$23:$I$238=$T$1,1,0)))</f>
        <v>26</v>
      </c>
      <c r="AK5" s="874">
        <f t="array" ref="AK5">SUM(IF(ISTEXT(AK$23:AK$238),1,0)*IF(($L$23:$L$238)="L",1,0)*IF(ISBLANK($T$1),1,IF($I$23:$I$238=$T$1,1,0)))</f>
        <v>26</v>
      </c>
      <c r="AL5" s="874">
        <f t="array" ref="AL5">SUM(IF(ISTEXT(AL$23:AL$238),1,0)*IF(($L$23:$L$238)="L",1,0)*IF(ISBLANK($T$1),1,IF($I$23:$I$238=$T$1,1,0)))</f>
        <v>26</v>
      </c>
      <c r="AM5" s="874">
        <f t="array" ref="AM5">SUM(IF(ISTEXT(AM$23:AM$238),1,0)*IF(($L$23:$L$238)="L",1,0)*IF(ISBLANK($T$1),1,IF($I$23:$I$238=$T$1,1,0)))</f>
        <v>27</v>
      </c>
      <c r="AP5" s="874">
        <f t="array" ref="AP5">SUM(IF(ISTEXT(AP$23:AP$238),1,0)*IF(($L$23:$L$238)="L",1,0)*IF(ISBLANK($T$1),1,IF($I$23:$I$238=$T$1,1,0)))</f>
        <v>27</v>
      </c>
      <c r="AR5" s="874">
        <f t="array" ref="AR5">SUM(IF(ISTEXT(AR$23:AR$238),1,0)*IF(($L$23:$L$238)="L",1,0)*IF(ISBLANK($T$1),1,IF($I$23:$I$238=$T$1,1,0)))</f>
        <v>27</v>
      </c>
      <c r="AU5" s="874">
        <f t="array" ref="AU5">SUM(IF(ISTEXT(AU$23:AU$238),1,0)*IF(($L$23:$L$238)="L",1,0)*IF(ISBLANK($T$1),1,IF($I$23:$I$238=$T$1,1,0)))</f>
        <v>27</v>
      </c>
      <c r="BB5" s="874">
        <f t="array" ref="BB5">SUM(IF(ISTEXT(BB$23:BB$238),1,0)*IF(($L$23:$L$238)="L",1,0)*IF(ISBLANK($T$1),1,IF($I$23:$I$238=$T$1,1,0)))</f>
        <v>27</v>
      </c>
      <c r="BC5" s="874">
        <f t="array" ref="BC5">SUM(IF(ISTEXT(BC$23:BC$238),1,0)*IF(($L$23:$L$238)="L",1,0)*IF(ISBLANK($T$1),1,IF($I$23:$I$238=$T$1,1,0)))</f>
        <v>26</v>
      </c>
      <c r="BD5" s="874">
        <f t="array" ref="BD5">SUM(IF(ISTEXT(BD$23:BD$238),1,0)*IF(($L$23:$L$238)="L",1,0)*IF(ISBLANK($T$1),1,IF($I$23:$I$238=$T$1,1,0)))</f>
        <v>26</v>
      </c>
      <c r="BE5" s="874">
        <f t="array" ref="BE5">SUM(IF(ISTEXT(BE$23:BE$238),1,0)*IF(($L$23:$L$238)="L",1,0)*IF(ISBLANK($T$1),1,IF($I$23:$I$238=$T$1,1,0)))</f>
        <v>27</v>
      </c>
      <c r="BF5" s="874">
        <f t="array" ref="BF5">SUM(IF(ISTEXT(BF$23:BF$238),1,0)*IF(($L$23:$L$238)="L",1,0)*IF(ISBLANK($T$1),1,IF($I$23:$I$238=$T$1,1,0)))</f>
        <v>12</v>
      </c>
      <c r="BG5" s="874">
        <f t="array" ref="BG5">SUM(IF(ISTEXT(BG$23:BG$238),1,0)*IF(($L$23:$L$238)="L",1,0)*IF(ISBLANK($T$1),1,IF($I$23:$I$238=$T$1,1,0)))</f>
        <v>24</v>
      </c>
      <c r="BI5" s="874">
        <f t="array" ref="BI5">SUM(IF(ISTEXT(BI$23:BI$238),1,0)*IF(($L$23:$L$238)="L",1,0)*IF(ISBLANK($T$1),1,IF($I$23:$I$238=$T$1,1,0)))</f>
        <v>0</v>
      </c>
      <c r="BM5" s="874">
        <f t="array" ref="BM5">SUM(IF(ISTEXT(BM$23:BM$238),1,0)*IF(($L$23:$L$238)="L",1,0)*IF(ISBLANK($T$1),1,IF($I$23:$I$238=$T$1,1,0)))</f>
        <v>0</v>
      </c>
      <c r="BS5" s="874">
        <f t="array" ref="BS5">SUM(IF(ISTEXT(BS$23:BS$238),1,0)*IF(($L$23:$L$238)="L",1,0)*IF(ISBLANK($T$1),1,IF($I$23:$I$238=$T$1,1,0)))</f>
        <v>1</v>
      </c>
      <c r="BU5" s="874">
        <f t="array" ref="BU5">SUM(IF(ISTEXT(BU$23:BU$238),1,0)*IF(($L$23:$L$238)="L",1,0)*IF(ISBLANK($T$1),1,IF($I$23:$I$238=$T$1,1,0)))</f>
        <v>1</v>
      </c>
      <c r="BV5" s="874">
        <f t="array" ref="BV5">SUM(IF(ISTEXT(BV$23:BV$238),1,0)*IF(($L$23:$L$238)="L",1,0)*IF(ISBLANK($T$1),1,IF($I$23:$I$238=$T$1,1,0)))</f>
        <v>1</v>
      </c>
      <c r="BW5" s="874" t="e">
        <f t="array" ref="BW5">SUM(IF(ISTEXT(BW$41:BW$238),1,0)*IF(($L$23:$L$238)="L",1,0)*IF(ISBLANK($T$1),1,IF($I$23:$I$238=$T$1,1,0)))</f>
        <v>#N/A</v>
      </c>
      <c r="CB5" s="874">
        <f t="array" ref="CB5">SUM(IF(ISTEXT(CB$23:CB$238),1,0)*IF(($L$23:$L$238)="L",1,0)*IF(ISBLANK($T$1),1,IF($I$23:$I$238=$T$1,1,0)))</f>
        <v>0</v>
      </c>
      <c r="CC5" s="874">
        <f t="array" ref="CC5">SUM(IF(ISTEXT(CC$23:CC$238),1,0)*IF(($L$23:$L$238)="L",1,0)*IF(ISBLANK($T$1),1,IF($I$23:$I$238=$T$1,1,0)))</f>
        <v>0</v>
      </c>
      <c r="CD5" s="874">
        <f t="array" ref="CD5">SUM(IF(ISTEXT(CD$23:CD$238),1,0)*IF(($L$23:$L$238)="L",1,0)*IF(ISBLANK($T$1),1,IF($I$23:$I$238=$T$1,1,0)))</f>
        <v>0</v>
      </c>
      <c r="CE5" s="874">
        <f t="array" ref="CE5">SUM(IF(ISTEXT(CE$23:CE$238),1,0)*IF(($L$23:$L$238)="L",1,0)*IF(ISBLANK($T$1),1,IF($I$23:$I$238=$T$1,1,0)))</f>
        <v>0</v>
      </c>
      <c r="CF5" s="874">
        <f t="array" ref="CF5">SUM(IF(ISTEXT(CF$23:CF$238),1,0)*IF(($L$23:$L$238)="L",1,0)*IF(ISBLANK($T$1),1,IF($I$23:$I$238=$T$1,1,0)))</f>
        <v>0</v>
      </c>
      <c r="CG5" s="874">
        <f t="array" ref="CG5">SUM(IF(ISTEXT(CG$23:CG$238),1,0)*IF(($L$23:$L$238)="L",1,0)*IF(ISBLANK($T$1),1,IF($I$23:$I$238=$T$1,1,0)))</f>
        <v>0</v>
      </c>
      <c r="CH5" s="874">
        <f t="array" ref="CH5">SUM(IF(ISTEXT(CH$23:CH$238),1,0)*IF(($L$23:$L$238)="L",1,0)*IF(ISBLANK($T$1),1,IF($I$23:$I$238=$T$1,1,0)))</f>
        <v>0</v>
      </c>
      <c r="CI5" s="874">
        <f t="array" ref="CI5">SUM(IF(ISTEXT(CI$23:CI$238),1,0)*IF(($L$23:$L$238)="L",1,0)*IF(ISBLANK($T$1),1,IF($I$23:$I$238=$T$1,1,0)))</f>
        <v>0</v>
      </c>
      <c r="CJ5" s="874">
        <f t="array" ref="CJ5">SUM(IF(ISTEXT(CJ$23:CJ$238),1,0)*IF(($L$23:$L$238)="L",1,0)*IF(ISBLANK($T$1),1,IF($I$23:$I$238=$T$1,1,0)))</f>
        <v>0</v>
      </c>
      <c r="CK5" s="874">
        <f t="array" ref="CK5">SUM(IF(ISTEXT(CK$23:CK$238),1,0)*IF(($L$23:$L$238)="L",1,0)*IF(ISBLANK($T$1),1,IF($I$23:$I$238=$T$1,1,0)))</f>
        <v>0</v>
      </c>
      <c r="CL5" s="874">
        <f t="array" ref="CL5">SUM(IF(ISTEXT(CL$23:CL$238),1,0)*IF(($L$23:$L$238)="L",1,0)*IF(ISBLANK($T$1),1,IF($I$23:$I$238=$T$1,1,0)))</f>
        <v>0</v>
      </c>
      <c r="CM5" s="874">
        <f t="array" ref="CM5">SUM(IF(ISTEXT(CM$23:CM$238),1,0)*IF(($L$23:$L$238)="L",1,0)*IF(ISBLANK($T$1),1,IF($I$23:$I$238=$T$1,1,0)))</f>
        <v>10</v>
      </c>
      <c r="CN5" s="874">
        <f t="array" ref="CN5">SUM(IF(ISTEXT(CN$23:CN$238),1,0)*IF(($L$23:$L$238)="L",1,0)*IF(ISBLANK($T$1),1,IF($I$23:$I$238=$T$1,1,0)))</f>
        <v>10</v>
      </c>
      <c r="CO5" s="874">
        <f t="array" ref="CO5">SUM(IF(ISTEXT(CO$23:CO$238),1,0)*IF(($L$23:$L$238)="L",1,0)*IF(ISBLANK($T$1),1,IF($I$23:$I$238=$T$1,1,0)))</f>
        <v>9</v>
      </c>
    </row>
    <row r="6" spans="1:93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38</v>
      </c>
      <c r="AG6" s="874">
        <f t="shared" ref="AG6:CO6" si="2">AG$3*3+AG$4</f>
        <v>35</v>
      </c>
      <c r="AH6" s="874">
        <f t="shared" si="2"/>
        <v>35</v>
      </c>
      <c r="AI6" s="874">
        <f t="shared" si="2"/>
        <v>38</v>
      </c>
      <c r="AK6" s="874">
        <f t="shared" si="2"/>
        <v>38</v>
      </c>
      <c r="AL6" s="874">
        <f t="shared" si="2"/>
        <v>38</v>
      </c>
      <c r="AM6" s="874">
        <f t="shared" si="2"/>
        <v>38</v>
      </c>
      <c r="AP6" s="874">
        <f>AP$3*3+AP$4</f>
        <v>38</v>
      </c>
      <c r="AR6" s="874">
        <f>AR$3*3+AR$4</f>
        <v>38</v>
      </c>
      <c r="AU6" s="874">
        <f>AU$3*3+AU$4</f>
        <v>38</v>
      </c>
      <c r="BB6" s="874">
        <f>BB$3*3+BB$4</f>
        <v>38</v>
      </c>
      <c r="BC6" s="874">
        <f t="shared" ref="BC6:BI6" si="3">BC$3*3+BC$4</f>
        <v>38</v>
      </c>
      <c r="BD6" s="874">
        <f>BD$3*3+BD$4</f>
        <v>38</v>
      </c>
      <c r="BE6" s="874">
        <f t="shared" si="3"/>
        <v>38</v>
      </c>
      <c r="BF6" s="874">
        <f t="shared" si="3"/>
        <v>19</v>
      </c>
      <c r="BG6" s="874">
        <f t="shared" si="3"/>
        <v>34</v>
      </c>
      <c r="BI6" s="874">
        <f t="shared" si="3"/>
        <v>0</v>
      </c>
      <c r="BM6" s="874">
        <f>BM$3*3+BM$4</f>
        <v>0</v>
      </c>
      <c r="BS6" s="874">
        <f>BS$3*3+BS$4</f>
        <v>0</v>
      </c>
      <c r="BU6" s="874">
        <f>BU$3*3+BU$4</f>
        <v>0</v>
      </c>
      <c r="BV6" s="874">
        <f>BV$3*3+BV$4</f>
        <v>0</v>
      </c>
      <c r="BW6" s="874" t="e">
        <f t="shared" si="2"/>
        <v>#N/A</v>
      </c>
      <c r="CB6" s="874">
        <f t="shared" ref="CB6:CH6" si="4">CB$3*3+CB$4</f>
        <v>0</v>
      </c>
      <c r="CC6" s="874">
        <f t="shared" si="4"/>
        <v>0</v>
      </c>
      <c r="CD6" s="874">
        <f t="shared" si="4"/>
        <v>0</v>
      </c>
      <c r="CE6" s="874">
        <f t="shared" si="4"/>
        <v>0</v>
      </c>
      <c r="CF6" s="874">
        <f t="shared" si="4"/>
        <v>0</v>
      </c>
      <c r="CG6" s="874">
        <f t="shared" si="4"/>
        <v>0</v>
      </c>
      <c r="CH6" s="874">
        <f t="shared" si="4"/>
        <v>0</v>
      </c>
      <c r="CI6" s="874">
        <f t="shared" si="2"/>
        <v>0</v>
      </c>
      <c r="CJ6" s="874">
        <f t="shared" si="2"/>
        <v>0</v>
      </c>
      <c r="CK6" s="874">
        <f t="shared" si="2"/>
        <v>0</v>
      </c>
      <c r="CL6" s="874">
        <f t="shared" si="2"/>
        <v>0</v>
      </c>
      <c r="CM6" s="874">
        <f t="shared" si="2"/>
        <v>12</v>
      </c>
      <c r="CN6" s="874">
        <f t="shared" si="2"/>
        <v>12</v>
      </c>
      <c r="CO6" s="874">
        <f t="shared" si="2"/>
        <v>12</v>
      </c>
    </row>
    <row r="7" spans="1:93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O7" si="5">AF6/AF2</f>
        <v>0.88372093023255816</v>
      </c>
      <c r="AG7" s="874">
        <f t="shared" si="5"/>
        <v>0.85365853658536583</v>
      </c>
      <c r="AH7" s="874">
        <f t="shared" si="5"/>
        <v>0.83333333333333337</v>
      </c>
      <c r="AI7" s="874">
        <f t="shared" si="5"/>
        <v>0.90476190476190477</v>
      </c>
      <c r="AK7" s="874">
        <f t="shared" si="5"/>
        <v>0.90476190476190477</v>
      </c>
      <c r="AL7" s="874">
        <f t="shared" si="5"/>
        <v>0.90476190476190477</v>
      </c>
      <c r="AM7" s="874">
        <f t="shared" si="5"/>
        <v>0.88372093023255816</v>
      </c>
      <c r="AP7" s="874">
        <f>AP6/AP2</f>
        <v>0.88372093023255816</v>
      </c>
      <c r="AR7" s="874">
        <f>AR6/AR2</f>
        <v>0.88372093023255816</v>
      </c>
      <c r="AU7" s="874">
        <f>AU6/AU2</f>
        <v>0.88372093023255816</v>
      </c>
      <c r="BB7" s="874">
        <f t="shared" ref="BB7" si="6">BB6/BB2</f>
        <v>0.88372093023255816</v>
      </c>
      <c r="BC7" s="874">
        <f t="shared" ref="BC7:BI7" si="7">BC6/BC2</f>
        <v>0.90476190476190477</v>
      </c>
      <c r="BD7" s="874">
        <f>BD6/BD2</f>
        <v>0.90476190476190477</v>
      </c>
      <c r="BE7" s="874">
        <f t="shared" si="7"/>
        <v>0.88372093023255816</v>
      </c>
      <c r="BF7" s="874">
        <f t="shared" si="7"/>
        <v>1</v>
      </c>
      <c r="BG7" s="874">
        <f t="shared" si="7"/>
        <v>0.89473684210526316</v>
      </c>
      <c r="BI7" s="874">
        <f t="shared" si="7"/>
        <v>0</v>
      </c>
      <c r="BM7" s="874" t="e">
        <f>BM6/BM2</f>
        <v>#DIV/0!</v>
      </c>
      <c r="BS7" s="874">
        <f>BS6/BS2</f>
        <v>0</v>
      </c>
      <c r="BU7" s="874">
        <f>BU6/BU2</f>
        <v>0</v>
      </c>
      <c r="BV7" s="874">
        <f>BV6/BV2</f>
        <v>0</v>
      </c>
      <c r="BW7" s="874" t="e">
        <f t="shared" si="5"/>
        <v>#N/A</v>
      </c>
      <c r="CB7" s="874" t="e">
        <f t="shared" ref="CB7:CH7" si="8">CB6/CB2</f>
        <v>#DIV/0!</v>
      </c>
      <c r="CC7" s="874" t="e">
        <f t="shared" si="8"/>
        <v>#DIV/0!</v>
      </c>
      <c r="CD7" s="874" t="e">
        <f t="shared" si="8"/>
        <v>#DIV/0!</v>
      </c>
      <c r="CE7" s="874" t="e">
        <f t="shared" si="8"/>
        <v>#DIV/0!</v>
      </c>
      <c r="CF7" s="874" t="e">
        <f t="shared" si="8"/>
        <v>#DIV/0!</v>
      </c>
      <c r="CG7" s="874" t="e">
        <f t="shared" si="8"/>
        <v>#DIV/0!</v>
      </c>
      <c r="CH7" s="874" t="e">
        <f t="shared" si="8"/>
        <v>#DIV/0!</v>
      </c>
      <c r="CI7" s="874" t="e">
        <f t="shared" si="5"/>
        <v>#DIV/0!</v>
      </c>
      <c r="CJ7" s="874" t="e">
        <f t="shared" si="5"/>
        <v>#DIV/0!</v>
      </c>
      <c r="CK7" s="874" t="e">
        <f t="shared" si="5"/>
        <v>#DIV/0!</v>
      </c>
      <c r="CL7" s="874" t="e">
        <f t="shared" si="5"/>
        <v>#DIV/0!</v>
      </c>
      <c r="CM7" s="874">
        <f t="shared" si="5"/>
        <v>0.75</v>
      </c>
      <c r="CN7" s="874">
        <f t="shared" si="5"/>
        <v>0.75</v>
      </c>
      <c r="CO7" s="874">
        <f t="shared" si="5"/>
        <v>0.8</v>
      </c>
    </row>
    <row r="8" spans="1:93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SUM(IF(($T$23:$T$238)="",0,$T$23:$T$238)*IF(ISBLANK($T$1),1,IF($I$23:$I$238=$T$1,1,0)))</f>
        <v>7.2300000000000013</v>
      </c>
      <c r="AG8" s="874">
        <f t="array" ref="AG8">SUM(IF(ISTEXT(AG$23:AG$238),1,0)*IF(($T$23:$T$238)="",0,$T$23:$T$238)*IF(ISBLANK($T$1),1,IF($I$23:$I$238=$T$1,1,0)))</f>
        <v>10.010000000000002</v>
      </c>
      <c r="AH8" s="874">
        <f t="array" ref="AH8">SUM(IF(ISTEXT(AH$23:AH$238),1,0)*IF(($T$23:$T$238)="",0,$T$23:$T$238)*IF(ISBLANK($T$1),1,IF($I$23:$I$238=$T$1,1,0)))</f>
        <v>6.8300000000000027</v>
      </c>
      <c r="AI8" s="874">
        <f t="array" ref="AI8">SUM(IF(ISTEXT(AI$23:AI$238),1,0)*IF(($T$23:$T$238)="",0,$T$23:$T$238)*IF(ISBLANK($T$1),1,IF($I$23:$I$238=$T$1,1,0)))</f>
        <v>6.5800000000000027</v>
      </c>
      <c r="AK8" s="874">
        <f t="array" ref="AK8">SUM(IF(ISTEXT(AK$23:AK$238),1,0)*IF(($T$23:$T$238)="",0,$T$23:$T$238)*IF(ISBLANK($T$1),1,IF($I$23:$I$238=$T$1,1,0)))</f>
        <v>6.5800000000000027</v>
      </c>
      <c r="AL8" s="874">
        <f t="array" ref="AL8">SUM(IF(ISTEXT(AL$23:AL$238),1,0)*IF(($T$23:$T$238)="",0,$T$23:$T$238)*IF(ISBLANK($T$1),1,IF($I$23:$I$238=$T$1,1,0)))</f>
        <v>6.5800000000000027</v>
      </c>
      <c r="AM8" s="874">
        <f t="array" ref="AM8">SUM(IF(ISTEXT(AM$23:AM$238),1,0)*IF(($T$23:$T$238)="",0,$T$23:$T$238)*IF(ISBLANK($T$1),1,IF($I$23:$I$238=$T$1,1,0)))</f>
        <v>7.2300000000000013</v>
      </c>
      <c r="AP8" s="874">
        <f t="array" ref="AP8">SUM(IF(ISTEXT(AP$23:AP$238),1,0)*IF(($T$23:$T$238)="",0,$T$23:$T$238)*IF(ISBLANK($T$1),1,IF($I$23:$I$238=$T$1,1,0)))</f>
        <v>7.2300000000000013</v>
      </c>
      <c r="AR8" s="874">
        <f t="array" ref="AR8">SUM(IF(ISTEXT(AR$23:AR$238),1,0)*IF(($T$23:$T$238)="",0,$T$23:$T$238)*IF(ISBLANK($T$1),1,IF($I$23:$I$238=$T$1,1,0)))</f>
        <v>7.2300000000000013</v>
      </c>
      <c r="AU8" s="874">
        <f t="array" ref="AU8">SUM(IF(ISTEXT(AU$23:AU$238),1,0)*IF(($T$23:$T$238)="",0,$T$23:$T$238)*IF(ISBLANK($T$1),1,IF($I$23:$I$238=$T$1,1,0)))</f>
        <v>7.2300000000000013</v>
      </c>
      <c r="BB8" s="874">
        <f t="array" ref="BB8">SUM(IF(ISTEXT(BB$23:BB$238),1,0)*IF(($T$23:$T$238)="",0,$T$23:$T$238)*IF(ISBLANK($T$1),1,IF($I$23:$I$238=$T$1,1,0)))</f>
        <v>7.2300000000000013</v>
      </c>
      <c r="BC8" s="874">
        <f t="array" ref="BC8">SUM(IF(ISTEXT(BC$23:BC$238),1,0)*IF(($T$23:$T$238)="",0,$T$23:$T$238)*IF(ISBLANK($T$1),1,IF($I$23:$I$238=$T$1,1,0)))</f>
        <v>6.5800000000000027</v>
      </c>
      <c r="BD8" s="874">
        <f t="array" ref="BD8">SUM(IF(ISTEXT(BD$23:BD$238),1,0)*IF(($T$23:$T$238)="",0,$T$23:$T$238)*IF(ISBLANK($T$1),1,IF($I$23:$I$238=$T$1,1,0)))</f>
        <v>6.5800000000000027</v>
      </c>
      <c r="BE8" s="874">
        <f t="array" ref="BE8">SUM(IF(ISTEXT(BE$23:BE$238),1,0)*IF(($T$23:$T$238)="",0,$T$23:$T$238)*IF(ISBLANK($T$1),1,IF($I$23:$I$238=$T$1,1,0)))</f>
        <v>7.2300000000000013</v>
      </c>
      <c r="BF8" s="874">
        <f t="array" ref="BF8">SUM(IF(ISTEXT(BF$23:BF$238),1,0)*IF(($T$23:$T$238)="",0,$T$23:$T$238)*IF(ISBLANK($T$1),1,IF($I$23:$I$238=$T$1,1,0)))</f>
        <v>9.2899999999999991</v>
      </c>
      <c r="BG8" s="874">
        <f t="array" ref="BG8">SUM(IF(ISTEXT(BG$23:BG$238),1,0)*IF(($T$23:$T$238)="",0,$T$23:$T$238)*IF(ISBLANK($T$1),1,IF($I$23:$I$238=$T$1,1,0)))</f>
        <v>6.8200000000000012</v>
      </c>
      <c r="BI8" s="874">
        <f t="array" ref="BI8">SUM(IF(ISTEXT(BI$23:BI$238),1,0)*IF(($T$23:$T$238)="",0,$T$23:$T$238)*IF(ISBLANK($T$1),1,IF($I$23:$I$238=$T$1,1,0)))</f>
        <v>0</v>
      </c>
      <c r="BM8" s="874">
        <f t="array" ref="BM8">SUM(IF(ISTEXT(BM$23:BM$238),1,0)*IF(($T$23:$T$238)="",0,$T$23:$T$238)*IF(ISBLANK($T$1),1,IF($I$23:$I$238=$T$1,1,0)))</f>
        <v>0</v>
      </c>
      <c r="BS8" s="874">
        <f t="array" ref="BS8">SUM(IF(ISTEXT(BS$23:BS$238),1,0)*IF(($T$23:$T$238)="",0,$T$23:$T$238)*IF(ISBLANK($T$1),1,IF($I$23:$I$238=$T$1,1,0)))</f>
        <v>0.5</v>
      </c>
      <c r="BU8" s="874">
        <f t="array" ref="BU8">SUM(IF(ISTEXT(BU$23:BU$238),1,0)*IF(($T$23:$T$238)="",0,$T$23:$T$238)*IF(ISBLANK($T$1),1,IF($I$23:$I$238=$T$1,1,0)))</f>
        <v>0.5</v>
      </c>
      <c r="BV8" s="874">
        <f t="array" ref="BV8">SUM(IF(ISTEXT(BV$23:BV$238),1,0)*IF(($T$23:$T$238)="",0,$T$23:$T$238)*IF(ISBLANK($T$1),1,IF($I$23:$I$238=$T$1,1,0)))</f>
        <v>0.5</v>
      </c>
      <c r="BW8" s="874" t="e">
        <f t="array" ref="BW8">SUM(IF(ISTEXT(BW$41:BW$238),1,0)*IF(($T$23:$T$238)="",0,$T$23:$T$238)*IF(ISBLANK($T$1),1,IF($I$23:$I$238=$T$1,1,0)))</f>
        <v>#N/A</v>
      </c>
      <c r="CB8" s="874">
        <f t="array" ref="CB8">SUM(IF(ISTEXT(CB$23:CB$238),1,0)*IF(($T$23:$T$238)="",0,$T$23:$T$238)*IF(ISBLANK($T$1),1,IF($I$23:$I$238=$T$1,1,0)))</f>
        <v>0</v>
      </c>
      <c r="CC8" s="874">
        <f t="array" ref="CC8">SUM(IF(ISTEXT(CC$23:CC$238),1,0)*IF(($T$23:$T$238)="",0,$T$23:$T$238)*IF(ISBLANK($T$1),1,IF($I$23:$I$238=$T$1,1,0)))</f>
        <v>0</v>
      </c>
      <c r="CD8" s="874">
        <f t="array" ref="CD8">SUM(IF(ISTEXT(CD$23:CD$238),1,0)*IF(($T$23:$T$238)="",0,$T$23:$T$238)*IF(ISBLANK($T$1),1,IF($I$23:$I$238=$T$1,1,0)))</f>
        <v>0</v>
      </c>
      <c r="CE8" s="874">
        <f t="array" ref="CE8">SUM(IF(ISTEXT(CE$23:CE$238),1,0)*IF(($T$23:$T$238)="",0,$T$23:$T$238)*IF(ISBLANK($T$1),1,IF($I$23:$I$238=$T$1,1,0)))</f>
        <v>0</v>
      </c>
      <c r="CF8" s="874">
        <f t="array" ref="CF8">SUM(IF(ISTEXT(CF$23:CF$238),1,0)*IF(($T$23:$T$238)="",0,$T$23:$T$238)*IF(ISBLANK($T$1),1,IF($I$23:$I$238=$T$1,1,0)))</f>
        <v>0</v>
      </c>
      <c r="CG8" s="874">
        <f t="array" ref="CG8">SUM(IF(ISTEXT(CG$23:CG$238),1,0)*IF(($T$23:$T$238)="",0,$T$23:$T$238)*IF(ISBLANK($T$1),1,IF($I$23:$I$238=$T$1,1,0)))</f>
        <v>0</v>
      </c>
      <c r="CH8" s="874">
        <f t="array" ref="CH8">SUM(IF(ISTEXT(CH$23:CH$238),1,0)*IF(($T$23:$T$238)="",0,$T$23:$T$238)*IF(ISBLANK($T$1),1,IF($I$23:$I$238=$T$1,1,0)))</f>
        <v>0</v>
      </c>
      <c r="CI8" s="874">
        <f t="array" ref="CI8">SUM(IF(ISTEXT(CI$23:CI$238),1,0)*IF(($T$23:$T$238)="",0,$T$23:$T$238)*IF(ISBLANK($T$1),1,IF($I$23:$I$238=$T$1,1,0)))</f>
        <v>0</v>
      </c>
      <c r="CJ8" s="874">
        <f t="array" ref="CJ8">SUM(IF(ISTEXT(CJ$23:CJ$238),1,0)*IF(($T$23:$T$238)="",0,$T$23:$T$238)*IF(ISBLANK($T$1),1,IF($I$23:$I$238=$T$1,1,0)))</f>
        <v>0</v>
      </c>
      <c r="CK8" s="874">
        <f t="array" ref="CK8">SUM(IF(ISTEXT(CK$23:CK$238),1,0)*IF(($T$23:$T$238)="",0,$T$23:$T$238)*IF(ISBLANK($T$1),1,IF($I$23:$I$238=$T$1,1,0)))</f>
        <v>0</v>
      </c>
      <c r="CL8" s="874">
        <f t="array" ref="CL8">SUM(IF(ISTEXT(CL$23:CL$238),1,0)*IF(($T$23:$T$238)="",0,$T$23:$T$238)*IF(ISBLANK($T$1),1,IF($I$23:$I$238=$T$1,1,0)))</f>
        <v>0</v>
      </c>
      <c r="CM8" s="874">
        <f t="array" ref="CM8">SUM(IF(ISTEXT(CM$23:CM$238),1,0)*IF(($T$23:$T$238)="",0,$T$23:$T$238)*IF(ISBLANK($T$1),1,IF($I$23:$I$238=$T$1,1,0)))</f>
        <v>-7.0999999999999988</v>
      </c>
      <c r="CN8" s="874">
        <f t="array" ref="CN8">SUM(IF(ISTEXT(CN$23:CN$238),1,0)*IF(($T$23:$T$238)="",0,$T$23:$T$238)*IF(ISBLANK($T$1),1,IF($I$23:$I$238=$T$1,1,0)))</f>
        <v>-7.0999999999999988</v>
      </c>
      <c r="CO8" s="874">
        <f t="array" ref="CO8">SUM(IF(ISTEXT(CO$23:CO$238),1,0)*IF(($T$23:$T$238)="",0,$T$23:$T$238)*IF(ISBLANK($T$1),1,IF($I$23:$I$238=$T$1,1,0)))</f>
        <v>-9.7199999999999989</v>
      </c>
    </row>
    <row r="9" spans="1:93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O9" si="9">AF8/AF2</f>
        <v>0.16813953488372096</v>
      </c>
      <c r="AG9" s="874">
        <f t="shared" si="9"/>
        <v>0.24414634146341468</v>
      </c>
      <c r="AH9" s="874">
        <f t="shared" si="9"/>
        <v>0.16261904761904769</v>
      </c>
      <c r="AI9" s="874">
        <f t="shared" si="9"/>
        <v>0.15666666666666673</v>
      </c>
      <c r="AK9" s="874">
        <f t="shared" si="9"/>
        <v>0.15666666666666673</v>
      </c>
      <c r="AL9" s="874">
        <f t="shared" si="9"/>
        <v>0.15666666666666673</v>
      </c>
      <c r="AM9" s="874">
        <f t="shared" si="9"/>
        <v>0.16813953488372096</v>
      </c>
      <c r="AP9" s="874">
        <f>AP8/AP2</f>
        <v>0.16813953488372096</v>
      </c>
      <c r="AR9" s="874">
        <f>AR8/AR2</f>
        <v>0.16813953488372096</v>
      </c>
      <c r="AU9" s="874">
        <f>AU8/AU2</f>
        <v>0.16813953488372096</v>
      </c>
      <c r="BB9" s="874">
        <f t="shared" ref="BB9" si="10">BB8/BB2</f>
        <v>0.16813953488372096</v>
      </c>
      <c r="BC9" s="874">
        <f t="shared" ref="BC9:BI9" si="11">BC8/BC2</f>
        <v>0.15666666666666673</v>
      </c>
      <c r="BD9" s="874">
        <f>BD8/BD2</f>
        <v>0.15666666666666673</v>
      </c>
      <c r="BE9" s="874">
        <f t="shared" si="11"/>
        <v>0.16813953488372096</v>
      </c>
      <c r="BF9" s="874">
        <f t="shared" si="11"/>
        <v>0.48894736842105258</v>
      </c>
      <c r="BG9" s="874">
        <f t="shared" si="11"/>
        <v>0.17947368421052634</v>
      </c>
      <c r="BI9" s="874">
        <f t="shared" si="11"/>
        <v>0</v>
      </c>
      <c r="BM9" s="874" t="e">
        <f>BM8/BM2</f>
        <v>#DIV/0!</v>
      </c>
      <c r="BS9" s="874">
        <f>BS8/BS2</f>
        <v>0.5</v>
      </c>
      <c r="BU9" s="874">
        <f>BU8/BU2</f>
        <v>0.5</v>
      </c>
      <c r="BV9" s="874">
        <f>BV8/BV2</f>
        <v>0.5</v>
      </c>
      <c r="BW9" s="874" t="e">
        <f t="shared" si="9"/>
        <v>#N/A</v>
      </c>
      <c r="CB9" s="874" t="e">
        <f t="shared" ref="CB9:CH9" si="12">CB8/CB2</f>
        <v>#DIV/0!</v>
      </c>
      <c r="CC9" s="874" t="e">
        <f t="shared" si="12"/>
        <v>#DIV/0!</v>
      </c>
      <c r="CD9" s="874" t="e">
        <f t="shared" si="12"/>
        <v>#DIV/0!</v>
      </c>
      <c r="CE9" s="874" t="e">
        <f t="shared" si="12"/>
        <v>#DIV/0!</v>
      </c>
      <c r="CF9" s="874" t="e">
        <f t="shared" si="12"/>
        <v>#DIV/0!</v>
      </c>
      <c r="CG9" s="874" t="e">
        <f t="shared" si="12"/>
        <v>#DIV/0!</v>
      </c>
      <c r="CH9" s="874" t="e">
        <f t="shared" si="12"/>
        <v>#DIV/0!</v>
      </c>
      <c r="CI9" s="874" t="e">
        <f t="shared" si="9"/>
        <v>#DIV/0!</v>
      </c>
      <c r="CJ9" s="874" t="e">
        <f t="shared" si="9"/>
        <v>#DIV/0!</v>
      </c>
      <c r="CK9" s="874" t="e">
        <f t="shared" si="9"/>
        <v>#DIV/0!</v>
      </c>
      <c r="CL9" s="874" t="e">
        <f t="shared" si="9"/>
        <v>#DIV/0!</v>
      </c>
      <c r="CM9" s="874">
        <f t="shared" si="9"/>
        <v>-0.44374999999999992</v>
      </c>
      <c r="CN9" s="874">
        <f t="shared" si="9"/>
        <v>-0.44374999999999992</v>
      </c>
      <c r="CO9" s="874">
        <f t="shared" si="9"/>
        <v>-0.64799999999999991</v>
      </c>
    </row>
    <row r="10" spans="1:93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SUM(IF(ISBLANK($T$1),$J$23:$J$238,IF($I$23:$I$238=$T$1,$J$23:$J$238,0)))</f>
        <v>49</v>
      </c>
      <c r="AG10" s="874">
        <f t="array" ref="AG10">SUM(IF(ISBLANK(AG$23:AG$238),0,IF(ISNUMBER(VALUE(RIGHT(AG$23:AG$238,1))),RIGHT(AG$23:AG$238,1),0)*IF(ISBLANK($T$1),1,IF($I$23:$I$238=$T$1,1,0))))</f>
        <v>0</v>
      </c>
      <c r="AH10" s="874">
        <f t="array" ref="AH10">SUM(IF(ISBLANK(AH$23:AH$238),0,IF(ISNUMBER(VALUE(RIGHT(AH$23:AH$238,1))),RIGHT(AH$23:AH$238,1),0)*IF(ISBLANK($T$1),1,IF($I$23:$I$238=$T$1,1,0))))</f>
        <v>0</v>
      </c>
      <c r="AI10" s="874">
        <f t="array" ref="AI10">SUM(IF(ISBLANK(AI$23:AI$238),0,IF(ISNUMBER(VALUE(RIGHT(AI$23:AI$238,1))),RIGHT(AI$23:AI$238,1),0)*IF(ISBLANK($T$1),1,IF($I$23:$I$238=$T$1,1,0))))</f>
        <v>0</v>
      </c>
      <c r="AK10" s="874">
        <f t="array" ref="AK10">SUM(IF(ISBLANK(AK$23:AK$238),0,IF(ISNUMBER(VALUE(RIGHT(AK$23:AK$238,1))),RIGHT(AK$23:AK$238,1),0)*IF(ISBLANK($T$1),1,IF($I$23:$I$238=$T$1,1,0))))</f>
        <v>2</v>
      </c>
      <c r="AL10" s="874">
        <f t="array" ref="AL10">SUM(IF(ISBLANK(AL$23:AL$238),0,IF(ISNUMBER(VALUE(RIGHT(AL$23:AL$238,1))),RIGHT(AL$23:AL$238,1),0)*IF(ISBLANK($T$1),1,IF($I$23:$I$238=$T$1,1,0))))</f>
        <v>1</v>
      </c>
      <c r="AM10" s="874">
        <f t="array" ref="AM10">SUM(IF(ISBLANK(AM$23:AM$238),0,IF(ISNUMBER(VALUE(RIGHT(AM$23:AM$238,1))),RIGHT(AM$23:AM$238,1),0)*IF(ISBLANK($T$1),1,IF($I$23:$I$238=$T$1,1,0))))</f>
        <v>1</v>
      </c>
      <c r="AP10" s="874">
        <f t="array" ref="AP10">SUM(IF(ISBLANK(AP$23:AP$238),0,IF(ISNUMBER(VALUE(RIGHT(AP$23:AP$238,1))),RIGHT(AP$23:AP$238,1),0)*IF(ISBLANK($T$1),1,IF($I$23:$I$238=$T$1,1,0))))</f>
        <v>0</v>
      </c>
      <c r="AR10" s="874">
        <f t="array" ref="AR10">SUM(IF(ISBLANK(AR$23:AR$238),0,IF(ISNUMBER(VALUE(RIGHT(AR$23:AR$238,1))),RIGHT(AR$23:AR$238,1),0)*IF(ISBLANK($T$1),1,IF($I$23:$I$238=$T$1,1,0))))</f>
        <v>0</v>
      </c>
      <c r="AU10" s="874">
        <f t="array" ref="AU10">SUM(IF(ISBLANK(AU$23:AU$238),0,IF(ISNUMBER(VALUE(RIGHT(AU$23:AU$238,1))),RIGHT(AU$23:AU$238,1),0)*IF(ISBLANK($T$1),1,IF($I$23:$I$238=$T$1,1,0))))</f>
        <v>1</v>
      </c>
      <c r="BB10" s="874">
        <f t="array" ref="BB10">SUM(IF(ISBLANK(BB$23:BB$238),0,IF(ISNUMBER(VALUE(RIGHT(BB$23:BB$238,1))),RIGHT(BB$23:BB$238,1),0)*IF(ISBLANK($T$1),1,IF($I$23:$I$238=$T$1,1,0))))</f>
        <v>6</v>
      </c>
      <c r="BC10" s="874">
        <f t="array" ref="BC10">SUM(IF(ISBLANK(BC$23:BC$238),0,IF(ISNUMBER(VALUE(RIGHT(BC$23:BC$238,1))),RIGHT(BC$23:BC$238,1),0)*IF(ISBLANK($T$1),1,IF($I$23:$I$238=$T$1,1,0))))</f>
        <v>7</v>
      </c>
      <c r="BD10" s="874">
        <f t="array" ref="BD10">SUM(IF(ISBLANK(BD$23:BD$238),0,IF(ISNUMBER(VALUE(RIGHT(BD$23:BD$238,1))),RIGHT(BD$23:BD$238,1),0)*IF(ISBLANK($T$1),1,IF($I$23:$I$238=$T$1,1,0))))</f>
        <v>0</v>
      </c>
      <c r="BE10" s="874">
        <f t="array" ref="BE10">SUM(IF(ISBLANK(BE$23:BE$238),0,IF(ISNUMBER(VALUE(RIGHT(BE$23:BE$238,1))),RIGHT(BE$23:BE$238,1),0)*IF(ISBLANK($T$1),1,IF($I$23:$I$238=$T$1,1,0))))</f>
        <v>0</v>
      </c>
      <c r="BF10" s="874">
        <f t="array" ref="BF10">SUM(IF(ISBLANK(BF$23:BF$238),0,IF(ISNUMBER(VALUE(RIGHT(BF$23:BF$238,1))),RIGHT(BF$23:BF$238,1),0)*IF(ISBLANK($T$1),1,IF($I$23:$I$238=$T$1,1,0))))</f>
        <v>7</v>
      </c>
      <c r="BG10" s="874">
        <f t="array" ref="BG10">SUM(IF(ISBLANK(BG$23:BG$238),0,IF(ISNUMBER(VALUE(RIGHT(BG$23:BG$238,1))),RIGHT(BG$23:BG$238,1),0)*IF(ISBLANK($T$1),1,IF($I$23:$I$238=$T$1,1,0))))</f>
        <v>1</v>
      </c>
      <c r="BI10" s="874">
        <f t="array" ref="BI10">SUM(IF(ISBLANK(BI$23:BI$238),0,IF(ISNUMBER(VALUE(RIGHT(BI$23:BI$238,1))),RIGHT(BI$23:BI$238,1),0)*IF(ISBLANK($T$1),1,IF($I$23:$I$238=$T$1,1,0))))</f>
        <v>1</v>
      </c>
      <c r="BM10" s="874">
        <f t="array" ref="BM10">SUM(IF(ISBLANK(BM$23:BM$238),0,IF(ISNUMBER(VALUE(RIGHT(BM$23:BM$238,1))),RIGHT(BM$23:BM$238,1),0)*IF(ISBLANK($T$1),1,IF($I$23:$I$238=$T$1,1,0))))</f>
        <v>0</v>
      </c>
      <c r="BS10" s="874">
        <f t="array" ref="BS10">SUM(IF(ISBLANK(BS$23:BS$238),0,IF(ISNUMBER(VALUE(RIGHT(BS$23:BS$238,1))),RIGHT(BS$23:BS$238,1),0)*IF(ISBLANK($T$1),1,IF($I$23:$I$238=$T$1,1,0))))</f>
        <v>0</v>
      </c>
      <c r="BU10" s="874">
        <f t="array" ref="BU10">SUM(IF(ISBLANK(BU$23:BU$238),0,IF(ISNUMBER(VALUE(RIGHT(BU$23:BU$238,1))),RIGHT(BU$23:BU$238,1),0)*IF(ISBLANK($T$1),1,IF($I$23:$I$238=$T$1,1,0))))</f>
        <v>0</v>
      </c>
      <c r="BV10" s="874">
        <f t="array" ref="BV10">SUM(IF(ISBLANK(BV$23:BV$238),0,IF(ISNUMBER(VALUE(RIGHT(BV$23:BV$238,1))),RIGHT(BV$23:BV$238,1),0)*IF(ISBLANK($T$1),1,IF($I$23:$I$238=$T$1,1,0))))</f>
        <v>0</v>
      </c>
      <c r="BW10" s="874">
        <f t="array" ref="BW10">SUM(IF(ISBLANK(BW$41:BW$238),0,IF(ISNUMBER(VALUE(RIGHT(BW$41:BW$238,1))),RIGHT(BW$41:BW$238,1),0)*IF(ISBLANK($T$1),1,IF($I$23:$I$238=$T$1,1,0))))</f>
        <v>0</v>
      </c>
      <c r="CB10" s="874">
        <f t="array" ref="CB10">SUM(IF(ISBLANK(CB$23:CB$238),0,IF(ISNUMBER(VALUE(RIGHT(CB$23:CB$238,1))),RIGHT(CB$23:CB$238,1),0)*IF(ISBLANK($T$1),1,IF($I$23:$I$238=$T$1,1,0))))</f>
        <v>0</v>
      </c>
      <c r="CC10" s="874">
        <f t="array" ref="CC10">SUM(IF(ISBLANK(CC$23:CC$238),0,IF(ISNUMBER(VALUE(RIGHT(CC$23:CC$238,1))),RIGHT(CC$23:CC$238,1),0)*IF(ISBLANK($T$1),1,IF($I$23:$I$238=$T$1,1,0))))</f>
        <v>0</v>
      </c>
      <c r="CD10" s="874">
        <f t="array" ref="CD10">SUM(IF(ISBLANK(CD$23:CD$238),0,IF(ISNUMBER(VALUE(RIGHT(CD$23:CD$238,1))),RIGHT(CD$23:CD$238,1),0)*IF(ISBLANK($T$1),1,IF($I$23:$I$238=$T$1,1,0))))</f>
        <v>0</v>
      </c>
      <c r="CE10" s="874">
        <f t="array" ref="CE10">SUM(IF(ISBLANK(CE$23:CE$238),0,IF(ISNUMBER(VALUE(RIGHT(CE$23:CE$238,1))),RIGHT(CE$23:CE$238,1),0)*IF(ISBLANK($T$1),1,IF($I$23:$I$238=$T$1,1,0))))</f>
        <v>0</v>
      </c>
      <c r="CF10" s="874">
        <f t="array" ref="CF10">SUM(IF(ISBLANK(CF$23:CF$238),0,IF(ISNUMBER(VALUE(RIGHT(CF$23:CF$238,1))),RIGHT(CF$23:CF$238,1),0)*IF(ISBLANK($T$1),1,IF($I$23:$I$238=$T$1,1,0))))</f>
        <v>0</v>
      </c>
      <c r="CG10" s="874">
        <f t="array" ref="CG10">SUM(IF(ISBLANK(CG$23:CG$238),0,IF(ISNUMBER(VALUE(RIGHT(CG$23:CG$238,1))),RIGHT(CG$23:CG$238,1),0)*IF(ISBLANK($T$1),1,IF($I$23:$I$238=$T$1,1,0))))</f>
        <v>0</v>
      </c>
      <c r="CH10" s="874">
        <f t="array" ref="CH10">SUM(IF(ISBLANK(CH$23:CH$238),0,IF(ISNUMBER(VALUE(RIGHT(CH$23:CH$238,1))),RIGHT(CH$23:CH$238,1),0)*IF(ISBLANK($T$1),1,IF($I$23:$I$238=$T$1,1,0))))</f>
        <v>0</v>
      </c>
      <c r="CI10" s="874">
        <f t="array" ref="CI10">SUM(IF(ISBLANK(CI$23:CI$238),0,IF(ISNUMBER(VALUE(RIGHT(CI$23:CI$238,1))),RIGHT(CI$23:CI$238,1),0)*IF(ISBLANK($T$1),1,IF($I$23:$I$238=$T$1,1,0))))</f>
        <v>0</v>
      </c>
      <c r="CJ10" s="874">
        <f t="array" ref="CJ10">SUM(IF(ISBLANK(CJ$23:CJ$238),0,IF(ISNUMBER(VALUE(RIGHT(CJ$23:CJ$238,1))),RIGHT(CJ$23:CJ$238,1),0)*IF(ISBLANK($T$1),1,IF($I$23:$I$238=$T$1,1,0))))</f>
        <v>0</v>
      </c>
      <c r="CK10" s="874">
        <f t="array" ref="CK10">SUM(IF(ISBLANK(CK$23:CK$238),0,IF(ISNUMBER(VALUE(RIGHT(CK$23:CK$238,1))),RIGHT(CK$23:CK$238,1),0)*IF(ISBLANK($T$1),1,IF($I$23:$I$238=$T$1,1,0))))</f>
        <v>0</v>
      </c>
      <c r="CL10" s="874">
        <f t="array" ref="CL10">SUM(IF(ISBLANK(CL$23:CL$238),0,IF(ISNUMBER(VALUE(RIGHT(CL$23:CL$238,1))),RIGHT(CL$23:CL$238,1),0)*IF(ISBLANK($T$1),1,IF($I$23:$I$238=$T$1,1,0))))</f>
        <v>0</v>
      </c>
      <c r="CM10" s="874">
        <f t="array" ref="CM10">SUM(IF(ISBLANK(CM$23:CM$238),0,IF(ISNUMBER(VALUE(RIGHT(CM$23:CM$238,1))),RIGHT(CM$23:CM$238,1),0)*IF(ISBLANK($T$1),1,IF($I$23:$I$238=$T$1,1,0))))</f>
        <v>0</v>
      </c>
      <c r="CN10" s="874">
        <f t="array" ref="CN10">SUM(IF(ISBLANK(CN$23:CN$238),0,IF(ISNUMBER(VALUE(RIGHT(CN$23:CN$238,1))),RIGHT(CN$23:CN$238,1),0)*IF(ISBLANK($T$1),1,IF($I$23:$I$238=$T$1,1,0))))</f>
        <v>0</v>
      </c>
      <c r="CO10" s="874">
        <f t="array" ref="CO10">SUM(IF(ISBLANK(CO$23:CO$238),0,IF(ISNUMBER(VALUE(RIGHT(CO$23:CO$238,1))),RIGHT(CO$23:CO$238,1),0)*IF(ISBLANK($T$1),1,IF($I$23:$I$238=$T$1,1,0))))</f>
        <v>0</v>
      </c>
    </row>
    <row r="11" spans="1:93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O11" si="13">AF10/AF2</f>
        <v>1.1395348837209303</v>
      </c>
      <c r="AG11" s="874">
        <f t="shared" si="13"/>
        <v>0</v>
      </c>
      <c r="AH11" s="874">
        <f t="shared" si="13"/>
        <v>0</v>
      </c>
      <c r="AI11" s="874">
        <f t="shared" si="13"/>
        <v>0</v>
      </c>
      <c r="AK11" s="874">
        <f t="shared" si="13"/>
        <v>4.7619047619047616E-2</v>
      </c>
      <c r="AL11" s="874">
        <f t="shared" si="13"/>
        <v>2.3809523809523808E-2</v>
      </c>
      <c r="AM11" s="874">
        <f t="shared" si="13"/>
        <v>2.3255813953488372E-2</v>
      </c>
      <c r="AP11" s="874">
        <f>AP10/AP2</f>
        <v>0</v>
      </c>
      <c r="AR11" s="874">
        <f>AR10/AR2</f>
        <v>0</v>
      </c>
      <c r="AU11" s="874">
        <f>AU10/AU2</f>
        <v>2.3255813953488372E-2</v>
      </c>
      <c r="BB11" s="874">
        <f t="shared" ref="BB11" si="14">BB10/BB2</f>
        <v>0.13953488372093023</v>
      </c>
      <c r="BC11" s="874">
        <f t="shared" ref="BC11:BI11" si="15">BC10/BC2</f>
        <v>0.16666666666666666</v>
      </c>
      <c r="BD11" s="874">
        <f>BD10/BD2</f>
        <v>0</v>
      </c>
      <c r="BE11" s="874">
        <f t="shared" si="15"/>
        <v>0</v>
      </c>
      <c r="BF11" s="874">
        <f t="shared" si="15"/>
        <v>0.36842105263157893</v>
      </c>
      <c r="BG11" s="874">
        <f t="shared" si="15"/>
        <v>2.6315789473684209E-2</v>
      </c>
      <c r="BI11" s="874">
        <f t="shared" si="15"/>
        <v>1</v>
      </c>
      <c r="BM11" s="874" t="e">
        <f>BM10/BM2</f>
        <v>#DIV/0!</v>
      </c>
      <c r="BS11" s="874">
        <f>BS10/BS2</f>
        <v>0</v>
      </c>
      <c r="BU11" s="874">
        <f>BU10/BU2</f>
        <v>0</v>
      </c>
      <c r="BV11" s="874">
        <f>BV10/BV2</f>
        <v>0</v>
      </c>
      <c r="BW11" s="874">
        <f t="shared" si="13"/>
        <v>0</v>
      </c>
      <c r="CB11" s="874" t="e">
        <f t="shared" ref="CB11:CH11" si="16">CB10/CB2</f>
        <v>#DIV/0!</v>
      </c>
      <c r="CC11" s="874" t="e">
        <f t="shared" si="16"/>
        <v>#DIV/0!</v>
      </c>
      <c r="CD11" s="874" t="e">
        <f t="shared" si="16"/>
        <v>#DIV/0!</v>
      </c>
      <c r="CE11" s="874" t="e">
        <f t="shared" si="16"/>
        <v>#DIV/0!</v>
      </c>
      <c r="CF11" s="874" t="e">
        <f t="shared" si="16"/>
        <v>#DIV/0!</v>
      </c>
      <c r="CG11" s="874" t="e">
        <f t="shared" si="16"/>
        <v>#DIV/0!</v>
      </c>
      <c r="CH11" s="874" t="e">
        <f t="shared" si="16"/>
        <v>#DIV/0!</v>
      </c>
      <c r="CI11" s="874" t="e">
        <f t="shared" si="13"/>
        <v>#DIV/0!</v>
      </c>
      <c r="CJ11" s="874" t="e">
        <f t="shared" si="13"/>
        <v>#DIV/0!</v>
      </c>
      <c r="CK11" s="874" t="e">
        <f t="shared" si="13"/>
        <v>#DIV/0!</v>
      </c>
      <c r="CL11" s="874" t="e">
        <f t="shared" si="13"/>
        <v>#DIV/0!</v>
      </c>
      <c r="CM11" s="874">
        <f t="shared" si="13"/>
        <v>0</v>
      </c>
      <c r="CN11" s="874">
        <f t="shared" si="13"/>
        <v>0</v>
      </c>
      <c r="CO11" s="874">
        <f t="shared" si="13"/>
        <v>0</v>
      </c>
    </row>
    <row r="12" spans="1:93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SUM(IF(ISBLANK($T$1),$K$23:$K$238,IF($I$23:$I$238=$T$1,$K$23:$K$238,0)))</f>
        <v>71</v>
      </c>
      <c r="AG12" s="874">
        <f t="array" ref="AG12">SUM(IF(ISBLANK(AG$23:AG$238),0,$K23:$K238)*IF(ISBLANK($T$1),1,IF($I$23:$I$238=$T$1,1,0)))</f>
        <v>70</v>
      </c>
      <c r="AH12" s="874">
        <f t="array" ref="AH12">SUM(IF(ISBLANK(AH$23:AH$238),0,$K23:$K238)*IF(ISBLANK($T$1),1,IF($I$23:$I$238=$T$1,1,0)))</f>
        <v>70</v>
      </c>
      <c r="AI12" s="874">
        <f t="array" ref="AI12">SUM(IF(ISBLANK(AI$23:AI$238),0,$K23:$K238)*IF(ISBLANK($T$1),1,IF($I$23:$I$238=$T$1,1,0)))</f>
        <v>68</v>
      </c>
      <c r="AK12" s="874">
        <f t="array" ref="AK12">SUM(IF(ISBLANK(AK$23:AK$238),0,$K23:$K238)*IF(ISBLANK($T$1),1,IF($I$23:$I$238=$T$1,1,0)))</f>
        <v>68</v>
      </c>
      <c r="AL12" s="874">
        <f t="array" ref="AL12">SUM(IF(ISBLANK(AL$23:AL$238),0,$K23:$K238)*IF(ISBLANK($T$1),1,IF($I$23:$I$238=$T$1,1,0)))</f>
        <v>68</v>
      </c>
      <c r="AM12" s="874">
        <f t="array" ref="AM12">SUM(IF(ISBLANK(AM$23:AM$238),0,$K23:$K238)*IF(ISBLANK($T$1),1,IF($I$23:$I$238=$T$1,1,0)))</f>
        <v>71</v>
      </c>
      <c r="AP12" s="874">
        <f t="array" ref="AP12">SUM(IF(ISBLANK(AP$23:AP$238),0,$K23:$K238)*IF(ISBLANK($T$1),1,IF($I$23:$I$238=$T$1,1,0)))</f>
        <v>71</v>
      </c>
      <c r="AR12" s="874">
        <f t="array" ref="AR12">SUM(IF(ISBLANK(AR$23:AR$238),0,$K23:$K238)*IF(ISBLANK($T$1),1,IF($I$23:$I$238=$T$1,1,0)))</f>
        <v>71</v>
      </c>
      <c r="AU12" s="874">
        <f t="array" ref="AU12">SUM(IF(ISBLANK(AU$23:AU$238),0,$K23:$K238)*IF(ISBLANK($T$1),1,IF($I$23:$I$238=$T$1,1,0)))</f>
        <v>71</v>
      </c>
      <c r="BB12" s="874">
        <f t="array" ref="BB12">SUM(IF(ISBLANK(BB$23:BB$238),0,$K23:$K238)*IF(ISBLANK($T$1),1,IF($I$23:$I$238=$T$1,1,0)))</f>
        <v>71</v>
      </c>
      <c r="BC12" s="874">
        <f t="array" ref="BC12">SUM(IF(ISBLANK(BC$23:BC$238),0,$K23:$K238)*IF(ISBLANK($T$1),1,IF($I$23:$I$238=$T$1,1,0)))</f>
        <v>68</v>
      </c>
      <c r="BD12" s="874">
        <f t="array" ref="BD12">SUM(IF(ISBLANK(BD$23:BD$238),0,$K23:$K238)*IF(ISBLANK($T$1),1,IF($I$23:$I$238=$T$1,1,0)))</f>
        <v>68</v>
      </c>
      <c r="BE12" s="874">
        <f t="array" ref="BE12">SUM(IF(ISBLANK(BE$23:BE$238),0,$K23:$K238)*IF(ISBLANK($T$1),1,IF($I$23:$I$238=$T$1,1,0)))</f>
        <v>71</v>
      </c>
      <c r="BF12" s="874">
        <f t="array" ref="BF12">SUM(IF(ISBLANK(BF$23:BF$238),0,$K23:$K238)*IF(ISBLANK($T$1),1,IF($I$23:$I$238=$T$1,1,0)))</f>
        <v>37</v>
      </c>
      <c r="BG12" s="874">
        <f t="array" ref="BG12">SUM(IF(ISBLANK(BG$23:BG$238),0,$K23:$K238)*IF(ISBLANK($T$1),1,IF($I$23:$I$238=$T$1,1,0)))</f>
        <v>63</v>
      </c>
      <c r="BI12" s="874">
        <f t="array" ref="BI12">SUM(IF(ISBLANK(BI$23:BI$238),0,$K23:$K238)*IF(ISBLANK($T$1),1,IF($I$23:$I$238=$T$1,1,0)))</f>
        <v>1</v>
      </c>
      <c r="BM12" s="874">
        <f t="array" ref="BM12">SUM(IF(ISBLANK(BM$23:BM$238),0,$K23:$K238)*IF(ISBLANK($T$1),1,IF($I$23:$I$238=$T$1,1,0)))</f>
        <v>0</v>
      </c>
      <c r="BS12" s="874">
        <f t="array" ref="BS12">SUM(IF(ISBLANK(BS$23:BS$238),0,$K23:$K238)*IF(ISBLANK($T$1),1,IF($I$23:$I$238=$T$1,1,0)))</f>
        <v>2</v>
      </c>
      <c r="BU12" s="874">
        <f t="array" ref="BU12">SUM(IF(ISBLANK(BU$23:BU$238),0,$K23:$K238)*IF(ISBLANK($T$1),1,IF($I$23:$I$238=$T$1,1,0)))</f>
        <v>2</v>
      </c>
      <c r="BV12" s="874">
        <f t="array" ref="BV12">SUM(IF(ISBLANK(BV$23:BV$238),0,$K23:$K238)*IF(ISBLANK($T$1),1,IF($I$23:$I$238=$T$1,1,0)))</f>
        <v>2</v>
      </c>
      <c r="BW12" s="874" t="e">
        <f t="array" ref="BW12">SUM(IF(ISBLANK(BW$41:BW$238),0,$K23:$K238)*IF(ISBLANK($T$1),1,IF($I$23:$I$238=$T$1,1,0)))</f>
        <v>#N/A</v>
      </c>
      <c r="CB12" s="874">
        <f t="array" ref="CB12">SUM(IF(ISBLANK(CB$23:CB$238),0,$K23:$K238)*IF(ISBLANK($T$1),1,IF($I$23:$I$238=$T$1,1,0)))</f>
        <v>0</v>
      </c>
      <c r="CC12" s="874">
        <f t="array" ref="CC12">SUM(IF(ISBLANK(CC$23:CC$238),0,$K23:$K238)*IF(ISBLANK($T$1),1,IF($I$23:$I$238=$T$1,1,0)))</f>
        <v>0</v>
      </c>
      <c r="CD12" s="874">
        <f t="array" ref="CD12">SUM(IF(ISBLANK(CD$23:CD$238),0,$K23:$K238)*IF(ISBLANK($T$1),1,IF($I$23:$I$238=$T$1,1,0)))</f>
        <v>0</v>
      </c>
      <c r="CE12" s="874">
        <f t="array" ref="CE12">SUM(IF(ISBLANK(CE$23:CE$238),0,$K23:$K238)*IF(ISBLANK($T$1),1,IF($I$23:$I$238=$T$1,1,0)))</f>
        <v>0</v>
      </c>
      <c r="CF12" s="874">
        <f t="array" ref="CF12">SUM(IF(ISBLANK(CF$23:CF$238),0,$K23:$K238)*IF(ISBLANK($T$1),1,IF($I$23:$I$238=$T$1,1,0)))</f>
        <v>0</v>
      </c>
      <c r="CG12" s="874">
        <f t="array" ref="CG12">SUM(IF(ISBLANK(CG$23:CG$238),0,$K23:$K238)*IF(ISBLANK($T$1),1,IF($I$23:$I$238=$T$1,1,0)))</f>
        <v>0</v>
      </c>
      <c r="CH12" s="874">
        <f t="array" ref="CH12">SUM(IF(ISBLANK(CH$23:CH$238),0,$K23:$K238)*IF(ISBLANK($T$1),1,IF($I$23:$I$238=$T$1,1,0)))</f>
        <v>0</v>
      </c>
      <c r="CI12" s="874">
        <f t="array" ref="CI12">SUM(IF(ISBLANK(CI$23:CI$238),0,$K23:$K238)*IF(ISBLANK($T$1),1,IF($I$23:$I$238=$T$1,1,0)))</f>
        <v>0</v>
      </c>
      <c r="CJ12" s="874">
        <f t="array" ref="CJ12">SUM(IF(ISBLANK(CJ$23:CJ$238),0,$K23:$K238)*IF(ISBLANK($T$1),1,IF($I$23:$I$238=$T$1,1,0)))</f>
        <v>0</v>
      </c>
      <c r="CK12" s="874">
        <f t="array" ref="CK12">SUM(IF(ISBLANK(CK$23:CK$238),0,$K23:$K238)*IF(ISBLANK($T$1),1,IF($I$23:$I$238=$T$1,1,0)))</f>
        <v>0</v>
      </c>
      <c r="CL12" s="874">
        <f t="array" ref="CL12">SUM(IF(ISBLANK(CL$23:CL$238),0,$K23:$K238)*IF(ISBLANK($T$1),1,IF($I$23:$I$238=$T$1,1,0)))</f>
        <v>0</v>
      </c>
      <c r="CM12" s="874">
        <f t="array" ref="CM12">SUM(IF(ISBLANK(CM$23:CM$238),0,$K23:$K238)*IF(ISBLANK($T$1),1,IF($I$23:$I$238=$T$1,1,0)))</f>
        <v>20</v>
      </c>
      <c r="CN12" s="874">
        <f t="array" ref="CN12">SUM(IF(ISBLANK(CN$23:CN$238),0,$K23:$K238)*IF(ISBLANK($T$1),1,IF($I$23:$I$238=$T$1,1,0)))</f>
        <v>20</v>
      </c>
      <c r="CO12" s="874">
        <f t="array" ref="CO12">SUM(IF(ISBLANK(CO$23:CO$238),0,$K23:$K238)*IF(ISBLANK($T$1),1,IF($I$23:$I$238=$T$1,1,0)))</f>
        <v>17</v>
      </c>
    </row>
    <row r="13" spans="1:93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O13" si="17">AF12/AF2</f>
        <v>1.6511627906976745</v>
      </c>
      <c r="AG13" s="874">
        <f t="shared" si="17"/>
        <v>1.7073170731707317</v>
      </c>
      <c r="AH13" s="874">
        <f t="shared" si="17"/>
        <v>1.6666666666666667</v>
      </c>
      <c r="AI13" s="874">
        <f t="shared" si="17"/>
        <v>1.6190476190476191</v>
      </c>
      <c r="AK13" s="874">
        <f t="shared" si="17"/>
        <v>1.6190476190476191</v>
      </c>
      <c r="AL13" s="874">
        <f t="shared" si="17"/>
        <v>1.6190476190476191</v>
      </c>
      <c r="AM13" s="874">
        <f t="shared" si="17"/>
        <v>1.6511627906976745</v>
      </c>
      <c r="AP13" s="874">
        <f>AP12/AP2</f>
        <v>1.6511627906976745</v>
      </c>
      <c r="AR13" s="874">
        <f>AR12/AR2</f>
        <v>1.6511627906976745</v>
      </c>
      <c r="AU13" s="874">
        <f>AU12/AU2</f>
        <v>1.6511627906976745</v>
      </c>
      <c r="BB13" s="874">
        <f t="shared" ref="BB13" si="18">BB12/BB2</f>
        <v>1.6511627906976745</v>
      </c>
      <c r="BC13" s="874">
        <f t="shared" ref="BC13:BI13" si="19">BC12/BC2</f>
        <v>1.6190476190476191</v>
      </c>
      <c r="BD13" s="874">
        <f>BD12/BD2</f>
        <v>1.6190476190476191</v>
      </c>
      <c r="BE13" s="874">
        <f t="shared" si="19"/>
        <v>1.6511627906976745</v>
      </c>
      <c r="BF13" s="874">
        <f t="shared" si="19"/>
        <v>1.9473684210526316</v>
      </c>
      <c r="BG13" s="874">
        <f t="shared" si="19"/>
        <v>1.6578947368421053</v>
      </c>
      <c r="BI13" s="874">
        <f t="shared" si="19"/>
        <v>1</v>
      </c>
      <c r="BM13" s="874" t="e">
        <f>BM12/BM2</f>
        <v>#DIV/0!</v>
      </c>
      <c r="BS13" s="874">
        <f>BS12/BS2</f>
        <v>2</v>
      </c>
      <c r="BU13" s="874">
        <f>BU12/BU2</f>
        <v>2</v>
      </c>
      <c r="BV13" s="874">
        <f>BV12/BV2</f>
        <v>2</v>
      </c>
      <c r="BW13" s="874" t="e">
        <f t="shared" si="17"/>
        <v>#N/A</v>
      </c>
      <c r="CB13" s="874" t="e">
        <f t="shared" ref="CB13:CH13" si="20">CB12/CB2</f>
        <v>#DIV/0!</v>
      </c>
      <c r="CC13" s="874" t="e">
        <f t="shared" si="20"/>
        <v>#DIV/0!</v>
      </c>
      <c r="CD13" s="874" t="e">
        <f t="shared" si="20"/>
        <v>#DIV/0!</v>
      </c>
      <c r="CE13" s="874" t="e">
        <f t="shared" si="20"/>
        <v>#DIV/0!</v>
      </c>
      <c r="CF13" s="874" t="e">
        <f t="shared" si="20"/>
        <v>#DIV/0!</v>
      </c>
      <c r="CG13" s="874" t="e">
        <f t="shared" si="20"/>
        <v>#DIV/0!</v>
      </c>
      <c r="CH13" s="874" t="e">
        <f t="shared" si="20"/>
        <v>#DIV/0!</v>
      </c>
      <c r="CI13" s="874" t="e">
        <f t="shared" si="17"/>
        <v>#DIV/0!</v>
      </c>
      <c r="CJ13" s="874" t="e">
        <f t="shared" si="17"/>
        <v>#DIV/0!</v>
      </c>
      <c r="CK13" s="874" t="e">
        <f t="shared" si="17"/>
        <v>#DIV/0!</v>
      </c>
      <c r="CL13" s="874" t="e">
        <f t="shared" si="17"/>
        <v>#DIV/0!</v>
      </c>
      <c r="CM13" s="874">
        <f t="shared" si="17"/>
        <v>1.25</v>
      </c>
      <c r="CN13" s="874">
        <f t="shared" si="17"/>
        <v>1.25</v>
      </c>
      <c r="CO13" s="874">
        <f t="shared" si="17"/>
        <v>1.1333333333333333</v>
      </c>
    </row>
    <row r="14" spans="1:93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BC14" si="21">AG15+AG16</f>
        <v>15</v>
      </c>
      <c r="AH14" s="902">
        <f t="shared" si="21"/>
        <v>21</v>
      </c>
      <c r="AI14" s="902">
        <f t="shared" si="21"/>
        <v>8</v>
      </c>
      <c r="AJ14" s="902">
        <f t="shared" si="21"/>
        <v>24</v>
      </c>
      <c r="AK14" s="902">
        <f t="shared" si="21"/>
        <v>28</v>
      </c>
      <c r="AL14" s="902">
        <f t="shared" si="21"/>
        <v>22</v>
      </c>
      <c r="AM14" s="902">
        <f t="shared" si="21"/>
        <v>19</v>
      </c>
      <c r="AN14" s="902">
        <f t="shared" si="21"/>
        <v>17</v>
      </c>
      <c r="AO14" s="902">
        <f t="shared" si="21"/>
        <v>30</v>
      </c>
      <c r="AP14" s="902">
        <f t="shared" si="21"/>
        <v>27</v>
      </c>
      <c r="AQ14" s="902">
        <f t="shared" ref="AQ14" si="22">AQ15+AQ16</f>
        <v>12</v>
      </c>
      <c r="AR14" s="902">
        <f>AR15+AR16</f>
        <v>37</v>
      </c>
      <c r="AS14" s="902">
        <f>AS15+AS16</f>
        <v>25</v>
      </c>
      <c r="AT14" s="902">
        <f t="shared" si="21"/>
        <v>21</v>
      </c>
      <c r="AU14" s="902">
        <f t="shared" si="21"/>
        <v>21</v>
      </c>
      <c r="AV14" s="902">
        <f t="shared" si="21"/>
        <v>29</v>
      </c>
      <c r="AW14" s="902">
        <f t="shared" si="21"/>
        <v>10</v>
      </c>
      <c r="AX14" s="902">
        <f t="shared" si="21"/>
        <v>22</v>
      </c>
      <c r="AY14" s="902">
        <f t="shared" si="21"/>
        <v>39</v>
      </c>
      <c r="AZ14" s="902">
        <f t="shared" ref="AZ14:BA14" si="23">AZ15+AZ16</f>
        <v>2</v>
      </c>
      <c r="BA14" s="902">
        <f t="shared" si="23"/>
        <v>8</v>
      </c>
      <c r="BB14" s="902">
        <f>BB15+BB16</f>
        <v>42</v>
      </c>
      <c r="BC14" s="902">
        <f t="shared" si="21"/>
        <v>30</v>
      </c>
      <c r="BD14" s="902">
        <f t="shared" ref="BD14:BF14" si="24">BD15+BD16</f>
        <v>16</v>
      </c>
      <c r="BE14" s="902">
        <f t="shared" si="24"/>
        <v>17</v>
      </c>
      <c r="BF14" s="902">
        <f t="shared" si="24"/>
        <v>17</v>
      </c>
      <c r="BG14" s="902">
        <f>BG15+BG16</f>
        <v>17</v>
      </c>
      <c r="BH14" s="902">
        <f>BH15+BH16</f>
        <v>17</v>
      </c>
      <c r="BI14" s="889"/>
      <c r="BJ14" s="889"/>
      <c r="BK14" s="889"/>
      <c r="BL14" s="889"/>
      <c r="BM14" s="889"/>
      <c r="BN14" s="889"/>
      <c r="BO14" s="889"/>
      <c r="BP14" s="889"/>
      <c r="BQ14" s="889"/>
      <c r="BR14" s="889"/>
      <c r="BS14" s="889"/>
      <c r="BT14" s="889"/>
      <c r="BU14" s="889"/>
      <c r="BV14" s="889"/>
      <c r="BW14" s="889"/>
      <c r="BX14" s="890"/>
      <c r="BY14" s="890"/>
      <c r="BZ14" s="890"/>
      <c r="CA14" s="890"/>
      <c r="CB14" s="889"/>
      <c r="CC14" s="889"/>
      <c r="CD14" s="889"/>
      <c r="CE14" s="889"/>
      <c r="CF14" s="889"/>
      <c r="CG14" s="889"/>
      <c r="CH14" s="889"/>
    </row>
    <row r="15" spans="1:93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AVERAGEIFS($Q$23:$Q$205,$H$23:$H$205,"H",$I$23:$I$205,Table!$C$1)</f>
        <v>-3.3333333333333309E-3</v>
      </c>
      <c r="S15" s="858">
        <f>AVERAGEIFS($Q$23:$Q$205,$H$23:$H$205,"A",$I$23:$I$205,Table!$C$1)</f>
        <v>-0.32095238095238099</v>
      </c>
      <c r="AF15" s="848" t="s">
        <v>821</v>
      </c>
      <c r="AG15" s="903">
        <f t="array" ref="AG15">SUM(IF(LEFT(AG23:AG159,1)="X",1,0))</f>
        <v>15</v>
      </c>
      <c r="AH15" s="903">
        <f t="array" ref="AH15">SUM(IF(LEFT(AH23:AH159,1)="X",1,0))</f>
        <v>20</v>
      </c>
      <c r="AI15" s="903">
        <f t="array" ref="AI15">SUM(IF(LEFT(AI23:AI159,1)="X",1,0))</f>
        <v>8</v>
      </c>
      <c r="AJ15" s="903">
        <f t="array" ref="AJ15">SUM(IF(LEFT(AJ23:AJ159,1)="X",1,0))</f>
        <v>23</v>
      </c>
      <c r="AK15" s="903">
        <f t="array" ref="AK15">SUM(IF(LEFT(AK23:AK159,1)="X",1,0))</f>
        <v>28</v>
      </c>
      <c r="AL15" s="903">
        <f t="array" ref="AL15">SUM(IF(LEFT(AL23:AL159,1)="X",1,0))</f>
        <v>22</v>
      </c>
      <c r="AM15" s="903">
        <f t="array" ref="AM15">SUM(IF(LEFT(AM23:AM159,1)="X",1,0))</f>
        <v>17</v>
      </c>
      <c r="AN15" s="903">
        <f t="array" ref="AN15">SUM(IF(LEFT(AN23:AN159,1)="X",1,0))</f>
        <v>16</v>
      </c>
      <c r="AO15" s="903">
        <f t="array" ref="AO15">SUM(IF(LEFT(AO23:AO159,1)="X",1,0))</f>
        <v>29</v>
      </c>
      <c r="AP15" s="903">
        <f t="array" ref="AP15">SUM(IF(LEFT(AP23:AP159,1)="X",1,0))</f>
        <v>27</v>
      </c>
      <c r="AQ15" s="903">
        <f t="array" ref="AQ15">SUM(IF(LEFT(AQ23:AQ159,1)="X",1,0))</f>
        <v>12</v>
      </c>
      <c r="AR15" s="903">
        <f t="array" ref="AR15">SUM(IF(LEFT(AR23:AR159,1)="X",1,0))</f>
        <v>34</v>
      </c>
      <c r="AS15" s="903">
        <f t="array" ref="AS15">SUM(IF(LEFT(AS23:AS159,1)="X",1,0))</f>
        <v>23</v>
      </c>
      <c r="AT15" s="903">
        <f t="array" ref="AT15">SUM(IF(LEFT(AT23:AT159,1)="X",1,0))</f>
        <v>16</v>
      </c>
      <c r="AU15" s="903">
        <f t="array" ref="AU15">SUM(IF(LEFT(AU23:AU159,1)="X",1,0))</f>
        <v>6</v>
      </c>
      <c r="AV15" s="903">
        <f t="array" ref="AV15">SUM(IF(LEFT(AV23:AV159,1)="X",1,0))</f>
        <v>5</v>
      </c>
      <c r="AW15" s="903">
        <f t="array" ref="AW15">SUM(IF(LEFT(AW23:AW159,1)="X",1,0))</f>
        <v>2</v>
      </c>
      <c r="AX15" s="903">
        <f t="array" ref="AX15">SUM(IF(LEFT(AX23:AX159,1)="X",1,0))</f>
        <v>18</v>
      </c>
      <c r="AY15" s="903">
        <f t="array" ref="AY15">SUM(IF(LEFT(AY23:AY159,1)="X",1,0))</f>
        <v>35</v>
      </c>
      <c r="AZ15" s="903">
        <f t="array" ref="AZ15">SUM(IF(LEFT(AZ23:AZ159,1)="X",1,0))</f>
        <v>1</v>
      </c>
      <c r="BA15" s="903">
        <f t="array" ref="BA15">SUM(IF(LEFT(BA23:BA159,1)="X",1,0))</f>
        <v>1</v>
      </c>
      <c r="BB15" s="903">
        <f t="array" ref="BB15">SUM(IF(LEFT(BB23:BB159,1)="X",1,0))</f>
        <v>34</v>
      </c>
      <c r="BC15" s="903">
        <f t="array" ref="BC15">SUM(IF(LEFT(BC23:BC159,1)="X",1,0))</f>
        <v>28</v>
      </c>
      <c r="BD15" s="903">
        <f t="array" ref="BD15">SUM(IF(LEFT(BD23:BD159,1)="X",1,0))</f>
        <v>11</v>
      </c>
      <c r="BE15" s="903">
        <f t="array" ref="BE15">SUM(IF(LEFT(BE23:BE159,1)="X",1,0))</f>
        <v>10</v>
      </c>
      <c r="BF15" s="903">
        <f t="array" ref="BF15">SUM(IF(LEFT(BF23:BF159,1)="X",1,0))</f>
        <v>13</v>
      </c>
      <c r="BG15" s="903">
        <f t="array" ref="BG15">SUM(IF(LEFT(BF23:BF159,1)="X",1,0))</f>
        <v>13</v>
      </c>
      <c r="BH15" s="903">
        <f t="array" ref="BH15">SUM(IF(LEFT(BG23:BG159,1)="X",1,0))</f>
        <v>12</v>
      </c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90"/>
      <c r="BY15" s="890"/>
      <c r="BZ15" s="890"/>
      <c r="CA15" s="890"/>
      <c r="CB15" s="889"/>
      <c r="CC15" s="889"/>
      <c r="CD15" s="889"/>
      <c r="CE15" s="889"/>
      <c r="CF15" s="889"/>
      <c r="CG15" s="889"/>
      <c r="CH15" s="889"/>
    </row>
    <row r="16" spans="1:93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AVERAGEIF($H$23:$H$202,"=H",$J$23:$J$202)</f>
        <v>0.95454545454545459</v>
      </c>
      <c r="J16" s="858">
        <f>AVERAGEIF($H$23:$H$206,"=H",$K$23:$K$206)</f>
        <v>1.6363636363636365</v>
      </c>
      <c r="K16" s="858">
        <f>I16-J16</f>
        <v>-0.68181818181818188</v>
      </c>
      <c r="L16" s="857">
        <f>COUNTIFS($L$23:$L$202,"=W",$H$23:$H$202,"=H")</f>
        <v>4</v>
      </c>
      <c r="M16" s="857">
        <f>COUNTIFS($L$23:$L$202,"=D",$H$23:$H$202,"=H")</f>
        <v>3</v>
      </c>
      <c r="N16" s="863">
        <f>COUNTIFS($L$23:$L$202,"=L",$H$23:$H$202,"=H")</f>
        <v>15</v>
      </c>
      <c r="O16" s="858">
        <f>SUM(I16:J16)</f>
        <v>2.5909090909090908</v>
      </c>
      <c r="Q16" s="861" t="s">
        <v>212</v>
      </c>
      <c r="R16" s="858">
        <f>AVERAGEIFS($S$23:$S$203,$H$23:$H$203,"H",$I$23:$I$203,Table!$C$1)</f>
        <v>2.5809523809523811</v>
      </c>
      <c r="S16" s="858">
        <f>AVERAGEIFS($S$23:$S$203,$H$23:$H$203,"A",$I$23:$I$203,Table!$C$1)</f>
        <v>2.6461904761904753</v>
      </c>
      <c r="AF16" s="848" t="s">
        <v>724</v>
      </c>
      <c r="AG16" s="903">
        <f t="array" ref="AG16">SUM(IF(LEFT(AG23:AG160,1)="s",1,0))</f>
        <v>0</v>
      </c>
      <c r="AH16" s="903">
        <f t="array" ref="AH16">SUM(IF(LEFT(AH23:AH160,1)="s",1,0))</f>
        <v>1</v>
      </c>
      <c r="AI16" s="903">
        <f t="array" ref="AI16">SUM(IF(LEFT(AI23:AI160,1)="s",1,0))</f>
        <v>0</v>
      </c>
      <c r="AJ16" s="903">
        <f t="array" ref="AJ16">SUM(IF(LEFT(AJ23:AJ160,1)="s",1,0))</f>
        <v>1</v>
      </c>
      <c r="AK16" s="903">
        <f t="array" ref="AK16">SUM(IF(LEFT(AK23:AK160,1)="s",1,0))</f>
        <v>0</v>
      </c>
      <c r="AL16" s="903">
        <f t="array" ref="AL16">SUM(IF(LEFT(AL23:AL160,1)="s",1,0))</f>
        <v>0</v>
      </c>
      <c r="AM16" s="903">
        <f t="array" ref="AM16">SUM(IF(LEFT(AM23:AM160,1)="s",1,0))</f>
        <v>2</v>
      </c>
      <c r="AN16" s="903">
        <f t="array" ref="AN16">SUM(IF(LEFT(AN23:AN160,1)="s",1,0))</f>
        <v>1</v>
      </c>
      <c r="AO16" s="903">
        <f t="array" ref="AO16">SUM(IF(LEFT(AO23:AO160,1)="s",1,0))</f>
        <v>1</v>
      </c>
      <c r="AP16" s="903">
        <f t="array" ref="AP16">SUM(IF(LEFT(AP23:AP160,1)="s",1,0))</f>
        <v>0</v>
      </c>
      <c r="AQ16" s="903">
        <f t="array" ref="AQ16">SUM(IF(LEFT(AQ23:AQ160,1)="s",1,0))</f>
        <v>0</v>
      </c>
      <c r="AR16" s="903">
        <f t="array" ref="AR16">SUM(IF(LEFT(AR23:AR160,1)="s",1,0))</f>
        <v>3</v>
      </c>
      <c r="AS16" s="903">
        <f t="array" ref="AS16">SUM(IF(LEFT(AS23:AS160,1)="s",1,0))</f>
        <v>2</v>
      </c>
      <c r="AT16" s="903">
        <f t="array" ref="AT16">SUM(IF(LEFT(AT23:AT160,1)="s",1,0))</f>
        <v>5</v>
      </c>
      <c r="AU16" s="903">
        <f t="array" ref="AU16">SUM(IF(LEFT(AU23:AU160,1)="s",1,0))</f>
        <v>15</v>
      </c>
      <c r="AV16" s="903">
        <f t="array" ref="AV16">SUM(IF(LEFT(AV23:AV160,1)="s",1,0))</f>
        <v>24</v>
      </c>
      <c r="AW16" s="903">
        <f t="array" ref="AW16">SUM(IF(LEFT(AW23:AW160,1)="s",1,0))</f>
        <v>8</v>
      </c>
      <c r="AX16" s="903">
        <f t="array" ref="AX16">SUM(IF(LEFT(AX23:AX160,1)="s",1,0))</f>
        <v>4</v>
      </c>
      <c r="AY16" s="903">
        <f t="array" ref="AY16">SUM(IF(LEFT(AY23:AY160,1)="s",1,0))</f>
        <v>4</v>
      </c>
      <c r="AZ16" s="903">
        <f t="array" ref="AZ16">SUM(IF(LEFT(AZ23:AZ160,1)="s",1,0))</f>
        <v>1</v>
      </c>
      <c r="BA16" s="903">
        <f t="array" ref="BA16">SUM(IF(LEFT(BA23:BA160,1)="s",1,0))</f>
        <v>7</v>
      </c>
      <c r="BB16" s="903">
        <f t="array" ref="BB16">SUM(IF(LEFT(BB23:BB160,1)="s",1,0))</f>
        <v>8</v>
      </c>
      <c r="BC16" s="903">
        <f t="array" ref="BC16">SUM(IF(LEFT(BC23:BC160,1)="s",1,0))</f>
        <v>2</v>
      </c>
      <c r="BD16" s="903">
        <f t="array" ref="BD16">SUM(IF(LEFT(BD23:BD160,1)="s",1,0))</f>
        <v>5</v>
      </c>
      <c r="BE16" s="903">
        <f t="array" ref="BE16">SUM(IF(LEFT(BE23:BE160,1)="s",1,0))</f>
        <v>7</v>
      </c>
      <c r="BF16" s="903">
        <f t="array" ref="BF16">SUM(IF(LEFT(BF23:BF160,1)="s",1,0))</f>
        <v>4</v>
      </c>
      <c r="BG16" s="903">
        <f t="array" ref="BG16">SUM(IF(LEFT(BF23:BF160,1)="s",1,0))</f>
        <v>4</v>
      </c>
      <c r="BH16" s="903">
        <f t="array" ref="BH16">SUM(IF(LEFT(BG23:BG160,1)="s",1,0))</f>
        <v>5</v>
      </c>
      <c r="BI16" s="889"/>
      <c r="BJ16" s="889"/>
      <c r="BK16" s="889"/>
      <c r="BL16" s="889"/>
      <c r="BM16" s="889"/>
      <c r="BN16" s="889"/>
      <c r="BO16" s="889"/>
      <c r="BP16" s="889"/>
      <c r="BQ16" s="889"/>
      <c r="BR16" s="889"/>
      <c r="BS16" s="889"/>
      <c r="BT16" s="889"/>
      <c r="BU16" s="889"/>
      <c r="BV16" s="889"/>
      <c r="BW16" s="889"/>
      <c r="BX16" s="890"/>
      <c r="BY16" s="890"/>
      <c r="BZ16" s="890"/>
      <c r="CA16" s="890"/>
      <c r="CB16" s="889"/>
      <c r="CC16" s="889"/>
      <c r="CD16" s="889"/>
      <c r="CE16" s="889"/>
      <c r="CF16" s="889"/>
      <c r="CG16" s="889"/>
      <c r="CH16" s="889"/>
    </row>
    <row r="17" spans="1:119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AVERAGEIF($H$23:$H$202,"=A",$J$23:$J$202)</f>
        <v>1.3333333333333333</v>
      </c>
      <c r="J17" s="860">
        <f>AVERAGEIF($H$23:$H$206,"=A",$K$23:$K$206)</f>
        <v>1.6666666666666667</v>
      </c>
      <c r="K17" s="858">
        <f>I17-J17</f>
        <v>-0.33333333333333348</v>
      </c>
      <c r="L17" s="857">
        <f>COUNTIFS($L$23:$L$202,"=W",$H$23:$H$202,"=A")</f>
        <v>7</v>
      </c>
      <c r="M17" s="857">
        <f>COUNTIFS($L$23:$L$202,"=D",$H$23:$H$202,"=A")</f>
        <v>2</v>
      </c>
      <c r="N17" s="863">
        <f>COUNTIFS($L$23:$L$202,"=L",$H$23:$H$202,"=A")</f>
        <v>12</v>
      </c>
      <c r="O17" s="858">
        <f>SUM(I17:J17)</f>
        <v>3</v>
      </c>
      <c r="Q17" s="848"/>
      <c r="R17" s="859"/>
      <c r="S17" s="855"/>
      <c r="AF17" s="848" t="s">
        <v>718</v>
      </c>
      <c r="AG17" s="903">
        <f t="array" ref="AG17">SUM(IF(ISNUMBER(VALUE(RIGHT(AG23:AG168,1))),VALUE(RIGHT(AG23:AG168,1)),0))</f>
        <v>0</v>
      </c>
      <c r="AH17" s="903">
        <f t="array" ref="AH17">SUM(IF(ISNUMBER(VALUE(RIGHT(AH23:AH168,1))),VALUE(RIGHT(AH23:AH168,1)),0))</f>
        <v>0</v>
      </c>
      <c r="AI17" s="903">
        <f t="array" ref="AI17">SUM(IF(ISNUMBER(VALUE(RIGHT(AI23:AI168,1))),VALUE(RIGHT(AI23:AI168,1)),0))</f>
        <v>0</v>
      </c>
      <c r="AJ17" s="903">
        <f t="array" ref="AJ17">SUM(IF(ISNUMBER(VALUE(RIGHT(AJ23:AJ168,1))),VALUE(RIGHT(AJ23:AJ168,1)),0))</f>
        <v>3</v>
      </c>
      <c r="AK17" s="903">
        <f t="array" ref="AK17">SUM(IF(ISNUMBER(VALUE(RIGHT(AK23:AK168,1))),VALUE(RIGHT(AK23:AK168,1)),0))</f>
        <v>2</v>
      </c>
      <c r="AL17" s="903">
        <f t="array" ref="AL17">SUM(IF(ISNUMBER(VALUE(RIGHT(AL23:AL168,1))),VALUE(RIGHT(AL23:AL168,1)),0))</f>
        <v>1</v>
      </c>
      <c r="AM17" s="903">
        <f t="array" ref="AM17">SUM(IF(ISNUMBER(VALUE(RIGHT(AM23:AM168,1))),VALUE(RIGHT(AM23:AM168,1)),0))</f>
        <v>1</v>
      </c>
      <c r="AN17" s="903">
        <f t="array" ref="AN17">SUM(IF(ISNUMBER(VALUE(RIGHT(AN23:AN168,1))),VALUE(RIGHT(AN23:AN168,1)),0))</f>
        <v>1</v>
      </c>
      <c r="AO17" s="903">
        <f t="array" ref="AO17">SUM(IF(ISNUMBER(VALUE(RIGHT(AO23:AO168,1))),VALUE(RIGHT(AO23:AO168,1)),0))</f>
        <v>3</v>
      </c>
      <c r="AP17" s="903">
        <f t="array" ref="AP17">SUM(IF(ISNUMBER(VALUE(RIGHT(AP23:AP168,1))),VALUE(RIGHT(AP23:AP168,1)),0))</f>
        <v>0</v>
      </c>
      <c r="AQ17" s="903">
        <f t="array" ref="AQ17">SUM(IF(ISNUMBER(VALUE(RIGHT(AQ23:AQ168,1))),VALUE(RIGHT(AQ23:AQ168,1)),0))</f>
        <v>0</v>
      </c>
      <c r="AR17" s="903">
        <f t="array" ref="AR17">SUM(IF(ISNUMBER(VALUE(RIGHT(AR23:AR168,1))),VALUE(RIGHT(AR23:AR168,1)),0))</f>
        <v>0</v>
      </c>
      <c r="AS17" s="903">
        <f t="array" ref="AS17">SUM(IF(ISNUMBER(VALUE(RIGHT(AS23:AS168,1))),VALUE(RIGHT(AS23:AS168,1)),0))</f>
        <v>2</v>
      </c>
      <c r="AT17" s="903">
        <f t="array" ref="AT17">SUM(IF(ISNUMBER(VALUE(RIGHT(AT23:AT168,1))),VALUE(RIGHT(AT23:AT168,1)),0))</f>
        <v>0</v>
      </c>
      <c r="AU17" s="903">
        <f t="array" ref="AU17">SUM(IF(ISNUMBER(VALUE(RIGHT(AU23:AU168,1))),VALUE(RIGHT(AU23:AU168,1)),0))</f>
        <v>1</v>
      </c>
      <c r="AV17" s="903">
        <f t="array" ref="AV17">SUM(IF(ISNUMBER(VALUE(RIGHT(AV23:AV168,1))),VALUE(RIGHT(AV23:AV168,1)),0))</f>
        <v>0</v>
      </c>
      <c r="AW17" s="903">
        <f t="array" ref="AW17">SUM(IF(ISNUMBER(VALUE(RIGHT(AW23:AW168,1))),VALUE(RIGHT(AW23:AW168,1)),0))</f>
        <v>0</v>
      </c>
      <c r="AX17" s="903">
        <f t="array" ref="AX17">SUM(IF(ISNUMBER(VALUE(RIGHT(AX23:AX168,1))),VALUE(RIGHT(AX23:AX168,1)),0))</f>
        <v>1</v>
      </c>
      <c r="AY17" s="903">
        <f t="array" ref="AY17">SUM(IF(ISNUMBER(VALUE(RIGHT(AY23:AY168,1))),VALUE(RIGHT(AY23:AY168,1)),0))</f>
        <v>8</v>
      </c>
      <c r="AZ17" s="903">
        <f t="array" ref="AZ17">SUM(IF(ISNUMBER(VALUE(RIGHT(AZ23:AZ168,1))),VALUE(RIGHT(AZ23:AZ168,1)),0))</f>
        <v>0</v>
      </c>
      <c r="BA17" s="903">
        <f t="array" ref="BA17">SUM(IF(ISNUMBER(VALUE(RIGHT(BA23:BA168,1))),VALUE(RIGHT(BA23:BA168,1)),0))</f>
        <v>0</v>
      </c>
      <c r="BB17" s="903">
        <f t="array" ref="BB17">SUM(IF(ISNUMBER(VALUE(RIGHT(BB23:BB168,1))),VALUE(RIGHT(BB23:BB168,1)),0))</f>
        <v>6</v>
      </c>
      <c r="BC17" s="903">
        <f t="array" ref="BC17">SUM(IF(ISNUMBER(VALUE(RIGHT(BC23:BC168,1))),VALUE(RIGHT(BC23:BC168,1)),0))</f>
        <v>7</v>
      </c>
      <c r="BD17" s="903">
        <f t="array" ref="BD17">SUM(IF(ISNUMBER(VALUE(RIGHT(BD23:BD168,1))),VALUE(RIGHT(BD23:BD168,1)),0))</f>
        <v>0</v>
      </c>
      <c r="BE17" s="903">
        <f t="array" ref="BE17">SUM(IF(ISNUMBER(VALUE(RIGHT(BE23:BE168,1))),VALUE(RIGHT(BE23:BE168,1)),0))</f>
        <v>0</v>
      </c>
      <c r="BF17" s="903">
        <f t="array" ref="BF17">SUM(IF(ISNUMBER(VALUE(RIGHT(BF23:BF168,1))),VALUE(RIGHT(BF23:BF168,1)),0))</f>
        <v>7</v>
      </c>
      <c r="BG17" s="903">
        <f t="array" ref="BG17">SUM(IF(ISNUMBER(VALUE(RIGHT(BF23:BF168,1))),VALUE(RIGHT(BF23:BF168,1)),0))</f>
        <v>7</v>
      </c>
      <c r="BH17" s="903">
        <f t="array" ref="BH17">SUM(IF(ISNUMBER(VALUE(RIGHT(BG23:BG168,1))),VALUE(RIGHT(BG23:BG168,1)),0))</f>
        <v>1</v>
      </c>
      <c r="BI17" s="889"/>
      <c r="BJ17" s="889"/>
      <c r="BK17" s="889"/>
      <c r="BL17" s="889"/>
      <c r="BM17" s="889"/>
      <c r="BN17" s="889"/>
      <c r="BO17" s="889"/>
      <c r="BP17" s="889"/>
      <c r="BQ17" s="889"/>
      <c r="BR17" s="889"/>
      <c r="BS17" s="889"/>
      <c r="BT17" s="889"/>
      <c r="BU17" s="889"/>
      <c r="BV17" s="889"/>
      <c r="BW17" s="889"/>
      <c r="BX17" s="890"/>
      <c r="BY17" s="890"/>
      <c r="BZ17" s="890"/>
      <c r="CA17" s="890"/>
      <c r="CB17" s="889"/>
      <c r="CC17" s="889"/>
      <c r="CD17" s="889"/>
      <c r="CE17" s="889"/>
      <c r="CF17" s="889"/>
      <c r="CG17" s="889"/>
      <c r="CH17" s="889"/>
    </row>
    <row r="18" spans="1:119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AVERAGEIFS($Y$23:$Y$205,$H$23:$H$205,"H",$I$23:$I$205,Table!$C$1)</f>
        <v>3.1904761904761907</v>
      </c>
      <c r="S18" s="858">
        <f>AVERAGEIFS($Y$23:$Y$205,$H$23:$H$205,"A",$I$23:$I$205,Table!$C$1)</f>
        <v>3.3809523809523809</v>
      </c>
      <c r="AG18" s="876">
        <v>1</v>
      </c>
      <c r="AH18" s="876">
        <v>33</v>
      </c>
      <c r="AI18" s="876">
        <v>42</v>
      </c>
      <c r="AJ18" s="876">
        <v>2</v>
      </c>
      <c r="AK18" s="876">
        <v>3</v>
      </c>
      <c r="AL18" s="876">
        <v>4</v>
      </c>
      <c r="AM18" s="876">
        <v>16</v>
      </c>
      <c r="AN18" s="876">
        <v>18</v>
      </c>
      <c r="AO18" s="876">
        <v>19</v>
      </c>
      <c r="AP18" s="876">
        <v>21</v>
      </c>
      <c r="AQ18" s="876">
        <v>30</v>
      </c>
      <c r="AR18" s="876">
        <v>5</v>
      </c>
      <c r="AS18" s="876">
        <v>6</v>
      </c>
      <c r="AT18" s="876">
        <v>14</v>
      </c>
      <c r="AU18" s="876">
        <v>15</v>
      </c>
      <c r="AV18" s="876">
        <v>17</v>
      </c>
      <c r="AW18" s="876">
        <v>20</v>
      </c>
      <c r="AX18" s="876">
        <v>29</v>
      </c>
      <c r="AY18" s="876">
        <v>40</v>
      </c>
      <c r="AZ18" s="876">
        <v>24</v>
      </c>
      <c r="BA18" s="876">
        <v>7</v>
      </c>
      <c r="BB18" s="876">
        <v>8</v>
      </c>
      <c r="BC18" s="876">
        <v>9</v>
      </c>
      <c r="BD18" s="876">
        <v>11</v>
      </c>
      <c r="BE18" s="876">
        <v>13</v>
      </c>
      <c r="BF18" s="874">
        <v>28</v>
      </c>
      <c r="BG18" s="876">
        <v>22</v>
      </c>
      <c r="BH18" s="876">
        <v>27</v>
      </c>
      <c r="BJ18" s="876"/>
      <c r="BK18" s="876"/>
      <c r="BL18" s="876"/>
      <c r="BM18" s="876"/>
      <c r="BN18" s="876"/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  <c r="CK18" s="876"/>
      <c r="CL18" s="876"/>
    </row>
    <row r="19" spans="1:119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AVERAGEIFS($Z$23:$Z$203,$H$23:$H$203,"H",$I$23:$I$203,Table!$C$1)</f>
        <v>4.8095238095238093</v>
      </c>
      <c r="S19" s="858">
        <f>AVERAGEIFS($Z$23:$Z$203,$H$23:$H$203,"A",$I$23:$I$203,Table!$C$1)</f>
        <v>4.333333333333333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2072</v>
      </c>
      <c r="AK19" s="901" t="s">
        <v>2072</v>
      </c>
      <c r="AL19" s="901" t="s">
        <v>2072</v>
      </c>
      <c r="AM19" s="901" t="s">
        <v>2014</v>
      </c>
      <c r="AN19" s="901" t="s">
        <v>2074</v>
      </c>
      <c r="AO19" s="901" t="s">
        <v>2074</v>
      </c>
      <c r="AP19" s="901" t="s">
        <v>2075</v>
      </c>
      <c r="AQ19" s="901" t="s">
        <v>3187</v>
      </c>
      <c r="AR19" s="901" t="s">
        <v>2073</v>
      </c>
      <c r="AS19" s="901" t="s">
        <v>2073</v>
      </c>
      <c r="AT19" s="901" t="s">
        <v>2078</v>
      </c>
      <c r="AU19" s="901" t="s">
        <v>1709</v>
      </c>
      <c r="AV19" s="901" t="s">
        <v>1709</v>
      </c>
      <c r="AW19" s="901" t="s">
        <v>1709</v>
      </c>
      <c r="AX19" s="901" t="s">
        <v>2079</v>
      </c>
      <c r="AY19" s="901" t="s">
        <v>2078</v>
      </c>
      <c r="AZ19" s="901" t="s">
        <v>1709</v>
      </c>
      <c r="BA19" s="901" t="s">
        <v>2080</v>
      </c>
      <c r="BB19" s="901" t="s">
        <v>2076</v>
      </c>
      <c r="BC19" s="901" t="s">
        <v>2080</v>
      </c>
      <c r="BD19" s="901" t="s">
        <v>2077</v>
      </c>
      <c r="BE19" s="901" t="s">
        <v>1663</v>
      </c>
      <c r="BF19" s="901" t="s">
        <v>1997</v>
      </c>
      <c r="BG19" s="901" t="s">
        <v>1663</v>
      </c>
      <c r="BH19" s="901" t="s">
        <v>2080</v>
      </c>
      <c r="BJ19" s="877"/>
      <c r="BK19" s="877"/>
      <c r="BL19" s="877"/>
      <c r="BM19" s="877"/>
      <c r="BN19" s="877"/>
      <c r="BO19" s="877"/>
      <c r="BP19" s="877"/>
      <c r="BQ19" s="877"/>
      <c r="BR19" s="877"/>
      <c r="BS19" s="877"/>
      <c r="BT19" s="877"/>
      <c r="BU19" s="877"/>
      <c r="BV19" s="877"/>
      <c r="BW19" s="877"/>
      <c r="BX19" s="428"/>
      <c r="BY19" s="428"/>
      <c r="BZ19" s="428"/>
      <c r="CA19" s="428"/>
      <c r="CB19" s="877"/>
      <c r="CC19" s="877"/>
      <c r="CD19" s="877"/>
      <c r="CE19" s="877"/>
      <c r="CF19" s="877"/>
      <c r="CG19" s="877"/>
      <c r="CH19" s="877"/>
      <c r="CI19" s="428"/>
      <c r="CJ19" s="876"/>
      <c r="CK19" s="876"/>
      <c r="CL19" s="876"/>
    </row>
    <row r="20" spans="1:119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20</v>
      </c>
      <c r="G20" s="822" t="str">
        <f ca="1">MID(CELL("filename",A1),FIND("]",CELL("filename",A1))+1,LEN(CELL("filename",A1))-FIND("]",CELL("filename",A1)))</f>
        <v>Renofa Yamaguchi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1591</v>
      </c>
      <c r="AH20" s="887" t="s">
        <v>1592</v>
      </c>
      <c r="AI20" s="887" t="s">
        <v>1593</v>
      </c>
      <c r="AJ20" s="887" t="s">
        <v>2921</v>
      </c>
      <c r="AK20" s="887" t="s">
        <v>3140</v>
      </c>
      <c r="AL20" s="887" t="s">
        <v>3347</v>
      </c>
      <c r="AM20" s="887" t="s">
        <v>1594</v>
      </c>
      <c r="AN20" s="887" t="s">
        <v>1595</v>
      </c>
      <c r="AO20" s="887" t="s">
        <v>1596</v>
      </c>
      <c r="AP20" s="887" t="s">
        <v>1597</v>
      </c>
      <c r="AQ20" s="887" t="s">
        <v>3188</v>
      </c>
      <c r="AR20" s="887" t="s">
        <v>1598</v>
      </c>
      <c r="AS20" s="887" t="s">
        <v>2701</v>
      </c>
      <c r="AT20" s="887" t="s">
        <v>1919</v>
      </c>
      <c r="AU20" s="887" t="s">
        <v>1920</v>
      </c>
      <c r="AV20" s="887" t="s">
        <v>2609</v>
      </c>
      <c r="AW20" s="887" t="s">
        <v>1921</v>
      </c>
      <c r="AX20" s="887" t="s">
        <v>3346</v>
      </c>
      <c r="AY20" s="887" t="s">
        <v>3384</v>
      </c>
      <c r="AZ20" s="887" t="s">
        <v>2725</v>
      </c>
      <c r="BA20" s="887" t="s">
        <v>1600</v>
      </c>
      <c r="BB20" s="887" t="s">
        <v>1599</v>
      </c>
      <c r="BC20" s="887" t="s">
        <v>1601</v>
      </c>
      <c r="BD20" s="887" t="s">
        <v>2551</v>
      </c>
      <c r="BE20" s="887" t="s">
        <v>1602</v>
      </c>
      <c r="BF20" s="887" t="s">
        <v>3302</v>
      </c>
      <c r="BG20" s="887" t="s">
        <v>2647</v>
      </c>
      <c r="BH20" s="887" t="s">
        <v>1603</v>
      </c>
      <c r="BJ20" s="887"/>
      <c r="BK20" s="864"/>
      <c r="BL20" s="864"/>
      <c r="BM20" s="887"/>
      <c r="BN20" s="887"/>
      <c r="BO20" s="864"/>
      <c r="BP20" s="864"/>
      <c r="BQ20" s="864"/>
      <c r="BR20" s="864"/>
      <c r="BS20" s="864"/>
      <c r="BT20" s="864"/>
      <c r="BU20" s="864"/>
      <c r="BV20" s="864"/>
      <c r="BW20" s="864"/>
      <c r="BX20" s="847"/>
      <c r="BY20" s="847"/>
      <c r="BZ20" s="847"/>
      <c r="CA20" s="847"/>
      <c r="CB20" s="864"/>
      <c r="CC20" s="864"/>
      <c r="CD20" s="864"/>
      <c r="CE20" s="864"/>
      <c r="CF20" s="864"/>
      <c r="CG20" s="864"/>
      <c r="CH20" s="86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  <c r="CS20" s="824"/>
      <c r="CT20" s="824"/>
    </row>
    <row r="21" spans="1:119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993</v>
      </c>
      <c r="AH21" s="886" t="s">
        <v>946</v>
      </c>
      <c r="AI21" s="886" t="s">
        <v>1259</v>
      </c>
      <c r="AJ21" s="886" t="s">
        <v>994</v>
      </c>
      <c r="AK21" s="886" t="s">
        <v>1260</v>
      </c>
      <c r="AL21" s="886" t="s">
        <v>1261</v>
      </c>
      <c r="AM21" s="886" t="s">
        <v>2726</v>
      </c>
      <c r="AN21" s="886" t="s">
        <v>1263</v>
      </c>
      <c r="AO21" s="886" t="s">
        <v>1264</v>
      </c>
      <c r="AP21" s="886" t="s">
        <v>996</v>
      </c>
      <c r="AQ21" s="886" t="s">
        <v>3186</v>
      </c>
      <c r="AR21" s="886" t="s">
        <v>1722</v>
      </c>
      <c r="AS21" s="886" t="s">
        <v>1262</v>
      </c>
      <c r="AT21" s="886" t="s">
        <v>1723</v>
      </c>
      <c r="AU21" s="886" t="s">
        <v>1266</v>
      </c>
      <c r="AV21" s="886" t="s">
        <v>2610</v>
      </c>
      <c r="AW21" s="886" t="s">
        <v>1267</v>
      </c>
      <c r="AX21" s="886" t="s">
        <v>2251</v>
      </c>
      <c r="AY21" s="886" t="s">
        <v>1268</v>
      </c>
      <c r="AZ21" s="886" t="s">
        <v>2727</v>
      </c>
      <c r="BA21" s="886" t="s">
        <v>909</v>
      </c>
      <c r="BB21" s="886" t="s">
        <v>1265</v>
      </c>
      <c r="BC21" s="886" t="s">
        <v>1269</v>
      </c>
      <c r="BD21" s="886" t="s">
        <v>2552</v>
      </c>
      <c r="BE21" s="886" t="s">
        <v>1270</v>
      </c>
      <c r="BF21" s="886" t="s">
        <v>2960</v>
      </c>
      <c r="BG21" s="886" t="s">
        <v>2648</v>
      </c>
      <c r="BH21" s="886" t="s">
        <v>1271</v>
      </c>
      <c r="BI21" s="886" t="s">
        <v>3529</v>
      </c>
      <c r="BJ21" s="886"/>
      <c r="BK21" s="864"/>
      <c r="BL21" s="864"/>
      <c r="BM21" s="886"/>
      <c r="BN21" s="886"/>
      <c r="BO21" s="864"/>
      <c r="BP21" s="864"/>
      <c r="BQ21" s="864"/>
      <c r="BR21" s="864"/>
      <c r="BS21" s="864"/>
      <c r="BT21" s="864"/>
      <c r="BU21" s="864"/>
      <c r="BV21" s="864"/>
      <c r="BW21" s="864"/>
      <c r="BX21" s="847"/>
      <c r="BY21" s="847"/>
      <c r="BZ21" s="847"/>
      <c r="CA21" s="847"/>
      <c r="CB21" s="864"/>
      <c r="CC21" s="864"/>
      <c r="CD21" s="864"/>
      <c r="CE21" s="864"/>
      <c r="CF21" s="864"/>
      <c r="CG21" s="864"/>
      <c r="CH21" s="86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  <c r="CS21" s="824"/>
      <c r="CT21" s="824"/>
    </row>
    <row r="22" spans="1:119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G22" s="829"/>
      <c r="BH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  <c r="CK22" s="829"/>
      <c r="CL22" s="829"/>
    </row>
    <row r="23" spans="1:119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18</v>
      </c>
      <c r="G23" s="879" t="s">
        <v>887</v>
      </c>
      <c r="H23" s="879" t="s">
        <v>18</v>
      </c>
      <c r="I23" s="879" t="s">
        <v>891</v>
      </c>
      <c r="J23" s="846">
        <v>2</v>
      </c>
      <c r="K23" s="846">
        <v>2</v>
      </c>
      <c r="L23" s="816" t="str">
        <f>IF(J23="","",IF(J23&gt;K23,"W",IF(J23=K23,"D",IF(J23&lt;K23,"L"))))</f>
        <v>D</v>
      </c>
      <c r="M23" s="816">
        <f>IF(J23="","",J23+K23)</f>
        <v>4</v>
      </c>
      <c r="N23" s="816" t="str">
        <f>IF($J23="","",IF($M23&gt;N$19,"O",IF($M23&lt;N$19,"U",IF($M23=N$19,"-"))))</f>
        <v>O</v>
      </c>
      <c r="O23" s="816">
        <f t="shared" ref="O23:O57" si="25">IF(Q23="","",IF(SIGN(Q23)&lt;&gt;1,VLOOKUP(ABS(Q23),SUP_HDC,3,TRUE),-VLOOKUP(ABS(Q23),SUP_HDC,3,TRUE)))</f>
        <v>-0.25</v>
      </c>
      <c r="P23" s="829">
        <f>IF(O23="","",IF((J23-K23+O23)&gt;=0.5,1,IF((J23-K23+O23)=0.25,0.5,IF((J23-K23+O23)&lt;=-0.5,-1,IF((J23-K23+O23)=-0.25,-0.5,0)))))</f>
        <v>-0.5</v>
      </c>
      <c r="Q23" s="830">
        <v>0.32</v>
      </c>
      <c r="R23" s="871">
        <f>IF(ISBLANK(Q23),"",J23-K23-Q23)</f>
        <v>-0.32</v>
      </c>
      <c r="S23" s="830">
        <v>2.5099999999999998</v>
      </c>
      <c r="T23" s="871">
        <f>IF(ISBLANK(S23),"",J23+K23-S23)</f>
        <v>1.4900000000000002</v>
      </c>
      <c r="U23" s="868">
        <f>IF(Q23="","",(Q23+S23)/2)</f>
        <v>1.4149999999999998</v>
      </c>
      <c r="V23" s="868">
        <f>IF(Q23="","",S23-U23)</f>
        <v>1.095</v>
      </c>
      <c r="W23" s="816">
        <v>6</v>
      </c>
      <c r="X23" s="816">
        <v>12</v>
      </c>
      <c r="Y23" s="829">
        <v>4</v>
      </c>
      <c r="Z23" s="829">
        <v>5</v>
      </c>
      <c r="AA23" s="829">
        <v>30</v>
      </c>
      <c r="AB23" s="829">
        <v>70</v>
      </c>
      <c r="AC23" s="829"/>
      <c r="AD23" s="816" t="str">
        <f t="array" ref="AD23">IF($J23="","",IF(SUM(IF(ISNUMBER(VALUE(RIGHT($AG23:$EA23,1))),VALUE(RIGHT($AG23:$EA23,1)),0))=$J23,"T","F"))</f>
        <v>T</v>
      </c>
      <c r="AE23" s="831">
        <f t="array" ref="AE23">IF($J23="","",SUM(IF(LEFT($AG23:$EA23,1)="s",1,0))-SUM(IF(RIGHT(LEFT($AG23:$EA23,2))="-",1,0)))</f>
        <v>0</v>
      </c>
      <c r="AF23" s="816">
        <f t="array" ref="AF23">IF($J23="","",SUM(IF(LEFT($AG23:$EA23,1)="X",1,0)))</f>
        <v>11</v>
      </c>
      <c r="AG23" s="891" t="s">
        <v>32</v>
      </c>
      <c r="AH23" s="891" t="s">
        <v>34</v>
      </c>
      <c r="AI23" s="891" t="s">
        <v>1877</v>
      </c>
      <c r="AJ23" s="891" t="s">
        <v>1877</v>
      </c>
      <c r="AK23" s="904" t="s">
        <v>34</v>
      </c>
      <c r="AL23" s="891" t="s">
        <v>34</v>
      </c>
      <c r="AM23" s="891" t="s">
        <v>32</v>
      </c>
      <c r="AN23" s="904" t="s">
        <v>34</v>
      </c>
      <c r="AO23" s="891" t="s">
        <v>1877</v>
      </c>
      <c r="AP23" s="891" t="s">
        <v>32</v>
      </c>
      <c r="AQ23" s="910"/>
      <c r="AR23" s="891" t="s">
        <v>1877</v>
      </c>
      <c r="AS23" s="891" t="s">
        <v>34</v>
      </c>
      <c r="AT23" s="891" t="s">
        <v>35</v>
      </c>
      <c r="AU23" s="891" t="s">
        <v>36</v>
      </c>
      <c r="AV23" s="891" t="s">
        <v>32</v>
      </c>
      <c r="AW23" s="891" t="s">
        <v>35</v>
      </c>
      <c r="AX23" s="891" t="s">
        <v>34</v>
      </c>
      <c r="AY23" s="891" t="s">
        <v>34</v>
      </c>
      <c r="AZ23" s="910"/>
      <c r="BA23" s="891" t="s">
        <v>32</v>
      </c>
      <c r="BB23" s="891" t="s">
        <v>34</v>
      </c>
      <c r="BC23" s="891" t="s">
        <v>1882</v>
      </c>
      <c r="BD23" s="891" t="s">
        <v>36</v>
      </c>
      <c r="BE23" s="891" t="s">
        <v>36</v>
      </c>
      <c r="BF23" s="910"/>
      <c r="BG23" s="891"/>
      <c r="BH23" s="891"/>
      <c r="BI23" s="891"/>
      <c r="BJ23" s="891"/>
      <c r="BK23" s="891"/>
      <c r="BL23" s="891"/>
      <c r="BM23" s="891"/>
      <c r="BN23" s="891"/>
      <c r="BO23" s="891"/>
      <c r="BP23" s="891"/>
      <c r="BQ23" s="891"/>
      <c r="BR23" s="891"/>
      <c r="BS23" s="891"/>
      <c r="BT23" s="891"/>
      <c r="BU23" s="891"/>
      <c r="BV23" s="891"/>
      <c r="BW23" s="891"/>
      <c r="BX23" s="896"/>
      <c r="BY23" s="896"/>
      <c r="BZ23" s="896"/>
      <c r="CA23" s="896"/>
      <c r="CB23" s="896"/>
      <c r="CC23" s="896"/>
      <c r="CD23" s="896"/>
      <c r="CE23" s="896"/>
      <c r="CF23" s="896"/>
      <c r="CG23" s="896"/>
      <c r="CH23" s="896"/>
      <c r="CI23" s="428"/>
      <c r="CJ23" s="428"/>
      <c r="CK23" s="428"/>
      <c r="CL23" s="428"/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  <c r="CR23" s="230" t="s">
        <v>32</v>
      </c>
      <c r="CS23" s="230" t="s">
        <v>32</v>
      </c>
    </row>
    <row r="24" spans="1:119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4</v>
      </c>
      <c r="G24" s="879" t="s">
        <v>1084</v>
      </c>
      <c r="H24" s="879" t="s">
        <v>22</v>
      </c>
      <c r="I24" s="879" t="s">
        <v>891</v>
      </c>
      <c r="J24" s="846">
        <v>1</v>
      </c>
      <c r="K24" s="846">
        <v>2</v>
      </c>
      <c r="L24" s="816" t="str">
        <f>IF(J24="","",IF(J24&gt;K24,"W",IF(J24=K24,"D",IF(J24&lt;K24,"L"))))</f>
        <v>L</v>
      </c>
      <c r="M24" s="816">
        <f>IF(J24="","",J24+K24)</f>
        <v>3</v>
      </c>
      <c r="N24" s="816" t="str">
        <f>IF($J24="","",IF($M24&gt;N$19,"O",IF($M24&lt;N$19,"U",IF($M24=N$19,"-"))))</f>
        <v>O</v>
      </c>
      <c r="O24" s="816">
        <f t="shared" si="25"/>
        <v>0.25</v>
      </c>
      <c r="P24" s="829">
        <f>IF(O24="","",IF((J24-K24+O24)&gt;=0.5,1,IF((J24-K24+O24)=0.25,0.5,IF((J24-K24+O24)&lt;=-0.5,-1,IF((J24-K24+O24)=-0.25,-0.5,0)))))</f>
        <v>-1</v>
      </c>
      <c r="Q24" s="830">
        <v>-0.15</v>
      </c>
      <c r="R24" s="871">
        <f>IF(ISBLANK(Q24),"",J24-K24-Q24)</f>
        <v>-0.85</v>
      </c>
      <c r="S24" s="830">
        <v>2.6</v>
      </c>
      <c r="T24" s="871">
        <f>IF(ISBLANK(S24),"",J24+K24-S24)</f>
        <v>0.39999999999999991</v>
      </c>
      <c r="U24" s="868">
        <f t="shared" ref="U24:U57" si="26">IF(Q24="","",(Q24+S24)/2)</f>
        <v>1.2250000000000001</v>
      </c>
      <c r="V24" s="868">
        <f t="shared" ref="V24:V57" si="27">IF(Q24="","",S24-U24)</f>
        <v>1.375</v>
      </c>
      <c r="W24" s="829">
        <v>10</v>
      </c>
      <c r="X24" s="829">
        <v>13</v>
      </c>
      <c r="Y24" s="829">
        <v>3</v>
      </c>
      <c r="Z24" s="829">
        <v>5</v>
      </c>
      <c r="AA24" s="829">
        <v>62</v>
      </c>
      <c r="AB24" s="829">
        <v>38</v>
      </c>
      <c r="AD24" s="816" t="str">
        <f t="array" ref="AD24">IF($J24="","",IF(SUM(IF(ISNUMBER(VALUE(RIGHT($AG24:$EA24,1))),VALUE(RIGHT($AG24:$EA24,1)),0))=$J24,"T","F"))</f>
        <v>T</v>
      </c>
      <c r="AE24" s="831">
        <f t="array" ref="AE24">IF($J24="","",SUM(IF(LEFT($AG24:$EA24,1)="s",1,0))-SUM(IF(RIGHT(LEFT($AG24:$EA24,2))="-",1,0)))</f>
        <v>0</v>
      </c>
      <c r="AF24" s="816">
        <f t="array" ref="AF24">IF($J24="","",SUM(IF(LEFT($AG24:$EA24,1)="X",1,0)))</f>
        <v>11</v>
      </c>
      <c r="AG24" s="891" t="s">
        <v>32</v>
      </c>
      <c r="AH24" s="891" t="s">
        <v>34</v>
      </c>
      <c r="AI24" s="891" t="s">
        <v>1877</v>
      </c>
      <c r="AJ24" s="891" t="s">
        <v>34</v>
      </c>
      <c r="AK24" s="891" t="s">
        <v>32</v>
      </c>
      <c r="AL24" s="891" t="s">
        <v>34</v>
      </c>
      <c r="AM24" s="891" t="s">
        <v>1877</v>
      </c>
      <c r="AN24" s="891" t="s">
        <v>32</v>
      </c>
      <c r="AO24" s="891" t="s">
        <v>34</v>
      </c>
      <c r="AP24" s="891" t="s">
        <v>1877</v>
      </c>
      <c r="AQ24" s="910"/>
      <c r="AR24" s="891" t="s">
        <v>36</v>
      </c>
      <c r="AS24" s="891" t="s">
        <v>34</v>
      </c>
      <c r="AT24" s="891" t="s">
        <v>35</v>
      </c>
      <c r="AU24" s="891" t="s">
        <v>1877</v>
      </c>
      <c r="AV24" s="891" t="s">
        <v>32</v>
      </c>
      <c r="AW24" s="891" t="s">
        <v>32</v>
      </c>
      <c r="AX24" s="891" t="s">
        <v>34</v>
      </c>
      <c r="AY24" s="891" t="s">
        <v>1948</v>
      </c>
      <c r="AZ24" s="910"/>
      <c r="BA24" s="891" t="s">
        <v>36</v>
      </c>
      <c r="BB24" s="891" t="s">
        <v>34</v>
      </c>
      <c r="BC24" s="891" t="s">
        <v>35</v>
      </c>
      <c r="BD24" s="891" t="s">
        <v>35</v>
      </c>
      <c r="BE24" s="891" t="s">
        <v>36</v>
      </c>
      <c r="BF24" s="910"/>
      <c r="BG24" s="891"/>
      <c r="BH24" s="891"/>
      <c r="BI24" s="891"/>
      <c r="BJ24" s="891"/>
      <c r="BK24" s="891"/>
      <c r="BL24" s="891"/>
      <c r="BM24" s="891"/>
      <c r="BN24" s="891"/>
      <c r="BO24" s="891"/>
      <c r="BP24" s="891"/>
      <c r="BQ24" s="891"/>
      <c r="BR24" s="891"/>
      <c r="BS24" s="891"/>
      <c r="BT24" s="891"/>
      <c r="BU24" s="891"/>
      <c r="BV24" s="891"/>
      <c r="BW24" s="891"/>
      <c r="BX24" s="896"/>
      <c r="BY24" s="896"/>
      <c r="BZ24" s="896"/>
      <c r="CA24" s="896"/>
      <c r="CB24" s="896"/>
      <c r="CC24" s="896"/>
      <c r="CD24" s="896"/>
      <c r="CE24" s="896"/>
      <c r="CF24" s="896"/>
      <c r="CG24" s="896"/>
      <c r="CH24" s="896"/>
      <c r="CI24" s="428"/>
      <c r="CJ24" s="428"/>
      <c r="CK24" s="428"/>
      <c r="CL24" s="428"/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  <c r="CR24" s="230" t="s">
        <v>32</v>
      </c>
      <c r="CS24" s="230" t="s">
        <v>32</v>
      </c>
    </row>
    <row r="25" spans="1:119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9</v>
      </c>
      <c r="G25" s="879" t="s">
        <v>1083</v>
      </c>
      <c r="H25" s="879" t="s">
        <v>18</v>
      </c>
      <c r="I25" s="879" t="s">
        <v>891</v>
      </c>
      <c r="J25" s="846">
        <v>0</v>
      </c>
      <c r="K25" s="846">
        <v>2</v>
      </c>
      <c r="L25" s="816" t="str">
        <f>IF(J25="","",IF(J25&gt;K25,"W",IF(J25=K25,"D",IF(J25&lt;K25,"L"))))</f>
        <v>L</v>
      </c>
      <c r="M25" s="816">
        <f>IF(J25="","",J25+K25)</f>
        <v>2</v>
      </c>
      <c r="N25" s="816" t="str">
        <f t="shared" ref="N25:N30" si="28">IF($J25="","",IF($M25&gt;N$19,"O",IF($M25&lt;N$19,"U",IF($M25=N$19,"-"))))</f>
        <v>U</v>
      </c>
      <c r="O25" s="816">
        <f t="shared" si="25"/>
        <v>0.25</v>
      </c>
      <c r="P25" s="829">
        <f t="shared" ref="P25:P57" si="29">IF(O25="","",IF((J25-K25+O25)&gt;=0.5,1,IF((J25-K25+O25)=0.25,0.5,IF((J25-K25+O25)&lt;=-0.5,-1,IF((J25-K25+O25)=-0.25,-0.5,0)))))</f>
        <v>-1</v>
      </c>
      <c r="Q25" s="830">
        <v>-0.14000000000000001</v>
      </c>
      <c r="R25" s="871">
        <f t="shared" ref="R25:R30" si="30">IF(ISBLANK(Q25),"",J25-K25-Q25)</f>
        <v>-1.8599999999999999</v>
      </c>
      <c r="S25" s="830">
        <v>2.48</v>
      </c>
      <c r="T25" s="871">
        <f t="shared" ref="T25:T68" si="31">IF(ISBLANK(S25),"",J25+K25-S25)</f>
        <v>-0.48</v>
      </c>
      <c r="U25" s="868">
        <f t="shared" si="26"/>
        <v>1.17</v>
      </c>
      <c r="V25" s="868">
        <f t="shared" si="27"/>
        <v>1.31</v>
      </c>
      <c r="W25" s="829">
        <v>6</v>
      </c>
      <c r="X25" s="829">
        <v>7</v>
      </c>
      <c r="Y25" s="829">
        <v>3</v>
      </c>
      <c r="Z25" s="829">
        <v>5</v>
      </c>
      <c r="AA25" s="829">
        <v>63</v>
      </c>
      <c r="AB25" s="829">
        <v>37</v>
      </c>
      <c r="AC25" s="829"/>
      <c r="AD25" s="816" t="str">
        <f t="array" ref="AD25">IF($J25="","",IF(SUM(IF(ISNUMBER(VALUE(RIGHT($AG25:$EA25,1))),VALUE(RIGHT($AG25:$EA25,1)),0))=$J25,"T","F"))</f>
        <v>T</v>
      </c>
      <c r="AE25" s="831">
        <f t="array" ref="AE25">IF($J25="","",SUM(IF(LEFT($AG25:$EA25,1)="s",1,0))-SUM(IF(RIGHT(LEFT($AG25:$EA25,2))="-",1,0)))</f>
        <v>0</v>
      </c>
      <c r="AF25" s="816">
        <f t="array" ref="AF25">IF($J25="","",SUM(IF(LEFT($AG25:$EA25,1)="X",1,0)))</f>
        <v>11</v>
      </c>
      <c r="AG25" s="891" t="s">
        <v>32</v>
      </c>
      <c r="AH25" s="891" t="s">
        <v>34</v>
      </c>
      <c r="AI25" s="891" t="s">
        <v>1877</v>
      </c>
      <c r="AJ25" s="891" t="s">
        <v>1877</v>
      </c>
      <c r="AK25" s="904" t="s">
        <v>34</v>
      </c>
      <c r="AL25" s="904" t="s">
        <v>34</v>
      </c>
      <c r="AM25" s="891" t="s">
        <v>32</v>
      </c>
      <c r="AN25" s="891" t="s">
        <v>32</v>
      </c>
      <c r="AO25" s="891" t="s">
        <v>34</v>
      </c>
      <c r="AP25" s="891" t="s">
        <v>32</v>
      </c>
      <c r="AQ25" s="910"/>
      <c r="AR25" s="904" t="s">
        <v>34</v>
      </c>
      <c r="AS25" s="891" t="s">
        <v>34</v>
      </c>
      <c r="AT25" s="891" t="s">
        <v>32</v>
      </c>
      <c r="AU25" s="891" t="s">
        <v>1877</v>
      </c>
      <c r="AV25" s="891" t="s">
        <v>36</v>
      </c>
      <c r="AW25" s="891" t="s">
        <v>36</v>
      </c>
      <c r="AX25" s="891" t="s">
        <v>34</v>
      </c>
      <c r="AY25" s="891" t="s">
        <v>34</v>
      </c>
      <c r="AZ25" s="910"/>
      <c r="BA25" s="891" t="s">
        <v>1877</v>
      </c>
      <c r="BB25" s="891" t="s">
        <v>35</v>
      </c>
      <c r="BC25" s="891" t="s">
        <v>35</v>
      </c>
      <c r="BD25" s="891" t="s">
        <v>1877</v>
      </c>
      <c r="BE25" s="891" t="s">
        <v>34</v>
      </c>
      <c r="BF25" s="910"/>
      <c r="BG25" s="891"/>
      <c r="BH25" s="891"/>
      <c r="BI25" s="891"/>
      <c r="BJ25" s="891"/>
      <c r="BK25" s="891"/>
      <c r="BL25" s="891"/>
      <c r="BM25" s="891"/>
      <c r="BN25" s="891"/>
      <c r="BO25" s="891"/>
      <c r="BP25" s="891"/>
      <c r="BQ25" s="891"/>
      <c r="BR25" s="891"/>
      <c r="BS25" s="891"/>
      <c r="BT25" s="891"/>
      <c r="BU25" s="891"/>
      <c r="BV25" s="891"/>
      <c r="BW25" s="891"/>
      <c r="BX25" s="896"/>
      <c r="BY25" s="896"/>
      <c r="BZ25" s="896"/>
      <c r="CA25" s="896"/>
      <c r="CB25" s="896"/>
      <c r="CC25" s="896"/>
      <c r="CD25" s="896"/>
      <c r="CE25" s="896"/>
      <c r="CF25" s="896"/>
      <c r="CG25" s="896"/>
      <c r="CH25" s="896"/>
      <c r="CI25" s="428"/>
      <c r="CJ25" s="428"/>
      <c r="CK25" s="428"/>
      <c r="CL25" s="428"/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  <c r="CR25" s="230" t="s">
        <v>32</v>
      </c>
      <c r="CS25" s="230" t="s">
        <v>32</v>
      </c>
    </row>
    <row r="26" spans="1:119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5</v>
      </c>
      <c r="G26" s="879" t="s">
        <v>889</v>
      </c>
      <c r="H26" s="879" t="s">
        <v>22</v>
      </c>
      <c r="I26" s="879" t="s">
        <v>891</v>
      </c>
      <c r="J26" s="846">
        <v>0</v>
      </c>
      <c r="K26" s="846">
        <v>2</v>
      </c>
      <c r="L26" s="816" t="str">
        <f t="shared" ref="L26:L30" si="32">IF(J26="","",IF(J26&gt;K26,"W",IF(J26=K26,"D",IF(J26&lt;K26,"L"))))</f>
        <v>L</v>
      </c>
      <c r="M26" s="816">
        <f t="shared" ref="M26:M30" si="33">IF(J26="","",J26+K26)</f>
        <v>2</v>
      </c>
      <c r="N26" s="816" t="str">
        <f t="shared" si="28"/>
        <v>U</v>
      </c>
      <c r="O26" s="816">
        <f t="shared" si="25"/>
        <v>-0.25</v>
      </c>
      <c r="P26" s="829">
        <f t="shared" si="29"/>
        <v>-1</v>
      </c>
      <c r="Q26" s="830">
        <v>0.14000000000000001</v>
      </c>
      <c r="R26" s="871">
        <f t="shared" si="30"/>
        <v>-2.14</v>
      </c>
      <c r="S26" s="830">
        <v>2.62</v>
      </c>
      <c r="T26" s="871">
        <f t="shared" si="31"/>
        <v>-0.62000000000000011</v>
      </c>
      <c r="U26" s="868">
        <f t="shared" si="26"/>
        <v>1.3800000000000001</v>
      </c>
      <c r="V26" s="868">
        <f t="shared" si="27"/>
        <v>1.24</v>
      </c>
      <c r="W26" s="829">
        <v>6</v>
      </c>
      <c r="X26" s="829">
        <v>9</v>
      </c>
      <c r="Y26" s="829">
        <v>1</v>
      </c>
      <c r="Z26" s="829">
        <v>3</v>
      </c>
      <c r="AA26" s="829">
        <v>56</v>
      </c>
      <c r="AB26" s="829">
        <v>44</v>
      </c>
      <c r="AC26" s="829"/>
      <c r="AD26" s="816" t="str">
        <f t="array" ref="AD26">IF($J26="","",IF(SUM(IF(ISNUMBER(VALUE(RIGHT($AG26:$EA26,1))),VALUE(RIGHT($AG26:$EA26,1)),0))=$J26,"T","F"))</f>
        <v>T</v>
      </c>
      <c r="AE26" s="831">
        <f t="array" ref="AE26">IF($J26="","",SUM(IF(LEFT($AG26:$EA26,1)="s",1,0))-SUM(IF(RIGHT(LEFT($AG26:$EA26,2))="-",1,0)))</f>
        <v>0</v>
      </c>
      <c r="AF26" s="816">
        <f t="array" ref="AF26">IF($J26="","",SUM(IF(LEFT($AG26:$EA26,1)="X",1,0)))</f>
        <v>11</v>
      </c>
      <c r="AG26" s="891" t="s">
        <v>32</v>
      </c>
      <c r="AH26" s="891" t="s">
        <v>34</v>
      </c>
      <c r="AI26" s="891" t="s">
        <v>1877</v>
      </c>
      <c r="AJ26" s="904" t="s">
        <v>34</v>
      </c>
      <c r="AK26" s="891" t="s">
        <v>1877</v>
      </c>
      <c r="AL26" s="891" t="s">
        <v>34</v>
      </c>
      <c r="AM26" s="891" t="s">
        <v>32</v>
      </c>
      <c r="AN26" s="891" t="s">
        <v>32</v>
      </c>
      <c r="AO26" s="891" t="s">
        <v>34</v>
      </c>
      <c r="AP26" s="891" t="s">
        <v>32</v>
      </c>
      <c r="AQ26" s="910"/>
      <c r="AR26" s="891" t="s">
        <v>34</v>
      </c>
      <c r="AS26" s="891" t="s">
        <v>34</v>
      </c>
      <c r="AT26" s="891" t="s">
        <v>32</v>
      </c>
      <c r="AU26" s="891" t="s">
        <v>32</v>
      </c>
      <c r="AV26" s="891" t="s">
        <v>36</v>
      </c>
      <c r="AW26" s="891" t="s">
        <v>1877</v>
      </c>
      <c r="AX26" s="891" t="s">
        <v>35</v>
      </c>
      <c r="AY26" s="904" t="s">
        <v>34</v>
      </c>
      <c r="AZ26" s="910"/>
      <c r="BA26" s="891" t="s">
        <v>32</v>
      </c>
      <c r="BB26" s="891" t="s">
        <v>35</v>
      </c>
      <c r="BC26" s="904" t="s">
        <v>35</v>
      </c>
      <c r="BD26" s="891" t="s">
        <v>1877</v>
      </c>
      <c r="BE26" s="891" t="s">
        <v>34</v>
      </c>
      <c r="BF26" s="910"/>
      <c r="BG26" s="906" t="s">
        <v>2117</v>
      </c>
      <c r="BH26" s="891" t="s">
        <v>36</v>
      </c>
      <c r="BI26" s="891"/>
      <c r="BJ26" s="891"/>
      <c r="BK26" s="891"/>
      <c r="BL26" s="891"/>
      <c r="BM26" s="891"/>
      <c r="BN26" s="891"/>
      <c r="BO26" s="891"/>
      <c r="BP26" s="891"/>
      <c r="BQ26" s="891"/>
      <c r="BR26" s="891"/>
      <c r="BS26" s="891"/>
      <c r="BT26" s="891"/>
      <c r="BU26" s="891"/>
      <c r="BV26" s="891"/>
      <c r="BW26" s="891"/>
      <c r="BX26" s="896"/>
      <c r="BY26" s="896"/>
      <c r="BZ26" s="896"/>
      <c r="CA26" s="896"/>
      <c r="CB26" s="896"/>
      <c r="CC26" s="896"/>
      <c r="CD26" s="896"/>
      <c r="CE26" s="896"/>
      <c r="CF26" s="896"/>
      <c r="CG26" s="896"/>
      <c r="CH26" s="896"/>
      <c r="CI26" s="4"/>
      <c r="CJ26" s="4"/>
      <c r="CK26" s="4"/>
      <c r="CL26" s="4"/>
      <c r="CM26" s="4" t="s">
        <v>32</v>
      </c>
      <c r="CN26" s="4" t="s">
        <v>32</v>
      </c>
      <c r="CO26" s="4" t="s">
        <v>32</v>
      </c>
      <c r="CP26" s="6" t="s">
        <v>32</v>
      </c>
      <c r="CQ26" s="6" t="s">
        <v>32</v>
      </c>
      <c r="CR26" s="6" t="s">
        <v>32</v>
      </c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20"/>
    </row>
    <row r="27" spans="1:119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19</v>
      </c>
      <c r="G27" s="879" t="s">
        <v>885</v>
      </c>
      <c r="H27" s="879" t="s">
        <v>22</v>
      </c>
      <c r="I27" s="879" t="s">
        <v>891</v>
      </c>
      <c r="J27" s="846">
        <v>1</v>
      </c>
      <c r="K27" s="846">
        <v>0</v>
      </c>
      <c r="L27" s="816" t="str">
        <f t="shared" si="32"/>
        <v>W</v>
      </c>
      <c r="M27" s="816">
        <f t="shared" si="33"/>
        <v>1</v>
      </c>
      <c r="N27" s="816" t="str">
        <f t="shared" si="28"/>
        <v>U</v>
      </c>
      <c r="O27" s="816">
        <f t="shared" si="25"/>
        <v>-0.25</v>
      </c>
      <c r="P27" s="829">
        <f t="shared" si="29"/>
        <v>1</v>
      </c>
      <c r="Q27" s="830">
        <v>0.33</v>
      </c>
      <c r="R27" s="871">
        <f t="shared" si="30"/>
        <v>0.66999999999999993</v>
      </c>
      <c r="S27" s="830">
        <v>2.48</v>
      </c>
      <c r="T27" s="871">
        <f t="shared" si="31"/>
        <v>-1.48</v>
      </c>
      <c r="U27" s="868">
        <f t="shared" si="26"/>
        <v>1.405</v>
      </c>
      <c r="V27" s="868">
        <f t="shared" si="27"/>
        <v>1.075</v>
      </c>
      <c r="W27" s="829">
        <v>15</v>
      </c>
      <c r="X27" s="829">
        <v>10</v>
      </c>
      <c r="Y27" s="829">
        <v>4</v>
      </c>
      <c r="Z27" s="829">
        <v>2</v>
      </c>
      <c r="AA27" s="829">
        <v>44</v>
      </c>
      <c r="AB27" s="829">
        <v>56</v>
      </c>
      <c r="AC27" s="829"/>
      <c r="AD27" s="816" t="str">
        <f t="array" ref="AD27">IF($J27="","",IF(SUM(IF(ISNUMBER(VALUE(RIGHT($AG27:$EA27,1))),VALUE(RIGHT($AG27:$EA27,1)),0))=$J27,"T","F"))</f>
        <v>T</v>
      </c>
      <c r="AE27" s="831">
        <f t="array" ref="AE27">IF($J27="","",SUM(IF(LEFT($AG27:$EA27,1)="s",1,0))-SUM(IF(RIGHT(LEFT($AG27:$EA27,2))="-",1,0)))</f>
        <v>0</v>
      </c>
      <c r="AF27" s="816">
        <f t="array" ref="AF27">IF($J27="","",SUM(IF(LEFT($AG27:$EA27,1)="X",1,0)))</f>
        <v>11</v>
      </c>
      <c r="AG27" s="891"/>
      <c r="AH27" s="904" t="s">
        <v>34</v>
      </c>
      <c r="AI27" s="891" t="s">
        <v>1877</v>
      </c>
      <c r="AJ27" s="891" t="s">
        <v>32</v>
      </c>
      <c r="AK27" s="891" t="s">
        <v>34</v>
      </c>
      <c r="AL27" s="891" t="s">
        <v>34</v>
      </c>
      <c r="AM27" s="891" t="s">
        <v>1877</v>
      </c>
      <c r="AN27" s="891" t="s">
        <v>36</v>
      </c>
      <c r="AO27" s="891" t="s">
        <v>34</v>
      </c>
      <c r="AP27" s="891" t="s">
        <v>32</v>
      </c>
      <c r="AQ27" s="910"/>
      <c r="AR27" s="891" t="s">
        <v>34</v>
      </c>
      <c r="AS27" s="904" t="s">
        <v>34</v>
      </c>
      <c r="AT27" s="891" t="s">
        <v>35</v>
      </c>
      <c r="AU27" s="891" t="s">
        <v>36</v>
      </c>
      <c r="AV27" s="891" t="s">
        <v>32</v>
      </c>
      <c r="AW27" s="891" t="s">
        <v>1877</v>
      </c>
      <c r="AX27" s="891" t="s">
        <v>1886</v>
      </c>
      <c r="AY27" s="891" t="s">
        <v>2146</v>
      </c>
      <c r="AZ27" s="910"/>
      <c r="BA27" s="891" t="s">
        <v>32</v>
      </c>
      <c r="BB27" s="891" t="s">
        <v>36</v>
      </c>
      <c r="BC27" s="891" t="s">
        <v>35</v>
      </c>
      <c r="BD27" s="891" t="s">
        <v>32</v>
      </c>
      <c r="BE27" s="891" t="s">
        <v>34</v>
      </c>
      <c r="BF27" s="910"/>
      <c r="BG27" s="891" t="s">
        <v>35</v>
      </c>
      <c r="BH27" s="891" t="s">
        <v>1877</v>
      </c>
      <c r="BI27" s="891"/>
      <c r="BJ27" s="891"/>
      <c r="BK27" s="891"/>
      <c r="BL27" s="891"/>
      <c r="BM27" s="891"/>
      <c r="BN27" s="891"/>
      <c r="BO27" s="891"/>
      <c r="BP27" s="891"/>
      <c r="BQ27" s="891"/>
      <c r="BR27" s="891"/>
      <c r="BS27" s="891"/>
      <c r="BT27" s="891"/>
      <c r="BU27" s="891"/>
      <c r="BV27" s="891"/>
      <c r="BW27" s="891"/>
      <c r="BX27" s="896"/>
      <c r="BY27" s="896"/>
      <c r="BZ27" s="896"/>
      <c r="CA27" s="896"/>
      <c r="CB27" s="896"/>
      <c r="CC27" s="896"/>
      <c r="CD27" s="896"/>
      <c r="CE27" s="896"/>
      <c r="CF27" s="896"/>
      <c r="CG27" s="896"/>
      <c r="CH27" s="896"/>
      <c r="CI27" s="865"/>
      <c r="CJ27" s="865"/>
      <c r="CK27" s="865"/>
      <c r="CL27" s="865"/>
      <c r="CM27" s="865" t="s">
        <v>32</v>
      </c>
      <c r="CN27" s="865" t="s">
        <v>32</v>
      </c>
      <c r="CO27" s="865" t="s">
        <v>32</v>
      </c>
      <c r="CP27" s="4" t="s">
        <v>32</v>
      </c>
      <c r="CQ27" s="6" t="s">
        <v>32</v>
      </c>
      <c r="CR27" s="6" t="s">
        <v>32</v>
      </c>
      <c r="CS27" s="6" t="s">
        <v>32</v>
      </c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</row>
    <row r="28" spans="1:119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14</v>
      </c>
      <c r="G28" s="879" t="s">
        <v>873</v>
      </c>
      <c r="H28" s="879" t="s">
        <v>18</v>
      </c>
      <c r="I28" s="879" t="s">
        <v>891</v>
      </c>
      <c r="J28" s="846">
        <v>1</v>
      </c>
      <c r="K28" s="846">
        <v>1</v>
      </c>
      <c r="L28" s="816" t="str">
        <f t="shared" si="32"/>
        <v>D</v>
      </c>
      <c r="M28" s="816">
        <f t="shared" si="33"/>
        <v>2</v>
      </c>
      <c r="N28" s="816" t="str">
        <f t="shared" si="28"/>
        <v>U</v>
      </c>
      <c r="O28" s="816">
        <f t="shared" si="25"/>
        <v>0.25</v>
      </c>
      <c r="P28" s="829">
        <f t="shared" si="29"/>
        <v>0.5</v>
      </c>
      <c r="Q28" s="830">
        <v>-0.17</v>
      </c>
      <c r="R28" s="871">
        <f t="shared" si="30"/>
        <v>0.17</v>
      </c>
      <c r="S28" s="830">
        <v>2.46</v>
      </c>
      <c r="T28" s="871">
        <f t="shared" si="31"/>
        <v>-0.45999999999999996</v>
      </c>
      <c r="U28" s="868">
        <f t="shared" si="26"/>
        <v>1.145</v>
      </c>
      <c r="V28" s="868">
        <f t="shared" si="27"/>
        <v>1.3149999999999999</v>
      </c>
      <c r="W28" s="829">
        <v>6</v>
      </c>
      <c r="X28" s="829">
        <v>17</v>
      </c>
      <c r="Y28" s="829">
        <v>2</v>
      </c>
      <c r="Z28" s="829">
        <v>5</v>
      </c>
      <c r="AA28" s="829">
        <v>49</v>
      </c>
      <c r="AB28" s="829">
        <v>51</v>
      </c>
      <c r="AC28" s="829"/>
      <c r="AD28" s="816" t="str">
        <f t="array" ref="AD28">IF($J28="","",IF(SUM(IF(ISNUMBER(VALUE(RIGHT($AG28:$EA28,1))),VALUE(RIGHT($AG28:$EA28,1)),0))=$J28,"T","F"))</f>
        <v>T</v>
      </c>
      <c r="AE28" s="831">
        <f t="array" ref="AE28">IF($J28="","",SUM(IF(LEFT($AG28:$EA28,1)="s",1,0))-SUM(IF(RIGHT(LEFT($AG28:$EA28,2))="-",1,0)))</f>
        <v>0</v>
      </c>
      <c r="AF28" s="816">
        <f t="array" ref="AF28">IF($J28="","",SUM(IF(LEFT($AG28:$EA28,1)="X",1,0)))</f>
        <v>11</v>
      </c>
      <c r="AG28" s="891" t="s">
        <v>32</v>
      </c>
      <c r="AH28" s="891" t="s">
        <v>34</v>
      </c>
      <c r="AI28" s="891" t="s">
        <v>1877</v>
      </c>
      <c r="AJ28" s="891" t="s">
        <v>32</v>
      </c>
      <c r="AK28" s="891" t="s">
        <v>34</v>
      </c>
      <c r="AL28" s="904" t="s">
        <v>34</v>
      </c>
      <c r="AM28" s="891" t="s">
        <v>1877</v>
      </c>
      <c r="AN28" s="891" t="s">
        <v>1877</v>
      </c>
      <c r="AO28" s="891" t="s">
        <v>34</v>
      </c>
      <c r="AP28" s="891" t="s">
        <v>32</v>
      </c>
      <c r="AQ28" s="910"/>
      <c r="AR28" s="891" t="s">
        <v>34</v>
      </c>
      <c r="AS28" s="891" t="s">
        <v>34</v>
      </c>
      <c r="AT28" s="891" t="s">
        <v>35</v>
      </c>
      <c r="AU28" s="891" t="s">
        <v>1877</v>
      </c>
      <c r="AV28" s="891" t="s">
        <v>36</v>
      </c>
      <c r="AW28" s="891" t="s">
        <v>36</v>
      </c>
      <c r="AX28" s="891" t="s">
        <v>1886</v>
      </c>
      <c r="AY28" s="891" t="s">
        <v>34</v>
      </c>
      <c r="AZ28" s="910"/>
      <c r="BA28" s="891" t="s">
        <v>32</v>
      </c>
      <c r="BB28" s="891" t="s">
        <v>2159</v>
      </c>
      <c r="BC28" s="891" t="s">
        <v>35</v>
      </c>
      <c r="BD28" s="891" t="s">
        <v>32</v>
      </c>
      <c r="BE28" s="904" t="s">
        <v>34</v>
      </c>
      <c r="BF28" s="910"/>
      <c r="BG28" s="891" t="s">
        <v>35</v>
      </c>
      <c r="BH28" s="891"/>
      <c r="BI28" s="891"/>
      <c r="BJ28" s="891"/>
      <c r="BK28" s="891"/>
      <c r="BL28" s="891"/>
      <c r="BM28" s="891"/>
      <c r="BN28" s="891"/>
      <c r="BO28" s="891"/>
      <c r="BP28" s="891"/>
      <c r="BQ28" s="891"/>
      <c r="BR28" s="891"/>
      <c r="BS28" s="891"/>
      <c r="BT28" s="891"/>
      <c r="BU28" s="891"/>
      <c r="BV28" s="891"/>
      <c r="BW28" s="891"/>
      <c r="BX28" s="896"/>
      <c r="BY28" s="896"/>
      <c r="BZ28" s="896"/>
      <c r="CA28" s="896"/>
      <c r="CB28" s="896"/>
      <c r="CC28" s="896"/>
      <c r="CD28" s="896"/>
      <c r="CE28" s="896"/>
      <c r="CF28" s="896"/>
      <c r="CG28" s="896"/>
      <c r="CH28" s="896"/>
      <c r="CI28" s="4"/>
      <c r="CJ28" s="4"/>
      <c r="CK28" s="4"/>
      <c r="CL28" s="4"/>
      <c r="CM28" s="4" t="s">
        <v>32</v>
      </c>
      <c r="CN28" s="4" t="s">
        <v>32</v>
      </c>
      <c r="CO28" s="4" t="s">
        <v>32</v>
      </c>
      <c r="CP28" s="4" t="s">
        <v>32</v>
      </c>
      <c r="CQ28" s="6" t="s">
        <v>32</v>
      </c>
      <c r="CR28" s="6" t="s">
        <v>32</v>
      </c>
      <c r="CS28" s="6" t="s">
        <v>32</v>
      </c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</row>
    <row r="29" spans="1:119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7</v>
      </c>
      <c r="G29" s="879" t="s">
        <v>888</v>
      </c>
      <c r="H29" s="879" t="s">
        <v>22</v>
      </c>
      <c r="I29" s="879" t="s">
        <v>891</v>
      </c>
      <c r="J29" s="846">
        <v>1</v>
      </c>
      <c r="K29" s="846">
        <v>1</v>
      </c>
      <c r="L29" s="816" t="str">
        <f t="shared" si="32"/>
        <v>D</v>
      </c>
      <c r="M29" s="816">
        <f t="shared" si="33"/>
        <v>2</v>
      </c>
      <c r="N29" s="816" t="str">
        <f t="shared" si="28"/>
        <v>U</v>
      </c>
      <c r="O29" s="816">
        <f t="shared" si="25"/>
        <v>0.25</v>
      </c>
      <c r="P29" s="829">
        <f t="shared" si="29"/>
        <v>0.5</v>
      </c>
      <c r="Q29" s="830">
        <v>-0.24</v>
      </c>
      <c r="R29" s="871">
        <f t="shared" si="30"/>
        <v>0.24</v>
      </c>
      <c r="S29" s="830">
        <v>2.31</v>
      </c>
      <c r="T29" s="871">
        <f t="shared" si="31"/>
        <v>-0.31000000000000005</v>
      </c>
      <c r="U29" s="868">
        <f t="shared" si="26"/>
        <v>1.0350000000000001</v>
      </c>
      <c r="V29" s="868">
        <f t="shared" si="27"/>
        <v>1.2749999999999999</v>
      </c>
      <c r="W29" s="829">
        <v>22</v>
      </c>
      <c r="X29" s="829">
        <v>16</v>
      </c>
      <c r="Y29" s="829">
        <v>7</v>
      </c>
      <c r="Z29" s="829">
        <v>4</v>
      </c>
      <c r="AA29" s="829">
        <v>47</v>
      </c>
      <c r="AB29" s="829">
        <v>53</v>
      </c>
      <c r="AC29" s="829"/>
      <c r="AD29" s="816" t="str">
        <f t="array" ref="AD29">IF($J29="","",IF(SUM(IF(ISNUMBER(VALUE(RIGHT($AG29:$EA29,1))),VALUE(RIGHT($AG29:$EA29,1)),0))=$J29,"T","F"))</f>
        <v>T</v>
      </c>
      <c r="AE29" s="831">
        <f t="array" ref="AE29">IF($J29="","",SUM(IF(LEFT($AG29:$EA29,1)="s",1,0))-SUM(IF(RIGHT(LEFT($AG29:$EA29,2))="-",1,0)))</f>
        <v>0</v>
      </c>
      <c r="AF29" s="816">
        <f t="array" ref="AF29">IF($J29="","",SUM(IF(LEFT($AG29:$EA29,1)="X",1,0)))</f>
        <v>11</v>
      </c>
      <c r="AG29" s="891" t="s">
        <v>32</v>
      </c>
      <c r="AH29" s="891" t="s">
        <v>34</v>
      </c>
      <c r="AI29" s="891" t="s">
        <v>1877</v>
      </c>
      <c r="AJ29" s="891" t="s">
        <v>32</v>
      </c>
      <c r="AK29" s="891" t="s">
        <v>1877</v>
      </c>
      <c r="AL29" s="891" t="s">
        <v>34</v>
      </c>
      <c r="AM29" s="891" t="s">
        <v>32</v>
      </c>
      <c r="AN29" s="891" t="s">
        <v>34</v>
      </c>
      <c r="AO29" s="891" t="s">
        <v>2188</v>
      </c>
      <c r="AP29" s="891" t="s">
        <v>1877</v>
      </c>
      <c r="AQ29" s="910"/>
      <c r="AR29" s="891" t="s">
        <v>34</v>
      </c>
      <c r="AS29" s="904" t="s">
        <v>34</v>
      </c>
      <c r="AT29" s="891" t="s">
        <v>35</v>
      </c>
      <c r="AU29" s="891" t="s">
        <v>36</v>
      </c>
      <c r="AV29" s="891" t="s">
        <v>36</v>
      </c>
      <c r="AW29" s="891" t="s">
        <v>36</v>
      </c>
      <c r="AX29" s="891" t="s">
        <v>1886</v>
      </c>
      <c r="AY29" s="891" t="s">
        <v>34</v>
      </c>
      <c r="AZ29" s="910"/>
      <c r="BA29" s="891" t="s">
        <v>32</v>
      </c>
      <c r="BB29" s="891" t="s">
        <v>35</v>
      </c>
      <c r="BC29" s="891" t="s">
        <v>1877</v>
      </c>
      <c r="BD29" s="891" t="s">
        <v>32</v>
      </c>
      <c r="BE29" s="891" t="s">
        <v>34</v>
      </c>
      <c r="BF29" s="910"/>
      <c r="BG29" s="891" t="s">
        <v>35</v>
      </c>
      <c r="BH29" s="891"/>
      <c r="BI29" s="891"/>
      <c r="BJ29" s="891"/>
      <c r="BK29" s="891"/>
      <c r="BL29" s="891"/>
      <c r="BM29" s="891"/>
      <c r="BN29" s="891"/>
      <c r="BO29" s="891"/>
      <c r="BP29" s="891"/>
      <c r="BQ29" s="891"/>
      <c r="BR29" s="891"/>
      <c r="BS29" s="891"/>
      <c r="BT29" s="891"/>
      <c r="BU29" s="891"/>
      <c r="BV29" s="891"/>
      <c r="BW29" s="891"/>
      <c r="BX29" s="896"/>
      <c r="BY29" s="896"/>
      <c r="BZ29" s="896"/>
      <c r="CA29" s="896"/>
      <c r="CB29" s="896"/>
      <c r="CC29" s="896"/>
      <c r="CD29" s="896"/>
      <c r="CE29" s="896"/>
      <c r="CF29" s="896"/>
      <c r="CG29" s="896"/>
      <c r="CH29" s="891"/>
      <c r="CI29" s="4"/>
      <c r="CJ29" s="4"/>
      <c r="CK29" s="4"/>
      <c r="CL29" s="4"/>
      <c r="CM29" s="4" t="s">
        <v>32</v>
      </c>
      <c r="CN29" s="4" t="s">
        <v>32</v>
      </c>
      <c r="CO29" s="4" t="s">
        <v>32</v>
      </c>
      <c r="CP29" s="4" t="s">
        <v>32</v>
      </c>
      <c r="CQ29" s="6" t="s">
        <v>32</v>
      </c>
      <c r="CR29" s="6" t="s">
        <v>32</v>
      </c>
      <c r="CS29" s="6" t="s">
        <v>32</v>
      </c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</row>
    <row r="30" spans="1:119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6</v>
      </c>
      <c r="G30" s="879" t="s">
        <v>876</v>
      </c>
      <c r="H30" s="879" t="s">
        <v>22</v>
      </c>
      <c r="I30" s="879" t="s">
        <v>891</v>
      </c>
      <c r="J30" s="846">
        <v>0</v>
      </c>
      <c r="K30" s="846">
        <v>1</v>
      </c>
      <c r="L30" s="816" t="str">
        <f t="shared" si="32"/>
        <v>L</v>
      </c>
      <c r="M30" s="816">
        <f t="shared" si="33"/>
        <v>1</v>
      </c>
      <c r="N30" s="816" t="str">
        <f t="shared" si="28"/>
        <v>U</v>
      </c>
      <c r="O30" s="816">
        <f t="shared" si="25"/>
        <v>0</v>
      </c>
      <c r="P30" s="829">
        <f t="shared" si="29"/>
        <v>-1</v>
      </c>
      <c r="Q30" s="830">
        <v>0.12</v>
      </c>
      <c r="R30" s="871">
        <f t="shared" si="30"/>
        <v>-1.1200000000000001</v>
      </c>
      <c r="S30" s="830">
        <v>2.48</v>
      </c>
      <c r="T30" s="871">
        <f t="shared" si="31"/>
        <v>-1.48</v>
      </c>
      <c r="U30" s="868">
        <f t="shared" si="26"/>
        <v>1.3</v>
      </c>
      <c r="V30" s="868">
        <f t="shared" si="27"/>
        <v>1.18</v>
      </c>
      <c r="W30" s="829">
        <v>6</v>
      </c>
      <c r="X30" s="829">
        <v>21</v>
      </c>
      <c r="Y30" s="829">
        <v>5</v>
      </c>
      <c r="Z30" s="829">
        <v>7</v>
      </c>
      <c r="AA30" s="829">
        <v>35</v>
      </c>
      <c r="AB30" s="829">
        <v>65</v>
      </c>
      <c r="AC30" s="829"/>
      <c r="AD30" s="816" t="str">
        <f t="array" ref="AD30">IF($J30="","",IF(SUM(IF(ISNUMBER(VALUE(RIGHT($AG30:$EA30,1))),VALUE(RIGHT($AG30:$EA30,1)),0))=$J30,"T","F"))</f>
        <v>T</v>
      </c>
      <c r="AE30" s="831">
        <f t="array" ref="AE30">IF($J30="","",SUM(IF(LEFT($AG30:$EA30,1)="s",1,0))-SUM(IF(RIGHT(LEFT($AG30:$EA30,2))="-",1,0)))</f>
        <v>0</v>
      </c>
      <c r="AF30" s="816">
        <f t="array" ref="AF30">IF($J30="","",SUM(IF(LEFT($AG30:$EA30,1)="X",1,0)))</f>
        <v>11</v>
      </c>
      <c r="AG30" s="891" t="s">
        <v>32</v>
      </c>
      <c r="AH30" s="891" t="s">
        <v>34</v>
      </c>
      <c r="AI30" s="891" t="s">
        <v>1877</v>
      </c>
      <c r="AJ30" s="891" t="s">
        <v>32</v>
      </c>
      <c r="AK30" s="891" t="s">
        <v>32</v>
      </c>
      <c r="AL30" s="891" t="s">
        <v>34</v>
      </c>
      <c r="AM30" s="891" t="s">
        <v>1877</v>
      </c>
      <c r="AN30" s="891" t="s">
        <v>34</v>
      </c>
      <c r="AO30" s="891" t="s">
        <v>34</v>
      </c>
      <c r="AP30" s="891" t="s">
        <v>1877</v>
      </c>
      <c r="AQ30" s="910"/>
      <c r="AR30" s="891" t="s">
        <v>34</v>
      </c>
      <c r="AS30" s="891" t="s">
        <v>34</v>
      </c>
      <c r="AT30" s="891" t="s">
        <v>35</v>
      </c>
      <c r="AU30" s="891" t="s">
        <v>36</v>
      </c>
      <c r="AV30" s="891" t="s">
        <v>36</v>
      </c>
      <c r="AW30" s="891" t="s">
        <v>32</v>
      </c>
      <c r="AX30" s="891" t="s">
        <v>1886</v>
      </c>
      <c r="AY30" s="891" t="s">
        <v>34</v>
      </c>
      <c r="AZ30" s="910"/>
      <c r="BA30" s="891" t="s">
        <v>32</v>
      </c>
      <c r="BB30" s="891" t="s">
        <v>35</v>
      </c>
      <c r="BC30" s="891" t="s">
        <v>1877</v>
      </c>
      <c r="BD30" s="891" t="s">
        <v>32</v>
      </c>
      <c r="BE30" s="891" t="s">
        <v>34</v>
      </c>
      <c r="BF30" s="910"/>
      <c r="BG30" s="904" t="s">
        <v>35</v>
      </c>
      <c r="BH30" s="891" t="s">
        <v>36</v>
      </c>
      <c r="BI30" s="891"/>
      <c r="BJ30" s="891"/>
      <c r="BK30" s="891"/>
      <c r="BL30" s="891"/>
      <c r="BM30" s="891"/>
      <c r="BN30" s="891"/>
      <c r="BO30" s="891"/>
      <c r="BP30" s="891"/>
      <c r="BQ30" s="891"/>
      <c r="BR30" s="891"/>
      <c r="BS30" s="891"/>
      <c r="BT30" s="891"/>
      <c r="BU30" s="891"/>
      <c r="BV30" s="891"/>
      <c r="BW30" s="891"/>
      <c r="BX30" s="896"/>
      <c r="BY30" s="896"/>
      <c r="BZ30" s="896"/>
      <c r="CA30" s="896"/>
      <c r="CB30" s="891"/>
      <c r="CC30" s="891"/>
      <c r="CD30" s="891"/>
      <c r="CE30" s="891"/>
      <c r="CF30" s="891"/>
      <c r="CG30" s="891"/>
      <c r="CH30" s="891"/>
      <c r="CI30" s="428"/>
      <c r="CJ30" s="428"/>
      <c r="CK30" s="428"/>
      <c r="CL30" s="428"/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  <c r="CR30" s="230" t="s">
        <v>32</v>
      </c>
      <c r="CS30" s="230" t="s">
        <v>32</v>
      </c>
    </row>
    <row r="31" spans="1:119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3</v>
      </c>
      <c r="G31" s="879" t="s">
        <v>1085</v>
      </c>
      <c r="H31" s="879" t="s">
        <v>18</v>
      </c>
      <c r="I31" s="879" t="s">
        <v>891</v>
      </c>
      <c r="J31" s="846">
        <v>2</v>
      </c>
      <c r="K31" s="846">
        <v>0</v>
      </c>
      <c r="L31" s="816" t="str">
        <f>IF(J31="","",IF(J31&gt;K31,"W",IF(J31=K31,"D",IF(J31&lt;K31,"L"))))</f>
        <v>W</v>
      </c>
      <c r="M31" s="816">
        <f>IF(J31="","",J31+K31)</f>
        <v>2</v>
      </c>
      <c r="N31" s="816" t="str">
        <f>IF($J31="","",IF($M31&gt;N$19,"O",IF($M31&lt;N$19,"U",IF($M31=N$19,"-"))))</f>
        <v>U</v>
      </c>
      <c r="O31" s="816">
        <f t="shared" si="25"/>
        <v>0.25</v>
      </c>
      <c r="P31" s="829">
        <f t="shared" si="29"/>
        <v>1</v>
      </c>
      <c r="Q31" s="830">
        <v>-0.33</v>
      </c>
      <c r="R31" s="871">
        <f>IF(ISBLANK(Q31),"",J31-K31-Q31)</f>
        <v>2.33</v>
      </c>
      <c r="S31" s="830">
        <v>2.81</v>
      </c>
      <c r="T31" s="871">
        <f t="shared" si="31"/>
        <v>-0.81</v>
      </c>
      <c r="U31" s="868">
        <f t="shared" si="26"/>
        <v>1.24</v>
      </c>
      <c r="V31" s="868">
        <f t="shared" si="27"/>
        <v>1.57</v>
      </c>
      <c r="W31" s="829">
        <v>10</v>
      </c>
      <c r="X31" s="829">
        <v>22</v>
      </c>
      <c r="Y31" s="829">
        <v>4</v>
      </c>
      <c r="Z31" s="829">
        <v>4</v>
      </c>
      <c r="AA31" s="829">
        <v>38</v>
      </c>
      <c r="AB31" s="829">
        <v>62</v>
      </c>
      <c r="AC31" s="829"/>
      <c r="AD31" s="816" t="str">
        <f t="array" ref="AD31">IF($J31="","",IF(SUM(IF(ISNUMBER(VALUE(RIGHT($AG31:$EA31,1))),VALUE(RIGHT($AG31:$EA31,1)),0))=$J31,"T","F"))</f>
        <v>T</v>
      </c>
      <c r="AE31" s="831">
        <f t="array" ref="AE31">IF($J31="","",SUM(IF(LEFT($AG31:$EA31,1)="s",1,0))-SUM(IF(RIGHT(LEFT($AG31:$EA31,2))="-",1,0)))</f>
        <v>0</v>
      </c>
      <c r="AF31" s="816">
        <f t="array" ref="AF31">IF($J31="","",SUM(IF(LEFT($AG31:$EA31,1)="X",1,0)))</f>
        <v>11</v>
      </c>
      <c r="AG31" s="891" t="s">
        <v>32</v>
      </c>
      <c r="AH31" s="891" t="s">
        <v>34</v>
      </c>
      <c r="AI31" s="891" t="s">
        <v>1877</v>
      </c>
      <c r="AJ31" s="891" t="s">
        <v>34</v>
      </c>
      <c r="AK31" s="891" t="s">
        <v>32</v>
      </c>
      <c r="AL31" s="891" t="s">
        <v>32</v>
      </c>
      <c r="AM31" s="891" t="s">
        <v>1877</v>
      </c>
      <c r="AN31" s="891" t="s">
        <v>34</v>
      </c>
      <c r="AO31" s="891" t="s">
        <v>34</v>
      </c>
      <c r="AP31" s="891" t="s">
        <v>34</v>
      </c>
      <c r="AQ31" s="910"/>
      <c r="AR31" s="891" t="s">
        <v>34</v>
      </c>
      <c r="AS31" s="891" t="s">
        <v>1877</v>
      </c>
      <c r="AT31" s="891" t="s">
        <v>34</v>
      </c>
      <c r="AU31" s="891" t="s">
        <v>1877</v>
      </c>
      <c r="AV31" s="891" t="s">
        <v>36</v>
      </c>
      <c r="AW31" s="891" t="s">
        <v>32</v>
      </c>
      <c r="AX31" s="891" t="s">
        <v>1886</v>
      </c>
      <c r="AY31" s="891" t="s">
        <v>2304</v>
      </c>
      <c r="AZ31" s="910"/>
      <c r="BA31" s="891" t="s">
        <v>36</v>
      </c>
      <c r="BB31" s="891" t="s">
        <v>2305</v>
      </c>
      <c r="BC31" s="891" t="s">
        <v>32</v>
      </c>
      <c r="BD31" s="891" t="s">
        <v>36</v>
      </c>
      <c r="BE31" s="891" t="s">
        <v>35</v>
      </c>
      <c r="BF31" s="910"/>
      <c r="BG31" s="891" t="s">
        <v>35</v>
      </c>
      <c r="BH31" s="891"/>
      <c r="BI31" s="891"/>
      <c r="BJ31" s="891"/>
      <c r="BK31" s="891"/>
      <c r="BL31" s="891"/>
      <c r="BM31" s="891"/>
      <c r="BN31" s="891"/>
      <c r="BO31" s="891"/>
      <c r="BP31" s="891"/>
      <c r="BQ31" s="891"/>
      <c r="BR31" s="891"/>
      <c r="BS31" s="891"/>
      <c r="BT31" s="891"/>
      <c r="BU31" s="891"/>
      <c r="BV31" s="891"/>
      <c r="BW31" s="891"/>
      <c r="BX31" s="896"/>
      <c r="BY31" s="896"/>
      <c r="BZ31" s="896"/>
      <c r="CA31" s="896"/>
      <c r="CB31" s="896"/>
      <c r="CC31" s="896"/>
      <c r="CD31" s="896"/>
      <c r="CE31" s="896"/>
      <c r="CF31" s="896"/>
      <c r="CG31" s="896"/>
      <c r="CH31" s="896"/>
      <c r="CI31" s="428"/>
      <c r="CJ31" s="428"/>
      <c r="CK31" s="428"/>
      <c r="CL31" s="428"/>
      <c r="CM31" s="230" t="s">
        <v>32</v>
      </c>
      <c r="CN31" s="230" t="s">
        <v>32</v>
      </c>
      <c r="CO31" s="230" t="s">
        <v>32</v>
      </c>
      <c r="CP31" s="230" t="s">
        <v>32</v>
      </c>
      <c r="CQ31" s="230" t="s">
        <v>32</v>
      </c>
      <c r="CR31" s="230" t="s">
        <v>32</v>
      </c>
      <c r="CS31" s="230" t="s">
        <v>32</v>
      </c>
    </row>
    <row r="32" spans="1:119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2</v>
      </c>
      <c r="G32" s="879" t="s">
        <v>886</v>
      </c>
      <c r="H32" s="879" t="s">
        <v>22</v>
      </c>
      <c r="I32" s="879" t="s">
        <v>891</v>
      </c>
      <c r="J32" s="846">
        <v>0</v>
      </c>
      <c r="K32" s="846">
        <v>3</v>
      </c>
      <c r="L32" s="816" t="str">
        <f>IF(J32="","",IF(J32&gt;K32,"W",IF(J32=K32,"D",IF(J32&lt;K32,"L"))))</f>
        <v>L</v>
      </c>
      <c r="M32" s="816">
        <f>IF(J32="","",J32+K32)</f>
        <v>3</v>
      </c>
      <c r="N32" s="816" t="str">
        <f>IF($J32="","",IF($M32&gt;N$19,"O",IF($M32&lt;N$19,"U",IF($M32=N$19,"-"))))</f>
        <v>O</v>
      </c>
      <c r="O32" s="816">
        <f t="shared" si="25"/>
        <v>0</v>
      </c>
      <c r="P32" s="829">
        <f t="shared" si="29"/>
        <v>-1</v>
      </c>
      <c r="Q32" s="830">
        <v>0.1</v>
      </c>
      <c r="R32" s="871">
        <f>IF(ISBLANK(Q32),"",J32-K32-Q32)</f>
        <v>-3.1</v>
      </c>
      <c r="S32" s="830">
        <v>2.35</v>
      </c>
      <c r="T32" s="871">
        <f t="shared" si="31"/>
        <v>0.64999999999999991</v>
      </c>
      <c r="U32" s="868">
        <f t="shared" si="26"/>
        <v>1.2250000000000001</v>
      </c>
      <c r="V32" s="868">
        <f t="shared" si="27"/>
        <v>1.125</v>
      </c>
      <c r="W32" s="829">
        <v>10</v>
      </c>
      <c r="X32" s="829">
        <v>15</v>
      </c>
      <c r="Y32" s="829">
        <v>0</v>
      </c>
      <c r="Z32" s="829">
        <v>6</v>
      </c>
      <c r="AA32" s="829">
        <v>55</v>
      </c>
      <c r="AB32" s="829">
        <v>45</v>
      </c>
      <c r="AC32" s="829"/>
      <c r="AD32" s="816" t="str">
        <f t="array" ref="AD32">IF($J32="","",IF(SUM(IF(ISNUMBER(VALUE(RIGHT($AG32:$EA32,1))),VALUE(RIGHT($AG32:$EA32,1)),0))=$J32,"T","F"))</f>
        <v>T</v>
      </c>
      <c r="AE32" s="831">
        <f t="array" ref="AE32">IF($J32="","",SUM(IF(LEFT($AG32:$EA32,1)="s",1,0))-SUM(IF(RIGHT(LEFT($AG32:$EA32,2))="-",1,0)))</f>
        <v>0</v>
      </c>
      <c r="AF32" s="816">
        <f t="array" ref="AF32">IF($J32="","",SUM(IF(LEFT($AG32:$EA32,1)="X",1,0)))</f>
        <v>11</v>
      </c>
      <c r="AG32" s="891" t="s">
        <v>2351</v>
      </c>
      <c r="AH32" s="891" t="s">
        <v>2333</v>
      </c>
      <c r="AI32" s="891"/>
      <c r="AJ32" s="891" t="s">
        <v>871</v>
      </c>
      <c r="AK32" s="891"/>
      <c r="AL32" s="891"/>
      <c r="AM32" s="891" t="s">
        <v>2350</v>
      </c>
      <c r="AN32" s="891" t="s">
        <v>2334</v>
      </c>
      <c r="AO32" s="891" t="s">
        <v>2334</v>
      </c>
      <c r="AP32" s="891" t="s">
        <v>2334</v>
      </c>
      <c r="AQ32" s="910"/>
      <c r="AR32" s="891" t="s">
        <v>2334</v>
      </c>
      <c r="AS32" s="891" t="s">
        <v>2351</v>
      </c>
      <c r="AT32" s="891" t="s">
        <v>2334</v>
      </c>
      <c r="AU32" s="891" t="s">
        <v>2351</v>
      </c>
      <c r="AV32" s="891" t="s">
        <v>2350</v>
      </c>
      <c r="AW32" s="891"/>
      <c r="AX32" s="891"/>
      <c r="AY32" s="891" t="s">
        <v>2334</v>
      </c>
      <c r="AZ32" s="910"/>
      <c r="BA32" s="891" t="s">
        <v>2350</v>
      </c>
      <c r="BB32" s="891" t="s">
        <v>2334</v>
      </c>
      <c r="BC32" s="891"/>
      <c r="BD32" s="891"/>
      <c r="BE32" s="891" t="s">
        <v>2352</v>
      </c>
      <c r="BF32" s="910"/>
      <c r="BG32" s="891" t="s">
        <v>2353</v>
      </c>
      <c r="BH32" s="891" t="s">
        <v>2351</v>
      </c>
      <c r="BI32" s="891"/>
      <c r="BJ32" s="891"/>
      <c r="BK32" s="891"/>
      <c r="BL32" s="891"/>
      <c r="BM32" s="891"/>
      <c r="BN32" s="891"/>
      <c r="BO32" s="891"/>
      <c r="BP32" s="896"/>
      <c r="BQ32" s="896"/>
      <c r="BR32" s="892"/>
      <c r="BS32" s="896"/>
      <c r="BT32" s="892"/>
      <c r="BU32" s="896"/>
      <c r="BV32" s="896"/>
      <c r="BW32" s="891"/>
      <c r="BX32" s="896"/>
      <c r="BY32" s="896"/>
      <c r="BZ32" s="896"/>
      <c r="CA32" s="896"/>
      <c r="CB32" s="896"/>
      <c r="CC32" s="896"/>
      <c r="CD32" s="896"/>
      <c r="CE32" s="896"/>
      <c r="CF32" s="896"/>
      <c r="CG32" s="896"/>
      <c r="CH32" s="896"/>
      <c r="CI32" s="428"/>
      <c r="CJ32" s="428"/>
      <c r="CK32" s="428"/>
      <c r="CL32" s="428"/>
    </row>
    <row r="33" spans="1:124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</v>
      </c>
      <c r="G33" s="879" t="s">
        <v>1086</v>
      </c>
      <c r="H33" s="879" t="s">
        <v>18</v>
      </c>
      <c r="I33" s="879" t="s">
        <v>891</v>
      </c>
      <c r="J33" s="846">
        <v>0</v>
      </c>
      <c r="K33" s="846">
        <v>1</v>
      </c>
      <c r="L33" s="816" t="str">
        <f t="shared" ref="L33:L65" si="34">IF(J33="","",IF(J33&gt;K33,"W",IF(J33=K33,"D",IF(J33&lt;K33,"L"))))</f>
        <v>L</v>
      </c>
      <c r="M33" s="816">
        <f t="shared" ref="M33:M65" si="35">IF(J33="","",J33+K33)</f>
        <v>1</v>
      </c>
      <c r="N33" s="816" t="str">
        <f t="shared" ref="N33:N65" si="36">IF($J33="","",IF($M33&gt;N$19,"O",IF($M33&lt;N$19,"U",IF($M33=N$19,"-"))))</f>
        <v>U</v>
      </c>
      <c r="O33" s="816">
        <f t="shared" si="25"/>
        <v>0.75</v>
      </c>
      <c r="P33" s="829">
        <f t="shared" si="29"/>
        <v>-0.5</v>
      </c>
      <c r="Q33" s="830">
        <v>-0.8</v>
      </c>
      <c r="R33" s="871">
        <f t="shared" ref="R33:R65" si="37">IF(ISBLANK(Q33),"",J33-K33-Q33)</f>
        <v>-0.19999999999999996</v>
      </c>
      <c r="S33" s="830">
        <v>2.73</v>
      </c>
      <c r="T33" s="871">
        <f t="shared" si="31"/>
        <v>-1.73</v>
      </c>
      <c r="U33" s="868">
        <f t="shared" si="26"/>
        <v>0.96499999999999997</v>
      </c>
      <c r="V33" s="868">
        <f t="shared" si="27"/>
        <v>1.7650000000000001</v>
      </c>
      <c r="W33" s="829">
        <v>6</v>
      </c>
      <c r="X33" s="829">
        <v>7</v>
      </c>
      <c r="Y33" s="829">
        <v>0</v>
      </c>
      <c r="Z33" s="829">
        <v>1</v>
      </c>
      <c r="AA33" s="829">
        <v>52</v>
      </c>
      <c r="AB33" s="829">
        <v>48</v>
      </c>
      <c r="AC33" s="829"/>
      <c r="AD33" s="816" t="str">
        <f t="array" ref="AD33">IF($J33="","",IF(SUM(IF(ISNUMBER(VALUE(RIGHT($AG33:$EA33,1))),VALUE(RIGHT($AG33:$EA33,1)),0))=$J33,"T","F"))</f>
        <v>T</v>
      </c>
      <c r="AE33" s="831">
        <f t="array" ref="AE33">IF($J33="","",SUM(IF(LEFT($AG33:$EA33,1)="s",1,0))-SUM(IF(RIGHT(LEFT($AG33:$EA33,2))="-",1,0)))</f>
        <v>0</v>
      </c>
      <c r="AF33" s="816">
        <f t="array" ref="AF33">IF($J33="","",SUM(IF(LEFT($AG33:$EA33,1)="X",1,0)))</f>
        <v>11</v>
      </c>
      <c r="AG33" s="891" t="s">
        <v>1877</v>
      </c>
      <c r="AH33" s="891" t="s">
        <v>34</v>
      </c>
      <c r="AI33" s="891" t="s">
        <v>32</v>
      </c>
      <c r="AJ33" s="891" t="s">
        <v>32</v>
      </c>
      <c r="AK33" s="891" t="s">
        <v>32</v>
      </c>
      <c r="AL33" s="891" t="s">
        <v>32</v>
      </c>
      <c r="AM33" s="904" t="s">
        <v>34</v>
      </c>
      <c r="AN33" s="891" t="s">
        <v>34</v>
      </c>
      <c r="AO33" s="891" t="s">
        <v>34</v>
      </c>
      <c r="AP33" s="891" t="s">
        <v>34</v>
      </c>
      <c r="AQ33" s="910"/>
      <c r="AR33" s="891" t="s">
        <v>34</v>
      </c>
      <c r="AS33" s="891" t="s">
        <v>1877</v>
      </c>
      <c r="AT33" s="891" t="s">
        <v>34</v>
      </c>
      <c r="AU33" s="891" t="s">
        <v>1877</v>
      </c>
      <c r="AV33" s="891" t="s">
        <v>36</v>
      </c>
      <c r="AW33" s="891" t="s">
        <v>32</v>
      </c>
      <c r="AX33" s="891" t="s">
        <v>32</v>
      </c>
      <c r="AY33" s="891" t="s">
        <v>34</v>
      </c>
      <c r="AZ33" s="910"/>
      <c r="BA33" s="891" t="s">
        <v>36</v>
      </c>
      <c r="BB33" s="891" t="s">
        <v>35</v>
      </c>
      <c r="BC33" s="891" t="s">
        <v>32</v>
      </c>
      <c r="BD33" s="891" t="s">
        <v>1877</v>
      </c>
      <c r="BE33" s="891" t="s">
        <v>35</v>
      </c>
      <c r="BF33" s="910"/>
      <c r="BG33" s="891" t="s">
        <v>35</v>
      </c>
      <c r="BH33" s="891" t="s">
        <v>36</v>
      </c>
      <c r="BI33" s="891"/>
      <c r="BJ33" s="891"/>
      <c r="BK33" s="891"/>
      <c r="BL33" s="891"/>
      <c r="BM33" s="891"/>
      <c r="BN33" s="891"/>
      <c r="BO33" s="891"/>
      <c r="BP33" s="896"/>
      <c r="BQ33" s="896"/>
      <c r="BR33" s="892"/>
      <c r="BS33" s="896"/>
      <c r="BT33" s="892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896"/>
      <c r="CH33" s="896"/>
      <c r="CI33" s="428"/>
      <c r="CJ33" s="428"/>
      <c r="CK33" s="428"/>
      <c r="CL33" s="428"/>
      <c r="CM33" s="230" t="s">
        <v>32</v>
      </c>
      <c r="CN33" s="230" t="s">
        <v>32</v>
      </c>
      <c r="CO33" s="230" t="s">
        <v>32</v>
      </c>
      <c r="CP33" s="230" t="s">
        <v>32</v>
      </c>
      <c r="CQ33" s="230" t="s">
        <v>32</v>
      </c>
      <c r="CR33" s="230" t="s">
        <v>32</v>
      </c>
      <c r="CS33" s="230" t="s">
        <v>32</v>
      </c>
    </row>
    <row r="34" spans="1:124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15</v>
      </c>
      <c r="G34" s="879" t="s">
        <v>881</v>
      </c>
      <c r="H34" s="879" t="s">
        <v>18</v>
      </c>
      <c r="I34" s="879" t="s">
        <v>891</v>
      </c>
      <c r="J34" s="846">
        <v>1</v>
      </c>
      <c r="K34" s="846">
        <v>2</v>
      </c>
      <c r="L34" s="816" t="str">
        <f t="shared" si="34"/>
        <v>L</v>
      </c>
      <c r="M34" s="816">
        <f t="shared" si="35"/>
        <v>3</v>
      </c>
      <c r="N34" s="816" t="str">
        <f t="shared" si="36"/>
        <v>O</v>
      </c>
      <c r="O34" s="816">
        <f t="shared" si="25"/>
        <v>0.25</v>
      </c>
      <c r="P34" s="829">
        <f t="shared" si="29"/>
        <v>-1</v>
      </c>
      <c r="Q34" s="830">
        <v>-0.16</v>
      </c>
      <c r="R34" s="871">
        <f t="shared" si="37"/>
        <v>-0.84</v>
      </c>
      <c r="S34" s="830">
        <v>2.42</v>
      </c>
      <c r="T34" s="871">
        <f t="shared" si="31"/>
        <v>0.58000000000000007</v>
      </c>
      <c r="U34" s="868">
        <f t="shared" si="26"/>
        <v>1.1299999999999999</v>
      </c>
      <c r="V34" s="868">
        <f t="shared" si="27"/>
        <v>1.29</v>
      </c>
      <c r="W34" s="829">
        <v>12</v>
      </c>
      <c r="X34" s="829">
        <v>12</v>
      </c>
      <c r="Y34" s="829">
        <v>3</v>
      </c>
      <c r="Z34" s="829">
        <v>4</v>
      </c>
      <c r="AA34" s="829">
        <v>50</v>
      </c>
      <c r="AB34" s="829">
        <v>50</v>
      </c>
      <c r="AC34" s="829"/>
      <c r="AD34" s="816" t="str">
        <f t="array" ref="AD34">IF($J34="","",IF(SUM(IF(ISNUMBER(VALUE(RIGHT($AG34:$EA34,1))),VALUE(RIGHT($AG34:$EA34,1)),0))=$J34,"T","F"))</f>
        <v>T</v>
      </c>
      <c r="AE34" s="831">
        <f t="array" ref="AE34">IF($J34="","",SUM(IF(LEFT($AG34:$EA34,1)="s",1,0))-SUM(IF(RIGHT(LEFT($AG34:$EA34,2))="-",1,0)))</f>
        <v>0</v>
      </c>
      <c r="AF34" s="816">
        <f t="array" ref="AF34">IF($J34="","",SUM(IF(LEFT($AG34:$EA34,1)="X",1,0)))</f>
        <v>11</v>
      </c>
      <c r="AG34" s="891" t="s">
        <v>1877</v>
      </c>
      <c r="AH34" s="891" t="s">
        <v>34</v>
      </c>
      <c r="AI34" s="891" t="s">
        <v>32</v>
      </c>
      <c r="AJ34" s="891" t="s">
        <v>32</v>
      </c>
      <c r="AK34" s="891" t="s">
        <v>32</v>
      </c>
      <c r="AL34" s="891" t="s">
        <v>32</v>
      </c>
      <c r="AM34" s="891" t="s">
        <v>34</v>
      </c>
      <c r="AN34" s="891" t="s">
        <v>2444</v>
      </c>
      <c r="AO34" s="891" t="s">
        <v>34</v>
      </c>
      <c r="AP34" s="891" t="s">
        <v>34</v>
      </c>
      <c r="AQ34" s="910"/>
      <c r="AR34" s="891" t="s">
        <v>34</v>
      </c>
      <c r="AS34" s="891" t="s">
        <v>1877</v>
      </c>
      <c r="AT34" s="891" t="s">
        <v>34</v>
      </c>
      <c r="AU34" s="891" t="s">
        <v>1877</v>
      </c>
      <c r="AV34" s="891" t="s">
        <v>36</v>
      </c>
      <c r="AW34" s="891" t="s">
        <v>32</v>
      </c>
      <c r="AX34" s="891" t="s">
        <v>32</v>
      </c>
      <c r="AY34" s="891" t="s">
        <v>34</v>
      </c>
      <c r="AZ34" s="910"/>
      <c r="BA34" s="891" t="s">
        <v>36</v>
      </c>
      <c r="BB34" s="891" t="s">
        <v>35</v>
      </c>
      <c r="BC34" s="891" t="s">
        <v>35</v>
      </c>
      <c r="BD34" s="891" t="s">
        <v>1877</v>
      </c>
      <c r="BE34" s="891" t="s">
        <v>32</v>
      </c>
      <c r="BF34" s="910"/>
      <c r="BG34" s="891" t="s">
        <v>35</v>
      </c>
      <c r="BH34" s="891" t="s">
        <v>36</v>
      </c>
      <c r="BI34" s="891"/>
      <c r="BJ34" s="891"/>
      <c r="BK34" s="891"/>
      <c r="BL34" s="891"/>
      <c r="BM34" s="891"/>
      <c r="BN34" s="891"/>
      <c r="BO34" s="891"/>
      <c r="BP34" s="896"/>
      <c r="BQ34" s="896"/>
      <c r="BR34" s="892"/>
      <c r="BS34" s="896"/>
      <c r="BT34" s="892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896"/>
      <c r="CH34" s="896"/>
      <c r="CI34" s="428"/>
      <c r="CJ34" s="428"/>
      <c r="CK34" s="428"/>
      <c r="CL34" s="428"/>
    </row>
    <row r="35" spans="1:124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12</v>
      </c>
      <c r="G35" s="879" t="s">
        <v>879</v>
      </c>
      <c r="H35" s="879" t="s">
        <v>22</v>
      </c>
      <c r="I35" s="879" t="s">
        <v>891</v>
      </c>
      <c r="J35" s="846">
        <v>1</v>
      </c>
      <c r="K35" s="846">
        <v>1</v>
      </c>
      <c r="L35" s="816" t="str">
        <f t="shared" si="34"/>
        <v>D</v>
      </c>
      <c r="M35" s="816">
        <f t="shared" si="35"/>
        <v>2</v>
      </c>
      <c r="N35" s="816" t="str">
        <f t="shared" si="36"/>
        <v>U</v>
      </c>
      <c r="O35" s="816">
        <f t="shared" si="25"/>
        <v>0</v>
      </c>
      <c r="P35" s="829">
        <f t="shared" si="29"/>
        <v>0</v>
      </c>
      <c r="Q35" s="830">
        <v>-0.13</v>
      </c>
      <c r="R35" s="871">
        <f t="shared" si="37"/>
        <v>0.13</v>
      </c>
      <c r="S35" s="830">
        <v>2.4500000000000002</v>
      </c>
      <c r="T35" s="871">
        <f t="shared" si="31"/>
        <v>-0.45000000000000018</v>
      </c>
      <c r="U35" s="868">
        <f t="shared" si="26"/>
        <v>1.1600000000000001</v>
      </c>
      <c r="V35" s="868">
        <f t="shared" si="27"/>
        <v>1.29</v>
      </c>
      <c r="W35" s="829">
        <v>13</v>
      </c>
      <c r="X35" s="829">
        <v>15</v>
      </c>
      <c r="Y35" s="829">
        <v>4</v>
      </c>
      <c r="Z35" s="829">
        <v>5</v>
      </c>
      <c r="AA35" s="829">
        <v>52</v>
      </c>
      <c r="AB35" s="829">
        <v>48</v>
      </c>
      <c r="AC35" s="829"/>
      <c r="AD35" s="816" t="str">
        <f t="array" ref="AD35">IF($J35="","",IF(SUM(IF(ISNUMBER(VALUE(RIGHT($AG35:$EA35,1))),VALUE(RIGHT($AG35:$EA35,1)),0))=$J35,"T","F"))</f>
        <v>T</v>
      </c>
      <c r="AE35" s="831">
        <f t="array" ref="AE35">IF($J35="","",SUM(IF(LEFT($AG35:$EA35,1)="s",1,0))-SUM(IF(RIGHT(LEFT($AG35:$EA35,2))="-",1,0)))</f>
        <v>0</v>
      </c>
      <c r="AF35" s="816">
        <f t="array" ref="AF35">IF($J35="","",SUM(IF(LEFT($AG35:$EA35,1)="X",1,0)))</f>
        <v>11</v>
      </c>
      <c r="AG35" s="891" t="s">
        <v>34</v>
      </c>
      <c r="AH35" s="891" t="s">
        <v>32</v>
      </c>
      <c r="AI35" s="891" t="s">
        <v>1877</v>
      </c>
      <c r="AJ35" s="891" t="s">
        <v>32</v>
      </c>
      <c r="AK35" s="891" t="s">
        <v>1877</v>
      </c>
      <c r="AL35" s="891" t="s">
        <v>32</v>
      </c>
      <c r="AM35" s="891" t="s">
        <v>2457</v>
      </c>
      <c r="AN35" s="891" t="s">
        <v>34</v>
      </c>
      <c r="AO35" s="891" t="s">
        <v>34</v>
      </c>
      <c r="AP35" s="891" t="s">
        <v>34</v>
      </c>
      <c r="AQ35" s="910"/>
      <c r="AR35" s="891" t="s">
        <v>34</v>
      </c>
      <c r="AS35" s="891" t="s">
        <v>1877</v>
      </c>
      <c r="AT35" s="891" t="s">
        <v>35</v>
      </c>
      <c r="AU35" s="891" t="s">
        <v>36</v>
      </c>
      <c r="AV35" s="891" t="s">
        <v>1877</v>
      </c>
      <c r="AW35" s="891" t="s">
        <v>36</v>
      </c>
      <c r="AX35" s="891" t="s">
        <v>32</v>
      </c>
      <c r="AY35" s="891" t="s">
        <v>34</v>
      </c>
      <c r="AZ35" s="910"/>
      <c r="BA35" s="891" t="s">
        <v>35</v>
      </c>
      <c r="BB35" s="891" t="s">
        <v>34</v>
      </c>
      <c r="BC35" s="891" t="s">
        <v>32</v>
      </c>
      <c r="BD35" s="891" t="s">
        <v>32</v>
      </c>
      <c r="BE35" s="891" t="s">
        <v>32</v>
      </c>
      <c r="BF35" s="910"/>
      <c r="BG35" s="891" t="s">
        <v>35</v>
      </c>
      <c r="BH35" s="891" t="s">
        <v>36</v>
      </c>
      <c r="BI35" s="891"/>
      <c r="BJ35" s="891"/>
      <c r="BK35" s="891"/>
      <c r="BL35" s="891"/>
      <c r="BM35" s="891"/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6"/>
      <c r="BY35" s="896"/>
      <c r="BZ35" s="896"/>
      <c r="CA35" s="896"/>
      <c r="CB35" s="896"/>
      <c r="CC35" s="896"/>
      <c r="CD35" s="896"/>
      <c r="CE35" s="896"/>
      <c r="CF35" s="896"/>
      <c r="CG35" s="896"/>
      <c r="CH35" s="896"/>
      <c r="CI35" s="428"/>
      <c r="CJ35" s="428"/>
      <c r="CK35" s="428"/>
      <c r="CL35" s="428"/>
      <c r="CP35" s="4" t="s">
        <v>32</v>
      </c>
      <c r="CQ35" s="6" t="s">
        <v>32</v>
      </c>
      <c r="CR35" s="6" t="s">
        <v>32</v>
      </c>
      <c r="CS35" s="6" t="s">
        <v>32</v>
      </c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</row>
    <row r="36" spans="1:124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22</v>
      </c>
      <c r="G36" s="879" t="s">
        <v>1087</v>
      </c>
      <c r="H36" s="879" t="s">
        <v>18</v>
      </c>
      <c r="I36" s="879" t="s">
        <v>891</v>
      </c>
      <c r="J36" s="846">
        <v>1</v>
      </c>
      <c r="K36" s="846">
        <v>2</v>
      </c>
      <c r="L36" s="816" t="str">
        <f t="shared" si="34"/>
        <v>L</v>
      </c>
      <c r="M36" s="816">
        <f t="shared" si="35"/>
        <v>3</v>
      </c>
      <c r="N36" s="816" t="str">
        <f t="shared" si="36"/>
        <v>O</v>
      </c>
      <c r="O36" s="816">
        <f t="shared" si="25"/>
        <v>0</v>
      </c>
      <c r="P36" s="829">
        <f t="shared" si="29"/>
        <v>-1</v>
      </c>
      <c r="Q36" s="830">
        <v>0.13</v>
      </c>
      <c r="R36" s="871">
        <f t="shared" si="37"/>
        <v>-1.1299999999999999</v>
      </c>
      <c r="S36" s="830">
        <v>2.62</v>
      </c>
      <c r="T36" s="871">
        <f t="shared" si="31"/>
        <v>0.37999999999999989</v>
      </c>
      <c r="U36" s="868">
        <f t="shared" si="26"/>
        <v>1.375</v>
      </c>
      <c r="V36" s="868">
        <f t="shared" si="27"/>
        <v>1.2450000000000001</v>
      </c>
      <c r="W36" s="829">
        <v>12</v>
      </c>
      <c r="X36" s="829">
        <v>10</v>
      </c>
      <c r="Y36" s="829">
        <v>3</v>
      </c>
      <c r="Z36" s="829">
        <v>4</v>
      </c>
      <c r="AA36" s="829">
        <v>47</v>
      </c>
      <c r="AB36" s="829">
        <v>53</v>
      </c>
      <c r="AC36" s="829"/>
      <c r="AD36" s="816" t="str">
        <f t="array" ref="AD36">IF($J36="","",IF(SUM(IF(ISNUMBER(VALUE(RIGHT($AG36:$EA36,1))),VALUE(RIGHT($AG36:$EA36,1)),0))=$J36,"T","F"))</f>
        <v>T</v>
      </c>
      <c r="AE36" s="831">
        <f t="array" ref="AE36">IF($J36="","",SUM(IF(LEFT($AG36:$EA36,1)="s",1,0))-SUM(IF(RIGHT(LEFT($AG36:$EA36,2))="-",1,0)))</f>
        <v>0</v>
      </c>
      <c r="AF36" s="816">
        <f t="array" ref="AF36">IF($J36="","",SUM(IF(LEFT($AG36:$EA36,1)="X",1,0)))</f>
        <v>11</v>
      </c>
      <c r="AG36" s="891" t="s">
        <v>1877</v>
      </c>
      <c r="AH36" s="891" t="s">
        <v>34</v>
      </c>
      <c r="AI36" s="891" t="s">
        <v>32</v>
      </c>
      <c r="AJ36" s="891" t="s">
        <v>32</v>
      </c>
      <c r="AK36" s="891" t="s">
        <v>1877</v>
      </c>
      <c r="AL36" s="891" t="s">
        <v>32</v>
      </c>
      <c r="AM36" s="891" t="s">
        <v>34</v>
      </c>
      <c r="AN36" s="891" t="s">
        <v>34</v>
      </c>
      <c r="AO36" s="891" t="s">
        <v>34</v>
      </c>
      <c r="AP36" s="904" t="s">
        <v>34</v>
      </c>
      <c r="AQ36" s="910"/>
      <c r="AR36" s="891" t="s">
        <v>34</v>
      </c>
      <c r="AS36" s="891" t="s">
        <v>1877</v>
      </c>
      <c r="AT36" s="891" t="s">
        <v>35</v>
      </c>
      <c r="AU36" s="891" t="s">
        <v>36</v>
      </c>
      <c r="AV36" s="904" t="s">
        <v>36</v>
      </c>
      <c r="AW36" s="891" t="s">
        <v>32</v>
      </c>
      <c r="AX36" s="891" t="s">
        <v>32</v>
      </c>
      <c r="AY36" s="891" t="s">
        <v>34</v>
      </c>
      <c r="AZ36" s="910"/>
      <c r="BA36" s="891" t="s">
        <v>36</v>
      </c>
      <c r="BB36" s="891" t="s">
        <v>2484</v>
      </c>
      <c r="BC36" s="891" t="s">
        <v>32</v>
      </c>
      <c r="BD36" s="891" t="s">
        <v>1877</v>
      </c>
      <c r="BE36" s="891" t="s">
        <v>32</v>
      </c>
      <c r="BF36" s="910"/>
      <c r="BG36" s="891" t="s">
        <v>35</v>
      </c>
      <c r="BH36" s="891" t="s">
        <v>35</v>
      </c>
      <c r="BI36" s="891"/>
      <c r="BJ36" s="891"/>
      <c r="BK36" s="891"/>
      <c r="BL36" s="891"/>
      <c r="BM36" s="891"/>
      <c r="BN36" s="891"/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1"/>
      <c r="CC36" s="891"/>
      <c r="CD36" s="891"/>
      <c r="CE36" s="891"/>
      <c r="CF36" s="896"/>
      <c r="CG36" s="896"/>
      <c r="CH36" s="896"/>
      <c r="CI36" s="428"/>
      <c r="CJ36" s="428"/>
      <c r="CK36" s="428"/>
      <c r="CL36" s="428"/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  <c r="CR36" s="230" t="s">
        <v>32</v>
      </c>
      <c r="CS36" s="230" t="s">
        <v>32</v>
      </c>
    </row>
    <row r="37" spans="1:124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11</v>
      </c>
      <c r="G37" s="879" t="s">
        <v>874</v>
      </c>
      <c r="H37" s="879" t="s">
        <v>18</v>
      </c>
      <c r="I37" s="879" t="s">
        <v>891</v>
      </c>
      <c r="J37" s="846">
        <v>2</v>
      </c>
      <c r="K37" s="846">
        <v>3</v>
      </c>
      <c r="L37" s="816" t="str">
        <f t="shared" si="34"/>
        <v>L</v>
      </c>
      <c r="M37" s="816">
        <f t="shared" si="35"/>
        <v>5</v>
      </c>
      <c r="N37" s="816" t="str">
        <f t="shared" si="36"/>
        <v>O</v>
      </c>
      <c r="O37" s="816">
        <f t="shared" si="25"/>
        <v>0.25</v>
      </c>
      <c r="P37" s="829">
        <f t="shared" si="29"/>
        <v>-1</v>
      </c>
      <c r="Q37" s="830">
        <v>-0.28000000000000003</v>
      </c>
      <c r="R37" s="871">
        <f t="shared" si="37"/>
        <v>-0.72</v>
      </c>
      <c r="S37" s="830">
        <v>2.27</v>
      </c>
      <c r="T37" s="871">
        <f t="shared" si="31"/>
        <v>2.73</v>
      </c>
      <c r="U37" s="868">
        <f t="shared" si="26"/>
        <v>0.995</v>
      </c>
      <c r="V37" s="868">
        <f t="shared" si="27"/>
        <v>1.2749999999999999</v>
      </c>
      <c r="W37" s="829">
        <v>10</v>
      </c>
      <c r="X37" s="829">
        <v>12</v>
      </c>
      <c r="Y37" s="829">
        <v>4</v>
      </c>
      <c r="Z37" s="829">
        <v>4</v>
      </c>
      <c r="AA37" s="829">
        <v>50</v>
      </c>
      <c r="AB37" s="829">
        <v>50</v>
      </c>
      <c r="AC37" s="829"/>
      <c r="AD37" s="816" t="str">
        <f t="array" ref="AD37">IF($J37="","",IF(SUM(IF(ISNUMBER(VALUE(RIGHT($AG37:$EA37,1))),VALUE(RIGHT($AG37:$EA37,1)),0))=$J37,"T","F"))</f>
        <v>T</v>
      </c>
      <c r="AE37" s="831">
        <f t="array" ref="AE37">IF($J37="","",SUM(IF(LEFT($AG37:$EA37,1)="s",1,0))-SUM(IF(RIGHT(LEFT($AG37:$EA37,2))="-",1,0)))</f>
        <v>0</v>
      </c>
      <c r="AF37" s="816">
        <f t="array" ref="AF37">IF($J37="","",SUM(IF(LEFT($AG37:$EA37,1)="X",1,0)))</f>
        <v>11</v>
      </c>
      <c r="AG37" s="891" t="s">
        <v>1877</v>
      </c>
      <c r="AH37" s="891" t="s">
        <v>34</v>
      </c>
      <c r="AI37" s="891" t="s">
        <v>32</v>
      </c>
      <c r="AJ37" s="891" t="s">
        <v>32</v>
      </c>
      <c r="AK37" s="891" t="s">
        <v>1877</v>
      </c>
      <c r="AL37" s="891" t="s">
        <v>32</v>
      </c>
      <c r="AM37" s="891" t="s">
        <v>34</v>
      </c>
      <c r="AN37" s="904" t="s">
        <v>34</v>
      </c>
      <c r="AO37" s="891" t="s">
        <v>34</v>
      </c>
      <c r="AP37" s="891" t="s">
        <v>34</v>
      </c>
      <c r="AQ37" s="910"/>
      <c r="AR37" s="891" t="s">
        <v>34</v>
      </c>
      <c r="AS37" s="891" t="s">
        <v>1877</v>
      </c>
      <c r="AT37" s="891" t="s">
        <v>35</v>
      </c>
      <c r="AU37" s="891" t="s">
        <v>36</v>
      </c>
      <c r="AV37" s="891" t="s">
        <v>36</v>
      </c>
      <c r="AW37" s="891" t="s">
        <v>36</v>
      </c>
      <c r="AX37" s="891" t="s">
        <v>32</v>
      </c>
      <c r="AY37" s="891" t="s">
        <v>34</v>
      </c>
      <c r="AZ37" s="910"/>
      <c r="BA37" s="891" t="s">
        <v>32</v>
      </c>
      <c r="BB37" s="891" t="s">
        <v>35</v>
      </c>
      <c r="BC37" s="891" t="s">
        <v>32</v>
      </c>
      <c r="BD37" s="891" t="s">
        <v>1877</v>
      </c>
      <c r="BE37" s="891" t="s">
        <v>32</v>
      </c>
      <c r="BF37" s="910"/>
      <c r="BG37" s="891" t="s">
        <v>2509</v>
      </c>
      <c r="BH37" s="891" t="s">
        <v>2505</v>
      </c>
      <c r="BI37" s="891"/>
      <c r="BJ37" s="891"/>
      <c r="BK37" s="891"/>
      <c r="BL37" s="891"/>
      <c r="BM37" s="891"/>
      <c r="BN37" s="891"/>
      <c r="BO37" s="891"/>
      <c r="BP37" s="891"/>
      <c r="BQ37" s="891"/>
      <c r="BR37" s="891"/>
      <c r="BS37" s="891"/>
      <c r="BT37" s="891"/>
      <c r="BU37" s="891"/>
      <c r="BV37" s="891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896"/>
      <c r="CH37" s="896"/>
      <c r="CI37" s="428"/>
      <c r="CJ37" s="428"/>
      <c r="CK37" s="428"/>
      <c r="CL37" s="428"/>
      <c r="CQ37" s="4" t="s">
        <v>32</v>
      </c>
      <c r="CR37" s="4" t="s">
        <v>32</v>
      </c>
      <c r="CS37" s="4" t="s">
        <v>32</v>
      </c>
      <c r="CT37" s="4" t="s">
        <v>32</v>
      </c>
      <c r="CU37" s="4" t="s">
        <v>32</v>
      </c>
      <c r="CV37" s="4" t="s">
        <v>32</v>
      </c>
      <c r="CW37" s="6" t="s">
        <v>32</v>
      </c>
      <c r="CX37" s="6" t="s">
        <v>32</v>
      </c>
      <c r="CY37" s="6" t="s">
        <v>32</v>
      </c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</row>
    <row r="38" spans="1:124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16</v>
      </c>
      <c r="G38" s="879" t="s">
        <v>872</v>
      </c>
      <c r="H38" s="879" t="s">
        <v>22</v>
      </c>
      <c r="I38" s="879" t="s">
        <v>891</v>
      </c>
      <c r="J38" s="846">
        <v>0</v>
      </c>
      <c r="K38" s="846">
        <v>1</v>
      </c>
      <c r="L38" s="816" t="str">
        <f t="shared" si="34"/>
        <v>L</v>
      </c>
      <c r="M38" s="816">
        <f t="shared" si="35"/>
        <v>1</v>
      </c>
      <c r="N38" s="816" t="str">
        <f t="shared" si="36"/>
        <v>U</v>
      </c>
      <c r="O38" s="816">
        <f t="shared" si="25"/>
        <v>0</v>
      </c>
      <c r="P38" s="829">
        <f t="shared" si="29"/>
        <v>-1</v>
      </c>
      <c r="Q38" s="830">
        <v>-0.13</v>
      </c>
      <c r="R38" s="871">
        <f t="shared" si="37"/>
        <v>-0.87</v>
      </c>
      <c r="S38" s="830">
        <v>2.4</v>
      </c>
      <c r="T38" s="871">
        <f t="shared" si="31"/>
        <v>-1.4</v>
      </c>
      <c r="U38" s="868">
        <f t="shared" si="26"/>
        <v>1.135</v>
      </c>
      <c r="V38" s="868">
        <f t="shared" si="27"/>
        <v>1.2649999999999999</v>
      </c>
      <c r="W38" s="829">
        <v>5</v>
      </c>
      <c r="X38" s="829">
        <v>11</v>
      </c>
      <c r="Y38" s="829">
        <v>2</v>
      </c>
      <c r="Z38" s="829">
        <v>3</v>
      </c>
      <c r="AA38" s="829">
        <v>56</v>
      </c>
      <c r="AB38" s="829">
        <v>44</v>
      </c>
      <c r="AC38" s="829"/>
      <c r="AD38" s="816" t="str">
        <f t="array" ref="AD38">IF($J38="","",IF(SUM(IF(ISNUMBER(VALUE(RIGHT($AG38:$EA38,1))),VALUE(RIGHT($AG38:$EA38,1)),0))=$J38,"T","F"))</f>
        <v>T</v>
      </c>
      <c r="AE38" s="831">
        <f t="array" ref="AE38">IF($J38="","",SUM(IF(LEFT($AG38:$EA38,1)="s",1,0))-SUM(IF(RIGHT(LEFT($AG38:$EA38,2))="-",1,0)))</f>
        <v>0</v>
      </c>
      <c r="AF38" s="816">
        <f t="array" ref="AF38">IF($J38="","",SUM(IF(LEFT($AG38:$EA38,1)="X",1,0)))</f>
        <v>11</v>
      </c>
      <c r="AG38" s="891" t="s">
        <v>1877</v>
      </c>
      <c r="AH38" s="891" t="s">
        <v>34</v>
      </c>
      <c r="AI38" s="891" t="s">
        <v>32</v>
      </c>
      <c r="AJ38" s="891" t="s">
        <v>36</v>
      </c>
      <c r="AK38" s="891" t="s">
        <v>34</v>
      </c>
      <c r="AL38" s="891" t="s">
        <v>32</v>
      </c>
      <c r="AM38" s="891" t="s">
        <v>34</v>
      </c>
      <c r="AN38" s="891" t="s">
        <v>35</v>
      </c>
      <c r="AO38" s="891" t="s">
        <v>32</v>
      </c>
      <c r="AP38" s="891" t="s">
        <v>1877</v>
      </c>
      <c r="AQ38" s="910"/>
      <c r="AR38" s="891" t="s">
        <v>34</v>
      </c>
      <c r="AS38" s="904" t="s">
        <v>34</v>
      </c>
      <c r="AT38" s="891" t="s">
        <v>1877</v>
      </c>
      <c r="AU38" s="891" t="s">
        <v>35</v>
      </c>
      <c r="AV38" s="891" t="s">
        <v>34</v>
      </c>
      <c r="AW38" s="891" t="s">
        <v>36</v>
      </c>
      <c r="AX38" s="891" t="s">
        <v>36</v>
      </c>
      <c r="AY38" s="891" t="s">
        <v>34</v>
      </c>
      <c r="AZ38" s="910"/>
      <c r="BA38" s="891" t="s">
        <v>32</v>
      </c>
      <c r="BB38" s="891" t="s">
        <v>35</v>
      </c>
      <c r="BC38" s="891" t="s">
        <v>34</v>
      </c>
      <c r="BD38" s="891" t="s">
        <v>32</v>
      </c>
      <c r="BE38" s="891" t="s">
        <v>1877</v>
      </c>
      <c r="BF38" s="910"/>
      <c r="BG38" s="891"/>
      <c r="BH38" s="891"/>
      <c r="BI38" s="891"/>
      <c r="BJ38" s="891"/>
      <c r="BK38" s="891"/>
      <c r="BL38" s="891"/>
      <c r="BM38" s="891"/>
      <c r="BN38" s="891"/>
      <c r="BO38" s="891"/>
      <c r="BP38" s="891"/>
      <c r="BQ38" s="891"/>
      <c r="BR38" s="891"/>
      <c r="BS38" s="891"/>
      <c r="BT38" s="891"/>
      <c r="BU38" s="891"/>
      <c r="BV38" s="891"/>
      <c r="BW38" s="891"/>
      <c r="BX38" s="896"/>
      <c r="BY38" s="896"/>
      <c r="BZ38" s="896"/>
      <c r="CA38" s="896"/>
      <c r="CB38" s="896"/>
      <c r="CC38" s="896"/>
      <c r="CD38" s="896"/>
      <c r="CE38" s="896"/>
      <c r="CF38" s="896"/>
      <c r="CG38" s="896"/>
      <c r="CH38" s="896"/>
      <c r="CI38" s="428"/>
      <c r="CJ38" s="428"/>
      <c r="CK38" s="428"/>
      <c r="CL38" s="428"/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  <c r="CR38" s="230" t="s">
        <v>32</v>
      </c>
      <c r="CS38" s="230" t="s">
        <v>32</v>
      </c>
    </row>
    <row r="39" spans="1:124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10</v>
      </c>
      <c r="G39" s="879" t="s">
        <v>883</v>
      </c>
      <c r="H39" s="879" t="s">
        <v>18</v>
      </c>
      <c r="I39" s="879" t="s">
        <v>891</v>
      </c>
      <c r="J39" s="846">
        <v>0</v>
      </c>
      <c r="K39" s="846">
        <v>1</v>
      </c>
      <c r="L39" s="816" t="str">
        <f t="shared" si="34"/>
        <v>L</v>
      </c>
      <c r="M39" s="816">
        <f t="shared" si="35"/>
        <v>1</v>
      </c>
      <c r="N39" s="816" t="str">
        <f t="shared" si="36"/>
        <v>U</v>
      </c>
      <c r="O39" s="816">
        <f t="shared" si="25"/>
        <v>0.25</v>
      </c>
      <c r="P39" s="829">
        <f t="shared" si="29"/>
        <v>-1</v>
      </c>
      <c r="Q39" s="830">
        <v>-0.34</v>
      </c>
      <c r="R39" s="871">
        <f t="shared" si="37"/>
        <v>-0.65999999999999992</v>
      </c>
      <c r="S39" s="830">
        <v>2.42</v>
      </c>
      <c r="T39" s="871">
        <f t="shared" si="31"/>
        <v>-1.42</v>
      </c>
      <c r="U39" s="868">
        <f t="shared" si="26"/>
        <v>1.04</v>
      </c>
      <c r="V39" s="868">
        <f t="shared" si="27"/>
        <v>1.38</v>
      </c>
      <c r="W39" s="829">
        <v>12</v>
      </c>
      <c r="X39" s="829">
        <v>13</v>
      </c>
      <c r="Y39" s="829">
        <v>2</v>
      </c>
      <c r="Z39" s="829">
        <v>3</v>
      </c>
      <c r="AA39" s="829">
        <v>56</v>
      </c>
      <c r="AB39" s="829">
        <v>44</v>
      </c>
      <c r="AC39" s="829"/>
      <c r="AD39" s="816" t="str">
        <f t="array" ref="AD39">IF($J39="","",IF(SUM(IF(ISNUMBER(VALUE(RIGHT($AG39:$EA39,1))),VALUE(RIGHT($AG39:$EA39,1)),0))=$J39,"T","F"))</f>
        <v>T</v>
      </c>
      <c r="AE39" s="831">
        <f t="array" ref="AE39">IF($J39="","",SUM(IF(LEFT($AG39:$EA39,1)="s",1,0))-SUM(IF(RIGHT(LEFT($AG39:$EA39,2))="-",1,0)))</f>
        <v>0</v>
      </c>
      <c r="AF39" s="816">
        <f t="array" ref="AF39">IF($J39="","",SUM(IF(LEFT($AG39:$EA39,1)="X",1,0)))</f>
        <v>11</v>
      </c>
      <c r="AG39" s="891" t="s">
        <v>32</v>
      </c>
      <c r="AH39" s="891" t="s">
        <v>34</v>
      </c>
      <c r="AI39" s="891" t="s">
        <v>1877</v>
      </c>
      <c r="AJ39" s="891" t="s">
        <v>1877</v>
      </c>
      <c r="AK39" s="891" t="s">
        <v>34</v>
      </c>
      <c r="AL39" s="891" t="s">
        <v>34</v>
      </c>
      <c r="AM39" s="891" t="s">
        <v>34</v>
      </c>
      <c r="AN39" s="891" t="s">
        <v>32</v>
      </c>
      <c r="AO39" s="891" t="s">
        <v>32</v>
      </c>
      <c r="AP39" s="891" t="s">
        <v>35</v>
      </c>
      <c r="AQ39" s="910"/>
      <c r="AR39" s="891" t="s">
        <v>34</v>
      </c>
      <c r="AS39" s="891" t="s">
        <v>1877</v>
      </c>
      <c r="AT39" s="891" t="s">
        <v>1877</v>
      </c>
      <c r="AU39" s="891" t="s">
        <v>34</v>
      </c>
      <c r="AV39" s="891" t="s">
        <v>35</v>
      </c>
      <c r="AW39" s="891" t="s">
        <v>1877</v>
      </c>
      <c r="AX39" s="891" t="s">
        <v>34</v>
      </c>
      <c r="AY39" s="891" t="s">
        <v>34</v>
      </c>
      <c r="AZ39" s="910"/>
      <c r="BA39" s="891" t="s">
        <v>32</v>
      </c>
      <c r="BB39" s="891" t="s">
        <v>34</v>
      </c>
      <c r="BC39" s="891" t="s">
        <v>32</v>
      </c>
      <c r="BD39" s="891" t="s">
        <v>1886</v>
      </c>
      <c r="BE39" s="906" t="s">
        <v>2566</v>
      </c>
      <c r="BF39" s="910"/>
      <c r="BG39" s="891" t="s">
        <v>36</v>
      </c>
      <c r="BH39" s="891"/>
      <c r="BI39" s="891"/>
      <c r="BJ39" s="891"/>
      <c r="BK39" s="891"/>
      <c r="BL39" s="891"/>
      <c r="BM39" s="891"/>
      <c r="BN39" s="891"/>
      <c r="BO39" s="891"/>
      <c r="BP39" s="896"/>
      <c r="BQ39" s="896"/>
      <c r="BR39" s="892"/>
      <c r="BS39" s="896"/>
      <c r="BT39" s="892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896"/>
      <c r="CF39" s="896"/>
      <c r="CG39" s="896"/>
      <c r="CH39" s="896"/>
      <c r="CI39" s="428"/>
      <c r="CJ39" s="428"/>
      <c r="CK39" s="428"/>
      <c r="CL39" s="428"/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  <c r="CR39" s="230" t="s">
        <v>32</v>
      </c>
      <c r="CS39" s="230" t="s">
        <v>32</v>
      </c>
    </row>
    <row r="40" spans="1:124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13</v>
      </c>
      <c r="G40" s="879" t="s">
        <v>884</v>
      </c>
      <c r="H40" s="879" t="s">
        <v>22</v>
      </c>
      <c r="I40" s="879" t="s">
        <v>891</v>
      </c>
      <c r="J40" s="846">
        <v>0</v>
      </c>
      <c r="K40" s="846">
        <v>1</v>
      </c>
      <c r="L40" s="816" t="str">
        <f t="shared" si="34"/>
        <v>L</v>
      </c>
      <c r="M40" s="816">
        <f t="shared" si="35"/>
        <v>1</v>
      </c>
      <c r="N40" s="816" t="str">
        <f t="shared" si="36"/>
        <v>U</v>
      </c>
      <c r="O40" s="816">
        <f t="shared" si="25"/>
        <v>0</v>
      </c>
      <c r="P40" s="829">
        <f t="shared" si="29"/>
        <v>-1</v>
      </c>
      <c r="Q40" s="830">
        <v>0.03</v>
      </c>
      <c r="R40" s="871">
        <f t="shared" si="37"/>
        <v>-1.03</v>
      </c>
      <c r="S40" s="830">
        <v>2.2999999999999998</v>
      </c>
      <c r="T40" s="871">
        <f t="shared" si="31"/>
        <v>-1.2999999999999998</v>
      </c>
      <c r="U40" s="868">
        <f t="shared" si="26"/>
        <v>1.1649999999999998</v>
      </c>
      <c r="V40" s="868">
        <f t="shared" si="27"/>
        <v>1.135</v>
      </c>
      <c r="W40" s="829">
        <v>10</v>
      </c>
      <c r="X40" s="829">
        <v>9</v>
      </c>
      <c r="Y40" s="829">
        <v>1</v>
      </c>
      <c r="Z40" s="829">
        <v>2</v>
      </c>
      <c r="AA40" s="829">
        <v>61</v>
      </c>
      <c r="AB40" s="829">
        <v>39</v>
      </c>
      <c r="AC40" s="829"/>
      <c r="AD40" s="816" t="str">
        <f t="array" ref="AD40">IF($J40="","",IF(SUM(IF(ISNUMBER(VALUE(RIGHT($AG40:$EA40,1))),VALUE(RIGHT($AG40:$EA40,1)),0))=$J40,"T","F"))</f>
        <v>T</v>
      </c>
      <c r="AE40" s="831">
        <f t="array" ref="AE40">IF($J40="","",SUM(IF(LEFT($AG40:$EA40,1)="s",1,0))-SUM(IF(RIGHT(LEFT($AG40:$EA40,2))="-",1,0)))</f>
        <v>0</v>
      </c>
      <c r="AF40" s="816">
        <f t="array" ref="AF40">IF($J40="","",SUM(IF(LEFT($AG40:$EA40,1)="X",1,0)))</f>
        <v>11</v>
      </c>
      <c r="AG40" s="891"/>
      <c r="AH40" s="891" t="s">
        <v>34</v>
      </c>
      <c r="AI40" s="891" t="s">
        <v>1877</v>
      </c>
      <c r="AJ40" s="891" t="s">
        <v>32</v>
      </c>
      <c r="AK40" s="891" t="s">
        <v>34</v>
      </c>
      <c r="AL40" s="891" t="s">
        <v>34</v>
      </c>
      <c r="AM40" s="891" t="s">
        <v>1877</v>
      </c>
      <c r="AN40" s="891" t="s">
        <v>32</v>
      </c>
      <c r="AO40" s="891" t="s">
        <v>32</v>
      </c>
      <c r="AP40" s="891" t="s">
        <v>34</v>
      </c>
      <c r="AQ40" s="910"/>
      <c r="AR40" s="891" t="s">
        <v>35</v>
      </c>
      <c r="AS40" s="891" t="s">
        <v>34</v>
      </c>
      <c r="AT40" s="891" t="s">
        <v>1877</v>
      </c>
      <c r="AU40" s="891" t="s">
        <v>36</v>
      </c>
      <c r="AV40" s="891" t="s">
        <v>2587</v>
      </c>
      <c r="AW40" s="891" t="s">
        <v>36</v>
      </c>
      <c r="AX40" s="891" t="s">
        <v>34</v>
      </c>
      <c r="AY40" s="891" t="s">
        <v>35</v>
      </c>
      <c r="AZ40" s="910"/>
      <c r="BA40" s="891" t="s">
        <v>32</v>
      </c>
      <c r="BB40" s="891" t="s">
        <v>34</v>
      </c>
      <c r="BC40" s="891" t="s">
        <v>34</v>
      </c>
      <c r="BD40" s="891" t="s">
        <v>1886</v>
      </c>
      <c r="BE40" s="891" t="s">
        <v>36</v>
      </c>
      <c r="BF40" s="910"/>
      <c r="BG40" s="891" t="s">
        <v>32</v>
      </c>
      <c r="BH40" s="891" t="s">
        <v>35</v>
      </c>
      <c r="BI40" s="891"/>
      <c r="BJ40" s="891"/>
      <c r="BK40" s="891"/>
      <c r="BL40" s="891"/>
      <c r="BM40" s="891"/>
      <c r="BN40" s="891"/>
      <c r="BO40" s="891"/>
      <c r="BP40" s="896"/>
      <c r="BQ40" s="896"/>
      <c r="BR40" s="891"/>
      <c r="BS40" s="891"/>
      <c r="BT40" s="892"/>
      <c r="BU40" s="896"/>
      <c r="BV40" s="891"/>
      <c r="BW40" s="891"/>
      <c r="BX40" s="896"/>
      <c r="BY40" s="896"/>
      <c r="BZ40" s="896"/>
      <c r="CA40" s="896"/>
      <c r="CB40" s="896"/>
      <c r="CC40" s="896"/>
      <c r="CD40" s="896"/>
      <c r="CE40" s="896"/>
      <c r="CF40" s="896"/>
      <c r="CG40" s="896"/>
      <c r="CH40" s="896"/>
      <c r="CI40" s="428"/>
      <c r="CJ40" s="428"/>
      <c r="CK40" s="428"/>
      <c r="CL40" s="428"/>
      <c r="CM40" s="230" t="s">
        <v>32</v>
      </c>
      <c r="CN40" s="230" t="s">
        <v>32</v>
      </c>
      <c r="CO40" s="230" t="s">
        <v>32</v>
      </c>
      <c r="CP40" s="230" t="s">
        <v>32</v>
      </c>
      <c r="CQ40" s="230" t="s">
        <v>32</v>
      </c>
      <c r="CR40" s="230" t="s">
        <v>32</v>
      </c>
      <c r="CS40" s="230" t="s">
        <v>32</v>
      </c>
    </row>
    <row r="41" spans="1:124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17</v>
      </c>
      <c r="G41" s="879" t="s">
        <v>875</v>
      </c>
      <c r="H41" s="879" t="s">
        <v>18</v>
      </c>
      <c r="I41" s="879" t="s">
        <v>891</v>
      </c>
      <c r="J41" s="846">
        <v>2</v>
      </c>
      <c r="K41" s="846">
        <v>3</v>
      </c>
      <c r="L41" s="816" t="str">
        <f t="shared" si="34"/>
        <v>L</v>
      </c>
      <c r="M41" s="816">
        <f t="shared" si="35"/>
        <v>5</v>
      </c>
      <c r="N41" s="816" t="str">
        <f t="shared" si="36"/>
        <v>O</v>
      </c>
      <c r="O41" s="816">
        <f t="shared" si="25"/>
        <v>0</v>
      </c>
      <c r="P41" s="829">
        <f t="shared" si="29"/>
        <v>-1</v>
      </c>
      <c r="Q41" s="830">
        <v>0.11</v>
      </c>
      <c r="R41" s="871">
        <f t="shared" si="37"/>
        <v>-1.1100000000000001</v>
      </c>
      <c r="S41" s="830">
        <v>2.38</v>
      </c>
      <c r="T41" s="871">
        <f t="shared" si="31"/>
        <v>2.62</v>
      </c>
      <c r="U41" s="868">
        <f t="shared" si="26"/>
        <v>1.2449999999999999</v>
      </c>
      <c r="V41" s="868">
        <f t="shared" si="27"/>
        <v>1.135</v>
      </c>
      <c r="W41" s="829">
        <v>20</v>
      </c>
      <c r="X41" s="829">
        <v>12</v>
      </c>
      <c r="Y41" s="829">
        <v>9</v>
      </c>
      <c r="Z41" s="829">
        <v>4</v>
      </c>
      <c r="AA41" s="829">
        <v>63</v>
      </c>
      <c r="AB41" s="829">
        <v>37</v>
      </c>
      <c r="AC41" s="829"/>
      <c r="AD41" s="816" t="str">
        <f t="array" ref="AD41">IF($J41="","",IF(SUM(IF(ISNUMBER(VALUE(RIGHT($AG41:$EA41,1))),VALUE(RIGHT($AG41:$EA41,1)),0))=$J41,"T","F"))</f>
        <v>T</v>
      </c>
      <c r="AE41" s="831">
        <f t="array" ref="AE41">IF($J41="","",SUM(IF(LEFT($AG41:$EA41,1)="s",1,0))-SUM(IF(RIGHT(LEFT($AG41:$EA41,2))="-",1,0)))</f>
        <v>0</v>
      </c>
      <c r="AF41" s="816">
        <f t="array" ref="AF41">IF($J41="","",SUM(IF(LEFT($AG41:$EA41,1)="X",1,0)))</f>
        <v>11</v>
      </c>
      <c r="AG41" s="891" t="s">
        <v>1877</v>
      </c>
      <c r="AH41" s="891" t="s">
        <v>34</v>
      </c>
      <c r="AI41" s="891" t="s">
        <v>32</v>
      </c>
      <c r="AJ41" s="891" t="s">
        <v>32</v>
      </c>
      <c r="AK41" s="891" t="s">
        <v>34</v>
      </c>
      <c r="AL41" s="891" t="s">
        <v>34</v>
      </c>
      <c r="AM41" s="891" t="s">
        <v>1877</v>
      </c>
      <c r="AN41" s="891" t="s">
        <v>1877</v>
      </c>
      <c r="AO41" s="891" t="s">
        <v>32</v>
      </c>
      <c r="AP41" s="904" t="s">
        <v>34</v>
      </c>
      <c r="AQ41" s="910"/>
      <c r="AR41" s="891" t="s">
        <v>34</v>
      </c>
      <c r="AS41" s="904" t="s">
        <v>35</v>
      </c>
      <c r="AT41" s="891" t="s">
        <v>36</v>
      </c>
      <c r="AU41" s="891" t="s">
        <v>35</v>
      </c>
      <c r="AV41" s="891" t="s">
        <v>1886</v>
      </c>
      <c r="AW41" s="891" t="s">
        <v>36</v>
      </c>
      <c r="AX41" s="891" t="s">
        <v>34</v>
      </c>
      <c r="AY41" s="891" t="s">
        <v>2678</v>
      </c>
      <c r="AZ41" s="910"/>
      <c r="BA41" s="891" t="s">
        <v>32</v>
      </c>
      <c r="BB41" s="891" t="s">
        <v>34</v>
      </c>
      <c r="BC41" s="891" t="s">
        <v>2672</v>
      </c>
      <c r="BD41" s="891" t="s">
        <v>2676</v>
      </c>
      <c r="BE41" s="891" t="s">
        <v>36</v>
      </c>
      <c r="BF41" s="910"/>
      <c r="BG41" s="891" t="s">
        <v>2677</v>
      </c>
      <c r="BH41" s="891" t="s">
        <v>1877</v>
      </c>
      <c r="BI41" s="891"/>
      <c r="BJ41" s="891"/>
      <c r="BK41" s="891"/>
      <c r="BL41" s="891"/>
      <c r="BM41" s="891"/>
      <c r="BN41" s="891"/>
      <c r="BO41" s="891"/>
      <c r="BP41" s="896"/>
      <c r="BQ41" s="896"/>
      <c r="BR41" s="891"/>
      <c r="BS41" s="891"/>
      <c r="BT41" s="892"/>
      <c r="BU41" s="896"/>
      <c r="BV41" s="891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896"/>
      <c r="CH41" s="896"/>
      <c r="CI41" s="4"/>
      <c r="CJ41" s="4"/>
      <c r="CK41" s="4"/>
      <c r="CL41" s="4"/>
      <c r="CM41" s="6" t="s">
        <v>32</v>
      </c>
      <c r="CN41" s="6" t="s">
        <v>32</v>
      </c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</row>
    <row r="42" spans="1:124" ht="15">
      <c r="A42" s="912">
        <v>6382</v>
      </c>
      <c r="B42" s="894"/>
      <c r="C42" s="894"/>
      <c r="D42" s="894"/>
      <c r="E42" s="894"/>
      <c r="F42" s="894"/>
      <c r="G42" s="828" t="s">
        <v>1087</v>
      </c>
      <c r="H42" s="828" t="s">
        <v>22</v>
      </c>
      <c r="I42" s="828" t="s">
        <v>2649</v>
      </c>
      <c r="J42" s="895">
        <v>1</v>
      </c>
      <c r="K42" s="895">
        <v>2</v>
      </c>
      <c r="L42" s="816" t="str">
        <f t="shared" ref="L42" si="38">IF(J42="","",IF(J42&gt;K42,"W",IF(J42=K42,"D",IF(J42&lt;K42,"L"))))</f>
        <v>L</v>
      </c>
      <c r="M42" s="816">
        <f t="shared" ref="M42" si="39">IF(J42="","",J42+K42)</f>
        <v>3</v>
      </c>
      <c r="N42" s="816" t="str">
        <f t="shared" si="36"/>
        <v>O</v>
      </c>
      <c r="O42" s="816" t="str">
        <f t="shared" ref="O42" si="40">IF(Q42="","",IF(SIGN(Q42)&lt;&gt;1,VLOOKUP(ABS(Q42),SUP_HDC,3,TRUE),-VLOOKUP(ABS(Q42),SUP_HDC,3,TRUE)))</f>
        <v/>
      </c>
      <c r="P42" s="829" t="str">
        <f t="shared" ref="P42" si="41">IF(O42="","",IF((J42-K42+O42)&gt;=0.5,1,IF((J42-K42+O42)=0.25,0.5,IF((J42-K42+O42)&lt;=-0.5,-1,IF((J42-K42+O42)=-0.25,-0.5,0)))))</f>
        <v/>
      </c>
      <c r="Q42" s="830"/>
      <c r="R42" s="871" t="str">
        <f t="shared" si="37"/>
        <v/>
      </c>
      <c r="S42" s="830"/>
      <c r="T42" s="871" t="str">
        <f t="shared" ref="T42" si="42">IF(ISBLANK(S42),"",J42+K42-S42)</f>
        <v/>
      </c>
      <c r="U42" s="868" t="str">
        <f t="shared" ref="U42" si="43">IF(Q42="","",(Q42+S42)/2)</f>
        <v/>
      </c>
      <c r="V42" s="868" t="str">
        <f t="shared" ref="V42" si="44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IF($J42="","",IF(SUM(IF(ISNUMBER(VALUE(RIGHT($AG42:$EA42,1))),VALUE(RIGHT($AG42:$EA42,1)),0))=$J42,"T","F"))</f>
        <v>T</v>
      </c>
      <c r="AE42" s="831">
        <f t="array" ref="AE42">IF($J42="","",SUM(IF(LEFT($AG42:$EA42,1)="s",1,0))-SUM(IF(RIGHT(LEFT($AG42:$EA42,2))="-",1,0)))</f>
        <v>0</v>
      </c>
      <c r="AF42" s="816">
        <f t="array" ref="AF42">IF($J42="","",SUM(IF(LEFT($AG42:$EA42,1)="X",1,0)))</f>
        <v>11</v>
      </c>
      <c r="AG42" s="891" t="s">
        <v>34</v>
      </c>
      <c r="AH42" s="891" t="s">
        <v>32</v>
      </c>
      <c r="AI42" s="891" t="s">
        <v>1877</v>
      </c>
      <c r="AJ42" s="891" t="s">
        <v>1877</v>
      </c>
      <c r="AK42" s="891" t="s">
        <v>34</v>
      </c>
      <c r="AL42" s="891" t="s">
        <v>32</v>
      </c>
      <c r="AM42" s="891" t="s">
        <v>34</v>
      </c>
      <c r="AN42" s="891" t="s">
        <v>34</v>
      </c>
      <c r="AO42" s="891" t="s">
        <v>36</v>
      </c>
      <c r="AP42" s="891" t="s">
        <v>1877</v>
      </c>
      <c r="AQ42" s="910"/>
      <c r="AR42" s="906" t="s">
        <v>2722</v>
      </c>
      <c r="AS42" s="891" t="s">
        <v>35</v>
      </c>
      <c r="AT42" s="891" t="s">
        <v>34</v>
      </c>
      <c r="AU42" s="891" t="s">
        <v>34</v>
      </c>
      <c r="AV42" s="891" t="s">
        <v>1886</v>
      </c>
      <c r="AW42" s="891" t="s">
        <v>35</v>
      </c>
      <c r="AX42" s="891" t="s">
        <v>35</v>
      </c>
      <c r="AY42" s="891" t="s">
        <v>32</v>
      </c>
      <c r="AZ42" s="910"/>
      <c r="BA42" s="891" t="s">
        <v>32</v>
      </c>
      <c r="BB42" s="891" t="s">
        <v>36</v>
      </c>
      <c r="BC42" s="891" t="s">
        <v>1877</v>
      </c>
      <c r="BD42" s="891" t="s">
        <v>1886</v>
      </c>
      <c r="BE42" s="891" t="s">
        <v>34</v>
      </c>
      <c r="BF42" s="910"/>
      <c r="BG42" s="891" t="s">
        <v>1886</v>
      </c>
      <c r="BH42" s="891" t="s">
        <v>2718</v>
      </c>
      <c r="BI42" s="891"/>
      <c r="BJ42" s="891"/>
      <c r="BK42" s="891"/>
      <c r="BL42" s="891"/>
      <c r="BM42" s="891"/>
      <c r="BN42" s="891"/>
      <c r="BO42" s="891"/>
      <c r="BP42" s="896"/>
      <c r="BQ42" s="896"/>
      <c r="BR42" s="891"/>
      <c r="BS42" s="891"/>
      <c r="BT42" s="892"/>
      <c r="BU42" s="896"/>
      <c r="BV42" s="891"/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896"/>
      <c r="CH42" s="896"/>
      <c r="CI42" s="4"/>
      <c r="CJ42" s="4"/>
      <c r="CK42" s="4"/>
      <c r="CL42" s="4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</row>
    <row r="43" spans="1:124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21</v>
      </c>
      <c r="G43" s="879" t="s">
        <v>890</v>
      </c>
      <c r="H43" s="879" t="s">
        <v>18</v>
      </c>
      <c r="I43" s="879" t="s">
        <v>891</v>
      </c>
      <c r="J43" s="846">
        <v>2</v>
      </c>
      <c r="K43" s="846">
        <v>0</v>
      </c>
      <c r="L43" s="816" t="str">
        <f t="shared" si="34"/>
        <v>W</v>
      </c>
      <c r="M43" s="816">
        <f t="shared" si="35"/>
        <v>2</v>
      </c>
      <c r="N43" s="816" t="str">
        <f t="shared" si="36"/>
        <v>U</v>
      </c>
      <c r="O43" s="816">
        <f t="shared" si="25"/>
        <v>-0.25</v>
      </c>
      <c r="P43" s="829">
        <f t="shared" si="29"/>
        <v>1</v>
      </c>
      <c r="Q43" s="830">
        <v>0.15</v>
      </c>
      <c r="R43" s="871">
        <f t="shared" si="37"/>
        <v>1.85</v>
      </c>
      <c r="S43" s="830">
        <v>2.5</v>
      </c>
      <c r="T43" s="871">
        <f t="shared" si="31"/>
        <v>-0.5</v>
      </c>
      <c r="U43" s="868">
        <f t="shared" si="26"/>
        <v>1.325</v>
      </c>
      <c r="V43" s="868">
        <f t="shared" si="27"/>
        <v>1.175</v>
      </c>
      <c r="W43" s="829">
        <v>14</v>
      </c>
      <c r="X43" s="829">
        <v>8</v>
      </c>
      <c r="Y43" s="829">
        <v>3</v>
      </c>
      <c r="Z43" s="829">
        <v>1</v>
      </c>
      <c r="AA43" s="829">
        <v>43</v>
      </c>
      <c r="AB43" s="829">
        <v>57</v>
      </c>
      <c r="AC43" s="829"/>
      <c r="AD43" s="816" t="str">
        <f t="array" ref="AD43">IF($J43="","",IF(SUM(IF(ISNUMBER(VALUE(RIGHT($AG43:$EA43,1))),VALUE(RIGHT($AG43:$EA43,1)),0))=$J43,"T","F"))</f>
        <v>T</v>
      </c>
      <c r="AE43" s="831">
        <f t="array" ref="AE43">IF($J43="","",SUM(IF(LEFT($AG43:$EA43,1)="s",1,0))-SUM(IF(RIGHT(LEFT($AG43:$EA43,2))="-",1,0)))</f>
        <v>0</v>
      </c>
      <c r="AF43" s="816">
        <f t="array" ref="AF43">IF($J43="","",SUM(IF(LEFT($AG43:$EA43,1)="X",1,0)))</f>
        <v>11</v>
      </c>
      <c r="AG43" s="891" t="s">
        <v>34</v>
      </c>
      <c r="AH43" s="891" t="s">
        <v>1877</v>
      </c>
      <c r="AI43" s="891" t="s">
        <v>32</v>
      </c>
      <c r="AJ43" s="904" t="s">
        <v>34</v>
      </c>
      <c r="AK43" s="891" t="s">
        <v>34</v>
      </c>
      <c r="AL43" s="891" t="s">
        <v>34</v>
      </c>
      <c r="AM43" s="891" t="s">
        <v>1877</v>
      </c>
      <c r="AN43" s="891" t="s">
        <v>34</v>
      </c>
      <c r="AO43" s="891" t="s">
        <v>2751</v>
      </c>
      <c r="AP43" s="891" t="s">
        <v>34</v>
      </c>
      <c r="AQ43" s="910"/>
      <c r="AR43" s="891" t="s">
        <v>35</v>
      </c>
      <c r="AS43" s="891" t="s">
        <v>2748</v>
      </c>
      <c r="AT43" s="891" t="s">
        <v>36</v>
      </c>
      <c r="AU43" s="891" t="s">
        <v>36</v>
      </c>
      <c r="AV43" s="891" t="s">
        <v>1886</v>
      </c>
      <c r="AW43" s="891" t="s">
        <v>1877</v>
      </c>
      <c r="AX43" s="891" t="s">
        <v>35</v>
      </c>
      <c r="AY43" s="891" t="s">
        <v>32</v>
      </c>
      <c r="AZ43" s="910" t="s">
        <v>32</v>
      </c>
      <c r="BA43" s="891" t="s">
        <v>32</v>
      </c>
      <c r="BB43" s="891" t="s">
        <v>34</v>
      </c>
      <c r="BC43" s="891" t="s">
        <v>2738</v>
      </c>
      <c r="BD43" s="891" t="s">
        <v>2750</v>
      </c>
      <c r="BE43" s="891" t="s">
        <v>1877</v>
      </c>
      <c r="BF43" s="910"/>
      <c r="BG43" s="891" t="s">
        <v>1886</v>
      </c>
      <c r="BH43" s="891" t="s">
        <v>36</v>
      </c>
      <c r="BI43" s="891"/>
      <c r="BJ43" s="891"/>
      <c r="BK43" s="891"/>
      <c r="BL43" s="891"/>
      <c r="BM43" s="891"/>
      <c r="BN43" s="891"/>
      <c r="BO43" s="891"/>
      <c r="BP43" s="896"/>
      <c r="BQ43" s="896"/>
      <c r="BR43" s="892"/>
      <c r="BS43" s="896"/>
      <c r="BT43" s="892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896"/>
      <c r="CH43" s="896"/>
      <c r="CI43" s="428"/>
      <c r="CJ43" s="428"/>
      <c r="CK43" s="428"/>
      <c r="CL43" s="428"/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  <c r="CR43" s="230" t="s">
        <v>32</v>
      </c>
      <c r="CS43" s="230" t="s">
        <v>32</v>
      </c>
    </row>
    <row r="44" spans="1:124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8</v>
      </c>
      <c r="G44" s="879" t="s">
        <v>880</v>
      </c>
      <c r="H44" s="879" t="s">
        <v>22</v>
      </c>
      <c r="I44" s="879" t="s">
        <v>891</v>
      </c>
      <c r="J44" s="908">
        <v>1</v>
      </c>
      <c r="K44" s="846">
        <v>2</v>
      </c>
      <c r="L44" s="816" t="str">
        <f t="shared" si="34"/>
        <v>L</v>
      </c>
      <c r="M44" s="816">
        <f t="shared" si="35"/>
        <v>3</v>
      </c>
      <c r="N44" s="816" t="str">
        <f t="shared" si="36"/>
        <v>O</v>
      </c>
      <c r="O44" s="816">
        <f t="shared" si="25"/>
        <v>0.5</v>
      </c>
      <c r="P44" s="829">
        <f t="shared" si="29"/>
        <v>-1</v>
      </c>
      <c r="Q44" s="830">
        <v>-0.43</v>
      </c>
      <c r="R44" s="871">
        <f t="shared" si="37"/>
        <v>-0.57000000000000006</v>
      </c>
      <c r="S44" s="830">
        <v>2.48</v>
      </c>
      <c r="T44" s="871">
        <f t="shared" si="31"/>
        <v>0.52</v>
      </c>
      <c r="U44" s="868">
        <f t="shared" si="26"/>
        <v>1.0249999999999999</v>
      </c>
      <c r="V44" s="868">
        <f t="shared" si="27"/>
        <v>1.4550000000000001</v>
      </c>
      <c r="W44" s="829">
        <v>13</v>
      </c>
      <c r="X44" s="829">
        <v>18</v>
      </c>
      <c r="Y44" s="829">
        <v>3</v>
      </c>
      <c r="Z44" s="829">
        <v>7</v>
      </c>
      <c r="AA44" s="829">
        <v>49</v>
      </c>
      <c r="AB44" s="829">
        <v>51</v>
      </c>
      <c r="AC44" s="829"/>
      <c r="AD44" s="816" t="str">
        <f t="array" ref="AD44">IF($J44="","",IF(SUM(IF(ISNUMBER(VALUE(RIGHT($AG44:$EA44,1))),VALUE(RIGHT($AG44:$EA44,1)),0))=$J44,"T","F"))</f>
        <v>T</v>
      </c>
      <c r="AE44" s="831">
        <f t="array" ref="AE44">IF($J44="","",SUM(IF(LEFT($AG44:$EA44,1)="s",1,0))-SUM(IF(RIGHT(LEFT($AG44:$EA44,2))="-",1,0)))</f>
        <v>0</v>
      </c>
      <c r="AF44" s="816">
        <f t="array" ref="AF44">IF($J44="","",SUM(IF(LEFT($AG44:$EA44,1)="X",1,0)))</f>
        <v>11</v>
      </c>
      <c r="AG44" s="891" t="s">
        <v>34</v>
      </c>
      <c r="AH44" s="891" t="s">
        <v>1877</v>
      </c>
      <c r="AI44" s="891" t="s">
        <v>32</v>
      </c>
      <c r="AJ44" s="891" t="s">
        <v>34</v>
      </c>
      <c r="AK44" s="891" t="s">
        <v>34</v>
      </c>
      <c r="AL44" s="891" t="s">
        <v>32</v>
      </c>
      <c r="AM44" s="891" t="s">
        <v>34</v>
      </c>
      <c r="AN44" s="891" t="s">
        <v>34</v>
      </c>
      <c r="AO44" s="891" t="s">
        <v>35</v>
      </c>
      <c r="AP44" s="891" t="s">
        <v>34</v>
      </c>
      <c r="AQ44" s="910"/>
      <c r="AR44" s="891" t="s">
        <v>35</v>
      </c>
      <c r="AS44" s="891" t="s">
        <v>1877</v>
      </c>
      <c r="AT44" s="891" t="s">
        <v>1877</v>
      </c>
      <c r="AU44" s="891" t="s">
        <v>1877</v>
      </c>
      <c r="AV44" s="891" t="s">
        <v>1954</v>
      </c>
      <c r="AW44" s="891" t="s">
        <v>32</v>
      </c>
      <c r="AX44" s="909" t="s">
        <v>2795</v>
      </c>
      <c r="AY44" s="891" t="s">
        <v>36</v>
      </c>
      <c r="AZ44" s="910" t="s">
        <v>32</v>
      </c>
      <c r="BA44" s="891" t="s">
        <v>32</v>
      </c>
      <c r="BB44" s="891" t="s">
        <v>34</v>
      </c>
      <c r="BC44" s="904" t="s">
        <v>35</v>
      </c>
      <c r="BD44" s="891" t="s">
        <v>1954</v>
      </c>
      <c r="BE44" s="891" t="s">
        <v>36</v>
      </c>
      <c r="BF44" s="910"/>
      <c r="BG44" s="891" t="s">
        <v>1954</v>
      </c>
      <c r="BH44" s="891" t="s">
        <v>36</v>
      </c>
      <c r="BI44" s="891"/>
      <c r="BJ44" s="891"/>
      <c r="BK44" s="891"/>
      <c r="BL44" s="891"/>
      <c r="BM44" s="891"/>
      <c r="BN44" s="891"/>
      <c r="BO44" s="891"/>
      <c r="BP44" s="896"/>
      <c r="BQ44" s="896"/>
      <c r="BR44" s="892"/>
      <c r="BS44" s="896"/>
      <c r="BT44" s="892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896"/>
      <c r="CF44" s="896"/>
      <c r="CG44" s="896"/>
      <c r="CH44" s="896"/>
      <c r="CI44" s="428"/>
      <c r="CJ44" s="428"/>
      <c r="CK44" s="428"/>
      <c r="CL44" s="428"/>
    </row>
    <row r="45" spans="1:124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11</v>
      </c>
      <c r="G45" s="879" t="s">
        <v>874</v>
      </c>
      <c r="H45" s="879" t="s">
        <v>22</v>
      </c>
      <c r="I45" s="879" t="s">
        <v>891</v>
      </c>
      <c r="J45" s="846">
        <v>2</v>
      </c>
      <c r="K45" s="846">
        <v>0</v>
      </c>
      <c r="L45" s="816" t="str">
        <f t="shared" si="34"/>
        <v>W</v>
      </c>
      <c r="M45" s="816">
        <f t="shared" si="35"/>
        <v>2</v>
      </c>
      <c r="N45" s="816" t="str">
        <f t="shared" si="36"/>
        <v>U</v>
      </c>
      <c r="O45" s="816">
        <f t="shared" si="25"/>
        <v>0</v>
      </c>
      <c r="P45" s="829">
        <f t="shared" si="29"/>
        <v>1</v>
      </c>
      <c r="Q45" s="830">
        <v>0.01</v>
      </c>
      <c r="R45" s="871">
        <f t="shared" si="37"/>
        <v>1.99</v>
      </c>
      <c r="S45" s="830">
        <v>2.4</v>
      </c>
      <c r="T45" s="871">
        <f t="shared" si="31"/>
        <v>-0.39999999999999991</v>
      </c>
      <c r="U45" s="868">
        <f t="shared" si="26"/>
        <v>1.2049999999999998</v>
      </c>
      <c r="V45" s="868">
        <f t="shared" si="27"/>
        <v>1.1950000000000001</v>
      </c>
      <c r="W45" s="829">
        <v>8</v>
      </c>
      <c r="X45" s="829">
        <v>12</v>
      </c>
      <c r="Y45" s="829">
        <v>2</v>
      </c>
      <c r="Z45" s="829">
        <v>4</v>
      </c>
      <c r="AA45" s="829">
        <v>45</v>
      </c>
      <c r="AB45" s="829">
        <v>55</v>
      </c>
      <c r="AC45" s="829"/>
      <c r="AD45" s="816" t="str">
        <f t="array" ref="AD45">IF($J45="","",IF(SUM(IF(ISNUMBER(VALUE(RIGHT($AG45:$EA45,1))),VALUE(RIGHT($AG45:$EA45,1)),0))=$J45,"T","F"))</f>
        <v>T</v>
      </c>
      <c r="AE45" s="831">
        <f t="array" ref="AE45">IF($J45="","",SUM(IF(LEFT($AG45:$EA45,1)="s",1,0))-SUM(IF(RIGHT(LEFT($AG45:$EA45,2))="-",1,0)))</f>
        <v>0</v>
      </c>
      <c r="AF45" s="816">
        <f t="array" ref="AF45">IF($J45="","",SUM(IF(LEFT($AG45:$EA45,1)="X",1,0)))</f>
        <v>11</v>
      </c>
      <c r="AG45" s="891" t="s">
        <v>34</v>
      </c>
      <c r="AH45" s="891" t="s">
        <v>32</v>
      </c>
      <c r="AI45" s="891" t="s">
        <v>1877</v>
      </c>
      <c r="AJ45" s="904" t="s">
        <v>34</v>
      </c>
      <c r="AK45" s="891" t="s">
        <v>34</v>
      </c>
      <c r="AL45" s="891" t="s">
        <v>34</v>
      </c>
      <c r="AM45" s="891" t="s">
        <v>34</v>
      </c>
      <c r="AN45" s="891" t="s">
        <v>1877</v>
      </c>
      <c r="AO45" s="891" t="s">
        <v>2871</v>
      </c>
      <c r="AP45" s="891" t="s">
        <v>34</v>
      </c>
      <c r="AQ45" s="910"/>
      <c r="AR45" s="891" t="s">
        <v>34</v>
      </c>
      <c r="AS45" s="891" t="s">
        <v>34</v>
      </c>
      <c r="AT45" s="891" t="s">
        <v>36</v>
      </c>
      <c r="AU45" s="891" t="s">
        <v>36</v>
      </c>
      <c r="AV45" s="891" t="s">
        <v>1886</v>
      </c>
      <c r="AW45" s="891" t="s">
        <v>1877</v>
      </c>
      <c r="AX45" s="891" t="s">
        <v>2847</v>
      </c>
      <c r="AY45" s="891" t="s">
        <v>2840</v>
      </c>
      <c r="AZ45" s="910" t="s">
        <v>32</v>
      </c>
      <c r="BA45" s="891" t="s">
        <v>32</v>
      </c>
      <c r="BB45" s="891" t="s">
        <v>35</v>
      </c>
      <c r="BC45" s="891" t="s">
        <v>2846</v>
      </c>
      <c r="BD45" s="891" t="s">
        <v>1886</v>
      </c>
      <c r="BE45" s="891" t="s">
        <v>1877</v>
      </c>
      <c r="BF45" s="910"/>
      <c r="BG45" s="891" t="s">
        <v>1886</v>
      </c>
      <c r="BH45" s="891" t="s">
        <v>36</v>
      </c>
      <c r="BI45" s="891"/>
      <c r="BJ45" s="891"/>
      <c r="BK45" s="891"/>
      <c r="BL45" s="891"/>
      <c r="BM45" s="891"/>
      <c r="BN45" s="891"/>
      <c r="BO45" s="891"/>
      <c r="BP45" s="896"/>
      <c r="BQ45" s="896"/>
      <c r="BR45" s="892"/>
      <c r="BS45" s="896"/>
      <c r="BT45" s="892"/>
      <c r="BU45" s="896"/>
      <c r="BV45" s="891"/>
      <c r="BW45" s="896"/>
      <c r="BX45" s="896"/>
      <c r="BY45" s="896"/>
      <c r="BZ45" s="896"/>
      <c r="CA45" s="896"/>
      <c r="CB45" s="891"/>
      <c r="CC45" s="891"/>
      <c r="CD45" s="891"/>
      <c r="CE45" s="891"/>
      <c r="CF45" s="891"/>
      <c r="CG45" s="891"/>
      <c r="CH45" s="891"/>
      <c r="CI45" s="428"/>
      <c r="CJ45" s="428"/>
      <c r="CK45" s="428"/>
      <c r="CL45" s="428"/>
    </row>
    <row r="46" spans="1:124" ht="15">
      <c r="A46" s="882">
        <v>6406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19</v>
      </c>
      <c r="G46" s="879" t="s">
        <v>885</v>
      </c>
      <c r="H46" s="879" t="s">
        <v>18</v>
      </c>
      <c r="I46" s="879" t="s">
        <v>891</v>
      </c>
      <c r="J46" s="846">
        <v>3</v>
      </c>
      <c r="K46" s="846">
        <v>1</v>
      </c>
      <c r="L46" s="816" t="str">
        <f t="shared" si="34"/>
        <v>W</v>
      </c>
      <c r="M46" s="816">
        <f t="shared" si="35"/>
        <v>4</v>
      </c>
      <c r="N46" s="816" t="str">
        <f t="shared" si="36"/>
        <v>O</v>
      </c>
      <c r="O46" s="816">
        <f t="shared" si="25"/>
        <v>-0.25</v>
      </c>
      <c r="P46" s="829">
        <f t="shared" si="29"/>
        <v>1</v>
      </c>
      <c r="Q46" s="830">
        <v>0.28000000000000003</v>
      </c>
      <c r="R46" s="871">
        <f t="shared" si="37"/>
        <v>1.72</v>
      </c>
      <c r="S46" s="830">
        <v>2.59</v>
      </c>
      <c r="T46" s="871">
        <f t="shared" si="31"/>
        <v>1.4100000000000001</v>
      </c>
      <c r="U46" s="868">
        <f t="shared" si="26"/>
        <v>1.4350000000000001</v>
      </c>
      <c r="V46" s="868">
        <f t="shared" si="27"/>
        <v>1.1549999999999998</v>
      </c>
      <c r="W46" s="829">
        <v>12</v>
      </c>
      <c r="X46" s="829">
        <v>17</v>
      </c>
      <c r="Y46" s="829">
        <v>7</v>
      </c>
      <c r="Z46" s="829">
        <v>4</v>
      </c>
      <c r="AA46" s="829">
        <v>55</v>
      </c>
      <c r="AB46" s="829">
        <v>45</v>
      </c>
      <c r="AC46" s="829"/>
      <c r="AD46" s="816" t="str">
        <f t="array" ref="AD46">IF($J46="","",IF(SUM(IF(ISNUMBER(VALUE(RIGHT($AG46:$EA46,1))),VALUE(RIGHT($AG46:$EA46,1)),0))=$J46,"T","F"))</f>
        <v>T</v>
      </c>
      <c r="AE46" s="831">
        <f t="array" ref="AE46">IF($J46="","",SUM(IF(LEFT($AG46:$EA46,1)="s",1,0))-SUM(IF(RIGHT(LEFT($AG46:$EA46,2))="-",1,0)))</f>
        <v>0</v>
      </c>
      <c r="AF46" s="816">
        <f t="array" ref="AF46">IF($J46="","",SUM(IF(LEFT($AG46:$EA46,1)="X",1,0)))</f>
        <v>11</v>
      </c>
      <c r="AG46" s="891" t="s">
        <v>34</v>
      </c>
      <c r="AH46" s="891" t="s">
        <v>1877</v>
      </c>
      <c r="AI46" s="891" t="s">
        <v>32</v>
      </c>
      <c r="AJ46" s="891" t="s">
        <v>2883</v>
      </c>
      <c r="AK46" s="891" t="s">
        <v>2883</v>
      </c>
      <c r="AL46" s="891" t="s">
        <v>34</v>
      </c>
      <c r="AM46" s="891" t="s">
        <v>34</v>
      </c>
      <c r="AN46" s="891" t="s">
        <v>1877</v>
      </c>
      <c r="AO46" s="891" t="s">
        <v>1886</v>
      </c>
      <c r="AP46" s="891" t="s">
        <v>34</v>
      </c>
      <c r="AQ46" s="910"/>
      <c r="AR46" s="891" t="s">
        <v>35</v>
      </c>
      <c r="AS46" s="891" t="s">
        <v>2883</v>
      </c>
      <c r="AT46" s="891" t="s">
        <v>1877</v>
      </c>
      <c r="AU46" s="891" t="s">
        <v>1877</v>
      </c>
      <c r="AV46" s="891" t="s">
        <v>1886</v>
      </c>
      <c r="AW46" s="891" t="s">
        <v>32</v>
      </c>
      <c r="AX46" s="891" t="s">
        <v>34</v>
      </c>
      <c r="AY46" s="904" t="s">
        <v>3381</v>
      </c>
      <c r="AZ46" s="910" t="s">
        <v>32</v>
      </c>
      <c r="BA46" s="891" t="s">
        <v>32</v>
      </c>
      <c r="BB46" s="891" t="s">
        <v>35</v>
      </c>
      <c r="BC46" s="891" t="s">
        <v>35</v>
      </c>
      <c r="BD46" s="891" t="s">
        <v>1886</v>
      </c>
      <c r="BE46" s="891" t="s">
        <v>36</v>
      </c>
      <c r="BF46" s="910"/>
      <c r="BG46" s="891" t="s">
        <v>1886</v>
      </c>
      <c r="BH46" s="891" t="s">
        <v>36</v>
      </c>
      <c r="BI46" s="891"/>
      <c r="BJ46" s="891"/>
      <c r="BK46" s="891"/>
      <c r="BL46" s="891"/>
      <c r="BM46" s="891"/>
      <c r="BN46" s="891"/>
      <c r="BO46" s="891"/>
      <c r="BP46" s="896"/>
      <c r="BQ46" s="896"/>
      <c r="BR46" s="892"/>
      <c r="BS46" s="896"/>
      <c r="BT46" s="892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896"/>
      <c r="CF46" s="896"/>
      <c r="CG46" s="896"/>
      <c r="CH46" s="896"/>
      <c r="CI46" s="428"/>
      <c r="CJ46" s="428"/>
      <c r="CK46" s="428"/>
      <c r="CL46" s="428"/>
    </row>
    <row r="47" spans="1:124" ht="15">
      <c r="A47" s="882">
        <v>6414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13</v>
      </c>
      <c r="G47" s="879" t="s">
        <v>884</v>
      </c>
      <c r="H47" s="879" t="s">
        <v>18</v>
      </c>
      <c r="I47" s="879" t="s">
        <v>891</v>
      </c>
      <c r="J47" s="846">
        <v>1</v>
      </c>
      <c r="K47" s="846">
        <v>2</v>
      </c>
      <c r="L47" s="816" t="str">
        <f t="shared" si="34"/>
        <v>L</v>
      </c>
      <c r="M47" s="816">
        <f t="shared" si="35"/>
        <v>3</v>
      </c>
      <c r="N47" s="816" t="str">
        <f t="shared" si="36"/>
        <v>O</v>
      </c>
      <c r="O47" s="816">
        <f t="shared" si="25"/>
        <v>0.25</v>
      </c>
      <c r="P47" s="829">
        <f t="shared" si="29"/>
        <v>-1</v>
      </c>
      <c r="Q47" s="830">
        <v>-0.23</v>
      </c>
      <c r="R47" s="871">
        <f t="shared" si="37"/>
        <v>-0.77</v>
      </c>
      <c r="S47" s="830">
        <v>2.5</v>
      </c>
      <c r="T47" s="871">
        <f t="shared" si="31"/>
        <v>0.5</v>
      </c>
      <c r="U47" s="868">
        <f t="shared" si="26"/>
        <v>1.135</v>
      </c>
      <c r="V47" s="868">
        <f t="shared" si="27"/>
        <v>1.365</v>
      </c>
      <c r="W47" s="829">
        <v>14</v>
      </c>
      <c r="X47" s="829">
        <v>19</v>
      </c>
      <c r="Y47" s="829">
        <v>5</v>
      </c>
      <c r="Z47" s="829">
        <v>6</v>
      </c>
      <c r="AA47" s="829">
        <v>56</v>
      </c>
      <c r="AB47" s="829">
        <v>44</v>
      </c>
      <c r="AC47" s="829"/>
      <c r="AD47" s="816" t="str">
        <f t="array" ref="AD47">IF($J47="","",IF(SUM(IF(ISNUMBER(VALUE(RIGHT($AG47:$EA47,1))),VALUE(RIGHT($AG47:$EA47,1)),0))=$J47,"T","F"))</f>
        <v>T</v>
      </c>
      <c r="AE47" s="831">
        <f t="array" ref="AE47">IF($J47="","",SUM(IF(LEFT($AG47:$EA47,1)="s",1,0))-SUM(IF(RIGHT(LEFT($AG47:$EA47,2))="-",1,0)))</f>
        <v>0</v>
      </c>
      <c r="AF47" s="816">
        <f t="array" ref="AF47">IF($J47="","",SUM(IF(LEFT($AG47:$EA47,1)="X",1,0)))</f>
        <v>11</v>
      </c>
      <c r="AG47" s="891" t="s">
        <v>35</v>
      </c>
      <c r="AH47" s="891" t="s">
        <v>36</v>
      </c>
      <c r="AI47" s="891" t="s">
        <v>32</v>
      </c>
      <c r="AJ47" s="904" t="s">
        <v>35</v>
      </c>
      <c r="AK47" s="904" t="s">
        <v>34</v>
      </c>
      <c r="AL47" s="891" t="s">
        <v>34</v>
      </c>
      <c r="AM47" s="891" t="s">
        <v>35</v>
      </c>
      <c r="AN47" s="891" t="s">
        <v>1877</v>
      </c>
      <c r="AO47" s="891" t="s">
        <v>1886</v>
      </c>
      <c r="AP47" s="891" t="s">
        <v>34</v>
      </c>
      <c r="AQ47" s="910"/>
      <c r="AR47" s="891" t="s">
        <v>34</v>
      </c>
      <c r="AS47" s="891" t="s">
        <v>34</v>
      </c>
      <c r="AT47" s="891" t="s">
        <v>1877</v>
      </c>
      <c r="AU47" s="891" t="s">
        <v>32</v>
      </c>
      <c r="AV47" s="891" t="s">
        <v>1886</v>
      </c>
      <c r="AW47" s="891" t="s">
        <v>32</v>
      </c>
      <c r="AX47" s="904" t="s">
        <v>34</v>
      </c>
      <c r="AY47" s="891" t="s">
        <v>2917</v>
      </c>
      <c r="AZ47" s="891" t="s">
        <v>32</v>
      </c>
      <c r="BA47" s="891" t="s">
        <v>36</v>
      </c>
      <c r="BB47" s="891" t="s">
        <v>34</v>
      </c>
      <c r="BC47" s="891" t="s">
        <v>32</v>
      </c>
      <c r="BD47" s="891" t="s">
        <v>1877</v>
      </c>
      <c r="BE47" s="891" t="s">
        <v>1877</v>
      </c>
      <c r="BF47" s="910" t="s">
        <v>32</v>
      </c>
      <c r="BG47" s="891" t="s">
        <v>1886</v>
      </c>
      <c r="BH47" s="891" t="s">
        <v>34</v>
      </c>
      <c r="BI47" s="891"/>
      <c r="BJ47" s="891"/>
      <c r="BK47" s="891"/>
      <c r="BL47" s="891"/>
      <c r="BM47" s="891"/>
      <c r="BN47" s="891"/>
      <c r="BO47" s="891"/>
      <c r="BP47" s="896"/>
      <c r="BQ47" s="896"/>
      <c r="BR47" s="892"/>
      <c r="BS47" s="896"/>
      <c r="BT47" s="892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896"/>
      <c r="CH47" s="896"/>
      <c r="CI47" s="428"/>
      <c r="CJ47" s="428"/>
      <c r="CK47" s="428"/>
      <c r="CL47" s="428"/>
    </row>
    <row r="48" spans="1:124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10</v>
      </c>
      <c r="G48" s="879" t="s">
        <v>883</v>
      </c>
      <c r="H48" s="879" t="s">
        <v>22</v>
      </c>
      <c r="I48" s="879" t="s">
        <v>891</v>
      </c>
      <c r="J48" s="908">
        <v>1</v>
      </c>
      <c r="K48" s="846">
        <v>2</v>
      </c>
      <c r="L48" s="816" t="str">
        <f t="shared" si="34"/>
        <v>L</v>
      </c>
      <c r="M48" s="816">
        <f t="shared" si="35"/>
        <v>3</v>
      </c>
      <c r="N48" s="816" t="str">
        <f t="shared" si="36"/>
        <v>O</v>
      </c>
      <c r="O48" s="816">
        <f t="shared" si="25"/>
        <v>0</v>
      </c>
      <c r="P48" s="829">
        <f t="shared" si="29"/>
        <v>-1</v>
      </c>
      <c r="Q48" s="830">
        <v>-0.02</v>
      </c>
      <c r="R48" s="871">
        <f t="shared" si="37"/>
        <v>-0.98</v>
      </c>
      <c r="S48" s="830">
        <v>2.5</v>
      </c>
      <c r="T48" s="871">
        <f t="shared" si="31"/>
        <v>0.5</v>
      </c>
      <c r="U48" s="868">
        <f t="shared" si="26"/>
        <v>1.24</v>
      </c>
      <c r="V48" s="868">
        <f t="shared" si="27"/>
        <v>1.26</v>
      </c>
      <c r="W48" s="829">
        <v>18</v>
      </c>
      <c r="X48" s="829">
        <v>11</v>
      </c>
      <c r="Y48" s="829">
        <v>2</v>
      </c>
      <c r="Z48" s="829">
        <v>5</v>
      </c>
      <c r="AA48" s="829">
        <v>57</v>
      </c>
      <c r="AB48" s="829">
        <v>43</v>
      </c>
      <c r="AC48" s="829"/>
      <c r="AD48" s="816" t="str">
        <f t="array" ref="AD48">IF($J48="","",IF(SUM(IF(ISNUMBER(VALUE(RIGHT($AG48:$EA48,1))),VALUE(RIGHT($AG48:$EA48,1)),0))=$J48,"T","F"))</f>
        <v>T</v>
      </c>
      <c r="AE48" s="831">
        <f t="array" ref="AE48">IF($J48="","",SUM(IF(LEFT($AG48:$EA48,1)="s",1,0))-SUM(IF(RIGHT(LEFT($AG48:$EA48,2))="-",1,0)))</f>
        <v>0</v>
      </c>
      <c r="AF48" s="816">
        <f t="array" ref="AF48">IF($J48="","",SUM(IF(LEFT($AG48:$EA48,1)="X",1,0)))</f>
        <v>11</v>
      </c>
      <c r="AG48" s="891" t="s">
        <v>32</v>
      </c>
      <c r="AH48" s="891" t="s">
        <v>34</v>
      </c>
      <c r="AI48" s="891" t="s">
        <v>1877</v>
      </c>
      <c r="AJ48" s="891" t="s">
        <v>2955</v>
      </c>
      <c r="AK48" s="891" t="s">
        <v>34</v>
      </c>
      <c r="AL48" s="904" t="s">
        <v>34</v>
      </c>
      <c r="AM48" s="891" t="s">
        <v>35</v>
      </c>
      <c r="AN48" s="891" t="s">
        <v>34</v>
      </c>
      <c r="AO48" s="891" t="s">
        <v>2959</v>
      </c>
      <c r="AP48" s="891" t="s">
        <v>35</v>
      </c>
      <c r="AQ48" s="910"/>
      <c r="AR48" s="904" t="s">
        <v>2964</v>
      </c>
      <c r="AS48" s="891" t="s">
        <v>32</v>
      </c>
      <c r="AT48" s="891" t="s">
        <v>1877</v>
      </c>
      <c r="AU48" s="891" t="s">
        <v>1877</v>
      </c>
      <c r="AV48" s="891" t="s">
        <v>36</v>
      </c>
      <c r="AW48" s="891" t="s">
        <v>32</v>
      </c>
      <c r="AX48" s="891" t="s">
        <v>34</v>
      </c>
      <c r="AY48" s="909" t="s">
        <v>34</v>
      </c>
      <c r="AZ48" s="891" t="s">
        <v>32</v>
      </c>
      <c r="BA48" s="891" t="s">
        <v>32</v>
      </c>
      <c r="BB48" s="891" t="s">
        <v>34</v>
      </c>
      <c r="BC48" s="891" t="s">
        <v>35</v>
      </c>
      <c r="BD48" s="891" t="s">
        <v>1877</v>
      </c>
      <c r="BE48" s="891" t="s">
        <v>32</v>
      </c>
      <c r="BF48" s="891" t="s">
        <v>2963</v>
      </c>
      <c r="BG48" s="891" t="s">
        <v>2962</v>
      </c>
      <c r="BH48" s="891"/>
      <c r="BI48" s="891"/>
      <c r="BJ48" s="891"/>
      <c r="BK48" s="891"/>
      <c r="BL48" s="891"/>
      <c r="BM48" s="891"/>
      <c r="BN48" s="891"/>
      <c r="BO48" s="891"/>
      <c r="BP48" s="896" t="s">
        <v>32</v>
      </c>
      <c r="BQ48" s="896" t="s">
        <v>32</v>
      </c>
      <c r="BR48" s="892" t="s">
        <v>32</v>
      </c>
      <c r="BS48" s="896" t="s">
        <v>32</v>
      </c>
      <c r="BT48" s="892" t="s">
        <v>32</v>
      </c>
      <c r="BU48" s="896" t="s">
        <v>32</v>
      </c>
      <c r="BV48" s="896" t="s">
        <v>32</v>
      </c>
      <c r="BW48" s="896" t="s">
        <v>32</v>
      </c>
      <c r="BX48" s="896" t="s">
        <v>32</v>
      </c>
      <c r="BY48" s="896" t="s">
        <v>32</v>
      </c>
      <c r="BZ48" s="896"/>
      <c r="CA48" s="896"/>
      <c r="CB48" s="896"/>
      <c r="CC48" s="896"/>
      <c r="CD48" s="896"/>
      <c r="CE48" s="896"/>
      <c r="CF48" s="896"/>
      <c r="CG48" s="896"/>
      <c r="CH48" s="896"/>
      <c r="CI48" s="428"/>
      <c r="CJ48" s="428"/>
      <c r="CK48" s="428"/>
      <c r="CL48" s="428"/>
    </row>
    <row r="49" spans="1:90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21</v>
      </c>
      <c r="G49" s="879" t="s">
        <v>890</v>
      </c>
      <c r="H49" s="879" t="s">
        <v>22</v>
      </c>
      <c r="I49" s="879" t="s">
        <v>891</v>
      </c>
      <c r="J49" s="846">
        <v>1</v>
      </c>
      <c r="K49" s="846">
        <v>2</v>
      </c>
      <c r="L49" s="816" t="str">
        <f t="shared" si="34"/>
        <v>L</v>
      </c>
      <c r="M49" s="816">
        <f t="shared" si="35"/>
        <v>3</v>
      </c>
      <c r="N49" s="816" t="str">
        <f t="shared" si="36"/>
        <v>O</v>
      </c>
      <c r="O49" s="816">
        <f t="shared" si="25"/>
        <v>-0.5</v>
      </c>
      <c r="P49" s="829">
        <f t="shared" si="29"/>
        <v>-1</v>
      </c>
      <c r="Q49" s="830">
        <v>0.68</v>
      </c>
      <c r="R49" s="871">
        <f t="shared" si="37"/>
        <v>-1.6800000000000002</v>
      </c>
      <c r="S49" s="830">
        <v>2.5299999999999998</v>
      </c>
      <c r="T49" s="871">
        <f t="shared" si="31"/>
        <v>0.4700000000000002</v>
      </c>
      <c r="U49" s="868">
        <f t="shared" si="26"/>
        <v>1.605</v>
      </c>
      <c r="V49" s="868">
        <f t="shared" si="27"/>
        <v>0.92499999999999982</v>
      </c>
      <c r="W49" s="829">
        <v>9</v>
      </c>
      <c r="X49" s="829">
        <v>12</v>
      </c>
      <c r="Y49" s="829">
        <v>3</v>
      </c>
      <c r="Z49" s="829">
        <v>3</v>
      </c>
      <c r="AA49" s="829">
        <v>50</v>
      </c>
      <c r="AB49" s="829">
        <v>50</v>
      </c>
      <c r="AC49" s="829"/>
      <c r="AD49" s="816" t="str">
        <f t="array" ref="AD49">IF($J49="","",IF(SUM(IF(ISNUMBER(VALUE(RIGHT($AG49:$EA49,1))),VALUE(RIGHT($AG49:$EA49,1)),0))=$J49,"T","F"))</f>
        <v>T</v>
      </c>
      <c r="AE49" s="831">
        <f t="array" ref="AE49">IF($J49="","",SUM(IF(LEFT($AG49:$EA49,1)="s",1,0))-SUM(IF(RIGHT(LEFT($AG49:$EA49,2))="-",1,0)))</f>
        <v>0</v>
      </c>
      <c r="AF49" s="816">
        <f t="array" ref="AF49">IF($J49="","",SUM(IF(LEFT($AG49:$EA49,1)="X",1,0)))</f>
        <v>11</v>
      </c>
      <c r="AG49" s="891" t="s">
        <v>3019</v>
      </c>
      <c r="AH49" s="891" t="s">
        <v>34</v>
      </c>
      <c r="AI49" s="891" t="s">
        <v>1877</v>
      </c>
      <c r="AJ49" s="904" t="s">
        <v>34</v>
      </c>
      <c r="AK49" s="891" t="s">
        <v>34</v>
      </c>
      <c r="AL49" s="891" t="s">
        <v>34</v>
      </c>
      <c r="AM49" s="891" t="s">
        <v>1877</v>
      </c>
      <c r="AN49" s="891" t="s">
        <v>34</v>
      </c>
      <c r="AO49" s="891" t="s">
        <v>32</v>
      </c>
      <c r="AP49" s="891" t="s">
        <v>35</v>
      </c>
      <c r="AQ49" s="910"/>
      <c r="AR49" s="891" t="s">
        <v>34</v>
      </c>
      <c r="AS49" s="891" t="s">
        <v>32</v>
      </c>
      <c r="AT49" s="891" t="s">
        <v>1877</v>
      </c>
      <c r="AU49" s="891" t="s">
        <v>36</v>
      </c>
      <c r="AV49" s="891" t="s">
        <v>36</v>
      </c>
      <c r="AW49" s="891" t="s">
        <v>32</v>
      </c>
      <c r="AX49" s="891" t="s">
        <v>32</v>
      </c>
      <c r="AY49" s="891" t="s">
        <v>3026</v>
      </c>
      <c r="AZ49" s="891" t="s">
        <v>32</v>
      </c>
      <c r="BA49" s="891" t="s">
        <v>1877</v>
      </c>
      <c r="BB49" s="891" t="s">
        <v>34</v>
      </c>
      <c r="BC49" s="904" t="s">
        <v>35</v>
      </c>
      <c r="BD49" s="891" t="s">
        <v>36</v>
      </c>
      <c r="BE49" s="891" t="s">
        <v>32</v>
      </c>
      <c r="BF49" s="904" t="s">
        <v>3017</v>
      </c>
      <c r="BG49" s="891" t="s">
        <v>35</v>
      </c>
      <c r="BH49" s="891" t="s">
        <v>32</v>
      </c>
      <c r="BI49" s="891"/>
      <c r="BJ49" s="891"/>
      <c r="BK49" s="891"/>
      <c r="BL49" s="891"/>
      <c r="BM49" s="891"/>
      <c r="BN49" s="891"/>
      <c r="BO49" s="891"/>
      <c r="BP49" s="896"/>
      <c r="BQ49" s="896"/>
      <c r="BR49" s="892"/>
      <c r="BS49" s="896"/>
      <c r="BT49" s="892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896"/>
      <c r="CF49" s="896"/>
      <c r="CG49" s="896"/>
      <c r="CH49" s="896"/>
      <c r="CI49" s="428"/>
      <c r="CJ49" s="428"/>
      <c r="CK49" s="428"/>
      <c r="CL49" s="428"/>
    </row>
    <row r="50" spans="1:90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6</v>
      </c>
      <c r="G50" s="879" t="s">
        <v>876</v>
      </c>
      <c r="H50" s="879" t="s">
        <v>18</v>
      </c>
      <c r="I50" s="879" t="s">
        <v>891</v>
      </c>
      <c r="J50" s="846">
        <v>1</v>
      </c>
      <c r="K50" s="846">
        <v>2</v>
      </c>
      <c r="L50" s="816" t="str">
        <f t="shared" si="34"/>
        <v>L</v>
      </c>
      <c r="M50" s="816">
        <f t="shared" si="35"/>
        <v>3</v>
      </c>
      <c r="N50" s="816" t="str">
        <f t="shared" si="36"/>
        <v>O</v>
      </c>
      <c r="O50" s="816">
        <f t="shared" si="25"/>
        <v>0.75</v>
      </c>
      <c r="P50" s="829">
        <f t="shared" si="29"/>
        <v>-0.5</v>
      </c>
      <c r="Q50" s="830">
        <v>-0.88</v>
      </c>
      <c r="R50" s="871">
        <f t="shared" si="37"/>
        <v>-0.12</v>
      </c>
      <c r="S50" s="830">
        <v>2.98</v>
      </c>
      <c r="T50" s="871">
        <f t="shared" si="31"/>
        <v>2.0000000000000018E-2</v>
      </c>
      <c r="U50" s="868">
        <f t="shared" si="26"/>
        <v>1.05</v>
      </c>
      <c r="V50" s="868">
        <f t="shared" si="27"/>
        <v>1.93</v>
      </c>
      <c r="W50" s="829">
        <v>6</v>
      </c>
      <c r="X50" s="829">
        <v>25</v>
      </c>
      <c r="Y50" s="829">
        <v>2</v>
      </c>
      <c r="Z50" s="829">
        <v>4</v>
      </c>
      <c r="AA50" s="829">
        <v>36</v>
      </c>
      <c r="AB50" s="829">
        <v>64</v>
      </c>
      <c r="AC50" s="829"/>
      <c r="AD50" s="816" t="str">
        <f t="array" ref="AD50">IF($J50="","",IF(SUM(IF(ISNUMBER(VALUE(RIGHT($AG50:$EA50,1))),VALUE(RIGHT($AG50:$EA50,1)),0))=$J50,"T","F"))</f>
        <v>T</v>
      </c>
      <c r="AE50" s="831">
        <f t="array" ref="AE50">IF($J50="","",SUM(IF(LEFT($AG50:$EA50,1)="s",1,0))-SUM(IF(RIGHT(LEFT($AG50:$EA50,2))="-",1,0)))</f>
        <v>0</v>
      </c>
      <c r="AF50" s="816">
        <f t="array" ref="AF50">IF($J50="","",SUM(IF(LEFT($AG50:$EA50,1)="X",1,0)))</f>
        <v>11</v>
      </c>
      <c r="AG50" s="891" t="s">
        <v>2990</v>
      </c>
      <c r="AH50" s="891" t="s">
        <v>1877</v>
      </c>
      <c r="AI50" s="891" t="s">
        <v>34</v>
      </c>
      <c r="AJ50" s="891" t="s">
        <v>34</v>
      </c>
      <c r="AK50" s="891" t="s">
        <v>1877</v>
      </c>
      <c r="AL50" s="891" t="s">
        <v>34</v>
      </c>
      <c r="AM50" s="891" t="s">
        <v>35</v>
      </c>
      <c r="AN50" s="891" t="s">
        <v>32</v>
      </c>
      <c r="AO50" s="891" t="s">
        <v>32</v>
      </c>
      <c r="AP50" s="891" t="s">
        <v>34</v>
      </c>
      <c r="AQ50" s="910"/>
      <c r="AR50" s="891" t="s">
        <v>34</v>
      </c>
      <c r="AS50" s="891" t="s">
        <v>1877</v>
      </c>
      <c r="AT50" s="891" t="s">
        <v>32</v>
      </c>
      <c r="AU50" s="891" t="s">
        <v>35</v>
      </c>
      <c r="AV50" s="891" t="s">
        <v>34</v>
      </c>
      <c r="AW50" s="891" t="s">
        <v>32</v>
      </c>
      <c r="AX50" s="891" t="s">
        <v>32</v>
      </c>
      <c r="AY50" s="891" t="s">
        <v>36</v>
      </c>
      <c r="AZ50" s="891" t="s">
        <v>1877</v>
      </c>
      <c r="BA50" s="891" t="s">
        <v>32</v>
      </c>
      <c r="BB50" s="891" t="s">
        <v>34</v>
      </c>
      <c r="BC50" s="904" t="s">
        <v>3064</v>
      </c>
      <c r="BD50" s="891" t="s">
        <v>34</v>
      </c>
      <c r="BE50" s="891" t="s">
        <v>32</v>
      </c>
      <c r="BF50" s="904" t="s">
        <v>35</v>
      </c>
      <c r="BG50" s="891" t="s">
        <v>36</v>
      </c>
      <c r="BH50" s="891"/>
      <c r="BI50" s="891"/>
      <c r="BJ50" s="891"/>
      <c r="BK50" s="891"/>
      <c r="BL50" s="891"/>
      <c r="BM50" s="891"/>
      <c r="BN50" s="891"/>
      <c r="BO50" s="891"/>
      <c r="BP50" s="896"/>
      <c r="BQ50" s="896"/>
      <c r="BR50" s="892"/>
      <c r="BS50" s="896"/>
      <c r="BT50" s="892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896"/>
      <c r="CH50" s="896"/>
      <c r="CI50" s="428"/>
      <c r="CJ50" s="428"/>
      <c r="CK50" s="428"/>
      <c r="CL50" s="428"/>
    </row>
    <row r="51" spans="1:90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22</v>
      </c>
      <c r="G51" s="879" t="s">
        <v>1087</v>
      </c>
      <c r="H51" s="879" t="s">
        <v>22</v>
      </c>
      <c r="I51" s="879" t="s">
        <v>891</v>
      </c>
      <c r="J51" s="846">
        <v>3</v>
      </c>
      <c r="K51" s="846">
        <v>2</v>
      </c>
      <c r="L51" s="816" t="str">
        <f t="shared" si="34"/>
        <v>W</v>
      </c>
      <c r="M51" s="816">
        <f t="shared" si="35"/>
        <v>5</v>
      </c>
      <c r="N51" s="816" t="str">
        <f t="shared" si="36"/>
        <v>O</v>
      </c>
      <c r="O51" s="816">
        <f t="shared" si="25"/>
        <v>-0.5</v>
      </c>
      <c r="P51" s="829">
        <f t="shared" si="29"/>
        <v>1</v>
      </c>
      <c r="Q51" s="830">
        <v>0.55000000000000004</v>
      </c>
      <c r="R51" s="871">
        <f t="shared" si="37"/>
        <v>0.44999999999999996</v>
      </c>
      <c r="S51" s="830">
        <v>2.7</v>
      </c>
      <c r="T51" s="871">
        <f t="shared" si="31"/>
        <v>2.2999999999999998</v>
      </c>
      <c r="U51" s="868">
        <f t="shared" si="26"/>
        <v>1.625</v>
      </c>
      <c r="V51" s="868">
        <f t="shared" si="27"/>
        <v>1.0750000000000002</v>
      </c>
      <c r="W51" s="829">
        <v>13</v>
      </c>
      <c r="X51" s="829">
        <v>10</v>
      </c>
      <c r="Y51" s="829">
        <v>6</v>
      </c>
      <c r="Z51" s="829">
        <v>6</v>
      </c>
      <c r="AA51" s="816">
        <v>57</v>
      </c>
      <c r="AB51" s="829">
        <v>43</v>
      </c>
      <c r="AC51" s="829"/>
      <c r="AD51" s="816" t="str">
        <f t="array" ref="AD51">IF($J51="","",IF(SUM(IF(ISNUMBER(VALUE(RIGHT($AG51:$EA51,1))),VALUE(RIGHT($AG51:$EA51,1)),0))=$J51,"T","F"))</f>
        <v>T</v>
      </c>
      <c r="AE51" s="831">
        <f t="array" ref="AE51">IF($J51="","",SUM(IF(LEFT($AG51:$EA51,1)="s",1,0))-SUM(IF(RIGHT(LEFT($AG51:$EA51,2))="-",1,0)))</f>
        <v>0</v>
      </c>
      <c r="AF51" s="816">
        <f t="array" ref="AF51">IF($J51="","",SUM(IF(LEFT($AG51:$EA51,1)="X",1,0)))</f>
        <v>11</v>
      </c>
      <c r="AG51" s="891" t="s">
        <v>2990</v>
      </c>
      <c r="AH51" s="891" t="s">
        <v>1877</v>
      </c>
      <c r="AI51" s="891" t="s">
        <v>34</v>
      </c>
      <c r="AJ51" s="904" t="s">
        <v>34</v>
      </c>
      <c r="AK51" s="891" t="s">
        <v>1877</v>
      </c>
      <c r="AL51" s="904" t="s">
        <v>34</v>
      </c>
      <c r="AM51" s="891" t="s">
        <v>32</v>
      </c>
      <c r="AN51" s="891" t="s">
        <v>32</v>
      </c>
      <c r="AO51" s="891" t="s">
        <v>1877</v>
      </c>
      <c r="AP51" s="891" t="s">
        <v>34</v>
      </c>
      <c r="AQ51" s="891"/>
      <c r="AR51" s="904" t="s">
        <v>34</v>
      </c>
      <c r="AS51" s="891" t="s">
        <v>34</v>
      </c>
      <c r="AT51" s="891" t="s">
        <v>32</v>
      </c>
      <c r="AU51" s="891" t="s">
        <v>36</v>
      </c>
      <c r="AV51" s="891" t="s">
        <v>34</v>
      </c>
      <c r="AW51" s="891" t="s">
        <v>32</v>
      </c>
      <c r="AX51" s="891" t="s">
        <v>32</v>
      </c>
      <c r="AY51" s="891" t="s">
        <v>35</v>
      </c>
      <c r="AZ51" s="891" t="s">
        <v>36</v>
      </c>
      <c r="BA51" s="891" t="s">
        <v>32</v>
      </c>
      <c r="BB51" s="891" t="s">
        <v>3082</v>
      </c>
      <c r="BC51" s="891" t="s">
        <v>3081</v>
      </c>
      <c r="BD51" s="891" t="s">
        <v>34</v>
      </c>
      <c r="BE51" s="891" t="s">
        <v>32</v>
      </c>
      <c r="BF51" s="891" t="s">
        <v>3096</v>
      </c>
      <c r="BG51" s="891" t="s">
        <v>1877</v>
      </c>
      <c r="BH51" s="891" t="s">
        <v>36</v>
      </c>
      <c r="BI51" s="891"/>
      <c r="BJ51" s="891"/>
      <c r="BK51" s="891"/>
      <c r="BL51" s="891"/>
      <c r="BM51" s="891"/>
      <c r="BN51" s="891"/>
      <c r="BO51" s="891"/>
      <c r="BP51" s="896"/>
      <c r="BQ51" s="896"/>
      <c r="BR51" s="892"/>
      <c r="BS51" s="896"/>
      <c r="BT51" s="892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896"/>
      <c r="CH51" s="896"/>
      <c r="CI51" s="428"/>
      <c r="CJ51" s="428"/>
      <c r="CK51" s="428"/>
      <c r="CL51" s="428"/>
    </row>
    <row r="52" spans="1:90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7</v>
      </c>
      <c r="G52" s="879" t="s">
        <v>888</v>
      </c>
      <c r="H52" s="879" t="s">
        <v>18</v>
      </c>
      <c r="I52" s="879" t="s">
        <v>891</v>
      </c>
      <c r="J52" s="846">
        <v>0</v>
      </c>
      <c r="K52" s="846">
        <v>5</v>
      </c>
      <c r="L52" s="816" t="str">
        <f t="shared" si="34"/>
        <v>L</v>
      </c>
      <c r="M52" s="816">
        <f t="shared" si="35"/>
        <v>5</v>
      </c>
      <c r="N52" s="816" t="str">
        <f t="shared" si="36"/>
        <v>O</v>
      </c>
      <c r="O52" s="816">
        <f t="shared" si="25"/>
        <v>0.75</v>
      </c>
      <c r="P52" s="829">
        <f t="shared" si="29"/>
        <v>-1</v>
      </c>
      <c r="Q52" s="830">
        <v>-0.78</v>
      </c>
      <c r="R52" s="871">
        <f t="shared" si="37"/>
        <v>-4.22</v>
      </c>
      <c r="S52" s="830">
        <v>2.83</v>
      </c>
      <c r="T52" s="871">
        <f t="shared" si="31"/>
        <v>2.17</v>
      </c>
      <c r="U52" s="868">
        <f t="shared" si="26"/>
        <v>1.0249999999999999</v>
      </c>
      <c r="V52" s="868">
        <f t="shared" si="27"/>
        <v>1.8050000000000002</v>
      </c>
      <c r="W52" s="829">
        <v>6</v>
      </c>
      <c r="X52" s="829">
        <v>19</v>
      </c>
      <c r="Y52" s="829">
        <v>1</v>
      </c>
      <c r="Z52" s="829">
        <v>8</v>
      </c>
      <c r="AA52" s="829">
        <v>40</v>
      </c>
      <c r="AB52" s="829">
        <v>60</v>
      </c>
      <c r="AC52" s="829"/>
      <c r="AD52" s="816" t="str">
        <f t="array" ref="AD52">IF($J52="","",IF(SUM(IF(ISNUMBER(VALUE(RIGHT($AG52:$EA52,1))),VALUE(RIGHT($AG52:$EA52,1)),0))=$J52,"T","F"))</f>
        <v>T</v>
      </c>
      <c r="AE52" s="831">
        <f t="array" ref="AE52">IF($J52="","",SUM(IF(LEFT($AG52:$EA52,1)="s",1,0))-SUM(IF(RIGHT(LEFT($AG52:$EA52,2))="-",1,0)))</f>
        <v>0</v>
      </c>
      <c r="AF52" s="816">
        <f t="array" ref="AF52">IF($J52="","",SUM(IF(LEFT($AG52:$EA52,1)="X",1,0)))</f>
        <v>11</v>
      </c>
      <c r="AG52" s="891" t="s">
        <v>3135</v>
      </c>
      <c r="AH52" s="891" t="s">
        <v>1877</v>
      </c>
      <c r="AI52" s="891" t="s">
        <v>34</v>
      </c>
      <c r="AJ52" s="891" t="s">
        <v>32</v>
      </c>
      <c r="AK52" s="904" t="s">
        <v>34</v>
      </c>
      <c r="AL52" s="891" t="s">
        <v>3119</v>
      </c>
      <c r="AM52" s="904" t="s">
        <v>34</v>
      </c>
      <c r="AN52" s="891" t="s">
        <v>32</v>
      </c>
      <c r="AO52" s="891" t="s">
        <v>1877</v>
      </c>
      <c r="AP52" s="891" t="s">
        <v>34</v>
      </c>
      <c r="AQ52" s="891"/>
      <c r="AR52" s="891" t="s">
        <v>34</v>
      </c>
      <c r="AS52" s="891" t="s">
        <v>34</v>
      </c>
      <c r="AT52" s="891" t="s">
        <v>32</v>
      </c>
      <c r="AU52" s="891" t="s">
        <v>36</v>
      </c>
      <c r="AV52" s="891" t="s">
        <v>36</v>
      </c>
      <c r="AW52" s="891" t="s">
        <v>32</v>
      </c>
      <c r="AX52" s="891" t="s">
        <v>36</v>
      </c>
      <c r="AY52" s="904" t="s">
        <v>34</v>
      </c>
      <c r="AZ52" s="904" t="s">
        <v>35</v>
      </c>
      <c r="BA52" s="891" t="s">
        <v>32</v>
      </c>
      <c r="BB52" s="891" t="s">
        <v>35</v>
      </c>
      <c r="BC52" s="891" t="s">
        <v>1877</v>
      </c>
      <c r="BD52" s="904" t="s">
        <v>35</v>
      </c>
      <c r="BE52" s="891" t="s">
        <v>32</v>
      </c>
      <c r="BF52" s="891" t="s">
        <v>34</v>
      </c>
      <c r="BG52" s="891" t="s">
        <v>32</v>
      </c>
      <c r="BH52" s="891" t="s">
        <v>32</v>
      </c>
      <c r="BI52" s="891"/>
      <c r="BJ52" s="891"/>
      <c r="BK52" s="891"/>
      <c r="BL52" s="891"/>
      <c r="BM52" s="891"/>
      <c r="BN52" s="891"/>
      <c r="BO52" s="891"/>
      <c r="BP52" s="896"/>
      <c r="BQ52" s="896"/>
      <c r="BR52" s="892"/>
      <c r="BS52" s="896"/>
      <c r="BT52" s="892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896"/>
      <c r="CH52" s="896"/>
      <c r="CI52" s="428"/>
      <c r="CJ52" s="428"/>
      <c r="CK52" s="428"/>
      <c r="CL52" s="428"/>
    </row>
    <row r="53" spans="1:90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9</v>
      </c>
      <c r="G53" s="879" t="s">
        <v>1083</v>
      </c>
      <c r="H53" s="879" t="s">
        <v>22</v>
      </c>
      <c r="I53" s="879" t="s">
        <v>891</v>
      </c>
      <c r="J53" s="846">
        <v>2</v>
      </c>
      <c r="K53" s="846">
        <v>3</v>
      </c>
      <c r="L53" s="816" t="str">
        <f t="shared" si="34"/>
        <v>L</v>
      </c>
      <c r="M53" s="816">
        <f t="shared" si="35"/>
        <v>5</v>
      </c>
      <c r="N53" s="816" t="str">
        <f t="shared" si="36"/>
        <v>O</v>
      </c>
      <c r="O53" s="816">
        <f t="shared" si="25"/>
        <v>0</v>
      </c>
      <c r="P53" s="829">
        <f t="shared" si="29"/>
        <v>-1</v>
      </c>
      <c r="Q53" s="830">
        <v>-0.13</v>
      </c>
      <c r="R53" s="871">
        <f t="shared" si="37"/>
        <v>-0.87</v>
      </c>
      <c r="S53" s="830">
        <v>2.61</v>
      </c>
      <c r="T53" s="871">
        <f t="shared" si="31"/>
        <v>2.39</v>
      </c>
      <c r="U53" s="868">
        <f t="shared" si="26"/>
        <v>1.24</v>
      </c>
      <c r="V53" s="868">
        <f t="shared" si="27"/>
        <v>1.3699999999999999</v>
      </c>
      <c r="W53" s="829">
        <v>13</v>
      </c>
      <c r="X53" s="829">
        <v>15</v>
      </c>
      <c r="Y53" s="829">
        <v>5</v>
      </c>
      <c r="Z53" s="829">
        <v>5</v>
      </c>
      <c r="AA53" s="829">
        <v>51</v>
      </c>
      <c r="AB53" s="829">
        <v>49</v>
      </c>
      <c r="AC53" s="829"/>
      <c r="AD53" s="816" t="str">
        <f t="array" ref="AD53">IF($J53="","",IF(SUM(IF(ISNUMBER(VALUE(RIGHT($AG53:$EA53,1))),VALUE(RIGHT($AG53:$EA53,1)),0))=$J53,"T","F"))</f>
        <v>T</v>
      </c>
      <c r="AE53" s="831">
        <f t="array" ref="AE53">IF($J53="","",SUM(IF(LEFT($AG53:$EA53,1)="s",1,0))-SUM(IF(RIGHT(LEFT($AG53:$EA53,2))="-",1,0)))</f>
        <v>0</v>
      </c>
      <c r="AF53" s="816">
        <f t="array" ref="AF53">IF($J53="","",SUM(IF(LEFT($AG53:$EA53,1)="X",1,0)))</f>
        <v>11</v>
      </c>
      <c r="AG53" s="891" t="s">
        <v>3158</v>
      </c>
      <c r="AH53" s="891" t="s">
        <v>1877</v>
      </c>
      <c r="AI53" s="891" t="s">
        <v>34</v>
      </c>
      <c r="AJ53" s="891" t="s">
        <v>34</v>
      </c>
      <c r="AK53" s="891" t="s">
        <v>3157</v>
      </c>
      <c r="AL53" s="891" t="s">
        <v>3147</v>
      </c>
      <c r="AM53" s="891" t="s">
        <v>34</v>
      </c>
      <c r="AN53" s="891" t="s">
        <v>32</v>
      </c>
      <c r="AO53" s="891" t="s">
        <v>34</v>
      </c>
      <c r="AP53" s="891" t="s">
        <v>34</v>
      </c>
      <c r="AQ53" s="891"/>
      <c r="AR53" s="891" t="s">
        <v>35</v>
      </c>
      <c r="AS53" s="891" t="s">
        <v>32</v>
      </c>
      <c r="AT53" s="891" t="s">
        <v>32</v>
      </c>
      <c r="AU53" s="891" t="s">
        <v>1877</v>
      </c>
      <c r="AV53" s="891" t="s">
        <v>36</v>
      </c>
      <c r="AW53" s="891" t="s">
        <v>32</v>
      </c>
      <c r="AX53" s="904" t="s">
        <v>36</v>
      </c>
      <c r="AY53" s="891" t="s">
        <v>34</v>
      </c>
      <c r="AZ53" s="891" t="s">
        <v>1877</v>
      </c>
      <c r="BA53" s="891" t="s">
        <v>32</v>
      </c>
      <c r="BB53" s="891" t="s">
        <v>36</v>
      </c>
      <c r="BC53" s="904" t="s">
        <v>35</v>
      </c>
      <c r="BD53" s="891" t="s">
        <v>34</v>
      </c>
      <c r="BE53" s="891" t="s">
        <v>32</v>
      </c>
      <c r="BF53" s="891" t="s">
        <v>3145</v>
      </c>
      <c r="BG53" s="891" t="s">
        <v>32</v>
      </c>
      <c r="BH53" s="891" t="s">
        <v>32</v>
      </c>
      <c r="BI53" s="891"/>
      <c r="BJ53" s="891"/>
      <c r="BK53" s="891"/>
      <c r="BL53" s="891"/>
      <c r="BM53" s="891"/>
      <c r="BN53" s="891"/>
      <c r="BO53" s="891"/>
      <c r="BP53" s="896"/>
      <c r="BQ53" s="896"/>
      <c r="BR53" s="892"/>
      <c r="BS53" s="896"/>
      <c r="BT53" s="892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896"/>
      <c r="CH53" s="896"/>
      <c r="CI53" s="428"/>
      <c r="CJ53" s="428"/>
      <c r="CK53" s="428"/>
      <c r="CL53" s="428"/>
    </row>
    <row r="54" spans="1:90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12</v>
      </c>
      <c r="G54" s="879" t="s">
        <v>879</v>
      </c>
      <c r="H54" s="879" t="s">
        <v>18</v>
      </c>
      <c r="I54" s="879" t="s">
        <v>891</v>
      </c>
      <c r="J54" s="846">
        <v>2</v>
      </c>
      <c r="K54" s="846">
        <v>1</v>
      </c>
      <c r="L54" s="816" t="str">
        <f t="shared" si="34"/>
        <v>W</v>
      </c>
      <c r="M54" s="816">
        <f t="shared" si="35"/>
        <v>3</v>
      </c>
      <c r="N54" s="816" t="str">
        <f t="shared" si="36"/>
        <v>O</v>
      </c>
      <c r="O54" s="816">
        <f t="shared" ref="O54" si="45">IF(Q54="","",IF(SIGN(Q54)&lt;&gt;1,VLOOKUP(ABS(Q54),SUP_HDC,3,TRUE),-VLOOKUP(ABS(Q54),SUP_HDC,3,TRUE)))</f>
        <v>0.5</v>
      </c>
      <c r="P54" s="829">
        <f t="shared" ref="P54" si="46">IF(O54="","",IF((J54-K54+O54)&gt;=0.5,1,IF((J54-K54+O54)=0.25,0.5,IF((J54-K54+O54)&lt;=-0.5,-1,IF((J54-K54+O54)=-0.25,-0.5,0)))))</f>
        <v>1</v>
      </c>
      <c r="Q54" s="830">
        <v>-0.53</v>
      </c>
      <c r="R54" s="871">
        <f t="shared" si="37"/>
        <v>1.53</v>
      </c>
      <c r="S54" s="830">
        <v>2.6</v>
      </c>
      <c r="T54" s="871">
        <f t="shared" ref="T54" si="47">IF(ISBLANK(S54),"",J54+K54-S54)</f>
        <v>0.39999999999999991</v>
      </c>
      <c r="U54" s="868">
        <f t="shared" ref="U54" si="48">IF(Q54="","",(Q54+S54)/2)</f>
        <v>1.0350000000000001</v>
      </c>
      <c r="V54" s="868">
        <f t="shared" ref="V54" si="49">IF(Q54="","",S54-U54)</f>
        <v>1.5649999999999999</v>
      </c>
      <c r="W54" s="829">
        <v>10</v>
      </c>
      <c r="X54" s="829">
        <v>27</v>
      </c>
      <c r="Y54" s="829">
        <v>4</v>
      </c>
      <c r="Z54" s="829">
        <v>8</v>
      </c>
      <c r="AA54" s="829">
        <v>38</v>
      </c>
      <c r="AB54" s="829">
        <v>62</v>
      </c>
      <c r="AC54" s="829"/>
      <c r="AD54" s="816" t="str">
        <f t="array" ref="AD54">IF($J54="","",IF(SUM(IF(ISNUMBER(VALUE(RIGHT($AG54:$EA54,1))),VALUE(RIGHT($AG54:$EA54,1)),0))=$J54,"T","F"))</f>
        <v>T</v>
      </c>
      <c r="AE54" s="831">
        <f t="array" ref="AE54">IF($J54="","",SUM(IF(LEFT($AG54:$EA54,1)="s",1,0))-SUM(IF(RIGHT(LEFT($AG54:$EA54,2))="-",1,0)))</f>
        <v>0</v>
      </c>
      <c r="AF54" s="816">
        <f t="array" ref="AF54">IF($J54="","",SUM(IF(LEFT($AG54:$EA54,1)="X",1,0)))</f>
        <v>11</v>
      </c>
      <c r="AG54" s="891" t="s">
        <v>2990</v>
      </c>
      <c r="AH54" s="891"/>
      <c r="AI54" s="891" t="s">
        <v>34</v>
      </c>
      <c r="AJ54" s="891" t="s">
        <v>34</v>
      </c>
      <c r="AK54" s="891" t="s">
        <v>3185</v>
      </c>
      <c r="AL54" s="891" t="s">
        <v>34</v>
      </c>
      <c r="AM54" s="891" t="s">
        <v>32</v>
      </c>
      <c r="AN54" s="891" t="s">
        <v>32</v>
      </c>
      <c r="AO54" s="904" t="s">
        <v>3184</v>
      </c>
      <c r="AP54" s="891" t="s">
        <v>32</v>
      </c>
      <c r="AQ54" s="891" t="s">
        <v>3184</v>
      </c>
      <c r="AR54" s="891" t="s">
        <v>32</v>
      </c>
      <c r="AS54" s="891" t="s">
        <v>35</v>
      </c>
      <c r="AT54" s="891" t="s">
        <v>36</v>
      </c>
      <c r="AU54" s="891" t="s">
        <v>32</v>
      </c>
      <c r="AV54" s="891" t="s">
        <v>1877</v>
      </c>
      <c r="AW54" s="891" t="s">
        <v>32</v>
      </c>
      <c r="AX54" s="904" t="s">
        <v>34</v>
      </c>
      <c r="AY54" s="891" t="s">
        <v>3172</v>
      </c>
      <c r="AZ54" s="891" t="s">
        <v>1877</v>
      </c>
      <c r="BA54" s="891" t="s">
        <v>32</v>
      </c>
      <c r="BB54" s="891" t="s">
        <v>36</v>
      </c>
      <c r="BC54" s="891" t="s">
        <v>35</v>
      </c>
      <c r="BD54" s="891" t="s">
        <v>36</v>
      </c>
      <c r="BE54" s="891" t="s">
        <v>1877</v>
      </c>
      <c r="BF54" s="891" t="s">
        <v>34</v>
      </c>
      <c r="BG54" s="891"/>
      <c r="BH54" s="891"/>
      <c r="BI54" s="891"/>
      <c r="BJ54" s="891"/>
      <c r="BK54" s="891"/>
      <c r="BL54" s="891"/>
      <c r="BM54" s="891"/>
      <c r="BN54" s="891"/>
      <c r="BO54" s="891"/>
      <c r="BP54" s="896"/>
      <c r="BQ54" s="896"/>
      <c r="BR54" s="892"/>
      <c r="BS54" s="896"/>
      <c r="BT54" s="892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896"/>
      <c r="CH54" s="896"/>
      <c r="CI54" s="428"/>
      <c r="CJ54" s="428"/>
      <c r="CK54" s="428"/>
      <c r="CL54" s="428"/>
    </row>
    <row r="55" spans="1:90" ht="15">
      <c r="A55" s="882">
        <v>6462</v>
      </c>
      <c r="B55" s="884"/>
      <c r="C55" s="884"/>
      <c r="D55" s="884"/>
      <c r="E55" s="884"/>
      <c r="F55" s="884">
        <f ca="1">IF(I55="","",IF(I55=Table!$C$1,VLOOKUP(G55,Table!$B$9:$AE$32,Table!$AE$6-1,FALSE),""))</f>
        <v>1</v>
      </c>
      <c r="G55" s="879" t="s">
        <v>1086</v>
      </c>
      <c r="H55" s="879" t="s">
        <v>22</v>
      </c>
      <c r="I55" s="879" t="s">
        <v>891</v>
      </c>
      <c r="J55" s="846">
        <v>3</v>
      </c>
      <c r="K55" s="846">
        <v>5</v>
      </c>
      <c r="L55" s="816" t="str">
        <f t="shared" si="34"/>
        <v>L</v>
      </c>
      <c r="M55" s="816">
        <f t="shared" si="35"/>
        <v>8</v>
      </c>
      <c r="N55" s="816" t="str">
        <f t="shared" si="36"/>
        <v>O</v>
      </c>
      <c r="O55" s="816">
        <f t="shared" ref="O55" si="50">IF(Q55="","",IF(SIGN(Q55)&lt;&gt;1,VLOOKUP(ABS(Q55),SUP_HDC,3,TRUE),-VLOOKUP(ABS(Q55),SUP_HDC,3,TRUE)))</f>
        <v>0.5</v>
      </c>
      <c r="P55" s="829">
        <f t="shared" ref="P55" si="51">IF(O55="","",IF((J55-K55+O55)&gt;=0.5,1,IF((J55-K55+O55)=0.25,0.5,IF((J55-K55+O55)&lt;=-0.5,-1,IF((J55-K55+O55)=-0.25,-0.5,0)))))</f>
        <v>-1</v>
      </c>
      <c r="Q55" s="830">
        <v>-0.53</v>
      </c>
      <c r="R55" s="871">
        <f t="shared" si="37"/>
        <v>-1.47</v>
      </c>
      <c r="S55" s="830">
        <v>2.5299999999999998</v>
      </c>
      <c r="T55" s="871">
        <f t="shared" ref="T55" si="52">IF(ISBLANK(S55),"",J55+K55-S55)</f>
        <v>5.4700000000000006</v>
      </c>
      <c r="U55" s="868">
        <f t="shared" ref="U55" si="53">IF(Q55="","",(Q55+S55)/2)</f>
        <v>0.99999999999999989</v>
      </c>
      <c r="V55" s="868">
        <f t="shared" ref="V55" si="54">IF(Q55="","",S55-U55)</f>
        <v>1.5299999999999998</v>
      </c>
      <c r="W55" s="829">
        <v>14</v>
      </c>
      <c r="X55" s="829">
        <v>10</v>
      </c>
      <c r="Y55" s="829">
        <v>5</v>
      </c>
      <c r="Z55" s="829">
        <v>4</v>
      </c>
      <c r="AA55" s="829">
        <v>47</v>
      </c>
      <c r="AB55" s="829">
        <v>53</v>
      </c>
      <c r="AC55" s="829"/>
      <c r="AD55" s="816" t="str">
        <f t="array" ref="AD55">IF($J55="","",IF(SUM(IF(ISNUMBER(VALUE(RIGHT($AG55:$EA55,1))),VALUE(RIGHT($AG55:$EA55,1)),0))=$J55,"T","F"))</f>
        <v>T</v>
      </c>
      <c r="AE55" s="831">
        <f t="array" ref="AE55">IF($J55="","",SUM(IF(LEFT($AG55:$EA55,1)="s",1,0))-SUM(IF(RIGHT(LEFT($AG55:$EA55,2))="-",1,0)))</f>
        <v>0</v>
      </c>
      <c r="AF55" s="816">
        <f t="array" ref="AF55">IF($J55="","",SUM(IF(LEFT($AG55:$EA55,1)="X",1,0)))</f>
        <v>11</v>
      </c>
      <c r="AG55" s="891" t="s">
        <v>32</v>
      </c>
      <c r="AH55" s="891" t="s">
        <v>1877</v>
      </c>
      <c r="AI55" s="891" t="s">
        <v>34</v>
      </c>
      <c r="AJ55" s="891" t="s">
        <v>34</v>
      </c>
      <c r="AK55" s="891" t="s">
        <v>34</v>
      </c>
      <c r="AL55" s="891" t="s">
        <v>32</v>
      </c>
      <c r="AM55" s="904" t="s">
        <v>35</v>
      </c>
      <c r="AN55" s="891" t="s">
        <v>32</v>
      </c>
      <c r="AO55" s="891" t="s">
        <v>35</v>
      </c>
      <c r="AP55" s="891" t="s">
        <v>32</v>
      </c>
      <c r="AQ55" s="891" t="s">
        <v>34</v>
      </c>
      <c r="AR55" s="891" t="s">
        <v>32</v>
      </c>
      <c r="AS55" s="891" t="s">
        <v>34</v>
      </c>
      <c r="AT55" s="891" t="s">
        <v>1877</v>
      </c>
      <c r="AU55" s="891" t="s">
        <v>32</v>
      </c>
      <c r="AV55" s="891" t="s">
        <v>36</v>
      </c>
      <c r="AW55" s="891" t="s">
        <v>32</v>
      </c>
      <c r="AX55" s="891" t="s">
        <v>34</v>
      </c>
      <c r="AY55" s="891" t="s">
        <v>3222</v>
      </c>
      <c r="AZ55" s="891" t="s">
        <v>1877</v>
      </c>
      <c r="BA55" s="891" t="s">
        <v>32</v>
      </c>
      <c r="BB55" s="891" t="s">
        <v>36</v>
      </c>
      <c r="BC55" s="891" t="s">
        <v>3222</v>
      </c>
      <c r="BD55" s="891" t="s">
        <v>1877</v>
      </c>
      <c r="BE55" s="891" t="s">
        <v>32</v>
      </c>
      <c r="BF55" s="891" t="s">
        <v>35</v>
      </c>
      <c r="BG55" s="891" t="s">
        <v>32</v>
      </c>
      <c r="BH55" s="891" t="s">
        <v>3227</v>
      </c>
      <c r="BI55" s="891"/>
      <c r="BJ55" s="891"/>
      <c r="BK55" s="891"/>
      <c r="BL55" s="891"/>
      <c r="BM55" s="891"/>
      <c r="BN55" s="891"/>
      <c r="BO55" s="891"/>
      <c r="BP55" s="896"/>
      <c r="BQ55" s="896"/>
      <c r="BR55" s="892"/>
      <c r="BS55" s="896"/>
      <c r="BT55" s="892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896"/>
      <c r="CH55" s="896"/>
      <c r="CI55" s="428"/>
      <c r="CJ55" s="428"/>
      <c r="CK55" s="428"/>
      <c r="CL55" s="428"/>
    </row>
    <row r="56" spans="1:90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18</v>
      </c>
      <c r="G56" s="879" t="s">
        <v>887</v>
      </c>
      <c r="H56" s="879" t="s">
        <v>22</v>
      </c>
      <c r="I56" s="879" t="s">
        <v>891</v>
      </c>
      <c r="J56" s="908">
        <v>0</v>
      </c>
      <c r="K56" s="846">
        <v>1</v>
      </c>
      <c r="L56" s="816" t="str">
        <f t="shared" si="34"/>
        <v>L</v>
      </c>
      <c r="M56" s="816">
        <f t="shared" si="35"/>
        <v>1</v>
      </c>
      <c r="N56" s="816" t="str">
        <f t="shared" si="36"/>
        <v>U</v>
      </c>
      <c r="O56" s="816">
        <f t="shared" si="25"/>
        <v>0</v>
      </c>
      <c r="P56" s="829">
        <f t="shared" si="29"/>
        <v>-1</v>
      </c>
      <c r="Q56" s="830">
        <v>-0.08</v>
      </c>
      <c r="R56" s="871">
        <f t="shared" si="37"/>
        <v>-0.92</v>
      </c>
      <c r="S56" s="830">
        <v>2.83</v>
      </c>
      <c r="T56" s="871">
        <f t="shared" si="31"/>
        <v>-1.83</v>
      </c>
      <c r="U56" s="868">
        <f t="shared" si="26"/>
        <v>1.375</v>
      </c>
      <c r="V56" s="868">
        <f t="shared" si="27"/>
        <v>1.4550000000000001</v>
      </c>
      <c r="W56" s="829">
        <v>6</v>
      </c>
      <c r="X56" s="829">
        <v>25</v>
      </c>
      <c r="Y56" s="829">
        <v>1</v>
      </c>
      <c r="Z56" s="829">
        <v>15</v>
      </c>
      <c r="AA56" s="829">
        <v>28</v>
      </c>
      <c r="AB56" s="829">
        <v>72</v>
      </c>
      <c r="AC56" s="829"/>
      <c r="AD56" s="816" t="str">
        <f t="array" ref="AD56">IF($J56="","",IF(SUM(IF(ISNUMBER(VALUE(RIGHT($AG56:$EA56,1))),VALUE(RIGHT($AG56:$EA56,1)),0))=$J56,"T","F"))</f>
        <v>T</v>
      </c>
      <c r="AE56" s="831">
        <f t="array" ref="AE56">IF($J56="","",SUM(IF(LEFT($AG56:$EA56,1)="s",1,0))-SUM(IF(RIGHT(LEFT($AG56:$EA56,2))="-",1,0)))</f>
        <v>0</v>
      </c>
      <c r="AF56" s="816">
        <f t="array" ref="AF56">IF($J56="","",SUM(IF(LEFT($AG56:$EA56,1)="X",1,0)))</f>
        <v>11</v>
      </c>
      <c r="AG56" s="891" t="s">
        <v>32</v>
      </c>
      <c r="AH56" s="891" t="s">
        <v>1877</v>
      </c>
      <c r="AI56" s="891" t="s">
        <v>34</v>
      </c>
      <c r="AJ56" s="904" t="s">
        <v>34</v>
      </c>
      <c r="AK56" s="891" t="s">
        <v>34</v>
      </c>
      <c r="AL56" s="891" t="s">
        <v>35</v>
      </c>
      <c r="AM56" s="891" t="s">
        <v>32</v>
      </c>
      <c r="AN56" s="891" t="s">
        <v>32</v>
      </c>
      <c r="AO56" s="891" t="s">
        <v>35</v>
      </c>
      <c r="AP56" s="891" t="s">
        <v>3303</v>
      </c>
      <c r="AQ56" s="891" t="s">
        <v>34</v>
      </c>
      <c r="AR56" s="891" t="s">
        <v>3296</v>
      </c>
      <c r="AS56" s="891" t="s">
        <v>34</v>
      </c>
      <c r="AT56" s="891" t="s">
        <v>1877</v>
      </c>
      <c r="AU56" s="891" t="s">
        <v>32</v>
      </c>
      <c r="AV56" s="891" t="s">
        <v>36</v>
      </c>
      <c r="AW56" s="891" t="s">
        <v>32</v>
      </c>
      <c r="AX56" s="891" t="s">
        <v>34</v>
      </c>
      <c r="AY56" s="891" t="s">
        <v>34</v>
      </c>
      <c r="AZ56" s="891" t="s">
        <v>1877</v>
      </c>
      <c r="BA56" s="891" t="s">
        <v>32</v>
      </c>
      <c r="BB56" s="891" t="s">
        <v>1877</v>
      </c>
      <c r="BC56" s="891" t="s">
        <v>35</v>
      </c>
      <c r="BD56" s="891" t="s">
        <v>36</v>
      </c>
      <c r="BE56" s="891" t="s">
        <v>32</v>
      </c>
      <c r="BF56" s="909" t="s">
        <v>34</v>
      </c>
      <c r="BG56" s="891" t="s">
        <v>32</v>
      </c>
      <c r="BH56" s="891" t="s">
        <v>36</v>
      </c>
      <c r="BI56" s="891"/>
      <c r="BJ56" s="891"/>
      <c r="BK56" s="891"/>
      <c r="BL56" s="891"/>
      <c r="BM56" s="891"/>
      <c r="BN56" s="891"/>
      <c r="BO56" s="891"/>
      <c r="BP56" s="896"/>
      <c r="BQ56" s="896"/>
      <c r="BR56" s="892"/>
      <c r="BS56" s="896"/>
      <c r="BT56" s="892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896"/>
      <c r="CH56" s="896"/>
      <c r="CI56" s="428"/>
      <c r="CJ56" s="428"/>
      <c r="CK56" s="428"/>
      <c r="CL56" s="428"/>
    </row>
    <row r="57" spans="1:90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8</v>
      </c>
      <c r="G57" s="879" t="s">
        <v>880</v>
      </c>
      <c r="H57" s="879" t="s">
        <v>18</v>
      </c>
      <c r="I57" s="879" t="s">
        <v>891</v>
      </c>
      <c r="J57" s="846">
        <v>3</v>
      </c>
      <c r="K57" s="846">
        <v>2</v>
      </c>
      <c r="L57" s="816" t="str">
        <f t="shared" si="34"/>
        <v>W</v>
      </c>
      <c r="M57" s="816">
        <f t="shared" si="35"/>
        <v>5</v>
      </c>
      <c r="N57" s="816" t="str">
        <f t="shared" si="36"/>
        <v>O</v>
      </c>
      <c r="O57" s="816">
        <f t="shared" si="25"/>
        <v>0.75</v>
      </c>
      <c r="P57" s="829">
        <f t="shared" si="29"/>
        <v>1</v>
      </c>
      <c r="Q57" s="830">
        <v>-0.92</v>
      </c>
      <c r="R57" s="871">
        <f t="shared" si="37"/>
        <v>1.92</v>
      </c>
      <c r="S57" s="830">
        <v>2.91</v>
      </c>
      <c r="T57" s="871">
        <f t="shared" si="31"/>
        <v>2.09</v>
      </c>
      <c r="U57" s="868">
        <f t="shared" si="26"/>
        <v>0.99500000000000011</v>
      </c>
      <c r="V57" s="868">
        <f t="shared" si="27"/>
        <v>1.915</v>
      </c>
      <c r="W57" s="829">
        <v>16</v>
      </c>
      <c r="X57" s="829">
        <v>10</v>
      </c>
      <c r="Y57" s="829">
        <v>6</v>
      </c>
      <c r="Z57" s="829">
        <v>4</v>
      </c>
      <c r="AA57" s="829">
        <v>55</v>
      </c>
      <c r="AB57" s="829">
        <v>45</v>
      </c>
      <c r="AC57" s="829"/>
      <c r="AD57" s="816" t="str">
        <f t="array" ref="AD57">IF($J57="","",IF(SUM(IF(ISNUMBER(VALUE(RIGHT($AG57:$EA57,1))),VALUE(RIGHT($AG57:$EA57,1)),0))=$J57,"T","F"))</f>
        <v>T</v>
      </c>
      <c r="AE57" s="831">
        <f t="array" ref="AE57">IF($J57="","",SUM(IF(LEFT($AG57:$EA57,1)="s",1,0))-SUM(IF(RIGHT(LEFT($AG57:$EA57,2))="-",1,0)))</f>
        <v>0</v>
      </c>
      <c r="AF57" s="816">
        <f t="array" ref="AF57">IF($J57="","",SUM(IF(LEFT($AG57:$EA57,1)="X",1,0)))</f>
        <v>11</v>
      </c>
      <c r="AG57" s="891" t="s">
        <v>32</v>
      </c>
      <c r="AH57" s="891" t="s">
        <v>1877</v>
      </c>
      <c r="AI57" s="891" t="s">
        <v>34</v>
      </c>
      <c r="AJ57" s="891" t="s">
        <v>3325</v>
      </c>
      <c r="AK57" s="891" t="s">
        <v>34</v>
      </c>
      <c r="AL57" s="891" t="s">
        <v>3344</v>
      </c>
      <c r="AM57" s="891" t="s">
        <v>1877</v>
      </c>
      <c r="AN57" s="891" t="s">
        <v>32</v>
      </c>
      <c r="AO57" s="891" t="s">
        <v>35</v>
      </c>
      <c r="AP57" s="891" t="s">
        <v>32</v>
      </c>
      <c r="AQ57" s="891" t="s">
        <v>34</v>
      </c>
      <c r="AR57" s="891" t="s">
        <v>32</v>
      </c>
      <c r="AS57" s="891" t="s">
        <v>34</v>
      </c>
      <c r="AT57" s="891" t="s">
        <v>1877</v>
      </c>
      <c r="AU57" s="891" t="s">
        <v>3329</v>
      </c>
      <c r="AV57" s="891" t="s">
        <v>36</v>
      </c>
      <c r="AW57" s="891" t="s">
        <v>32</v>
      </c>
      <c r="AX57" s="904" t="s">
        <v>35</v>
      </c>
      <c r="AY57" s="891" t="s">
        <v>34</v>
      </c>
      <c r="AZ57" s="891" t="s">
        <v>1877</v>
      </c>
      <c r="BA57" s="891" t="s">
        <v>32</v>
      </c>
      <c r="BB57" s="891" t="s">
        <v>34</v>
      </c>
      <c r="BC57" s="891" t="s">
        <v>34</v>
      </c>
      <c r="BD57" s="891" t="s">
        <v>35</v>
      </c>
      <c r="BE57" s="891" t="s">
        <v>32</v>
      </c>
      <c r="BF57" s="891" t="s">
        <v>3328</v>
      </c>
      <c r="BG57" s="891" t="s">
        <v>32</v>
      </c>
      <c r="BH57" s="891" t="s">
        <v>36</v>
      </c>
      <c r="BI57" s="891"/>
      <c r="BJ57" s="891"/>
      <c r="BK57" s="891"/>
      <c r="BL57" s="891"/>
      <c r="BM57" s="891"/>
      <c r="BN57" s="891"/>
      <c r="BO57" s="891"/>
      <c r="BP57" s="896"/>
      <c r="BQ57" s="896"/>
      <c r="BR57" s="892"/>
      <c r="BS57" s="896"/>
      <c r="BT57" s="892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896"/>
      <c r="CH57" s="896"/>
      <c r="CI57" s="428"/>
      <c r="CJ57" s="428"/>
      <c r="CK57" s="428"/>
      <c r="CL57" s="428"/>
    </row>
    <row r="58" spans="1:90" ht="15">
      <c r="A58" s="882">
        <v>6483</v>
      </c>
      <c r="B58" s="884"/>
      <c r="C58" s="884"/>
      <c r="D58" s="884"/>
      <c r="E58" s="884"/>
      <c r="F58" s="884">
        <f ca="1">IF(I58="","",IF(I58=Table!$C$1,VLOOKUP(G58,Table!$B$9:$AE$32,Table!$AE$6-1,FALSE),""))</f>
        <v>4</v>
      </c>
      <c r="G58" s="879" t="s">
        <v>1084</v>
      </c>
      <c r="H58" s="879" t="s">
        <v>18</v>
      </c>
      <c r="I58" s="879" t="s">
        <v>891</v>
      </c>
      <c r="J58" s="846">
        <v>1</v>
      </c>
      <c r="K58" s="846">
        <v>2</v>
      </c>
      <c r="L58" s="816" t="str">
        <f t="shared" ref="L58" si="55">IF(J58="","",IF(J58&gt;K58,"W",IF(J58=K58,"D",IF(J58&lt;K58,"L"))))</f>
        <v>L</v>
      </c>
      <c r="M58" s="816">
        <f t="shared" ref="M58" si="56">IF(J58="","",J58+K58)</f>
        <v>3</v>
      </c>
      <c r="N58" s="816" t="str">
        <f t="shared" si="36"/>
        <v>O</v>
      </c>
      <c r="O58" s="816">
        <f t="shared" ref="O58:O65" si="57">IF(Q58="","",IF(SIGN(Q58)&lt;&gt;1,VLOOKUP(ABS(Q58),SUP_HDC,3,TRUE),-VLOOKUP(ABS(Q58),SUP_HDC,3,TRUE)))</f>
        <v>0.75</v>
      </c>
      <c r="P58" s="829">
        <f t="shared" ref="P58:P65" si="58">IF(O58="","",IF((J58-K58+O58)&gt;=0.5,1,IF((J58-K58+O58)=0.25,0.5,IF((J58-K58+O58)&lt;=-0.5,-1,IF((J58-K58+O58)=-0.25,-0.5,0)))))</f>
        <v>-0.5</v>
      </c>
      <c r="Q58" s="830">
        <v>-0.83</v>
      </c>
      <c r="R58" s="871">
        <f t="shared" si="37"/>
        <v>-0.17000000000000004</v>
      </c>
      <c r="S58" s="830">
        <v>2.8</v>
      </c>
      <c r="T58" s="871">
        <f t="shared" ref="T58" si="59">IF(ISBLANK(S58),"",J58+K58-S58)</f>
        <v>0.20000000000000018</v>
      </c>
      <c r="U58" s="868">
        <f t="shared" ref="U58:U68" si="60">IF(Q58="","",(Q58+S58)/2)</f>
        <v>0.98499999999999988</v>
      </c>
      <c r="V58" s="868">
        <f t="shared" ref="V58:V68" si="61">IF(Q58="","",S58-U58)</f>
        <v>1.8149999999999999</v>
      </c>
      <c r="W58" s="829">
        <v>12</v>
      </c>
      <c r="X58" s="829">
        <v>20</v>
      </c>
      <c r="Y58" s="829">
        <v>1</v>
      </c>
      <c r="Z58" s="829">
        <v>5</v>
      </c>
      <c r="AA58" s="829">
        <v>49</v>
      </c>
      <c r="AB58" s="829">
        <v>51</v>
      </c>
      <c r="AC58" s="829"/>
      <c r="AD58" s="816" t="str">
        <f t="array" ref="AD58">IF($J58="","",IF(SUM(IF(ISNUMBER(VALUE(RIGHT($AG58:$CM58,1))),VALUE(RIGHT($AG58:$CM58,1)),0))=$J58,"T","F"))</f>
        <v>T</v>
      </c>
      <c r="AE58" s="831">
        <f t="array" ref="AE58">IF($J58="","",SUM(IF(LEFT($AG58:$DY58,1)="s",1,0))-SUM(IF(RIGHT(LEFT($AG58:$DY58,2))="-",1,0)))</f>
        <v>0</v>
      </c>
      <c r="AF58" s="816">
        <f t="array" ref="AF58">IF($J58="","",SUM(IF(LEFT($AG58:$DE58,1)="X",1,0)))</f>
        <v>11</v>
      </c>
      <c r="AG58" s="891" t="s">
        <v>34</v>
      </c>
      <c r="AH58" s="891" t="s">
        <v>32</v>
      </c>
      <c r="AI58" s="891" t="s">
        <v>1877</v>
      </c>
      <c r="AJ58" s="891" t="s">
        <v>35</v>
      </c>
      <c r="AK58" s="891" t="s">
        <v>35</v>
      </c>
      <c r="AL58" s="891" t="s">
        <v>3344</v>
      </c>
      <c r="AM58" s="891" t="s">
        <v>36</v>
      </c>
      <c r="AN58" s="891" t="s">
        <v>32</v>
      </c>
      <c r="AO58" s="891" t="s">
        <v>34</v>
      </c>
      <c r="AP58" s="891" t="s">
        <v>32</v>
      </c>
      <c r="AQ58" s="904" t="s">
        <v>34</v>
      </c>
      <c r="AR58" s="891" t="s">
        <v>32</v>
      </c>
      <c r="AS58" s="891" t="s">
        <v>3356</v>
      </c>
      <c r="AT58" s="891" t="s">
        <v>34</v>
      </c>
      <c r="AU58" s="891" t="s">
        <v>36</v>
      </c>
      <c r="AV58" s="891" t="s">
        <v>34</v>
      </c>
      <c r="AW58" s="891" t="s">
        <v>32</v>
      </c>
      <c r="AX58" s="891" t="s">
        <v>3363</v>
      </c>
      <c r="AY58" s="904" t="s">
        <v>34</v>
      </c>
      <c r="AZ58" s="891" t="s">
        <v>1877</v>
      </c>
      <c r="BA58" s="891" t="s">
        <v>32</v>
      </c>
      <c r="BB58" s="891" t="s">
        <v>34</v>
      </c>
      <c r="BC58" s="904" t="s">
        <v>35</v>
      </c>
      <c r="BD58" s="891" t="s">
        <v>1877</v>
      </c>
      <c r="BE58" s="891" t="s">
        <v>32</v>
      </c>
      <c r="BF58" s="891" t="s">
        <v>36</v>
      </c>
      <c r="BG58" s="891" t="s">
        <v>32</v>
      </c>
      <c r="BH58" s="891" t="s">
        <v>1877</v>
      </c>
      <c r="BI58" s="891"/>
      <c r="BJ58" s="891"/>
      <c r="BK58" s="891"/>
      <c r="BL58" s="891"/>
      <c r="BM58" s="891"/>
      <c r="BN58" s="891"/>
      <c r="BO58" s="891"/>
      <c r="BP58" s="896"/>
      <c r="BQ58" s="896"/>
      <c r="BR58" s="892"/>
      <c r="BS58" s="896"/>
      <c r="BT58" s="892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896"/>
      <c r="CH58" s="896"/>
      <c r="CI58" s="428"/>
      <c r="CJ58" s="428"/>
      <c r="CK58" s="428"/>
      <c r="CL58" s="428"/>
    </row>
    <row r="59" spans="1:90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3</v>
      </c>
      <c r="G59" s="879" t="s">
        <v>1085</v>
      </c>
      <c r="H59" s="879" t="s">
        <v>22</v>
      </c>
      <c r="I59" s="879" t="s">
        <v>891</v>
      </c>
      <c r="J59" s="846">
        <v>1</v>
      </c>
      <c r="K59" s="846">
        <v>3</v>
      </c>
      <c r="L59" s="816" t="str">
        <f t="shared" si="34"/>
        <v>L</v>
      </c>
      <c r="M59" s="816">
        <f t="shared" si="35"/>
        <v>4</v>
      </c>
      <c r="N59" s="816" t="str">
        <f t="shared" si="36"/>
        <v>O</v>
      </c>
      <c r="O59" s="816">
        <f t="shared" si="57"/>
        <v>0.75</v>
      </c>
      <c r="P59" s="829">
        <f t="shared" si="58"/>
        <v>-1</v>
      </c>
      <c r="Q59" s="830">
        <v>-0.77</v>
      </c>
      <c r="R59" s="871">
        <f t="shared" si="37"/>
        <v>-1.23</v>
      </c>
      <c r="S59" s="830">
        <v>3.38</v>
      </c>
      <c r="T59" s="871">
        <f t="shared" si="31"/>
        <v>0.62000000000000011</v>
      </c>
      <c r="U59" s="868">
        <f t="shared" si="60"/>
        <v>1.3049999999999999</v>
      </c>
      <c r="V59" s="868">
        <f t="shared" si="61"/>
        <v>2.0750000000000002</v>
      </c>
      <c r="W59" s="829">
        <v>14</v>
      </c>
      <c r="X59" s="829">
        <v>14</v>
      </c>
      <c r="Y59" s="829">
        <v>6</v>
      </c>
      <c r="Z59" s="829">
        <v>6</v>
      </c>
      <c r="AA59" s="829">
        <v>35</v>
      </c>
      <c r="AB59" s="829">
        <v>65</v>
      </c>
      <c r="AC59" s="829"/>
      <c r="AD59" s="816" t="str">
        <f t="array" ref="AD59">IF($J59="","",IF(SUM(IF(ISNUMBER(VALUE(RIGHT($AG59:$CM59,1))),VALUE(RIGHT($AG59:$CM59,1)),0))=$J59,"T","F"))</f>
        <v>T</v>
      </c>
      <c r="AE59" s="831">
        <f t="array" ref="AE59">IF($J59="","",SUM(IF(LEFT($AG59:$DY59,1)="s",1,0))-SUM(IF(RIGHT(LEFT($AG59:$DY59,2))="-",1,0)))</f>
        <v>0</v>
      </c>
      <c r="AF59" s="816">
        <f t="array" ref="AF59">IF($J59="","",SUM(IF(LEFT($AG59:$DE59,1)="X",1,0)))</f>
        <v>11</v>
      </c>
      <c r="AG59" s="891" t="s">
        <v>34</v>
      </c>
      <c r="AH59" s="891" t="s">
        <v>1877</v>
      </c>
      <c r="AI59" s="891" t="s">
        <v>32</v>
      </c>
      <c r="AJ59" s="891" t="s">
        <v>34</v>
      </c>
      <c r="AK59" s="891" t="s">
        <v>32</v>
      </c>
      <c r="AL59" s="891" t="s">
        <v>1886</v>
      </c>
      <c r="AM59" s="891" t="s">
        <v>1877</v>
      </c>
      <c r="AN59" s="891" t="s">
        <v>32</v>
      </c>
      <c r="AO59" s="891" t="s">
        <v>34</v>
      </c>
      <c r="AP59" s="891" t="s">
        <v>1877</v>
      </c>
      <c r="AQ59" s="904" t="s">
        <v>34</v>
      </c>
      <c r="AR59" s="891" t="s">
        <v>36</v>
      </c>
      <c r="AS59" s="891" t="s">
        <v>34</v>
      </c>
      <c r="AT59" s="891" t="s">
        <v>35</v>
      </c>
      <c r="AU59" s="891" t="s">
        <v>35</v>
      </c>
      <c r="AV59" s="891" t="s">
        <v>36</v>
      </c>
      <c r="AW59" s="891" t="s">
        <v>32</v>
      </c>
      <c r="AX59" s="891" t="s">
        <v>35</v>
      </c>
      <c r="AY59" s="891" t="s">
        <v>3396</v>
      </c>
      <c r="AZ59" s="891" t="s">
        <v>32</v>
      </c>
      <c r="BA59" s="891" t="s">
        <v>32</v>
      </c>
      <c r="BB59" s="891" t="s">
        <v>3415</v>
      </c>
      <c r="BC59" s="904" t="s">
        <v>34</v>
      </c>
      <c r="BD59" s="904" t="s">
        <v>34</v>
      </c>
      <c r="BE59" s="891" t="s">
        <v>32</v>
      </c>
      <c r="BF59" s="891" t="s">
        <v>34</v>
      </c>
      <c r="BG59" s="891" t="s">
        <v>32</v>
      </c>
      <c r="BH59" s="891" t="s">
        <v>1877</v>
      </c>
      <c r="BI59" s="891"/>
      <c r="BJ59" s="891"/>
      <c r="BK59" s="891"/>
      <c r="BL59" s="891"/>
      <c r="BM59" s="891"/>
      <c r="BN59" s="891"/>
      <c r="BO59" s="891"/>
      <c r="BP59" s="896"/>
      <c r="BQ59" s="896"/>
      <c r="BR59" s="892"/>
      <c r="BS59" s="896"/>
      <c r="BT59" s="892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896"/>
      <c r="CH59" s="896"/>
      <c r="CI59" s="428"/>
      <c r="CJ59" s="428"/>
      <c r="CK59" s="428"/>
      <c r="CL59" s="428"/>
    </row>
    <row r="60" spans="1:90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2</v>
      </c>
      <c r="G60" s="879" t="s">
        <v>886</v>
      </c>
      <c r="H60" s="879" t="s">
        <v>18</v>
      </c>
      <c r="I60" s="879" t="s">
        <v>891</v>
      </c>
      <c r="J60" s="846">
        <v>1</v>
      </c>
      <c r="K60" s="846">
        <v>2</v>
      </c>
      <c r="L60" s="816" t="str">
        <f t="shared" si="34"/>
        <v>L</v>
      </c>
      <c r="M60" s="816">
        <f t="shared" si="35"/>
        <v>3</v>
      </c>
      <c r="N60" s="816" t="str">
        <f t="shared" si="36"/>
        <v>O</v>
      </c>
      <c r="O60" s="816">
        <f t="shared" si="57"/>
        <v>0.5</v>
      </c>
      <c r="P60" s="829">
        <f t="shared" si="58"/>
        <v>-1</v>
      </c>
      <c r="Q60" s="830">
        <v>-0.54</v>
      </c>
      <c r="R60" s="871">
        <f t="shared" si="37"/>
        <v>-0.45999999999999996</v>
      </c>
      <c r="S60" s="830">
        <v>2.78</v>
      </c>
      <c r="T60" s="871">
        <f t="shared" si="31"/>
        <v>0.2200000000000002</v>
      </c>
      <c r="U60" s="868">
        <f t="shared" si="60"/>
        <v>1.1199999999999999</v>
      </c>
      <c r="V60" s="868">
        <f t="shared" si="61"/>
        <v>1.66</v>
      </c>
      <c r="W60" s="829">
        <v>8</v>
      </c>
      <c r="X60" s="829">
        <v>13</v>
      </c>
      <c r="Y60" s="829">
        <v>2</v>
      </c>
      <c r="Z60" s="829">
        <v>2</v>
      </c>
      <c r="AA60" s="829">
        <v>44</v>
      </c>
      <c r="AB60" s="829">
        <v>56</v>
      </c>
      <c r="AC60" s="829"/>
      <c r="AD60" s="816" t="str">
        <f t="array" ref="AD60">IF($J60="","",IF(SUM(IF(ISNUMBER(VALUE(RIGHT($AG60:$CM60,1))),VALUE(RIGHT($AG60:$CM60,1)),0))=$J60,"T","F"))</f>
        <v>T</v>
      </c>
      <c r="AE60" s="831">
        <f t="array" ref="AE60">IF($J60="","",SUM(IF(LEFT($AG60:$DY60,1)="s",1,0))-SUM(IF(RIGHT(LEFT($AG60:$DY60,2))="-",1,0)))</f>
        <v>0</v>
      </c>
      <c r="AF60" s="816">
        <f t="array" ref="AF60">IF($J60="","",SUM(IF(LEFT($AG60:$DE60,1)="X",1,0)))</f>
        <v>11</v>
      </c>
      <c r="AG60" s="891" t="s">
        <v>3442</v>
      </c>
      <c r="AH60" s="891" t="s">
        <v>1877</v>
      </c>
      <c r="AI60" s="891" t="s">
        <v>32</v>
      </c>
      <c r="AJ60" s="904" t="s">
        <v>34</v>
      </c>
      <c r="AK60" s="891" t="s">
        <v>34</v>
      </c>
      <c r="AL60" s="891" t="s">
        <v>1886</v>
      </c>
      <c r="AM60" s="891" t="s">
        <v>1877</v>
      </c>
      <c r="AN60" s="891" t="s">
        <v>32</v>
      </c>
      <c r="AO60" s="891" t="s">
        <v>34</v>
      </c>
      <c r="AP60" s="891" t="s">
        <v>34</v>
      </c>
      <c r="AQ60" s="904" t="s">
        <v>35</v>
      </c>
      <c r="AR60" s="891" t="s">
        <v>34</v>
      </c>
      <c r="AS60" s="891" t="s">
        <v>32</v>
      </c>
      <c r="AT60" s="891" t="s">
        <v>32</v>
      </c>
      <c r="AU60" s="891" t="s">
        <v>32</v>
      </c>
      <c r="AV60" s="891" t="s">
        <v>36</v>
      </c>
      <c r="AW60" s="891" t="s">
        <v>32</v>
      </c>
      <c r="AX60" s="891" t="s">
        <v>1877</v>
      </c>
      <c r="AY60" s="904" t="s">
        <v>34</v>
      </c>
      <c r="AZ60" s="891" t="s">
        <v>1877</v>
      </c>
      <c r="BA60" s="891" t="s">
        <v>32</v>
      </c>
      <c r="BB60" s="891" t="s">
        <v>36</v>
      </c>
      <c r="BC60" s="891" t="s">
        <v>35</v>
      </c>
      <c r="BD60" s="891" t="s">
        <v>34</v>
      </c>
      <c r="BE60" s="891" t="s">
        <v>32</v>
      </c>
      <c r="BF60" s="904" t="s">
        <v>3422</v>
      </c>
      <c r="BG60" s="891" t="s">
        <v>32</v>
      </c>
      <c r="BH60" s="891" t="s">
        <v>36</v>
      </c>
      <c r="BI60" s="891"/>
      <c r="BJ60" s="891"/>
      <c r="BK60" s="891"/>
      <c r="BL60" s="891"/>
      <c r="BM60" s="891"/>
      <c r="BN60" s="891"/>
      <c r="BO60" s="891"/>
      <c r="BP60" s="896"/>
      <c r="BQ60" s="896"/>
      <c r="BR60" s="892"/>
      <c r="BS60" s="896"/>
      <c r="BT60" s="892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896"/>
      <c r="CH60" s="896"/>
    </row>
    <row r="61" spans="1:90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14</v>
      </c>
      <c r="G61" s="879" t="s">
        <v>873</v>
      </c>
      <c r="H61" s="879" t="s">
        <v>22</v>
      </c>
      <c r="I61" s="879" t="s">
        <v>891</v>
      </c>
      <c r="J61" s="846">
        <v>1</v>
      </c>
      <c r="K61" s="846">
        <v>0</v>
      </c>
      <c r="L61" s="816" t="str">
        <f t="shared" si="34"/>
        <v>W</v>
      </c>
      <c r="M61" s="816">
        <f t="shared" si="35"/>
        <v>1</v>
      </c>
      <c r="N61" s="816" t="str">
        <f t="shared" si="36"/>
        <v>U</v>
      </c>
      <c r="O61" s="816">
        <f t="shared" si="57"/>
        <v>0</v>
      </c>
      <c r="P61" s="829">
        <f t="shared" si="58"/>
        <v>1</v>
      </c>
      <c r="Q61" s="830">
        <v>0.1</v>
      </c>
      <c r="R61" s="871">
        <f t="shared" si="37"/>
        <v>0.9</v>
      </c>
      <c r="S61" s="830">
        <v>2.7</v>
      </c>
      <c r="T61" s="871">
        <f t="shared" si="31"/>
        <v>-1.7000000000000002</v>
      </c>
      <c r="U61" s="868">
        <f t="shared" si="60"/>
        <v>1.4000000000000001</v>
      </c>
      <c r="V61" s="868">
        <f t="shared" si="61"/>
        <v>1.3</v>
      </c>
      <c r="W61" s="829">
        <v>10</v>
      </c>
      <c r="X61" s="829">
        <v>10</v>
      </c>
      <c r="Y61" s="829">
        <v>1</v>
      </c>
      <c r="Z61" s="829">
        <v>1</v>
      </c>
      <c r="AA61" s="829">
        <v>53</v>
      </c>
      <c r="AB61" s="829">
        <v>47</v>
      </c>
      <c r="AC61" s="829"/>
      <c r="AD61" s="816" t="str">
        <f t="array" ref="AD61">IF($J61="","",IF(SUM(IF(ISNUMBER(VALUE(RIGHT($AG61:$CM61,1))),VALUE(RIGHT($AG61:$CM61,1)),0))=$J61,"T","F"))</f>
        <v>T</v>
      </c>
      <c r="AE61" s="831">
        <f t="array" ref="AE61">IF($J61="","",SUM(IF(LEFT($AG61:$DY61,1)="s",1,0))-SUM(IF(RIGHT(LEFT($AG61:$DY61,2))="-",1,0)))</f>
        <v>0</v>
      </c>
      <c r="AF61" s="816">
        <f t="array" ref="AF61">IF($J61="","",SUM(IF(LEFT($AG61:$DE61,1)="X",1,0)))</f>
        <v>11</v>
      </c>
      <c r="AG61" s="891" t="s">
        <v>34</v>
      </c>
      <c r="AH61" s="891" t="s">
        <v>1877</v>
      </c>
      <c r="AI61" s="891" t="s">
        <v>32</v>
      </c>
      <c r="AJ61" s="891" t="s">
        <v>3465</v>
      </c>
      <c r="AK61" s="891" t="s">
        <v>34</v>
      </c>
      <c r="AL61" s="891" t="s">
        <v>3469</v>
      </c>
      <c r="AM61" s="891" t="s">
        <v>1877</v>
      </c>
      <c r="AN61" s="891" t="s">
        <v>32</v>
      </c>
      <c r="AO61" s="891" t="s">
        <v>34</v>
      </c>
      <c r="AP61" s="891" t="s">
        <v>34</v>
      </c>
      <c r="AQ61" s="891" t="s">
        <v>34</v>
      </c>
      <c r="AR61" s="891" t="s">
        <v>34</v>
      </c>
      <c r="AS61" s="891" t="s">
        <v>1877</v>
      </c>
      <c r="AT61" s="891" t="s">
        <v>32</v>
      </c>
      <c r="AU61" s="891" t="s">
        <v>1877</v>
      </c>
      <c r="AV61" s="891" t="s">
        <v>36</v>
      </c>
      <c r="AW61" s="891" t="s">
        <v>32</v>
      </c>
      <c r="AX61" s="891" t="s">
        <v>36</v>
      </c>
      <c r="AY61" s="891" t="s">
        <v>35</v>
      </c>
      <c r="AZ61" s="891" t="s">
        <v>32</v>
      </c>
      <c r="BA61" s="891" t="s">
        <v>32</v>
      </c>
      <c r="BB61" s="891" t="s">
        <v>34</v>
      </c>
      <c r="BC61" s="891" t="s">
        <v>35</v>
      </c>
      <c r="BD61" s="891" t="s">
        <v>34</v>
      </c>
      <c r="BE61" s="891" t="s">
        <v>32</v>
      </c>
      <c r="BF61" s="891" t="s">
        <v>3471</v>
      </c>
      <c r="BG61" s="891" t="s">
        <v>32</v>
      </c>
      <c r="BH61" s="891" t="s">
        <v>36</v>
      </c>
      <c r="BI61" s="891"/>
      <c r="BJ61" s="891"/>
      <c r="BK61" s="891"/>
      <c r="BL61" s="891"/>
      <c r="BM61" s="891"/>
      <c r="BN61" s="891"/>
      <c r="BO61" s="891"/>
      <c r="BP61" s="896"/>
      <c r="BQ61" s="896"/>
      <c r="BR61" s="892"/>
      <c r="BS61" s="896"/>
      <c r="BT61" s="892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  <c r="CG61" s="896"/>
      <c r="CH61" s="896"/>
    </row>
    <row r="62" spans="1:90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17</v>
      </c>
      <c r="G62" s="879" t="s">
        <v>875</v>
      </c>
      <c r="H62" s="879" t="s">
        <v>22</v>
      </c>
      <c r="I62" s="879" t="s">
        <v>891</v>
      </c>
      <c r="J62" s="846">
        <v>0</v>
      </c>
      <c r="K62" s="846">
        <v>1</v>
      </c>
      <c r="L62" s="816" t="str">
        <f t="shared" si="34"/>
        <v>L</v>
      </c>
      <c r="M62" s="816">
        <f t="shared" si="35"/>
        <v>1</v>
      </c>
      <c r="N62" s="816" t="str">
        <f t="shared" si="36"/>
        <v>U</v>
      </c>
      <c r="O62" s="816">
        <f t="shared" si="57"/>
        <v>-0.25</v>
      </c>
      <c r="P62" s="829">
        <f t="shared" si="58"/>
        <v>-1</v>
      </c>
      <c r="Q62" s="830">
        <v>0.18</v>
      </c>
      <c r="R62" s="871">
        <f t="shared" si="37"/>
        <v>-1.18</v>
      </c>
      <c r="S62" s="830">
        <v>2.75</v>
      </c>
      <c r="T62" s="871">
        <f t="shared" si="31"/>
        <v>-1.75</v>
      </c>
      <c r="U62" s="868">
        <f t="shared" si="60"/>
        <v>1.4650000000000001</v>
      </c>
      <c r="V62" s="868">
        <f t="shared" si="61"/>
        <v>1.2849999999999999</v>
      </c>
      <c r="W62" s="829">
        <v>14</v>
      </c>
      <c r="X62" s="829">
        <v>9</v>
      </c>
      <c r="Y62" s="829">
        <v>2</v>
      </c>
      <c r="Z62" s="829">
        <v>3</v>
      </c>
      <c r="AA62" s="829">
        <v>55</v>
      </c>
      <c r="AB62" s="829">
        <v>45</v>
      </c>
      <c r="AC62" s="829"/>
      <c r="AD62" s="816" t="str">
        <f t="array" ref="AD62">IF($J62="","",IF(SUM(IF(ISNUMBER(VALUE(RIGHT($AG62:$CM62,1))),VALUE(RIGHT($AG62:$CM62,1)),0))=$J62,"T","F"))</f>
        <v>T</v>
      </c>
      <c r="AE62" s="831">
        <f t="array" ref="AE62">IF($J62="","",SUM(IF(LEFT($AG62:$DY62,1)="s",1,0))-SUM(IF(RIGHT(LEFT($AG62:$DY62,2))="-",1,0)))</f>
        <v>0</v>
      </c>
      <c r="AF62" s="816">
        <f t="array" ref="AF62">IF($J62="","",SUM(IF(LEFT($AG62:$DE62,1)="X",1,0)))</f>
        <v>11</v>
      </c>
      <c r="AG62" s="891" t="s">
        <v>34</v>
      </c>
      <c r="AH62" s="891" t="s">
        <v>1877</v>
      </c>
      <c r="AI62" s="891" t="s">
        <v>32</v>
      </c>
      <c r="AJ62" s="891" t="s">
        <v>3485</v>
      </c>
      <c r="AK62" s="891" t="s">
        <v>34</v>
      </c>
      <c r="AL62" s="891" t="s">
        <v>32</v>
      </c>
      <c r="AM62" s="891" t="s">
        <v>1877</v>
      </c>
      <c r="AN62" s="891" t="s">
        <v>32</v>
      </c>
      <c r="AO62" s="891" t="s">
        <v>35</v>
      </c>
      <c r="AP62" s="891" t="s">
        <v>34</v>
      </c>
      <c r="AQ62" s="891" t="s">
        <v>34</v>
      </c>
      <c r="AR62" s="891" t="s">
        <v>35</v>
      </c>
      <c r="AS62" s="891" t="s">
        <v>1877</v>
      </c>
      <c r="AT62" s="891" t="s">
        <v>36</v>
      </c>
      <c r="AU62" s="891" t="s">
        <v>32</v>
      </c>
      <c r="AV62" s="891" t="s">
        <v>36</v>
      </c>
      <c r="AW62" s="891" t="s">
        <v>32</v>
      </c>
      <c r="AX62" s="891" t="s">
        <v>32</v>
      </c>
      <c r="AY62" s="891" t="s">
        <v>34</v>
      </c>
      <c r="AZ62" s="891" t="s">
        <v>32</v>
      </c>
      <c r="BA62" s="891" t="s">
        <v>32</v>
      </c>
      <c r="BB62" s="891" t="s">
        <v>34</v>
      </c>
      <c r="BC62" s="891" t="s">
        <v>34</v>
      </c>
      <c r="BD62" s="891" t="s">
        <v>34</v>
      </c>
      <c r="BE62" s="891" t="s">
        <v>32</v>
      </c>
      <c r="BF62" s="891" t="s">
        <v>35</v>
      </c>
      <c r="BG62" s="891" t="s">
        <v>1877</v>
      </c>
      <c r="BH62" s="891" t="s">
        <v>36</v>
      </c>
      <c r="BI62" s="891"/>
      <c r="BJ62" s="891"/>
      <c r="BK62" s="891"/>
      <c r="BL62" s="891"/>
      <c r="BM62" s="891"/>
      <c r="BN62" s="891"/>
      <c r="BO62" s="891"/>
      <c r="BP62" s="896"/>
      <c r="BQ62" s="896"/>
      <c r="BR62" s="892"/>
      <c r="BS62" s="896"/>
      <c r="BT62" s="892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  <c r="CG62" s="896"/>
      <c r="CH62" s="896"/>
    </row>
    <row r="63" spans="1:90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5</v>
      </c>
      <c r="G63" s="879" t="s">
        <v>889</v>
      </c>
      <c r="H63" s="879" t="s">
        <v>18</v>
      </c>
      <c r="I63" s="879" t="s">
        <v>891</v>
      </c>
      <c r="J63" s="846">
        <v>2</v>
      </c>
      <c r="K63" s="846">
        <v>1</v>
      </c>
      <c r="L63" s="816" t="str">
        <f t="shared" si="34"/>
        <v>W</v>
      </c>
      <c r="M63" s="816">
        <f t="shared" si="35"/>
        <v>3</v>
      </c>
      <c r="N63" s="816" t="str">
        <f t="shared" si="36"/>
        <v>O</v>
      </c>
      <c r="O63" s="816">
        <f t="shared" si="57"/>
        <v>0.75</v>
      </c>
      <c r="P63" s="829">
        <f t="shared" si="58"/>
        <v>1</v>
      </c>
      <c r="Q63" s="830">
        <v>-0.9</v>
      </c>
      <c r="R63" s="871">
        <f t="shared" si="37"/>
        <v>1.9</v>
      </c>
      <c r="S63" s="830">
        <v>2.98</v>
      </c>
      <c r="T63" s="871">
        <f t="shared" si="31"/>
        <v>2.0000000000000018E-2</v>
      </c>
      <c r="U63" s="868">
        <f t="shared" si="60"/>
        <v>1.04</v>
      </c>
      <c r="V63" s="868">
        <f t="shared" si="61"/>
        <v>1.94</v>
      </c>
      <c r="W63" s="829">
        <v>16</v>
      </c>
      <c r="X63" s="829">
        <v>16</v>
      </c>
      <c r="Y63" s="829">
        <v>4</v>
      </c>
      <c r="Z63" s="829">
        <v>6</v>
      </c>
      <c r="AA63" s="829">
        <v>46</v>
      </c>
      <c r="AB63" s="829">
        <v>54</v>
      </c>
      <c r="AC63" s="829"/>
      <c r="AD63" s="816" t="str">
        <f t="array" ref="AD63">IF($J63="","",IF(SUM(IF(ISNUMBER(VALUE(RIGHT($AG63:$CM63,1))),VALUE(RIGHT($AG63:$CM63,1)),0))=$J63,"T","F"))</f>
        <v>T</v>
      </c>
      <c r="AE63" s="831">
        <f t="array" ref="AE63">IF($J63="","",SUM(IF(LEFT($AG63:$DY63,1)="s",1,0))-SUM(IF(RIGHT(LEFT($AG63:$DY63,2))="-",1,0)))</f>
        <v>0</v>
      </c>
      <c r="AF63" s="816">
        <f t="array" ref="AF63">IF($J63="","",SUM(IF(LEFT($AG63:$DE63,1)="X",1,0)))</f>
        <v>11</v>
      </c>
      <c r="AG63" s="891" t="s">
        <v>34</v>
      </c>
      <c r="AH63" s="891" t="s">
        <v>1877</v>
      </c>
      <c r="AI63" s="891" t="s">
        <v>32</v>
      </c>
      <c r="AJ63" s="891" t="s">
        <v>34</v>
      </c>
      <c r="AK63" s="891" t="s">
        <v>34</v>
      </c>
      <c r="AL63" s="891" t="s">
        <v>32</v>
      </c>
      <c r="AM63" s="891" t="s">
        <v>32</v>
      </c>
      <c r="AN63" s="891" t="s">
        <v>32</v>
      </c>
      <c r="AO63" s="891" t="s">
        <v>35</v>
      </c>
      <c r="AP63" s="891" t="s">
        <v>34</v>
      </c>
      <c r="AQ63" s="891" t="s">
        <v>34</v>
      </c>
      <c r="AR63" s="891" t="s">
        <v>34</v>
      </c>
      <c r="AS63" s="891" t="s">
        <v>36</v>
      </c>
      <c r="AT63" s="891" t="s">
        <v>1877</v>
      </c>
      <c r="AU63" s="891" t="s">
        <v>32</v>
      </c>
      <c r="AV63" s="891" t="s">
        <v>1877</v>
      </c>
      <c r="AW63" s="891" t="s">
        <v>32</v>
      </c>
      <c r="AX63" s="891" t="s">
        <v>32</v>
      </c>
      <c r="AY63" s="891" t="s">
        <v>34</v>
      </c>
      <c r="AZ63" s="891" t="s">
        <v>32</v>
      </c>
      <c r="BA63" s="891" t="s">
        <v>32</v>
      </c>
      <c r="BB63" s="891" t="s">
        <v>3516</v>
      </c>
      <c r="BC63" s="891" t="s">
        <v>36</v>
      </c>
      <c r="BD63" s="891" t="s">
        <v>35</v>
      </c>
      <c r="BE63" s="891" t="s">
        <v>32</v>
      </c>
      <c r="BF63" s="891" t="s">
        <v>35</v>
      </c>
      <c r="BG63" s="891" t="s">
        <v>1877</v>
      </c>
      <c r="BH63" s="891" t="s">
        <v>36</v>
      </c>
      <c r="BI63" s="891">
        <v>1</v>
      </c>
      <c r="BJ63" s="891"/>
      <c r="BK63" s="891"/>
      <c r="BL63" s="891"/>
      <c r="BM63" s="891"/>
      <c r="BN63" s="891"/>
      <c r="BO63" s="891"/>
      <c r="BP63" s="896"/>
      <c r="BQ63" s="896"/>
      <c r="BR63" s="893"/>
      <c r="BS63" s="896"/>
      <c r="BT63" s="893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  <c r="CG63" s="896"/>
      <c r="CH63" s="896"/>
    </row>
    <row r="64" spans="1:90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16</v>
      </c>
      <c r="G64" s="879" t="s">
        <v>872</v>
      </c>
      <c r="H64" s="879" t="s">
        <v>18</v>
      </c>
      <c r="I64" s="879" t="s">
        <v>891</v>
      </c>
      <c r="J64" s="846">
        <v>1</v>
      </c>
      <c r="K64" s="846">
        <v>0</v>
      </c>
      <c r="L64" s="816" t="str">
        <f t="shared" si="34"/>
        <v>W</v>
      </c>
      <c r="M64" s="816">
        <f t="shared" si="35"/>
        <v>1</v>
      </c>
      <c r="N64" s="816" t="str">
        <f t="shared" si="36"/>
        <v>U</v>
      </c>
      <c r="O64" s="816">
        <f t="shared" si="57"/>
        <v>0</v>
      </c>
      <c r="P64" s="829">
        <f t="shared" si="58"/>
        <v>1</v>
      </c>
      <c r="Q64" s="830">
        <v>0.1</v>
      </c>
      <c r="R64" s="871">
        <f t="shared" si="37"/>
        <v>0.9</v>
      </c>
      <c r="S64" s="830">
        <v>3</v>
      </c>
      <c r="T64" s="871">
        <f t="shared" si="31"/>
        <v>-2</v>
      </c>
      <c r="U64" s="868">
        <f t="shared" si="60"/>
        <v>1.55</v>
      </c>
      <c r="V64" s="868">
        <f t="shared" si="61"/>
        <v>1.45</v>
      </c>
      <c r="W64" s="829">
        <v>8</v>
      </c>
      <c r="X64" s="829">
        <v>11</v>
      </c>
      <c r="Y64" s="829">
        <v>2</v>
      </c>
      <c r="Z64" s="829">
        <v>4</v>
      </c>
      <c r="AA64" s="829">
        <v>53</v>
      </c>
      <c r="AB64" s="829">
        <v>47</v>
      </c>
      <c r="AC64" s="829"/>
      <c r="AD64" s="816" t="str">
        <f t="array" ref="AD64">IF($J64="","",IF(SUM(IF(ISNUMBER(VALUE(RIGHT($AG64:$CM64,1))),VALUE(RIGHT($AG64:$CM64,1)),0))=$J64,"T","F"))</f>
        <v>T</v>
      </c>
      <c r="AE64" s="831">
        <f t="array" ref="AE64">IF($J64="","",SUM(IF(LEFT($AG64:$DY64,1)="s",1,0))-SUM(IF(RIGHT(LEFT($AG64:$DY64,2))="-",1,0)))</f>
        <v>0</v>
      </c>
      <c r="AF64" s="816">
        <f t="array" ref="AF64">IF($J64="","",SUM(IF(LEFT($AG64:$DE64,1)="X",1,0)))</f>
        <v>11</v>
      </c>
      <c r="AG64" s="904" t="s">
        <v>34</v>
      </c>
      <c r="AH64" s="891" t="s">
        <v>1877</v>
      </c>
      <c r="AI64" s="891" t="s">
        <v>32</v>
      </c>
      <c r="AJ64" s="891" t="s">
        <v>34</v>
      </c>
      <c r="AK64" s="891" t="s">
        <v>34</v>
      </c>
      <c r="AL64" s="891" t="s">
        <v>3560</v>
      </c>
      <c r="AM64" s="891" t="s">
        <v>1877</v>
      </c>
      <c r="AN64" s="891" t="s">
        <v>32</v>
      </c>
      <c r="AO64" s="891" t="s">
        <v>3559</v>
      </c>
      <c r="AP64" s="891" t="s">
        <v>34</v>
      </c>
      <c r="AQ64" s="891" t="s">
        <v>34</v>
      </c>
      <c r="AR64" s="891" t="s">
        <v>34</v>
      </c>
      <c r="AS64" s="891" t="s">
        <v>1877</v>
      </c>
      <c r="AT64" s="891" t="s">
        <v>32</v>
      </c>
      <c r="AU64" s="891" t="s">
        <v>32</v>
      </c>
      <c r="AV64" s="891" t="s">
        <v>36</v>
      </c>
      <c r="AW64" s="891" t="s">
        <v>32</v>
      </c>
      <c r="AX64" s="891" t="s">
        <v>32</v>
      </c>
      <c r="AY64" s="891" t="s">
        <v>35</v>
      </c>
      <c r="AZ64" s="891" t="s">
        <v>32</v>
      </c>
      <c r="BA64" s="891" t="s">
        <v>32</v>
      </c>
      <c r="BB64" s="904" t="s">
        <v>34</v>
      </c>
      <c r="BC64" s="891" t="s">
        <v>35</v>
      </c>
      <c r="BD64" s="891" t="s">
        <v>1877</v>
      </c>
      <c r="BE64" s="891" t="s">
        <v>32</v>
      </c>
      <c r="BF64" s="891" t="s">
        <v>36</v>
      </c>
      <c r="BG64" s="891" t="s">
        <v>36</v>
      </c>
      <c r="BH64" s="891" t="s">
        <v>35</v>
      </c>
      <c r="BI64" s="891"/>
      <c r="BJ64" s="891"/>
      <c r="BK64" s="891"/>
      <c r="BL64" s="891"/>
      <c r="BM64" s="891"/>
      <c r="BN64" s="891"/>
      <c r="BO64" s="891"/>
      <c r="BP64" s="896"/>
      <c r="BQ64" s="896"/>
      <c r="BR64" s="893"/>
      <c r="BS64" s="896"/>
      <c r="BT64" s="893"/>
      <c r="BU64" s="896"/>
      <c r="BV64" s="896"/>
      <c r="BW64" s="897"/>
      <c r="BX64" s="897"/>
      <c r="BY64" s="897"/>
      <c r="BZ64" s="897"/>
      <c r="CA64" s="897"/>
      <c r="CB64" s="896"/>
      <c r="CC64" s="896"/>
      <c r="CD64" s="896"/>
      <c r="CE64" s="896"/>
      <c r="CF64" s="896"/>
      <c r="CG64" s="896"/>
      <c r="CH64" s="896"/>
    </row>
    <row r="65" spans="1:86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15</v>
      </c>
      <c r="G65" s="879" t="s">
        <v>881</v>
      </c>
      <c r="H65" s="879" t="s">
        <v>22</v>
      </c>
      <c r="I65" s="879" t="s">
        <v>891</v>
      </c>
      <c r="J65" s="846">
        <v>1</v>
      </c>
      <c r="K65" s="846">
        <v>1</v>
      </c>
      <c r="L65" s="816" t="str">
        <f t="shared" si="34"/>
        <v>D</v>
      </c>
      <c r="M65" s="816">
        <f t="shared" si="35"/>
        <v>2</v>
      </c>
      <c r="N65" s="816" t="str">
        <f t="shared" si="36"/>
        <v>U</v>
      </c>
      <c r="O65" s="816">
        <f t="shared" si="57"/>
        <v>-0.25</v>
      </c>
      <c r="P65" s="829">
        <f t="shared" si="58"/>
        <v>-0.5</v>
      </c>
      <c r="Q65" s="830">
        <v>0.3</v>
      </c>
      <c r="R65" s="871">
        <f t="shared" si="37"/>
        <v>-0.3</v>
      </c>
      <c r="S65" s="830">
        <v>2.8</v>
      </c>
      <c r="T65" s="871">
        <f t="shared" si="31"/>
        <v>-0.79999999999999982</v>
      </c>
      <c r="U65" s="868">
        <f t="shared" si="60"/>
        <v>1.5499999999999998</v>
      </c>
      <c r="V65" s="868">
        <f t="shared" si="61"/>
        <v>1.25</v>
      </c>
      <c r="W65" s="829">
        <v>13</v>
      </c>
      <c r="X65" s="829">
        <v>13</v>
      </c>
      <c r="Y65" s="829">
        <v>4</v>
      </c>
      <c r="Z65" s="829">
        <v>5</v>
      </c>
      <c r="AA65" s="829">
        <v>54</v>
      </c>
      <c r="AB65" s="829">
        <v>46</v>
      </c>
      <c r="AC65" s="829"/>
      <c r="AD65" s="816" t="str">
        <f t="array" ref="AD65">IF($J65="","",IF(SUM(IF(ISNUMBER(VALUE(RIGHT($AG65:$CM65,1))),VALUE(RIGHT($AG65:$CM65,1)),0))=$J65,"T","F"))</f>
        <v>T</v>
      </c>
      <c r="AE65" s="831">
        <f t="array" ref="AE65">IF($J65="","",SUM(IF(LEFT($AG65:$DY65,1)="s",1,0))-SUM(IF(RIGHT(LEFT($AG65:$DY65,2))="-",1,0)))</f>
        <v>0</v>
      </c>
      <c r="AF65" s="816">
        <f t="array" ref="AF65">IF($J65="","",SUM(IF(LEFT($AG65:$DE65,1)="X",1,0)))</f>
        <v>11</v>
      </c>
      <c r="AG65" s="891" t="s">
        <v>34</v>
      </c>
      <c r="AH65" s="891" t="s">
        <v>1877</v>
      </c>
      <c r="AI65" s="891" t="s">
        <v>32</v>
      </c>
      <c r="AJ65" s="891" t="s">
        <v>34</v>
      </c>
      <c r="AK65" s="891" t="s">
        <v>34</v>
      </c>
      <c r="AL65" s="891" t="s">
        <v>3573</v>
      </c>
      <c r="AM65" s="891" t="s">
        <v>1877</v>
      </c>
      <c r="AN65" s="891" t="s">
        <v>32</v>
      </c>
      <c r="AO65" s="891" t="s">
        <v>35</v>
      </c>
      <c r="AP65" s="891" t="s">
        <v>34</v>
      </c>
      <c r="AQ65" s="891" t="s">
        <v>34</v>
      </c>
      <c r="AR65" s="891" t="s">
        <v>34</v>
      </c>
      <c r="AS65" s="891" t="s">
        <v>36</v>
      </c>
      <c r="AT65" s="891" t="s">
        <v>32</v>
      </c>
      <c r="AU65" s="891" t="s">
        <v>32</v>
      </c>
      <c r="AV65" s="891" t="s">
        <v>36</v>
      </c>
      <c r="AW65" s="891" t="s">
        <v>32</v>
      </c>
      <c r="AX65" s="891" t="s">
        <v>32</v>
      </c>
      <c r="AY65" s="891" t="s">
        <v>34</v>
      </c>
      <c r="AZ65" s="891" t="s">
        <v>32</v>
      </c>
      <c r="BA65" s="891" t="s">
        <v>32</v>
      </c>
      <c r="BB65" s="891" t="s">
        <v>35</v>
      </c>
      <c r="BC65" s="891" t="s">
        <v>35</v>
      </c>
      <c r="BD65" s="891" t="s">
        <v>1877</v>
      </c>
      <c r="BE65" s="891" t="s">
        <v>32</v>
      </c>
      <c r="BF65" s="891" t="s">
        <v>36</v>
      </c>
      <c r="BG65" s="891" t="s">
        <v>1877</v>
      </c>
      <c r="BH65" s="891" t="s">
        <v>3571</v>
      </c>
      <c r="BI65" s="891"/>
      <c r="BJ65" s="891"/>
      <c r="BK65" s="891"/>
      <c r="BL65" s="891"/>
      <c r="BM65" s="891"/>
      <c r="BN65" s="891"/>
      <c r="BO65" s="891"/>
      <c r="BP65" s="896"/>
      <c r="BQ65" s="896"/>
      <c r="BR65" s="893"/>
      <c r="BS65" s="896"/>
      <c r="BT65" s="893"/>
      <c r="BU65" s="896"/>
      <c r="BV65" s="896"/>
      <c r="BW65" s="897"/>
      <c r="BX65" s="897"/>
      <c r="BY65" s="897"/>
      <c r="BZ65" s="897"/>
      <c r="CA65" s="897"/>
      <c r="CB65" s="896"/>
      <c r="CC65" s="896"/>
      <c r="CD65" s="896"/>
      <c r="CE65" s="896"/>
      <c r="CF65" s="896"/>
      <c r="CG65" s="896"/>
      <c r="CH65" s="896"/>
    </row>
    <row r="66" spans="1:86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31"/>
        <v/>
      </c>
      <c r="U66" s="868" t="str">
        <f t="shared" si="60"/>
        <v/>
      </c>
      <c r="V66" s="868" t="str">
        <f t="shared" si="61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IF($J66="","",IF(SUM(IF(ISNUMBER(VALUE(RIGHT($AG66:$CM66,1))),VALUE(RIGHT($AG66:$CM66,1)),0))=$J66,"T","F"))</f>
        <v/>
      </c>
      <c r="AE66" s="831" t="str">
        <f t="array" ref="AE66">IF($J66="","",SUM(IF(LEFT($AG66:$DY66,1)="s",1,0))-SUM(IF(RIGHT(LEFT($AG66:$DY66,2))="-",1,0)))</f>
        <v/>
      </c>
      <c r="AF66" s="816" t="str">
        <f t="array" ref="AF66">IF($J66="","",SUM(IF(LEFT($AG66:$DE66,1)="X",1,0)))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6"/>
      <c r="BQ66" s="896"/>
      <c r="BR66" s="893"/>
      <c r="BS66" s="896"/>
      <c r="BT66" s="893"/>
      <c r="BU66" s="896"/>
      <c r="BV66" s="896"/>
      <c r="BW66" s="897"/>
      <c r="BX66" s="897"/>
      <c r="BY66" s="897"/>
      <c r="BZ66" s="897"/>
      <c r="CA66" s="897"/>
      <c r="CB66" s="896"/>
      <c r="CC66" s="896"/>
      <c r="CD66" s="896"/>
      <c r="CE66" s="896"/>
      <c r="CF66" s="896"/>
      <c r="CG66" s="896"/>
      <c r="CH66" s="896"/>
    </row>
    <row r="67" spans="1:86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31"/>
        <v/>
      </c>
      <c r="U67" s="868" t="str">
        <f t="shared" si="60"/>
        <v/>
      </c>
      <c r="V67" s="868" t="str">
        <f t="shared" si="61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IF($J67="","",IF(SUM(IF(ISNUMBER(VALUE(RIGHT($AG67:$CM67,1))),VALUE(RIGHT($AG67:$CM67,1)),0))=$J67,"T","F"))</f>
        <v/>
      </c>
      <c r="AE67" s="831" t="str">
        <f t="array" ref="AE67">IF($J67="","",SUM(IF(LEFT($AG67:$DY67,1)="s",1,0))-SUM(IF(RIGHT(LEFT($AG67:$DY67,2))="-",1,0)))</f>
        <v/>
      </c>
      <c r="AF67" s="816" t="str">
        <f t="array" ref="AF67">IF($J67="","",SUM(IF(LEFT($AG67:$DE67,1)="X",1,0)))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6"/>
      <c r="BQ67" s="896"/>
      <c r="BR67" s="893"/>
      <c r="BS67" s="896"/>
      <c r="BT67" s="893"/>
      <c r="BU67" s="896"/>
      <c r="BV67" s="896"/>
      <c r="BW67" s="897"/>
      <c r="BX67" s="897"/>
      <c r="BY67" s="897"/>
      <c r="BZ67" s="897"/>
      <c r="CA67" s="897"/>
      <c r="CB67" s="896"/>
      <c r="CC67" s="896"/>
      <c r="CD67" s="896"/>
      <c r="CE67" s="896"/>
      <c r="CF67" s="896"/>
      <c r="CG67" s="896"/>
      <c r="CH67" s="896"/>
    </row>
    <row r="68" spans="1:86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31"/>
        <v/>
      </c>
      <c r="U68" s="868" t="str">
        <f t="shared" si="60"/>
        <v/>
      </c>
      <c r="V68" s="868" t="str">
        <f t="shared" si="61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IF($J68="","",IF(SUM(IF(ISNUMBER(VALUE(RIGHT($AG68:$CM68,1))),VALUE(RIGHT($AG68:$CM68,1)),0))=$J68,"T","F"))</f>
        <v/>
      </c>
      <c r="AE68" s="831" t="str">
        <f t="array" ref="AE68">IF($J68="","",SUM(IF(LEFT($AG68:$DY68,1)="s",1,0))-SUM(IF(RIGHT(LEFT($AG68:$DY68,2))="-",1,0)))</f>
        <v/>
      </c>
      <c r="AF68" s="816" t="str">
        <f t="array" ref="AF68">IF($J68="","",SUM(IF(LEFT($AG68:$DE68,1)="X",1,0)))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6"/>
      <c r="BQ68" s="896"/>
      <c r="BR68" s="893"/>
      <c r="BS68" s="896"/>
      <c r="BT68" s="893"/>
      <c r="BU68" s="896"/>
      <c r="BV68" s="896"/>
      <c r="BW68" s="897"/>
      <c r="BX68" s="897"/>
      <c r="BY68" s="897"/>
      <c r="BZ68" s="897"/>
      <c r="CA68" s="897"/>
      <c r="CB68" s="896"/>
      <c r="CC68" s="896"/>
      <c r="CD68" s="896"/>
      <c r="CE68" s="896"/>
      <c r="CF68" s="896"/>
      <c r="CG68" s="896"/>
      <c r="CH68" s="896"/>
    </row>
    <row r="69" spans="1:86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6"/>
      <c r="AH69" s="896"/>
      <c r="AI69" s="896"/>
      <c r="AJ69" s="893"/>
      <c r="AK69" s="896"/>
      <c r="AL69" s="896"/>
      <c r="AM69" s="896"/>
      <c r="AN69" s="896"/>
      <c r="AO69" s="896"/>
      <c r="AP69" s="896"/>
      <c r="AQ69" s="896"/>
      <c r="AR69" s="896"/>
      <c r="AS69" s="896"/>
      <c r="AT69" s="896"/>
      <c r="AU69" s="896"/>
      <c r="AV69" s="896"/>
      <c r="AW69" s="896"/>
      <c r="AX69" s="896"/>
      <c r="AY69" s="896"/>
      <c r="AZ69" s="896"/>
      <c r="BA69" s="896"/>
      <c r="BB69" s="896"/>
      <c r="BC69" s="896"/>
      <c r="BD69" s="896"/>
      <c r="BE69" s="896"/>
      <c r="BF69" s="896"/>
      <c r="BG69" s="896"/>
      <c r="BH69" s="896"/>
      <c r="BI69" s="893"/>
      <c r="BJ69" s="893"/>
      <c r="BK69" s="893"/>
      <c r="BL69" s="893"/>
      <c r="BM69" s="896"/>
      <c r="BN69" s="896"/>
      <c r="BO69" s="896"/>
      <c r="BP69" s="896"/>
      <c r="BQ69" s="896"/>
      <c r="BR69" s="893"/>
      <c r="BS69" s="896"/>
      <c r="BT69" s="893"/>
      <c r="BU69" s="896"/>
      <c r="BV69" s="896"/>
      <c r="BW69" s="897"/>
      <c r="BX69" s="897"/>
      <c r="BY69" s="897"/>
      <c r="BZ69" s="897"/>
      <c r="CA69" s="897"/>
      <c r="CB69" s="896"/>
      <c r="CC69" s="896"/>
      <c r="CD69" s="896"/>
      <c r="CE69" s="896"/>
      <c r="CF69" s="896"/>
      <c r="CG69" s="896"/>
      <c r="CH69" s="896"/>
    </row>
    <row r="70" spans="1:86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6"/>
      <c r="AH70" s="896"/>
      <c r="AI70" s="896"/>
      <c r="AJ70" s="893"/>
      <c r="AK70" s="896"/>
      <c r="AL70" s="896"/>
      <c r="AM70" s="896"/>
      <c r="AN70" s="896"/>
      <c r="AO70" s="896"/>
      <c r="AP70" s="896"/>
      <c r="AQ70" s="896"/>
      <c r="AR70" s="896"/>
      <c r="AS70" s="896"/>
      <c r="AT70" s="896"/>
      <c r="AU70" s="896"/>
      <c r="AV70" s="896"/>
      <c r="AW70" s="896"/>
      <c r="AX70" s="896"/>
      <c r="AY70" s="896"/>
      <c r="AZ70" s="896"/>
      <c r="BA70" s="896"/>
      <c r="BB70" s="896"/>
      <c r="BC70" s="896"/>
      <c r="BD70" s="896"/>
      <c r="BE70" s="896"/>
      <c r="BF70" s="896"/>
      <c r="BG70" s="896"/>
      <c r="BH70" s="896"/>
      <c r="BI70" s="893"/>
      <c r="BJ70" s="893"/>
      <c r="BK70" s="893"/>
      <c r="BL70" s="893"/>
      <c r="BM70" s="896"/>
      <c r="BN70" s="896"/>
      <c r="BO70" s="896"/>
      <c r="BP70" s="896"/>
      <c r="BQ70" s="896"/>
      <c r="BR70" s="893"/>
      <c r="BS70" s="896"/>
      <c r="BT70" s="893"/>
      <c r="BU70" s="896"/>
      <c r="BV70" s="896"/>
      <c r="BW70" s="897"/>
      <c r="BX70" s="897"/>
      <c r="BY70" s="897"/>
      <c r="BZ70" s="897"/>
      <c r="CA70" s="897"/>
      <c r="CB70" s="896"/>
      <c r="CC70" s="896"/>
      <c r="CD70" s="896"/>
      <c r="CE70" s="896"/>
      <c r="CF70" s="896"/>
      <c r="CG70" s="896"/>
      <c r="CH70" s="896"/>
    </row>
    <row r="71" spans="1:86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3"/>
      <c r="AK71" s="896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6"/>
      <c r="BC71" s="896"/>
      <c r="BD71" s="896"/>
      <c r="BE71" s="896"/>
      <c r="BF71" s="896"/>
      <c r="BG71" s="896"/>
      <c r="BH71" s="896"/>
      <c r="BI71" s="893"/>
      <c r="BJ71" s="893"/>
      <c r="BK71" s="893"/>
      <c r="BL71" s="893"/>
      <c r="BM71" s="896"/>
      <c r="BN71" s="896"/>
      <c r="BO71" s="896"/>
      <c r="BP71" s="896"/>
      <c r="BQ71" s="896"/>
      <c r="BR71" s="893"/>
      <c r="BS71" s="896"/>
      <c r="BT71" s="893"/>
      <c r="BU71" s="896"/>
      <c r="BV71" s="896"/>
      <c r="BW71" s="897"/>
      <c r="BX71" s="897"/>
      <c r="BY71" s="897"/>
      <c r="BZ71" s="897"/>
      <c r="CA71" s="897"/>
      <c r="CB71" s="896"/>
      <c r="CC71" s="896"/>
      <c r="CD71" s="896"/>
      <c r="CE71" s="896"/>
      <c r="CF71" s="896"/>
      <c r="CG71" s="896"/>
      <c r="CH71" s="896"/>
    </row>
    <row r="72" spans="1:86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ref="L72:L129" si="62">IF(J72="","",IF(J72&gt;K72,"W",IF(J72=K72,"D",IF(J72&lt;K72,"L"))))</f>
        <v/>
      </c>
      <c r="M72" s="816" t="str">
        <f t="shared" ref="M72:M129" si="63">IF(J72="","",J72+K72)</f>
        <v/>
      </c>
      <c r="N72" s="816" t="str">
        <f t="shared" ref="N72:N129" si="64">IF($J72="","",IF($M72&gt;N$19,"O",IF($M72&lt;N$19,"U",IF($M72=N$19,"-"))))</f>
        <v/>
      </c>
      <c r="R72" s="816" t="str">
        <f t="shared" ref="R72:R129" si="65">IF(ISBLANK(Q72),"",J72-K72-Q72)</f>
        <v/>
      </c>
      <c r="T72" s="829" t="str">
        <f t="shared" ref="T72:T129" si="66">IF(ISBLANK(S72),"",J72+K72-S72)</f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IF($J72="","",IF(SUM(IF(ISNUMBER(VALUE(RIGHT($AG72:$CM72,1))),VALUE(RIGHT($AG72:$CM72,1)),0))=$J72,"T","F"))</f>
        <v/>
      </c>
      <c r="AE72" s="831" t="str">
        <f t="array" ref="AE72">IF($J72="","",SUM(IF(LEFT($AG72:$DY72,1)="s",1,0))-SUM(IF(RIGHT(LEFT($AG72:$DY72,2))="-",1,0)))</f>
        <v/>
      </c>
      <c r="AF72" s="816" t="str">
        <f t="array" ref="AF72">IF($J72="","",SUM(IF(LEFT($AG72:$DE72,1)="X",1,0)))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7"/>
      <c r="BD72" s="897"/>
      <c r="BE72" s="897"/>
      <c r="BF72" s="897"/>
      <c r="BG72" s="897"/>
      <c r="BH72" s="897"/>
      <c r="BI72" s="893"/>
      <c r="BJ72" s="893"/>
      <c r="BK72" s="893"/>
      <c r="BL72" s="893"/>
      <c r="BM72" s="897"/>
      <c r="BN72" s="897"/>
      <c r="BO72" s="897"/>
      <c r="BP72" s="897"/>
      <c r="BQ72" s="897"/>
      <c r="BR72" s="893"/>
      <c r="BS72" s="897"/>
      <c r="BT72" s="893"/>
      <c r="BU72" s="897"/>
      <c r="BV72" s="897"/>
      <c r="BW72" s="897"/>
      <c r="BX72" s="897"/>
      <c r="BY72" s="897"/>
      <c r="BZ72" s="897"/>
      <c r="CA72" s="897"/>
      <c r="CB72" s="897"/>
      <c r="CC72" s="897"/>
      <c r="CD72" s="897"/>
      <c r="CE72" s="897"/>
      <c r="CF72" s="897"/>
      <c r="CG72" s="897"/>
      <c r="CH72" s="897"/>
    </row>
    <row r="73" spans="1:86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62"/>
        <v/>
      </c>
      <c r="M73" s="816" t="str">
        <f t="shared" si="63"/>
        <v/>
      </c>
      <c r="N73" s="816" t="str">
        <f t="shared" si="64"/>
        <v/>
      </c>
      <c r="R73" s="816" t="str">
        <f t="shared" si="65"/>
        <v/>
      </c>
      <c r="T73" s="829" t="str">
        <f t="shared" si="66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IF($J73="","",IF(SUM(IF(ISNUMBER(VALUE(RIGHT($AG73:$CM73,1))),VALUE(RIGHT($AG73:$CM73,1)),0))=$J73,"T","F"))</f>
        <v/>
      </c>
      <c r="AE73" s="831" t="str">
        <f t="array" ref="AE73">IF($J73="","",SUM(IF(LEFT($AG73:$DY73,1)="s",1,0))-SUM(IF(RIGHT(LEFT($AG73:$DY73,2))="-",1,0)))</f>
        <v/>
      </c>
      <c r="AF73" s="816" t="str">
        <f t="array" ref="AF73">IF($J73="","",SUM(IF(LEFT($AG73:$DE73,1)="X",1,0)))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7"/>
      <c r="BE73" s="897"/>
      <c r="BF73" s="897"/>
      <c r="BG73" s="897"/>
      <c r="BH73" s="897"/>
      <c r="BI73" s="893"/>
      <c r="BJ73" s="893"/>
      <c r="BK73" s="893"/>
      <c r="BL73" s="893"/>
      <c r="BM73" s="897"/>
      <c r="BN73" s="897"/>
      <c r="BO73" s="897"/>
      <c r="BP73" s="897"/>
      <c r="BQ73" s="897"/>
      <c r="BR73" s="893"/>
      <c r="BS73" s="897"/>
      <c r="BT73" s="893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  <c r="CE73" s="897"/>
      <c r="CF73" s="897"/>
      <c r="CG73" s="897"/>
      <c r="CH73" s="897"/>
    </row>
    <row r="74" spans="1:86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62"/>
        <v/>
      </c>
      <c r="M74" s="816" t="str">
        <f t="shared" si="63"/>
        <v/>
      </c>
      <c r="N74" s="816" t="str">
        <f t="shared" si="64"/>
        <v/>
      </c>
      <c r="R74" s="816" t="str">
        <f t="shared" si="65"/>
        <v/>
      </c>
      <c r="T74" s="829" t="str">
        <f t="shared" si="66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IF($J74="","",IF(SUM(IF(ISNUMBER(VALUE(RIGHT($AG74:$CM74,1))),VALUE(RIGHT($AG74:$CM74,1)),0))=$J74,"T","F"))</f>
        <v/>
      </c>
      <c r="AE74" s="831" t="str">
        <f t="array" ref="AE74">IF($J74="","",SUM(IF(LEFT($AG74:$DY74,1)="s",1,0))-SUM(IF(RIGHT(LEFT($AG74:$DY74,2))="-",1,0)))</f>
        <v/>
      </c>
      <c r="AF74" s="816" t="str">
        <f t="array" ref="AF74">IF($J74="","",SUM(IF(LEFT($AG74:$DE74,1)="X",1,0)))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7"/>
      <c r="BE74" s="897"/>
      <c r="BF74" s="897"/>
      <c r="BG74" s="897"/>
      <c r="BH74" s="897"/>
      <c r="BI74" s="893"/>
      <c r="BJ74" s="893"/>
      <c r="BK74" s="893"/>
      <c r="BL74" s="893"/>
      <c r="BM74" s="897"/>
      <c r="BN74" s="897"/>
      <c r="BO74" s="897"/>
      <c r="BP74" s="897"/>
      <c r="BQ74" s="897"/>
      <c r="BR74" s="893"/>
      <c r="BS74" s="897"/>
      <c r="BT74" s="893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  <c r="CG74" s="897"/>
      <c r="CH74" s="897"/>
    </row>
    <row r="75" spans="1:86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62"/>
        <v/>
      </c>
      <c r="M75" s="816" t="str">
        <f t="shared" si="63"/>
        <v/>
      </c>
      <c r="N75" s="816" t="str">
        <f t="shared" si="64"/>
        <v/>
      </c>
      <c r="R75" s="816" t="str">
        <f t="shared" si="65"/>
        <v/>
      </c>
      <c r="T75" s="829" t="str">
        <f t="shared" si="66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IF($J75="","",IF(SUM(IF(ISNUMBER(VALUE(RIGHT($AG75:$CM75,1))),VALUE(RIGHT($AG75:$CM75,1)),0))=$J75,"T","F"))</f>
        <v/>
      </c>
      <c r="AE75" s="831" t="str">
        <f t="array" ref="AE75">IF($J75="","",SUM(IF(LEFT($AG75:$DY75,1)="s",1,0))-SUM(IF(RIGHT(LEFT($AG75:$DY75,2))="-",1,0)))</f>
        <v/>
      </c>
      <c r="AF75" s="816" t="str">
        <f t="array" ref="AF75">IF($J75="","",SUM(IF(LEFT($AG75:$DE75,1)="X",1,0)))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7"/>
      <c r="BF75" s="897"/>
      <c r="BG75" s="897"/>
      <c r="BH75" s="897"/>
      <c r="BI75" s="893"/>
      <c r="BJ75" s="893"/>
      <c r="BK75" s="893"/>
      <c r="BL75" s="893"/>
      <c r="BM75" s="897"/>
      <c r="BN75" s="897"/>
      <c r="BO75" s="897"/>
      <c r="BP75" s="897"/>
      <c r="BQ75" s="897"/>
      <c r="BR75" s="893"/>
      <c r="BS75" s="897"/>
      <c r="BT75" s="893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  <c r="CG75" s="897"/>
      <c r="CH75" s="897"/>
    </row>
    <row r="76" spans="1:86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62"/>
        <v/>
      </c>
      <c r="M76" s="816" t="str">
        <f t="shared" si="63"/>
        <v/>
      </c>
      <c r="N76" s="816" t="str">
        <f t="shared" si="64"/>
        <v/>
      </c>
      <c r="R76" s="816" t="str">
        <f t="shared" si="65"/>
        <v/>
      </c>
      <c r="T76" s="829" t="str">
        <f t="shared" si="66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IF($J76="","",IF(SUM(IF(ISNUMBER(VALUE(RIGHT($AG76:$CM76,1))),VALUE(RIGHT($AG76:$CM76,1)),0))=$J76,"T","F"))</f>
        <v/>
      </c>
      <c r="AE76" s="831" t="str">
        <f t="array" ref="AE76">IF($J76="","",SUM(IF(LEFT($AG76:$DY76,1)="s",1,0))-SUM(IF(RIGHT(LEFT($AG76:$DY76,2))="-",1,0)))</f>
        <v/>
      </c>
      <c r="AF76" s="816" t="str">
        <f t="array" ref="AF76">IF($J76="","",SUM(IF(LEFT($AG76:$DE76,1)="X",1,0)))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7"/>
      <c r="BG76" s="897"/>
      <c r="BH76" s="897"/>
      <c r="BI76" s="893"/>
      <c r="BJ76" s="893"/>
      <c r="BK76" s="893"/>
      <c r="BL76" s="893"/>
      <c r="BM76" s="897"/>
      <c r="BN76" s="897"/>
      <c r="BO76" s="897"/>
      <c r="BP76" s="897"/>
      <c r="BQ76" s="897"/>
      <c r="BR76" s="893"/>
      <c r="BS76" s="897"/>
      <c r="BT76" s="893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  <c r="CG76" s="897"/>
      <c r="CH76" s="897"/>
    </row>
    <row r="77" spans="1:86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62"/>
        <v/>
      </c>
      <c r="M77" s="816" t="str">
        <f t="shared" si="63"/>
        <v/>
      </c>
      <c r="N77" s="816" t="str">
        <f t="shared" si="64"/>
        <v/>
      </c>
      <c r="R77" s="816" t="str">
        <f t="shared" si="65"/>
        <v/>
      </c>
      <c r="T77" s="829" t="str">
        <f t="shared" si="66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IF($J77="","",IF(SUM(IF(ISNUMBER(VALUE(RIGHT($AG77:$CM77,1))),VALUE(RIGHT($AG77:$CM77,1)),0))=$J77,"T","F"))</f>
        <v/>
      </c>
      <c r="AE77" s="831" t="str">
        <f t="array" ref="AE77">IF($J77="","",SUM(IF(LEFT($AG77:$DY77,1)="s",1,0))-SUM(IF(RIGHT(LEFT($AG77:$DY77,2))="-",1,0)))</f>
        <v/>
      </c>
      <c r="AF77" s="816" t="str">
        <f t="array" ref="AF77">IF($J77="","",SUM(IF(LEFT($AG77:$DE77,1)="X",1,0)))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7"/>
      <c r="BF77" s="897"/>
      <c r="BG77" s="897"/>
      <c r="BH77" s="897"/>
      <c r="BI77" s="893"/>
      <c r="BJ77" s="893"/>
      <c r="BK77" s="893"/>
      <c r="BL77" s="893"/>
      <c r="BM77" s="897"/>
      <c r="BN77" s="897"/>
      <c r="BO77" s="897"/>
      <c r="BP77" s="897"/>
      <c r="BQ77" s="897"/>
      <c r="BR77" s="893"/>
      <c r="BS77" s="897"/>
      <c r="BT77" s="893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  <c r="CG77" s="897"/>
      <c r="CH77" s="897"/>
    </row>
    <row r="78" spans="1:86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62"/>
        <v/>
      </c>
      <c r="M78" s="816" t="str">
        <f t="shared" si="63"/>
        <v/>
      </c>
      <c r="N78" s="816" t="str">
        <f t="shared" si="64"/>
        <v/>
      </c>
      <c r="R78" s="816" t="str">
        <f t="shared" si="65"/>
        <v/>
      </c>
      <c r="T78" s="829" t="str">
        <f t="shared" si="66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IF($J78="","",IF(SUM(IF(ISNUMBER(VALUE(RIGHT($AG78:$CM78,1))),VALUE(RIGHT($AG78:$CM78,1)),0))=$J78,"T","F"))</f>
        <v/>
      </c>
      <c r="AE78" s="831" t="str">
        <f t="array" ref="AE78">IF($J78="","",SUM(IF(LEFT($AG78:$DY78,1)="s",1,0))-SUM(IF(RIGHT(LEFT($AG78:$DY78,2))="-",1,0)))</f>
        <v/>
      </c>
      <c r="AF78" s="816" t="str">
        <f t="array" ref="AF78">IF($J78="","",SUM(IF(LEFT($AG78:$DE78,1)="X",1,0)))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7"/>
      <c r="BF78" s="897"/>
      <c r="BG78" s="897"/>
      <c r="BH78" s="897"/>
      <c r="BI78" s="893"/>
      <c r="BJ78" s="893"/>
      <c r="BK78" s="893"/>
      <c r="BL78" s="893"/>
      <c r="BM78" s="897"/>
      <c r="BN78" s="897"/>
      <c r="BO78" s="897"/>
      <c r="BP78" s="897"/>
      <c r="BQ78" s="897"/>
      <c r="BR78" s="893"/>
      <c r="BS78" s="897"/>
      <c r="BT78" s="893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  <c r="CG78" s="897"/>
      <c r="CH78" s="897"/>
    </row>
    <row r="79" spans="1:86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2"/>
        <v/>
      </c>
      <c r="M79" s="816" t="str">
        <f t="shared" si="63"/>
        <v/>
      </c>
      <c r="N79" s="816" t="str">
        <f t="shared" si="64"/>
        <v/>
      </c>
      <c r="R79" s="816" t="str">
        <f t="shared" si="65"/>
        <v/>
      </c>
      <c r="T79" s="829" t="str">
        <f t="shared" si="66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IF($J79="","",IF(SUM(IF(ISNUMBER(VALUE(RIGHT($AG79:$CM79,1))),VALUE(RIGHT($AG79:$CM79,1)),0))=$J79,"T","F"))</f>
        <v/>
      </c>
      <c r="AE79" s="831" t="str">
        <f t="array" ref="AE79">IF($J79="","",SUM(IF(LEFT($AG79:$DY79,1)="s",1,0))-SUM(IF(RIGHT(LEFT($AG79:$DY79,2))="-",1,0)))</f>
        <v/>
      </c>
      <c r="AF79" s="816" t="str">
        <f t="array" ref="AF79">IF($J79="","",SUM(IF(LEFT($AG79:$DE79,1)="X",1,0)))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7"/>
      <c r="BG79" s="897"/>
      <c r="BH79" s="897"/>
      <c r="BI79" s="893"/>
      <c r="BJ79" s="893"/>
      <c r="BK79" s="893"/>
      <c r="BL79" s="893"/>
      <c r="BM79" s="897"/>
      <c r="BN79" s="897"/>
      <c r="BO79" s="897"/>
      <c r="BP79" s="897"/>
      <c r="BQ79" s="897"/>
      <c r="BR79" s="893"/>
      <c r="BS79" s="897"/>
      <c r="BT79" s="893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  <c r="CG79" s="897"/>
      <c r="CH79" s="897"/>
    </row>
    <row r="80" spans="1:86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2"/>
        <v/>
      </c>
      <c r="M80" s="816" t="str">
        <f t="shared" si="63"/>
        <v/>
      </c>
      <c r="N80" s="816" t="str">
        <f t="shared" si="64"/>
        <v/>
      </c>
      <c r="R80" s="816" t="str">
        <f t="shared" si="65"/>
        <v/>
      </c>
      <c r="T80" s="829" t="str">
        <f t="shared" si="66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IF($J80="","",IF(SUM(IF(ISNUMBER(VALUE(RIGHT($AG80:$CM80,1))),VALUE(RIGHT($AG80:$CM80,1)),0))=$J80,"T","F"))</f>
        <v/>
      </c>
      <c r="AE80" s="831" t="str">
        <f t="array" ref="AE80">IF($J80="","",SUM(IF(LEFT($AG80:$DY80,1)="s",1,0))-SUM(IF(RIGHT(LEFT($AG80:$DY80,2))="-",1,0)))</f>
        <v/>
      </c>
      <c r="AF80" s="816" t="str">
        <f t="array" ref="AF80">IF($J80="","",SUM(IF(LEFT($AG80:$DE80,1)="X",1,0)))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7"/>
      <c r="BG80" s="897"/>
      <c r="BH80" s="897"/>
      <c r="BI80" s="893"/>
      <c r="BJ80" s="893"/>
      <c r="BK80" s="893"/>
      <c r="BL80" s="893"/>
      <c r="BM80" s="897"/>
      <c r="BN80" s="897"/>
      <c r="BO80" s="897"/>
      <c r="BP80" s="897"/>
      <c r="BQ80" s="897"/>
      <c r="BR80" s="893"/>
      <c r="BS80" s="897"/>
      <c r="BT80" s="893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  <c r="CG80" s="897"/>
      <c r="CH80" s="897"/>
    </row>
    <row r="81" spans="1:86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2"/>
        <v/>
      </c>
      <c r="M81" s="816" t="str">
        <f t="shared" si="63"/>
        <v/>
      </c>
      <c r="N81" s="816" t="str">
        <f t="shared" si="64"/>
        <v/>
      </c>
      <c r="R81" s="816" t="str">
        <f t="shared" si="65"/>
        <v/>
      </c>
      <c r="T81" s="829" t="str">
        <f t="shared" si="66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IF($J81="","",IF(SUM(IF(ISNUMBER(VALUE(RIGHT($AG81:$CM81,1))),VALUE(RIGHT($AG81:$CM81,1)),0))=$J81,"T","F"))</f>
        <v/>
      </c>
      <c r="AE81" s="831" t="str">
        <f t="array" ref="AE81">IF($J81="","",SUM(IF(LEFT($AG81:$DY81,1)="s",1,0))-SUM(IF(RIGHT(LEFT($AG81:$DY81,2))="-",1,0)))</f>
        <v/>
      </c>
      <c r="AF81" s="816" t="str">
        <f t="array" ref="AF81">IF($J81="","",SUM(IF(LEFT($AG81:$DE81,1)="X",1,0)))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7"/>
      <c r="BG81" s="897"/>
      <c r="BH81" s="897"/>
      <c r="BI81" s="893"/>
      <c r="BJ81" s="893"/>
      <c r="BK81" s="893"/>
      <c r="BL81" s="893"/>
      <c r="BM81" s="897"/>
      <c r="BN81" s="897"/>
      <c r="BO81" s="897"/>
      <c r="BP81" s="897"/>
      <c r="BQ81" s="897"/>
      <c r="BR81" s="893"/>
      <c r="BS81" s="897"/>
      <c r="BT81" s="893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  <c r="CG81" s="897"/>
      <c r="CH81" s="897"/>
    </row>
    <row r="82" spans="1:86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2"/>
        <v/>
      </c>
      <c r="M82" s="816" t="str">
        <f t="shared" si="63"/>
        <v/>
      </c>
      <c r="N82" s="816" t="str">
        <f t="shared" si="64"/>
        <v/>
      </c>
      <c r="R82" s="816" t="str">
        <f t="shared" si="65"/>
        <v/>
      </c>
      <c r="T82" s="829" t="str">
        <f t="shared" si="66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IF($J82="","",IF(SUM(IF(ISNUMBER(VALUE(RIGHT($AG82:$CM82,1))),VALUE(RIGHT($AG82:$CM82,1)),0))=$J82,"T","F"))</f>
        <v/>
      </c>
      <c r="AE82" s="831" t="str">
        <f t="array" ref="AE82">IF($J82="","",SUM(IF(LEFT($AG82:$DY82,1)="s",1,0))-SUM(IF(RIGHT(LEFT($AG82:$DY82,2))="-",1,0)))</f>
        <v/>
      </c>
      <c r="AF82" s="816" t="str">
        <f t="array" ref="AF82">IF($J82="","",SUM(IF(LEFT($AG82:$DE82,1)="X",1,0)))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7"/>
      <c r="BF82" s="897"/>
      <c r="BG82" s="897"/>
      <c r="BH82" s="897"/>
      <c r="BI82" s="893"/>
      <c r="BJ82" s="893"/>
      <c r="BK82" s="893"/>
      <c r="BL82" s="893"/>
      <c r="BM82" s="897"/>
      <c r="BN82" s="897"/>
      <c r="BO82" s="897"/>
      <c r="BP82" s="897"/>
      <c r="BQ82" s="897"/>
      <c r="BR82" s="893"/>
      <c r="BS82" s="897"/>
      <c r="BT82" s="893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  <c r="CG82" s="897"/>
      <c r="CH82" s="897"/>
    </row>
    <row r="83" spans="1:86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2"/>
        <v/>
      </c>
      <c r="M83" s="816" t="str">
        <f t="shared" si="63"/>
        <v/>
      </c>
      <c r="N83" s="816" t="str">
        <f t="shared" si="64"/>
        <v/>
      </c>
      <c r="R83" s="816" t="str">
        <f t="shared" si="65"/>
        <v/>
      </c>
      <c r="T83" s="829" t="str">
        <f t="shared" si="66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IF($J83="","",IF(SUM(IF(ISNUMBER(VALUE(RIGHT($AG83:$CM83,1))),VALUE(RIGHT($AG83:$CM83,1)),0))=$J83,"T","F"))</f>
        <v/>
      </c>
      <c r="AE83" s="831" t="str">
        <f t="array" ref="AE83">IF($J83="","",SUM(IF(LEFT($AG83:$DY83,1)="s",1,0))-SUM(IF(RIGHT(LEFT($AG83:$DY83,2))="-",1,0)))</f>
        <v/>
      </c>
      <c r="AF83" s="816" t="str">
        <f t="array" ref="AF83">IF($J83="","",SUM(IF(LEFT($AG83:$DE83,1)="X",1,0)))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7"/>
      <c r="BG83" s="897"/>
      <c r="BH83" s="897"/>
      <c r="BI83" s="893"/>
      <c r="BJ83" s="893"/>
      <c r="BK83" s="893"/>
      <c r="BL83" s="893"/>
      <c r="BM83" s="897"/>
      <c r="BN83" s="897"/>
      <c r="BO83" s="897"/>
      <c r="BP83" s="897"/>
      <c r="BQ83" s="897"/>
      <c r="BR83" s="893"/>
      <c r="BS83" s="897"/>
      <c r="BT83" s="893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  <c r="CG83" s="897"/>
      <c r="CH83" s="897"/>
    </row>
    <row r="84" spans="1:86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2"/>
        <v/>
      </c>
      <c r="M84" s="816" t="str">
        <f t="shared" si="63"/>
        <v/>
      </c>
      <c r="N84" s="816" t="str">
        <f t="shared" si="64"/>
        <v/>
      </c>
      <c r="R84" s="816" t="str">
        <f t="shared" si="65"/>
        <v/>
      </c>
      <c r="T84" s="829" t="str">
        <f t="shared" si="66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IF($J84="","",IF(SUM(IF(ISNUMBER(VALUE(RIGHT($AG84:$CM84,1))),VALUE(RIGHT($AG84:$CM84,1)),0))=$J84,"T","F"))</f>
        <v/>
      </c>
      <c r="AE84" s="831" t="str">
        <f t="array" ref="AE84">IF($J84="","",SUM(IF(LEFT($AG84:$DY84,1)="s",1,0))-SUM(IF(RIGHT(LEFT($AG84:$DY84,2))="-",1,0)))</f>
        <v/>
      </c>
      <c r="AF84" s="816" t="str">
        <f t="array" ref="AF84">IF($J84="","",SUM(IF(LEFT($AG84:$DE84,1)="X",1,0)))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7"/>
      <c r="BF84" s="897"/>
      <c r="BG84" s="897"/>
      <c r="BH84" s="897"/>
      <c r="BI84" s="893"/>
      <c r="BJ84" s="893"/>
      <c r="BK84" s="893"/>
      <c r="BL84" s="893"/>
      <c r="BM84" s="897"/>
      <c r="BN84" s="897"/>
      <c r="BO84" s="897"/>
      <c r="BP84" s="897"/>
      <c r="BQ84" s="897"/>
      <c r="BR84" s="893"/>
      <c r="BS84" s="897"/>
      <c r="BT84" s="893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  <c r="CG84" s="897"/>
      <c r="CH84" s="897"/>
    </row>
    <row r="85" spans="1:86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787"/>
      <c r="H85" s="833"/>
      <c r="I85" s="833"/>
      <c r="J85" s="833"/>
      <c r="K85" s="833"/>
      <c r="L85" s="816" t="str">
        <f t="shared" si="62"/>
        <v/>
      </c>
      <c r="M85" s="816" t="str">
        <f t="shared" si="63"/>
        <v/>
      </c>
      <c r="N85" s="816" t="str">
        <f t="shared" si="64"/>
        <v/>
      </c>
      <c r="R85" s="816" t="str">
        <f t="shared" si="65"/>
        <v/>
      </c>
      <c r="T85" s="829" t="str">
        <f t="shared" si="66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IF($J85="","",IF(SUM(IF(ISNUMBER(VALUE(RIGHT($AG85:$CM85,1))),VALUE(RIGHT($AG85:$CM85,1)),0))=$J85,"T","F"))</f>
        <v/>
      </c>
      <c r="AE85" s="831" t="str">
        <f t="array" ref="AE85">IF($J85="","",SUM(IF(LEFT($AG85:$DY85,1)="s",1,0))-SUM(IF(RIGHT(LEFT($AG85:$DY85,2))="-",1,0)))</f>
        <v/>
      </c>
      <c r="AF85" s="816" t="str">
        <f t="array" ref="AF85">IF($J85="","",SUM(IF(LEFT($AG85:$DE85,1)="X",1,0)))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7"/>
      <c r="BF85" s="897"/>
      <c r="BG85" s="897"/>
      <c r="BH85" s="897"/>
      <c r="BI85" s="893"/>
      <c r="BJ85" s="893"/>
      <c r="BK85" s="893"/>
      <c r="BL85" s="893"/>
      <c r="BM85" s="897"/>
      <c r="BN85" s="897"/>
      <c r="BO85" s="897"/>
      <c r="BP85" s="897"/>
      <c r="BQ85" s="897"/>
      <c r="BR85" s="893"/>
      <c r="BS85" s="897"/>
      <c r="BT85" s="893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  <c r="CG85" s="897"/>
      <c r="CH85" s="897"/>
    </row>
    <row r="86" spans="1:86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62"/>
        <v/>
      </c>
      <c r="M86" s="816" t="str">
        <f t="shared" si="63"/>
        <v/>
      </c>
      <c r="N86" s="816" t="str">
        <f t="shared" si="64"/>
        <v/>
      </c>
      <c r="R86" s="816" t="str">
        <f t="shared" si="65"/>
        <v/>
      </c>
      <c r="T86" s="829" t="str">
        <f t="shared" si="66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IF($J86="","",IF(SUM(IF(ISNUMBER(VALUE(RIGHT($AG86:$CM86,1))),VALUE(RIGHT($AG86:$CM86,1)),0))=$J86,"T","F"))</f>
        <v/>
      </c>
      <c r="AE86" s="831" t="str">
        <f t="array" ref="AE86">IF($J86="","",SUM(IF(LEFT($AG86:$DY86,1)="s",1,0))-SUM(IF(RIGHT(LEFT($AG86:$DY86,2))="-",1,0)))</f>
        <v/>
      </c>
      <c r="AF86" s="816" t="str">
        <f t="array" ref="AF86">IF($J86="","",SUM(IF(LEFT($AG86:$DE86,1)="X",1,0)))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7"/>
      <c r="BF86" s="897"/>
      <c r="BG86" s="897"/>
      <c r="BH86" s="897"/>
      <c r="BI86" s="893"/>
      <c r="BJ86" s="893"/>
      <c r="BK86" s="893"/>
      <c r="BL86" s="893"/>
      <c r="BM86" s="897"/>
      <c r="BN86" s="897"/>
      <c r="BO86" s="897"/>
      <c r="BP86" s="897"/>
      <c r="BQ86" s="897"/>
      <c r="BR86" s="893"/>
      <c r="BS86" s="897"/>
      <c r="BT86" s="893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  <c r="CG86" s="897"/>
      <c r="CH86" s="897"/>
    </row>
    <row r="87" spans="1:86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62"/>
        <v/>
      </c>
      <c r="M87" s="816" t="str">
        <f t="shared" si="63"/>
        <v/>
      </c>
      <c r="N87" s="816" t="str">
        <f t="shared" si="64"/>
        <v/>
      </c>
      <c r="R87" s="816" t="str">
        <f t="shared" si="65"/>
        <v/>
      </c>
      <c r="T87" s="829" t="str">
        <f t="shared" si="66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IF($J87="","",IF(SUM(IF(ISNUMBER(VALUE(RIGHT($AG87:$CM87,1))),VALUE(RIGHT($AG87:$CM87,1)),0))=$J87,"T","F"))</f>
        <v/>
      </c>
      <c r="AE87" s="831" t="str">
        <f t="array" ref="AE87">IF($J87="","",SUM(IF(LEFT($AG87:$DY87,1)="s",1,0))-SUM(IF(RIGHT(LEFT($AG87:$DY87,2))="-",1,0)))</f>
        <v/>
      </c>
      <c r="AF87" s="816" t="str">
        <f t="array" ref="AF87">IF($J87="","",SUM(IF(LEFT($AG87:$DE87,1)="X",1,0)))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7"/>
      <c r="BF87" s="897"/>
      <c r="BG87" s="897"/>
      <c r="BH87" s="897"/>
      <c r="BI87" s="893"/>
      <c r="BJ87" s="893"/>
      <c r="BK87" s="893"/>
      <c r="BL87" s="893"/>
      <c r="BM87" s="897"/>
      <c r="BN87" s="897"/>
      <c r="BO87" s="897"/>
      <c r="BP87" s="897"/>
      <c r="BQ87" s="897"/>
      <c r="BR87" s="893"/>
      <c r="BS87" s="897"/>
      <c r="BT87" s="893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  <c r="CG87" s="897"/>
      <c r="CH87" s="897"/>
    </row>
    <row r="88" spans="1:86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2"/>
        <v/>
      </c>
      <c r="M88" s="816" t="str">
        <f t="shared" si="63"/>
        <v/>
      </c>
      <c r="N88" s="816" t="str">
        <f t="shared" si="64"/>
        <v/>
      </c>
      <c r="R88" s="816" t="str">
        <f t="shared" si="65"/>
        <v/>
      </c>
      <c r="T88" s="829" t="str">
        <f t="shared" si="66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IF($J88="","",IF(SUM(IF(ISNUMBER(VALUE(RIGHT($AG88:$CM88,1))),VALUE(RIGHT($AG88:$CM88,1)),0))=$J88,"T","F"))</f>
        <v/>
      </c>
      <c r="AE88" s="831" t="str">
        <f t="array" ref="AE88">IF($J88="","",SUM(IF(LEFT($AG88:$DY88,1)="s",1,0))-SUM(IF(RIGHT(LEFT($AG88:$DY88,2))="-",1,0)))</f>
        <v/>
      </c>
      <c r="AF88" s="816" t="str">
        <f t="array" ref="AF88">IF($J88="","",SUM(IF(LEFT($AG88:$DE88,1)="X",1,0)))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7"/>
      <c r="BF88" s="897"/>
      <c r="BG88" s="897"/>
      <c r="BH88" s="897"/>
      <c r="BI88" s="893"/>
      <c r="BJ88" s="893"/>
      <c r="BK88" s="893"/>
      <c r="BL88" s="893"/>
      <c r="BM88" s="897"/>
      <c r="BN88" s="897"/>
      <c r="BO88" s="897"/>
      <c r="BP88" s="897"/>
      <c r="BQ88" s="897"/>
      <c r="BR88" s="893"/>
      <c r="BS88" s="897"/>
      <c r="BT88" s="893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  <c r="CG88" s="897"/>
      <c r="CH88" s="897"/>
    </row>
    <row r="89" spans="1:86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2"/>
        <v/>
      </c>
      <c r="M89" s="816" t="str">
        <f t="shared" si="63"/>
        <v/>
      </c>
      <c r="N89" s="816" t="str">
        <f t="shared" si="64"/>
        <v/>
      </c>
      <c r="R89" s="816" t="str">
        <f t="shared" si="65"/>
        <v/>
      </c>
      <c r="T89" s="829" t="str">
        <f t="shared" si="66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IF($J89="","",IF(SUM(IF(ISNUMBER(VALUE(RIGHT($AG89:$CM89,1))),VALUE(RIGHT($AG89:$CM89,1)),0))=$J89,"T","F"))</f>
        <v/>
      </c>
      <c r="AE89" s="831" t="str">
        <f t="array" ref="AE89">IF($J89="","",SUM(IF(LEFT($AG89:$DY89,1)="s",1,0))-SUM(IF(RIGHT(LEFT($AG89:$DY89,2))="-",1,0)))</f>
        <v/>
      </c>
      <c r="AF89" s="816" t="str">
        <f t="array" ref="AF89">IF($J89="","",SUM(IF(LEFT($AG89:$DE89,1)="X",1,0)))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7"/>
      <c r="BF89" s="897"/>
      <c r="BG89" s="897"/>
      <c r="BH89" s="897"/>
      <c r="BI89" s="893"/>
      <c r="BJ89" s="893"/>
      <c r="BK89" s="893"/>
      <c r="BL89" s="893"/>
      <c r="BM89" s="897"/>
      <c r="BN89" s="897"/>
      <c r="BO89" s="897"/>
      <c r="BP89" s="897"/>
      <c r="BQ89" s="897"/>
      <c r="BR89" s="893"/>
      <c r="BS89" s="897"/>
      <c r="BT89" s="893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  <c r="CG89" s="897"/>
      <c r="CH89" s="897"/>
    </row>
    <row r="90" spans="1:86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2"/>
        <v/>
      </c>
      <c r="M90" s="816" t="str">
        <f t="shared" si="63"/>
        <v/>
      </c>
      <c r="N90" s="816" t="str">
        <f t="shared" si="64"/>
        <v/>
      </c>
      <c r="R90" s="816" t="str">
        <f t="shared" si="65"/>
        <v/>
      </c>
      <c r="T90" s="829" t="str">
        <f t="shared" si="66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IF($J90="","",IF(SUM(IF(ISNUMBER(VALUE(RIGHT($AG90:$CM90,1))),VALUE(RIGHT($AG90:$CM90,1)),0))=$J90,"T","F"))</f>
        <v/>
      </c>
      <c r="AE90" s="831" t="str">
        <f t="array" ref="AE90">IF($J90="","",SUM(IF(LEFT($AG90:$DY90,1)="s",1,0))-SUM(IF(RIGHT(LEFT($AG90:$DY90,2))="-",1,0)))</f>
        <v/>
      </c>
      <c r="AF90" s="816" t="str">
        <f t="array" ref="AF90">IF($J90="","",SUM(IF(LEFT($AG90:$DE90,1)="X",1,0)))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7"/>
      <c r="BF90" s="897"/>
      <c r="BG90" s="897"/>
      <c r="BH90" s="897"/>
      <c r="BI90" s="893"/>
      <c r="BJ90" s="893"/>
      <c r="BK90" s="893"/>
      <c r="BL90" s="893"/>
      <c r="BM90" s="897"/>
      <c r="BN90" s="897"/>
      <c r="BO90" s="897"/>
      <c r="BP90" s="897"/>
      <c r="BQ90" s="897"/>
      <c r="BR90" s="893"/>
      <c r="BS90" s="897"/>
      <c r="BT90" s="893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  <c r="CG90" s="897"/>
      <c r="CH90" s="897"/>
    </row>
    <row r="91" spans="1:86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2"/>
        <v/>
      </c>
      <c r="M91" s="816" t="str">
        <f t="shared" si="63"/>
        <v/>
      </c>
      <c r="N91" s="816" t="str">
        <f t="shared" si="64"/>
        <v/>
      </c>
      <c r="R91" s="816" t="str">
        <f t="shared" si="65"/>
        <v/>
      </c>
      <c r="T91" s="829" t="str">
        <f t="shared" si="66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IF($J91="","",IF(SUM(IF(ISNUMBER(VALUE(RIGHT($AG91:$CM91,1))),VALUE(RIGHT($AG91:$CM91,1)),0))=$J91,"T","F"))</f>
        <v/>
      </c>
      <c r="AE91" s="831" t="str">
        <f t="array" ref="AE91">IF($J91="","",SUM(IF(LEFT($AG91:$DY91,1)="s",1,0))-SUM(IF(RIGHT(LEFT($AG91:$DY91,2))="-",1,0)))</f>
        <v/>
      </c>
      <c r="AF91" s="816" t="str">
        <f t="array" ref="AF91">IF($J91="","",SUM(IF(LEFT($AG91:$DE91,1)="X",1,0)))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7"/>
      <c r="BF91" s="897"/>
      <c r="BG91" s="897"/>
      <c r="BH91" s="897"/>
      <c r="BI91" s="893"/>
      <c r="BJ91" s="893"/>
      <c r="BK91" s="893"/>
      <c r="BL91" s="893"/>
      <c r="BM91" s="897"/>
      <c r="BN91" s="897"/>
      <c r="BO91" s="897"/>
      <c r="BP91" s="897"/>
      <c r="BQ91" s="897"/>
      <c r="BR91" s="893"/>
      <c r="BS91" s="897"/>
      <c r="BT91" s="893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  <c r="CG91" s="897"/>
      <c r="CH91" s="897"/>
    </row>
    <row r="92" spans="1:86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2"/>
        <v/>
      </c>
      <c r="M92" s="816" t="str">
        <f t="shared" si="63"/>
        <v/>
      </c>
      <c r="N92" s="816" t="str">
        <f t="shared" si="64"/>
        <v/>
      </c>
      <c r="R92" s="816" t="str">
        <f t="shared" si="65"/>
        <v/>
      </c>
      <c r="T92" s="829" t="str">
        <f t="shared" si="66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IF($J92="","",IF(SUM(IF(ISNUMBER(VALUE(RIGHT($AG92:$CM92,1))),VALUE(RIGHT($AG92:$CM92,1)),0))=$J92,"T","F"))</f>
        <v/>
      </c>
      <c r="AE92" s="831" t="str">
        <f t="array" ref="AE92">IF($J92="","",SUM(IF(LEFT($AG92:$DY92,1)="s",1,0))-SUM(IF(RIGHT(LEFT($AG92:$DY92,2))="-",1,0)))</f>
        <v/>
      </c>
      <c r="AF92" s="816" t="str">
        <f t="array" ref="AF92">IF($J92="","",SUM(IF(LEFT($AG92:$DE92,1)="X",1,0)))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7"/>
      <c r="BF92" s="897"/>
      <c r="BG92" s="897"/>
      <c r="BH92" s="897"/>
      <c r="BI92" s="893"/>
      <c r="BJ92" s="893"/>
      <c r="BK92" s="893"/>
      <c r="BL92" s="893"/>
      <c r="BM92" s="897"/>
      <c r="BN92" s="897"/>
      <c r="BO92" s="897"/>
      <c r="BP92" s="897"/>
      <c r="BQ92" s="897"/>
      <c r="BR92" s="893"/>
      <c r="BS92" s="897"/>
      <c r="BT92" s="893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  <c r="CG92" s="897"/>
      <c r="CH92" s="897"/>
    </row>
    <row r="93" spans="1:86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2"/>
        <v/>
      </c>
      <c r="M93" s="816" t="str">
        <f t="shared" si="63"/>
        <v/>
      </c>
      <c r="N93" s="816" t="str">
        <f t="shared" si="64"/>
        <v/>
      </c>
      <c r="R93" s="816" t="str">
        <f t="shared" si="65"/>
        <v/>
      </c>
      <c r="T93" s="829" t="str">
        <f t="shared" si="66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IF($J93="","",IF(SUM(IF(ISNUMBER(VALUE(RIGHT($AG93:$CM93,1))),VALUE(RIGHT($AG93:$CM93,1)),0))=$J93,"T","F"))</f>
        <v/>
      </c>
      <c r="AE93" s="831" t="str">
        <f t="array" ref="AE93">IF($J93="","",SUM(IF(LEFT($AG93:$DY93,1)="s",1,0))-SUM(IF(RIGHT(LEFT($AG93:$DY93,2))="-",1,0)))</f>
        <v/>
      </c>
      <c r="AF93" s="816" t="str">
        <f t="array" ref="AF93">IF($J93="","",SUM(IF(LEFT($AG93:$DE93,1)="X",1,0)))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7"/>
      <c r="BF93" s="897"/>
      <c r="BG93" s="897"/>
      <c r="BH93" s="897"/>
      <c r="BI93" s="893"/>
      <c r="BJ93" s="893"/>
      <c r="BK93" s="893"/>
      <c r="BL93" s="893"/>
      <c r="BM93" s="897"/>
      <c r="BN93" s="897"/>
      <c r="BO93" s="897"/>
      <c r="BP93" s="897"/>
      <c r="BQ93" s="897"/>
      <c r="BR93" s="893"/>
      <c r="BS93" s="897"/>
      <c r="BT93" s="893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  <c r="CG93" s="897"/>
      <c r="CH93" s="897"/>
    </row>
    <row r="94" spans="1:86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2"/>
        <v/>
      </c>
      <c r="M94" s="816" t="str">
        <f t="shared" si="63"/>
        <v/>
      </c>
      <c r="N94" s="816" t="str">
        <f t="shared" si="64"/>
        <v/>
      </c>
      <c r="R94" s="816" t="str">
        <f t="shared" si="65"/>
        <v/>
      </c>
      <c r="T94" s="829" t="str">
        <f t="shared" si="66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IF($J94="","",IF(SUM(IF(ISNUMBER(VALUE(RIGHT($AG94:$CM94,1))),VALUE(RIGHT($AG94:$CM94,1)),0))=$J94,"T","F"))</f>
        <v/>
      </c>
      <c r="AE94" s="831" t="str">
        <f t="array" ref="AE94">IF($J94="","",SUM(IF(LEFT($AG94:$DY94,1)="s",1,0))-SUM(IF(RIGHT(LEFT($AG94:$DY94,2))="-",1,0)))</f>
        <v/>
      </c>
      <c r="AF94" s="816" t="str">
        <f t="array" ref="AF94">IF($J94="","",SUM(IF(LEFT($AG94:$DE94,1)="X",1,0)))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7"/>
      <c r="BF94" s="897"/>
      <c r="BG94" s="897"/>
      <c r="BH94" s="897"/>
      <c r="BI94" s="893"/>
      <c r="BJ94" s="893"/>
      <c r="BK94" s="893"/>
      <c r="BL94" s="893"/>
      <c r="BM94" s="897"/>
      <c r="BN94" s="897"/>
      <c r="BO94" s="897"/>
      <c r="BP94" s="897"/>
      <c r="BQ94" s="897"/>
      <c r="BR94" s="893"/>
      <c r="BS94" s="897"/>
      <c r="BT94" s="893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  <c r="CG94" s="897"/>
      <c r="CH94" s="897"/>
    </row>
    <row r="95" spans="1:86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2"/>
        <v/>
      </c>
      <c r="M95" s="816" t="str">
        <f t="shared" si="63"/>
        <v/>
      </c>
      <c r="N95" s="816" t="str">
        <f t="shared" si="64"/>
        <v/>
      </c>
      <c r="R95" s="816" t="str">
        <f t="shared" si="65"/>
        <v/>
      </c>
      <c r="T95" s="829" t="str">
        <f t="shared" si="66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IF($J95="","",IF(SUM(IF(ISNUMBER(VALUE(RIGHT($AG95:$CM95,1))),VALUE(RIGHT($AG95:$CM95,1)),0))=$J95,"T","F"))</f>
        <v/>
      </c>
      <c r="AE95" s="831" t="str">
        <f t="array" ref="AE95">IF($J95="","",SUM(IF(LEFT($AG95:$DY95,1)="s",1,0))-SUM(IF(RIGHT(LEFT($AG95:$DY95,2))="-",1,0)))</f>
        <v/>
      </c>
      <c r="AF95" s="816" t="str">
        <f t="array" ref="AF95">IF($J95="","",SUM(IF(LEFT($AG95:$DE95,1)="X",1,0)))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7"/>
      <c r="BF95" s="897"/>
      <c r="BG95" s="897"/>
      <c r="BH95" s="897"/>
      <c r="BI95" s="893"/>
      <c r="BJ95" s="893"/>
      <c r="BK95" s="893"/>
      <c r="BL95" s="893"/>
      <c r="BM95" s="897"/>
      <c r="BN95" s="897"/>
      <c r="BO95" s="897"/>
      <c r="BP95" s="897"/>
      <c r="BQ95" s="897"/>
      <c r="BR95" s="893"/>
      <c r="BS95" s="897"/>
      <c r="BT95" s="893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  <c r="CG95" s="897"/>
      <c r="CH95" s="897"/>
    </row>
    <row r="96" spans="1:86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2"/>
        <v/>
      </c>
      <c r="M96" s="816" t="str">
        <f t="shared" si="63"/>
        <v/>
      </c>
      <c r="N96" s="816" t="str">
        <f t="shared" si="64"/>
        <v/>
      </c>
      <c r="R96" s="816" t="str">
        <f t="shared" si="65"/>
        <v/>
      </c>
      <c r="T96" s="829" t="str">
        <f t="shared" si="66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IF($J96="","",IF(SUM(IF(ISNUMBER(VALUE(RIGHT($AG96:$CM96,1))),VALUE(RIGHT($AG96:$CM96,1)),0))=$J96,"T","F"))</f>
        <v/>
      </c>
      <c r="AE96" s="831" t="str">
        <f t="array" ref="AE96">IF($J96="","",SUM(IF(LEFT($AG96:$DY96,1)="s",1,0))-SUM(IF(RIGHT(LEFT($AG96:$DY96,2))="-",1,0)))</f>
        <v/>
      </c>
      <c r="AF96" s="816" t="str">
        <f t="array" ref="AF96">IF($J96="","",SUM(IF(LEFT($AG96:$DE96,1)="X",1,0)))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7"/>
      <c r="BF96" s="897"/>
      <c r="BG96" s="897"/>
      <c r="BH96" s="897"/>
      <c r="BI96" s="893"/>
      <c r="BJ96" s="893"/>
      <c r="BK96" s="893"/>
      <c r="BL96" s="893"/>
      <c r="BM96" s="897"/>
      <c r="BN96" s="897"/>
      <c r="BO96" s="897"/>
      <c r="BP96" s="897"/>
      <c r="BQ96" s="897"/>
      <c r="BR96" s="893"/>
      <c r="BS96" s="897"/>
      <c r="BT96" s="893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  <c r="CG96" s="897"/>
      <c r="CH96" s="897"/>
    </row>
    <row r="97" spans="1:86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2"/>
        <v/>
      </c>
      <c r="M97" s="816" t="str">
        <f t="shared" si="63"/>
        <v/>
      </c>
      <c r="N97" s="816" t="str">
        <f t="shared" si="64"/>
        <v/>
      </c>
      <c r="R97" s="816" t="str">
        <f t="shared" si="65"/>
        <v/>
      </c>
      <c r="T97" s="829" t="str">
        <f t="shared" si="66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IF($J97="","",IF(SUM(IF(ISNUMBER(VALUE(RIGHT($AG97:$CM97,1))),VALUE(RIGHT($AG97:$CM97,1)),0))=$J97,"T","F"))</f>
        <v/>
      </c>
      <c r="AE97" s="831" t="str">
        <f t="array" ref="AE97">IF($J97="","",SUM(IF(LEFT($AG97:$DY97,1)="s",1,0))-SUM(IF(RIGHT(LEFT($AG97:$DY97,2))="-",1,0)))</f>
        <v/>
      </c>
      <c r="AF97" s="816" t="str">
        <f t="array" ref="AF97">IF($J97="","",SUM(IF(LEFT($AG97:$DE97,1)="X",1,0)))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7"/>
      <c r="BF97" s="897"/>
      <c r="BG97" s="897"/>
      <c r="BH97" s="897"/>
      <c r="BI97" s="893"/>
      <c r="BJ97" s="893"/>
      <c r="BK97" s="893"/>
      <c r="BL97" s="893"/>
      <c r="BM97" s="897"/>
      <c r="BN97" s="897"/>
      <c r="BO97" s="897"/>
      <c r="BP97" s="897"/>
      <c r="BQ97" s="897"/>
      <c r="BR97" s="893"/>
      <c r="BS97" s="897"/>
      <c r="BT97" s="893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  <c r="CG97" s="897"/>
      <c r="CH97" s="897"/>
    </row>
    <row r="98" spans="1:86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2"/>
        <v/>
      </c>
      <c r="M98" s="816" t="str">
        <f t="shared" si="63"/>
        <v/>
      </c>
      <c r="N98" s="816" t="str">
        <f t="shared" si="64"/>
        <v/>
      </c>
      <c r="R98" s="816" t="str">
        <f t="shared" si="65"/>
        <v/>
      </c>
      <c r="T98" s="829" t="str">
        <f t="shared" si="66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IF($J98="","",IF(SUM(IF(ISNUMBER(VALUE(RIGHT($AG98:$CM98,1))),VALUE(RIGHT($AG98:$CM98,1)),0))=$J98,"T","F"))</f>
        <v/>
      </c>
      <c r="AE98" s="831" t="str">
        <f t="array" ref="AE98">IF($J98="","",SUM(IF(LEFT($AG98:$DY98,1)="s",1,0))-SUM(IF(RIGHT(LEFT($AG98:$DY98,2))="-",1,0)))</f>
        <v/>
      </c>
      <c r="AF98" s="816" t="str">
        <f t="array" ref="AF98">IF($J98="","",SUM(IF(LEFT($AG98:$DE98,1)="X",1,0)))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7"/>
      <c r="BF98" s="897"/>
      <c r="BG98" s="897"/>
      <c r="BH98" s="897"/>
      <c r="BI98" s="893"/>
      <c r="BJ98" s="893"/>
      <c r="BK98" s="893"/>
      <c r="BL98" s="893"/>
      <c r="BM98" s="897"/>
      <c r="BN98" s="897"/>
      <c r="BO98" s="897"/>
      <c r="BP98" s="897"/>
      <c r="BQ98" s="897"/>
      <c r="BR98" s="893"/>
      <c r="BS98" s="897"/>
      <c r="BT98" s="893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  <c r="CG98" s="897"/>
      <c r="CH98" s="897"/>
    </row>
    <row r="99" spans="1:86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2"/>
        <v/>
      </c>
      <c r="M99" s="816" t="str">
        <f t="shared" si="63"/>
        <v/>
      </c>
      <c r="N99" s="816" t="str">
        <f t="shared" si="64"/>
        <v/>
      </c>
      <c r="R99" s="816" t="str">
        <f t="shared" si="65"/>
        <v/>
      </c>
      <c r="T99" s="829" t="str">
        <f t="shared" si="66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IF($J99="","",IF(SUM(IF(ISNUMBER(VALUE(RIGHT($AG99:$CM99,1))),VALUE(RIGHT($AG99:$CM99,1)),0))=$J99,"T","F"))</f>
        <v/>
      </c>
      <c r="AE99" s="831" t="str">
        <f t="array" ref="AE99">IF($J99="","",SUM(IF(LEFT($AG99:$DY99,1)="s",1,0))-SUM(IF(RIGHT(LEFT($AG99:$DY99,2))="-",1,0)))</f>
        <v/>
      </c>
      <c r="AF99" s="816" t="str">
        <f t="array" ref="AF99">IF($J99="","",SUM(IF(LEFT($AG99:$DE99,1)="X",1,0)))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7"/>
      <c r="BF99" s="897"/>
      <c r="BG99" s="897"/>
      <c r="BH99" s="897"/>
      <c r="BI99" s="893"/>
      <c r="BJ99" s="893"/>
      <c r="BK99" s="893"/>
      <c r="BL99" s="893"/>
      <c r="BM99" s="897"/>
      <c r="BN99" s="897"/>
      <c r="BO99" s="897"/>
      <c r="BP99" s="897"/>
      <c r="BQ99" s="897"/>
      <c r="BR99" s="893"/>
      <c r="BS99" s="897"/>
      <c r="BT99" s="893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  <c r="CG99" s="897"/>
      <c r="CH99" s="897"/>
    </row>
    <row r="100" spans="1:86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2"/>
        <v/>
      </c>
      <c r="M100" s="816" t="str">
        <f t="shared" si="63"/>
        <v/>
      </c>
      <c r="N100" s="816" t="str">
        <f t="shared" si="64"/>
        <v/>
      </c>
      <c r="R100" s="816" t="str">
        <f t="shared" si="65"/>
        <v/>
      </c>
      <c r="T100" s="829" t="str">
        <f t="shared" si="66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IF($J100="","",IF(SUM(IF(ISNUMBER(VALUE(RIGHT($AG100:$CM100,1))),VALUE(RIGHT($AG100:$CM100,1)),0))=$J100,"T","F"))</f>
        <v/>
      </c>
      <c r="AE100" s="831" t="str">
        <f t="array" ref="AE100">IF($J100="","",SUM(IF(LEFT($AG100:$DY100,1)="s",1,0))-SUM(IF(RIGHT(LEFT($AG100:$DY100,2))="-",1,0)))</f>
        <v/>
      </c>
      <c r="AF100" s="816" t="str">
        <f t="array" ref="AF100">IF($J100="","",SUM(IF(LEFT($AG100:$DE100,1)="X",1,0)))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7"/>
      <c r="BF100" s="897"/>
      <c r="BG100" s="897"/>
      <c r="BH100" s="897"/>
      <c r="BI100" s="893"/>
      <c r="BJ100" s="893"/>
      <c r="BK100" s="893"/>
      <c r="BL100" s="893"/>
      <c r="BM100" s="897"/>
      <c r="BN100" s="897"/>
      <c r="BO100" s="897"/>
      <c r="BP100" s="897"/>
      <c r="BQ100" s="897"/>
      <c r="BR100" s="893"/>
      <c r="BS100" s="897"/>
      <c r="BT100" s="893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  <c r="CG100" s="897"/>
      <c r="CH100" s="897"/>
    </row>
    <row r="101" spans="1:86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2"/>
        <v/>
      </c>
      <c r="M101" s="816" t="str">
        <f t="shared" si="63"/>
        <v/>
      </c>
      <c r="N101" s="816" t="str">
        <f t="shared" si="64"/>
        <v/>
      </c>
      <c r="R101" s="816" t="str">
        <f t="shared" si="65"/>
        <v/>
      </c>
      <c r="T101" s="829" t="str">
        <f t="shared" si="66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IF($J101="","",IF(SUM(IF(ISNUMBER(VALUE(RIGHT($AG101:$CM101,1))),VALUE(RIGHT($AG101:$CM101,1)),0))=$J101,"T","F"))</f>
        <v/>
      </c>
      <c r="AE101" s="831" t="str">
        <f t="array" ref="AE101">IF($J101="","",SUM(IF(LEFT($AG101:$DY101,1)="s",1,0))-SUM(IF(RIGHT(LEFT($AG101:$DY101,2))="-",1,0)))</f>
        <v/>
      </c>
      <c r="AF101" s="816" t="str">
        <f t="array" ref="AF101">IF($J101="","",SUM(IF(LEFT($AG101:$DE101,1)="X",1,0)))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7"/>
      <c r="BF101" s="897"/>
      <c r="BG101" s="897"/>
      <c r="BH101" s="897"/>
      <c r="BI101" s="893"/>
      <c r="BJ101" s="893"/>
      <c r="BK101" s="893"/>
      <c r="BL101" s="893"/>
      <c r="BM101" s="897"/>
      <c r="BN101" s="897"/>
      <c r="BO101" s="897"/>
      <c r="BP101" s="897"/>
      <c r="BQ101" s="897"/>
      <c r="BR101" s="893"/>
      <c r="BS101" s="897"/>
      <c r="BT101" s="893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  <c r="CG101" s="897"/>
      <c r="CH101" s="897"/>
    </row>
    <row r="102" spans="1:86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2"/>
        <v/>
      </c>
      <c r="M102" s="816" t="str">
        <f t="shared" si="63"/>
        <v/>
      </c>
      <c r="N102" s="816" t="str">
        <f t="shared" si="64"/>
        <v/>
      </c>
      <c r="R102" s="816" t="str">
        <f t="shared" si="65"/>
        <v/>
      </c>
      <c r="T102" s="829" t="str">
        <f t="shared" si="66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IF($J102="","",IF(SUM(IF(ISNUMBER(VALUE(RIGHT($AG102:$CM102,1))),VALUE(RIGHT($AG102:$CM102,1)),0))=$J102,"T","F"))</f>
        <v/>
      </c>
      <c r="AE102" s="831" t="str">
        <f t="array" ref="AE102">IF($J102="","",SUM(IF(LEFT($AG102:$DY102,1)="s",1,0))-SUM(IF(RIGHT(LEFT($AG102:$DY102,2))="-",1,0)))</f>
        <v/>
      </c>
      <c r="AF102" s="816" t="str">
        <f t="array" ref="AF102">IF($J102="","",SUM(IF(LEFT($AG102:$DE102,1)="X",1,0)))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7"/>
      <c r="BF102" s="897"/>
      <c r="BG102" s="897"/>
      <c r="BH102" s="897"/>
      <c r="BI102" s="893"/>
      <c r="BJ102" s="893"/>
      <c r="BK102" s="893"/>
      <c r="BL102" s="893"/>
      <c r="BM102" s="897"/>
      <c r="BN102" s="897"/>
      <c r="BO102" s="897"/>
      <c r="BP102" s="897"/>
      <c r="BQ102" s="897"/>
      <c r="BR102" s="893"/>
      <c r="BS102" s="897"/>
      <c r="BT102" s="893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  <c r="CG102" s="897"/>
      <c r="CH102" s="897"/>
    </row>
    <row r="103" spans="1:86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2"/>
        <v/>
      </c>
      <c r="M103" s="816" t="str">
        <f t="shared" si="63"/>
        <v/>
      </c>
      <c r="N103" s="816" t="str">
        <f t="shared" si="64"/>
        <v/>
      </c>
      <c r="R103" s="816" t="str">
        <f t="shared" si="65"/>
        <v/>
      </c>
      <c r="T103" s="829" t="str">
        <f t="shared" si="66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IF($J103="","",IF(SUM(IF(ISNUMBER(VALUE(RIGHT($AG103:$CM103,1))),VALUE(RIGHT($AG103:$CM103,1)),0))=$J103,"T","F"))</f>
        <v/>
      </c>
      <c r="AE103" s="831" t="str">
        <f t="array" ref="AE103">IF($J103="","",SUM(IF(LEFT($AG103:$DY103,1)="s",1,0))-SUM(IF(RIGHT(LEFT($AG103:$DY103,2))="-",1,0)))</f>
        <v/>
      </c>
      <c r="AF103" s="816" t="str">
        <f t="array" ref="AF103">IF($J103="","",SUM(IF(LEFT($AG103:$DE103,1)="X",1,0)))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7"/>
      <c r="BF103" s="897"/>
      <c r="BG103" s="897"/>
      <c r="BH103" s="897"/>
      <c r="BI103" s="893"/>
      <c r="BJ103" s="893"/>
      <c r="BK103" s="893"/>
      <c r="BL103" s="893"/>
      <c r="BM103" s="897"/>
      <c r="BN103" s="897"/>
      <c r="BO103" s="897"/>
      <c r="BP103" s="897"/>
      <c r="BQ103" s="897"/>
      <c r="BR103" s="893"/>
      <c r="BS103" s="897"/>
      <c r="BT103" s="893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  <c r="CG103" s="897"/>
      <c r="CH103" s="897"/>
    </row>
    <row r="104" spans="1:86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2"/>
        <v/>
      </c>
      <c r="M104" s="816" t="str">
        <f t="shared" si="63"/>
        <v/>
      </c>
      <c r="N104" s="816" t="str">
        <f t="shared" si="64"/>
        <v/>
      </c>
      <c r="R104" s="816" t="str">
        <f t="shared" si="65"/>
        <v/>
      </c>
      <c r="T104" s="829" t="str">
        <f t="shared" si="66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IF($J104="","",IF(SUM(IF(ISNUMBER(VALUE(RIGHT($AG104:$CM104,1))),VALUE(RIGHT($AG104:$CM104,1)),0))=$J104,"T","F"))</f>
        <v/>
      </c>
      <c r="AE104" s="816" t="str">
        <f t="array" ref="AE104">IF($J104="","",SUM(IF(LEFT($AG104:$DY104,1)="s",1,0))-SUM(IF(RIGHT(LEFT($AG104:$DY104,2))="-",1,0)))</f>
        <v/>
      </c>
      <c r="AF104" s="816" t="str">
        <f t="array" ref="AF104">IF($J104="","",SUM(IF(LEFT($AG104:$DE104,1)="X",1,0)))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7"/>
      <c r="BF104" s="897"/>
      <c r="BG104" s="897"/>
      <c r="BH104" s="897"/>
      <c r="BI104" s="893"/>
      <c r="BJ104" s="893"/>
      <c r="BK104" s="893"/>
      <c r="BL104" s="893"/>
      <c r="BM104" s="897"/>
      <c r="BN104" s="897"/>
      <c r="BO104" s="897"/>
      <c r="BP104" s="897"/>
      <c r="BQ104" s="897"/>
      <c r="BR104" s="893"/>
      <c r="BS104" s="897"/>
      <c r="BT104" s="893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  <c r="CG104" s="897"/>
      <c r="CH104" s="897"/>
    </row>
    <row r="105" spans="1:86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2"/>
        <v/>
      </c>
      <c r="M105" s="816" t="str">
        <f t="shared" si="63"/>
        <v/>
      </c>
      <c r="N105" s="816" t="str">
        <f t="shared" si="64"/>
        <v/>
      </c>
      <c r="R105" s="816" t="str">
        <f t="shared" si="65"/>
        <v/>
      </c>
      <c r="T105" s="829" t="str">
        <f t="shared" si="66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IF($J105="","",IF(SUM(IF(ISNUMBER(VALUE(RIGHT($AG105:$CM105,1))),VALUE(RIGHT($AG105:$CM105,1)),0))=$J105,"T","F"))</f>
        <v/>
      </c>
      <c r="AE105" s="816" t="str">
        <f t="array" ref="AE105">IF($J105="","",SUM(IF(LEFT($AG105:$DY105,1)="s",1,0))-SUM(IF(RIGHT(LEFT($AG105:$DY105,2))="-",1,0)))</f>
        <v/>
      </c>
      <c r="AF105" s="816" t="str">
        <f t="array" ref="AF105">IF($J105="","",SUM(IF(LEFT($AG105:$DE105,1)="X",1,0)))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7"/>
      <c r="BF105" s="897"/>
      <c r="BG105" s="897"/>
      <c r="BH105" s="897"/>
      <c r="BI105" s="893"/>
      <c r="BJ105" s="893"/>
      <c r="BK105" s="893"/>
      <c r="BL105" s="893"/>
      <c r="BM105" s="897"/>
      <c r="BN105" s="897"/>
      <c r="BO105" s="897"/>
      <c r="BP105" s="897"/>
      <c r="BQ105" s="897"/>
      <c r="BR105" s="893"/>
      <c r="BS105" s="897"/>
      <c r="BT105" s="893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  <c r="CG105" s="897"/>
      <c r="CH105" s="897"/>
    </row>
    <row r="106" spans="1:86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2"/>
        <v/>
      </c>
      <c r="M106" s="816" t="str">
        <f t="shared" si="63"/>
        <v/>
      </c>
      <c r="N106" s="816" t="str">
        <f t="shared" si="64"/>
        <v/>
      </c>
      <c r="R106" s="816" t="str">
        <f t="shared" si="65"/>
        <v/>
      </c>
      <c r="T106" s="829" t="str">
        <f t="shared" si="66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IF($J106="","",IF(SUM(IF(ISNUMBER(VALUE(RIGHT($AG106:$CM106,1))),VALUE(RIGHT($AG106:$CM106,1)),0))=$J106,"T","F"))</f>
        <v/>
      </c>
      <c r="AE106" s="816" t="str">
        <f t="array" ref="AE106">IF($J106="","",SUM(IF(LEFT($AG106:$DY106,1)="s",1,0))-SUM(IF(RIGHT(LEFT($AG106:$DY106,2))="-",1,0)))</f>
        <v/>
      </c>
      <c r="AF106" s="816" t="str">
        <f t="array" ref="AF106">IF($J106="","",SUM(IF(LEFT($AG106:$DE106,1)="X",1,0)))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3"/>
      <c r="BJ106" s="893"/>
      <c r="BK106" s="893"/>
      <c r="BL106" s="893"/>
      <c r="BM106" s="897"/>
      <c r="BN106" s="897"/>
      <c r="BO106" s="897"/>
      <c r="BP106" s="897"/>
      <c r="BQ106" s="897"/>
      <c r="BR106" s="893"/>
      <c r="BS106" s="897"/>
      <c r="BT106" s="893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  <c r="CG106" s="897"/>
      <c r="CH106" s="897"/>
    </row>
    <row r="107" spans="1:86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2"/>
        <v/>
      </c>
      <c r="M107" s="816" t="str">
        <f t="shared" si="63"/>
        <v/>
      </c>
      <c r="N107" s="816" t="str">
        <f t="shared" si="64"/>
        <v/>
      </c>
      <c r="R107" s="816" t="str">
        <f t="shared" si="65"/>
        <v/>
      </c>
      <c r="T107" s="829" t="str">
        <f t="shared" si="66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IF($J107="","",IF(SUM(IF(ISNUMBER(VALUE(RIGHT($AG107:$CM107,1))),VALUE(RIGHT($AG107:$CM107,1)),0))=$J107,"T","F"))</f>
        <v/>
      </c>
      <c r="AE107" s="816" t="str">
        <f t="array" ref="AE107">IF($J107="","",SUM(IF(LEFT($AG107:$DY107,1)="s",1,0))-SUM(IF(RIGHT(LEFT($AG107:$DY107,2))="-",1,0)))</f>
        <v/>
      </c>
      <c r="AF107" s="816" t="str">
        <f t="array" ref="AF107">IF($J107="","",SUM(IF(LEFT($AG107:$DE107,1)="X",1,0)))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3"/>
      <c r="BJ107" s="893"/>
      <c r="BK107" s="893"/>
      <c r="BL107" s="893"/>
      <c r="BM107" s="897"/>
      <c r="BN107" s="897"/>
      <c r="BO107" s="897"/>
      <c r="BP107" s="897"/>
      <c r="BQ107" s="897"/>
      <c r="BR107" s="893"/>
      <c r="BS107" s="897"/>
      <c r="BT107" s="893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  <c r="CG107" s="897"/>
      <c r="CH107" s="897"/>
    </row>
    <row r="108" spans="1:86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2"/>
        <v/>
      </c>
      <c r="M108" s="816" t="str">
        <f t="shared" si="63"/>
        <v/>
      </c>
      <c r="N108" s="816" t="str">
        <f t="shared" si="64"/>
        <v/>
      </c>
      <c r="R108" s="816" t="str">
        <f t="shared" si="65"/>
        <v/>
      </c>
      <c r="T108" s="829" t="str">
        <f t="shared" si="66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IF($J108="","",IF(SUM(IF(ISNUMBER(VALUE(RIGHT($AG108:$CM108,1))),VALUE(RIGHT($AG108:$CM108,1)),0))=$J108,"T","F"))</f>
        <v/>
      </c>
      <c r="AE108" s="816" t="str">
        <f t="array" ref="AE108">IF($J108="","",SUM(IF(LEFT($AG108:$DY108,1)="s",1,0))-SUM(IF(RIGHT(LEFT($AG108:$DY108,2))="-",1,0)))</f>
        <v/>
      </c>
      <c r="AF108" s="816" t="str">
        <f t="array" ref="AF108">IF($J108="","",SUM(IF(LEFT($AG108:$DE108,1)="X",1,0)))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3"/>
      <c r="BJ108" s="893"/>
      <c r="BK108" s="893"/>
      <c r="BL108" s="893"/>
      <c r="BM108" s="897"/>
      <c r="BN108" s="897"/>
      <c r="BO108" s="897"/>
      <c r="BP108" s="897"/>
      <c r="BQ108" s="897"/>
      <c r="BR108" s="893"/>
      <c r="BS108" s="897"/>
      <c r="BT108" s="893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  <c r="CG108" s="897"/>
      <c r="CH108" s="897"/>
    </row>
    <row r="109" spans="1:86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2"/>
        <v/>
      </c>
      <c r="M109" s="816" t="str">
        <f t="shared" si="63"/>
        <v/>
      </c>
      <c r="N109" s="816" t="str">
        <f t="shared" si="64"/>
        <v/>
      </c>
      <c r="R109" s="816" t="str">
        <f t="shared" si="65"/>
        <v/>
      </c>
      <c r="T109" s="829" t="str">
        <f t="shared" si="66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IF($J109="","",IF(SUM(IF(ISNUMBER(VALUE(RIGHT($AG109:$CM109,1))),VALUE(RIGHT($AG109:$CM109,1)),0))=$J109,"T","F"))</f>
        <v/>
      </c>
      <c r="AE109" s="816" t="str">
        <f t="array" ref="AE109">IF($J109="","",SUM(IF(LEFT($AG109:$DY109,1)="s",1,0))-SUM(IF(RIGHT(LEFT($AG109:$DY109,2))="-",1,0)))</f>
        <v/>
      </c>
      <c r="AF109" s="816" t="str">
        <f t="array" ref="AF109">IF($J109="","",SUM(IF(LEFT($AG109:$DE109,1)="X",1,0)))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3"/>
      <c r="BJ109" s="893"/>
      <c r="BK109" s="893"/>
      <c r="BL109" s="893"/>
      <c r="BM109" s="897"/>
      <c r="BN109" s="897"/>
      <c r="BO109" s="897"/>
      <c r="BP109" s="897"/>
      <c r="BQ109" s="897"/>
      <c r="BR109" s="893"/>
      <c r="BS109" s="897"/>
      <c r="BT109" s="893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  <c r="CG109" s="897"/>
      <c r="CH109" s="897"/>
    </row>
    <row r="110" spans="1:86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2"/>
        <v/>
      </c>
      <c r="M110" s="816" t="str">
        <f t="shared" si="63"/>
        <v/>
      </c>
      <c r="N110" s="816" t="str">
        <f t="shared" si="64"/>
        <v/>
      </c>
      <c r="R110" s="816" t="str">
        <f t="shared" si="65"/>
        <v/>
      </c>
      <c r="T110" s="829" t="str">
        <f t="shared" si="66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IF($J110="","",IF(SUM(IF(ISNUMBER(VALUE(RIGHT($AG110:$CM110,1))),VALUE(RIGHT($AG110:$CM110,1)),0))=$J110,"T","F"))</f>
        <v/>
      </c>
      <c r="AE110" s="816" t="str">
        <f t="array" ref="AE110">IF($J110="","",SUM(IF(LEFT($AG110:$DY110,1)="s",1,0))-SUM(IF(RIGHT(LEFT($AG110:$DY110,2))="-",1,0)))</f>
        <v/>
      </c>
      <c r="AF110" s="816" t="str">
        <f t="array" ref="AF110">IF($J110="","",SUM(IF(LEFT($AG110:$DE110,1)="X",1,0)))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3"/>
      <c r="BJ110" s="893"/>
      <c r="BK110" s="893"/>
      <c r="BL110" s="893"/>
      <c r="BM110" s="897"/>
      <c r="BN110" s="897"/>
      <c r="BO110" s="897"/>
      <c r="BP110" s="897"/>
      <c r="BQ110" s="897"/>
      <c r="BR110" s="893"/>
      <c r="BS110" s="897"/>
      <c r="BT110" s="893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  <c r="CG110" s="897"/>
      <c r="CH110" s="897"/>
    </row>
    <row r="111" spans="1:86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2"/>
        <v/>
      </c>
      <c r="M111" s="816" t="str">
        <f t="shared" si="63"/>
        <v/>
      </c>
      <c r="N111" s="816" t="str">
        <f t="shared" si="64"/>
        <v/>
      </c>
      <c r="R111" s="816" t="str">
        <f t="shared" si="65"/>
        <v/>
      </c>
      <c r="T111" s="829" t="str">
        <f t="shared" si="66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IF($J111="","",IF(SUM(IF(ISNUMBER(VALUE(RIGHT($AG111:$CM111,1))),VALUE(RIGHT($AG111:$CM111,1)),0))=$J111,"T","F"))</f>
        <v/>
      </c>
      <c r="AE111" s="816" t="str">
        <f t="array" ref="AE111">IF($J111="","",SUM(IF(LEFT($AG111:$DY111,1)="s",1,0))-SUM(IF(RIGHT(LEFT($AG111:$DY111,2))="-",1,0)))</f>
        <v/>
      </c>
      <c r="AF111" s="816" t="str">
        <f t="array" ref="AF111">IF($J111="","",SUM(IF(LEFT($AG111:$DE111,1)="X",1,0)))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3"/>
      <c r="BJ111" s="893"/>
      <c r="BK111" s="893"/>
      <c r="BL111" s="893"/>
      <c r="BM111" s="897"/>
      <c r="BN111" s="897"/>
      <c r="BO111" s="897"/>
      <c r="BP111" s="897"/>
      <c r="BQ111" s="897"/>
      <c r="BR111" s="893"/>
      <c r="BS111" s="897"/>
      <c r="BT111" s="893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  <c r="CG111" s="897"/>
      <c r="CH111" s="897"/>
    </row>
    <row r="112" spans="1:86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2"/>
        <v/>
      </c>
      <c r="M112" s="816" t="str">
        <f t="shared" si="63"/>
        <v/>
      </c>
      <c r="N112" s="816" t="str">
        <f t="shared" si="64"/>
        <v/>
      </c>
      <c r="R112" s="816" t="str">
        <f t="shared" si="65"/>
        <v/>
      </c>
      <c r="T112" s="829" t="str">
        <f t="shared" si="66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IF($J112="","",IF(SUM(IF(ISNUMBER(VALUE(RIGHT($AG112:$CM112,1))),VALUE(RIGHT($AG112:$CM112,1)),0))=$J112,"T","F"))</f>
        <v/>
      </c>
      <c r="AE112" s="816" t="str">
        <f t="array" ref="AE112">IF($J112="","",SUM(IF(LEFT($AG112:$DY112,1)="s",1,0))-SUM(IF(RIGHT(LEFT($AG112:$DY112,2))="-",1,0)))</f>
        <v/>
      </c>
      <c r="AF112" s="816" t="str">
        <f t="array" ref="AF112">IF($J112="","",SUM(IF(LEFT($AG112:$DE112,1)="X",1,0)))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3"/>
      <c r="BJ112" s="893"/>
      <c r="BK112" s="893"/>
      <c r="BL112" s="893"/>
      <c r="BM112" s="897"/>
      <c r="BN112" s="897"/>
      <c r="BO112" s="897"/>
      <c r="BP112" s="897"/>
      <c r="BQ112" s="897"/>
      <c r="BR112" s="893"/>
      <c r="BS112" s="897"/>
      <c r="BT112" s="893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  <c r="CG112" s="897"/>
      <c r="CH112" s="897"/>
    </row>
    <row r="113" spans="4:86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2"/>
        <v/>
      </c>
      <c r="M113" s="816" t="str">
        <f t="shared" si="63"/>
        <v/>
      </c>
      <c r="N113" s="816" t="str">
        <f t="shared" si="64"/>
        <v/>
      </c>
      <c r="R113" s="816" t="str">
        <f t="shared" si="65"/>
        <v/>
      </c>
      <c r="T113" s="829" t="str">
        <f t="shared" si="66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IF($J113="","",IF(SUM(IF(ISNUMBER(VALUE(RIGHT($AG113:$CM113,1))),VALUE(RIGHT($AG113:$CM113,1)),0))=$J113,"T","F"))</f>
        <v/>
      </c>
      <c r="AE113" s="816" t="str">
        <f t="array" ref="AE113">IF($J113="","",SUM(IF(LEFT($AG113:$DY113,1)="s",1,0))-SUM(IF(RIGHT(LEFT($AG113:$DY113,2))="-",1,0)))</f>
        <v/>
      </c>
      <c r="AF113" s="816" t="str">
        <f t="array" ref="AF113">IF($J113="","",SUM(IF(LEFT($AG113:$DE113,1)="X",1,0)))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3"/>
      <c r="BJ113" s="893"/>
      <c r="BK113" s="893"/>
      <c r="BL113" s="893"/>
      <c r="BM113" s="897"/>
      <c r="BN113" s="897"/>
      <c r="BO113" s="897"/>
      <c r="BP113" s="897"/>
      <c r="BQ113" s="897"/>
      <c r="BR113" s="893"/>
      <c r="BS113" s="897"/>
      <c r="BT113" s="893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  <c r="CG113" s="897"/>
      <c r="CH113" s="897"/>
    </row>
    <row r="114" spans="4:86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2"/>
        <v/>
      </c>
      <c r="M114" s="816" t="str">
        <f t="shared" si="63"/>
        <v/>
      </c>
      <c r="N114" s="816" t="str">
        <f t="shared" si="64"/>
        <v/>
      </c>
      <c r="R114" s="816" t="str">
        <f t="shared" si="65"/>
        <v/>
      </c>
      <c r="T114" s="829" t="str">
        <f t="shared" si="66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IF($J114="","",IF(SUM(IF(ISNUMBER(VALUE(RIGHT($AG114:$CM114,1))),VALUE(RIGHT($AG114:$CM114,1)),0))=$J114,"T","F"))</f>
        <v/>
      </c>
      <c r="AE114" s="816" t="str">
        <f t="array" ref="AE114">IF($J114="","",SUM(IF(LEFT($AG114:$DY114,1)="s",1,0))-SUM(IF(RIGHT(LEFT($AG114:$DY114,2))="-",1,0)))</f>
        <v/>
      </c>
      <c r="AF114" s="816" t="str">
        <f t="array" ref="AF114">IF($J114="","",SUM(IF(LEFT($AG114:$DE114,1)="X",1,0)))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7"/>
      <c r="BF114" s="897"/>
      <c r="BG114" s="897"/>
      <c r="BH114" s="897"/>
      <c r="BI114" s="893"/>
      <c r="BJ114" s="893"/>
      <c r="BK114" s="893"/>
      <c r="BL114" s="893"/>
      <c r="BM114" s="897"/>
      <c r="BN114" s="897"/>
      <c r="BO114" s="897"/>
      <c r="BP114" s="897"/>
      <c r="BQ114" s="897"/>
      <c r="BR114" s="893"/>
      <c r="BS114" s="897"/>
      <c r="BT114" s="893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  <c r="CG114" s="897"/>
      <c r="CH114" s="897"/>
    </row>
    <row r="115" spans="4:86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2"/>
        <v/>
      </c>
      <c r="M115" s="816" t="str">
        <f t="shared" si="63"/>
        <v/>
      </c>
      <c r="N115" s="816" t="str">
        <f t="shared" si="64"/>
        <v/>
      </c>
      <c r="R115" s="816" t="str">
        <f t="shared" si="65"/>
        <v/>
      </c>
      <c r="T115" s="829" t="str">
        <f t="shared" si="66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IF($J115="","",IF(SUM(IF(ISNUMBER(VALUE(RIGHT($AG115:$CM115,1))),VALUE(RIGHT($AG115:$CM115,1)),0))=$J115,"T","F"))</f>
        <v/>
      </c>
      <c r="AE115" s="816" t="str">
        <f t="array" ref="AE115">IF($J115="","",SUM(IF(LEFT($AG115:$DY115,1)="s",1,0))-SUM(IF(RIGHT(LEFT($AG115:$DY115,2))="-",1,0)))</f>
        <v/>
      </c>
      <c r="AF115" s="816" t="str">
        <f t="array" ref="AF115">IF($J115="","",SUM(IF(LEFT($AG115:$DE115,1)="X",1,0)))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7"/>
      <c r="BF115" s="897"/>
      <c r="BG115" s="897"/>
      <c r="BH115" s="897"/>
      <c r="BI115" s="893"/>
      <c r="BJ115" s="893"/>
      <c r="BK115" s="893"/>
      <c r="BL115" s="893"/>
      <c r="BM115" s="897"/>
      <c r="BN115" s="897"/>
      <c r="BO115" s="897"/>
      <c r="BP115" s="897"/>
      <c r="BQ115" s="897"/>
      <c r="BR115" s="893"/>
      <c r="BS115" s="897"/>
      <c r="BT115" s="893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  <c r="CG115" s="897"/>
      <c r="CH115" s="897"/>
    </row>
    <row r="116" spans="4:86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2"/>
        <v/>
      </c>
      <c r="M116" s="816" t="str">
        <f t="shared" si="63"/>
        <v/>
      </c>
      <c r="N116" s="816" t="str">
        <f t="shared" si="64"/>
        <v/>
      </c>
      <c r="R116" s="816" t="str">
        <f t="shared" si="65"/>
        <v/>
      </c>
      <c r="T116" s="829" t="str">
        <f t="shared" si="66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IF($J116="","",IF(SUM(IF(ISNUMBER(VALUE(RIGHT($AG116:$CM116,1))),VALUE(RIGHT($AG116:$CM116,1)),0))=$J116,"T","F"))</f>
        <v/>
      </c>
      <c r="AE116" s="816" t="str">
        <f t="array" ref="AE116">IF($J116="","",SUM(IF(LEFT($AG116:$DY116,1)="s",1,0))-SUM(IF(RIGHT(LEFT($AG116:$DY116,2))="-",1,0)))</f>
        <v/>
      </c>
      <c r="AF116" s="816" t="str">
        <f t="array" ref="AF116">IF($J116="","",SUM(IF(LEFT($AG116:$DE116,1)="X",1,0)))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7"/>
      <c r="BF116" s="897"/>
      <c r="BG116" s="897"/>
      <c r="BH116" s="897"/>
      <c r="BI116" s="893"/>
      <c r="BJ116" s="893"/>
      <c r="BK116" s="893"/>
      <c r="BL116" s="893"/>
      <c r="BM116" s="897"/>
      <c r="BN116" s="897"/>
      <c r="BO116" s="897"/>
      <c r="BP116" s="897"/>
      <c r="BQ116" s="897"/>
      <c r="BR116" s="893"/>
      <c r="BS116" s="897"/>
      <c r="BT116" s="893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  <c r="CG116" s="897"/>
      <c r="CH116" s="897"/>
    </row>
    <row r="117" spans="4:86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2"/>
        <v/>
      </c>
      <c r="M117" s="816" t="str">
        <f t="shared" si="63"/>
        <v/>
      </c>
      <c r="N117" s="816" t="str">
        <f t="shared" si="64"/>
        <v/>
      </c>
      <c r="R117" s="816" t="str">
        <f t="shared" si="65"/>
        <v/>
      </c>
      <c r="T117" s="829" t="str">
        <f t="shared" si="66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IF($J117="","",IF(SUM(IF(ISNUMBER(VALUE(RIGHT($AG117:$CM117,1))),VALUE(RIGHT($AG117:$CM117,1)),0))=$J117,"T","F"))</f>
        <v/>
      </c>
      <c r="AE117" s="816" t="str">
        <f t="array" ref="AE117">IF($J117="","",SUM(IF(LEFT($AG117:$DY117,1)="s",1,0))-SUM(IF(RIGHT(LEFT($AG117:$DY117,2))="-",1,0)))</f>
        <v/>
      </c>
      <c r="AF117" s="816" t="str">
        <f t="array" ref="AF117">IF($J117="","",SUM(IF(LEFT($AG117:$DE117,1)="X",1,0)))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7"/>
      <c r="BF117" s="897"/>
      <c r="BG117" s="897"/>
      <c r="BH117" s="897"/>
      <c r="BI117" s="893"/>
      <c r="BJ117" s="893"/>
      <c r="BK117" s="893"/>
      <c r="BL117" s="893"/>
      <c r="BM117" s="897"/>
      <c r="BN117" s="897"/>
      <c r="BO117" s="897"/>
      <c r="BP117" s="897"/>
      <c r="BQ117" s="897"/>
      <c r="BR117" s="893"/>
      <c r="BS117" s="897"/>
      <c r="BT117" s="893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  <c r="CG117" s="897"/>
      <c r="CH117" s="897"/>
    </row>
    <row r="118" spans="4:86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2"/>
        <v/>
      </c>
      <c r="M118" s="816" t="str">
        <f t="shared" si="63"/>
        <v/>
      </c>
      <c r="N118" s="816" t="str">
        <f t="shared" si="64"/>
        <v/>
      </c>
      <c r="R118" s="816" t="str">
        <f t="shared" si="65"/>
        <v/>
      </c>
      <c r="T118" s="829" t="str">
        <f t="shared" si="66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IF($J118="","",IF(SUM(IF(ISNUMBER(VALUE(RIGHT($AG118:$CM118,1))),VALUE(RIGHT($AG118:$CM118,1)),0))=$J118,"T","F"))</f>
        <v/>
      </c>
      <c r="AE118" s="816" t="str">
        <f t="array" ref="AE118">IF($J118="","",SUM(IF(LEFT($AG118:$DY118,1)="s",1,0))-SUM(IF(RIGHT(LEFT($AG118:$DY118,2))="-",1,0)))</f>
        <v/>
      </c>
      <c r="AF118" s="816" t="str">
        <f t="array" ref="AF118">IF($J118="","",SUM(IF(LEFT($AG118:$DE118,1)="X",1,0)))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7"/>
      <c r="BF118" s="897"/>
      <c r="BG118" s="897"/>
      <c r="BH118" s="897"/>
      <c r="BI118" s="893"/>
      <c r="BJ118" s="893"/>
      <c r="BK118" s="893"/>
      <c r="BL118" s="893"/>
      <c r="BM118" s="897"/>
      <c r="BN118" s="897"/>
      <c r="BO118" s="897"/>
      <c r="BP118" s="897"/>
      <c r="BQ118" s="897"/>
      <c r="BR118" s="893"/>
      <c r="BS118" s="897"/>
      <c r="BT118" s="893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  <c r="CG118" s="897"/>
      <c r="CH118" s="897"/>
    </row>
    <row r="119" spans="4:86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2"/>
        <v/>
      </c>
      <c r="M119" s="816" t="str">
        <f t="shared" si="63"/>
        <v/>
      </c>
      <c r="N119" s="816" t="str">
        <f t="shared" si="64"/>
        <v/>
      </c>
      <c r="R119" s="816" t="str">
        <f t="shared" si="65"/>
        <v/>
      </c>
      <c r="T119" s="829" t="str">
        <f t="shared" si="66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IF($J119="","",IF(SUM(IF(ISNUMBER(VALUE(RIGHT($AG119:$CM119,1))),VALUE(RIGHT($AG119:$CM119,1)),0))=$J119,"T","F"))</f>
        <v/>
      </c>
      <c r="AE119" s="816" t="str">
        <f t="array" ref="AE119">IF($J119="","",SUM(IF(LEFT($AG119:$DY119,1)="s",1,0))-SUM(IF(RIGHT(LEFT($AG119:$DY119,2))="-",1,0)))</f>
        <v/>
      </c>
      <c r="AF119" s="816" t="str">
        <f t="array" ref="AF119">IF($J119="","",SUM(IF(LEFT($AG119:$DE119,1)="X",1,0)))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7"/>
      <c r="BF119" s="897"/>
      <c r="BG119" s="897"/>
      <c r="BH119" s="897"/>
      <c r="BI119" s="893"/>
      <c r="BJ119" s="893"/>
      <c r="BK119" s="893"/>
      <c r="BL119" s="893"/>
      <c r="BM119" s="897"/>
      <c r="BN119" s="897"/>
      <c r="BO119" s="897"/>
      <c r="BP119" s="897"/>
      <c r="BQ119" s="897"/>
      <c r="BR119" s="893"/>
      <c r="BS119" s="897"/>
      <c r="BT119" s="893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  <c r="CG119" s="897"/>
      <c r="CH119" s="897"/>
    </row>
    <row r="120" spans="4:86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2"/>
        <v/>
      </c>
      <c r="M120" s="816" t="str">
        <f t="shared" si="63"/>
        <v/>
      </c>
      <c r="N120" s="816" t="str">
        <f t="shared" si="64"/>
        <v/>
      </c>
      <c r="R120" s="816" t="str">
        <f t="shared" si="65"/>
        <v/>
      </c>
      <c r="T120" s="829" t="str">
        <f t="shared" si="66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IF($J120="","",IF(SUM(IF(ISNUMBER(VALUE(RIGHT($AG120:$CM120,1))),VALUE(RIGHT($AG120:$CM120,1)),0))=$J120,"T","F"))</f>
        <v/>
      </c>
      <c r="AE120" s="816" t="str">
        <f t="array" ref="AE120">IF($J120="","",SUM(IF(LEFT($AG120:$DY120,1)="s",1,0))-SUM(IF(RIGHT(LEFT($AG120:$DY120,2))="-",1,0)))</f>
        <v/>
      </c>
      <c r="AF120" s="816" t="str">
        <f t="array" ref="AF120">IF($J120="","",SUM(IF(LEFT($AG120:$DE120,1)="X",1,0)))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7"/>
      <c r="BF120" s="897"/>
      <c r="BG120" s="897"/>
      <c r="BH120" s="897"/>
      <c r="BI120" s="893"/>
      <c r="BJ120" s="893"/>
      <c r="BK120" s="893"/>
      <c r="BL120" s="893"/>
      <c r="BM120" s="897"/>
      <c r="BN120" s="897"/>
      <c r="BO120" s="897"/>
      <c r="BP120" s="897"/>
      <c r="BQ120" s="897"/>
      <c r="BR120" s="893"/>
      <c r="BS120" s="897"/>
      <c r="BT120" s="893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  <c r="CG120" s="897"/>
      <c r="CH120" s="897"/>
    </row>
    <row r="121" spans="4:86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2"/>
        <v/>
      </c>
      <c r="M121" s="816" t="str">
        <f t="shared" si="63"/>
        <v/>
      </c>
      <c r="N121" s="816" t="str">
        <f t="shared" si="64"/>
        <v/>
      </c>
      <c r="R121" s="816" t="str">
        <f t="shared" si="65"/>
        <v/>
      </c>
      <c r="T121" s="829" t="str">
        <f t="shared" si="66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IF($J121="","",IF(SUM(IF(ISNUMBER(VALUE(RIGHT($AG121:$CM121,1))),VALUE(RIGHT($AG121:$CM121,1)),0))=$J121,"T","F"))</f>
        <v/>
      </c>
      <c r="AE121" s="816" t="str">
        <f t="array" ref="AE121">IF($J121="","",SUM(IF(LEFT($AG121:$DY121,1)="s",1,0))-SUM(IF(RIGHT(LEFT($AG121:$DY121,2))="-",1,0)))</f>
        <v/>
      </c>
      <c r="AF121" s="816" t="str">
        <f t="array" ref="AF121">IF($J121="","",SUM(IF(LEFT($AG121:$DE121,1)="X",1,0)))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3"/>
      <c r="BJ121" s="893"/>
      <c r="BK121" s="893"/>
      <c r="BL121" s="893"/>
      <c r="BM121" s="897"/>
      <c r="BN121" s="897"/>
      <c r="BO121" s="897"/>
      <c r="BP121" s="897"/>
      <c r="BQ121" s="897"/>
      <c r="BR121" s="893"/>
      <c r="BS121" s="897"/>
      <c r="BT121" s="893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  <c r="CG121" s="897"/>
      <c r="CH121" s="897"/>
    </row>
    <row r="122" spans="4:86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2"/>
        <v/>
      </c>
      <c r="M122" s="816" t="str">
        <f t="shared" si="63"/>
        <v/>
      </c>
      <c r="N122" s="816" t="str">
        <f t="shared" si="64"/>
        <v/>
      </c>
      <c r="R122" s="816" t="str">
        <f t="shared" si="65"/>
        <v/>
      </c>
      <c r="T122" s="829" t="str">
        <f t="shared" si="66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IF($J122="","",IF(SUM(IF(ISNUMBER(VALUE(RIGHT($AG122:$CM122,1))),VALUE(RIGHT($AG122:$CM122,1)),0))=$J122,"T","F"))</f>
        <v/>
      </c>
      <c r="AE122" s="816" t="str">
        <f t="array" ref="AE122">IF($J122="","",SUM(IF(LEFT($AG122:$DY122,1)="s",1,0))-SUM(IF(RIGHT(LEFT($AG122:$DY122,2))="-",1,0)))</f>
        <v/>
      </c>
      <c r="AF122" s="816" t="str">
        <f t="array" ref="AF122">IF($J122="","",SUM(IF(LEFT($AG122:$DE122,1)="X",1,0)))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7"/>
      <c r="BF122" s="897"/>
      <c r="BG122" s="897"/>
      <c r="BH122" s="897"/>
      <c r="BI122" s="893"/>
      <c r="BJ122" s="893"/>
      <c r="BK122" s="893"/>
      <c r="BL122" s="893"/>
      <c r="BM122" s="897"/>
      <c r="BN122" s="897"/>
      <c r="BO122" s="897"/>
      <c r="BP122" s="897"/>
      <c r="BQ122" s="897"/>
      <c r="BR122" s="893"/>
      <c r="BS122" s="897"/>
      <c r="BT122" s="893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  <c r="CG122" s="897"/>
      <c r="CH122" s="897"/>
    </row>
    <row r="123" spans="4:86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2"/>
        <v/>
      </c>
      <c r="M123" s="816" t="str">
        <f t="shared" si="63"/>
        <v/>
      </c>
      <c r="N123" s="816" t="str">
        <f t="shared" si="64"/>
        <v/>
      </c>
      <c r="R123" s="816" t="str">
        <f t="shared" si="65"/>
        <v/>
      </c>
      <c r="T123" s="829" t="str">
        <f t="shared" si="66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IF($J123="","",IF(SUM(IF(ISNUMBER(VALUE(RIGHT($AG123:$CM123,1))),VALUE(RIGHT($AG123:$CM123,1)),0))=$J123,"T","F"))</f>
        <v/>
      </c>
      <c r="AE123" s="816" t="str">
        <f t="array" ref="AE123">IF($J123="","",SUM(IF(LEFT($AG123:$DY123,1)="s",1,0))-SUM(IF(RIGHT(LEFT($AG123:$DY123,2))="-",1,0)))</f>
        <v/>
      </c>
      <c r="AF123" s="816" t="str">
        <f t="array" ref="AF123">IF($J123="","",SUM(IF(LEFT($AG123:$DE123,1)="X",1,0)))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7"/>
      <c r="BE123" s="897"/>
      <c r="BF123" s="897"/>
      <c r="BG123" s="897"/>
      <c r="BH123" s="897"/>
      <c r="BI123" s="893"/>
      <c r="BJ123" s="893"/>
      <c r="BK123" s="893"/>
      <c r="BL123" s="893"/>
      <c r="BM123" s="897"/>
      <c r="BN123" s="897"/>
      <c r="BO123" s="897"/>
      <c r="BP123" s="897"/>
      <c r="BQ123" s="897"/>
      <c r="BR123" s="893"/>
      <c r="BS123" s="897"/>
      <c r="BT123" s="893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  <c r="CG123" s="897"/>
      <c r="CH123" s="897"/>
    </row>
    <row r="124" spans="4:86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2"/>
        <v/>
      </c>
      <c r="M124" s="816" t="str">
        <f t="shared" si="63"/>
        <v/>
      </c>
      <c r="N124" s="816" t="str">
        <f t="shared" si="64"/>
        <v/>
      </c>
      <c r="R124" s="816" t="str">
        <f t="shared" si="65"/>
        <v/>
      </c>
      <c r="T124" s="829" t="str">
        <f t="shared" si="66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IF($J124="","",IF(SUM(IF(ISNUMBER(VALUE(RIGHT($AG124:$CM124,1))),VALUE(RIGHT($AG124:$CM124,1)),0))=$J124,"T","F"))</f>
        <v/>
      </c>
      <c r="AE124" s="816" t="str">
        <f t="array" ref="AE124">IF($J124="","",SUM(IF(LEFT($AG124:$DY124,1)="s",1,0))-SUM(IF(RIGHT(LEFT($AG124:$DY124,2))="-",1,0)))</f>
        <v/>
      </c>
      <c r="AF124" s="816" t="str">
        <f t="array" ref="AF124">IF($J124="","",SUM(IF(LEFT($AG124:$DE124,1)="X",1,0)))</f>
        <v/>
      </c>
    </row>
    <row r="125" spans="4:86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2"/>
        <v/>
      </c>
      <c r="M125" s="816" t="str">
        <f t="shared" si="63"/>
        <v/>
      </c>
      <c r="N125" s="816" t="str">
        <f t="shared" si="64"/>
        <v/>
      </c>
      <c r="R125" s="816" t="str">
        <f t="shared" si="65"/>
        <v/>
      </c>
      <c r="T125" s="829" t="str">
        <f t="shared" si="66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IF($J125="","",IF(SUM(IF(ISNUMBER(VALUE(RIGHT($AG125:$CM125,1))),VALUE(RIGHT($AG125:$CM125,1)),0))=$J125,"T","F"))</f>
        <v/>
      </c>
      <c r="AE125" s="816" t="str">
        <f t="array" ref="AE125">IF($J125="","",SUM(IF(LEFT($AG125:$DY125,1)="s",1,0))-SUM(IF(RIGHT(LEFT($AG125:$DY125,2))="-",1,0)))</f>
        <v/>
      </c>
      <c r="AF125" s="816" t="str">
        <f t="array" ref="AF125">IF($J125="","",SUM(IF(LEFT($AG125:$DE125,1)="X",1,0)))</f>
        <v/>
      </c>
    </row>
    <row r="126" spans="4:86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2"/>
        <v/>
      </c>
      <c r="M126" s="816" t="str">
        <f t="shared" si="63"/>
        <v/>
      </c>
      <c r="N126" s="816" t="str">
        <f t="shared" si="64"/>
        <v/>
      </c>
      <c r="R126" s="816" t="str">
        <f t="shared" si="65"/>
        <v/>
      </c>
      <c r="T126" s="829" t="str">
        <f t="shared" si="66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IF($J126="","",IF(SUM(IF(ISNUMBER(VALUE(RIGHT($AG126:$CM126,1))),VALUE(RIGHT($AG126:$CM126,1)),0))=$J126,"T","F"))</f>
        <v/>
      </c>
      <c r="AE126" s="816" t="str">
        <f t="array" ref="AE126">IF($J126="","",SUM(IF(LEFT($AG126:$DY126,1)="s",1,0))-SUM(IF(RIGHT(LEFT($AG126:$DY126,2))="-",1,0)))</f>
        <v/>
      </c>
      <c r="AF126" s="816" t="str">
        <f t="array" ref="AF126">IF($J126="","",SUM(IF(LEFT($AG126:$DE126,1)="X",1,0)))</f>
        <v/>
      </c>
    </row>
    <row r="127" spans="4:86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2"/>
        <v/>
      </c>
      <c r="M127" s="816" t="str">
        <f t="shared" si="63"/>
        <v/>
      </c>
      <c r="N127" s="816" t="str">
        <f t="shared" si="64"/>
        <v/>
      </c>
      <c r="R127" s="816" t="str">
        <f t="shared" si="65"/>
        <v/>
      </c>
      <c r="T127" s="829" t="str">
        <f t="shared" si="66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IF($J127="","",IF(SUM(IF(ISNUMBER(VALUE(RIGHT($AG127:$CM127,1))),VALUE(RIGHT($AG127:$CM127,1)),0))=$J127,"T","F"))</f>
        <v/>
      </c>
      <c r="AE127" s="816" t="str">
        <f t="array" ref="AE127">IF($J127="","",SUM(IF(LEFT($AG127:$DY127,1)="s",1,0))-SUM(IF(RIGHT(LEFT($AG127:$DY127,2))="-",1,0)))</f>
        <v/>
      </c>
      <c r="AF127" s="816" t="str">
        <f t="array" ref="AF127">IF($J127="","",SUM(IF(LEFT($AG127:$DE127,1)="X",1,0)))</f>
        <v/>
      </c>
    </row>
    <row r="128" spans="4:86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2"/>
        <v/>
      </c>
      <c r="M128" s="816" t="str">
        <f t="shared" si="63"/>
        <v/>
      </c>
      <c r="N128" s="816" t="str">
        <f t="shared" si="64"/>
        <v/>
      </c>
      <c r="R128" s="816" t="str">
        <f t="shared" si="65"/>
        <v/>
      </c>
      <c r="T128" s="829" t="str">
        <f t="shared" si="66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IF($J128="","",IF(SUM(IF(ISNUMBER(VALUE(RIGHT($AG128:$CM128,1))),VALUE(RIGHT($AG128:$CM128,1)),0))=$J128,"T","F"))</f>
        <v/>
      </c>
      <c r="AE128" s="816" t="str">
        <f t="array" ref="AE128">IF($J128="","",SUM(IF(LEFT($AG128:$DY128,1)="s",1,0))-SUM(IF(RIGHT(LEFT($AG128:$DY128,2))="-",1,0)))</f>
        <v/>
      </c>
      <c r="AF128" s="816" t="str">
        <f t="array" ref="AF128">IF($J128="","",SUM(IF(LEFT($AG128:$DE128,1)="X",1,0)))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2"/>
        <v/>
      </c>
      <c r="M129" s="816" t="str">
        <f t="shared" si="63"/>
        <v/>
      </c>
      <c r="N129" s="816" t="str">
        <f t="shared" si="64"/>
        <v/>
      </c>
      <c r="R129" s="816" t="str">
        <f t="shared" si="65"/>
        <v/>
      </c>
      <c r="T129" s="829" t="str">
        <f t="shared" si="66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IF($J129="","",IF(SUM(IF(ISNUMBER(VALUE(RIGHT($AG129:$CM129,1))),VALUE(RIGHT($AG129:$CM129,1)),0))=$J129,"T","F"))</f>
        <v/>
      </c>
      <c r="AE129" s="816" t="str">
        <f t="array" ref="AE129">IF($J129="","",SUM(IF(LEFT($AG129:$DY129,1)="s",1,0))-SUM(IF(RIGHT(LEFT($AG129:$DY129,2))="-",1,0)))</f>
        <v/>
      </c>
      <c r="AF129" s="816" t="str">
        <f t="array" ref="AF129">IF($J129="","",SUM(IF(LEFT($AG129:$DE129,1)="X",1,0)))</f>
        <v/>
      </c>
    </row>
    <row r="130" spans="4:32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</sheetData>
  <autoFilter ref="A22:DK76"/>
  <mergeCells count="3">
    <mergeCell ref="W19:X19"/>
    <mergeCell ref="Y19:Z19"/>
    <mergeCell ref="AA19:AB19"/>
  </mergeCells>
  <phoneticPr fontId="21" type="noConversion"/>
  <conditionalFormatting sqref="AD23:AD306">
    <cfRule type="cellIs" dxfId="826" priority="77" operator="equal">
      <formula>"T"</formula>
    </cfRule>
  </conditionalFormatting>
  <conditionalFormatting sqref="N23:N306">
    <cfRule type="cellIs" dxfId="825" priority="84" stopIfTrue="1" operator="equal">
      <formula>"U"</formula>
    </cfRule>
    <cfRule type="cellIs" dxfId="824" priority="85" stopIfTrue="1" operator="equal">
      <formula>"O"</formula>
    </cfRule>
  </conditionalFormatting>
  <conditionalFormatting sqref="L23:L306">
    <cfRule type="cellIs" dxfId="823" priority="82" stopIfTrue="1" operator="equal">
      <formula>"W"</formula>
    </cfRule>
    <cfRule type="cellIs" dxfId="822" priority="83" stopIfTrue="1" operator="equal">
      <formula>"D"</formula>
    </cfRule>
  </conditionalFormatting>
  <conditionalFormatting sqref="AF23:AF306">
    <cfRule type="cellIs" dxfId="821" priority="80" stopIfTrue="1" operator="notEqual">
      <formula>11</formula>
    </cfRule>
    <cfRule type="cellIs" dxfId="820" priority="81" stopIfTrue="1" operator="between">
      <formula>0</formula>
      <formula>20</formula>
    </cfRule>
  </conditionalFormatting>
  <conditionalFormatting sqref="AE23:AE306">
    <cfRule type="cellIs" dxfId="819" priority="78" stopIfTrue="1" operator="notEqual">
      <formula>0</formula>
    </cfRule>
    <cfRule type="cellIs" dxfId="818" priority="79" stopIfTrue="1" operator="between">
      <formula>0</formula>
      <formula>20</formula>
    </cfRule>
  </conditionalFormatting>
  <conditionalFormatting sqref="CJ19:DA19">
    <cfRule type="expression" dxfId="817" priority="73">
      <formula>CJ19="G"</formula>
    </cfRule>
    <cfRule type="expression" dxfId="816" priority="74">
      <formula>CJ19="M"</formula>
    </cfRule>
    <cfRule type="expression" dxfId="815" priority="75">
      <formula>CJ19="D"</formula>
    </cfRule>
    <cfRule type="expression" dxfId="814" priority="76">
      <formula>CJ19="A"</formula>
    </cfRule>
  </conditionalFormatting>
  <conditionalFormatting sqref="BK19:CI19 AJ19:BB19 BD19:BE19 BG19:BH19">
    <cfRule type="expression" dxfId="813" priority="69">
      <formula>AJ19="G"</formula>
    </cfRule>
    <cfRule type="expression" dxfId="812" priority="70">
      <formula>OR(AJ19="M",AJ19="CM",AJ19="LM",AJ19="RM",AJ19="DM",AJ19="AM")</formula>
    </cfRule>
    <cfRule type="expression" dxfId="811" priority="71">
      <formula>OR(AJ19="D",AJ19="CB",AJ19="LB",AJ19="RB")</formula>
    </cfRule>
    <cfRule type="expression" dxfId="810" priority="72">
      <formula>OR(AJ19="A",AJ19="CF",AJ19="SS",AJ19="ST",AJ19="RW",AJ19="LW")</formula>
    </cfRule>
  </conditionalFormatting>
  <conditionalFormatting sqref="AG38:AG39 AN39:AO39 AS39:AT39 AW39 BA39 AI39:AJ39 AW41:BE41 AW42:BC42 BE42 AW43:BE48 BH41:BH48 AG41:AU48 AG23:BE37 AI38:BE38 BC39:BE39 AG40:BE40 BE23:BE40 BG23:BH40 BI23:BZ66 AG49:BO68">
    <cfRule type="expression" dxfId="809" priority="67">
      <formula>IF(ISNUMBER(VALUE(RIGHT(AG23,1))),1,0)</formula>
    </cfRule>
  </conditionalFormatting>
  <conditionalFormatting sqref="BJ19">
    <cfRule type="expression" dxfId="808" priority="63">
      <formula>BJ19="G"</formula>
    </cfRule>
    <cfRule type="expression" dxfId="807" priority="64">
      <formula>OR(BJ19="M",BJ19="CM",BJ19="LM",BJ19="RM",BJ19="DM",BJ19="AM")</formula>
    </cfRule>
    <cfRule type="expression" dxfId="806" priority="65">
      <formula>OR(BJ19="D",BJ19="CB",BJ19="LB",BJ19="RB")</formula>
    </cfRule>
    <cfRule type="expression" dxfId="805" priority="66">
      <formula>OR(BJ19="A",BJ19="CF",BJ19="SS",BJ19="ST",BJ19="RW",BJ19="LW")</formula>
    </cfRule>
  </conditionalFormatting>
  <conditionalFormatting sqref="BC67">
    <cfRule type="expression" dxfId="804" priority="62">
      <formula>IF(ISNUMBER(VALUE(RIGHT(BC67,1))),1,0)</formula>
    </cfRule>
  </conditionalFormatting>
  <conditionalFormatting sqref="BC68">
    <cfRule type="expression" dxfId="803" priority="61">
      <formula>IF(ISNUMBER(VALUE(RIGHT(BC68,1))),1,0)</formula>
    </cfRule>
  </conditionalFormatting>
  <conditionalFormatting sqref="AG19:BB19 BD19:BE19 BG19:BH19">
    <cfRule type="cellIs" dxfId="802" priority="60" operator="equal">
      <formula>"M"</formula>
    </cfRule>
  </conditionalFormatting>
  <conditionalFormatting sqref="AG19:BB19 BD19:BE19 BG19:BH19">
    <cfRule type="cellIs" dxfId="801" priority="59" operator="equal">
      <formula>"D"</formula>
    </cfRule>
  </conditionalFormatting>
  <conditionalFormatting sqref="AG19:BB19 BD19:BE19 BG19:BH19">
    <cfRule type="cellIs" dxfId="800" priority="57" operator="equal">
      <formula>"G"</formula>
    </cfRule>
    <cfRule type="cellIs" dxfId="799" priority="58" operator="equal">
      <formula>"A"</formula>
    </cfRule>
  </conditionalFormatting>
  <conditionalFormatting sqref="AG19:BB19 BD19:BE19 BG19:BH19">
    <cfRule type="containsText" dxfId="798" priority="54" operator="containsText" text="FW">
      <formula>NOT(ISERROR(SEARCH("FW",AG19)))</formula>
    </cfRule>
    <cfRule type="containsText" dxfId="797" priority="55" operator="containsText" text="MF">
      <formula>NOT(ISERROR(SEARCH("MF",AG19)))</formula>
    </cfRule>
    <cfRule type="containsText" dxfId="796" priority="56" operator="containsText" text="DF">
      <formula>NOT(ISERROR(SEARCH("DF",AG19)))</formula>
    </cfRule>
  </conditionalFormatting>
  <conditionalFormatting sqref="BJ16:BN16">
    <cfRule type="top10" dxfId="795" priority="50" stopIfTrue="1" rank="5"/>
  </conditionalFormatting>
  <conditionalFormatting sqref="BJ15:BN15">
    <cfRule type="top10" dxfId="794" priority="51" rank="11"/>
  </conditionalFormatting>
  <conditionalFormatting sqref="BJ17:BN17">
    <cfRule type="top10" dxfId="793" priority="52" stopIfTrue="1" rank="5"/>
  </conditionalFormatting>
  <conditionalFormatting sqref="BJ14:BN14">
    <cfRule type="top10" dxfId="792" priority="53" rank="11"/>
  </conditionalFormatting>
  <conditionalFormatting sqref="BI16">
    <cfRule type="top10" dxfId="791" priority="46" stopIfTrue="1" rank="5"/>
  </conditionalFormatting>
  <conditionalFormatting sqref="BI15">
    <cfRule type="top10" dxfId="790" priority="47" rank="11"/>
  </conditionalFormatting>
  <conditionalFormatting sqref="BI17">
    <cfRule type="top10" dxfId="789" priority="48" stopIfTrue="1" rank="5"/>
  </conditionalFormatting>
  <conditionalFormatting sqref="BI14">
    <cfRule type="top10" dxfId="788" priority="49" rank="11"/>
  </conditionalFormatting>
  <conditionalFormatting sqref="BC19">
    <cfRule type="expression" dxfId="787" priority="42">
      <formula>BC19="G"</formula>
    </cfRule>
    <cfRule type="expression" dxfId="786" priority="43">
      <formula>OR(BC19="M",BC19="CM",BC19="LM",BC19="RM",BC19="DM",BC19="AM")</formula>
    </cfRule>
    <cfRule type="expression" dxfId="785" priority="44">
      <formula>OR(BC19="D",BC19="CB",BC19="LB",BC19="RB")</formula>
    </cfRule>
    <cfRule type="expression" dxfId="784" priority="45">
      <formula>OR(BC19="A",BC19="CF",BC19="SS",BC19="ST",BC19="RW",BC19="LW")</formula>
    </cfRule>
  </conditionalFormatting>
  <conditionalFormatting sqref="BC19">
    <cfRule type="cellIs" dxfId="783" priority="41" operator="equal">
      <formula>"M"</formula>
    </cfRule>
  </conditionalFormatting>
  <conditionalFormatting sqref="BC19">
    <cfRule type="cellIs" dxfId="782" priority="40" operator="equal">
      <formula>"D"</formula>
    </cfRule>
  </conditionalFormatting>
  <conditionalFormatting sqref="BC19">
    <cfRule type="cellIs" dxfId="781" priority="38" operator="equal">
      <formula>"G"</formula>
    </cfRule>
    <cfRule type="cellIs" dxfId="780" priority="39" operator="equal">
      <formula>"A"</formula>
    </cfRule>
  </conditionalFormatting>
  <conditionalFormatting sqref="BC19">
    <cfRule type="containsText" dxfId="779" priority="35" operator="containsText" text="FW">
      <formula>NOT(ISERROR(SEARCH("FW",BC19)))</formula>
    </cfRule>
    <cfRule type="containsText" dxfId="778" priority="36" operator="containsText" text="MF">
      <formula>NOT(ISERROR(SEARCH("MF",BC19)))</formula>
    </cfRule>
    <cfRule type="containsText" dxfId="777" priority="37" operator="containsText" text="DF">
      <formula>NOT(ISERROR(SEARCH("DF",BC19)))</formula>
    </cfRule>
  </conditionalFormatting>
  <conditionalFormatting sqref="AH38">
    <cfRule type="expression" dxfId="776" priority="34">
      <formula>IF(ISNUMBER(VALUE(RIGHT(AH38,1))),1,0)</formula>
    </cfRule>
  </conditionalFormatting>
  <conditionalFormatting sqref="AL39">
    <cfRule type="expression" dxfId="775" priority="33">
      <formula>IF(ISNUMBER(VALUE(RIGHT(AL39,1))),1,0)</formula>
    </cfRule>
  </conditionalFormatting>
  <conditionalFormatting sqref="BB39">
    <cfRule type="expression" dxfId="774" priority="32">
      <formula>IF(ISNUMBER(VALUE(RIGHT(BB39,1))),1,0)</formula>
    </cfRule>
  </conditionalFormatting>
  <conditionalFormatting sqref="AK39">
    <cfRule type="expression" dxfId="773" priority="31">
      <formula>IF(ISNUMBER(VALUE(RIGHT(AK39,1))),1,0)</formula>
    </cfRule>
  </conditionalFormatting>
  <conditionalFormatting sqref="AM39">
    <cfRule type="expression" dxfId="772" priority="30">
      <formula>IF(ISNUMBER(VALUE(RIGHT(AM39,1))),1,0)</formula>
    </cfRule>
  </conditionalFormatting>
  <conditionalFormatting sqref="AP39:AQ39">
    <cfRule type="expression" dxfId="771" priority="29">
      <formula>IF(ISNUMBER(VALUE(RIGHT(AP39,1))),1,0)</formula>
    </cfRule>
  </conditionalFormatting>
  <conditionalFormatting sqref="AR39">
    <cfRule type="expression" dxfId="770" priority="28">
      <formula>IF(ISNUMBER(VALUE(RIGHT(AR39,1))),1,0)</formula>
    </cfRule>
  </conditionalFormatting>
  <conditionalFormatting sqref="AU39">
    <cfRule type="expression" dxfId="769" priority="27">
      <formula>IF(ISNUMBER(VALUE(RIGHT(AU39,1))),1,0)</formula>
    </cfRule>
  </conditionalFormatting>
  <conditionalFormatting sqref="AX39">
    <cfRule type="expression" dxfId="768" priority="26">
      <formula>IF(ISNUMBER(VALUE(RIGHT(AX39,1))),1,0)</formula>
    </cfRule>
  </conditionalFormatting>
  <conditionalFormatting sqref="AY39:AZ39">
    <cfRule type="expression" dxfId="767" priority="25">
      <formula>IF(ISNUMBER(VALUE(RIGHT(AY39,1))),1,0)</formula>
    </cfRule>
  </conditionalFormatting>
  <conditionalFormatting sqref="AV39">
    <cfRule type="expression" dxfId="766" priority="24">
      <formula>IF(ISNUMBER(VALUE(RIGHT(AV39,1))),1,0)</formula>
    </cfRule>
  </conditionalFormatting>
  <conditionalFormatting sqref="AH39">
    <cfRule type="expression" dxfId="765" priority="23">
      <formula>IF(ISNUMBER(VALUE(RIGHT(AH39,1))),1,0)</formula>
    </cfRule>
  </conditionalFormatting>
  <conditionalFormatting sqref="AV41:AV43 AV45:AV48">
    <cfRule type="expression" dxfId="764" priority="22">
      <formula>IF(ISNUMBER(VALUE(RIGHT(AV41,1))),1,0)</formula>
    </cfRule>
  </conditionalFormatting>
  <conditionalFormatting sqref="BG41 BG43">
    <cfRule type="expression" dxfId="763" priority="21">
      <formula>IF(ISNUMBER(VALUE(RIGHT(BG41,1))),1,0)</formula>
    </cfRule>
  </conditionalFormatting>
  <conditionalFormatting sqref="BD42">
    <cfRule type="expression" dxfId="762" priority="20">
      <formula>IF(ISNUMBER(VALUE(RIGHT(BD42,1))),1,0)</formula>
    </cfRule>
  </conditionalFormatting>
  <conditionalFormatting sqref="BG42">
    <cfRule type="expression" dxfId="761" priority="19">
      <formula>IF(ISNUMBER(VALUE(RIGHT(BG42,1))),1,0)</formula>
    </cfRule>
  </conditionalFormatting>
  <conditionalFormatting sqref="BG44:BG48">
    <cfRule type="expression" dxfId="760" priority="18">
      <formula>IF(ISNUMBER(VALUE(RIGHT(BG44,1))),1,0)</formula>
    </cfRule>
  </conditionalFormatting>
  <conditionalFormatting sqref="AV44">
    <cfRule type="expression" dxfId="759" priority="17">
      <formula>IF(ISNUMBER(VALUE(RIGHT(AV44,1))),1,0)</formula>
    </cfRule>
  </conditionalFormatting>
  <conditionalFormatting sqref="CB16:CH16 BO16:BW16 AG16:BH16">
    <cfRule type="top10" dxfId="758" priority="794" stopIfTrue="1" rank="5"/>
  </conditionalFormatting>
  <conditionalFormatting sqref="CB15:CH15 BO15:BW15 AG15:BH15">
    <cfRule type="top10" dxfId="757" priority="799" rank="11"/>
  </conditionalFormatting>
  <conditionalFormatting sqref="CB17:CH17 BO17:BW17 AG17:BH17">
    <cfRule type="top10" dxfId="756" priority="804" stopIfTrue="1" rank="5"/>
  </conditionalFormatting>
  <conditionalFormatting sqref="CB14:CH14 BO14:BW14 AG14:BH14">
    <cfRule type="top10" dxfId="755" priority="809" rank="11"/>
  </conditionalFormatting>
  <conditionalFormatting sqref="BF23:BF46">
    <cfRule type="expression" dxfId="754" priority="14">
      <formula>IF(ISNUMBER(VALUE(RIGHT(BF23,1))),1,0)</formula>
    </cfRule>
  </conditionalFormatting>
  <conditionalFormatting sqref="BF48">
    <cfRule type="expression" dxfId="753" priority="13">
      <formula>IF(ISNUMBER(VALUE(RIGHT(BF48,1))),1,0)</formula>
    </cfRule>
  </conditionalFormatting>
  <conditionalFormatting sqref="BF19">
    <cfRule type="expression" dxfId="752" priority="9">
      <formula>BF19="G"</formula>
    </cfRule>
    <cfRule type="expression" dxfId="751" priority="10">
      <formula>OR(BF19="M",BF19="CM",BF19="LM",BF19="RM",BF19="DM",BF19="AM")</formula>
    </cfRule>
    <cfRule type="expression" dxfId="750" priority="11">
      <formula>OR(BF19="D",BF19="CB",BF19="LB",BF19="RB")</formula>
    </cfRule>
    <cfRule type="expression" dxfId="749" priority="12">
      <formula>OR(BF19="A",BF19="CF",BF19="SS",BF19="ST",BF19="RW",BF19="LW")</formula>
    </cfRule>
  </conditionalFormatting>
  <conditionalFormatting sqref="BF19">
    <cfRule type="cellIs" dxfId="748" priority="8" operator="equal">
      <formula>"M"</formula>
    </cfRule>
  </conditionalFormatting>
  <conditionalFormatting sqref="BF19">
    <cfRule type="cellIs" dxfId="747" priority="7" operator="equal">
      <formula>"D"</formula>
    </cfRule>
  </conditionalFormatting>
  <conditionalFormatting sqref="BF19">
    <cfRule type="cellIs" dxfId="746" priority="5" operator="equal">
      <formula>"G"</formula>
    </cfRule>
    <cfRule type="cellIs" dxfId="745" priority="6" operator="equal">
      <formula>"A"</formula>
    </cfRule>
  </conditionalFormatting>
  <conditionalFormatting sqref="BF19">
    <cfRule type="containsText" dxfId="744" priority="2" operator="containsText" text="FW">
      <formula>NOT(ISERROR(SEARCH("FW",BF19)))</formula>
    </cfRule>
    <cfRule type="containsText" dxfId="743" priority="3" operator="containsText" text="MF">
      <formula>NOT(ISERROR(SEARCH("MF",BF19)))</formula>
    </cfRule>
    <cfRule type="containsText" dxfId="742" priority="4" operator="containsText" text="DF">
      <formula>NOT(ISERROR(SEARCH("DF",BF19)))</formula>
    </cfRule>
  </conditionalFormatting>
  <conditionalFormatting sqref="BF47">
    <cfRule type="expression" dxfId="741" priority="1">
      <formula>IF(ISNUMBER(VALUE(RIGHT(BF47,1))),1,0)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$I23:$I238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DU239"/>
  <sheetViews>
    <sheetView zoomScale="85" zoomScaleNormal="85" workbookViewId="0">
      <pane xSplit="32" ySplit="22" topLeftCell="AG62" activePane="bottomRight" state="frozen"/>
      <selection activeCell="AX21" sqref="AX21"/>
      <selection pane="topRight" activeCell="AX21" sqref="AX21"/>
      <selection pane="bottomLeft" activeCell="AX21" sqref="AX21"/>
      <selection pane="bottomRight" activeCell="AA66" sqref="AA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3.875" style="816" customWidth="1" outlineLevel="1"/>
    <col min="30" max="32" width="3.75" style="816" customWidth="1"/>
    <col min="33" max="36" width="3.75" style="230" customWidth="1"/>
    <col min="37" max="37" width="3.75" bestFit="1" customWidth="1"/>
    <col min="38" max="54" width="3.75" style="230" customWidth="1"/>
    <col min="55" max="55" width="3.75" bestFit="1" customWidth="1"/>
    <col min="56" max="61" width="3.75" style="230" customWidth="1"/>
    <col min="62" max="62" width="3.75" customWidth="1"/>
    <col min="63" max="67" width="3.75" style="230" customWidth="1"/>
    <col min="68" max="68" width="4.375" bestFit="1" customWidth="1"/>
    <col min="69" max="69" width="3.75" style="230" customWidth="1"/>
    <col min="70" max="71" width="3.75" bestFit="1" customWidth="1"/>
    <col min="72" max="72" width="3.75" style="230" customWidth="1"/>
    <col min="73" max="73" width="3.75" bestFit="1" customWidth="1"/>
    <col min="74" max="106" width="3.75" style="230" customWidth="1"/>
    <col min="107" max="16384" width="5.75" style="230"/>
  </cols>
  <sheetData>
    <row r="1" spans="1:94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J1" s="814"/>
      <c r="AL1" s="814" t="e">
        <f>#REF!</f>
        <v>#REF!</v>
      </c>
      <c r="AM1" s="814" t="e">
        <f>#REF!</f>
        <v>#REF!</v>
      </c>
      <c r="AN1" s="814"/>
      <c r="AO1" s="814" t="str">
        <f>AH20</f>
        <v>Masataka Nomura</v>
      </c>
      <c r="AP1" s="814"/>
      <c r="AQ1" s="814" t="str">
        <f>AK20</f>
        <v>LIM Jin Woo</v>
      </c>
      <c r="AR1" s="814"/>
      <c r="AS1" s="814"/>
      <c r="AT1" s="814" t="str">
        <f>AN20</f>
        <v>Shosuke Katayama</v>
      </c>
      <c r="AU1" s="814" t="str">
        <f>AO20</f>
        <v>Kai Miki</v>
      </c>
      <c r="AV1" s="814" t="str">
        <f>AQ20</f>
        <v>Yuki Kotani</v>
      </c>
      <c r="AW1" s="814" t="e">
        <f>#REF!</f>
        <v>#REF!</v>
      </c>
      <c r="AX1" s="814"/>
      <c r="AY1" s="814" t="str">
        <f>BO20</f>
        <v>Jun Sonoda</v>
      </c>
      <c r="AZ1" s="814"/>
      <c r="BA1" s="814" t="str">
        <f>AU20</f>
        <v>Takumi Murakami</v>
      </c>
      <c r="BB1" s="814"/>
      <c r="BD1" s="814">
        <f>BX20</f>
        <v>0</v>
      </c>
      <c r="BE1" s="814" t="str">
        <f>AW20</f>
        <v>Kazumasa Uesato</v>
      </c>
      <c r="BF1" s="814" t="str">
        <f>BL20</f>
        <v>Takuro Uehara</v>
      </c>
      <c r="BG1" s="814"/>
      <c r="BH1" s="814"/>
      <c r="BI1" s="814" t="str">
        <f>AY20</f>
        <v>Shusuke Yonehara</v>
      </c>
      <c r="BK1" s="814"/>
      <c r="BL1" s="814"/>
      <c r="BM1" s="814"/>
      <c r="BN1" s="814"/>
      <c r="BO1" s="814" t="str">
        <f>AM20</f>
        <v>Ryujiro Ueda</v>
      </c>
      <c r="BQ1" s="814"/>
      <c r="BT1" s="814" t="str">
        <f>BJ20</f>
        <v>Seiichiro Maki</v>
      </c>
      <c r="BV1" s="814">
        <f>BV20</f>
        <v>0</v>
      </c>
      <c r="BW1" s="814">
        <f>BW20</f>
        <v>0</v>
      </c>
      <c r="BX1" s="814" t="e">
        <f>#REF!</f>
        <v>#REF!</v>
      </c>
      <c r="BY1" s="814"/>
      <c r="BZ1" s="814"/>
      <c r="CA1" s="814"/>
      <c r="CB1" s="814"/>
      <c r="CC1" s="814">
        <f t="shared" ref="CC1:CI1" si="0">CC20</f>
        <v>0</v>
      </c>
      <c r="CD1" s="814">
        <f t="shared" si="0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ref="CJ1:CP1" si="1">CJ20</f>
        <v>0</v>
      </c>
      <c r="CK1" s="814">
        <f t="shared" si="1"/>
        <v>0</v>
      </c>
      <c r="CL1" s="814">
        <f t="shared" si="1"/>
        <v>0</v>
      </c>
      <c r="CM1" s="814">
        <f t="shared" si="1"/>
        <v>0</v>
      </c>
      <c r="CN1" s="814">
        <f t="shared" si="1"/>
        <v>0</v>
      </c>
      <c r="CO1" s="814">
        <f t="shared" si="1"/>
        <v>0</v>
      </c>
      <c r="CP1" s="814">
        <f t="shared" si="1"/>
        <v>0</v>
      </c>
    </row>
    <row r="2" spans="1:94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SUM(IF(L$23:L$241="",0,1)*IF(ISBLANK($T$1),1,IF($I$23:$I$241=$T$1,1,0)))</f>
        <v>44</v>
      </c>
      <c r="AG2" s="874">
        <f t="array" ref="AG2">SUM(IF(ISBLANK(AG$24:AG$241),0,IF(AG$24:AG$241="susp",0,1))*IF(ISBLANK($T$1),1,IF($I$23:$I$241=$T$1,1,0)))</f>
        <v>42</v>
      </c>
      <c r="AH2" s="874">
        <f t="array" ref="AH2">SUM(IF(ISBLANK(AH$24:AH$241),0,IF(AH$24:AH$241="susp",0,1))*IF(ISBLANK($T$1),1,IF($I$23:$I$241=$T$1,1,0)))</f>
        <v>43</v>
      </c>
      <c r="AI2" s="874">
        <f t="array" ref="AI2">SUM(IF(ISBLANK(AI$24:AI$241),0,IF(AI$24:AI$241="susp",0,1))*IF(ISBLANK($T$1),1,IF($I$23:$I$241=$T$1,1,0)))</f>
        <v>43</v>
      </c>
      <c r="AL2" s="874">
        <f t="array" ref="AL2">SUM(IF(ISBLANK(AL$24:AL$241),0,IF(AL$24:AL$241="susp",0,1))*IF(ISBLANK($T$1),1,IF($I$23:$I$241=$T$1,1,0)))</f>
        <v>43</v>
      </c>
      <c r="AM2" s="874">
        <f t="array" ref="AM2">SUM(IF(ISBLANK(AM$24:AM$241),0,IF(AM$24:AM$241="susp",0,1))*IF(ISBLANK($T$1),1,IF($I$23:$I$241=$T$1,1,0)))</f>
        <v>43</v>
      </c>
      <c r="AO2" s="874">
        <f t="array" ref="AO2">SUM(IF(ISBLANK(AO$23:AO$241),0,IF(AO$23:AO$241="susp",0,1))*IF(ISBLANK($T$1),1,IF($I$23:$I$241=$T$1,1,0)))</f>
        <v>44</v>
      </c>
      <c r="AQ2" s="874">
        <f t="array" ref="AQ2">SUM(IF(ISBLANK(AQ$23:AQ$241),0,IF(AQ$23:AQ$241="susp",0,1))*IF(ISBLANK($T$1),1,IF($I$23:$I$241=$T$1,1,0)))</f>
        <v>44</v>
      </c>
      <c r="AT2" s="874">
        <f t="array" ref="AT2">SUM(IF(ISBLANK(AT$23:AT$241),0,IF(AT$23:AT$241="susp",0,1))*IF(ISBLANK($T$1),1,IF($I$23:$I$241=$T$1,1,0)))</f>
        <v>44</v>
      </c>
      <c r="AU2" s="874">
        <f t="array" ref="AU2">SUM(IF(ISBLANK(AU$23:AU$241),0,IF(AU$23:AU$241="susp",0,1))*IF(ISBLANK($T$1),1,IF($I$23:$I$241=$T$1,1,0)))</f>
        <v>44</v>
      </c>
      <c r="AV2" s="874">
        <f t="array" ref="AV2">SUM(IF(ISBLANK(AV$26:AV$241),0,IF(AV$26:AV$241="susp",0,1))*IF(ISBLANK($T$1),1,IF($I$23:$I$241=$T$1,1,0)))</f>
        <v>40</v>
      </c>
      <c r="AW2" s="874">
        <f t="array" ref="AW2">SUM(IF(ISBLANK(AW$23:AW$241),0,IF(AW$23:AW$241="susp",0,1))*IF(ISBLANK($T$1),1,IF($I$23:$I$241=$T$1,1,0)))</f>
        <v>44</v>
      </c>
      <c r="AY2" s="874">
        <f t="array" ref="AY2">SUM(IF(ISBLANK(AY$26:AY$241),0,IF(AY$26:AY$241="susp",0,1))*IF(ISBLANK($T$1),1,IF($I$23:$I$241=$T$1,1,0)))</f>
        <v>40</v>
      </c>
      <c r="BA2" s="874">
        <f t="array" ref="BA2">SUM(IF(ISBLANK(BA$23:BA$241),0,IF(BA$23:BA$241="susp",0,1))*IF(ISBLANK($T$1),1,IF($I$23:$I$241=$T$1,1,0)))</f>
        <v>44</v>
      </c>
      <c r="BD2" s="874">
        <f t="array" ref="BD2">SUM(IF(ISBLANK(BD$26:BD$241),0,IF(BD$26:BD$241="susp",0,1))*IF(ISBLANK($T$1),1,IF($I$23:$I$241=$T$1,1,0)))</f>
        <v>41</v>
      </c>
      <c r="BE2" s="874">
        <f t="array" ref="BE2">SUM(IF(ISBLANK(BE$23:BE$241),0,IF(BE$23:BE$241="susp",0,1))*IF(ISBLANK($T$1),1,IF($I$23:$I$241=$T$1,1,0)))</f>
        <v>44</v>
      </c>
      <c r="BF2" s="874">
        <f t="array" ref="BF2">SUM(IF(ISBLANK(BF$23:BF$241),0,IF(BF$23:BF$241="susp",0,1))*IF(ISBLANK($T$1),1,IF($I$23:$I$241=$T$1,1,0)))</f>
        <v>44</v>
      </c>
      <c r="BI2" s="874">
        <f t="array" ref="BI2">SUM(IF(ISBLANK(BI$23:BI$241),0,IF(BI$23:BI$241="susp",0,1))*IF(ISBLANK($T$1),1,IF($I$23:$I$241=$T$1,1,0)))</f>
        <v>44</v>
      </c>
      <c r="BO2" s="874">
        <f t="array" ref="BO2">SUM(IF(ISBLANK(BO$23:BO$241),0,IF(BO$23:BO$241="susp",0,1))*IF(ISBLANK($T$1),1,IF($I$23:$I$241=$T$1,1,0)))</f>
        <v>28</v>
      </c>
      <c r="BT2" s="874">
        <f t="array" ref="BT2">SUM(IF(ISBLANK(BT$23:BT$241),0,IF(BT$23:BT$241="susp",0,1))*IF(ISBLANK($T$1),1,IF($I$23:$I$241=$T$1,1,0)))</f>
        <v>1</v>
      </c>
      <c r="BV2" s="874">
        <f t="array" ref="BV2">SUM(IF(ISBLANK(BV$23:BV$241),0,IF(BV$23:BV$241="susp",0,1))*IF(ISBLANK($T$1),1,IF($I$23:$I$241=$T$1,1,0)))</f>
        <v>1</v>
      </c>
      <c r="BW2" s="874">
        <f t="array" ref="BW2">SUM(IF(ISBLANK(BW$23:BW$241),0,IF(BW$23:BW$241="susp",0,1))*IF(ISBLANK($T$1),1,IF($I$23:$I$241=$T$1,1,0)))</f>
        <v>1</v>
      </c>
      <c r="BX2" s="874">
        <f t="array" ref="BX2">SUM(IF(ISBLANK(BX$39:BX$241),0,IF(BX$39:BX$241="susp",0,1))*IF(ISBLANK($T$1),1,IF($I$23:$I$241=$T$1,1,0)))</f>
        <v>1</v>
      </c>
      <c r="CC2" s="874">
        <f t="array" ref="CC2">SUM(IF(ISBLANK(CC$23:CC$241),0,IF(CC$23:CC$241="susp",0,1))*IF(ISBLANK($T$1),1,IF($I$23:$I$241=$T$1,1,0)))</f>
        <v>1</v>
      </c>
      <c r="CD2" s="874">
        <f t="array" ref="CD2">SUM(IF(ISBLANK(CD$23:CD$241),0,IF(CD$23:CD$241="susp",0,1))*IF(ISBLANK($T$1),1,IF($I$23:$I$241=$T$1,1,0)))</f>
        <v>1</v>
      </c>
      <c r="CE2" s="874">
        <f t="array" ref="CE2">SUM(IF(ISBLANK(CE$23:CE$241),0,IF(CE$23:CE$241="susp",0,1))*IF(ISBLANK($T$1),1,IF($I$23:$I$241=$T$1,1,0)))</f>
        <v>0</v>
      </c>
      <c r="CF2" s="874">
        <f t="array" ref="CF2">SUM(IF(ISBLANK(CF$23:CF$241),0,IF(CF$23:CF$241="susp",0,1))*IF(ISBLANK($T$1),1,IF($I$23:$I$241=$T$1,1,0)))</f>
        <v>0</v>
      </c>
      <c r="CG2" s="874">
        <f t="array" ref="CG2">SUM(IF(ISBLANK(CG$23:CG$241),0,IF(CG$23:CG$241="susp",0,1))*IF(ISBLANK($T$1),1,IF($I$23:$I$241=$T$1,1,0)))</f>
        <v>0</v>
      </c>
      <c r="CH2" s="874">
        <f t="array" ref="CH2">SUM(IF(ISBLANK(CH$23:CH$241),0,IF(CH$23:CH$241="susp",0,1))*IF(ISBLANK($T$1),1,IF($I$23:$I$241=$T$1,1,0)))</f>
        <v>0</v>
      </c>
      <c r="CI2" s="874">
        <f t="array" ref="CI2">SUM(IF(ISBLANK(CI$23:CI$241),0,IF(CI$23:CI$241="susp",0,1))*IF(ISBLANK($T$1),1,IF($I$23:$I$241=$T$1,1,0)))</f>
        <v>0</v>
      </c>
      <c r="CJ2" s="874">
        <f t="array" ref="CJ2">SUM(IF(ISBLANK(CJ$23:CJ$241),0,IF(CJ$23:CJ$241="susp",0,1))*IF(ISBLANK($T$1),1,IF($I$23:$I$241=$T$1,1,0)))</f>
        <v>0</v>
      </c>
      <c r="CK2" s="874">
        <f t="array" ref="CK2">SUM(IF(ISBLANK(CK$23:CK$241),0,IF(CK$23:CK$241="susp",0,1))*IF(ISBLANK($T$1),1,IF($I$23:$I$241=$T$1,1,0)))</f>
        <v>0</v>
      </c>
      <c r="CL2" s="874">
        <f t="array" ref="CL2">SUM(IF(ISBLANK(CL$23:CL$241),0,IF(CL$23:CL$241="susp",0,1))*IF(ISBLANK($T$1),1,IF($I$23:$I$241=$T$1,1,0)))</f>
        <v>0</v>
      </c>
      <c r="CM2" s="874">
        <f t="array" ref="CM2">SUM(IF(ISBLANK(CM$23:CM$241),0,IF(CM$23:CM$241="susp",0,1))*IF(ISBLANK($T$1),1,IF($I$23:$I$241=$T$1,1,0)))</f>
        <v>0</v>
      </c>
      <c r="CN2" s="874">
        <f t="array" ref="CN2">SUM(IF(ISBLANK(CN$23:CN$241),0,IF(CN$23:CN$241="susp",0,1))*IF(ISBLANK($T$1),1,IF($I$23:$I$241=$T$1,1,0)))</f>
        <v>17</v>
      </c>
      <c r="CO2" s="874">
        <f t="array" ref="CO2">SUM(IF(ISBLANK(CO$23:CO$241),0,IF(CO$23:CO$241="susp",0,1))*IF(ISBLANK($T$1),1,IF($I$23:$I$241=$T$1,1,0)))</f>
        <v>17</v>
      </c>
      <c r="CP2" s="874">
        <f t="array" ref="CP2">SUM(IF(ISBLANK(CP$23:CP$241),0,IF(CP$23:CP$241="susp",0,1))*IF(ISBLANK($T$1),1,IF($I$23:$I$241=$T$1,1,0)))</f>
        <v>16</v>
      </c>
    </row>
    <row r="3" spans="1:94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SUM(IF(L$23:L$241="W",1,0)*IF(ISBLANK($T$1),1,IF($I$23:$I$241=$T$1,1,0)))</f>
        <v>9</v>
      </c>
      <c r="AG3" s="874" t="e">
        <f t="array" ref="AG3">SUM(IF(ISTEXT(AG$24:AG$241),1,0)*IF(($L$23:$L$241)="W",1,0)*IF(ISBLANK($T$1),1,IF($I$23:$I$241=$T$1,1,0)))</f>
        <v>#N/A</v>
      </c>
      <c r="AH3" s="874" t="e">
        <f t="array" ref="AH3">SUM(IF(ISTEXT(AH$24:AH$241),1,0)*IF(($L$23:$L$241)="W",1,0)*IF(ISBLANK($T$1),1,IF($I$23:$I$241=$T$1,1,0)))</f>
        <v>#N/A</v>
      </c>
      <c r="AI3" s="874" t="e">
        <f t="array" ref="AI3">SUM(IF(ISTEXT(AI$24:AI$241),1,0)*IF(($L$23:$L$241)="W",1,0)*IF(ISBLANK($T$1),1,IF($I$23:$I$241=$T$1,1,0)))</f>
        <v>#N/A</v>
      </c>
      <c r="AL3" s="874" t="e">
        <f t="array" ref="AL3">SUM(IF(ISTEXT(AL$24:AL$241),1,0)*IF(($L$23:$L$241)="W",1,0)*IF(ISBLANK($T$1),1,IF($I$23:$I$241=$T$1,1,0)))</f>
        <v>#N/A</v>
      </c>
      <c r="AM3" s="874" t="e">
        <f t="array" ref="AM3">SUM(IF(ISTEXT(AM$24:AM$241),1,0)*IF(($L$23:$L$241)="W",1,0)*IF(ISBLANK($T$1),1,IF($I$23:$I$241=$T$1,1,0)))</f>
        <v>#N/A</v>
      </c>
      <c r="AO3" s="874">
        <f t="array" ref="AO3">SUM(IF(ISTEXT(AO$23:AO$241),1,0)*IF(($L$23:$L$241)="W",1,0)*IF(ISBLANK($T$1),1,IF($I$23:$I$241=$T$1,1,0)))</f>
        <v>9</v>
      </c>
      <c r="AQ3" s="874">
        <f t="array" ref="AQ3">SUM(IF(ISTEXT(AQ$23:AQ$241),1,0)*IF(($L$23:$L$241)="W",1,0)*IF(ISBLANK($T$1),1,IF($I$23:$I$241=$T$1,1,0)))</f>
        <v>9</v>
      </c>
      <c r="AT3" s="874">
        <f t="array" ref="AT3">SUM(IF(ISTEXT(AT$23:AT$241),1,0)*IF(($L$23:$L$241)="W",1,0)*IF(ISBLANK($T$1),1,IF($I$23:$I$241=$T$1,1,0)))</f>
        <v>9</v>
      </c>
      <c r="AU3" s="874">
        <f t="array" ref="AU3">SUM(IF(ISTEXT(AU$23:AU$241),1,0)*IF(($L$23:$L$241)="W",1,0)*IF(ISBLANK($T$1),1,IF($I$23:$I$241=$T$1,1,0)))</f>
        <v>9</v>
      </c>
      <c r="AV3" s="874" t="e">
        <f t="array" ref="AV3">SUM(IF(ISTEXT(AV$26:AV$241),1,0)*IF(($L$23:$L$241)="W",1,0)*IF(ISBLANK($T$1),1,IF($I$23:$I$241=$T$1,1,0)))</f>
        <v>#N/A</v>
      </c>
      <c r="AW3" s="874">
        <f t="array" ref="AW3">SUM(IF(ISTEXT(AW$23:AW$241),1,0)*IF(($L$23:$L$241)="W",1,0)*IF(ISBLANK($T$1),1,IF($I$23:$I$241=$T$1,1,0)))</f>
        <v>9</v>
      </c>
      <c r="AY3" s="874" t="e">
        <f t="array" ref="AY3">SUM(IF(ISTEXT(AY$26:AY$241),1,0)*IF(($L$23:$L$241)="W",1,0)*IF(ISBLANK($T$1),1,IF($I$23:$I$241=$T$1,1,0)))</f>
        <v>#N/A</v>
      </c>
      <c r="BA3" s="874">
        <f t="array" ref="BA3">SUM(IF(ISTEXT(BA$23:BA$241),1,0)*IF(($L$23:$L$241)="W",1,0)*IF(ISBLANK($T$1),1,IF($I$23:$I$241=$T$1,1,0)))</f>
        <v>9</v>
      </c>
      <c r="BD3" s="874" t="e">
        <f t="array" ref="BD3">SUM(IF(ISTEXT(BD$26:BD$241),1,0)*IF(($L$23:$L$241)="W",1,0)*IF(ISBLANK($T$1),1,IF($I$23:$I$241=$T$1,1,0)))</f>
        <v>#N/A</v>
      </c>
      <c r="BE3" s="874">
        <f t="array" ref="BE3">SUM(IF(ISTEXT(BE$23:BE$241),1,0)*IF(($L$23:$L$241)="W",1,0)*IF(ISBLANK($T$1),1,IF($I$23:$I$241=$T$1,1,0)))</f>
        <v>9</v>
      </c>
      <c r="BF3" s="874">
        <f t="array" ref="BF3">SUM(IF(ISTEXT(BF$23:BF$241),1,0)*IF(($L$23:$L$241)="W",1,0)*IF(ISBLANK($T$1),1,IF($I$23:$I$241=$T$1,1,0)))</f>
        <v>9</v>
      </c>
      <c r="BI3" s="874">
        <f t="array" ref="BI3">SUM(IF(ISTEXT(BI$23:BI$241),1,0)*IF(($L$23:$L$241)="W",1,0)*IF(ISBLANK($T$1),1,IF($I$23:$I$241=$T$1,1,0)))</f>
        <v>9</v>
      </c>
      <c r="BO3" s="874">
        <f t="array" ref="BO3">SUM(IF(ISTEXT(BO$23:BO$241),1,0)*IF(($L$23:$L$241)="W",1,0)*IF(ISBLANK($T$1),1,IF($I$23:$I$241=$T$1,1,0)))</f>
        <v>7</v>
      </c>
      <c r="BT3" s="874">
        <f t="array" ref="BT3">SUM(IF(ISTEXT(BT$23:BT$241),1,0)*IF(($L$23:$L$241)="W",1,0)*IF(ISBLANK($T$1),1,IF($I$23:$I$241=$T$1,1,0)))</f>
        <v>0</v>
      </c>
      <c r="BV3" s="874">
        <f t="array" ref="BV3">SUM(IF(ISTEXT(BV$23:BV$241),1,0)*IF(($L$23:$L$241)="W",1,0)*IF(ISBLANK($T$1),1,IF($I$23:$I$241=$T$1,1,0)))</f>
        <v>0</v>
      </c>
      <c r="BW3" s="874">
        <f t="array" ref="BW3">SUM(IF(ISTEXT(BW$23:BW$241),1,0)*IF(($L$23:$L$241)="W",1,0)*IF(ISBLANK($T$1),1,IF($I$23:$I$241=$T$1,1,0)))</f>
        <v>0</v>
      </c>
      <c r="BX3" s="874" t="e">
        <f t="array" ref="BX3">SUM(IF(ISTEXT(BX$39:BX$241),1,0)*IF(($L$23:$L$241)="W",1,0)*IF(ISBLANK($T$1),1,IF($I$23:$I$241=$T$1,1,0)))</f>
        <v>#N/A</v>
      </c>
      <c r="CC3" s="874">
        <f t="array" ref="CC3">SUM(IF(ISTEXT(CC$23:CC$241),1,0)*IF(($L$23:$L$241)="W",1,0)*IF(ISBLANK($T$1),1,IF($I$23:$I$241=$T$1,1,0)))</f>
        <v>0</v>
      </c>
      <c r="CD3" s="874">
        <f t="array" ref="CD3">SUM(IF(ISTEXT(CD$23:CD$241),1,0)*IF(($L$23:$L$241)="W",1,0)*IF(ISBLANK($T$1),1,IF($I$23:$I$241=$T$1,1,0)))</f>
        <v>0</v>
      </c>
      <c r="CE3" s="874">
        <f t="array" ref="CE3">SUM(IF(ISTEXT(CE$23:CE$241),1,0)*IF(($L$23:$L$241)="W",1,0)*IF(ISBLANK($T$1),1,IF($I$23:$I$241=$T$1,1,0)))</f>
        <v>0</v>
      </c>
      <c r="CF3" s="874">
        <f t="array" ref="CF3">SUM(IF(ISTEXT(CF$23:CF$241),1,0)*IF(($L$23:$L$241)="W",1,0)*IF(ISBLANK($T$1),1,IF($I$23:$I$241=$T$1,1,0)))</f>
        <v>0</v>
      </c>
      <c r="CG3" s="874">
        <f t="array" ref="CG3">SUM(IF(ISTEXT(CG$23:CG$241),1,0)*IF(($L$23:$L$241)="W",1,0)*IF(ISBLANK($T$1),1,IF($I$23:$I$241=$T$1,1,0)))</f>
        <v>0</v>
      </c>
      <c r="CH3" s="874">
        <f t="array" ref="CH3">SUM(IF(ISTEXT(CH$23:CH$241),1,0)*IF(($L$23:$L$241)="W",1,0)*IF(ISBLANK($T$1),1,IF($I$23:$I$241=$T$1,1,0)))</f>
        <v>0</v>
      </c>
      <c r="CI3" s="874">
        <f t="array" ref="CI3">SUM(IF(ISTEXT(CI$23:CI$241),1,0)*IF(($L$23:$L$241)="W",1,0)*IF(ISBLANK($T$1),1,IF($I$23:$I$241=$T$1,1,0)))</f>
        <v>0</v>
      </c>
      <c r="CJ3" s="874">
        <f t="array" ref="CJ3">SUM(IF(ISTEXT(CJ$23:CJ$241),1,0)*IF(($L$23:$L$241)="W",1,0)*IF(ISBLANK($T$1),1,IF($I$23:$I$241=$T$1,1,0)))</f>
        <v>0</v>
      </c>
      <c r="CK3" s="874">
        <f t="array" ref="CK3">SUM(IF(ISTEXT(CK$23:CK$241),1,0)*IF(($L$23:$L$241)="W",1,0)*IF(ISBLANK($T$1),1,IF($I$23:$I$241=$T$1,1,0)))</f>
        <v>0</v>
      </c>
      <c r="CL3" s="874">
        <f t="array" ref="CL3">SUM(IF(ISTEXT(CL$23:CL$241),1,0)*IF(($L$23:$L$241)="W",1,0)*IF(ISBLANK($T$1),1,IF($I$23:$I$241=$T$1,1,0)))</f>
        <v>0</v>
      </c>
      <c r="CM3" s="874">
        <f t="array" ref="CM3">SUM(IF(ISTEXT(CM$23:CM$241),1,0)*IF(($L$23:$L$241)="W",1,0)*IF(ISBLANK($T$1),1,IF($I$23:$I$241=$T$1,1,0)))</f>
        <v>0</v>
      </c>
      <c r="CN3" s="874">
        <f t="array" ref="CN3">SUM(IF(ISTEXT(CN$23:CN$241),1,0)*IF(($L$23:$L$241)="W",1,0)*IF(ISBLANK($T$1),1,IF($I$23:$I$241=$T$1,1,0)))</f>
        <v>5</v>
      </c>
      <c r="CO3" s="874">
        <f t="array" ref="CO3">SUM(IF(ISTEXT(CO$23:CO$241),1,0)*IF(($L$23:$L$241)="W",1,0)*IF(ISBLANK($T$1),1,IF($I$23:$I$241=$T$1,1,0)))</f>
        <v>5</v>
      </c>
      <c r="CP3" s="874">
        <f t="array" ref="CP3">SUM(IF(ISTEXT(CP$23:CP$241),1,0)*IF(($L$23:$L$241)="W",1,0)*IF(ISBLANK($T$1),1,IF($I$23:$I$241=$T$1,1,0)))</f>
        <v>5</v>
      </c>
    </row>
    <row r="4" spans="1:94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SUM(IF(L$23:L$241="D",1,0)*IF(ISBLANK($T$1),1,IF($I$23:$I$241=$T$1,1,0)))</f>
        <v>11</v>
      </c>
      <c r="AG4" s="874" t="e">
        <f t="array" ref="AG4">SUM(IF(ISTEXT(AG$24:AG$241),1,0)*IF(($L$23:$L$241)="D",1,0)*IF(ISBLANK($T$1),1,IF($I$23:$I$241=$T$1,1,0)))</f>
        <v>#N/A</v>
      </c>
      <c r="AH4" s="874" t="e">
        <f t="array" ref="AH4">SUM(IF(ISTEXT(AH$24:AH$241),1,0)*IF(($L$23:$L$241)="D",1,0)*IF(ISBLANK($T$1),1,IF($I$23:$I$241=$T$1,1,0)))</f>
        <v>#N/A</v>
      </c>
      <c r="AI4" s="874" t="e">
        <f t="array" ref="AI4">SUM(IF(ISTEXT(AI$24:AI$241),1,0)*IF(($L$23:$L$241)="D",1,0)*IF(ISBLANK($T$1),1,IF($I$23:$I$241=$T$1,1,0)))</f>
        <v>#N/A</v>
      </c>
      <c r="AL4" s="874" t="e">
        <f t="array" ref="AL4">SUM(IF(ISTEXT(AL$24:AL$241),1,0)*IF(($L$23:$L$241)="D",1,0)*IF(ISBLANK($T$1),1,IF($I$23:$I$241=$T$1,1,0)))</f>
        <v>#N/A</v>
      </c>
      <c r="AM4" s="874" t="e">
        <f t="array" ref="AM4">SUM(IF(ISTEXT(AM$24:AM$241),1,0)*IF(($L$23:$L$241)="D",1,0)*IF(ISBLANK($T$1),1,IF($I$23:$I$241=$T$1,1,0)))</f>
        <v>#N/A</v>
      </c>
      <c r="AO4" s="874">
        <f t="array" ref="AO4">SUM(IF(ISTEXT(AO$23:AO$241),1,0)*IF(($L$23:$L$241)="D",1,0)*IF(ISBLANK($T$1),1,IF($I$23:$I$241=$T$1,1,0)))</f>
        <v>11</v>
      </c>
      <c r="AQ4" s="874">
        <f t="array" ref="AQ4">SUM(IF(ISTEXT(AQ$23:AQ$241),1,0)*IF(($L$23:$L$241)="D",1,0)*IF(ISBLANK($T$1),1,IF($I$23:$I$241=$T$1,1,0)))</f>
        <v>11</v>
      </c>
      <c r="AT4" s="874">
        <f t="array" ref="AT4">SUM(IF(ISTEXT(AT$23:AT$241),1,0)*IF(($L$23:$L$241)="D",1,0)*IF(ISBLANK($T$1),1,IF($I$23:$I$241=$T$1,1,0)))</f>
        <v>11</v>
      </c>
      <c r="AU4" s="874">
        <f t="array" ref="AU4">SUM(IF(ISTEXT(AU$23:AU$241),1,0)*IF(($L$23:$L$241)="D",1,0)*IF(ISBLANK($T$1),1,IF($I$23:$I$241=$T$1,1,0)))</f>
        <v>11</v>
      </c>
      <c r="AV4" s="874" t="e">
        <f t="array" ref="AV4">SUM(IF(ISTEXT(AV$26:AV$241),1,0)*IF(($L$23:$L$241)="D",1,0)*IF(ISBLANK($T$1),1,IF($I$23:$I$241=$T$1,1,0)))</f>
        <v>#N/A</v>
      </c>
      <c r="AW4" s="874">
        <f t="array" ref="AW4">SUM(IF(ISTEXT(AW$23:AW$241),1,0)*IF(($L$23:$L$241)="D",1,0)*IF(ISBLANK($T$1),1,IF($I$23:$I$241=$T$1,1,0)))</f>
        <v>11</v>
      </c>
      <c r="AY4" s="874" t="e">
        <f t="array" ref="AY4">SUM(IF(ISTEXT(AY$26:AY$241),1,0)*IF(($L$23:$L$241)="D",1,0)*IF(ISBLANK($T$1),1,IF($I$23:$I$241=$T$1,1,0)))</f>
        <v>#N/A</v>
      </c>
      <c r="BA4" s="874">
        <f t="array" ref="BA4">SUM(IF(ISTEXT(BA$23:BA$241),1,0)*IF(($L$23:$L$241)="D",1,0)*IF(ISBLANK($T$1),1,IF($I$23:$I$241=$T$1,1,0)))</f>
        <v>11</v>
      </c>
      <c r="BD4" s="874" t="e">
        <f t="array" ref="BD4">SUM(IF(ISTEXT(BD$26:BD$241),1,0)*IF(($L$23:$L$241)="D",1,0)*IF(ISBLANK($T$1),1,IF($I$23:$I$241=$T$1,1,0)))</f>
        <v>#N/A</v>
      </c>
      <c r="BE4" s="874">
        <f t="array" ref="BE4">SUM(IF(ISTEXT(BE$23:BE$241),1,0)*IF(($L$23:$L$241)="D",1,0)*IF(ISBLANK($T$1),1,IF($I$23:$I$241=$T$1,1,0)))</f>
        <v>11</v>
      </c>
      <c r="BF4" s="874">
        <f t="array" ref="BF4">SUM(IF(ISTEXT(BF$23:BF$241),1,0)*IF(($L$23:$L$241)="D",1,0)*IF(ISBLANK($T$1),1,IF($I$23:$I$241=$T$1,1,0)))</f>
        <v>11</v>
      </c>
      <c r="BI4" s="874">
        <f t="array" ref="BI4">SUM(IF(ISTEXT(BI$23:BI$241),1,0)*IF(($L$23:$L$241)="D",1,0)*IF(ISBLANK($T$1),1,IF($I$23:$I$241=$T$1,1,0)))</f>
        <v>11</v>
      </c>
      <c r="BO4" s="874">
        <f t="array" ref="BO4">SUM(IF(ISTEXT(BO$23:BO$241),1,0)*IF(($L$23:$L$241)="D",1,0)*IF(ISBLANK($T$1),1,IF($I$23:$I$241=$T$1,1,0)))</f>
        <v>7</v>
      </c>
      <c r="BT4" s="874">
        <f t="array" ref="BT4">SUM(IF(ISTEXT(BT$23:BT$241),1,0)*IF(($L$23:$L$241)="D",1,0)*IF(ISBLANK($T$1),1,IF($I$23:$I$241=$T$1,1,0)))</f>
        <v>0</v>
      </c>
      <c r="BV4" s="874">
        <f t="array" ref="BV4">SUM(IF(ISTEXT(BV$23:BV$241),1,0)*IF(($L$23:$L$241)="D",1,0)*IF(ISBLANK($T$1),1,IF($I$23:$I$241=$T$1,1,0)))</f>
        <v>0</v>
      </c>
      <c r="BW4" s="874">
        <f t="array" ref="BW4">SUM(IF(ISTEXT(BW$23:BW$241),1,0)*IF(($L$23:$L$241)="D",1,0)*IF(ISBLANK($T$1),1,IF($I$23:$I$241=$T$1,1,0)))</f>
        <v>0</v>
      </c>
      <c r="BX4" s="874" t="e">
        <f t="array" ref="BX4">SUM(IF(ISTEXT(BX$39:BX$241),1,0)*IF(($L$23:$L$241)="D",1,0)*IF(ISBLANK($T$1),1,IF($I$23:$I$241=$T$1,1,0)))</f>
        <v>#N/A</v>
      </c>
      <c r="CC4" s="874">
        <f t="array" ref="CC4">SUM(IF(ISTEXT(CC$23:CC$241),1,0)*IF(($L$23:$L$241)="D",1,0)*IF(ISBLANK($T$1),1,IF($I$23:$I$241=$T$1,1,0)))</f>
        <v>0</v>
      </c>
      <c r="CD4" s="874">
        <f t="array" ref="CD4">SUM(IF(ISTEXT(CD$23:CD$241),1,0)*IF(($L$23:$L$241)="D",1,0)*IF(ISBLANK($T$1),1,IF($I$23:$I$241=$T$1,1,0)))</f>
        <v>0</v>
      </c>
      <c r="CE4" s="874">
        <f t="array" ref="CE4">SUM(IF(ISTEXT(CE$23:CE$241),1,0)*IF(($L$23:$L$241)="D",1,0)*IF(ISBLANK($T$1),1,IF($I$23:$I$241=$T$1,1,0)))</f>
        <v>0</v>
      </c>
      <c r="CF4" s="874">
        <f t="array" ref="CF4">SUM(IF(ISTEXT(CF$23:CF$241),1,0)*IF(($L$23:$L$241)="D",1,0)*IF(ISBLANK($T$1),1,IF($I$23:$I$241=$T$1,1,0)))</f>
        <v>0</v>
      </c>
      <c r="CG4" s="874">
        <f t="array" ref="CG4">SUM(IF(ISTEXT(CG$23:CG$241),1,0)*IF(($L$23:$L$241)="D",1,0)*IF(ISBLANK($T$1),1,IF($I$23:$I$241=$T$1,1,0)))</f>
        <v>0</v>
      </c>
      <c r="CH4" s="874">
        <f t="array" ref="CH4">SUM(IF(ISTEXT(CH$23:CH$241),1,0)*IF(($L$23:$L$241)="D",1,0)*IF(ISBLANK($T$1),1,IF($I$23:$I$241=$T$1,1,0)))</f>
        <v>0</v>
      </c>
      <c r="CI4" s="874">
        <f t="array" ref="CI4">SUM(IF(ISTEXT(CI$23:CI$241),1,0)*IF(($L$23:$L$241)="D",1,0)*IF(ISBLANK($T$1),1,IF($I$23:$I$241=$T$1,1,0)))</f>
        <v>0</v>
      </c>
      <c r="CJ4" s="874">
        <f t="array" ref="CJ4">SUM(IF(ISTEXT(CJ$23:CJ$241),1,0)*IF(($L$23:$L$241)="D",1,0)*IF(ISBLANK($T$1),1,IF($I$23:$I$241=$T$1,1,0)))</f>
        <v>0</v>
      </c>
      <c r="CK4" s="874">
        <f t="array" ref="CK4">SUM(IF(ISTEXT(CK$23:CK$241),1,0)*IF(($L$23:$L$241)="D",1,0)*IF(ISBLANK($T$1),1,IF($I$23:$I$241=$T$1,1,0)))</f>
        <v>0</v>
      </c>
      <c r="CL4" s="874">
        <f t="array" ref="CL4">SUM(IF(ISTEXT(CL$23:CL$241),1,0)*IF(($L$23:$L$241)="D",1,0)*IF(ISBLANK($T$1),1,IF($I$23:$I$241=$T$1,1,0)))</f>
        <v>0</v>
      </c>
      <c r="CM4" s="874">
        <f t="array" ref="CM4">SUM(IF(ISTEXT(CM$23:CM$241),1,0)*IF(($L$23:$L$241)="D",1,0)*IF(ISBLANK($T$1),1,IF($I$23:$I$241=$T$1,1,0)))</f>
        <v>0</v>
      </c>
      <c r="CN4" s="874">
        <f t="array" ref="CN4">SUM(IF(ISTEXT(CN$23:CN$241),1,0)*IF(($L$23:$L$241)="D",1,0)*IF(ISBLANK($T$1),1,IF($I$23:$I$241=$T$1,1,0)))</f>
        <v>2</v>
      </c>
      <c r="CO4" s="874">
        <f t="array" ref="CO4">SUM(IF(ISTEXT(CO$23:CO$241),1,0)*IF(($L$23:$L$241)="D",1,0)*IF(ISBLANK($T$1),1,IF($I$23:$I$241=$T$1,1,0)))</f>
        <v>2</v>
      </c>
      <c r="CP4" s="874">
        <f t="array" ref="CP4">SUM(IF(ISTEXT(CP$23:CP$241),1,0)*IF(($L$23:$L$241)="D",1,0)*IF(ISBLANK($T$1),1,IF($I$23:$I$241=$T$1,1,0)))</f>
        <v>2</v>
      </c>
    </row>
    <row r="5" spans="1:94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SUM(IF(L$23:L$241="L",1,0)*IF(ISBLANK($T$1),1,IF($I$23:$I$241=$T$1,1,0)))</f>
        <v>24</v>
      </c>
      <c r="AG5" s="874" t="e">
        <f t="array" ref="AG5">SUM(IF(ISTEXT(AG$24:AG$241),1,0)*IF(($L$23:$L$241)="L",1,0)*IF(ISBLANK($T$1),1,IF($I$23:$I$241=$T$1,1,0)))</f>
        <v>#N/A</v>
      </c>
      <c r="AH5" s="874" t="e">
        <f t="array" ref="AH5">SUM(IF(ISTEXT(AH$24:AH$241),1,0)*IF(($L$23:$L$241)="L",1,0)*IF(ISBLANK($T$1),1,IF($I$23:$I$241=$T$1,1,0)))</f>
        <v>#N/A</v>
      </c>
      <c r="AI5" s="874" t="e">
        <f t="array" ref="AI5">SUM(IF(ISTEXT(AI$24:AI$241),1,0)*IF(($L$23:$L$241)="L",1,0)*IF(ISBLANK($T$1),1,IF($I$23:$I$241=$T$1,1,0)))</f>
        <v>#N/A</v>
      </c>
      <c r="AL5" s="874" t="e">
        <f t="array" ref="AL5">SUM(IF(ISTEXT(AL$24:AL$241),1,0)*IF(($L$23:$L$241)="L",1,0)*IF(ISBLANK($T$1),1,IF($I$23:$I$241=$T$1,1,0)))</f>
        <v>#N/A</v>
      </c>
      <c r="AM5" s="874" t="e">
        <f t="array" ref="AM5">SUM(IF(ISTEXT(AM$24:AM$241),1,0)*IF(($L$23:$L$241)="L",1,0)*IF(ISBLANK($T$1),1,IF($I$23:$I$241=$T$1,1,0)))</f>
        <v>#N/A</v>
      </c>
      <c r="AO5" s="874">
        <f t="array" ref="AO5">SUM(IF(ISTEXT(AO$23:AO$241),1,0)*IF(($L$23:$L$241)="L",1,0)*IF(ISBLANK($T$1),1,IF($I$23:$I$241=$T$1,1,0)))</f>
        <v>24</v>
      </c>
      <c r="AQ5" s="874">
        <f t="array" ref="AQ5">SUM(IF(ISTEXT(AQ$23:AQ$241),1,0)*IF(($L$23:$L$241)="L",1,0)*IF(ISBLANK($T$1),1,IF($I$23:$I$241=$T$1,1,0)))</f>
        <v>24</v>
      </c>
      <c r="AT5" s="874">
        <f t="array" ref="AT5">SUM(IF(ISTEXT(AT$23:AT$241),1,0)*IF(($L$23:$L$241)="L",1,0)*IF(ISBLANK($T$1),1,IF($I$23:$I$241=$T$1,1,0)))</f>
        <v>24</v>
      </c>
      <c r="AU5" s="874">
        <f t="array" ref="AU5">SUM(IF(ISTEXT(AU$23:AU$241),1,0)*IF(($L$23:$L$241)="L",1,0)*IF(ISBLANK($T$1),1,IF($I$23:$I$241=$T$1,1,0)))</f>
        <v>24</v>
      </c>
      <c r="AV5" s="874" t="e">
        <f t="array" ref="AV5">SUM(IF(ISTEXT(AV$26:AV$241),1,0)*IF(($L$23:$L$241)="L",1,0)*IF(ISBLANK($T$1),1,IF($I$23:$I$241=$T$1,1,0)))</f>
        <v>#N/A</v>
      </c>
      <c r="AW5" s="874">
        <f t="array" ref="AW5">SUM(IF(ISTEXT(AW$23:AW$241),1,0)*IF(($L$23:$L$241)="L",1,0)*IF(ISBLANK($T$1),1,IF($I$23:$I$241=$T$1,1,0)))</f>
        <v>24</v>
      </c>
      <c r="AY5" s="874" t="e">
        <f t="array" ref="AY5">SUM(IF(ISTEXT(AY$26:AY$241),1,0)*IF(($L$23:$L$241)="L",1,0)*IF(ISBLANK($T$1),1,IF($I$23:$I$241=$T$1,1,0)))</f>
        <v>#N/A</v>
      </c>
      <c r="BA5" s="874">
        <f t="array" ref="BA5">SUM(IF(ISTEXT(BA$23:BA$241),1,0)*IF(($L$23:$L$241)="L",1,0)*IF(ISBLANK($T$1),1,IF($I$23:$I$241=$T$1,1,0)))</f>
        <v>24</v>
      </c>
      <c r="BD5" s="874" t="e">
        <f t="array" ref="BD5">SUM(IF(ISTEXT(BD$26:BD$241),1,0)*IF(($L$23:$L$241)="L",1,0)*IF(ISBLANK($T$1),1,IF($I$23:$I$241=$T$1,1,0)))</f>
        <v>#N/A</v>
      </c>
      <c r="BE5" s="874">
        <f t="array" ref="BE5">SUM(IF(ISTEXT(BE$23:BE$241),1,0)*IF(($L$23:$L$241)="L",1,0)*IF(ISBLANK($T$1),1,IF($I$23:$I$241=$T$1,1,0)))</f>
        <v>24</v>
      </c>
      <c r="BF5" s="874">
        <f t="array" ref="BF5">SUM(IF(ISTEXT(BF$23:BF$241),1,0)*IF(($L$23:$L$241)="L",1,0)*IF(ISBLANK($T$1),1,IF($I$23:$I$241=$T$1,1,0)))</f>
        <v>24</v>
      </c>
      <c r="BI5" s="874">
        <f t="array" ref="BI5">SUM(IF(ISTEXT(BI$23:BI$241),1,0)*IF(($L$23:$L$241)="L",1,0)*IF(ISBLANK($T$1),1,IF($I$23:$I$241=$T$1,1,0)))</f>
        <v>24</v>
      </c>
      <c r="BO5" s="874">
        <f t="array" ref="BO5">SUM(IF(ISTEXT(BO$23:BO$241),1,0)*IF(($L$23:$L$241)="L",1,0)*IF(ISBLANK($T$1),1,IF($I$23:$I$241=$T$1,1,0)))</f>
        <v>14</v>
      </c>
      <c r="BT5" s="874">
        <f t="array" ref="BT5">SUM(IF(ISTEXT(BT$23:BT$241),1,0)*IF(($L$23:$L$241)="L",1,0)*IF(ISBLANK($T$1),1,IF($I$23:$I$241=$T$1,1,0)))</f>
        <v>1</v>
      </c>
      <c r="BV5" s="874">
        <f t="array" ref="BV5">SUM(IF(ISTEXT(BV$23:BV$241),1,0)*IF(($L$23:$L$241)="L",1,0)*IF(ISBLANK($T$1),1,IF($I$23:$I$241=$T$1,1,0)))</f>
        <v>1</v>
      </c>
      <c r="BW5" s="874">
        <f t="array" ref="BW5">SUM(IF(ISTEXT(BW$23:BW$241),1,0)*IF(($L$23:$L$241)="L",1,0)*IF(ISBLANK($T$1),1,IF($I$23:$I$241=$T$1,1,0)))</f>
        <v>1</v>
      </c>
      <c r="BX5" s="874" t="e">
        <f t="array" ref="BX5">SUM(IF(ISTEXT(BX$39:BX$241),1,0)*IF(($L$23:$L$241)="L",1,0)*IF(ISBLANK($T$1),1,IF($I$23:$I$241=$T$1,1,0)))</f>
        <v>#N/A</v>
      </c>
      <c r="CC5" s="874">
        <f t="array" ref="CC5">SUM(IF(ISTEXT(CC$23:CC$241),1,0)*IF(($L$23:$L$241)="L",1,0)*IF(ISBLANK($T$1),1,IF($I$23:$I$241=$T$1,1,0)))</f>
        <v>1</v>
      </c>
      <c r="CD5" s="874">
        <f t="array" ref="CD5">SUM(IF(ISTEXT(CD$23:CD$241),1,0)*IF(($L$23:$L$241)="L",1,0)*IF(ISBLANK($T$1),1,IF($I$23:$I$241=$T$1,1,0)))</f>
        <v>1</v>
      </c>
      <c r="CE5" s="874">
        <f t="array" ref="CE5">SUM(IF(ISTEXT(CE$23:CE$241),1,0)*IF(($L$23:$L$241)="L",1,0)*IF(ISBLANK($T$1),1,IF($I$23:$I$241=$T$1,1,0)))</f>
        <v>0</v>
      </c>
      <c r="CF5" s="874">
        <f t="array" ref="CF5">SUM(IF(ISTEXT(CF$23:CF$241),1,0)*IF(($L$23:$L$241)="L",1,0)*IF(ISBLANK($T$1),1,IF($I$23:$I$241=$T$1,1,0)))</f>
        <v>0</v>
      </c>
      <c r="CG5" s="874">
        <f t="array" ref="CG5">SUM(IF(ISTEXT(CG$23:CG$241),1,0)*IF(($L$23:$L$241)="L",1,0)*IF(ISBLANK($T$1),1,IF($I$23:$I$241=$T$1,1,0)))</f>
        <v>0</v>
      </c>
      <c r="CH5" s="874">
        <f t="array" ref="CH5">SUM(IF(ISTEXT(CH$23:CH$241),1,0)*IF(($L$23:$L$241)="L",1,0)*IF(ISBLANK($T$1),1,IF($I$23:$I$241=$T$1,1,0)))</f>
        <v>0</v>
      </c>
      <c r="CI5" s="874">
        <f t="array" ref="CI5">SUM(IF(ISTEXT(CI$23:CI$241),1,0)*IF(($L$23:$L$241)="L",1,0)*IF(ISBLANK($T$1),1,IF($I$23:$I$241=$T$1,1,0)))</f>
        <v>0</v>
      </c>
      <c r="CJ5" s="874">
        <f t="array" ref="CJ5">SUM(IF(ISTEXT(CJ$23:CJ$241),1,0)*IF(($L$23:$L$241)="L",1,0)*IF(ISBLANK($T$1),1,IF($I$23:$I$241=$T$1,1,0)))</f>
        <v>0</v>
      </c>
      <c r="CK5" s="874">
        <f t="array" ref="CK5">SUM(IF(ISTEXT(CK$23:CK$241),1,0)*IF(($L$23:$L$241)="L",1,0)*IF(ISBLANK($T$1),1,IF($I$23:$I$241=$T$1,1,0)))</f>
        <v>0</v>
      </c>
      <c r="CL5" s="874">
        <f t="array" ref="CL5">SUM(IF(ISTEXT(CL$23:CL$241),1,0)*IF(($L$23:$L$241)="L",1,0)*IF(ISBLANK($T$1),1,IF($I$23:$I$241=$T$1,1,0)))</f>
        <v>0</v>
      </c>
      <c r="CM5" s="874">
        <f t="array" ref="CM5">SUM(IF(ISTEXT(CM$23:CM$241),1,0)*IF(($L$23:$L$241)="L",1,0)*IF(ISBLANK($T$1),1,IF($I$23:$I$241=$T$1,1,0)))</f>
        <v>0</v>
      </c>
      <c r="CN5" s="874">
        <f t="array" ref="CN5">SUM(IF(ISTEXT(CN$23:CN$241),1,0)*IF(($L$23:$L$241)="L",1,0)*IF(ISBLANK($T$1),1,IF($I$23:$I$241=$T$1,1,0)))</f>
        <v>10</v>
      </c>
      <c r="CO5" s="874">
        <f t="array" ref="CO5">SUM(IF(ISTEXT(CO$23:CO$241),1,0)*IF(($L$23:$L$241)="L",1,0)*IF(ISBLANK($T$1),1,IF($I$23:$I$241=$T$1,1,0)))</f>
        <v>10</v>
      </c>
      <c r="CP5" s="874">
        <f t="array" ref="CP5">SUM(IF(ISTEXT(CP$23:CP$241),1,0)*IF(($L$23:$L$241)="L",1,0)*IF(ISBLANK($T$1),1,IF($I$23:$I$241=$T$1,1,0)))</f>
        <v>9</v>
      </c>
    </row>
    <row r="6" spans="1:94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38</v>
      </c>
      <c r="AG6" s="874" t="e">
        <f t="shared" ref="AG6:CP6" si="2">AG$3*3+AG$4</f>
        <v>#N/A</v>
      </c>
      <c r="AH6" s="874" t="e">
        <f t="shared" si="2"/>
        <v>#N/A</v>
      </c>
      <c r="AI6" s="874" t="e">
        <f t="shared" si="2"/>
        <v>#N/A</v>
      </c>
      <c r="AL6" s="874" t="e">
        <f t="shared" si="2"/>
        <v>#N/A</v>
      </c>
      <c r="AM6" s="874" t="e">
        <f t="shared" si="2"/>
        <v>#N/A</v>
      </c>
      <c r="AO6" s="874">
        <f>AO$3*3+AO$4</f>
        <v>38</v>
      </c>
      <c r="AQ6" s="874">
        <f t="shared" si="2"/>
        <v>38</v>
      </c>
      <c r="AT6" s="874">
        <f>AT$3*3+AT$4</f>
        <v>38</v>
      </c>
      <c r="AU6" s="874">
        <f t="shared" si="2"/>
        <v>38</v>
      </c>
      <c r="AV6" s="874" t="e">
        <f t="shared" si="2"/>
        <v>#N/A</v>
      </c>
      <c r="AW6" s="874">
        <f>AW$3*3+AW$4</f>
        <v>38</v>
      </c>
      <c r="AY6" s="874" t="e">
        <f>AY$3*3+AY$4</f>
        <v>#N/A</v>
      </c>
      <c r="BA6" s="874">
        <f>BA$3*3+BA$4</f>
        <v>38</v>
      </c>
      <c r="BD6" s="874" t="e">
        <f>BD$3*3+BD$4</f>
        <v>#N/A</v>
      </c>
      <c r="BE6" s="874">
        <f>BE$3*3+BE$4</f>
        <v>38</v>
      </c>
      <c r="BF6" s="874">
        <f>BF$3*3+BF$4</f>
        <v>38</v>
      </c>
      <c r="BI6" s="874">
        <f>BI$3*3+BI$4</f>
        <v>38</v>
      </c>
      <c r="BO6" s="874">
        <f>BO$3*3+BO$4</f>
        <v>28</v>
      </c>
      <c r="BT6" s="874">
        <f>BT$3*3+BT$4</f>
        <v>0</v>
      </c>
      <c r="BV6" s="874">
        <f>BV$3*3+BV$4</f>
        <v>0</v>
      </c>
      <c r="BW6" s="874">
        <f>BW$3*3+BW$4</f>
        <v>0</v>
      </c>
      <c r="BX6" s="874" t="e">
        <f t="shared" si="2"/>
        <v>#N/A</v>
      </c>
      <c r="CC6" s="874">
        <f t="shared" ref="CC6:CI6" si="3">CC$3*3+CC$4</f>
        <v>0</v>
      </c>
      <c r="CD6" s="874">
        <f t="shared" si="3"/>
        <v>0</v>
      </c>
      <c r="CE6" s="874">
        <f t="shared" si="3"/>
        <v>0</v>
      </c>
      <c r="CF6" s="874">
        <f t="shared" si="3"/>
        <v>0</v>
      </c>
      <c r="CG6" s="874">
        <f t="shared" si="3"/>
        <v>0</v>
      </c>
      <c r="CH6" s="874">
        <f t="shared" si="3"/>
        <v>0</v>
      </c>
      <c r="CI6" s="874">
        <f t="shared" si="3"/>
        <v>0</v>
      </c>
      <c r="CJ6" s="874">
        <f t="shared" si="2"/>
        <v>0</v>
      </c>
      <c r="CK6" s="874">
        <f t="shared" si="2"/>
        <v>0</v>
      </c>
      <c r="CL6" s="874">
        <f t="shared" si="2"/>
        <v>0</v>
      </c>
      <c r="CM6" s="874">
        <f t="shared" si="2"/>
        <v>0</v>
      </c>
      <c r="CN6" s="874">
        <f t="shared" si="2"/>
        <v>17</v>
      </c>
      <c r="CO6" s="874">
        <f t="shared" si="2"/>
        <v>17</v>
      </c>
      <c r="CP6" s="874">
        <f t="shared" si="2"/>
        <v>17</v>
      </c>
    </row>
    <row r="7" spans="1:94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P7" si="4">AF6/AF2</f>
        <v>0.86363636363636365</v>
      </c>
      <c r="AG7" s="874" t="e">
        <f t="shared" si="4"/>
        <v>#N/A</v>
      </c>
      <c r="AH7" s="874" t="e">
        <f t="shared" si="4"/>
        <v>#N/A</v>
      </c>
      <c r="AI7" s="874" t="e">
        <f t="shared" si="4"/>
        <v>#N/A</v>
      </c>
      <c r="AL7" s="874" t="e">
        <f t="shared" si="4"/>
        <v>#N/A</v>
      </c>
      <c r="AM7" s="874" t="e">
        <f t="shared" si="4"/>
        <v>#N/A</v>
      </c>
      <c r="AO7" s="874">
        <f>AO6/AO2</f>
        <v>0.86363636363636365</v>
      </c>
      <c r="AQ7" s="874">
        <f t="shared" si="4"/>
        <v>0.86363636363636365</v>
      </c>
      <c r="AT7" s="874">
        <f>AT6/AT2</f>
        <v>0.86363636363636365</v>
      </c>
      <c r="AU7" s="874">
        <f t="shared" ref="AU7" si="5">AU6/AU2</f>
        <v>0.86363636363636365</v>
      </c>
      <c r="AV7" s="874" t="e">
        <f t="shared" si="4"/>
        <v>#N/A</v>
      </c>
      <c r="AW7" s="874">
        <f>AW6/AW2</f>
        <v>0.86363636363636365</v>
      </c>
      <c r="AY7" s="874" t="e">
        <f>AY6/AY2</f>
        <v>#N/A</v>
      </c>
      <c r="BA7" s="874">
        <f>BA6/BA2</f>
        <v>0.86363636363636365</v>
      </c>
      <c r="BD7" s="874" t="e">
        <f>BD6/BD2</f>
        <v>#N/A</v>
      </c>
      <c r="BE7" s="874">
        <f>BE6/BE2</f>
        <v>0.86363636363636365</v>
      </c>
      <c r="BF7" s="874">
        <f>BF6/BF2</f>
        <v>0.86363636363636365</v>
      </c>
      <c r="BI7" s="874">
        <f>BI6/BI2</f>
        <v>0.86363636363636365</v>
      </c>
      <c r="BO7" s="874">
        <f>BO6/BO2</f>
        <v>1</v>
      </c>
      <c r="BT7" s="874">
        <f>BT6/BT2</f>
        <v>0</v>
      </c>
      <c r="BV7" s="874">
        <f>BV6/BV2</f>
        <v>0</v>
      </c>
      <c r="BW7" s="874">
        <f>BW6/BW2</f>
        <v>0</v>
      </c>
      <c r="BX7" s="874" t="e">
        <f t="shared" si="4"/>
        <v>#N/A</v>
      </c>
      <c r="CC7" s="874">
        <f t="shared" ref="CC7:CI7" si="6">CC6/CC2</f>
        <v>0</v>
      </c>
      <c r="CD7" s="874">
        <f t="shared" si="6"/>
        <v>0</v>
      </c>
      <c r="CE7" s="874" t="e">
        <f t="shared" si="6"/>
        <v>#DIV/0!</v>
      </c>
      <c r="CF7" s="874" t="e">
        <f t="shared" si="6"/>
        <v>#DIV/0!</v>
      </c>
      <c r="CG7" s="874" t="e">
        <f t="shared" si="6"/>
        <v>#DIV/0!</v>
      </c>
      <c r="CH7" s="874" t="e">
        <f t="shared" si="6"/>
        <v>#DIV/0!</v>
      </c>
      <c r="CI7" s="874" t="e">
        <f t="shared" si="6"/>
        <v>#DIV/0!</v>
      </c>
      <c r="CJ7" s="874" t="e">
        <f t="shared" si="4"/>
        <v>#DIV/0!</v>
      </c>
      <c r="CK7" s="874" t="e">
        <f t="shared" si="4"/>
        <v>#DIV/0!</v>
      </c>
      <c r="CL7" s="874" t="e">
        <f t="shared" si="4"/>
        <v>#DIV/0!</v>
      </c>
      <c r="CM7" s="874" t="e">
        <f t="shared" si="4"/>
        <v>#DIV/0!</v>
      </c>
      <c r="CN7" s="874">
        <f t="shared" si="4"/>
        <v>1</v>
      </c>
      <c r="CO7" s="874">
        <f t="shared" si="4"/>
        <v>1</v>
      </c>
      <c r="CP7" s="874">
        <f t="shared" si="4"/>
        <v>1.0625</v>
      </c>
    </row>
    <row r="8" spans="1:94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SUM(IF(($T$23:$T$241)="",0,$T$23:$T$241)*IF(ISBLANK($T$1),1,IF($I$23:$I$241=$T$1,1,0)))</f>
        <v>-5.1700000000000017</v>
      </c>
      <c r="AG8" s="874" t="e">
        <f t="array" ref="AG8">SUM(IF(ISTEXT(AG$24:AG$241),1,0)*IF(($T$23:$T$241)="",0,$T$23:$T$241)*IF(ISBLANK($T$1),1,IF($I$23:$I$241=$T$1,1,0)))</f>
        <v>#N/A</v>
      </c>
      <c r="AH8" s="874" t="e">
        <f t="array" ref="AH8">SUM(IF(ISTEXT(AH$24:AH$241),1,0)*IF(($T$23:$T$241)="",0,$T$23:$T$241)*IF(ISBLANK($T$1),1,IF($I$23:$I$241=$T$1,1,0)))</f>
        <v>#N/A</v>
      </c>
      <c r="AI8" s="874" t="e">
        <f t="array" ref="AI8">SUM(IF(ISTEXT(AI$24:AI$241),1,0)*IF(($T$23:$T$241)="",0,$T$23:$T$241)*IF(ISBLANK($T$1),1,IF($I$23:$I$241=$T$1,1,0)))</f>
        <v>#N/A</v>
      </c>
      <c r="AL8" s="874" t="e">
        <f t="array" ref="AL8">SUM(IF(ISTEXT(AL$24:AL$241),1,0)*IF(($T$23:$T$241)="",0,$T$23:$T$241)*IF(ISBLANK($T$1),1,IF($I$23:$I$241=$T$1,1,0)))</f>
        <v>#N/A</v>
      </c>
      <c r="AM8" s="874" t="e">
        <f t="array" ref="AM8">SUM(IF(ISTEXT(AM$24:AM$241),1,0)*IF(($T$23:$T$241)="",0,$T$23:$T$241)*IF(ISBLANK($T$1),1,IF($I$23:$I$241=$T$1,1,0)))</f>
        <v>#N/A</v>
      </c>
      <c r="AO8" s="874">
        <f t="array" ref="AO8">SUM(IF(ISTEXT(AO$23:AO$241),1,0)*IF(($T$23:$T$241)="",0,$T$23:$T$241)*IF(ISBLANK($T$1),1,IF($I$23:$I$241=$T$1,1,0)))</f>
        <v>-5.1700000000000017</v>
      </c>
      <c r="AQ8" s="874">
        <f t="array" ref="AQ8">SUM(IF(ISTEXT(AQ$23:AQ$241),1,0)*IF(($T$23:$T$241)="",0,$T$23:$T$241)*IF(ISBLANK($T$1),1,IF($I$23:$I$241=$T$1,1,0)))</f>
        <v>-5.1700000000000017</v>
      </c>
      <c r="AT8" s="874">
        <f t="array" ref="AT8">SUM(IF(ISTEXT(AT$23:AT$241),1,0)*IF(($T$23:$T$241)="",0,$T$23:$T$241)*IF(ISBLANK($T$1),1,IF($I$23:$I$241=$T$1,1,0)))</f>
        <v>-5.1700000000000017</v>
      </c>
      <c r="AU8" s="874">
        <f t="array" ref="AU8">SUM(IF(ISTEXT(AU$23:AU$241),1,0)*IF(($T$23:$T$241)="",0,$T$23:$T$241)*IF(ISBLANK($T$1),1,IF($I$23:$I$241=$T$1,1,0)))</f>
        <v>-5.1700000000000017</v>
      </c>
      <c r="AV8" s="874" t="e">
        <f t="array" ref="AV8">SUM(IF(ISTEXT(AV$26:AV$241),1,0)*IF(($T$23:$T$241)="",0,$T$23:$T$241)*IF(ISBLANK($T$1),1,IF($I$23:$I$241=$T$1,1,0)))</f>
        <v>#N/A</v>
      </c>
      <c r="AW8" s="874">
        <f t="array" ref="AW8">SUM(IF(ISTEXT(AW$23:AW$241),1,0)*IF(($T$23:$T$241)="",0,$T$23:$T$241)*IF(ISBLANK($T$1),1,IF($I$23:$I$241=$T$1,1,0)))</f>
        <v>-5.1700000000000017</v>
      </c>
      <c r="AY8" s="874" t="e">
        <f t="array" ref="AY8">SUM(IF(ISTEXT(AY$26:AY$241),1,0)*IF(($T$23:$T$241)="",0,$T$23:$T$241)*IF(ISBLANK($T$1),1,IF($I$23:$I$241=$T$1,1,0)))</f>
        <v>#N/A</v>
      </c>
      <c r="BA8" s="874">
        <f t="array" ref="BA8">SUM(IF(ISTEXT(BA$23:BA$241),1,0)*IF(($T$23:$T$241)="",0,$T$23:$T$241)*IF(ISBLANK($T$1),1,IF($I$23:$I$241=$T$1,1,0)))</f>
        <v>-5.1700000000000017</v>
      </c>
      <c r="BD8" s="874" t="e">
        <f t="array" ref="BD8">SUM(IF(ISTEXT(BD$26:BD$241),1,0)*IF(($T$23:$T$241)="",0,$T$23:$T$241)*IF(ISBLANK($T$1),1,IF($I$23:$I$241=$T$1,1,0)))</f>
        <v>#N/A</v>
      </c>
      <c r="BE8" s="874">
        <f t="array" ref="BE8">SUM(IF(ISTEXT(BE$23:BE$241),1,0)*IF(($T$23:$T$241)="",0,$T$23:$T$241)*IF(ISBLANK($T$1),1,IF($I$23:$I$241=$T$1,1,0)))</f>
        <v>-5.1700000000000017</v>
      </c>
      <c r="BF8" s="874">
        <f t="array" ref="BF8">SUM(IF(ISTEXT(BF$23:BF$241),1,0)*IF(($T$23:$T$241)="",0,$T$23:$T$241)*IF(ISBLANK($T$1),1,IF($I$23:$I$241=$T$1,1,0)))</f>
        <v>-5.1700000000000017</v>
      </c>
      <c r="BI8" s="874">
        <f t="array" ref="BI8">SUM(IF(ISTEXT(BI$23:BI$241),1,0)*IF(($T$23:$T$241)="",0,$T$23:$T$241)*IF(ISBLANK($T$1),1,IF($I$23:$I$241=$T$1,1,0)))</f>
        <v>-5.1700000000000017</v>
      </c>
      <c r="BO8" s="874">
        <f t="array" ref="BO8">SUM(IF(ISTEXT(BO$23:BO$241),1,0)*IF(($T$23:$T$241)="",0,$T$23:$T$241)*IF(ISBLANK($T$1),1,IF($I$23:$I$241=$T$1,1,0)))</f>
        <v>1.4500000000000011</v>
      </c>
      <c r="BT8" s="874">
        <f t="array" ref="BT8">SUM(IF(ISTEXT(BT$23:BT$241),1,0)*IF(($T$23:$T$241)="",0,$T$23:$T$241)*IF(ISBLANK($T$1),1,IF($I$23:$I$241=$T$1,1,0)))</f>
        <v>-1.7000000000000002</v>
      </c>
      <c r="BV8" s="874">
        <f t="array" ref="BV8">SUM(IF(ISTEXT(BV$23:BV$241),1,0)*IF(($T$23:$T$241)="",0,$T$23:$T$241)*IF(ISBLANK($T$1),1,IF($I$23:$I$241=$T$1,1,0)))</f>
        <v>-1.7000000000000002</v>
      </c>
      <c r="BW8" s="874">
        <f t="array" ref="BW8">SUM(IF(ISTEXT(BW$23:BW$241),1,0)*IF(($T$23:$T$241)="",0,$T$23:$T$241)*IF(ISBLANK($T$1),1,IF($I$23:$I$241=$T$1,1,0)))</f>
        <v>-1.7000000000000002</v>
      </c>
      <c r="BX8" s="874" t="e">
        <f t="array" ref="BX8">SUM(IF(ISTEXT(BX$39:BX$241),1,0)*IF(($T$23:$T$241)="",0,$T$23:$T$241)*IF(ISBLANK($T$1),1,IF($I$23:$I$241=$T$1,1,0)))</f>
        <v>#N/A</v>
      </c>
      <c r="CC8" s="874">
        <f t="array" ref="CC8">SUM(IF(ISTEXT(CC$23:CC$241),1,0)*IF(($T$23:$T$241)="",0,$T$23:$T$241)*IF(ISBLANK($T$1),1,IF($I$23:$I$241=$T$1,1,0)))</f>
        <v>-1.7000000000000002</v>
      </c>
      <c r="CD8" s="874">
        <f t="array" ref="CD8">SUM(IF(ISTEXT(CD$23:CD$241),1,0)*IF(($T$23:$T$241)="",0,$T$23:$T$241)*IF(ISBLANK($T$1),1,IF($I$23:$I$241=$T$1,1,0)))</f>
        <v>-1.7000000000000002</v>
      </c>
      <c r="CE8" s="874">
        <f t="array" ref="CE8">SUM(IF(ISTEXT(CE$23:CE$241),1,0)*IF(($T$23:$T$241)="",0,$T$23:$T$241)*IF(ISBLANK($T$1),1,IF($I$23:$I$241=$T$1,1,0)))</f>
        <v>0</v>
      </c>
      <c r="CF8" s="874">
        <f t="array" ref="CF8">SUM(IF(ISTEXT(CF$23:CF$241),1,0)*IF(($T$23:$T$241)="",0,$T$23:$T$241)*IF(ISBLANK($T$1),1,IF($I$23:$I$241=$T$1,1,0)))</f>
        <v>0</v>
      </c>
      <c r="CG8" s="874">
        <f t="array" ref="CG8">SUM(IF(ISTEXT(CG$23:CG$241),1,0)*IF(($T$23:$T$241)="",0,$T$23:$T$241)*IF(ISBLANK($T$1),1,IF($I$23:$I$241=$T$1,1,0)))</f>
        <v>0</v>
      </c>
      <c r="CH8" s="874">
        <f t="array" ref="CH8">SUM(IF(ISTEXT(CH$23:CH$241),1,0)*IF(($T$23:$T$241)="",0,$T$23:$T$241)*IF(ISBLANK($T$1),1,IF($I$23:$I$241=$T$1,1,0)))</f>
        <v>0</v>
      </c>
      <c r="CI8" s="874">
        <f t="array" ref="CI8">SUM(IF(ISTEXT(CI$23:CI$241),1,0)*IF(($T$23:$T$241)="",0,$T$23:$T$241)*IF(ISBLANK($T$1),1,IF($I$23:$I$241=$T$1,1,0)))</f>
        <v>0</v>
      </c>
      <c r="CJ8" s="874">
        <f t="array" ref="CJ8">SUM(IF(ISTEXT(CJ$23:CJ$241),1,0)*IF(($T$23:$T$241)="",0,$T$23:$T$241)*IF(ISBLANK($T$1),1,IF($I$23:$I$241=$T$1,1,0)))</f>
        <v>0</v>
      </c>
      <c r="CK8" s="874">
        <f t="array" ref="CK8">SUM(IF(ISTEXT(CK$23:CK$241),1,0)*IF(($T$23:$T$241)="",0,$T$23:$T$241)*IF(ISBLANK($T$1),1,IF($I$23:$I$241=$T$1,1,0)))</f>
        <v>0</v>
      </c>
      <c r="CL8" s="874">
        <f t="array" ref="CL8">SUM(IF(ISTEXT(CL$23:CL$241),1,0)*IF(($T$23:$T$241)="",0,$T$23:$T$241)*IF(ISBLANK($T$1),1,IF($I$23:$I$241=$T$1,1,0)))</f>
        <v>0</v>
      </c>
      <c r="CM8" s="874">
        <f t="array" ref="CM8">SUM(IF(ISTEXT(CM$23:CM$241),1,0)*IF(($T$23:$T$241)="",0,$T$23:$T$241)*IF(ISBLANK($T$1),1,IF($I$23:$I$241=$T$1,1,0)))</f>
        <v>0</v>
      </c>
      <c r="CN8" s="874">
        <f t="array" ref="CN8">SUM(IF(ISTEXT(CN$23:CN$241),1,0)*IF(($T$23:$T$241)="",0,$T$23:$T$241)*IF(ISBLANK($T$1),1,IF($I$23:$I$241=$T$1,1,0)))</f>
        <v>8.8999999999999986</v>
      </c>
      <c r="CO8" s="874">
        <f t="array" ref="CO8">SUM(IF(ISTEXT(CO$23:CO$241),1,0)*IF(($T$23:$T$241)="",0,$T$23:$T$241)*IF(ISBLANK($T$1),1,IF($I$23:$I$241=$T$1,1,0)))</f>
        <v>8.8999999999999986</v>
      </c>
      <c r="CP8" s="874">
        <f t="array" ref="CP8">SUM(IF(ISTEXT(CP$23:CP$241),1,0)*IF(($T$23:$T$241)="",0,$T$23:$T$241)*IF(ISBLANK($T$1),1,IF($I$23:$I$241=$T$1,1,0)))</f>
        <v>8.39</v>
      </c>
    </row>
    <row r="9" spans="1:94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P9" si="7">AF8/AF2</f>
        <v>-0.11750000000000003</v>
      </c>
      <c r="AG9" s="874" t="e">
        <f t="shared" si="7"/>
        <v>#N/A</v>
      </c>
      <c r="AH9" s="874" t="e">
        <f t="shared" si="7"/>
        <v>#N/A</v>
      </c>
      <c r="AI9" s="874" t="e">
        <f t="shared" si="7"/>
        <v>#N/A</v>
      </c>
      <c r="AL9" s="874" t="e">
        <f t="shared" si="7"/>
        <v>#N/A</v>
      </c>
      <c r="AM9" s="874" t="e">
        <f t="shared" si="7"/>
        <v>#N/A</v>
      </c>
      <c r="AO9" s="874">
        <f>AO8/AO2</f>
        <v>-0.11750000000000003</v>
      </c>
      <c r="AQ9" s="874">
        <f t="shared" si="7"/>
        <v>-0.11750000000000003</v>
      </c>
      <c r="AT9" s="874">
        <f>AT8/AT2</f>
        <v>-0.11750000000000003</v>
      </c>
      <c r="AU9" s="874">
        <f t="shared" ref="AU9" si="8">AU8/AU2</f>
        <v>-0.11750000000000003</v>
      </c>
      <c r="AV9" s="874" t="e">
        <f t="shared" si="7"/>
        <v>#N/A</v>
      </c>
      <c r="AW9" s="874">
        <f>AW8/AW2</f>
        <v>-0.11750000000000003</v>
      </c>
      <c r="AY9" s="874" t="e">
        <f>AY8/AY2</f>
        <v>#N/A</v>
      </c>
      <c r="BA9" s="874">
        <f>BA8/BA2</f>
        <v>-0.11750000000000003</v>
      </c>
      <c r="BD9" s="874" t="e">
        <f>BD8/BD2</f>
        <v>#N/A</v>
      </c>
      <c r="BE9" s="874">
        <f>BE8/BE2</f>
        <v>-0.11750000000000003</v>
      </c>
      <c r="BF9" s="874">
        <f>BF8/BF2</f>
        <v>-0.11750000000000003</v>
      </c>
      <c r="BI9" s="874">
        <f>BI8/BI2</f>
        <v>-0.11750000000000003</v>
      </c>
      <c r="BO9" s="874">
        <f>BO8/BO2</f>
        <v>5.1785714285714324E-2</v>
      </c>
      <c r="BT9" s="874">
        <f>BT8/BT2</f>
        <v>-1.7000000000000002</v>
      </c>
      <c r="BV9" s="874">
        <f>BV8/BV2</f>
        <v>-1.7000000000000002</v>
      </c>
      <c r="BW9" s="874">
        <f>BW8/BW2</f>
        <v>-1.7000000000000002</v>
      </c>
      <c r="BX9" s="874" t="e">
        <f t="shared" si="7"/>
        <v>#N/A</v>
      </c>
      <c r="CC9" s="874">
        <f t="shared" ref="CC9:CI9" si="9">CC8/CC2</f>
        <v>-1.7000000000000002</v>
      </c>
      <c r="CD9" s="874">
        <f t="shared" si="9"/>
        <v>-1.7000000000000002</v>
      </c>
      <c r="CE9" s="874" t="e">
        <f t="shared" si="9"/>
        <v>#DIV/0!</v>
      </c>
      <c r="CF9" s="874" t="e">
        <f t="shared" si="9"/>
        <v>#DIV/0!</v>
      </c>
      <c r="CG9" s="874" t="e">
        <f t="shared" si="9"/>
        <v>#DIV/0!</v>
      </c>
      <c r="CH9" s="874" t="e">
        <f t="shared" si="9"/>
        <v>#DIV/0!</v>
      </c>
      <c r="CI9" s="874" t="e">
        <f t="shared" si="9"/>
        <v>#DIV/0!</v>
      </c>
      <c r="CJ9" s="874" t="e">
        <f t="shared" si="7"/>
        <v>#DIV/0!</v>
      </c>
      <c r="CK9" s="874" t="e">
        <f t="shared" si="7"/>
        <v>#DIV/0!</v>
      </c>
      <c r="CL9" s="874" t="e">
        <f t="shared" si="7"/>
        <v>#DIV/0!</v>
      </c>
      <c r="CM9" s="874" t="e">
        <f t="shared" si="7"/>
        <v>#DIV/0!</v>
      </c>
      <c r="CN9" s="874">
        <f t="shared" si="7"/>
        <v>0.5235294117647058</v>
      </c>
      <c r="CO9" s="874">
        <f t="shared" si="7"/>
        <v>0.5235294117647058</v>
      </c>
      <c r="CP9" s="874">
        <f t="shared" si="7"/>
        <v>0.52437500000000004</v>
      </c>
    </row>
    <row r="10" spans="1:94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SUM(IF(ISBLANK($T$1),$J$23:$J$241,IF($I$23:$I$241=$T$1,$J$23:$J$241,0)))</f>
        <v>37</v>
      </c>
      <c r="AG10" s="874">
        <f t="array" ref="AG10">SUM(IF(ISBLANK(AG$24:AG$241),0,IF(ISNUMBER(VALUE(RIGHT(AG$24:AG$241,1))),RIGHT(AG$24:AG$241,1),0)*IF(ISBLANK($T$1),1,IF($I$23:$I$241=$T$1,1,0))))</f>
        <v>0</v>
      </c>
      <c r="AH10" s="874">
        <f t="array" ref="AH10">SUM(IF(ISBLANK(AH$24:AH$241),0,IF(ISNUMBER(VALUE(RIGHT(AH$24:AH$241,1))),RIGHT(AH$24:AH$241,1),0)*IF(ISBLANK($T$1),1,IF($I$23:$I$241=$T$1,1,0))))</f>
        <v>0</v>
      </c>
      <c r="AI10" s="874">
        <f t="array" ref="AI10">SUM(IF(ISBLANK(AI$24:AI$241),0,IF(ISNUMBER(VALUE(RIGHT(AI$24:AI$241,1))),RIGHT(AI$24:AI$241,1),0)*IF(ISBLANK($T$1),1,IF($I$23:$I$241=$T$1,1,0))))</f>
        <v>1</v>
      </c>
      <c r="AL10" s="874">
        <f t="array" ref="AL10">SUM(IF(ISBLANK(AL$24:AL$241),0,IF(ISNUMBER(VALUE(RIGHT(AL$24:AL$241,1))),RIGHT(AL$24:AL$241,1),0)*IF(ISBLANK($T$1),1,IF($I$23:$I$241=$T$1,1,0))))</f>
        <v>0</v>
      </c>
      <c r="AM10" s="874">
        <f t="array" ref="AM10">SUM(IF(ISBLANK(AM$24:AM$241),0,IF(ISNUMBER(VALUE(RIGHT(AM$24:AM$241,1))),RIGHT(AM$24:AM$241,1),0)*IF(ISBLANK($T$1),1,IF($I$23:$I$241=$T$1,1,0))))</f>
        <v>1</v>
      </c>
      <c r="AO10" s="874">
        <f t="array" ref="AO10">SUM(IF(ISBLANK(AO$23:AO$241),0,IF(ISNUMBER(VALUE(RIGHT(AO$23:AO$241,1))),RIGHT(AO$23:AO$241,1),0)*IF(ISBLANK($T$1),1,IF($I$23:$I$241=$T$1,1,0))))</f>
        <v>0</v>
      </c>
      <c r="AQ10" s="874">
        <f t="array" ref="AQ10">SUM(IF(ISBLANK(AQ$23:AQ$241),0,IF(ISNUMBER(VALUE(RIGHT(AQ$23:AQ$241,1))),RIGHT(AQ$23:AQ$241,1),0)*IF(ISBLANK($T$1),1,IF($I$23:$I$241=$T$1,1,0))))</f>
        <v>2</v>
      </c>
      <c r="AT10" s="874">
        <f t="array" ref="AT10">SUM(IF(ISBLANK(AT$23:AT$241),0,IF(ISNUMBER(VALUE(RIGHT(AT$23:AT$241,1))),RIGHT(AT$23:AT$241,1),0)*IF(ISBLANK($T$1),1,IF($I$23:$I$241=$T$1,1,0))))</f>
        <v>2</v>
      </c>
      <c r="AU10" s="874">
        <f t="array" ref="AU10">SUM(IF(ISBLANK(AU$23:AU$241),0,IF(ISNUMBER(VALUE(RIGHT(AU$23:AU$241,1))),RIGHT(AU$23:AU$241,1),0)*IF(ISBLANK($T$1),1,IF($I$23:$I$241=$T$1,1,0))))</f>
        <v>0</v>
      </c>
      <c r="AV10" s="874">
        <f t="array" ref="AV10">SUM(IF(ISBLANK(AV$26:AV$241),0,IF(ISNUMBER(VALUE(RIGHT(AV$26:AV$241,1))),RIGHT(AV$26:AV$241,1),0)*IF(ISBLANK($T$1),1,IF($I$23:$I$241=$T$1,1,0))))</f>
        <v>3</v>
      </c>
      <c r="AW10" s="874">
        <f t="array" ref="AW10">SUM(IF(ISBLANK(AW$23:AW$241),0,IF(ISNUMBER(VALUE(RIGHT(AW$23:AW$241,1))),RIGHT(AW$23:AW$241,1),0)*IF(ISBLANK($T$1),1,IF($I$23:$I$241=$T$1,1,0))))</f>
        <v>2</v>
      </c>
      <c r="AY10" s="874">
        <f t="array" ref="AY10">SUM(IF(ISBLANK(AY$26:AY$241),0,IF(ISNUMBER(VALUE(RIGHT(AY$26:AY$241,1))),RIGHT(AY$26:AY$241,1),0)*IF(ISBLANK($T$1),1,IF($I$23:$I$241=$T$1,1,0))))</f>
        <v>0</v>
      </c>
      <c r="BA10" s="874">
        <f t="array" ref="BA10">SUM(IF(ISBLANK(BA$23:BA$241),0,IF(ISNUMBER(VALUE(RIGHT(BA$23:BA$241,1))),RIGHT(BA$23:BA$241,1),0)*IF(ISBLANK($T$1),1,IF($I$23:$I$241=$T$1,1,0))))</f>
        <v>4</v>
      </c>
      <c r="BD10" s="874">
        <f t="array" ref="BD10">SUM(IF(ISBLANK(BD$26:BD$241),0,IF(ISNUMBER(VALUE(RIGHT(BD$26:BD$241,1))),RIGHT(BD$26:BD$241,1),0)*IF(ISBLANK($T$1),1,IF($I$23:$I$241=$T$1,1,0))))</f>
        <v>5</v>
      </c>
      <c r="BE10" s="874">
        <f t="array" ref="BE10">SUM(IF(ISBLANK(BE$23:BE$241),0,IF(ISNUMBER(VALUE(RIGHT(BE$23:BE$241,1))),RIGHT(BE$23:BE$241,1),0)*IF(ISBLANK($T$1),1,IF($I$23:$I$241=$T$1,1,0))))</f>
        <v>1</v>
      </c>
      <c r="BF10" s="874">
        <f t="array" ref="BF10">SUM(IF(ISBLANK(BF$23:BF$241),0,IF(ISNUMBER(VALUE(RIGHT(BF$23:BF$241,1))),RIGHT(BF$23:BF$241,1),0)*IF(ISBLANK($T$1),1,IF($I$23:$I$241=$T$1,1,0))))</f>
        <v>5</v>
      </c>
      <c r="BI10" s="874">
        <f t="array" ref="BI10">SUM(IF(ISBLANK(BI$23:BI$241),0,IF(ISNUMBER(VALUE(RIGHT(BI$23:BI$241,1))),RIGHT(BI$23:BI$241,1),0)*IF(ISBLANK($T$1),1,IF($I$23:$I$241=$T$1,1,0))))</f>
        <v>1</v>
      </c>
      <c r="BO10" s="874">
        <f t="array" ref="BO10">SUM(IF(ISBLANK(BO$23:BO$241),0,IF(ISNUMBER(VALUE(RIGHT(BO$23:BO$241,1))),RIGHT(BO$23:BO$241,1),0)*IF(ISBLANK($T$1),1,IF($I$23:$I$241=$T$1,1,0))))</f>
        <v>0</v>
      </c>
      <c r="BT10" s="874">
        <f t="array" ref="BT10">SUM(IF(ISBLANK(BT$23:BT$241),0,IF(ISNUMBER(VALUE(RIGHT(BT$23:BT$241,1))),RIGHT(BT$23:BT$241,1),0)*IF(ISBLANK($T$1),1,IF($I$23:$I$241=$T$1,1,0))))</f>
        <v>0</v>
      </c>
      <c r="BV10" s="874">
        <f t="array" ref="BV10">SUM(IF(ISBLANK(BV$23:BV$241),0,IF(ISNUMBER(VALUE(RIGHT(BV$23:BV$241,1))),RIGHT(BV$23:BV$241,1),0)*IF(ISBLANK($T$1),1,IF($I$23:$I$241=$T$1,1,0))))</f>
        <v>0</v>
      </c>
      <c r="BW10" s="874">
        <f t="array" ref="BW10">SUM(IF(ISBLANK(BW$23:BW$241),0,IF(ISNUMBER(VALUE(RIGHT(BW$23:BW$241,1))),RIGHT(BW$23:BW$241,1),0)*IF(ISBLANK($T$1),1,IF($I$23:$I$241=$T$1,1,0))))</f>
        <v>0</v>
      </c>
      <c r="BX10" s="874">
        <f t="array" ref="BX10">SUM(IF(ISBLANK(BX$39:BX$241),0,IF(ISNUMBER(VALUE(RIGHT(BX$39:BX$241,1))),RIGHT(BX$39:BX$241,1),0)*IF(ISBLANK($T$1),1,IF($I$23:$I$241=$T$1,1,0))))</f>
        <v>0</v>
      </c>
      <c r="CC10" s="874">
        <f t="array" ref="CC10">SUM(IF(ISBLANK(CC$23:CC$241),0,IF(ISNUMBER(VALUE(RIGHT(CC$23:CC$241,1))),RIGHT(CC$23:CC$241,1),0)*IF(ISBLANK($T$1),1,IF($I$23:$I$241=$T$1,1,0))))</f>
        <v>0</v>
      </c>
      <c r="CD10" s="874">
        <f t="array" ref="CD10">SUM(IF(ISBLANK(CD$23:CD$241),0,IF(ISNUMBER(VALUE(RIGHT(CD$23:CD$241,1))),RIGHT(CD$23:CD$241,1),0)*IF(ISBLANK($T$1),1,IF($I$23:$I$241=$T$1,1,0))))</f>
        <v>0</v>
      </c>
      <c r="CE10" s="874">
        <f t="array" ref="CE10">SUM(IF(ISBLANK(CE$23:CE$241),0,IF(ISNUMBER(VALUE(RIGHT(CE$23:CE$241,1))),RIGHT(CE$23:CE$241,1),0)*IF(ISBLANK($T$1),1,IF($I$23:$I$241=$T$1,1,0))))</f>
        <v>0</v>
      </c>
      <c r="CF10" s="874">
        <f t="array" ref="CF10">SUM(IF(ISBLANK(CF$23:CF$241),0,IF(ISNUMBER(VALUE(RIGHT(CF$23:CF$241,1))),RIGHT(CF$23:CF$241,1),0)*IF(ISBLANK($T$1),1,IF($I$23:$I$241=$T$1,1,0))))</f>
        <v>0</v>
      </c>
      <c r="CG10" s="874">
        <f t="array" ref="CG10">SUM(IF(ISBLANK(CG$23:CG$241),0,IF(ISNUMBER(VALUE(RIGHT(CG$23:CG$241,1))),RIGHT(CG$23:CG$241,1),0)*IF(ISBLANK($T$1),1,IF($I$23:$I$241=$T$1,1,0))))</f>
        <v>0</v>
      </c>
      <c r="CH10" s="874">
        <f t="array" ref="CH10">SUM(IF(ISBLANK(CH$23:CH$241),0,IF(ISNUMBER(VALUE(RIGHT(CH$23:CH$241,1))),RIGHT(CH$23:CH$241,1),0)*IF(ISBLANK($T$1),1,IF($I$23:$I$241=$T$1,1,0))))</f>
        <v>0</v>
      </c>
      <c r="CI10" s="874">
        <f t="array" ref="CI10">SUM(IF(ISBLANK(CI$23:CI$241),0,IF(ISNUMBER(VALUE(RIGHT(CI$23:CI$241,1))),RIGHT(CI$23:CI$241,1),0)*IF(ISBLANK($T$1),1,IF($I$23:$I$241=$T$1,1,0))))</f>
        <v>0</v>
      </c>
      <c r="CJ10" s="874">
        <f t="array" ref="CJ10">SUM(IF(ISBLANK(CJ$23:CJ$241),0,IF(ISNUMBER(VALUE(RIGHT(CJ$23:CJ$241,1))),RIGHT(CJ$23:CJ$241,1),0)*IF(ISBLANK($T$1),1,IF($I$23:$I$241=$T$1,1,0))))</f>
        <v>0</v>
      </c>
      <c r="CK10" s="874">
        <f t="array" ref="CK10">SUM(IF(ISBLANK(CK$23:CK$241),0,IF(ISNUMBER(VALUE(RIGHT(CK$23:CK$241,1))),RIGHT(CK$23:CK$241,1),0)*IF(ISBLANK($T$1),1,IF($I$23:$I$241=$T$1,1,0))))</f>
        <v>0</v>
      </c>
      <c r="CL10" s="874">
        <f t="array" ref="CL10">SUM(IF(ISBLANK(CL$23:CL$241),0,IF(ISNUMBER(VALUE(RIGHT(CL$23:CL$241,1))),RIGHT(CL$23:CL$241,1),0)*IF(ISBLANK($T$1),1,IF($I$23:$I$241=$T$1,1,0))))</f>
        <v>0</v>
      </c>
      <c r="CM10" s="874">
        <f t="array" ref="CM10">SUM(IF(ISBLANK(CM$23:CM$241),0,IF(ISNUMBER(VALUE(RIGHT(CM$23:CM$241,1))),RIGHT(CM$23:CM$241,1),0)*IF(ISBLANK($T$1),1,IF($I$23:$I$241=$T$1,1,0))))</f>
        <v>0</v>
      </c>
      <c r="CN10" s="874">
        <f t="array" ref="CN10">SUM(IF(ISBLANK(CN$23:CN$241),0,IF(ISNUMBER(VALUE(RIGHT(CN$23:CN$241,1))),RIGHT(CN$23:CN$241,1),0)*IF(ISBLANK($T$1),1,IF($I$23:$I$241=$T$1,1,0))))</f>
        <v>0</v>
      </c>
      <c r="CO10" s="874">
        <f t="array" ref="CO10">SUM(IF(ISBLANK(CO$23:CO$241),0,IF(ISNUMBER(VALUE(RIGHT(CO$23:CO$241,1))),RIGHT(CO$23:CO$241,1),0)*IF(ISBLANK($T$1),1,IF($I$23:$I$241=$T$1,1,0))))</f>
        <v>0</v>
      </c>
      <c r="CP10" s="874">
        <f t="array" ref="CP10">SUM(IF(ISBLANK(CP$23:CP$241),0,IF(ISNUMBER(VALUE(RIGHT(CP$23:CP$241,1))),RIGHT(CP$23:CP$241,1),0)*IF(ISBLANK($T$1),1,IF($I$23:$I$241=$T$1,1,0))))</f>
        <v>0</v>
      </c>
    </row>
    <row r="11" spans="1:94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P11" si="10">AF10/AF2</f>
        <v>0.84090909090909094</v>
      </c>
      <c r="AG11" s="874">
        <f t="shared" si="10"/>
        <v>0</v>
      </c>
      <c r="AH11" s="874">
        <f t="shared" si="10"/>
        <v>0</v>
      </c>
      <c r="AI11" s="874">
        <f t="shared" si="10"/>
        <v>2.3255813953488372E-2</v>
      </c>
      <c r="AL11" s="874">
        <f t="shared" si="10"/>
        <v>0</v>
      </c>
      <c r="AM11" s="874">
        <f t="shared" si="10"/>
        <v>2.3255813953488372E-2</v>
      </c>
      <c r="AO11" s="874">
        <f>AO10/AO2</f>
        <v>0</v>
      </c>
      <c r="AQ11" s="874">
        <f t="shared" si="10"/>
        <v>4.5454545454545456E-2</v>
      </c>
      <c r="AT11" s="874">
        <f>AT10/AT2</f>
        <v>4.5454545454545456E-2</v>
      </c>
      <c r="AU11" s="874">
        <f t="shared" ref="AU11" si="11">AU10/AU2</f>
        <v>0</v>
      </c>
      <c r="AV11" s="874">
        <f t="shared" si="10"/>
        <v>7.4999999999999997E-2</v>
      </c>
      <c r="AW11" s="874">
        <f>AW10/AW2</f>
        <v>4.5454545454545456E-2</v>
      </c>
      <c r="AY11" s="874">
        <f>AY10/AY2</f>
        <v>0</v>
      </c>
      <c r="BA11" s="874">
        <f>BA10/BA2</f>
        <v>9.0909090909090912E-2</v>
      </c>
      <c r="BD11" s="874">
        <f>BD10/BD2</f>
        <v>0.12195121951219512</v>
      </c>
      <c r="BE11" s="874">
        <f>BE10/BE2</f>
        <v>2.2727272727272728E-2</v>
      </c>
      <c r="BF11" s="874">
        <f>BF10/BF2</f>
        <v>0.11363636363636363</v>
      </c>
      <c r="BI11" s="874">
        <f>BI10/BI2</f>
        <v>2.2727272727272728E-2</v>
      </c>
      <c r="BO11" s="874">
        <f>BO10/BO2</f>
        <v>0</v>
      </c>
      <c r="BT11" s="874">
        <f>BT10/BT2</f>
        <v>0</v>
      </c>
      <c r="BV11" s="874">
        <f>BV10/BV2</f>
        <v>0</v>
      </c>
      <c r="BW11" s="874">
        <f>BW10/BW2</f>
        <v>0</v>
      </c>
      <c r="BX11" s="874">
        <f t="shared" si="10"/>
        <v>0</v>
      </c>
      <c r="CC11" s="874">
        <f t="shared" ref="CC11:CI11" si="12">CC10/CC2</f>
        <v>0</v>
      </c>
      <c r="CD11" s="874">
        <f t="shared" si="12"/>
        <v>0</v>
      </c>
      <c r="CE11" s="874" t="e">
        <f t="shared" si="12"/>
        <v>#DIV/0!</v>
      </c>
      <c r="CF11" s="874" t="e">
        <f t="shared" si="12"/>
        <v>#DIV/0!</v>
      </c>
      <c r="CG11" s="874" t="e">
        <f t="shared" si="12"/>
        <v>#DIV/0!</v>
      </c>
      <c r="CH11" s="874" t="e">
        <f t="shared" si="12"/>
        <v>#DIV/0!</v>
      </c>
      <c r="CI11" s="874" t="e">
        <f t="shared" si="12"/>
        <v>#DIV/0!</v>
      </c>
      <c r="CJ11" s="874" t="e">
        <f t="shared" si="10"/>
        <v>#DIV/0!</v>
      </c>
      <c r="CK11" s="874" t="e">
        <f t="shared" si="10"/>
        <v>#DIV/0!</v>
      </c>
      <c r="CL11" s="874" t="e">
        <f t="shared" si="10"/>
        <v>#DIV/0!</v>
      </c>
      <c r="CM11" s="874" t="e">
        <f t="shared" si="10"/>
        <v>#DIV/0!</v>
      </c>
      <c r="CN11" s="874">
        <f t="shared" si="10"/>
        <v>0</v>
      </c>
      <c r="CO11" s="874">
        <f t="shared" si="10"/>
        <v>0</v>
      </c>
      <c r="CP11" s="874">
        <f t="shared" si="10"/>
        <v>0</v>
      </c>
    </row>
    <row r="12" spans="1:94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SUM(IF(ISBLANK($T$1),$K$23:$K$241,IF($I$23:$I$241=$T$1,$K$23:$K$241,0)))</f>
        <v>61</v>
      </c>
      <c r="AG12" s="874" t="e">
        <f t="array" ref="AG12">SUM(IF(ISBLANK(AG$24:AG$241),0,$K23:$K241)*IF(ISBLANK($T$1),1,IF($I$23:$I$241=$T$1,1,0)))</f>
        <v>#N/A</v>
      </c>
      <c r="AH12" s="874" t="e">
        <f t="array" ref="AH12">SUM(IF(ISBLANK(AH$24:AH$241),0,$K23:$K241)*IF(ISBLANK($T$1),1,IF($I$23:$I$241=$T$1,1,0)))</f>
        <v>#N/A</v>
      </c>
      <c r="AI12" s="874" t="e">
        <f t="array" ref="AI12">SUM(IF(ISBLANK(AI$24:AI$241),0,$K23:$K241)*IF(ISBLANK($T$1),1,IF($I$23:$I$241=$T$1,1,0)))</f>
        <v>#N/A</v>
      </c>
      <c r="AL12" s="874" t="e">
        <f t="array" ref="AL12">SUM(IF(ISBLANK(AL$24:AL$241),0,$K23:$K241)*IF(ISBLANK($T$1),1,IF($I$23:$I$241=$T$1,1,0)))</f>
        <v>#N/A</v>
      </c>
      <c r="AM12" s="874" t="e">
        <f t="array" ref="AM12">SUM(IF(ISBLANK(AM$24:AM$241),0,$K23:$K241)*IF(ISBLANK($T$1),1,IF($I$23:$I$241=$T$1,1,0)))</f>
        <v>#N/A</v>
      </c>
      <c r="AO12" s="874">
        <f t="array" ref="AO12">SUM(IF(ISBLANK(AO$23:AO$241),0,$K23:$K241)*IF(ISBLANK($T$1),1,IF($I$23:$I$241=$T$1,1,0)))</f>
        <v>61</v>
      </c>
      <c r="AQ12" s="874">
        <f t="array" ref="AQ12">SUM(IF(ISBLANK(AQ$23:AQ$241),0,$K23:$K241)*IF(ISBLANK($T$1),1,IF($I$23:$I$241=$T$1,1,0)))</f>
        <v>61</v>
      </c>
      <c r="AT12" s="874">
        <f t="array" ref="AT12">SUM(IF(ISBLANK(AT$23:AT$241),0,$K23:$K241)*IF(ISBLANK($T$1),1,IF($I$23:$I$241=$T$1,1,0)))</f>
        <v>61</v>
      </c>
      <c r="AU12" s="874">
        <f t="array" ref="AU12">SUM(IF(ISBLANK(AU$23:AU$241),0,$K23:$K241)*IF(ISBLANK($T$1),1,IF($I$23:$I$241=$T$1,1,0)))</f>
        <v>61</v>
      </c>
      <c r="AV12" s="874" t="e">
        <f t="array" ref="AV12">SUM(IF(ISBLANK(AV$26:AV$241),0,$K23:$K241)*IF(ISBLANK($T$1),1,IF($I$23:$I$241=$T$1,1,0)))</f>
        <v>#N/A</v>
      </c>
      <c r="AW12" s="874">
        <f t="array" ref="AW12">SUM(IF(ISBLANK(AW$23:AW$241),0,$K23:$K241)*IF(ISBLANK($T$1),1,IF($I$23:$I$241=$T$1,1,0)))</f>
        <v>61</v>
      </c>
      <c r="AY12" s="874" t="e">
        <f t="array" ref="AY12">SUM(IF(ISBLANK(AY$26:AY$241),0,$K23:$K241)*IF(ISBLANK($T$1),1,IF($I$23:$I$241=$T$1,1,0)))</f>
        <v>#N/A</v>
      </c>
      <c r="BA12" s="874">
        <f t="array" ref="BA12">SUM(IF(ISBLANK(BA$23:BA$241),0,$K23:$K241)*IF(ISBLANK($T$1),1,IF($I$23:$I$241=$T$1,1,0)))</f>
        <v>61</v>
      </c>
      <c r="BD12" s="874" t="e">
        <f t="array" ref="BD12">SUM(IF(ISBLANK(BD$26:BD$241),0,$K23:$K241)*IF(ISBLANK($T$1),1,IF($I$23:$I$241=$T$1,1,0)))</f>
        <v>#N/A</v>
      </c>
      <c r="BE12" s="874">
        <f t="array" ref="BE12">SUM(IF(ISBLANK(BE$23:BE$241),0,$K23:$K241)*IF(ISBLANK($T$1),1,IF($I$23:$I$241=$T$1,1,0)))</f>
        <v>61</v>
      </c>
      <c r="BF12" s="874">
        <f t="array" ref="BF12">SUM(IF(ISBLANK(BF$23:BF$241),0,$K23:$K241)*IF(ISBLANK($T$1),1,IF($I$23:$I$241=$T$1,1,0)))</f>
        <v>61</v>
      </c>
      <c r="BI12" s="874">
        <f t="array" ref="BI12">SUM(IF(ISBLANK(BI$23:BI$241),0,$K23:$K241)*IF(ISBLANK($T$1),1,IF($I$23:$I$241=$T$1,1,0)))</f>
        <v>61</v>
      </c>
      <c r="BO12" s="874">
        <f t="array" ref="BO12">SUM(IF(ISBLANK(BO$23:BO$241),0,$K23:$K241)*IF(ISBLANK($T$1),1,IF($I$23:$I$241=$T$1,1,0)))</f>
        <v>38</v>
      </c>
      <c r="BT12" s="874">
        <f t="array" ref="BT12">SUM(IF(ISBLANK(BT$23:BT$241),0,$K23:$K241)*IF(ISBLANK($T$1),1,IF($I$23:$I$241=$T$1,1,0)))</f>
        <v>1</v>
      </c>
      <c r="BV12" s="874">
        <f t="array" ref="BV12">SUM(IF(ISBLANK(BV$23:BV$241),0,$K23:$K241)*IF(ISBLANK($T$1),1,IF($I$23:$I$241=$T$1,1,0)))</f>
        <v>1</v>
      </c>
      <c r="BW12" s="874">
        <f t="array" ref="BW12">SUM(IF(ISBLANK(BW$23:BW$241),0,$K23:$K241)*IF(ISBLANK($T$1),1,IF($I$23:$I$241=$T$1,1,0)))</f>
        <v>1</v>
      </c>
      <c r="BX12" s="874" t="e">
        <f t="array" ref="BX12">SUM(IF(ISBLANK(BX$39:BX$241),0,$K23:$K241)*IF(ISBLANK($T$1),1,IF($I$23:$I$241=$T$1,1,0)))</f>
        <v>#N/A</v>
      </c>
      <c r="CC12" s="874">
        <f t="array" ref="CC12">SUM(IF(ISBLANK(CC$23:CC$241),0,$K23:$K241)*IF(ISBLANK($T$1),1,IF($I$23:$I$241=$T$1,1,0)))</f>
        <v>1</v>
      </c>
      <c r="CD12" s="874">
        <f t="array" ref="CD12">SUM(IF(ISBLANK(CD$23:CD$241),0,$K23:$K241)*IF(ISBLANK($T$1),1,IF($I$23:$I$241=$T$1,1,0)))</f>
        <v>1</v>
      </c>
      <c r="CE12" s="874">
        <f t="array" ref="CE12">SUM(IF(ISBLANK(CE$23:CE$241),0,$K23:$K241)*IF(ISBLANK($T$1),1,IF($I$23:$I$241=$T$1,1,0)))</f>
        <v>0</v>
      </c>
      <c r="CF12" s="874">
        <f t="array" ref="CF12">SUM(IF(ISBLANK(CF$23:CF$241),0,$K23:$K241)*IF(ISBLANK($T$1),1,IF($I$23:$I$241=$T$1,1,0)))</f>
        <v>0</v>
      </c>
      <c r="CG12" s="874">
        <f t="array" ref="CG12">SUM(IF(ISBLANK(CG$23:CG$241),0,$K23:$K241)*IF(ISBLANK($T$1),1,IF($I$23:$I$241=$T$1,1,0)))</f>
        <v>0</v>
      </c>
      <c r="CH12" s="874">
        <f t="array" ref="CH12">SUM(IF(ISBLANK(CH$23:CH$241),0,$K23:$K241)*IF(ISBLANK($T$1),1,IF($I$23:$I$241=$T$1,1,0)))</f>
        <v>0</v>
      </c>
      <c r="CI12" s="874">
        <f t="array" ref="CI12">SUM(IF(ISBLANK(CI$23:CI$241),0,$K23:$K241)*IF(ISBLANK($T$1),1,IF($I$23:$I$241=$T$1,1,0)))</f>
        <v>0</v>
      </c>
      <c r="CJ12" s="874">
        <f t="array" ref="CJ12">SUM(IF(ISBLANK(CJ$23:CJ$241),0,$K23:$K241)*IF(ISBLANK($T$1),1,IF($I$23:$I$241=$T$1,1,0)))</f>
        <v>0</v>
      </c>
      <c r="CK12" s="874">
        <f t="array" ref="CK12">SUM(IF(ISBLANK(CK$23:CK$241),0,$K23:$K241)*IF(ISBLANK($T$1),1,IF($I$23:$I$241=$T$1,1,0)))</f>
        <v>0</v>
      </c>
      <c r="CL12" s="874">
        <f t="array" ref="CL12">SUM(IF(ISBLANK(CL$23:CL$241),0,$K23:$K241)*IF(ISBLANK($T$1),1,IF($I$23:$I$241=$T$1,1,0)))</f>
        <v>0</v>
      </c>
      <c r="CM12" s="874">
        <f t="array" ref="CM12">SUM(IF(ISBLANK(CM$23:CM$241),0,$K23:$K241)*IF(ISBLANK($T$1),1,IF($I$23:$I$241=$T$1,1,0)))</f>
        <v>0</v>
      </c>
      <c r="CN12" s="874">
        <f t="array" ref="CN12">SUM(IF(ISBLANK(CN$23:CN$241),0,$K23:$K241)*IF(ISBLANK($T$1),1,IF($I$23:$I$241=$T$1,1,0)))</f>
        <v>30</v>
      </c>
      <c r="CO12" s="874">
        <f t="array" ref="CO12">SUM(IF(ISBLANK(CO$23:CO$241),0,$K23:$K241)*IF(ISBLANK($T$1),1,IF($I$23:$I$241=$T$1,1,0)))</f>
        <v>30</v>
      </c>
      <c r="CP12" s="874">
        <f t="array" ref="CP12">SUM(IF(ISBLANK(CP$23:CP$241),0,$K23:$K241)*IF(ISBLANK($T$1),1,IF($I$23:$I$241=$T$1,1,0)))</f>
        <v>27</v>
      </c>
    </row>
    <row r="13" spans="1:94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P13" si="13">AF12/AF2</f>
        <v>1.3863636363636365</v>
      </c>
      <c r="AG13" s="874" t="e">
        <f t="shared" si="13"/>
        <v>#N/A</v>
      </c>
      <c r="AH13" s="874" t="e">
        <f t="shared" si="13"/>
        <v>#N/A</v>
      </c>
      <c r="AI13" s="874" t="e">
        <f t="shared" si="13"/>
        <v>#N/A</v>
      </c>
      <c r="AL13" s="874" t="e">
        <f t="shared" si="13"/>
        <v>#N/A</v>
      </c>
      <c r="AM13" s="874" t="e">
        <f t="shared" si="13"/>
        <v>#N/A</v>
      </c>
      <c r="AO13" s="874">
        <f>AO12/AO2</f>
        <v>1.3863636363636365</v>
      </c>
      <c r="AQ13" s="874">
        <f t="shared" si="13"/>
        <v>1.3863636363636365</v>
      </c>
      <c r="AT13" s="874">
        <f>AT12/AT2</f>
        <v>1.3863636363636365</v>
      </c>
      <c r="AU13" s="874">
        <f t="shared" ref="AU13" si="14">AU12/AU2</f>
        <v>1.3863636363636365</v>
      </c>
      <c r="AV13" s="874" t="e">
        <f t="shared" si="13"/>
        <v>#N/A</v>
      </c>
      <c r="AW13" s="874">
        <f>AW12/AW2</f>
        <v>1.3863636363636365</v>
      </c>
      <c r="AY13" s="874" t="e">
        <f>AY12/AY2</f>
        <v>#N/A</v>
      </c>
      <c r="BA13" s="874">
        <f>BA12/BA2</f>
        <v>1.3863636363636365</v>
      </c>
      <c r="BD13" s="874" t="e">
        <f>BD12/BD2</f>
        <v>#N/A</v>
      </c>
      <c r="BE13" s="874">
        <f>BE12/BE2</f>
        <v>1.3863636363636365</v>
      </c>
      <c r="BF13" s="874">
        <f>BF12/BF2</f>
        <v>1.3863636363636365</v>
      </c>
      <c r="BI13" s="874">
        <f>BI12/BI2</f>
        <v>1.3863636363636365</v>
      </c>
      <c r="BO13" s="874">
        <f>BO12/BO2</f>
        <v>1.3571428571428572</v>
      </c>
      <c r="BT13" s="874">
        <f>BT12/BT2</f>
        <v>1</v>
      </c>
      <c r="BV13" s="874">
        <f>BV12/BV2</f>
        <v>1</v>
      </c>
      <c r="BW13" s="874">
        <f>BW12/BW2</f>
        <v>1</v>
      </c>
      <c r="BX13" s="874" t="e">
        <f t="shared" si="13"/>
        <v>#N/A</v>
      </c>
      <c r="CC13" s="874">
        <f t="shared" ref="CC13:CI13" si="15">CC12/CC2</f>
        <v>1</v>
      </c>
      <c r="CD13" s="874">
        <f t="shared" si="15"/>
        <v>1</v>
      </c>
      <c r="CE13" s="874" t="e">
        <f t="shared" si="15"/>
        <v>#DIV/0!</v>
      </c>
      <c r="CF13" s="874" t="e">
        <f t="shared" si="15"/>
        <v>#DIV/0!</v>
      </c>
      <c r="CG13" s="874" t="e">
        <f t="shared" si="15"/>
        <v>#DIV/0!</v>
      </c>
      <c r="CH13" s="874" t="e">
        <f t="shared" si="15"/>
        <v>#DIV/0!</v>
      </c>
      <c r="CI13" s="874" t="e">
        <f t="shared" si="15"/>
        <v>#DIV/0!</v>
      </c>
      <c r="CJ13" s="874" t="e">
        <f t="shared" si="13"/>
        <v>#DIV/0!</v>
      </c>
      <c r="CK13" s="874" t="e">
        <f t="shared" si="13"/>
        <v>#DIV/0!</v>
      </c>
      <c r="CL13" s="874" t="e">
        <f t="shared" si="13"/>
        <v>#DIV/0!</v>
      </c>
      <c r="CM13" s="874" t="e">
        <f t="shared" si="13"/>
        <v>#DIV/0!</v>
      </c>
      <c r="CN13" s="874">
        <f t="shared" si="13"/>
        <v>1.7647058823529411</v>
      </c>
      <c r="CO13" s="874">
        <f t="shared" si="13"/>
        <v>1.7647058823529411</v>
      </c>
      <c r="CP13" s="874">
        <f t="shared" si="13"/>
        <v>1.6875</v>
      </c>
    </row>
    <row r="14" spans="1:94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AN14" si="16">AG15+AG16</f>
        <v>23</v>
      </c>
      <c r="AH14" s="902">
        <f t="shared" ref="AH14:AL14" si="17">AH15+AH16</f>
        <v>11</v>
      </c>
      <c r="AI14" s="902">
        <f t="shared" si="17"/>
        <v>10</v>
      </c>
      <c r="AJ14" s="902">
        <f t="shared" si="17"/>
        <v>0</v>
      </c>
      <c r="AK14" s="902">
        <f t="shared" si="17"/>
        <v>7</v>
      </c>
      <c r="AL14" s="902">
        <f t="shared" si="17"/>
        <v>32</v>
      </c>
      <c r="AM14" s="902">
        <f t="shared" si="16"/>
        <v>32</v>
      </c>
      <c r="AN14" s="902">
        <f t="shared" si="16"/>
        <v>35</v>
      </c>
      <c r="AO14" s="902">
        <f t="shared" ref="AO14:BJ14" si="18">AO15+AO16</f>
        <v>21</v>
      </c>
      <c r="AP14" s="902">
        <f t="shared" si="18"/>
        <v>0</v>
      </c>
      <c r="AQ14" s="902">
        <f t="shared" si="18"/>
        <v>24</v>
      </c>
      <c r="AR14" s="902">
        <f t="shared" ref="AR14:AU14" si="19">AR15+AR16</f>
        <v>17</v>
      </c>
      <c r="AS14" s="902">
        <f t="shared" si="19"/>
        <v>3</v>
      </c>
      <c r="AT14" s="902">
        <f t="shared" si="19"/>
        <v>41</v>
      </c>
      <c r="AU14" s="902">
        <f t="shared" si="19"/>
        <v>27</v>
      </c>
      <c r="AV14" s="902">
        <f t="shared" si="18"/>
        <v>22</v>
      </c>
      <c r="AW14" s="902">
        <f t="shared" si="18"/>
        <v>29</v>
      </c>
      <c r="AX14" s="902">
        <f t="shared" si="18"/>
        <v>18</v>
      </c>
      <c r="AY14" s="902">
        <f t="shared" si="18"/>
        <v>5</v>
      </c>
      <c r="AZ14" s="902">
        <f t="shared" si="18"/>
        <v>28</v>
      </c>
      <c r="BA14" s="902">
        <f t="shared" si="18"/>
        <v>35</v>
      </c>
      <c r="BB14" s="902"/>
      <c r="BC14" s="902">
        <f t="shared" si="18"/>
        <v>5</v>
      </c>
      <c r="BD14" s="902">
        <f t="shared" si="18"/>
        <v>33</v>
      </c>
      <c r="BE14" s="902">
        <f t="shared" si="18"/>
        <v>7</v>
      </c>
      <c r="BF14" s="902">
        <f t="shared" si="18"/>
        <v>30</v>
      </c>
      <c r="BG14" s="902">
        <f t="shared" si="18"/>
        <v>22</v>
      </c>
      <c r="BH14" s="902">
        <f t="shared" ref="BH14" si="20">BH15+BH16</f>
        <v>6</v>
      </c>
      <c r="BI14" s="902">
        <f t="shared" si="18"/>
        <v>17</v>
      </c>
      <c r="BJ14" s="902">
        <f t="shared" si="18"/>
        <v>32</v>
      </c>
      <c r="BK14" s="902">
        <f t="shared" ref="BK14:BM14" si="21">BK15+BK16</f>
        <v>8</v>
      </c>
      <c r="BL14" s="902">
        <f t="shared" si="21"/>
        <v>16</v>
      </c>
      <c r="BM14" s="902">
        <f t="shared" si="21"/>
        <v>7</v>
      </c>
      <c r="BN14" s="889"/>
      <c r="BO14" s="902">
        <f>BO15+BO16</f>
        <v>0</v>
      </c>
      <c r="BP14" s="902">
        <f>BP15+BP16</f>
        <v>13</v>
      </c>
      <c r="BQ14" s="889"/>
      <c r="BR14" s="889"/>
      <c r="BS14" s="889"/>
      <c r="BT14" s="889"/>
      <c r="BU14" s="889"/>
      <c r="BV14" s="889"/>
      <c r="BW14" s="889"/>
      <c r="BX14" s="889"/>
      <c r="BY14" s="890"/>
      <c r="BZ14" s="890"/>
      <c r="CA14" s="890"/>
      <c r="CB14" s="890"/>
      <c r="CC14" s="889"/>
      <c r="CD14" s="889"/>
      <c r="CE14" s="889"/>
      <c r="CF14" s="889"/>
      <c r="CG14" s="889"/>
      <c r="CH14" s="889"/>
      <c r="CI14" s="889"/>
      <c r="CJ14" s="890"/>
    </row>
    <row r="15" spans="1:94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AVERAGEIFS($Q$23:$Q$208,$H$23:$H$208,"H",$I$23:$I$208,Table!$C$1)</f>
        <v>-0.33952380952380945</v>
      </c>
      <c r="S15" s="858">
        <f>AVERAGEIFS($Q$23:$Q$208,$H$23:$H$208,"A",$I$23:$I$208,Table!$C$1)</f>
        <v>-0.60285714285714287</v>
      </c>
      <c r="AF15" s="848" t="s">
        <v>821</v>
      </c>
      <c r="AG15" s="903">
        <f t="array" ref="AG15">SUM(IF(LEFT(AG23:AG162,1)="X",1,0))</f>
        <v>23</v>
      </c>
      <c r="AH15" s="903">
        <f t="array" ref="AH15">SUM(IF(LEFT(AH23:AH162,1)="X",1,0))</f>
        <v>11</v>
      </c>
      <c r="AI15" s="903">
        <f t="array" ref="AI15">SUM(IF(LEFT(AI23:AI162,1)="X",1,0))</f>
        <v>10</v>
      </c>
      <c r="AJ15" s="903">
        <f t="array" ref="AJ15">SUM(IF(LEFT(AJ23:AJ162,1)="X",1,0))</f>
        <v>0</v>
      </c>
      <c r="AK15" s="903">
        <f t="array" ref="AK15">SUM(IF(LEFT(AK23:AK162,1)="X",1,0))</f>
        <v>5</v>
      </c>
      <c r="AL15" s="903">
        <f t="array" ref="AL15">SUM(IF(LEFT(AL23:AL162,1)="X",1,0))</f>
        <v>32</v>
      </c>
      <c r="AM15" s="903">
        <f t="array" ref="AM15">SUM(IF(LEFT(AM23:AM162,1)="X",1,0))</f>
        <v>30</v>
      </c>
      <c r="AN15" s="903">
        <f t="array" ref="AN15">SUM(IF(LEFT(AN23:AN162,1)="X",1,0))</f>
        <v>35</v>
      </c>
      <c r="AO15" s="903">
        <f t="array" ref="AO15">SUM(IF(LEFT(AO23:AO162,1)="X",1,0))</f>
        <v>19</v>
      </c>
      <c r="AP15" s="903">
        <f t="array" ref="AP15">SUM(IF(LEFT(AP23:AP162,1)="X",1,0))</f>
        <v>0</v>
      </c>
      <c r="AQ15" s="903">
        <f t="array" ref="AQ15">SUM(IF(LEFT(AQ23:AQ162,1)="X",1,0))</f>
        <v>22</v>
      </c>
      <c r="AR15" s="903">
        <f t="array" ref="AR15">SUM(IF(LEFT(AR23:AR162,1)="X",1,0))</f>
        <v>8</v>
      </c>
      <c r="AS15" s="903">
        <f t="array" ref="AS15">SUM(IF(LEFT(AS23:AS162,1)="X",1,0))</f>
        <v>1</v>
      </c>
      <c r="AT15" s="903">
        <f t="array" ref="AT15">SUM(IF(LEFT(AT23:AT162,1)="X",1,0))</f>
        <v>40</v>
      </c>
      <c r="AU15" s="903">
        <f t="array" ref="AU15">SUM(IF(LEFT(AU23:AU162,1)="X",1,0))</f>
        <v>27</v>
      </c>
      <c r="AV15" s="903">
        <f t="array" ref="AV15">SUM(IF(LEFT(AV23:AV162,1)="X",1,0))</f>
        <v>16</v>
      </c>
      <c r="AW15" s="903">
        <f t="array" ref="AW15">SUM(IF(LEFT(AW23:AW162,1)="X",1,0))</f>
        <v>29</v>
      </c>
      <c r="AX15" s="903">
        <f t="array" ref="AX15">SUM(IF(LEFT(AX23:AX162,1)="X",1,0))</f>
        <v>16</v>
      </c>
      <c r="AY15" s="903">
        <f t="array" ref="AY15">SUM(IF(LEFT(AY23:AY162,1)="X",1,0))</f>
        <v>4</v>
      </c>
      <c r="AZ15" s="903">
        <f t="array" ref="AZ15">SUM(IF(LEFT(AZ23:AZ162,1)="X",1,0))</f>
        <v>23</v>
      </c>
      <c r="BA15" s="903">
        <f t="array" ref="BA15">SUM(IF(LEFT(BA23:BA162,1)="X",1,0))</f>
        <v>29</v>
      </c>
      <c r="BB15" s="903"/>
      <c r="BC15" s="903">
        <f t="array" ref="BC15">SUM(IF(LEFT(BC23:BC162,1)="X",1,0))</f>
        <v>2</v>
      </c>
      <c r="BD15" s="903">
        <f t="array" ref="BD15">SUM(IF(LEFT(BD23:BD162,1)="X",1,0))</f>
        <v>27</v>
      </c>
      <c r="BE15" s="903">
        <f t="array" ref="BE15">SUM(IF(LEFT(BE23:BE162,1)="X",1,0))</f>
        <v>7</v>
      </c>
      <c r="BF15" s="903">
        <f t="array" ref="BF15">SUM(IF(LEFT(BF23:BF162,1)="X",1,0))</f>
        <v>15</v>
      </c>
      <c r="BG15" s="903">
        <f t="array" ref="BG15">SUM(IF(LEFT(BG23:BG162,1)="X",1,0))</f>
        <v>6</v>
      </c>
      <c r="BH15" s="903">
        <f t="array" ref="BH15">SUM(IF(LEFT(BH23:BH162,1)="X",1,0))</f>
        <v>3</v>
      </c>
      <c r="BI15" s="903">
        <f t="array" ref="BI15">SUM(IF(LEFT(BI23:BI162,1)="X",1,0))</f>
        <v>13</v>
      </c>
      <c r="BJ15" s="903">
        <f t="array" ref="BJ15">SUM(IF(LEFT(BJ23:BJ162,1)="X",1,0))</f>
        <v>9</v>
      </c>
      <c r="BK15" s="903">
        <f t="array" ref="BK15">SUM(IF(LEFT(BK23:BK162,1)="X",1,0))</f>
        <v>2</v>
      </c>
      <c r="BL15" s="903">
        <f t="array" ref="BL15">SUM(IF(LEFT(BL23:BL162,1)="X",1,0))</f>
        <v>12</v>
      </c>
      <c r="BM15" s="903">
        <f t="array" ref="BM15">SUM(IF(LEFT(BM23:BM162,1)="X",1,0))</f>
        <v>1</v>
      </c>
      <c r="BN15" s="889"/>
      <c r="BO15" s="903">
        <f t="array" ref="BO15">SUM(IF(LEFT(BO23:BO162,1)="X",1,0))</f>
        <v>0</v>
      </c>
      <c r="BP15" s="903">
        <f t="array" ref="BP15">SUM(IF(LEFT(BP23:BP162,1)="X",1,0))</f>
        <v>7</v>
      </c>
      <c r="BQ15" s="889"/>
      <c r="BR15" s="889"/>
      <c r="BS15" s="889"/>
      <c r="BT15" s="889"/>
      <c r="BU15" s="889"/>
      <c r="BV15" s="889"/>
      <c r="BW15" s="889"/>
      <c r="BX15" s="889"/>
      <c r="BY15" s="890"/>
      <c r="BZ15" s="890"/>
      <c r="CA15" s="890"/>
      <c r="CB15" s="890"/>
      <c r="CC15" s="889"/>
      <c r="CD15" s="889"/>
      <c r="CE15" s="889"/>
      <c r="CF15" s="889"/>
      <c r="CG15" s="889"/>
      <c r="CH15" s="889"/>
      <c r="CI15" s="889"/>
      <c r="CJ15" s="890"/>
    </row>
    <row r="16" spans="1:94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AVERAGEIF($H$23:$H$205,"=H",$J$23:$J$205)</f>
        <v>0.90476190476190477</v>
      </c>
      <c r="J16" s="858">
        <f>AVERAGEIF($H$23:$H$209,"=H",$K$23:$K$209)</f>
        <v>1.4285714285714286</v>
      </c>
      <c r="K16" s="858">
        <f>I16-J16</f>
        <v>-0.52380952380952384</v>
      </c>
      <c r="L16" s="857">
        <f>COUNTIFS($L$23:$L$205,"=W",$H$23:$H$205,"=H")</f>
        <v>5</v>
      </c>
      <c r="M16" s="857">
        <f>COUNTIFS($L$23:$L$205,"=D",$H$23:$H$205,"=H")</f>
        <v>4</v>
      </c>
      <c r="N16" s="863">
        <f>COUNTIFS($L$23:$L$205,"=L",$H$23:$H$205,"=H")</f>
        <v>12</v>
      </c>
      <c r="O16" s="858">
        <f>SUM(I16:J16)</f>
        <v>2.3333333333333335</v>
      </c>
      <c r="Q16" s="861" t="s">
        <v>212</v>
      </c>
      <c r="R16" s="858">
        <f>AVERAGEIFS($S$23:$S$206,$H$23:$H$206,"H",$I$23:$I$206,Table!$C$1)</f>
        <v>2.3657142857142861</v>
      </c>
      <c r="S16" s="858">
        <f>AVERAGEIFS($S$23:$S$206,$H$23:$H$206,"A",$I$23:$I$206,Table!$C$1)</f>
        <v>2.4042857142857152</v>
      </c>
      <c r="AF16" s="848" t="s">
        <v>724</v>
      </c>
      <c r="AG16" s="903">
        <f t="array" ref="AG16">SUM(IF(LEFT(AG23:AG163,1)="s",1,0))</f>
        <v>0</v>
      </c>
      <c r="AH16" s="903">
        <f t="array" ref="AH16">SUM(IF(LEFT(AH23:AH163,1)="s",1,0))</f>
        <v>0</v>
      </c>
      <c r="AI16" s="903">
        <f t="array" ref="AI16">SUM(IF(LEFT(AI23:AI163,1)="s",1,0))</f>
        <v>0</v>
      </c>
      <c r="AJ16" s="903">
        <f t="array" ref="AJ16">SUM(IF(LEFT(AJ23:AJ163,1)="s",1,0))</f>
        <v>0</v>
      </c>
      <c r="AK16" s="903">
        <f t="array" ref="AK16">SUM(IF(LEFT(AK23:AK163,1)="s",1,0))</f>
        <v>2</v>
      </c>
      <c r="AL16" s="903">
        <f t="array" ref="AL16">SUM(IF(LEFT(AL23:AL163,1)="s",1,0))</f>
        <v>0</v>
      </c>
      <c r="AM16" s="903">
        <f t="array" ref="AM16">SUM(IF(LEFT(AM23:AM163,1)="s",1,0))</f>
        <v>2</v>
      </c>
      <c r="AN16" s="903">
        <f t="array" ref="AN16">SUM(IF(LEFT(AN23:AN163,1)="s",1,0))</f>
        <v>0</v>
      </c>
      <c r="AO16" s="903">
        <f t="array" ref="AO16">SUM(IF(LEFT(AO23:AO163,1)="s",1,0))</f>
        <v>2</v>
      </c>
      <c r="AP16" s="903">
        <f t="array" ref="AP16">SUM(IF(LEFT(AP23:AP163,1)="s",1,0))</f>
        <v>0</v>
      </c>
      <c r="AQ16" s="903">
        <f t="array" ref="AQ16">SUM(IF(LEFT(AQ23:AQ163,1)="s",1,0))</f>
        <v>2</v>
      </c>
      <c r="AR16" s="903">
        <f t="array" ref="AR16">SUM(IF(LEFT(AR23:AR163,1)="s",1,0))</f>
        <v>9</v>
      </c>
      <c r="AS16" s="903">
        <f t="array" ref="AS16">SUM(IF(LEFT(AS23:AS163,1)="s",1,0))</f>
        <v>2</v>
      </c>
      <c r="AT16" s="903">
        <f t="array" ref="AT16">SUM(IF(LEFT(AT23:AT163,1)="s",1,0))</f>
        <v>1</v>
      </c>
      <c r="AU16" s="903">
        <f t="array" ref="AU16">SUM(IF(LEFT(AU23:AU163,1)="s",1,0))</f>
        <v>0</v>
      </c>
      <c r="AV16" s="903">
        <f t="array" ref="AV16">SUM(IF(LEFT(AV23:AV163,1)="s",1,0))</f>
        <v>6</v>
      </c>
      <c r="AW16" s="903">
        <f t="array" ref="AW16">SUM(IF(LEFT(AW23:AW163,1)="s",1,0))</f>
        <v>0</v>
      </c>
      <c r="AX16" s="903">
        <f t="array" ref="AX16">SUM(IF(LEFT(AX23:AX163,1)="s",1,0))</f>
        <v>2</v>
      </c>
      <c r="AY16" s="903">
        <f t="array" ref="AY16">SUM(IF(LEFT(AY23:AY163,1)="s",1,0))</f>
        <v>1</v>
      </c>
      <c r="AZ16" s="903">
        <f t="array" ref="AZ16">SUM(IF(LEFT(AZ23:AZ163,1)="s",1,0))</f>
        <v>5</v>
      </c>
      <c r="BA16" s="903">
        <f t="array" ref="BA16">SUM(IF(LEFT(BA23:BA163,1)="s",1,0))</f>
        <v>6</v>
      </c>
      <c r="BB16" s="903"/>
      <c r="BC16" s="903">
        <f t="array" ref="BC16">SUM(IF(LEFT(BC23:BC163,1)="s",1,0))</f>
        <v>3</v>
      </c>
      <c r="BD16" s="903">
        <f t="array" ref="BD16">SUM(IF(LEFT(BD23:BD163,1)="s",1,0))</f>
        <v>6</v>
      </c>
      <c r="BE16" s="903">
        <f t="array" ref="BE16">SUM(IF(LEFT(BE23:BE163,1)="s",1,0))</f>
        <v>0</v>
      </c>
      <c r="BF16" s="903">
        <f t="array" ref="BF16">SUM(IF(LEFT(BF23:BF163,1)="s",1,0))</f>
        <v>15</v>
      </c>
      <c r="BG16" s="903">
        <f t="array" ref="BG16">SUM(IF(LEFT(BG23:BG163,1)="s",1,0))</f>
        <v>16</v>
      </c>
      <c r="BH16" s="903">
        <f t="array" ref="BH16">SUM(IF(LEFT(BH23:BH163,1)="s",1,0))</f>
        <v>3</v>
      </c>
      <c r="BI16" s="903">
        <f t="array" ref="BI16">SUM(IF(LEFT(BI23:BI163,1)="s",1,0))</f>
        <v>4</v>
      </c>
      <c r="BJ16" s="903">
        <f t="array" ref="BJ16">SUM(IF(LEFT(BJ23:BJ163,1)="s",1,0))</f>
        <v>23</v>
      </c>
      <c r="BK16" s="903">
        <f t="array" ref="BK16">SUM(IF(LEFT(BK23:BK163,1)="s",1,0))</f>
        <v>6</v>
      </c>
      <c r="BL16" s="903">
        <f t="array" ref="BL16">SUM(IF(LEFT(BL23:BL163,1)="s",1,0))</f>
        <v>4</v>
      </c>
      <c r="BM16" s="903">
        <f t="array" ref="BM16">SUM(IF(LEFT(BM23:BM163,1)="s",1,0))</f>
        <v>6</v>
      </c>
      <c r="BN16" s="889"/>
      <c r="BO16" s="903">
        <f t="array" ref="BO16">SUM(IF(LEFT(BO23:BO163,1)="s",1,0))</f>
        <v>0</v>
      </c>
      <c r="BP16" s="903">
        <f t="array" ref="BP16">SUM(IF(LEFT(BP23:BP163,1)="s",1,0))</f>
        <v>6</v>
      </c>
      <c r="BQ16" s="889"/>
      <c r="BR16" s="889"/>
      <c r="BS16" s="889"/>
      <c r="BT16" s="889"/>
      <c r="BU16" s="889"/>
      <c r="BV16" s="889"/>
      <c r="BW16" s="889"/>
      <c r="BX16" s="889"/>
      <c r="BY16" s="890"/>
      <c r="BZ16" s="890"/>
      <c r="CA16" s="890"/>
      <c r="CB16" s="890"/>
      <c r="CC16" s="889"/>
      <c r="CD16" s="889"/>
      <c r="CE16" s="889"/>
      <c r="CF16" s="889"/>
      <c r="CG16" s="889"/>
      <c r="CH16" s="889"/>
      <c r="CI16" s="889"/>
      <c r="CJ16" s="890"/>
    </row>
    <row r="17" spans="1:120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23</v>
      </c>
      <c r="I17" s="860">
        <f>AVERAGEIF($H$23:$H$205,"=A",$J$23:$J$205)</f>
        <v>0.78260869565217395</v>
      </c>
      <c r="J17" s="860">
        <f>AVERAGEIF($H$23:$H$209,"=A",$K$23:$K$209)</f>
        <v>1.3478260869565217</v>
      </c>
      <c r="K17" s="858">
        <f>I17-J17</f>
        <v>-0.56521739130434778</v>
      </c>
      <c r="L17" s="857">
        <f>COUNTIFS($L$23:$L$205,"=W",$H$23:$H$205,"=A")</f>
        <v>4</v>
      </c>
      <c r="M17" s="857">
        <f>COUNTIFS($L$23:$L$205,"=D",$H$23:$H$205,"=A")</f>
        <v>7</v>
      </c>
      <c r="N17" s="863">
        <f>COUNTIFS($L$23:$L$205,"=L",$H$23:$H$205,"=A")</f>
        <v>12</v>
      </c>
      <c r="O17" s="858">
        <f>SUM(I17:J17)</f>
        <v>2.1304347826086958</v>
      </c>
      <c r="Q17" s="848"/>
      <c r="R17" s="859"/>
      <c r="S17" s="855"/>
      <c r="AF17" s="848" t="s">
        <v>718</v>
      </c>
      <c r="AG17" s="903">
        <f t="array" ref="AG17">SUM(IF(ISNUMBER(VALUE(RIGHT(AG23:AG171,1))),VALUE(RIGHT(AG23:AG171,1)),0))</f>
        <v>0</v>
      </c>
      <c r="AH17" s="903">
        <f t="array" ref="AH17">SUM(IF(ISNUMBER(VALUE(RIGHT(AH23:AH171,1))),VALUE(RIGHT(AH23:AH171,1)),0))</f>
        <v>0</v>
      </c>
      <c r="AI17" s="903">
        <f t="array" ref="AI17">SUM(IF(ISNUMBER(VALUE(RIGHT(AI23:AI171,1))),VALUE(RIGHT(AI23:AI171,1)),0))</f>
        <v>1</v>
      </c>
      <c r="AJ17" s="903">
        <f t="array" ref="AJ17">SUM(IF(ISNUMBER(VALUE(RIGHT(AJ23:AJ171,1))),VALUE(RIGHT(AJ23:AJ171,1)),0))</f>
        <v>0</v>
      </c>
      <c r="AK17" s="903">
        <f t="array" ref="AK17">SUM(IF(ISNUMBER(VALUE(RIGHT(AK23:AK171,1))),VALUE(RIGHT(AK23:AK171,1)),0))</f>
        <v>0</v>
      </c>
      <c r="AL17" s="903">
        <f t="array" ref="AL17">SUM(IF(ISNUMBER(VALUE(RIGHT(AL23:AL171,1))),VALUE(RIGHT(AL23:AL171,1)),0))</f>
        <v>0</v>
      </c>
      <c r="AM17" s="903">
        <f t="array" ref="AM17">SUM(IF(ISNUMBER(VALUE(RIGHT(AM23:AM171,1))),VALUE(RIGHT(AM23:AM171,1)),0))</f>
        <v>1</v>
      </c>
      <c r="AN17" s="903">
        <f t="array" ref="AN17">SUM(IF(ISNUMBER(VALUE(RIGHT(AN23:AN171,1))),VALUE(RIGHT(AN23:AN171,1)),0))</f>
        <v>0</v>
      </c>
      <c r="AO17" s="903">
        <f t="array" ref="AO17">SUM(IF(ISNUMBER(VALUE(RIGHT(AO23:AO171,1))),VALUE(RIGHT(AO23:AO171,1)),0))</f>
        <v>0</v>
      </c>
      <c r="AP17" s="903">
        <f t="array" ref="AP17">SUM(IF(ISNUMBER(VALUE(RIGHT(AP23:AP171,1))),VALUE(RIGHT(AP23:AP171,1)),0))</f>
        <v>0</v>
      </c>
      <c r="AQ17" s="903">
        <f t="array" ref="AQ17">SUM(IF(ISNUMBER(VALUE(RIGHT(AQ23:AQ171,1))),VALUE(RIGHT(AQ23:AQ171,1)),0))</f>
        <v>2</v>
      </c>
      <c r="AR17" s="903">
        <f t="array" ref="AR17">SUM(IF(ISNUMBER(VALUE(RIGHT(AR23:AR171,1))),VALUE(RIGHT(AR23:AR171,1)),0))</f>
        <v>0</v>
      </c>
      <c r="AS17" s="903">
        <f t="array" ref="AS17">SUM(IF(ISNUMBER(VALUE(RIGHT(AS23:AS171,1))),VALUE(RIGHT(AS23:AS171,1)),0))</f>
        <v>0</v>
      </c>
      <c r="AT17" s="903">
        <f t="array" ref="AT17">SUM(IF(ISNUMBER(VALUE(RIGHT(AT23:AT171,1))),VALUE(RIGHT(AT23:AT171,1)),0))</f>
        <v>2</v>
      </c>
      <c r="AU17" s="903">
        <f t="array" ref="AU17">SUM(IF(ISNUMBER(VALUE(RIGHT(AU23:AU171,1))),VALUE(RIGHT(AU23:AU171,1)),0))</f>
        <v>0</v>
      </c>
      <c r="AV17" s="903">
        <f t="array" ref="AV17">SUM(IF(ISNUMBER(VALUE(RIGHT(AV23:AV171,1))),VALUE(RIGHT(AV23:AV171,1)),0))</f>
        <v>3</v>
      </c>
      <c r="AW17" s="903">
        <f t="array" ref="AW17">SUM(IF(ISNUMBER(VALUE(RIGHT(AW23:AW171,1))),VALUE(RIGHT(AW23:AW171,1)),0))</f>
        <v>2</v>
      </c>
      <c r="AX17" s="903">
        <f t="array" ref="AX17">SUM(IF(ISNUMBER(VALUE(RIGHT(AX23:AX171,1))),VALUE(RIGHT(AX23:AX171,1)),0))</f>
        <v>0</v>
      </c>
      <c r="AY17" s="903">
        <f t="array" ref="AY17">SUM(IF(ISNUMBER(VALUE(RIGHT(AY23:AY171,1))),VALUE(RIGHT(AY23:AY171,1)),0))</f>
        <v>0</v>
      </c>
      <c r="AZ17" s="903">
        <f t="array" ref="AZ17">SUM(IF(ISNUMBER(VALUE(RIGHT(AZ23:AZ171,1))),VALUE(RIGHT(AZ23:AZ171,1)),0))</f>
        <v>1</v>
      </c>
      <c r="BA17" s="903">
        <f t="array" ref="BA17">SUM(IF(ISNUMBER(VALUE(RIGHT(BA23:BA171,1))),VALUE(RIGHT(BA23:BA171,1)),0))</f>
        <v>4</v>
      </c>
      <c r="BB17" s="903"/>
      <c r="BC17" s="903">
        <f t="array" ref="BC17">SUM(IF(ISNUMBER(VALUE(RIGHT(BC23:BC171,1))),VALUE(RIGHT(BC23:BC171,1)),0))</f>
        <v>1</v>
      </c>
      <c r="BD17" s="903">
        <f t="array" ref="BD17">SUM(IF(ISNUMBER(VALUE(RIGHT(BD23:BD171,1))),VALUE(RIGHT(BD23:BD171,1)),0))</f>
        <v>7</v>
      </c>
      <c r="BE17" s="903">
        <f t="array" ref="BE17">SUM(IF(ISNUMBER(VALUE(RIGHT(BE23:BE171,1))),VALUE(RIGHT(BE23:BE171,1)),0))</f>
        <v>1</v>
      </c>
      <c r="BF17" s="903">
        <f t="array" ref="BF17">SUM(IF(ISNUMBER(VALUE(RIGHT(BF23:BF171,1))),VALUE(RIGHT(BF23:BF171,1)),0))</f>
        <v>5</v>
      </c>
      <c r="BG17" s="903">
        <f t="array" ref="BG17">SUM(IF(ISNUMBER(VALUE(RIGHT(BG23:BG171,1))),VALUE(RIGHT(BG23:BG171,1)),0))</f>
        <v>0</v>
      </c>
      <c r="BH17" s="903">
        <f t="array" ref="BH17">SUM(IF(ISNUMBER(VALUE(RIGHT(BH23:BH171,1))),VALUE(RIGHT(BH23:BH171,1)),0))</f>
        <v>0</v>
      </c>
      <c r="BI17" s="903">
        <f t="array" ref="BI17">SUM(IF(ISNUMBER(VALUE(RIGHT(BI23:BI171,1))),VALUE(RIGHT(BI23:BI171,1)),0))</f>
        <v>1</v>
      </c>
      <c r="BJ17" s="903">
        <f t="array" ref="BJ17">SUM(IF(ISNUMBER(VALUE(RIGHT(BJ23:BJ171,1))),VALUE(RIGHT(BJ23:BJ171,1)),0))</f>
        <v>3</v>
      </c>
      <c r="BK17" s="903">
        <f t="array" ref="BK17">SUM(IF(ISNUMBER(VALUE(RIGHT(BK23:BK171,1))),VALUE(RIGHT(BK23:BK171,1)),0))</f>
        <v>0</v>
      </c>
      <c r="BL17" s="903">
        <f t="array" ref="BL17">SUM(IF(ISNUMBER(VALUE(RIGHT(BL23:BL171,1))),VALUE(RIGHT(BL23:BL171,1)),0))</f>
        <v>0</v>
      </c>
      <c r="BM17" s="903">
        <f t="array" ref="BM17">SUM(IF(ISNUMBER(VALUE(RIGHT(BM23:BM171,1))),VALUE(RIGHT(BM23:BM171,1)),0))</f>
        <v>0</v>
      </c>
      <c r="BN17" s="889"/>
      <c r="BO17" s="903">
        <f t="array" ref="BO17">SUM(IF(ISNUMBER(VALUE(RIGHT(BO23:BO171,1))),VALUE(RIGHT(BO23:BO171,1)),0))</f>
        <v>0</v>
      </c>
      <c r="BP17" s="903">
        <f t="array" ref="BP17">SUM(IF(ISNUMBER(VALUE(RIGHT(BP23:BP171,1))),VALUE(RIGHT(BP23:BP171,1)),0))</f>
        <v>2</v>
      </c>
      <c r="BQ17" s="889"/>
      <c r="BR17" s="889"/>
      <c r="BS17" s="889"/>
      <c r="BT17" s="889"/>
      <c r="BU17" s="889"/>
      <c r="BV17" s="889"/>
      <c r="BW17" s="889"/>
      <c r="BX17" s="889"/>
      <c r="BY17" s="890"/>
      <c r="BZ17" s="890"/>
      <c r="CA17" s="890"/>
      <c r="CB17" s="890"/>
      <c r="CC17" s="889"/>
      <c r="CD17" s="889"/>
      <c r="CE17" s="889"/>
      <c r="CF17" s="889"/>
      <c r="CG17" s="889"/>
      <c r="CH17" s="889"/>
      <c r="CI17" s="889"/>
      <c r="CJ17" s="890"/>
    </row>
    <row r="18" spans="1:120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AVERAGEIFS($Y$23:$Y$208,$H$23:$H$208,"H",$I$23:$I$208,Table!$C$1)</f>
        <v>3.4761904761904763</v>
      </c>
      <c r="S18" s="858">
        <f>AVERAGEIFS($Y$23:$Y$208,$H$23:$H$208,"A",$I$23:$I$208,Table!$C$1)</f>
        <v>2.9523809523809526</v>
      </c>
      <c r="AG18" s="876">
        <v>1</v>
      </c>
      <c r="AH18" s="876">
        <v>21</v>
      </c>
      <c r="AI18" s="876">
        <v>30</v>
      </c>
      <c r="AJ18" s="876">
        <v>35</v>
      </c>
      <c r="AK18" s="876">
        <v>3</v>
      </c>
      <c r="AL18" s="876">
        <v>4</v>
      </c>
      <c r="AM18" s="876">
        <v>5</v>
      </c>
      <c r="AN18" s="876">
        <v>7</v>
      </c>
      <c r="AO18" s="876">
        <v>13</v>
      </c>
      <c r="AP18" s="876">
        <v>16</v>
      </c>
      <c r="AQ18" s="876">
        <v>23</v>
      </c>
      <c r="AR18" s="876">
        <v>26</v>
      </c>
      <c r="AS18" s="876">
        <v>37</v>
      </c>
      <c r="AT18" s="876">
        <v>2</v>
      </c>
      <c r="AU18" s="876">
        <v>6</v>
      </c>
      <c r="AV18" s="876">
        <v>19</v>
      </c>
      <c r="AW18" s="876">
        <v>20</v>
      </c>
      <c r="AX18" s="876">
        <v>27</v>
      </c>
      <c r="AY18" s="876">
        <v>32</v>
      </c>
      <c r="AZ18" s="876">
        <v>38</v>
      </c>
      <c r="BA18" s="876">
        <v>39</v>
      </c>
      <c r="BB18" s="876"/>
      <c r="BC18" s="876">
        <v>41</v>
      </c>
      <c r="BD18" s="876">
        <v>9</v>
      </c>
      <c r="BE18" s="876">
        <v>10</v>
      </c>
      <c r="BF18" s="876">
        <v>11</v>
      </c>
      <c r="BG18" s="876">
        <v>14</v>
      </c>
      <c r="BH18" s="876">
        <v>24</v>
      </c>
      <c r="BI18" s="876">
        <v>28</v>
      </c>
      <c r="BJ18" s="876">
        <v>36</v>
      </c>
      <c r="BK18" s="876">
        <v>17</v>
      </c>
      <c r="BL18" s="876">
        <v>22</v>
      </c>
      <c r="BM18" s="876">
        <v>8</v>
      </c>
      <c r="BO18" s="876">
        <v>33</v>
      </c>
      <c r="BP18" s="876">
        <v>29</v>
      </c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  <c r="CK18" s="876"/>
      <c r="CL18" s="876"/>
      <c r="CM18" s="876"/>
    </row>
    <row r="19" spans="1:120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AVERAGEIFS($Z$23:$Z$206,$H$23:$H$206,"H",$I$23:$I$206,Table!$C$1)</f>
        <v>4.1428571428571432</v>
      </c>
      <c r="S19" s="858">
        <f>AVERAGEIFS($Z$23:$Z$206,$H$23:$H$206,"A",$I$23:$I$206,Table!$C$1)</f>
        <v>4.9523809523809526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2926</v>
      </c>
      <c r="AK19" s="901" t="s">
        <v>2014</v>
      </c>
      <c r="AL19" s="901" t="s">
        <v>2072</v>
      </c>
      <c r="AM19" s="901" t="s">
        <v>2072</v>
      </c>
      <c r="AN19" s="901" t="s">
        <v>2074</v>
      </c>
      <c r="AO19" s="901" t="s">
        <v>2075</v>
      </c>
      <c r="AP19" s="901" t="s">
        <v>2014</v>
      </c>
      <c r="AQ19" s="901" t="s">
        <v>2072</v>
      </c>
      <c r="AR19" s="901" t="s">
        <v>2074</v>
      </c>
      <c r="AS19" s="901" t="s">
        <v>2987</v>
      </c>
      <c r="AT19" s="901" t="s">
        <v>1989</v>
      </c>
      <c r="AU19" s="901" t="s">
        <v>2073</v>
      </c>
      <c r="AV19" s="901" t="s">
        <v>1709</v>
      </c>
      <c r="AW19" s="901" t="s">
        <v>2078</v>
      </c>
      <c r="AX19" s="901" t="s">
        <v>2078</v>
      </c>
      <c r="AY19" s="901" t="s">
        <v>1709</v>
      </c>
      <c r="AZ19" s="901" t="s">
        <v>2078</v>
      </c>
      <c r="BA19" s="901" t="s">
        <v>2079</v>
      </c>
      <c r="BB19" s="901" t="s">
        <v>2983</v>
      </c>
      <c r="BC19" s="901" t="s">
        <v>2077</v>
      </c>
      <c r="BD19" s="901" t="s">
        <v>2080</v>
      </c>
      <c r="BE19" s="901" t="s">
        <v>2080</v>
      </c>
      <c r="BF19" s="901" t="s">
        <v>2080</v>
      </c>
      <c r="BG19" s="901" t="s">
        <v>2080</v>
      </c>
      <c r="BH19" s="901" t="s">
        <v>1663</v>
      </c>
      <c r="BI19" s="901" t="s">
        <v>1663</v>
      </c>
      <c r="BJ19" s="901" t="s">
        <v>2080</v>
      </c>
      <c r="BK19" s="901" t="s">
        <v>2077</v>
      </c>
      <c r="BL19" s="901" t="s">
        <v>2081</v>
      </c>
      <c r="BM19" s="901" t="s">
        <v>2325</v>
      </c>
      <c r="BO19" s="901" t="s">
        <v>2072</v>
      </c>
      <c r="BP19" s="901" t="s">
        <v>2080</v>
      </c>
      <c r="BU19" s="877"/>
      <c r="BV19" s="877"/>
      <c r="BW19" s="877"/>
      <c r="BX19" s="877"/>
      <c r="BY19" s="428"/>
      <c r="BZ19" s="428"/>
      <c r="CA19" s="428"/>
      <c r="CB19" s="428"/>
      <c r="CC19" s="877"/>
      <c r="CD19" s="877"/>
      <c r="CE19" s="877"/>
      <c r="CF19" s="877"/>
      <c r="CG19" s="877"/>
      <c r="CH19" s="877"/>
      <c r="CI19" s="877"/>
      <c r="CJ19" s="428"/>
      <c r="CK19" s="876"/>
      <c r="CL19" s="876"/>
      <c r="CM19" s="876"/>
    </row>
    <row r="20" spans="1:120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21</v>
      </c>
      <c r="G20" s="822" t="str">
        <f ca="1">MID(CELL("filename",A1),FIND("]",CELL("filename",A1))+1,LEN(CELL("filename",A1))-FIND("]",CELL("filename",A1)))</f>
        <v>Roasso Kumamoto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1605</v>
      </c>
      <c r="AH20" s="887" t="s">
        <v>1606</v>
      </c>
      <c r="AI20" s="887" t="s">
        <v>1604</v>
      </c>
      <c r="AJ20" s="887" t="s">
        <v>2927</v>
      </c>
      <c r="AK20" s="887" t="s">
        <v>1922</v>
      </c>
      <c r="AL20" s="887" t="s">
        <v>3459</v>
      </c>
      <c r="AM20" s="887" t="s">
        <v>1607</v>
      </c>
      <c r="AN20" s="887" t="s">
        <v>1608</v>
      </c>
      <c r="AO20" s="887" t="s">
        <v>2299</v>
      </c>
      <c r="AP20" s="887" t="s">
        <v>1923</v>
      </c>
      <c r="AQ20" s="887" t="s">
        <v>2011</v>
      </c>
      <c r="AR20" s="887" t="s">
        <v>1609</v>
      </c>
      <c r="AS20" s="887" t="s">
        <v>2988</v>
      </c>
      <c r="AT20" s="887" t="s">
        <v>2129</v>
      </c>
      <c r="AU20" s="887" t="s">
        <v>3294</v>
      </c>
      <c r="AV20" s="887" t="s">
        <v>1611</v>
      </c>
      <c r="AW20" s="887" t="s">
        <v>3142</v>
      </c>
      <c r="AX20" s="887" t="s">
        <v>1613</v>
      </c>
      <c r="AY20" s="887" t="s">
        <v>1614</v>
      </c>
      <c r="AZ20" s="887" t="s">
        <v>1615</v>
      </c>
      <c r="BA20" s="887" t="s">
        <v>3506</v>
      </c>
      <c r="BB20" s="887" t="s">
        <v>1561</v>
      </c>
      <c r="BC20" s="887" t="s">
        <v>1616</v>
      </c>
      <c r="BD20" s="887" t="s">
        <v>2700</v>
      </c>
      <c r="BE20" s="887" t="s">
        <v>1617</v>
      </c>
      <c r="BF20" s="887" t="s">
        <v>1618</v>
      </c>
      <c r="BG20" s="887" t="s">
        <v>1619</v>
      </c>
      <c r="BH20" s="887" t="s">
        <v>3166</v>
      </c>
      <c r="BI20" s="887" t="s">
        <v>1925</v>
      </c>
      <c r="BJ20" s="887" t="s">
        <v>1621</v>
      </c>
      <c r="BK20" s="887" t="s">
        <v>1924</v>
      </c>
      <c r="BL20" s="887" t="s">
        <v>1612</v>
      </c>
      <c r="BM20" s="887" t="s">
        <v>2324</v>
      </c>
      <c r="BO20" s="887" t="s">
        <v>1610</v>
      </c>
      <c r="BP20" s="887" t="s">
        <v>1620</v>
      </c>
      <c r="BU20" s="864"/>
      <c r="BV20" s="864"/>
      <c r="BW20" s="864"/>
      <c r="BX20" s="864"/>
      <c r="BY20" s="847"/>
      <c r="BZ20" s="847"/>
      <c r="CA20" s="847"/>
      <c r="CB20" s="847"/>
      <c r="CC20" s="864"/>
      <c r="CD20" s="864"/>
      <c r="CE20" s="864"/>
      <c r="CF20" s="864"/>
      <c r="CG20" s="864"/>
      <c r="CH20" s="864"/>
      <c r="CI20" s="864"/>
      <c r="CJ20" s="824"/>
      <c r="CK20" s="824"/>
      <c r="CL20" s="824"/>
      <c r="CM20" s="824"/>
      <c r="CN20" s="824"/>
      <c r="CO20" s="824"/>
      <c r="CP20" s="824"/>
      <c r="CQ20" s="824"/>
      <c r="CR20" s="824"/>
      <c r="CS20" s="824"/>
      <c r="CT20" s="824"/>
      <c r="CU20" s="824"/>
    </row>
    <row r="21" spans="1:120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1751</v>
      </c>
      <c r="AH21" s="886" t="s">
        <v>1333</v>
      </c>
      <c r="AI21" s="886" t="s">
        <v>1003</v>
      </c>
      <c r="AJ21" s="886" t="s">
        <v>2925</v>
      </c>
      <c r="AK21" s="886" t="s">
        <v>1752</v>
      </c>
      <c r="AL21" s="886" t="s">
        <v>1334</v>
      </c>
      <c r="AM21" s="886" t="s">
        <v>1753</v>
      </c>
      <c r="AN21" s="886" t="s">
        <v>1335</v>
      </c>
      <c r="AO21" s="886" t="s">
        <v>2300</v>
      </c>
      <c r="AP21" s="886" t="s">
        <v>1754</v>
      </c>
      <c r="AQ21" s="886" t="s">
        <v>1336</v>
      </c>
      <c r="AR21" s="886" t="s">
        <v>1337</v>
      </c>
      <c r="AS21" s="886" t="s">
        <v>2989</v>
      </c>
      <c r="AT21" s="886" t="s">
        <v>1004</v>
      </c>
      <c r="AU21" s="886" t="s">
        <v>3250</v>
      </c>
      <c r="AV21" s="886" t="s">
        <v>1756</v>
      </c>
      <c r="AW21" s="886" t="s">
        <v>1757</v>
      </c>
      <c r="AX21" s="886" t="s">
        <v>1007</v>
      </c>
      <c r="AY21" s="886" t="s">
        <v>1758</v>
      </c>
      <c r="AZ21" s="886" t="s">
        <v>1008</v>
      </c>
      <c r="BA21" s="886" t="s">
        <v>2730</v>
      </c>
      <c r="BB21" s="886" t="s">
        <v>1214</v>
      </c>
      <c r="BC21" s="886" t="s">
        <v>1759</v>
      </c>
      <c r="BD21" s="886" t="s">
        <v>1338</v>
      </c>
      <c r="BE21" s="886" t="s">
        <v>1009</v>
      </c>
      <c r="BF21" s="886" t="s">
        <v>1339</v>
      </c>
      <c r="BG21" s="886" t="s">
        <v>916</v>
      </c>
      <c r="BH21" s="886" t="s">
        <v>1028</v>
      </c>
      <c r="BI21" s="886" t="s">
        <v>1340</v>
      </c>
      <c r="BJ21" s="886" t="s">
        <v>1760</v>
      </c>
      <c r="BK21" s="886" t="s">
        <v>1005</v>
      </c>
      <c r="BL21" s="886" t="s">
        <v>1006</v>
      </c>
      <c r="BM21" s="886" t="s">
        <v>2323</v>
      </c>
      <c r="BN21" s="886" t="s">
        <v>3440</v>
      </c>
      <c r="BO21" s="886" t="s">
        <v>1755</v>
      </c>
      <c r="BP21" s="886" t="s">
        <v>1010</v>
      </c>
      <c r="BU21" s="864"/>
      <c r="BV21" s="864"/>
      <c r="BW21" s="864"/>
      <c r="BX21" s="864"/>
      <c r="BY21" s="847"/>
      <c r="BZ21" s="847"/>
      <c r="CA21" s="847"/>
      <c r="CB21" s="847"/>
      <c r="CC21" s="864"/>
      <c r="CD21" s="864"/>
      <c r="CE21" s="864"/>
      <c r="CF21" s="864"/>
      <c r="CG21" s="864"/>
      <c r="CH21" s="864"/>
      <c r="CI21" s="864"/>
      <c r="CJ21" s="824"/>
      <c r="CK21" s="824"/>
      <c r="CL21" s="824"/>
      <c r="CM21" s="824"/>
      <c r="CN21" s="824"/>
      <c r="CO21" s="824"/>
      <c r="CP21" s="824"/>
      <c r="CQ21" s="824"/>
      <c r="CR21" s="824"/>
      <c r="CS21" s="824"/>
      <c r="CT21" s="824"/>
      <c r="CU21" s="824"/>
    </row>
    <row r="22" spans="1:120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O22" s="829"/>
      <c r="BP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  <c r="CK22" s="829"/>
      <c r="CL22" s="829"/>
      <c r="CM22" s="829"/>
    </row>
    <row r="23" spans="1:120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19</v>
      </c>
      <c r="G23" s="879" t="s">
        <v>885</v>
      </c>
      <c r="H23" s="879" t="s">
        <v>22</v>
      </c>
      <c r="I23" s="879" t="s">
        <v>891</v>
      </c>
      <c r="J23" s="846">
        <v>2</v>
      </c>
      <c r="K23" s="846">
        <v>1</v>
      </c>
      <c r="L23" s="816" t="str">
        <f>IF(J23="","",IF(J23&gt;K23,"W",IF(J23=K23,"D",IF(J23&lt;K23,"L"))))</f>
        <v>W</v>
      </c>
      <c r="M23" s="816">
        <f>IF(J23="","",J23+K23)</f>
        <v>3</v>
      </c>
      <c r="N23" s="816" t="str">
        <f>IF($J23="","",IF($M23&gt;N$19,"O",IF($M23&lt;N$19,"U",IF($M23=N$19,"-"))))</f>
        <v>O</v>
      </c>
      <c r="O23" s="816">
        <f t="shared" ref="O23:O61" si="22">IF(Q23="","",IF(SIGN(Q23)&lt;&gt;1,VLOOKUP(ABS(Q23),SUP_HDC,3,TRUE),-VLOOKUP(ABS(Q23),SUP_HDC,3,TRUE)))</f>
        <v>0</v>
      </c>
      <c r="P23" s="829">
        <f>IF(O23="","",IF((J23-K23+O23)&gt;=0.5,1,IF((J23-K23+O23)=0.25,0.5,IF((J23-K23+O23)&lt;=-0.5,-1,IF((J23-K23+O23)=-0.25,-0.5,0)))))</f>
        <v>1</v>
      </c>
      <c r="Q23" s="830">
        <v>-0.05</v>
      </c>
      <c r="R23" s="871">
        <f>IF(ISBLANK(Q23),"",J23-K23-Q23)</f>
        <v>1.05</v>
      </c>
      <c r="S23" s="830">
        <v>2.15</v>
      </c>
      <c r="T23" s="871">
        <f>IF(ISBLANK(S23),"",J23+K23-S23)</f>
        <v>0.85000000000000009</v>
      </c>
      <c r="U23" s="868">
        <f>IF(Q23="","",(Q23+S23)/2)</f>
        <v>1.05</v>
      </c>
      <c r="V23" s="868">
        <f>IF(Q23="","",S23-U23)</f>
        <v>1.0999999999999999</v>
      </c>
      <c r="W23" s="816">
        <v>12</v>
      </c>
      <c r="X23" s="816">
        <v>14</v>
      </c>
      <c r="Y23" s="829">
        <v>5</v>
      </c>
      <c r="Z23" s="829">
        <v>3</v>
      </c>
      <c r="AA23" s="829">
        <v>48</v>
      </c>
      <c r="AB23" s="829">
        <v>52</v>
      </c>
      <c r="AC23" s="829"/>
      <c r="AD23" s="816" t="str">
        <f t="array" ref="AD23">IF($J23="","",IF(SUM(IF(ISNUMBER(VALUE(RIGHT($AG23:$EB23,1))),VALUE(RIGHT($AG23:$EB23,1)),0))=$J23,"T","F"))</f>
        <v>T</v>
      </c>
      <c r="AE23" s="831">
        <f t="array" ref="AE23">IF($J23="","",SUM(IF(LEFT($AG23:$EB23,1)="s",1,0))-SUM(IF(RIGHT(LEFT($AG23:$EB23,2))="-",1,0)))</f>
        <v>0</v>
      </c>
      <c r="AF23" s="816">
        <f t="array" ref="AF23">IF($J23="","",SUM(IF(LEFT($AG23:$EB23,1)="X",1,0)))</f>
        <v>11</v>
      </c>
      <c r="AG23" s="891" t="s">
        <v>32</v>
      </c>
      <c r="AH23" s="891" t="s">
        <v>1877</v>
      </c>
      <c r="AI23" s="891" t="s">
        <v>34</v>
      </c>
      <c r="AJ23" s="910"/>
      <c r="AK23" s="891" t="s">
        <v>32</v>
      </c>
      <c r="AL23" s="891" t="s">
        <v>34</v>
      </c>
      <c r="AM23" s="891" t="s">
        <v>32</v>
      </c>
      <c r="AN23" s="891" t="s">
        <v>34</v>
      </c>
      <c r="AO23" s="891" t="s">
        <v>1877</v>
      </c>
      <c r="AP23" s="891" t="s">
        <v>32</v>
      </c>
      <c r="AQ23" s="891" t="s">
        <v>34</v>
      </c>
      <c r="AR23" s="891" t="s">
        <v>36</v>
      </c>
      <c r="AS23" s="910"/>
      <c r="AT23" s="891" t="s">
        <v>34</v>
      </c>
      <c r="AU23" s="891" t="s">
        <v>34</v>
      </c>
      <c r="AV23" s="891" t="s">
        <v>32</v>
      </c>
      <c r="AW23" s="891" t="s">
        <v>34</v>
      </c>
      <c r="AX23" s="891" t="s">
        <v>32</v>
      </c>
      <c r="AY23" s="891" t="s">
        <v>32</v>
      </c>
      <c r="AZ23" s="891" t="s">
        <v>1877</v>
      </c>
      <c r="BA23" s="891" t="s">
        <v>35</v>
      </c>
      <c r="BB23" s="910"/>
      <c r="BC23" s="891" t="s">
        <v>1877</v>
      </c>
      <c r="BD23" s="891" t="s">
        <v>1880</v>
      </c>
      <c r="BE23" s="891" t="s">
        <v>35</v>
      </c>
      <c r="BF23" s="891" t="s">
        <v>32</v>
      </c>
      <c r="BG23" s="891" t="s">
        <v>32</v>
      </c>
      <c r="BH23" s="891"/>
      <c r="BI23" s="891" t="s">
        <v>32</v>
      </c>
      <c r="BJ23" s="891" t="s">
        <v>36</v>
      </c>
      <c r="BK23" s="891" t="s">
        <v>35</v>
      </c>
      <c r="BO23" s="891" t="s">
        <v>32</v>
      </c>
      <c r="BP23" s="891" t="s">
        <v>36</v>
      </c>
      <c r="BU23" s="891"/>
      <c r="BV23" s="891"/>
      <c r="BW23" s="891"/>
      <c r="BX23" s="891"/>
      <c r="BY23" s="896"/>
      <c r="BZ23" s="896"/>
      <c r="CA23" s="896"/>
      <c r="CB23" s="896"/>
      <c r="CC23" s="896"/>
      <c r="CD23" s="896"/>
      <c r="CE23" s="896"/>
      <c r="CF23" s="896"/>
      <c r="CG23" s="896"/>
      <c r="CH23" s="896"/>
      <c r="CI23" s="896"/>
      <c r="CJ23" s="428"/>
      <c r="CK23" s="428"/>
      <c r="CL23" s="428"/>
      <c r="CM23" s="428"/>
      <c r="CN23" s="230" t="s">
        <v>32</v>
      </c>
      <c r="CO23" s="230" t="s">
        <v>32</v>
      </c>
      <c r="CP23" s="230" t="s">
        <v>32</v>
      </c>
      <c r="CQ23" s="230" t="s">
        <v>32</v>
      </c>
      <c r="CR23" s="230" t="s">
        <v>32</v>
      </c>
      <c r="CS23" s="230" t="s">
        <v>32</v>
      </c>
      <c r="CT23" s="230" t="s">
        <v>32</v>
      </c>
    </row>
    <row r="24" spans="1:120" ht="15">
      <c r="A24" s="882">
        <v>6274</v>
      </c>
      <c r="B24" s="884"/>
      <c r="C24" s="884"/>
      <c r="D24" s="884"/>
      <c r="E24" s="884"/>
      <c r="F24" s="884">
        <f ca="1">IF(I24="","",IF(I24=Table!$C$1,VLOOKUP(G24,Table!$B$9:$AE$32,Table!$AE$6-1,FALSE),""))</f>
        <v>13</v>
      </c>
      <c r="G24" s="879" t="s">
        <v>884</v>
      </c>
      <c r="H24" s="879" t="s">
        <v>18</v>
      </c>
      <c r="I24" s="879" t="s">
        <v>891</v>
      </c>
      <c r="J24" s="846">
        <v>1</v>
      </c>
      <c r="K24" s="846">
        <v>1</v>
      </c>
      <c r="L24" s="816" t="str">
        <f t="shared" ref="L24:L26" si="23">IF(J24="","",IF(J24&gt;K24,"W",IF(J24=K24,"D",IF(J24&lt;K24,"L"))))</f>
        <v>D</v>
      </c>
      <c r="M24" s="816">
        <f t="shared" ref="M24:M26" si="24">IF(J24="","",J24+K24)</f>
        <v>2</v>
      </c>
      <c r="N24" s="816" t="str">
        <f t="shared" ref="N24" si="25">IF($J24="","",IF($M24&gt;N$19,"O",IF($M24&lt;N$19,"U",IF($M24=N$19,"-"))))</f>
        <v>U</v>
      </c>
      <c r="O24" s="816">
        <f t="shared" ref="O24:O26" si="26">IF(Q24="","",IF(SIGN(Q24)&lt;&gt;1,VLOOKUP(ABS(Q24),SUP_HDC,3,TRUE),-VLOOKUP(ABS(Q24),SUP_HDC,3,TRUE)))</f>
        <v>0.25</v>
      </c>
      <c r="P24" s="829">
        <f t="shared" ref="P24:P26" si="27">IF(O24="","",IF((J24-K24+O24)&gt;=0.5,1,IF((J24-K24+O24)=0.25,0.5,IF((J24-K24+O24)&lt;=-0.5,-1,IF((J24-K24+O24)=-0.25,-0.5,0)))))</f>
        <v>0.5</v>
      </c>
      <c r="Q24" s="830">
        <v>-0.34</v>
      </c>
      <c r="R24" s="871">
        <f t="shared" ref="R24:R26" si="28">IF(ISBLANK(Q24),"",J24-K24-Q24)</f>
        <v>0.34</v>
      </c>
      <c r="S24" s="830">
        <v>2.14</v>
      </c>
      <c r="T24" s="871">
        <f t="shared" ref="T24:T26" si="29">IF(ISBLANK(S24),"",J24+K24-S24)</f>
        <v>-0.14000000000000012</v>
      </c>
      <c r="U24" s="868">
        <f t="shared" ref="U24:U26" si="30">IF(Q24="","",(Q24+S24)/2)</f>
        <v>0.9</v>
      </c>
      <c r="V24" s="868">
        <f t="shared" ref="V24:V26" si="31">IF(Q24="","",S24-U24)</f>
        <v>1.2400000000000002</v>
      </c>
      <c r="W24" s="829">
        <v>6</v>
      </c>
      <c r="X24" s="829">
        <v>11</v>
      </c>
      <c r="Y24" s="829">
        <v>4</v>
      </c>
      <c r="Z24" s="829">
        <v>2</v>
      </c>
      <c r="AA24" s="829">
        <v>50</v>
      </c>
      <c r="AB24" s="829">
        <v>50</v>
      </c>
      <c r="AD24" s="816" t="str">
        <f t="array" ref="AD24">IF($J24="","",IF(SUM(IF(ISNUMBER(VALUE(RIGHT($AG24:$EB24,1))),VALUE(RIGHT($AG24:$EB24,1)),0))=$J24,"T","F"))</f>
        <v>T</v>
      </c>
      <c r="AE24" s="831"/>
      <c r="AG24" s="891" t="s">
        <v>32</v>
      </c>
      <c r="AH24" s="891" t="s">
        <v>1877</v>
      </c>
      <c r="AI24" s="891" t="s">
        <v>34</v>
      </c>
      <c r="AJ24" s="910"/>
      <c r="AK24" s="891" t="s">
        <v>32</v>
      </c>
      <c r="AL24" s="891" t="s">
        <v>34</v>
      </c>
      <c r="AM24" s="891" t="s">
        <v>32</v>
      </c>
      <c r="AN24" s="891" t="s">
        <v>34</v>
      </c>
      <c r="AO24" s="891" t="s">
        <v>1877</v>
      </c>
      <c r="AP24" s="891" t="s">
        <v>32</v>
      </c>
      <c r="AQ24" s="891" t="s">
        <v>1948</v>
      </c>
      <c r="AR24" s="891" t="s">
        <v>36</v>
      </c>
      <c r="AS24" s="910"/>
      <c r="AT24" s="891" t="s">
        <v>34</v>
      </c>
      <c r="AU24" s="904" t="s">
        <v>34</v>
      </c>
      <c r="AV24" s="891" t="s">
        <v>36</v>
      </c>
      <c r="AW24" s="891" t="s">
        <v>34</v>
      </c>
      <c r="AX24" s="891" t="s">
        <v>32</v>
      </c>
      <c r="AY24" s="891" t="s">
        <v>32</v>
      </c>
      <c r="AZ24" s="891" t="s">
        <v>1877</v>
      </c>
      <c r="BA24" s="891" t="s">
        <v>34</v>
      </c>
      <c r="BB24" s="910"/>
      <c r="BC24" s="891" t="s">
        <v>1877</v>
      </c>
      <c r="BD24" s="891" t="s">
        <v>32</v>
      </c>
      <c r="BE24" s="891" t="s">
        <v>35</v>
      </c>
      <c r="BF24" s="891" t="s">
        <v>32</v>
      </c>
      <c r="BG24" s="891" t="s">
        <v>35</v>
      </c>
      <c r="BH24" s="891"/>
      <c r="BI24" s="891" t="s">
        <v>32</v>
      </c>
      <c r="BJ24" s="891" t="s">
        <v>36</v>
      </c>
      <c r="BK24" s="891" t="s">
        <v>35</v>
      </c>
      <c r="BL24" s="891"/>
      <c r="BO24" s="891" t="s">
        <v>32</v>
      </c>
      <c r="BP24" s="891" t="s">
        <v>32</v>
      </c>
      <c r="BQ24" s="891"/>
      <c r="BR24" s="891"/>
      <c r="BS24" s="891"/>
      <c r="BT24" s="891"/>
      <c r="BU24" s="891"/>
      <c r="BV24" s="891"/>
      <c r="BW24" s="891"/>
      <c r="BX24" s="891"/>
      <c r="BY24" s="896"/>
      <c r="BZ24" s="896"/>
      <c r="CA24" s="896"/>
      <c r="CB24" s="896"/>
      <c r="CC24" s="896"/>
      <c r="CD24" s="896"/>
      <c r="CE24" s="896"/>
      <c r="CF24" s="896"/>
      <c r="CG24" s="896"/>
      <c r="CH24" s="896"/>
      <c r="CI24" s="896"/>
      <c r="CJ24" s="428"/>
      <c r="CK24" s="428"/>
      <c r="CL24" s="428"/>
      <c r="CM24" s="428"/>
    </row>
    <row r="25" spans="1:120" ht="15">
      <c r="A25" s="882">
        <v>6281</v>
      </c>
      <c r="B25" s="884"/>
      <c r="C25" s="884"/>
      <c r="D25" s="884"/>
      <c r="E25" s="884"/>
      <c r="F25" s="884">
        <f ca="1">IF(I25="","",IF(I25=Table!$C$1,VLOOKUP(G25,Table!$B$9:$AE$32,Table!$AE$6-1,FALSE),""))</f>
        <v>11</v>
      </c>
      <c r="G25" s="879" t="s">
        <v>874</v>
      </c>
      <c r="H25" s="879" t="s">
        <v>22</v>
      </c>
      <c r="I25" s="879" t="s">
        <v>891</v>
      </c>
      <c r="J25" s="846">
        <v>1</v>
      </c>
      <c r="K25" s="846">
        <v>1</v>
      </c>
      <c r="L25" s="816" t="str">
        <f t="shared" si="23"/>
        <v>D</v>
      </c>
      <c r="M25" s="816">
        <f t="shared" si="24"/>
        <v>2</v>
      </c>
      <c r="N25" s="816" t="str">
        <f t="shared" ref="N25:N32" si="32">IF($J25="","",IF($M25&gt;N$19,"O",IF($M25&lt;N$19,"U",IF($M25=N$19,"-"))))</f>
        <v>U</v>
      </c>
      <c r="O25" s="816">
        <f t="shared" si="26"/>
        <v>0.25</v>
      </c>
      <c r="P25" s="829">
        <f t="shared" si="27"/>
        <v>0.5</v>
      </c>
      <c r="Q25" s="830">
        <v>-0.27</v>
      </c>
      <c r="R25" s="871">
        <f t="shared" si="28"/>
        <v>0.27</v>
      </c>
      <c r="S25" s="830">
        <v>2.17</v>
      </c>
      <c r="T25" s="871">
        <f t="shared" si="29"/>
        <v>-0.16999999999999993</v>
      </c>
      <c r="U25" s="868">
        <f t="shared" si="30"/>
        <v>0.95</v>
      </c>
      <c r="V25" s="868">
        <f t="shared" si="31"/>
        <v>1.22</v>
      </c>
      <c r="W25" s="829">
        <v>7</v>
      </c>
      <c r="X25" s="829">
        <v>9</v>
      </c>
      <c r="Y25" s="829">
        <v>3</v>
      </c>
      <c r="Z25" s="829">
        <v>5</v>
      </c>
      <c r="AA25" s="829">
        <v>48</v>
      </c>
      <c r="AB25" s="829">
        <v>52</v>
      </c>
      <c r="AD25" s="816" t="str">
        <f t="array" ref="AD25">IF($J25="","",IF(SUM(IF(ISNUMBER(VALUE(RIGHT($AG25:$EB25,1))),VALUE(RIGHT($AG25:$EB25,1)),0))=$J25,"T","F"))</f>
        <v>T</v>
      </c>
      <c r="AE25" s="831">
        <f t="array" ref="AE25">IF($J25="","",SUM(IF(LEFT($AG25:$EB25,1)="s",1,0))-SUM(IF(RIGHT(LEFT($AG25:$EB25,2))="-",1,0)))</f>
        <v>0</v>
      </c>
      <c r="AF25" s="816">
        <f t="array" ref="AF25">IF($J25="","",SUM(IF(LEFT($AG25:$EB25,1)="X",1,0)))</f>
        <v>11</v>
      </c>
      <c r="AG25" s="891" t="s">
        <v>32</v>
      </c>
      <c r="AH25" s="891" t="s">
        <v>1877</v>
      </c>
      <c r="AI25" s="891" t="s">
        <v>1964</v>
      </c>
      <c r="AJ25" s="910"/>
      <c r="AK25" s="891" t="s">
        <v>32</v>
      </c>
      <c r="AL25" s="891" t="s">
        <v>34</v>
      </c>
      <c r="AM25" s="891" t="s">
        <v>32</v>
      </c>
      <c r="AN25" s="904" t="s">
        <v>34</v>
      </c>
      <c r="AO25" s="891" t="s">
        <v>32</v>
      </c>
      <c r="AP25" s="891" t="s">
        <v>32</v>
      </c>
      <c r="AQ25" s="891" t="s">
        <v>35</v>
      </c>
      <c r="AR25" s="906" t="s">
        <v>1965</v>
      </c>
      <c r="AS25" s="917"/>
      <c r="AT25" s="891" t="s">
        <v>34</v>
      </c>
      <c r="AU25" s="891" t="s">
        <v>35</v>
      </c>
      <c r="AV25" s="891" t="s">
        <v>35</v>
      </c>
      <c r="AW25" s="904" t="s">
        <v>34</v>
      </c>
      <c r="AX25" s="891" t="s">
        <v>32</v>
      </c>
      <c r="AY25" s="891" t="s">
        <v>32</v>
      </c>
      <c r="AZ25" s="891" t="s">
        <v>36</v>
      </c>
      <c r="BA25" s="891" t="s">
        <v>34</v>
      </c>
      <c r="BB25" s="910"/>
      <c r="BC25" s="891" t="s">
        <v>32</v>
      </c>
      <c r="BD25" s="891" t="s">
        <v>32</v>
      </c>
      <c r="BE25" s="891" t="s">
        <v>1877</v>
      </c>
      <c r="BF25" s="904" t="s">
        <v>36</v>
      </c>
      <c r="BG25" s="891" t="s">
        <v>1877</v>
      </c>
      <c r="BH25" s="891"/>
      <c r="BI25" s="904" t="s">
        <v>34</v>
      </c>
      <c r="BJ25" s="891" t="s">
        <v>34</v>
      </c>
      <c r="BK25" s="891" t="s">
        <v>1877</v>
      </c>
      <c r="BL25" s="891"/>
      <c r="BO25" s="891" t="s">
        <v>32</v>
      </c>
      <c r="BP25" s="891" t="s">
        <v>32</v>
      </c>
      <c r="BQ25" s="891"/>
      <c r="BR25" s="891"/>
      <c r="BS25" s="891"/>
      <c r="BT25" s="891"/>
      <c r="BU25" s="891"/>
      <c r="BV25" s="891"/>
      <c r="BW25" s="891"/>
      <c r="BX25" s="891"/>
      <c r="BY25" s="896"/>
      <c r="BZ25" s="896"/>
      <c r="CA25" s="896"/>
      <c r="CB25" s="896"/>
      <c r="CC25" s="896"/>
      <c r="CD25" s="896"/>
      <c r="CE25" s="896"/>
      <c r="CF25" s="896"/>
      <c r="CG25" s="896"/>
      <c r="CH25" s="896"/>
      <c r="CI25" s="896"/>
      <c r="CJ25" s="428"/>
      <c r="CK25" s="428"/>
      <c r="CL25" s="428"/>
      <c r="CM25" s="428"/>
    </row>
    <row r="26" spans="1:120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4</v>
      </c>
      <c r="G26" s="879" t="s">
        <v>1084</v>
      </c>
      <c r="H26" s="879" t="s">
        <v>18</v>
      </c>
      <c r="I26" s="879" t="s">
        <v>891</v>
      </c>
      <c r="J26" s="908">
        <v>1</v>
      </c>
      <c r="K26" s="846">
        <v>2</v>
      </c>
      <c r="L26" s="816" t="str">
        <f t="shared" si="23"/>
        <v>L</v>
      </c>
      <c r="M26" s="816">
        <f t="shared" si="24"/>
        <v>3</v>
      </c>
      <c r="N26" s="816" t="str">
        <f t="shared" si="32"/>
        <v>O</v>
      </c>
      <c r="O26" s="816">
        <f t="shared" si="26"/>
        <v>0.75</v>
      </c>
      <c r="P26" s="829">
        <f t="shared" si="27"/>
        <v>-0.5</v>
      </c>
      <c r="Q26" s="830">
        <v>-0.81</v>
      </c>
      <c r="R26" s="871">
        <f t="shared" si="28"/>
        <v>-0.18999999999999995</v>
      </c>
      <c r="S26" s="830">
        <v>2.35</v>
      </c>
      <c r="T26" s="871">
        <f t="shared" si="29"/>
        <v>0.64999999999999991</v>
      </c>
      <c r="U26" s="868">
        <f t="shared" si="30"/>
        <v>0.77</v>
      </c>
      <c r="V26" s="868">
        <f t="shared" si="31"/>
        <v>1.58</v>
      </c>
      <c r="W26" s="829">
        <v>9</v>
      </c>
      <c r="X26" s="829">
        <v>21</v>
      </c>
      <c r="Y26" s="829">
        <v>4</v>
      </c>
      <c r="Z26" s="829">
        <v>4</v>
      </c>
      <c r="AA26" s="829">
        <v>49</v>
      </c>
      <c r="AB26" s="829">
        <v>51</v>
      </c>
      <c r="AD26" s="816" t="str">
        <f t="array" ref="AD26">IF($J26="","",IF(SUM(IF(ISNUMBER(VALUE(RIGHT($AG26:$EB26,1))),VALUE(RIGHT($AG26:$EB26,1)),0))=$J26,"T","F"))</f>
        <v>T</v>
      </c>
      <c r="AE26" s="831">
        <f t="array" ref="AE26">IF($J26="","",SUM(IF(LEFT($AG26:$EB26,1)="s",1,0))-SUM(IF(RIGHT(LEFT($AG26:$EB26,2))="-",1,0)))</f>
        <v>0</v>
      </c>
      <c r="AF26" s="816">
        <f t="array" ref="AF26">IF($J26="","",SUM(IF(LEFT($AG26:$EB26,1)="X",1,0)))</f>
        <v>11</v>
      </c>
      <c r="AG26" s="891" t="s">
        <v>32</v>
      </c>
      <c r="AH26" s="891" t="s">
        <v>1877</v>
      </c>
      <c r="AI26" s="891" t="s">
        <v>34</v>
      </c>
      <c r="AJ26" s="910"/>
      <c r="AK26" s="891" t="s">
        <v>32</v>
      </c>
      <c r="AL26" s="891" t="s">
        <v>34</v>
      </c>
      <c r="AM26" s="891" t="s">
        <v>32</v>
      </c>
      <c r="AN26" s="891" t="s">
        <v>34</v>
      </c>
      <c r="AO26" s="891" t="s">
        <v>32</v>
      </c>
      <c r="AP26" s="891" t="s">
        <v>32</v>
      </c>
      <c r="AQ26" s="891" t="s">
        <v>2123</v>
      </c>
      <c r="AR26" s="891" t="s">
        <v>34</v>
      </c>
      <c r="AS26" s="910"/>
      <c r="AT26" s="909" t="s">
        <v>34</v>
      </c>
      <c r="AU26" s="891" t="s">
        <v>34</v>
      </c>
      <c r="AV26" s="891" t="s">
        <v>35</v>
      </c>
      <c r="AW26" s="904" t="s">
        <v>34</v>
      </c>
      <c r="AX26" s="891" t="s">
        <v>32</v>
      </c>
      <c r="AY26" s="891" t="s">
        <v>32</v>
      </c>
      <c r="AZ26" s="891" t="s">
        <v>1877</v>
      </c>
      <c r="BA26" s="891" t="s">
        <v>35</v>
      </c>
      <c r="BB26" s="910"/>
      <c r="BC26" s="891" t="s">
        <v>32</v>
      </c>
      <c r="BD26" s="891" t="s">
        <v>36</v>
      </c>
      <c r="BE26" s="891" t="s">
        <v>32</v>
      </c>
      <c r="BF26" s="904" t="s">
        <v>36</v>
      </c>
      <c r="BG26" s="891" t="s">
        <v>32</v>
      </c>
      <c r="BH26" s="891"/>
      <c r="BI26" s="891" t="s">
        <v>34</v>
      </c>
      <c r="BJ26" s="891" t="s">
        <v>2121</v>
      </c>
      <c r="BK26" s="891" t="s">
        <v>1877</v>
      </c>
      <c r="BL26" s="891" t="s">
        <v>1877</v>
      </c>
      <c r="BM26" s="891"/>
      <c r="BN26" s="891"/>
      <c r="BO26" s="891" t="s">
        <v>32</v>
      </c>
      <c r="BP26" s="891" t="s">
        <v>36</v>
      </c>
      <c r="BQ26" s="891"/>
      <c r="BR26" s="891"/>
      <c r="BS26" s="891"/>
      <c r="BT26" s="891"/>
      <c r="BU26" s="891"/>
      <c r="BV26" s="891"/>
      <c r="BW26" s="891"/>
      <c r="BX26" s="891"/>
      <c r="BY26" s="896"/>
      <c r="BZ26" s="896"/>
      <c r="CA26" s="896"/>
      <c r="CB26" s="896"/>
      <c r="CC26" s="896"/>
      <c r="CD26" s="896"/>
      <c r="CE26" s="896"/>
      <c r="CF26" s="896"/>
      <c r="CG26" s="896"/>
      <c r="CH26" s="896"/>
      <c r="CI26" s="896"/>
      <c r="CJ26" s="428"/>
      <c r="CK26" s="428"/>
      <c r="CL26" s="428"/>
      <c r="CM26" s="428"/>
      <c r="CN26" s="230" t="s">
        <v>32</v>
      </c>
      <c r="CO26" s="230" t="s">
        <v>32</v>
      </c>
      <c r="CP26" s="230" t="s">
        <v>32</v>
      </c>
      <c r="CQ26" s="230" t="s">
        <v>32</v>
      </c>
      <c r="CR26" s="230" t="s">
        <v>32</v>
      </c>
      <c r="CS26" s="230" t="s">
        <v>32</v>
      </c>
      <c r="CT26" s="230" t="s">
        <v>32</v>
      </c>
    </row>
    <row r="27" spans="1:120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9</v>
      </c>
      <c r="G27" s="879" t="s">
        <v>1083</v>
      </c>
      <c r="H27" s="879" t="s">
        <v>22</v>
      </c>
      <c r="I27" s="879" t="s">
        <v>891</v>
      </c>
      <c r="J27" s="846">
        <v>0</v>
      </c>
      <c r="K27" s="846">
        <v>1</v>
      </c>
      <c r="L27" s="816" t="str">
        <f>IF(J27="","",IF(J27&gt;K27,"W",IF(J27=K27,"D",IF(J27&lt;K27,"L"))))</f>
        <v>L</v>
      </c>
      <c r="M27" s="816">
        <f>IF(J27="","",J27+K27)</f>
        <v>1</v>
      </c>
      <c r="N27" s="816" t="str">
        <f t="shared" si="32"/>
        <v>U</v>
      </c>
      <c r="O27" s="816">
        <f t="shared" si="22"/>
        <v>0.25</v>
      </c>
      <c r="P27" s="829">
        <f t="shared" ref="P27:P61" si="33">IF(O27="","",IF((J27-K27+O27)&gt;=0.5,1,IF((J27-K27+O27)=0.25,0.5,IF((J27-K27+O27)&lt;=-0.5,-1,IF((J27-K27+O27)=-0.25,-0.5,0)))))</f>
        <v>-1</v>
      </c>
      <c r="Q27" s="830">
        <v>-0.23</v>
      </c>
      <c r="R27" s="871">
        <f t="shared" ref="R27:R32" si="34">IF(ISBLANK(Q27),"",J27-K27-Q27)</f>
        <v>-0.77</v>
      </c>
      <c r="S27" s="830">
        <v>2.13</v>
      </c>
      <c r="T27" s="871">
        <f t="shared" ref="T27:T71" si="35">IF(ISBLANK(S27),"",J27+K27-S27)</f>
        <v>-1.1299999999999999</v>
      </c>
      <c r="U27" s="868">
        <f t="shared" ref="U27:U61" si="36">IF(Q27="","",(Q27+S27)/2)</f>
        <v>0.95</v>
      </c>
      <c r="V27" s="868">
        <f t="shared" ref="V27:V61" si="37">IF(Q27="","",S27-U27)</f>
        <v>1.18</v>
      </c>
      <c r="W27" s="829">
        <v>15</v>
      </c>
      <c r="X27" s="829">
        <v>19</v>
      </c>
      <c r="Y27" s="829">
        <v>3</v>
      </c>
      <c r="Z27" s="829">
        <v>4</v>
      </c>
      <c r="AA27" s="829">
        <v>42</v>
      </c>
      <c r="AB27" s="829">
        <v>58</v>
      </c>
      <c r="AD27" s="816" t="str">
        <f t="array" ref="AD27">IF($J27="","",IF(SUM(IF(ISNUMBER(VALUE(RIGHT($AG27:$EB27,1))),VALUE(RIGHT($AG27:$EB27,1)),0))=$J27,"T","F"))</f>
        <v>T</v>
      </c>
      <c r="AE27" s="831">
        <f t="array" ref="AE27">IF($J27="","",SUM(IF(LEFT($AG27:$EB27,1)="s",1,0))-SUM(IF(RIGHT(LEFT($AG27:$EB27,2))="-",1,0)))</f>
        <v>0</v>
      </c>
      <c r="AF27" s="816">
        <f t="array" ref="AF27">IF($J27="","",SUM(IF(LEFT($AG27:$EB27,1)="X",1,0)))</f>
        <v>11</v>
      </c>
      <c r="AG27" s="891"/>
      <c r="AH27" s="891" t="s">
        <v>1877</v>
      </c>
      <c r="AI27" s="891" t="s">
        <v>34</v>
      </c>
      <c r="AJ27" s="910"/>
      <c r="AK27" s="891" t="s">
        <v>32</v>
      </c>
      <c r="AL27" s="891" t="s">
        <v>34</v>
      </c>
      <c r="AM27" s="891" t="s">
        <v>1877</v>
      </c>
      <c r="AN27" s="891" t="s">
        <v>34</v>
      </c>
      <c r="AO27" s="891" t="s">
        <v>1886</v>
      </c>
      <c r="AP27" s="891" t="s">
        <v>32</v>
      </c>
      <c r="AQ27" s="891" t="s">
        <v>1886</v>
      </c>
      <c r="AR27" s="891" t="s">
        <v>34</v>
      </c>
      <c r="AS27" s="910"/>
      <c r="AT27" s="891" t="s">
        <v>2149</v>
      </c>
      <c r="AU27" s="904" t="s">
        <v>34</v>
      </c>
      <c r="AV27" s="891" t="s">
        <v>32</v>
      </c>
      <c r="AW27" s="904" t="s">
        <v>34</v>
      </c>
      <c r="AX27" s="891" t="s">
        <v>32</v>
      </c>
      <c r="AY27" s="891" t="s">
        <v>32</v>
      </c>
      <c r="AZ27" s="891" t="s">
        <v>32</v>
      </c>
      <c r="BA27" s="891" t="s">
        <v>34</v>
      </c>
      <c r="BB27" s="910"/>
      <c r="BC27" s="891" t="s">
        <v>32</v>
      </c>
      <c r="BD27" s="891" t="s">
        <v>36</v>
      </c>
      <c r="BE27" s="891" t="s">
        <v>35</v>
      </c>
      <c r="BF27" s="891" t="s">
        <v>36</v>
      </c>
      <c r="BG27" s="891" t="s">
        <v>1877</v>
      </c>
      <c r="BH27" s="891"/>
      <c r="BI27" s="891" t="s">
        <v>35</v>
      </c>
      <c r="BJ27" s="891" t="s">
        <v>35</v>
      </c>
      <c r="BK27" s="891" t="s">
        <v>36</v>
      </c>
      <c r="BL27" s="891" t="s">
        <v>1877</v>
      </c>
      <c r="BM27" s="891"/>
      <c r="BN27" s="891"/>
      <c r="BO27" s="891" t="s">
        <v>32</v>
      </c>
      <c r="BP27" s="891" t="s">
        <v>34</v>
      </c>
      <c r="BQ27" s="891"/>
      <c r="BR27" s="891"/>
      <c r="BS27" s="891"/>
      <c r="BT27" s="891"/>
      <c r="BU27" s="891"/>
      <c r="BV27" s="891"/>
      <c r="BW27" s="891"/>
      <c r="BX27" s="891"/>
      <c r="BY27" s="896"/>
      <c r="BZ27" s="896"/>
      <c r="CA27" s="896"/>
      <c r="CB27" s="896"/>
      <c r="CC27" s="896"/>
      <c r="CD27" s="896"/>
      <c r="CE27" s="896"/>
      <c r="CF27" s="896"/>
      <c r="CG27" s="896"/>
      <c r="CH27" s="896"/>
      <c r="CI27" s="896"/>
      <c r="CJ27" s="428"/>
      <c r="CK27" s="428"/>
      <c r="CL27" s="428"/>
      <c r="CM27" s="428"/>
      <c r="CN27" s="230" t="s">
        <v>32</v>
      </c>
      <c r="CO27" s="230" t="s">
        <v>32</v>
      </c>
      <c r="CP27" s="230" t="s">
        <v>32</v>
      </c>
      <c r="CQ27" s="230" t="s">
        <v>32</v>
      </c>
      <c r="CR27" s="230" t="s">
        <v>32</v>
      </c>
      <c r="CS27" s="230" t="s">
        <v>32</v>
      </c>
      <c r="CT27" s="230" t="s">
        <v>32</v>
      </c>
    </row>
    <row r="28" spans="1:120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3</v>
      </c>
      <c r="G28" s="879" t="s">
        <v>1085</v>
      </c>
      <c r="H28" s="879" t="s">
        <v>18</v>
      </c>
      <c r="I28" s="879" t="s">
        <v>891</v>
      </c>
      <c r="J28" s="846">
        <v>1</v>
      </c>
      <c r="K28" s="846">
        <v>5</v>
      </c>
      <c r="L28" s="816" t="str">
        <f>IF(J28="","",IF(J28&gt;K28,"W",IF(J28=K28,"D",IF(J28&lt;K28,"L"))))</f>
        <v>L</v>
      </c>
      <c r="M28" s="816">
        <f>IF(J28="","",J28+K28)</f>
        <v>6</v>
      </c>
      <c r="N28" s="816" t="str">
        <f t="shared" si="32"/>
        <v>O</v>
      </c>
      <c r="O28" s="816">
        <f t="shared" si="22"/>
        <v>0.75</v>
      </c>
      <c r="P28" s="829">
        <f t="shared" si="33"/>
        <v>-1</v>
      </c>
      <c r="Q28" s="830">
        <v>-0.77</v>
      </c>
      <c r="R28" s="871">
        <f t="shared" si="34"/>
        <v>-3.23</v>
      </c>
      <c r="S28" s="830">
        <v>2.33</v>
      </c>
      <c r="T28" s="871">
        <f t="shared" si="35"/>
        <v>3.67</v>
      </c>
      <c r="U28" s="868">
        <f t="shared" si="36"/>
        <v>0.78</v>
      </c>
      <c r="V28" s="868">
        <f t="shared" si="37"/>
        <v>1.55</v>
      </c>
      <c r="W28" s="829">
        <v>23</v>
      </c>
      <c r="X28" s="829">
        <v>21</v>
      </c>
      <c r="Y28" s="829">
        <v>7</v>
      </c>
      <c r="Z28" s="829">
        <v>9</v>
      </c>
      <c r="AA28" s="829">
        <v>44</v>
      </c>
      <c r="AB28" s="829">
        <v>56</v>
      </c>
      <c r="AC28" s="829"/>
      <c r="AD28" s="816" t="str">
        <f t="array" ref="AD28">IF($J28="","",IF(SUM(IF(ISNUMBER(VALUE(RIGHT($AG28:$EB28,1))),VALUE(RIGHT($AG28:$EB28,1)),0))=$J28,"T","F"))</f>
        <v>T</v>
      </c>
      <c r="AE28" s="831">
        <f t="array" ref="AE28">IF($J28="","",SUM(IF(LEFT($AG28:$EB28,1)="s",1,0))-SUM(IF(RIGHT(LEFT($AG28:$EB28,2))="-",1,0)))</f>
        <v>0</v>
      </c>
      <c r="AF28" s="816">
        <f t="array" ref="AF28">IF($J28="","",SUM(IF(LEFT($AG28:$EB28,1)="X",1,0)))</f>
        <v>11</v>
      </c>
      <c r="AG28" s="891" t="s">
        <v>32</v>
      </c>
      <c r="AH28" s="891" t="s">
        <v>1877</v>
      </c>
      <c r="AI28" s="891" t="s">
        <v>34</v>
      </c>
      <c r="AJ28" s="910"/>
      <c r="AK28" s="891" t="s">
        <v>32</v>
      </c>
      <c r="AL28" s="891" t="s">
        <v>34</v>
      </c>
      <c r="AM28" s="891" t="s">
        <v>1877</v>
      </c>
      <c r="AN28" s="891" t="s">
        <v>34</v>
      </c>
      <c r="AO28" s="891" t="s">
        <v>1886</v>
      </c>
      <c r="AP28" s="891" t="s">
        <v>32</v>
      </c>
      <c r="AQ28" s="891" t="s">
        <v>1886</v>
      </c>
      <c r="AR28" s="891" t="s">
        <v>34</v>
      </c>
      <c r="AS28" s="910"/>
      <c r="AT28" s="891" t="s">
        <v>34</v>
      </c>
      <c r="AU28" s="891" t="s">
        <v>34</v>
      </c>
      <c r="AV28" s="891" t="s">
        <v>32</v>
      </c>
      <c r="AW28" s="891" t="s">
        <v>34</v>
      </c>
      <c r="AX28" s="891" t="s">
        <v>32</v>
      </c>
      <c r="AY28" s="891" t="s">
        <v>32</v>
      </c>
      <c r="AZ28" s="891" t="s">
        <v>35</v>
      </c>
      <c r="BA28" s="891" t="s">
        <v>35</v>
      </c>
      <c r="BB28" s="910"/>
      <c r="BC28" s="891" t="s">
        <v>32</v>
      </c>
      <c r="BD28" s="891" t="s">
        <v>34</v>
      </c>
      <c r="BE28" s="891" t="s">
        <v>32</v>
      </c>
      <c r="BF28" s="891" t="s">
        <v>36</v>
      </c>
      <c r="BG28" s="891" t="s">
        <v>36</v>
      </c>
      <c r="BH28" s="891"/>
      <c r="BI28" s="891" t="s">
        <v>32</v>
      </c>
      <c r="BJ28" s="891" t="s">
        <v>36</v>
      </c>
      <c r="BK28" s="891" t="s">
        <v>1877</v>
      </c>
      <c r="BL28" s="891" t="s">
        <v>1877</v>
      </c>
      <c r="BM28" s="891"/>
      <c r="BN28" s="891"/>
      <c r="BO28" s="891" t="s">
        <v>32</v>
      </c>
      <c r="BP28" s="891" t="s">
        <v>2168</v>
      </c>
      <c r="BQ28" s="891"/>
      <c r="BR28" s="891"/>
      <c r="BS28" s="891"/>
      <c r="BT28" s="891"/>
      <c r="BU28" s="891"/>
      <c r="BV28" s="891"/>
      <c r="BW28" s="891"/>
      <c r="BX28" s="891"/>
      <c r="BY28" s="896"/>
      <c r="BZ28" s="896"/>
      <c r="CA28" s="896"/>
      <c r="CB28" s="896"/>
      <c r="CC28" s="896"/>
      <c r="CD28" s="896"/>
      <c r="CE28" s="896"/>
      <c r="CF28" s="896"/>
      <c r="CG28" s="896"/>
      <c r="CH28" s="896"/>
      <c r="CI28" s="896"/>
      <c r="CJ28" s="428"/>
      <c r="CK28" s="428"/>
      <c r="CL28" s="428"/>
      <c r="CM28" s="428"/>
      <c r="CN28" s="230" t="s">
        <v>32</v>
      </c>
      <c r="CO28" s="230" t="s">
        <v>32</v>
      </c>
      <c r="CP28" s="230" t="s">
        <v>32</v>
      </c>
      <c r="CQ28" s="230" t="s">
        <v>32</v>
      </c>
      <c r="CR28" s="230" t="s">
        <v>32</v>
      </c>
      <c r="CS28" s="230" t="s">
        <v>32</v>
      </c>
      <c r="CT28" s="230" t="s">
        <v>32</v>
      </c>
    </row>
    <row r="29" spans="1:120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15</v>
      </c>
      <c r="G29" s="879" t="s">
        <v>881</v>
      </c>
      <c r="H29" s="879" t="s">
        <v>18</v>
      </c>
      <c r="I29" s="879" t="s">
        <v>891</v>
      </c>
      <c r="J29" s="846">
        <v>0</v>
      </c>
      <c r="K29" s="846">
        <v>1</v>
      </c>
      <c r="L29" s="816" t="str">
        <f t="shared" ref="L29:L32" si="38">IF(J29="","",IF(J29&gt;K29,"W",IF(J29=K29,"D",IF(J29&lt;K29,"L"))))</f>
        <v>L</v>
      </c>
      <c r="M29" s="816">
        <f t="shared" ref="M29:M32" si="39">IF(J29="","",J29+K29)</f>
        <v>1</v>
      </c>
      <c r="N29" s="816" t="str">
        <f t="shared" si="32"/>
        <v>U</v>
      </c>
      <c r="O29" s="816">
        <f t="shared" si="22"/>
        <v>0.5</v>
      </c>
      <c r="P29" s="829">
        <f t="shared" si="33"/>
        <v>-1</v>
      </c>
      <c r="Q29" s="830">
        <v>-0.48</v>
      </c>
      <c r="R29" s="871">
        <f t="shared" si="34"/>
        <v>-0.52</v>
      </c>
      <c r="S29" s="830">
        <v>2.1</v>
      </c>
      <c r="T29" s="871">
        <f t="shared" si="35"/>
        <v>-1.1000000000000001</v>
      </c>
      <c r="U29" s="868">
        <f t="shared" si="36"/>
        <v>0.81</v>
      </c>
      <c r="V29" s="868">
        <f t="shared" si="37"/>
        <v>1.29</v>
      </c>
      <c r="W29" s="829">
        <v>7</v>
      </c>
      <c r="X29" s="829">
        <v>25</v>
      </c>
      <c r="Y29" s="829">
        <v>2</v>
      </c>
      <c r="Z29" s="829">
        <v>5</v>
      </c>
      <c r="AA29" s="829">
        <v>45</v>
      </c>
      <c r="AB29" s="829">
        <v>55</v>
      </c>
      <c r="AC29" s="829"/>
      <c r="AD29" s="816" t="str">
        <f t="array" ref="AD29">IF($J29="","",IF(SUM(IF(ISNUMBER(VALUE(RIGHT($AG29:$EB29,1))),VALUE(RIGHT($AG29:$EB29,1)),0))=$J29,"T","F"))</f>
        <v>T</v>
      </c>
      <c r="AE29" s="831">
        <f t="array" ref="AE29">IF($J29="","",SUM(IF(LEFT($AG29:$EB29,1)="s",1,0))-SUM(IF(RIGHT(LEFT($AG29:$EB29,2))="-",1,0)))</f>
        <v>0</v>
      </c>
      <c r="AF29" s="816">
        <f t="array" ref="AF29">IF($J29="","",SUM(IF(LEFT($AG29:$EB29,1)="X",1,0)))</f>
        <v>11</v>
      </c>
      <c r="AG29" s="891" t="s">
        <v>32</v>
      </c>
      <c r="AH29" s="891" t="s">
        <v>1877</v>
      </c>
      <c r="AI29" s="891" t="s">
        <v>34</v>
      </c>
      <c r="AJ29" s="910"/>
      <c r="AK29" s="891" t="s">
        <v>32</v>
      </c>
      <c r="AL29" s="891" t="s">
        <v>34</v>
      </c>
      <c r="AM29" s="891" t="s">
        <v>34</v>
      </c>
      <c r="AN29" s="891" t="s">
        <v>34</v>
      </c>
      <c r="AO29" s="891" t="s">
        <v>1886</v>
      </c>
      <c r="AP29" s="891" t="s">
        <v>32</v>
      </c>
      <c r="AQ29" s="891" t="s">
        <v>1886</v>
      </c>
      <c r="AR29" s="891" t="s">
        <v>36</v>
      </c>
      <c r="AS29" s="910"/>
      <c r="AT29" s="891" t="s">
        <v>34</v>
      </c>
      <c r="AU29" s="904" t="s">
        <v>34</v>
      </c>
      <c r="AV29" s="891" t="s">
        <v>32</v>
      </c>
      <c r="AW29" s="891" t="s">
        <v>34</v>
      </c>
      <c r="AX29" s="891" t="s">
        <v>35</v>
      </c>
      <c r="AY29" s="891" t="s">
        <v>32</v>
      </c>
      <c r="AZ29" s="891" t="s">
        <v>1877</v>
      </c>
      <c r="BA29" s="891" t="s">
        <v>35</v>
      </c>
      <c r="BB29" s="910"/>
      <c r="BC29" s="891" t="s">
        <v>32</v>
      </c>
      <c r="BD29" s="904" t="s">
        <v>34</v>
      </c>
      <c r="BE29" s="891" t="s">
        <v>32</v>
      </c>
      <c r="BF29" s="891" t="s">
        <v>36</v>
      </c>
      <c r="BG29" s="891" t="s">
        <v>32</v>
      </c>
      <c r="BH29" s="891"/>
      <c r="BI29" s="891" t="s">
        <v>32</v>
      </c>
      <c r="BJ29" s="891" t="s">
        <v>36</v>
      </c>
      <c r="BK29" s="891" t="s">
        <v>1877</v>
      </c>
      <c r="BL29" s="891" t="s">
        <v>1877</v>
      </c>
      <c r="BM29" s="891"/>
      <c r="BN29" s="891"/>
      <c r="BO29" s="891" t="s">
        <v>32</v>
      </c>
      <c r="BP29" s="891" t="s">
        <v>35</v>
      </c>
      <c r="BQ29" s="891"/>
      <c r="BR29" s="891"/>
      <c r="BS29" s="891"/>
      <c r="BT29" s="891"/>
      <c r="BU29" s="891"/>
      <c r="BV29" s="891"/>
      <c r="BW29" s="891"/>
      <c r="BX29" s="891"/>
      <c r="BY29" s="896"/>
      <c r="BZ29" s="896"/>
      <c r="CA29" s="896"/>
      <c r="CB29" s="896"/>
      <c r="CC29" s="896"/>
      <c r="CD29" s="896"/>
      <c r="CE29" s="896"/>
      <c r="CF29" s="896"/>
      <c r="CG29" s="896"/>
      <c r="CH29" s="896"/>
      <c r="CI29" s="896"/>
      <c r="CJ29" s="4"/>
      <c r="CK29" s="4"/>
      <c r="CL29" s="4"/>
      <c r="CM29" s="4"/>
      <c r="CN29" s="4" t="s">
        <v>32</v>
      </c>
      <c r="CO29" s="4" t="s">
        <v>32</v>
      </c>
      <c r="CP29" s="4" t="s">
        <v>32</v>
      </c>
      <c r="CQ29" s="6" t="s">
        <v>32</v>
      </c>
      <c r="CR29" s="6" t="s">
        <v>32</v>
      </c>
      <c r="CS29" s="6" t="s">
        <v>32</v>
      </c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20"/>
    </row>
    <row r="30" spans="1:120" ht="15">
      <c r="A30" s="882">
        <v>6316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8</v>
      </c>
      <c r="G30" s="879" t="s">
        <v>880</v>
      </c>
      <c r="H30" s="879" t="s">
        <v>22</v>
      </c>
      <c r="I30" s="879" t="s">
        <v>891</v>
      </c>
      <c r="J30" s="846">
        <v>2</v>
      </c>
      <c r="K30" s="846">
        <v>0</v>
      </c>
      <c r="L30" s="816" t="str">
        <f t="shared" si="38"/>
        <v>W</v>
      </c>
      <c r="M30" s="816">
        <f t="shared" si="39"/>
        <v>2</v>
      </c>
      <c r="N30" s="816" t="str">
        <f t="shared" si="32"/>
        <v>U</v>
      </c>
      <c r="O30" s="816">
        <f t="shared" si="22"/>
        <v>0.75</v>
      </c>
      <c r="P30" s="829">
        <f t="shared" si="33"/>
        <v>1</v>
      </c>
      <c r="Q30" s="830">
        <v>-0.77</v>
      </c>
      <c r="R30" s="871">
        <f t="shared" si="34"/>
        <v>2.77</v>
      </c>
      <c r="S30" s="830">
        <v>2.23</v>
      </c>
      <c r="T30" s="871">
        <f t="shared" si="35"/>
        <v>-0.22999999999999998</v>
      </c>
      <c r="U30" s="868">
        <f t="shared" si="36"/>
        <v>0.73</v>
      </c>
      <c r="V30" s="868">
        <f t="shared" si="37"/>
        <v>1.5</v>
      </c>
      <c r="W30" s="829">
        <v>14</v>
      </c>
      <c r="X30" s="829">
        <v>11</v>
      </c>
      <c r="Y30" s="829">
        <v>3</v>
      </c>
      <c r="Z30" s="829">
        <v>0</v>
      </c>
      <c r="AA30" s="829">
        <v>40</v>
      </c>
      <c r="AB30" s="829">
        <v>60</v>
      </c>
      <c r="AC30" s="829"/>
      <c r="AD30" s="816" t="str">
        <f t="array" ref="AD30">IF($J30="","",IF(SUM(IF(ISNUMBER(VALUE(RIGHT($AG30:$EB30,1))),VALUE(RIGHT($AG30:$EB30,1)),0))=$J30,"T","F"))</f>
        <v>T</v>
      </c>
      <c r="AE30" s="831">
        <f t="array" ref="AE30">IF($J30="","",SUM(IF(LEFT($AG30:$EB30,1)="s",1,0))-SUM(IF(RIGHT(LEFT($AG30:$EB30,2))="-",1,0)))</f>
        <v>0</v>
      </c>
      <c r="AF30" s="816">
        <f t="array" ref="AF30">IF($J30="","",SUM(IF(LEFT($AG30:$EB30,1)="X",1,0)))</f>
        <v>11</v>
      </c>
      <c r="AG30" s="891" t="s">
        <v>32</v>
      </c>
      <c r="AH30" s="891" t="s">
        <v>1877</v>
      </c>
      <c r="AI30" s="891" t="s">
        <v>34</v>
      </c>
      <c r="AJ30" s="910"/>
      <c r="AK30" s="891" t="s">
        <v>32</v>
      </c>
      <c r="AL30" s="904" t="s">
        <v>34</v>
      </c>
      <c r="AM30" s="891" t="s">
        <v>34</v>
      </c>
      <c r="AN30" s="891" t="s">
        <v>34</v>
      </c>
      <c r="AO30" s="891" t="s">
        <v>1886</v>
      </c>
      <c r="AP30" s="891" t="s">
        <v>32</v>
      </c>
      <c r="AQ30" s="891" t="s">
        <v>1886</v>
      </c>
      <c r="AR30" s="891" t="s">
        <v>36</v>
      </c>
      <c r="AS30" s="910"/>
      <c r="AT30" s="891" t="s">
        <v>34</v>
      </c>
      <c r="AU30" s="891" t="s">
        <v>34</v>
      </c>
      <c r="AV30" s="891" t="s">
        <v>32</v>
      </c>
      <c r="AW30" s="891" t="s">
        <v>2243</v>
      </c>
      <c r="AX30" s="891" t="s">
        <v>32</v>
      </c>
      <c r="AY30" s="891" t="s">
        <v>32</v>
      </c>
      <c r="AZ30" s="891" t="s">
        <v>32</v>
      </c>
      <c r="BA30" s="891" t="s">
        <v>34</v>
      </c>
      <c r="BB30" s="910"/>
      <c r="BC30" s="891" t="s">
        <v>32</v>
      </c>
      <c r="BD30" s="891" t="s">
        <v>35</v>
      </c>
      <c r="BE30" s="891" t="s">
        <v>32</v>
      </c>
      <c r="BF30" s="891" t="s">
        <v>2232</v>
      </c>
      <c r="BG30" s="891" t="s">
        <v>32</v>
      </c>
      <c r="BH30" s="891"/>
      <c r="BI30" s="891" t="s">
        <v>35</v>
      </c>
      <c r="BJ30" s="906" t="s">
        <v>2236</v>
      </c>
      <c r="BK30" s="891" t="s">
        <v>1877</v>
      </c>
      <c r="BL30" s="891" t="s">
        <v>1877</v>
      </c>
      <c r="BM30" s="891"/>
      <c r="BN30" s="891"/>
      <c r="BO30" s="891" t="s">
        <v>32</v>
      </c>
      <c r="BP30" s="904" t="s">
        <v>36</v>
      </c>
      <c r="BQ30" s="891"/>
      <c r="BR30" s="891"/>
      <c r="BS30" s="891"/>
      <c r="BT30" s="891"/>
      <c r="BU30" s="891"/>
      <c r="BV30" s="891"/>
      <c r="BW30" s="891"/>
      <c r="BX30" s="891"/>
      <c r="BY30" s="896"/>
      <c r="BZ30" s="896"/>
      <c r="CA30" s="896"/>
      <c r="CB30" s="896"/>
      <c r="CC30" s="896"/>
      <c r="CD30" s="896"/>
      <c r="CE30" s="896"/>
      <c r="CF30" s="896"/>
      <c r="CG30" s="896"/>
      <c r="CH30" s="896"/>
      <c r="CI30" s="896"/>
      <c r="CJ30" s="865"/>
      <c r="CK30" s="865"/>
      <c r="CL30" s="865"/>
      <c r="CM30" s="865"/>
      <c r="CN30" s="865" t="s">
        <v>32</v>
      </c>
      <c r="CO30" s="865" t="s">
        <v>32</v>
      </c>
      <c r="CP30" s="865" t="s">
        <v>32</v>
      </c>
      <c r="CQ30" s="4" t="s">
        <v>32</v>
      </c>
      <c r="CR30" s="6" t="s">
        <v>32</v>
      </c>
      <c r="CS30" s="6" t="s">
        <v>32</v>
      </c>
      <c r="CT30" s="6" t="s">
        <v>32</v>
      </c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</row>
    <row r="31" spans="1:120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17</v>
      </c>
      <c r="G31" s="879" t="s">
        <v>875</v>
      </c>
      <c r="H31" s="879" t="s">
        <v>18</v>
      </c>
      <c r="I31" s="879" t="s">
        <v>891</v>
      </c>
      <c r="J31" s="846">
        <v>2</v>
      </c>
      <c r="K31" s="846">
        <v>0</v>
      </c>
      <c r="L31" s="816" t="str">
        <f t="shared" si="38"/>
        <v>W</v>
      </c>
      <c r="M31" s="816">
        <f t="shared" si="39"/>
        <v>2</v>
      </c>
      <c r="N31" s="816" t="str">
        <f t="shared" si="32"/>
        <v>U</v>
      </c>
      <c r="O31" s="816">
        <f t="shared" si="22"/>
        <v>0.25</v>
      </c>
      <c r="P31" s="829">
        <f t="shared" si="33"/>
        <v>1</v>
      </c>
      <c r="Q31" s="830">
        <v>-0.24</v>
      </c>
      <c r="R31" s="871">
        <f t="shared" si="34"/>
        <v>2.2400000000000002</v>
      </c>
      <c r="S31" s="830">
        <v>2.12</v>
      </c>
      <c r="T31" s="871">
        <f t="shared" si="35"/>
        <v>-0.12000000000000011</v>
      </c>
      <c r="U31" s="868">
        <f t="shared" si="36"/>
        <v>0.94000000000000006</v>
      </c>
      <c r="V31" s="868">
        <f t="shared" si="37"/>
        <v>1.1800000000000002</v>
      </c>
      <c r="W31" s="829">
        <v>13</v>
      </c>
      <c r="X31" s="829">
        <v>18</v>
      </c>
      <c r="Y31" s="829">
        <v>4</v>
      </c>
      <c r="Z31" s="829">
        <v>2</v>
      </c>
      <c r="AA31" s="829">
        <v>50</v>
      </c>
      <c r="AB31" s="829">
        <v>50</v>
      </c>
      <c r="AC31" s="829"/>
      <c r="AD31" s="816" t="str">
        <f t="array" ref="AD31">IF($J31="","",IF(SUM(IF(ISNUMBER(VALUE(RIGHT($AG31:$EB31,1))),VALUE(RIGHT($AG31:$EB31,1)),0))=$J31,"T","F"))</f>
        <v>T</v>
      </c>
      <c r="AE31" s="831">
        <f t="array" ref="AE31">IF($J31="","",SUM(IF(LEFT($AG31:$EB31,1)="s",1,0))-SUM(IF(RIGHT(LEFT($AG31:$EB31,2))="-",1,0)))</f>
        <v>0</v>
      </c>
      <c r="AF31" s="816">
        <f t="array" ref="AF31">IF($J31="","",SUM(IF(LEFT($AG31:$EB31,1)="X",1,0)))</f>
        <v>11</v>
      </c>
      <c r="AG31" s="891" t="s">
        <v>32</v>
      </c>
      <c r="AH31" s="891" t="s">
        <v>1877</v>
      </c>
      <c r="AI31" s="891" t="s">
        <v>34</v>
      </c>
      <c r="AJ31" s="910"/>
      <c r="AK31" s="891" t="s">
        <v>32</v>
      </c>
      <c r="AL31" s="891" t="s">
        <v>34</v>
      </c>
      <c r="AM31" s="891" t="s">
        <v>34</v>
      </c>
      <c r="AN31" s="904" t="s">
        <v>34</v>
      </c>
      <c r="AO31" s="891" t="s">
        <v>1886</v>
      </c>
      <c r="AP31" s="891" t="s">
        <v>32</v>
      </c>
      <c r="AQ31" s="891" t="s">
        <v>36</v>
      </c>
      <c r="AR31" s="891" t="s">
        <v>1877</v>
      </c>
      <c r="AS31" s="910"/>
      <c r="AT31" s="891" t="s">
        <v>35</v>
      </c>
      <c r="AU31" s="891" t="s">
        <v>34</v>
      </c>
      <c r="AV31" s="891" t="s">
        <v>32</v>
      </c>
      <c r="AW31" s="891" t="s">
        <v>34</v>
      </c>
      <c r="AX31" s="891" t="s">
        <v>32</v>
      </c>
      <c r="AY31" s="891" t="s">
        <v>32</v>
      </c>
      <c r="AZ31" s="891" t="s">
        <v>32</v>
      </c>
      <c r="BA31" s="891" t="s">
        <v>2326</v>
      </c>
      <c r="BB31" s="910"/>
      <c r="BC31" s="891" t="s">
        <v>1877</v>
      </c>
      <c r="BD31" s="891" t="s">
        <v>2400</v>
      </c>
      <c r="BE31" s="891" t="s">
        <v>35</v>
      </c>
      <c r="BF31" s="891" t="s">
        <v>2327</v>
      </c>
      <c r="BG31" s="891" t="s">
        <v>32</v>
      </c>
      <c r="BH31" s="891"/>
      <c r="BI31" s="891" t="s">
        <v>34</v>
      </c>
      <c r="BJ31" s="891" t="s">
        <v>36</v>
      </c>
      <c r="BK31" s="891" t="s">
        <v>32</v>
      </c>
      <c r="BL31" s="891" t="s">
        <v>1877</v>
      </c>
      <c r="BM31" s="891" t="s">
        <v>36</v>
      </c>
      <c r="BN31" s="891"/>
      <c r="BO31" s="891" t="s">
        <v>32</v>
      </c>
      <c r="BP31" s="891" t="s">
        <v>32</v>
      </c>
      <c r="BQ31" s="891"/>
      <c r="BR31" s="891"/>
      <c r="BS31" s="891"/>
      <c r="BT31" s="891"/>
      <c r="BU31" s="891"/>
      <c r="BV31" s="891"/>
      <c r="BW31" s="891"/>
      <c r="BX31" s="891"/>
      <c r="BY31" s="896"/>
      <c r="BZ31" s="896"/>
      <c r="CA31" s="896"/>
      <c r="CB31" s="896"/>
      <c r="CC31" s="896"/>
      <c r="CD31" s="896"/>
      <c r="CE31" s="896"/>
      <c r="CF31" s="896"/>
      <c r="CG31" s="896"/>
      <c r="CH31" s="896"/>
      <c r="CI31" s="896"/>
      <c r="CJ31" s="4"/>
      <c r="CK31" s="4"/>
      <c r="CL31" s="4"/>
      <c r="CM31" s="4"/>
      <c r="CN31" s="4" t="s">
        <v>32</v>
      </c>
      <c r="CO31" s="4" t="s">
        <v>32</v>
      </c>
      <c r="CP31" s="4" t="s">
        <v>32</v>
      </c>
      <c r="CQ31" s="4" t="s">
        <v>32</v>
      </c>
      <c r="CR31" s="6" t="s">
        <v>32</v>
      </c>
      <c r="CS31" s="6" t="s">
        <v>32</v>
      </c>
      <c r="CT31" s="6" t="s">
        <v>32</v>
      </c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</row>
    <row r="32" spans="1:120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10</v>
      </c>
      <c r="G32" s="879" t="s">
        <v>883</v>
      </c>
      <c r="H32" s="879" t="s">
        <v>22</v>
      </c>
      <c r="I32" s="879" t="s">
        <v>891</v>
      </c>
      <c r="J32" s="846">
        <v>1</v>
      </c>
      <c r="K32" s="846">
        <v>4</v>
      </c>
      <c r="L32" s="816" t="str">
        <f t="shared" si="38"/>
        <v>L</v>
      </c>
      <c r="M32" s="816">
        <f t="shared" si="39"/>
        <v>5</v>
      </c>
      <c r="N32" s="816" t="str">
        <f t="shared" si="32"/>
        <v>O</v>
      </c>
      <c r="O32" s="816">
        <f t="shared" si="22"/>
        <v>0</v>
      </c>
      <c r="P32" s="829">
        <f t="shared" si="33"/>
        <v>-1</v>
      </c>
      <c r="Q32" s="830">
        <v>-0.13</v>
      </c>
      <c r="R32" s="871">
        <f t="shared" si="34"/>
        <v>-2.87</v>
      </c>
      <c r="S32" s="830">
        <v>2.13</v>
      </c>
      <c r="T32" s="871">
        <f t="shared" si="35"/>
        <v>2.87</v>
      </c>
      <c r="U32" s="868">
        <f t="shared" si="36"/>
        <v>1</v>
      </c>
      <c r="V32" s="868">
        <f t="shared" si="37"/>
        <v>1.1299999999999999</v>
      </c>
      <c r="W32" s="829">
        <v>9</v>
      </c>
      <c r="X32" s="829">
        <v>18</v>
      </c>
      <c r="Y32" s="829">
        <v>3</v>
      </c>
      <c r="Z32" s="829">
        <v>7</v>
      </c>
      <c r="AA32" s="829">
        <v>48</v>
      </c>
      <c r="AB32" s="829">
        <v>52</v>
      </c>
      <c r="AC32" s="829"/>
      <c r="AD32" s="816" t="str">
        <f t="array" ref="AD32">IF($J32="","",IF(SUM(IF(ISNUMBER(VALUE(RIGHT($AG32:$EB32,1))),VALUE(RIGHT($AG32:$EB32,1)),0))=$J32,"T","F"))</f>
        <v>T</v>
      </c>
      <c r="AE32" s="831">
        <f t="array" ref="AE32">IF($J32="","",SUM(IF(LEFT($AG32:$EB32,1)="s",1,0))-SUM(IF(RIGHT(LEFT($AG32:$EB32,2))="-",1,0)))</f>
        <v>0</v>
      </c>
      <c r="AF32" s="816">
        <f t="array" ref="AF32">IF($J32="","",SUM(IF(LEFT($AG32:$EB32,1)="X",1,0)))</f>
        <v>11</v>
      </c>
      <c r="AG32" s="891" t="s">
        <v>2351</v>
      </c>
      <c r="AH32" s="891" t="s">
        <v>2341</v>
      </c>
      <c r="AI32" s="891" t="s">
        <v>2409</v>
      </c>
      <c r="AJ32" s="910"/>
      <c r="AK32" s="891"/>
      <c r="AL32" s="891" t="s">
        <v>2340</v>
      </c>
      <c r="AM32" s="904" t="s">
        <v>2340</v>
      </c>
      <c r="AN32" s="891" t="s">
        <v>2340</v>
      </c>
      <c r="AO32" s="891" t="s">
        <v>2124</v>
      </c>
      <c r="AP32" s="891"/>
      <c r="AQ32" s="891" t="s">
        <v>2351</v>
      </c>
      <c r="AR32" s="891" t="s">
        <v>2351</v>
      </c>
      <c r="AS32" s="910"/>
      <c r="AT32" s="891" t="s">
        <v>2340</v>
      </c>
      <c r="AU32" s="891" t="s">
        <v>2379</v>
      </c>
      <c r="AV32" s="891"/>
      <c r="AW32" s="891" t="s">
        <v>2340</v>
      </c>
      <c r="AX32" s="891"/>
      <c r="AY32" s="891"/>
      <c r="AZ32" s="891" t="s">
        <v>1886</v>
      </c>
      <c r="BA32" s="891" t="s">
        <v>2340</v>
      </c>
      <c r="BB32" s="910"/>
      <c r="BC32" s="891"/>
      <c r="BD32" s="891" t="s">
        <v>2400</v>
      </c>
      <c r="BE32" s="891" t="s">
        <v>2381</v>
      </c>
      <c r="BF32" s="891" t="s">
        <v>871</v>
      </c>
      <c r="BG32" s="891"/>
      <c r="BH32" s="891"/>
      <c r="BI32" s="891" t="s">
        <v>2340</v>
      </c>
      <c r="BJ32" s="891" t="s">
        <v>2350</v>
      </c>
      <c r="BK32" s="891" t="s">
        <v>1886</v>
      </c>
      <c r="BL32" s="891" t="s">
        <v>2351</v>
      </c>
      <c r="BM32" s="891" t="s">
        <v>2350</v>
      </c>
      <c r="BN32" s="891"/>
      <c r="BO32" s="891"/>
      <c r="BP32" s="891" t="s">
        <v>2350</v>
      </c>
      <c r="BQ32" s="891"/>
      <c r="BR32" s="891"/>
      <c r="BS32" s="891"/>
      <c r="BT32" s="891"/>
      <c r="BU32" s="891"/>
      <c r="BV32" s="891"/>
      <c r="BW32" s="891"/>
      <c r="BX32" s="891"/>
      <c r="BY32" s="896"/>
      <c r="BZ32" s="896"/>
      <c r="CA32" s="896"/>
      <c r="CB32" s="896"/>
      <c r="CC32" s="896"/>
      <c r="CD32" s="896"/>
      <c r="CE32" s="896"/>
      <c r="CF32" s="896"/>
      <c r="CG32" s="896"/>
      <c r="CH32" s="896"/>
      <c r="CI32" s="891"/>
      <c r="CJ32" s="4"/>
      <c r="CK32" s="4"/>
      <c r="CL32" s="4"/>
      <c r="CM32" s="4"/>
      <c r="CN32" s="4" t="s">
        <v>32</v>
      </c>
      <c r="CO32" s="4" t="s">
        <v>32</v>
      </c>
      <c r="CP32" s="4" t="s">
        <v>32</v>
      </c>
      <c r="CQ32" s="4" t="s">
        <v>32</v>
      </c>
      <c r="CR32" s="6" t="s">
        <v>32</v>
      </c>
      <c r="CS32" s="6" t="s">
        <v>32</v>
      </c>
      <c r="CT32" s="6" t="s">
        <v>32</v>
      </c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</row>
    <row r="33" spans="1:125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16</v>
      </c>
      <c r="G33" s="879" t="s">
        <v>872</v>
      </c>
      <c r="H33" s="879" t="s">
        <v>18</v>
      </c>
      <c r="I33" s="879" t="s">
        <v>891</v>
      </c>
      <c r="J33" s="846">
        <v>1</v>
      </c>
      <c r="K33" s="846">
        <v>2</v>
      </c>
      <c r="L33" s="816" t="str">
        <f t="shared" ref="L33:L66" si="40">IF(J33="","",IF(J33&gt;K33,"W",IF(J33=K33,"D",IF(J33&lt;K33,"L"))))</f>
        <v>L</v>
      </c>
      <c r="M33" s="816">
        <f t="shared" ref="M33:M66" si="41">IF(J33="","",J33+K33)</f>
        <v>3</v>
      </c>
      <c r="N33" s="816" t="str">
        <f t="shared" ref="N33:N66" si="42">IF($J33="","",IF($M33&gt;N$19,"O",IF($M33&lt;N$19,"U",IF($M33=N$19,"-"))))</f>
        <v>O</v>
      </c>
      <c r="O33" s="816">
        <f t="shared" si="22"/>
        <v>0.5</v>
      </c>
      <c r="P33" s="829">
        <f t="shared" si="33"/>
        <v>-1</v>
      </c>
      <c r="Q33" s="830">
        <v>-0.7</v>
      </c>
      <c r="R33" s="871">
        <f t="shared" ref="R33:R43" si="43">IF(ISBLANK(Q33),"",J33-K33-Q33)</f>
        <v>-0.30000000000000004</v>
      </c>
      <c r="S33" s="830">
        <v>2.4500000000000002</v>
      </c>
      <c r="T33" s="871">
        <f t="shared" si="35"/>
        <v>0.54999999999999982</v>
      </c>
      <c r="U33" s="868">
        <f t="shared" si="36"/>
        <v>0.87500000000000011</v>
      </c>
      <c r="V33" s="868">
        <f t="shared" si="37"/>
        <v>1.5750000000000002</v>
      </c>
      <c r="W33" s="829">
        <v>6</v>
      </c>
      <c r="X33" s="829">
        <v>16</v>
      </c>
      <c r="Y33" s="829">
        <v>2</v>
      </c>
      <c r="Z33" s="829">
        <v>4</v>
      </c>
      <c r="AA33" s="829">
        <v>46</v>
      </c>
      <c r="AB33" s="829">
        <v>54</v>
      </c>
      <c r="AC33" s="829"/>
      <c r="AD33" s="816" t="str">
        <f t="array" ref="AD33">IF($J33="","",IF(SUM(IF(ISNUMBER(VALUE(RIGHT($AG33:$EB33,1))),VALUE(RIGHT($AG33:$EB33,1)),0))=$J33,"T","F"))</f>
        <v>T</v>
      </c>
      <c r="AE33" s="831">
        <f t="array" ref="AE33">IF($J33="","",SUM(IF(LEFT($AG33:$EB33,1)="s",1,0))-SUM(IF(RIGHT(LEFT($AG33:$EB33,2))="-",1,0)))</f>
        <v>0</v>
      </c>
      <c r="AF33" s="816">
        <f t="array" ref="AF33">IF($J33="","",SUM(IF(LEFT($AG33:$EB33,1)="X",1,0)))</f>
        <v>11</v>
      </c>
      <c r="AG33" s="891" t="s">
        <v>1877</v>
      </c>
      <c r="AH33" s="891" t="s">
        <v>34</v>
      </c>
      <c r="AI33" s="891" t="s">
        <v>1886</v>
      </c>
      <c r="AJ33" s="910"/>
      <c r="AK33" s="891" t="s">
        <v>32</v>
      </c>
      <c r="AL33" s="891" t="s">
        <v>1877</v>
      </c>
      <c r="AM33" s="891" t="s">
        <v>34</v>
      </c>
      <c r="AN33" s="891" t="s">
        <v>34</v>
      </c>
      <c r="AO33" s="891" t="s">
        <v>1886</v>
      </c>
      <c r="AP33" s="891" t="s">
        <v>32</v>
      </c>
      <c r="AQ33" s="891" t="s">
        <v>34</v>
      </c>
      <c r="AR33" s="891" t="s">
        <v>1877</v>
      </c>
      <c r="AS33" s="910"/>
      <c r="AT33" s="891" t="s">
        <v>34</v>
      </c>
      <c r="AU33" s="891" t="s">
        <v>35</v>
      </c>
      <c r="AV33" s="891" t="s">
        <v>32</v>
      </c>
      <c r="AW33" s="891" t="s">
        <v>34</v>
      </c>
      <c r="AX33" s="891" t="s">
        <v>1877</v>
      </c>
      <c r="AY33" s="891" t="s">
        <v>32</v>
      </c>
      <c r="AZ33" s="891" t="s">
        <v>1886</v>
      </c>
      <c r="BA33" s="891" t="s">
        <v>35</v>
      </c>
      <c r="BB33" s="910"/>
      <c r="BC33" s="891" t="s">
        <v>32</v>
      </c>
      <c r="BD33" s="891" t="s">
        <v>1886</v>
      </c>
      <c r="BE33" s="891" t="s">
        <v>32</v>
      </c>
      <c r="BF33" s="891" t="s">
        <v>35</v>
      </c>
      <c r="BG33" s="891" t="s">
        <v>36</v>
      </c>
      <c r="BH33" s="891"/>
      <c r="BI33" s="891" t="s">
        <v>36</v>
      </c>
      <c r="BJ33" s="891" t="s">
        <v>34</v>
      </c>
      <c r="BK33" s="891" t="s">
        <v>1886</v>
      </c>
      <c r="BL33" s="891" t="s">
        <v>32</v>
      </c>
      <c r="BM33" s="891" t="s">
        <v>36</v>
      </c>
      <c r="BN33" s="891"/>
      <c r="BO33" s="891" t="s">
        <v>32</v>
      </c>
      <c r="BP33" s="891" t="s">
        <v>2419</v>
      </c>
      <c r="BQ33" s="891"/>
      <c r="BR33" s="891"/>
      <c r="BS33" s="891"/>
      <c r="BT33" s="891"/>
      <c r="BU33" s="891"/>
      <c r="BV33" s="891"/>
      <c r="BW33" s="891"/>
      <c r="BX33" s="891"/>
      <c r="BY33" s="896"/>
      <c r="BZ33" s="896"/>
      <c r="CA33" s="896"/>
      <c r="CB33" s="896"/>
      <c r="CC33" s="896"/>
      <c r="CD33" s="896"/>
      <c r="CE33" s="896"/>
      <c r="CF33" s="896"/>
      <c r="CG33" s="896"/>
      <c r="CH33" s="896"/>
      <c r="CI33" s="896"/>
      <c r="CJ33" s="428"/>
      <c r="CK33" s="428"/>
      <c r="CL33" s="428"/>
      <c r="CM33" s="428"/>
      <c r="CQ33" s="4" t="s">
        <v>32</v>
      </c>
      <c r="CR33" s="6" t="s">
        <v>32</v>
      </c>
      <c r="CS33" s="6" t="s">
        <v>32</v>
      </c>
      <c r="CT33" s="6" t="s">
        <v>32</v>
      </c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</row>
    <row r="34" spans="1:125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22</v>
      </c>
      <c r="G34" s="879" t="s">
        <v>1087</v>
      </c>
      <c r="H34" s="879" t="s">
        <v>22</v>
      </c>
      <c r="I34" s="879" t="s">
        <v>891</v>
      </c>
      <c r="J34" s="846">
        <v>1</v>
      </c>
      <c r="K34" s="846">
        <v>2</v>
      </c>
      <c r="L34" s="816" t="str">
        <f t="shared" si="40"/>
        <v>L</v>
      </c>
      <c r="M34" s="816">
        <f t="shared" si="41"/>
        <v>3</v>
      </c>
      <c r="N34" s="816" t="str">
        <f t="shared" si="42"/>
        <v>O</v>
      </c>
      <c r="O34" s="816">
        <f t="shared" si="22"/>
        <v>-0.25</v>
      </c>
      <c r="P34" s="829">
        <f t="shared" si="33"/>
        <v>-1</v>
      </c>
      <c r="Q34" s="830">
        <v>0.24</v>
      </c>
      <c r="R34" s="871">
        <f t="shared" si="43"/>
        <v>-1.24</v>
      </c>
      <c r="S34" s="830">
        <v>2.36</v>
      </c>
      <c r="T34" s="871">
        <f t="shared" si="35"/>
        <v>0.64000000000000012</v>
      </c>
      <c r="U34" s="868">
        <f t="shared" si="36"/>
        <v>1.2999999999999998</v>
      </c>
      <c r="V34" s="868">
        <f t="shared" si="37"/>
        <v>1.06</v>
      </c>
      <c r="W34" s="829">
        <v>11</v>
      </c>
      <c r="X34" s="829">
        <v>15</v>
      </c>
      <c r="Y34" s="829">
        <v>6</v>
      </c>
      <c r="Z34" s="829">
        <v>4</v>
      </c>
      <c r="AA34" s="829">
        <v>51</v>
      </c>
      <c r="AB34" s="829">
        <v>49</v>
      </c>
      <c r="AC34" s="829"/>
      <c r="AD34" s="816" t="str">
        <f t="array" ref="AD34">IF($J34="","",IF(SUM(IF(ISNUMBER(VALUE(RIGHT($AG34:$EB34,1))),VALUE(RIGHT($AG34:$EB34,1)),0))=$J34,"T","F"))</f>
        <v>T</v>
      </c>
      <c r="AE34" s="831">
        <f t="array" ref="AE34">IF($J34="","",SUM(IF(LEFT($AG34:$EB34,1)="s",1,0))-SUM(IF(RIGHT(LEFT($AG34:$EB34,2))="-",1,0)))</f>
        <v>0</v>
      </c>
      <c r="AF34" s="816">
        <f t="array" ref="AF34">IF($J34="","",SUM(IF(LEFT($AG34:$EB34,1)="X",1,0)))</f>
        <v>11</v>
      </c>
      <c r="AG34" s="891" t="s">
        <v>1877</v>
      </c>
      <c r="AH34" s="891" t="s">
        <v>34</v>
      </c>
      <c r="AI34" s="891" t="s">
        <v>1886</v>
      </c>
      <c r="AJ34" s="910"/>
      <c r="AK34" s="891" t="s">
        <v>32</v>
      </c>
      <c r="AL34" s="891" t="s">
        <v>34</v>
      </c>
      <c r="AM34" s="906" t="s">
        <v>2446</v>
      </c>
      <c r="AN34" s="904" t="s">
        <v>34</v>
      </c>
      <c r="AO34" s="891" t="s">
        <v>1886</v>
      </c>
      <c r="AP34" s="891" t="s">
        <v>32</v>
      </c>
      <c r="AQ34" s="891" t="s">
        <v>35</v>
      </c>
      <c r="AR34" s="891" t="s">
        <v>1877</v>
      </c>
      <c r="AS34" s="910"/>
      <c r="AT34" s="904" t="s">
        <v>34</v>
      </c>
      <c r="AU34" s="891" t="s">
        <v>34</v>
      </c>
      <c r="AV34" s="891" t="s">
        <v>32</v>
      </c>
      <c r="AW34" s="891" t="s">
        <v>32</v>
      </c>
      <c r="AX34" s="891" t="s">
        <v>32</v>
      </c>
      <c r="AY34" s="891" t="s">
        <v>32</v>
      </c>
      <c r="AZ34" s="891" t="s">
        <v>1877</v>
      </c>
      <c r="BA34" s="891" t="s">
        <v>36</v>
      </c>
      <c r="BB34" s="910"/>
      <c r="BC34" s="891" t="s">
        <v>32</v>
      </c>
      <c r="BD34" s="891" t="s">
        <v>1886</v>
      </c>
      <c r="BE34" s="891" t="s">
        <v>34</v>
      </c>
      <c r="BF34" s="891" t="s">
        <v>2450</v>
      </c>
      <c r="BG34" s="891" t="s">
        <v>32</v>
      </c>
      <c r="BH34" s="891"/>
      <c r="BI34" s="891" t="s">
        <v>34</v>
      </c>
      <c r="BJ34" s="891" t="s">
        <v>36</v>
      </c>
      <c r="BK34" s="891" t="s">
        <v>1886</v>
      </c>
      <c r="BL34" s="891" t="s">
        <v>34</v>
      </c>
      <c r="BM34" s="891" t="s">
        <v>1877</v>
      </c>
      <c r="BN34" s="891"/>
      <c r="BO34" s="891" t="s">
        <v>32</v>
      </c>
      <c r="BP34" s="891" t="s">
        <v>35</v>
      </c>
      <c r="BQ34" s="891"/>
      <c r="BR34" s="891"/>
      <c r="BS34" s="891"/>
      <c r="BT34" s="891"/>
      <c r="BU34" s="891"/>
      <c r="BV34" s="891"/>
      <c r="BW34" s="891"/>
      <c r="BX34" s="891"/>
      <c r="BY34" s="891"/>
      <c r="BZ34" s="891"/>
      <c r="CA34" s="891"/>
      <c r="CB34" s="891"/>
      <c r="CC34" s="891"/>
      <c r="CD34" s="891"/>
      <c r="CE34" s="891"/>
      <c r="CF34" s="891"/>
      <c r="CG34" s="896"/>
      <c r="CH34" s="896"/>
      <c r="CI34" s="896"/>
      <c r="CJ34" s="428"/>
      <c r="CK34" s="428"/>
      <c r="CL34" s="428"/>
      <c r="CM34" s="428"/>
      <c r="CN34" s="230" t="s">
        <v>32</v>
      </c>
      <c r="CO34" s="230" t="s">
        <v>32</v>
      </c>
      <c r="CP34" s="230" t="s">
        <v>32</v>
      </c>
      <c r="CQ34" s="230" t="s">
        <v>32</v>
      </c>
      <c r="CR34" s="230" t="s">
        <v>32</v>
      </c>
      <c r="CS34" s="230" t="s">
        <v>32</v>
      </c>
      <c r="CT34" s="230" t="s">
        <v>32</v>
      </c>
    </row>
    <row r="35" spans="1:125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</v>
      </c>
      <c r="G35" s="879" t="s">
        <v>1086</v>
      </c>
      <c r="H35" s="879" t="s">
        <v>22</v>
      </c>
      <c r="I35" s="879" t="s">
        <v>891</v>
      </c>
      <c r="J35" s="846">
        <v>0</v>
      </c>
      <c r="K35" s="846">
        <v>1</v>
      </c>
      <c r="L35" s="816" t="str">
        <f t="shared" si="40"/>
        <v>L</v>
      </c>
      <c r="M35" s="816">
        <f t="shared" si="41"/>
        <v>1</v>
      </c>
      <c r="N35" s="816" t="str">
        <f t="shared" si="42"/>
        <v>U</v>
      </c>
      <c r="O35" s="816">
        <f t="shared" si="22"/>
        <v>0.5</v>
      </c>
      <c r="P35" s="829">
        <f t="shared" si="33"/>
        <v>-1</v>
      </c>
      <c r="Q35" s="830">
        <v>-0.6</v>
      </c>
      <c r="R35" s="871">
        <f t="shared" si="43"/>
        <v>-0.4</v>
      </c>
      <c r="S35" s="830">
        <v>2.39</v>
      </c>
      <c r="T35" s="871">
        <f t="shared" si="35"/>
        <v>-1.3900000000000001</v>
      </c>
      <c r="U35" s="868">
        <f t="shared" si="36"/>
        <v>0.89500000000000002</v>
      </c>
      <c r="V35" s="868">
        <f t="shared" si="37"/>
        <v>1.4950000000000001</v>
      </c>
      <c r="W35" s="829">
        <v>9</v>
      </c>
      <c r="X35" s="829">
        <v>10</v>
      </c>
      <c r="Y35" s="829">
        <v>2</v>
      </c>
      <c r="Z35" s="829">
        <v>3</v>
      </c>
      <c r="AA35" s="829">
        <v>47</v>
      </c>
      <c r="AB35" s="829">
        <v>53</v>
      </c>
      <c r="AC35" s="829"/>
      <c r="AD35" s="816" t="str">
        <f t="array" ref="AD35">IF($J35="","",IF(SUM(IF(ISNUMBER(VALUE(RIGHT($AG35:$EB35,1))),VALUE(RIGHT($AG35:$EB35,1)),0))=$J35,"T","F"))</f>
        <v>T</v>
      </c>
      <c r="AE35" s="831">
        <f t="array" ref="AE35">IF($J35="","",SUM(IF(LEFT($AG35:$EB35,1)="s",1,0))-SUM(IF(RIGHT(LEFT($AG35:$EB35,2))="-",1,0)))</f>
        <v>0</v>
      </c>
      <c r="AF35" s="816">
        <f t="array" ref="AF35">IF($J35="","",SUM(IF(LEFT($AG35:$EB35,1)="X",1,0)))</f>
        <v>11</v>
      </c>
      <c r="AG35" s="891" t="s">
        <v>1877</v>
      </c>
      <c r="AH35" s="891" t="s">
        <v>34</v>
      </c>
      <c r="AI35" s="891" t="s">
        <v>1886</v>
      </c>
      <c r="AJ35" s="910"/>
      <c r="AK35" s="904" t="s">
        <v>36</v>
      </c>
      <c r="AL35" s="891" t="s">
        <v>34</v>
      </c>
      <c r="AM35" s="904" t="s">
        <v>35</v>
      </c>
      <c r="AN35" s="891" t="s">
        <v>34</v>
      </c>
      <c r="AO35" s="891" t="s">
        <v>1886</v>
      </c>
      <c r="AP35" s="891" t="s">
        <v>32</v>
      </c>
      <c r="AQ35" s="891" t="s">
        <v>2482</v>
      </c>
      <c r="AR35" s="891" t="s">
        <v>1877</v>
      </c>
      <c r="AS35" s="910"/>
      <c r="AT35" s="891" t="s">
        <v>34</v>
      </c>
      <c r="AU35" s="904" t="s">
        <v>34</v>
      </c>
      <c r="AV35" s="891" t="s">
        <v>32</v>
      </c>
      <c r="AW35" s="891" t="s">
        <v>35</v>
      </c>
      <c r="AX35" s="891" t="s">
        <v>32</v>
      </c>
      <c r="AY35" s="891" t="s">
        <v>32</v>
      </c>
      <c r="AZ35" s="891" t="s">
        <v>36</v>
      </c>
      <c r="BA35" s="891" t="s">
        <v>34</v>
      </c>
      <c r="BB35" s="910"/>
      <c r="BC35" s="891" t="s">
        <v>32</v>
      </c>
      <c r="BD35" s="904" t="s">
        <v>36</v>
      </c>
      <c r="BE35" s="891" t="s">
        <v>32</v>
      </c>
      <c r="BF35" s="891" t="s">
        <v>34</v>
      </c>
      <c r="BG35" s="891" t="s">
        <v>32</v>
      </c>
      <c r="BH35" s="891"/>
      <c r="BI35" s="904" t="s">
        <v>34</v>
      </c>
      <c r="BJ35" s="891" t="s">
        <v>1877</v>
      </c>
      <c r="BK35" s="891" t="s">
        <v>1886</v>
      </c>
      <c r="BL35" s="891" t="s">
        <v>32</v>
      </c>
      <c r="BM35" s="891" t="s">
        <v>35</v>
      </c>
      <c r="BN35" s="891"/>
      <c r="BO35" s="891" t="s">
        <v>32</v>
      </c>
      <c r="BP35" s="891" t="s">
        <v>1877</v>
      </c>
      <c r="BQ35" s="891"/>
      <c r="BR35" s="891"/>
      <c r="BS35" s="891"/>
      <c r="BT35" s="891"/>
      <c r="BU35" s="891"/>
      <c r="BV35" s="891"/>
      <c r="BW35" s="891"/>
      <c r="BX35" s="896"/>
      <c r="BY35" s="896"/>
      <c r="BZ35" s="896"/>
      <c r="CA35" s="896"/>
      <c r="CB35" s="896"/>
      <c r="CC35" s="896"/>
      <c r="CD35" s="896"/>
      <c r="CE35" s="896"/>
      <c r="CF35" s="896"/>
      <c r="CG35" s="896"/>
      <c r="CH35" s="896"/>
      <c r="CI35" s="896"/>
      <c r="CJ35" s="428"/>
      <c r="CK35" s="428"/>
      <c r="CL35" s="428"/>
      <c r="CM35" s="428"/>
      <c r="CR35" s="4" t="s">
        <v>32</v>
      </c>
      <c r="CS35" s="4" t="s">
        <v>32</v>
      </c>
      <c r="CT35" s="4" t="s">
        <v>32</v>
      </c>
      <c r="CU35" s="4" t="s">
        <v>32</v>
      </c>
      <c r="CV35" s="4" t="s">
        <v>32</v>
      </c>
      <c r="CW35" s="4" t="s">
        <v>32</v>
      </c>
      <c r="CX35" s="6" t="s">
        <v>32</v>
      </c>
      <c r="CY35" s="6" t="s">
        <v>32</v>
      </c>
      <c r="CZ35" s="6" t="s">
        <v>32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</row>
    <row r="36" spans="1:125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18</v>
      </c>
      <c r="G36" s="879" t="s">
        <v>887</v>
      </c>
      <c r="H36" s="879" t="s">
        <v>18</v>
      </c>
      <c r="I36" s="879" t="s">
        <v>891</v>
      </c>
      <c r="J36" s="846">
        <v>2</v>
      </c>
      <c r="K36" s="846">
        <v>1</v>
      </c>
      <c r="L36" s="816" t="str">
        <f t="shared" si="40"/>
        <v>W</v>
      </c>
      <c r="M36" s="816">
        <f t="shared" si="41"/>
        <v>3</v>
      </c>
      <c r="N36" s="816" t="str">
        <f t="shared" si="42"/>
        <v>O</v>
      </c>
      <c r="O36" s="816">
        <f t="shared" si="22"/>
        <v>0.75</v>
      </c>
      <c r="P36" s="829">
        <f t="shared" si="33"/>
        <v>1</v>
      </c>
      <c r="Q36" s="830">
        <v>-0.78</v>
      </c>
      <c r="R36" s="871">
        <f t="shared" si="43"/>
        <v>1.78</v>
      </c>
      <c r="S36" s="830">
        <v>2.4900000000000002</v>
      </c>
      <c r="T36" s="871">
        <f t="shared" si="35"/>
        <v>0.50999999999999979</v>
      </c>
      <c r="U36" s="868">
        <f t="shared" si="36"/>
        <v>0.85500000000000009</v>
      </c>
      <c r="V36" s="868">
        <f t="shared" si="37"/>
        <v>1.6350000000000002</v>
      </c>
      <c r="W36" s="829">
        <v>10</v>
      </c>
      <c r="X36" s="829">
        <v>21</v>
      </c>
      <c r="Y36" s="829">
        <v>5</v>
      </c>
      <c r="Z36" s="829">
        <v>8</v>
      </c>
      <c r="AA36" s="829">
        <v>32</v>
      </c>
      <c r="AB36" s="829">
        <v>68</v>
      </c>
      <c r="AC36" s="829"/>
      <c r="AD36" s="816" t="str">
        <f t="array" ref="AD36">IF($J36="","",IF(SUM(IF(ISNUMBER(VALUE(RIGHT($AG36:$EB36,1))),VALUE(RIGHT($AG36:$EB36,1)),0))=$J36,"T","F"))</f>
        <v>T</v>
      </c>
      <c r="AE36" s="831">
        <f t="array" ref="AE36">IF($J36="","",SUM(IF(LEFT($AG36:$EB36,1)="s",1,0))-SUM(IF(RIGHT(LEFT($AG36:$EB36,2))="-",1,0)))</f>
        <v>0</v>
      </c>
      <c r="AF36" s="816">
        <f t="array" ref="AF36">IF($J36="","",SUM(IF(LEFT($AG36:$EB36,1)="X",1,0)))</f>
        <v>11</v>
      </c>
      <c r="AG36" s="891" t="s">
        <v>1877</v>
      </c>
      <c r="AH36" s="904" t="s">
        <v>34</v>
      </c>
      <c r="AI36" s="891" t="s">
        <v>1886</v>
      </c>
      <c r="AJ36" s="910"/>
      <c r="AK36" s="891" t="s">
        <v>34</v>
      </c>
      <c r="AL36" s="891" t="s">
        <v>1877</v>
      </c>
      <c r="AM36" s="891" t="s">
        <v>34</v>
      </c>
      <c r="AN36" s="891" t="s">
        <v>32</v>
      </c>
      <c r="AO36" s="891" t="s">
        <v>32</v>
      </c>
      <c r="AP36" s="891" t="s">
        <v>32</v>
      </c>
      <c r="AQ36" s="891" t="s">
        <v>1885</v>
      </c>
      <c r="AR36" s="891" t="s">
        <v>34</v>
      </c>
      <c r="AS36" s="910"/>
      <c r="AT36" s="891" t="s">
        <v>34</v>
      </c>
      <c r="AU36" s="891" t="s">
        <v>2492</v>
      </c>
      <c r="AV36" s="891" t="s">
        <v>32</v>
      </c>
      <c r="AW36" s="891" t="s">
        <v>32</v>
      </c>
      <c r="AX36" s="891" t="s">
        <v>32</v>
      </c>
      <c r="AY36" s="891" t="s">
        <v>1877</v>
      </c>
      <c r="AZ36" s="891" t="s">
        <v>34</v>
      </c>
      <c r="BA36" s="891" t="s">
        <v>34</v>
      </c>
      <c r="BB36" s="910"/>
      <c r="BC36" s="891" t="s">
        <v>1877</v>
      </c>
      <c r="BD36" s="904" t="s">
        <v>2493</v>
      </c>
      <c r="BE36" s="891" t="s">
        <v>32</v>
      </c>
      <c r="BF36" s="891" t="s">
        <v>36</v>
      </c>
      <c r="BG36" s="891" t="s">
        <v>35</v>
      </c>
      <c r="BH36" s="891"/>
      <c r="BI36" s="891" t="s">
        <v>36</v>
      </c>
      <c r="BJ36" s="891" t="s">
        <v>2493</v>
      </c>
      <c r="BK36" s="891" t="s">
        <v>1886</v>
      </c>
      <c r="BL36" s="891" t="s">
        <v>34</v>
      </c>
      <c r="BM36" s="891"/>
      <c r="BN36" s="891"/>
      <c r="BO36" s="891" t="s">
        <v>32</v>
      </c>
      <c r="BP36" s="891" t="s">
        <v>36</v>
      </c>
      <c r="BQ36" s="891"/>
      <c r="BR36" s="891"/>
      <c r="BS36" s="891"/>
      <c r="BT36" s="891"/>
      <c r="BU36" s="891"/>
      <c r="BV36" s="891"/>
      <c r="BW36" s="891"/>
      <c r="BX36" s="891"/>
      <c r="BY36" s="896"/>
      <c r="BZ36" s="896"/>
      <c r="CA36" s="896"/>
      <c r="CB36" s="896"/>
      <c r="CC36" s="896"/>
      <c r="CD36" s="896"/>
      <c r="CE36" s="896"/>
      <c r="CF36" s="896"/>
      <c r="CG36" s="896"/>
      <c r="CH36" s="896"/>
      <c r="CI36" s="896"/>
      <c r="CJ36" s="428"/>
      <c r="CK36" s="428"/>
      <c r="CL36" s="428"/>
      <c r="CM36" s="428"/>
      <c r="CN36" s="230" t="s">
        <v>32</v>
      </c>
      <c r="CO36" s="230" t="s">
        <v>32</v>
      </c>
      <c r="CP36" s="230" t="s">
        <v>32</v>
      </c>
      <c r="CQ36" s="230" t="s">
        <v>32</v>
      </c>
      <c r="CR36" s="230" t="s">
        <v>32</v>
      </c>
      <c r="CS36" s="230" t="s">
        <v>32</v>
      </c>
      <c r="CT36" s="230" t="s">
        <v>32</v>
      </c>
    </row>
    <row r="37" spans="1:125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6</v>
      </c>
      <c r="G37" s="879" t="s">
        <v>876</v>
      </c>
      <c r="H37" s="879" t="s">
        <v>18</v>
      </c>
      <c r="I37" s="879" t="s">
        <v>891</v>
      </c>
      <c r="J37" s="846">
        <v>1</v>
      </c>
      <c r="K37" s="846">
        <v>1</v>
      </c>
      <c r="L37" s="816" t="str">
        <f t="shared" si="40"/>
        <v>D</v>
      </c>
      <c r="M37" s="816">
        <f t="shared" si="41"/>
        <v>2</v>
      </c>
      <c r="N37" s="816" t="str">
        <f t="shared" si="42"/>
        <v>U</v>
      </c>
      <c r="O37" s="816">
        <f t="shared" si="22"/>
        <v>0.75</v>
      </c>
      <c r="P37" s="829">
        <f t="shared" si="33"/>
        <v>1</v>
      </c>
      <c r="Q37" s="830">
        <v>-0.93</v>
      </c>
      <c r="R37" s="871">
        <f t="shared" si="43"/>
        <v>0.93</v>
      </c>
      <c r="S37" s="830">
        <v>2.66</v>
      </c>
      <c r="T37" s="871">
        <f t="shared" si="35"/>
        <v>-0.66000000000000014</v>
      </c>
      <c r="U37" s="868">
        <f t="shared" si="36"/>
        <v>0.86499999999999999</v>
      </c>
      <c r="V37" s="868">
        <f t="shared" si="37"/>
        <v>1.7950000000000002</v>
      </c>
      <c r="W37" s="829">
        <v>9</v>
      </c>
      <c r="X37" s="829">
        <v>21</v>
      </c>
      <c r="Y37" s="829">
        <v>3</v>
      </c>
      <c r="Z37" s="829">
        <v>4</v>
      </c>
      <c r="AA37" s="829">
        <v>30</v>
      </c>
      <c r="AB37" s="829">
        <v>70</v>
      </c>
      <c r="AC37" s="829"/>
      <c r="AD37" s="816" t="str">
        <f t="array" ref="AD37">IF($J37="","",IF(SUM(IF(ISNUMBER(VALUE(RIGHT($AG37:$EB37,1))),VALUE(RIGHT($AG37:$EB37,1)),0))=$J37,"T","F"))</f>
        <v>T</v>
      </c>
      <c r="AE37" s="831">
        <f t="array" ref="AE37">IF($J37="","",SUM(IF(LEFT($AG37:$EB37,1)="s",1,0))-SUM(IF(RIGHT(LEFT($AG37:$EB37,2))="-",1,0)))</f>
        <v>0</v>
      </c>
      <c r="AF37" s="816">
        <f t="array" ref="AF37">IF($J37="","",SUM(IF(LEFT($AG37:$EB37,1)="X",1,0)))</f>
        <v>11</v>
      </c>
      <c r="AG37" s="891" t="s">
        <v>1877</v>
      </c>
      <c r="AH37" s="891" t="s">
        <v>34</v>
      </c>
      <c r="AI37" s="891" t="s">
        <v>1886</v>
      </c>
      <c r="AJ37" s="910"/>
      <c r="AK37" s="891" t="s">
        <v>32</v>
      </c>
      <c r="AL37" s="891" t="s">
        <v>34</v>
      </c>
      <c r="AM37" s="891" t="s">
        <v>34</v>
      </c>
      <c r="AN37" s="891" t="s">
        <v>35</v>
      </c>
      <c r="AO37" s="891" t="s">
        <v>32</v>
      </c>
      <c r="AP37" s="891" t="s">
        <v>32</v>
      </c>
      <c r="AQ37" s="891" t="s">
        <v>32</v>
      </c>
      <c r="AR37" s="891" t="s">
        <v>36</v>
      </c>
      <c r="AS37" s="910"/>
      <c r="AT37" s="891" t="s">
        <v>34</v>
      </c>
      <c r="AU37" s="891" t="s">
        <v>34</v>
      </c>
      <c r="AV37" s="891" t="s">
        <v>32</v>
      </c>
      <c r="AW37" s="891" t="s">
        <v>32</v>
      </c>
      <c r="AX37" s="891" t="s">
        <v>32</v>
      </c>
      <c r="AY37" s="891" t="s">
        <v>1877</v>
      </c>
      <c r="AZ37" s="891" t="s">
        <v>36</v>
      </c>
      <c r="BA37" s="891" t="s">
        <v>1877</v>
      </c>
      <c r="BB37" s="910"/>
      <c r="BC37" s="891" t="s">
        <v>32</v>
      </c>
      <c r="BD37" s="891" t="s">
        <v>36</v>
      </c>
      <c r="BE37" s="891" t="s">
        <v>32</v>
      </c>
      <c r="BF37" s="891" t="s">
        <v>2505</v>
      </c>
      <c r="BG37" s="891" t="s">
        <v>1877</v>
      </c>
      <c r="BH37" s="891"/>
      <c r="BI37" s="891" t="s">
        <v>34</v>
      </c>
      <c r="BJ37" s="891" t="s">
        <v>35</v>
      </c>
      <c r="BK37" s="891" t="s">
        <v>1886</v>
      </c>
      <c r="BL37" s="891" t="s">
        <v>34</v>
      </c>
      <c r="BM37" s="891"/>
      <c r="BN37" s="891"/>
      <c r="BO37" s="891" t="s">
        <v>32</v>
      </c>
      <c r="BP37" s="891" t="s">
        <v>35</v>
      </c>
      <c r="BQ37" s="891"/>
      <c r="BR37" s="891"/>
      <c r="BS37" s="891"/>
      <c r="BT37" s="891"/>
      <c r="BU37" s="892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896"/>
      <c r="CH37" s="896"/>
      <c r="CI37" s="896"/>
      <c r="CJ37" s="428"/>
      <c r="CK37" s="428"/>
      <c r="CL37" s="428"/>
      <c r="CM37" s="428"/>
      <c r="CN37" s="230" t="s">
        <v>32</v>
      </c>
      <c r="CO37" s="230" t="s">
        <v>32</v>
      </c>
      <c r="CP37" s="230" t="s">
        <v>32</v>
      </c>
      <c r="CQ37" s="230" t="s">
        <v>32</v>
      </c>
      <c r="CR37" s="230" t="s">
        <v>32</v>
      </c>
      <c r="CS37" s="230" t="s">
        <v>32</v>
      </c>
      <c r="CT37" s="230" t="s">
        <v>32</v>
      </c>
    </row>
    <row r="38" spans="1:125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14</v>
      </c>
      <c r="G38" s="879" t="s">
        <v>873</v>
      </c>
      <c r="H38" s="879" t="s">
        <v>22</v>
      </c>
      <c r="I38" s="879" t="s">
        <v>891</v>
      </c>
      <c r="J38" s="846">
        <v>2</v>
      </c>
      <c r="K38" s="846">
        <v>3</v>
      </c>
      <c r="L38" s="816" t="str">
        <f t="shared" si="40"/>
        <v>L</v>
      </c>
      <c r="M38" s="816">
        <f t="shared" si="41"/>
        <v>5</v>
      </c>
      <c r="N38" s="816" t="str">
        <f t="shared" si="42"/>
        <v>O</v>
      </c>
      <c r="O38" s="816">
        <f t="shared" si="22"/>
        <v>0</v>
      </c>
      <c r="P38" s="829">
        <f t="shared" si="33"/>
        <v>-1</v>
      </c>
      <c r="Q38" s="830">
        <v>-7.0000000000000007E-2</v>
      </c>
      <c r="R38" s="871">
        <f t="shared" si="43"/>
        <v>-0.92999999999999994</v>
      </c>
      <c r="S38" s="830">
        <v>2.15</v>
      </c>
      <c r="T38" s="871">
        <f t="shared" si="35"/>
        <v>2.85</v>
      </c>
      <c r="U38" s="868">
        <f t="shared" si="36"/>
        <v>1.04</v>
      </c>
      <c r="V38" s="868">
        <f t="shared" si="37"/>
        <v>1.1099999999999999</v>
      </c>
      <c r="W38" s="829">
        <v>8</v>
      </c>
      <c r="X38" s="829">
        <v>16</v>
      </c>
      <c r="Y38" s="829">
        <v>3</v>
      </c>
      <c r="Z38" s="829">
        <v>10</v>
      </c>
      <c r="AA38" s="829">
        <v>46</v>
      </c>
      <c r="AB38" s="829">
        <v>54</v>
      </c>
      <c r="AC38" s="829"/>
      <c r="AD38" s="816" t="str">
        <f t="array" ref="AD38">IF($J38="","",IF(SUM(IF(ISNUMBER(VALUE(RIGHT($AG38:$EB38,1))),VALUE(RIGHT($AG38:$EB38,1)),0))=$J38,"T","F"))</f>
        <v>T</v>
      </c>
      <c r="AE38" s="831">
        <f t="array" ref="AE38">IF($J38="","",SUM(IF(LEFT($AG38:$EB38,1)="s",1,0))-SUM(IF(RIGHT(LEFT($AG38:$EB38,2))="-",1,0)))</f>
        <v>0</v>
      </c>
      <c r="AF38" s="816">
        <f t="array" ref="AF38">IF($J38="","",SUM(IF(LEFT($AG38:$EB38,1)="X",1,0)))</f>
        <v>11</v>
      </c>
      <c r="AG38" s="891" t="s">
        <v>1877</v>
      </c>
      <c r="AH38" s="891" t="s">
        <v>34</v>
      </c>
      <c r="AI38" s="891" t="s">
        <v>1886</v>
      </c>
      <c r="AJ38" s="910"/>
      <c r="AK38" s="891" t="s">
        <v>32</v>
      </c>
      <c r="AL38" s="891" t="s">
        <v>34</v>
      </c>
      <c r="AM38" s="891" t="s">
        <v>34</v>
      </c>
      <c r="AN38" s="891" t="s">
        <v>34</v>
      </c>
      <c r="AO38" s="891" t="s">
        <v>35</v>
      </c>
      <c r="AP38" s="891" t="s">
        <v>32</v>
      </c>
      <c r="AQ38" s="891" t="s">
        <v>32</v>
      </c>
      <c r="AR38" s="891" t="s">
        <v>1877</v>
      </c>
      <c r="AS38" s="910"/>
      <c r="AT38" s="891" t="s">
        <v>36</v>
      </c>
      <c r="AU38" s="891" t="s">
        <v>34</v>
      </c>
      <c r="AV38" s="891" t="s">
        <v>32</v>
      </c>
      <c r="AW38" s="891" t="s">
        <v>32</v>
      </c>
      <c r="AX38" s="891" t="s">
        <v>32</v>
      </c>
      <c r="AY38" s="891" t="s">
        <v>32</v>
      </c>
      <c r="AZ38" s="891" t="s">
        <v>1877</v>
      </c>
      <c r="BA38" s="904" t="s">
        <v>34</v>
      </c>
      <c r="BB38" s="910"/>
      <c r="BC38" s="891" t="s">
        <v>32</v>
      </c>
      <c r="BD38" s="891" t="s">
        <v>2543</v>
      </c>
      <c r="BE38" s="891" t="s">
        <v>35</v>
      </c>
      <c r="BF38" s="891" t="s">
        <v>36</v>
      </c>
      <c r="BG38" s="891" t="s">
        <v>36</v>
      </c>
      <c r="BH38" s="891"/>
      <c r="BI38" s="891" t="s">
        <v>2539</v>
      </c>
      <c r="BJ38" s="891" t="s">
        <v>1877</v>
      </c>
      <c r="BK38" s="891" t="s">
        <v>32</v>
      </c>
      <c r="BL38" s="891" t="s">
        <v>34</v>
      </c>
      <c r="BM38" s="891"/>
      <c r="BN38" s="891"/>
      <c r="BO38" s="891" t="s">
        <v>32</v>
      </c>
      <c r="BP38" s="891" t="s">
        <v>32</v>
      </c>
      <c r="BQ38" s="891"/>
      <c r="BR38" s="891"/>
      <c r="BS38" s="891"/>
      <c r="BT38" s="891"/>
      <c r="BU38" s="892"/>
      <c r="BV38" s="896"/>
      <c r="BW38" s="891"/>
      <c r="BX38" s="891"/>
      <c r="BY38" s="896"/>
      <c r="BZ38" s="896"/>
      <c r="CA38" s="896"/>
      <c r="CB38" s="896"/>
      <c r="CC38" s="896"/>
      <c r="CD38" s="896"/>
      <c r="CE38" s="896"/>
      <c r="CF38" s="896"/>
      <c r="CG38" s="896"/>
      <c r="CH38" s="896"/>
      <c r="CI38" s="896"/>
      <c r="CJ38" s="428"/>
      <c r="CK38" s="428"/>
      <c r="CL38" s="428"/>
      <c r="CM38" s="428"/>
      <c r="CN38" s="230" t="s">
        <v>32</v>
      </c>
      <c r="CO38" s="230" t="s">
        <v>32</v>
      </c>
      <c r="CP38" s="230" t="s">
        <v>32</v>
      </c>
      <c r="CQ38" s="230" t="s">
        <v>32</v>
      </c>
      <c r="CR38" s="230" t="s">
        <v>32</v>
      </c>
      <c r="CS38" s="230" t="s">
        <v>32</v>
      </c>
      <c r="CT38" s="230" t="s">
        <v>32</v>
      </c>
    </row>
    <row r="39" spans="1:125" ht="15">
      <c r="A39" s="882">
        <v>6366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12</v>
      </c>
      <c r="G39" s="879" t="s">
        <v>879</v>
      </c>
      <c r="H39" s="879" t="s">
        <v>22</v>
      </c>
      <c r="I39" s="879" t="s">
        <v>891</v>
      </c>
      <c r="J39" s="846">
        <v>0</v>
      </c>
      <c r="K39" s="846">
        <v>3</v>
      </c>
      <c r="L39" s="816" t="str">
        <f t="shared" si="40"/>
        <v>L</v>
      </c>
      <c r="M39" s="816">
        <f t="shared" si="41"/>
        <v>3</v>
      </c>
      <c r="N39" s="816" t="str">
        <f t="shared" si="42"/>
        <v>O</v>
      </c>
      <c r="O39" s="816">
        <f t="shared" si="22"/>
        <v>0.25</v>
      </c>
      <c r="P39" s="829">
        <f t="shared" si="33"/>
        <v>-1</v>
      </c>
      <c r="Q39" s="830">
        <v>-0.36</v>
      </c>
      <c r="R39" s="871">
        <f t="shared" si="43"/>
        <v>-2.64</v>
      </c>
      <c r="S39" s="830">
        <v>2.4900000000000002</v>
      </c>
      <c r="T39" s="871">
        <f t="shared" si="35"/>
        <v>0.50999999999999979</v>
      </c>
      <c r="U39" s="868">
        <f t="shared" si="36"/>
        <v>1.0650000000000002</v>
      </c>
      <c r="V39" s="868">
        <f t="shared" si="37"/>
        <v>1.425</v>
      </c>
      <c r="W39" s="829">
        <v>13</v>
      </c>
      <c r="X39" s="829">
        <v>20</v>
      </c>
      <c r="Y39" s="829">
        <v>2</v>
      </c>
      <c r="Z39" s="829">
        <v>6</v>
      </c>
      <c r="AA39" s="829">
        <v>53</v>
      </c>
      <c r="AB39" s="829">
        <v>47</v>
      </c>
      <c r="AC39" s="829"/>
      <c r="AD39" s="816" t="str">
        <f t="array" ref="AD39">IF($J39="","",IF(SUM(IF(ISNUMBER(VALUE(RIGHT($AG39:$EB39,1))),VALUE(RIGHT($AG39:$EB39,1)),0))=$J39,"T","F"))</f>
        <v>T</v>
      </c>
      <c r="AE39" s="831">
        <f t="array" ref="AE39">IF($J39="","",SUM(IF(LEFT($AG39:$EB39,1)="s",1,0))-SUM(IF(RIGHT(LEFT($AG39:$EB39,2))="-",1,0)))</f>
        <v>0</v>
      </c>
      <c r="AF39" s="816">
        <f t="array" ref="AF39">IF($J39="","",SUM(IF(LEFT($AG39:$EB39,1)="X",1,0)))</f>
        <v>11</v>
      </c>
      <c r="AG39" s="891" t="s">
        <v>1877</v>
      </c>
      <c r="AH39" s="891" t="s">
        <v>34</v>
      </c>
      <c r="AI39" s="891" t="s">
        <v>1886</v>
      </c>
      <c r="AJ39" s="910"/>
      <c r="AK39" s="904" t="s">
        <v>36</v>
      </c>
      <c r="AL39" s="891" t="s">
        <v>34</v>
      </c>
      <c r="AM39" s="891" t="s">
        <v>34</v>
      </c>
      <c r="AN39" s="891" t="s">
        <v>34</v>
      </c>
      <c r="AO39" s="891" t="s">
        <v>1877</v>
      </c>
      <c r="AP39" s="891" t="s">
        <v>32</v>
      </c>
      <c r="AQ39" s="891" t="s">
        <v>32</v>
      </c>
      <c r="AR39" s="891" t="s">
        <v>32</v>
      </c>
      <c r="AS39" s="910"/>
      <c r="AT39" s="891" t="s">
        <v>34</v>
      </c>
      <c r="AU39" s="891" t="s">
        <v>32</v>
      </c>
      <c r="AV39" s="891" t="s">
        <v>32</v>
      </c>
      <c r="AW39" s="891" t="s">
        <v>34</v>
      </c>
      <c r="AX39" s="891" t="s">
        <v>32</v>
      </c>
      <c r="AY39" s="891" t="s">
        <v>32</v>
      </c>
      <c r="AZ39" s="891" t="s">
        <v>36</v>
      </c>
      <c r="BA39" s="891" t="s">
        <v>35</v>
      </c>
      <c r="BB39" s="910"/>
      <c r="BC39" s="891" t="s">
        <v>32</v>
      </c>
      <c r="BD39" s="891" t="s">
        <v>34</v>
      </c>
      <c r="BE39" s="891" t="s">
        <v>1877</v>
      </c>
      <c r="BF39" s="891" t="s">
        <v>34</v>
      </c>
      <c r="BG39" s="891" t="s">
        <v>36</v>
      </c>
      <c r="BH39" s="891"/>
      <c r="BI39" s="891" t="s">
        <v>35</v>
      </c>
      <c r="BJ39" s="891" t="s">
        <v>32</v>
      </c>
      <c r="BK39" s="891" t="s">
        <v>32</v>
      </c>
      <c r="BL39" s="891" t="s">
        <v>35</v>
      </c>
      <c r="BM39" s="891"/>
      <c r="BN39" s="891"/>
      <c r="BO39" s="891" t="s">
        <v>32</v>
      </c>
      <c r="BP39" s="891" t="s">
        <v>1877</v>
      </c>
      <c r="BQ39" s="891"/>
      <c r="BR39" s="891"/>
      <c r="BS39" s="891"/>
      <c r="BT39" s="891"/>
      <c r="BU39" s="892"/>
      <c r="BV39" s="896"/>
      <c r="BW39" s="891"/>
      <c r="BX39" s="896"/>
      <c r="BY39" s="896"/>
      <c r="BZ39" s="896"/>
      <c r="CA39" s="896"/>
      <c r="CB39" s="896"/>
      <c r="CC39" s="896"/>
      <c r="CD39" s="896"/>
      <c r="CE39" s="896"/>
      <c r="CF39" s="896"/>
      <c r="CG39" s="896"/>
      <c r="CH39" s="896"/>
      <c r="CI39" s="896"/>
      <c r="CJ39" s="4"/>
      <c r="CK39" s="4"/>
      <c r="CL39" s="4"/>
      <c r="CM39" s="4"/>
      <c r="CN39" s="6" t="s">
        <v>32</v>
      </c>
      <c r="CO39" s="6" t="s">
        <v>32</v>
      </c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</row>
    <row r="40" spans="1:125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2</v>
      </c>
      <c r="G40" s="879" t="s">
        <v>886</v>
      </c>
      <c r="H40" s="879" t="s">
        <v>18</v>
      </c>
      <c r="I40" s="879" t="s">
        <v>891</v>
      </c>
      <c r="J40" s="846">
        <v>0</v>
      </c>
      <c r="K40" s="846">
        <v>1</v>
      </c>
      <c r="L40" s="816" t="str">
        <f t="shared" si="40"/>
        <v>L</v>
      </c>
      <c r="M40" s="816">
        <f t="shared" si="41"/>
        <v>1</v>
      </c>
      <c r="N40" s="816" t="str">
        <f t="shared" si="42"/>
        <v>U</v>
      </c>
      <c r="O40" s="816">
        <f t="shared" si="22"/>
        <v>0.25</v>
      </c>
      <c r="P40" s="829">
        <f t="shared" si="33"/>
        <v>-1</v>
      </c>
      <c r="Q40" s="830">
        <v>-0.2</v>
      </c>
      <c r="R40" s="871">
        <f t="shared" si="43"/>
        <v>-0.8</v>
      </c>
      <c r="S40" s="830">
        <v>2.25</v>
      </c>
      <c r="T40" s="871">
        <f t="shared" si="35"/>
        <v>-1.25</v>
      </c>
      <c r="U40" s="868">
        <f t="shared" si="36"/>
        <v>1.0249999999999999</v>
      </c>
      <c r="V40" s="868">
        <f t="shared" si="37"/>
        <v>1.2250000000000001</v>
      </c>
      <c r="W40" s="829">
        <v>13</v>
      </c>
      <c r="X40" s="829">
        <v>10</v>
      </c>
      <c r="Y40" s="829">
        <v>4</v>
      </c>
      <c r="Z40" s="829">
        <v>4</v>
      </c>
      <c r="AA40" s="829">
        <v>48</v>
      </c>
      <c r="AB40" s="829">
        <v>52</v>
      </c>
      <c r="AC40" s="829"/>
      <c r="AD40" s="816" t="str">
        <f t="array" ref="AD40">IF($J40="","",IF(SUM(IF(ISNUMBER(VALUE(RIGHT($AG40:$EB40,1))),VALUE(RIGHT($AG40:$EB40,1)),0))=$J40,"T","F"))</f>
        <v>T</v>
      </c>
      <c r="AE40" s="831">
        <f t="array" ref="AE40">IF($J40="","",SUM(IF(LEFT($AG40:$EB40,1)="s",1,0))-SUM(IF(RIGHT(LEFT($AG40:$EB40,2))="-",1,0)))</f>
        <v>0</v>
      </c>
      <c r="AF40" s="816">
        <f t="array" ref="AF40">IF($J40="","",SUM(IF(LEFT($AG40:$EB40,1)="X",1,0)))</f>
        <v>11</v>
      </c>
      <c r="AG40" s="891" t="s">
        <v>1877</v>
      </c>
      <c r="AH40" s="891" t="s">
        <v>34</v>
      </c>
      <c r="AI40" s="891" t="s">
        <v>1886</v>
      </c>
      <c r="AJ40" s="910"/>
      <c r="AK40" s="891" t="s">
        <v>1877</v>
      </c>
      <c r="AL40" s="891" t="s">
        <v>34</v>
      </c>
      <c r="AM40" s="891" t="s">
        <v>34</v>
      </c>
      <c r="AN40" s="891" t="s">
        <v>34</v>
      </c>
      <c r="AO40" s="891" t="s">
        <v>1877</v>
      </c>
      <c r="AP40" s="891" t="s">
        <v>32</v>
      </c>
      <c r="AQ40" s="891" t="s">
        <v>32</v>
      </c>
      <c r="AR40" s="891" t="s">
        <v>32</v>
      </c>
      <c r="AS40" s="910"/>
      <c r="AT40" s="891" t="s">
        <v>34</v>
      </c>
      <c r="AU40" s="891" t="s">
        <v>1877</v>
      </c>
      <c r="AV40" s="891" t="s">
        <v>36</v>
      </c>
      <c r="AW40" s="891" t="s">
        <v>34</v>
      </c>
      <c r="AX40" s="891" t="s">
        <v>32</v>
      </c>
      <c r="AY40" s="891" t="s">
        <v>32</v>
      </c>
      <c r="AZ40" s="891" t="s">
        <v>32</v>
      </c>
      <c r="BA40" s="891" t="s">
        <v>35</v>
      </c>
      <c r="BB40" s="910"/>
      <c r="BC40" s="891" t="s">
        <v>32</v>
      </c>
      <c r="BD40" s="891" t="s">
        <v>34</v>
      </c>
      <c r="BE40" s="891" t="s">
        <v>32</v>
      </c>
      <c r="BF40" s="891" t="s">
        <v>35</v>
      </c>
      <c r="BG40" s="891" t="s">
        <v>36</v>
      </c>
      <c r="BH40" s="891"/>
      <c r="BI40" s="891" t="s">
        <v>35</v>
      </c>
      <c r="BJ40" s="891" t="s">
        <v>32</v>
      </c>
      <c r="BK40" s="891" t="s">
        <v>32</v>
      </c>
      <c r="BL40" s="891" t="s">
        <v>34</v>
      </c>
      <c r="BM40" s="891"/>
      <c r="BN40" s="891"/>
      <c r="BO40" s="891" t="s">
        <v>32</v>
      </c>
      <c r="BP40" s="904" t="s">
        <v>36</v>
      </c>
      <c r="BQ40" s="891"/>
      <c r="BR40" s="891"/>
      <c r="BS40" s="891"/>
      <c r="BT40" s="891"/>
      <c r="BU40" s="892"/>
      <c r="BV40" s="896"/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896"/>
      <c r="CH40" s="896"/>
      <c r="CI40" s="896"/>
      <c r="CJ40" s="428"/>
      <c r="CK40" s="428"/>
      <c r="CL40" s="428"/>
      <c r="CM40" s="428"/>
      <c r="CN40" s="230" t="s">
        <v>32</v>
      </c>
      <c r="CO40" s="230" t="s">
        <v>32</v>
      </c>
      <c r="CP40" s="230" t="s">
        <v>32</v>
      </c>
      <c r="CQ40" s="230" t="s">
        <v>32</v>
      </c>
      <c r="CR40" s="230" t="s">
        <v>32</v>
      </c>
      <c r="CS40" s="230" t="s">
        <v>32</v>
      </c>
      <c r="CT40" s="230" t="s">
        <v>32</v>
      </c>
    </row>
    <row r="41" spans="1:125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7</v>
      </c>
      <c r="G41" s="879" t="s">
        <v>888</v>
      </c>
      <c r="H41" s="879" t="s">
        <v>18</v>
      </c>
      <c r="I41" s="879" t="s">
        <v>891</v>
      </c>
      <c r="J41" s="846">
        <v>0</v>
      </c>
      <c r="K41" s="846">
        <v>3</v>
      </c>
      <c r="L41" s="816" t="str">
        <f>IF(J41="","",IF(J41&gt;K41,"W",IF(J41=K41,"D",IF(J41&lt;K41,"L"))))</f>
        <v>L</v>
      </c>
      <c r="M41" s="816">
        <f>IF(J41="","",J41+K41)</f>
        <v>3</v>
      </c>
      <c r="N41" s="816" t="str">
        <f>IF($J41="","",IF($M41&gt;N$19,"O",IF($M41&lt;N$19,"U",IF($M41=N$19,"-"))))</f>
        <v>O</v>
      </c>
      <c r="O41" s="816">
        <f>IF(Q41="","",IF(SIGN(Q41)&lt;&gt;1,VLOOKUP(ABS(Q41),SUP_HDC,3,TRUE),-VLOOKUP(ABS(Q41),SUP_HDC,3,TRUE)))</f>
        <v>0.75</v>
      </c>
      <c r="P41" s="829">
        <f>IF(O41="","",IF((J41-K41+O41)&gt;=0.5,1,IF((J41-K41+O41)=0.25,0.5,IF((J41-K41+O41)&lt;=-0.5,-1,IF((J41-K41+O41)=-0.25,-0.5,0)))))</f>
        <v>-1</v>
      </c>
      <c r="Q41" s="830">
        <v>-0.87</v>
      </c>
      <c r="R41" s="871">
        <f t="shared" si="43"/>
        <v>-2.13</v>
      </c>
      <c r="S41" s="830">
        <v>2.61</v>
      </c>
      <c r="T41" s="871">
        <f>IF(ISBLANK(S41),"",J41+K41-S41)</f>
        <v>0.39000000000000012</v>
      </c>
      <c r="U41" s="868">
        <f>IF(Q41="","",(Q41+S41)/2)</f>
        <v>0.86999999999999988</v>
      </c>
      <c r="V41" s="868">
        <f>IF(Q41="","",S41-U41)</f>
        <v>1.74</v>
      </c>
      <c r="W41" s="829">
        <v>11</v>
      </c>
      <c r="X41" s="829">
        <v>18</v>
      </c>
      <c r="Y41" s="829">
        <v>3</v>
      </c>
      <c r="Z41" s="829">
        <v>9</v>
      </c>
      <c r="AA41" s="829">
        <v>46</v>
      </c>
      <c r="AB41" s="829">
        <v>54</v>
      </c>
      <c r="AC41" s="829"/>
      <c r="AD41" s="816" t="str">
        <f t="array" ref="AD41">IF($J41="","",IF(SUM(IF(ISNUMBER(VALUE(RIGHT($AG41:$EB41,1))),VALUE(RIGHT($AG41:$EB41,1)),0))=$J41,"T","F"))</f>
        <v>T</v>
      </c>
      <c r="AE41" s="831">
        <f t="array" ref="AE41">IF($J41="","",SUM(IF(LEFT($AG41:$EB41,1)="s",1,0))-SUM(IF(RIGHT(LEFT($AG41:$EB41,2))="-",1,0)))</f>
        <v>0</v>
      </c>
      <c r="AF41" s="816">
        <f t="array" ref="AF41">IF($J41="","",SUM(IF(LEFT($AG41:$EB41,1)="X",1,0)))</f>
        <v>11</v>
      </c>
      <c r="AG41" s="891" t="s">
        <v>1877</v>
      </c>
      <c r="AH41" s="891" t="s">
        <v>34</v>
      </c>
      <c r="AI41" s="891" t="s">
        <v>1886</v>
      </c>
      <c r="AJ41" s="910"/>
      <c r="AK41" s="891" t="s">
        <v>32</v>
      </c>
      <c r="AL41" s="891" t="s">
        <v>34</v>
      </c>
      <c r="AM41" s="891" t="s">
        <v>34</v>
      </c>
      <c r="AN41" s="891" t="s">
        <v>34</v>
      </c>
      <c r="AO41" s="891" t="s">
        <v>1877</v>
      </c>
      <c r="AP41" s="891" t="s">
        <v>32</v>
      </c>
      <c r="AQ41" s="891" t="s">
        <v>32</v>
      </c>
      <c r="AR41" s="891" t="s">
        <v>32</v>
      </c>
      <c r="AS41" s="910"/>
      <c r="AT41" s="891" t="s">
        <v>34</v>
      </c>
      <c r="AU41" s="891" t="s">
        <v>32</v>
      </c>
      <c r="AV41" s="891" t="s">
        <v>36</v>
      </c>
      <c r="AW41" s="891" t="s">
        <v>34</v>
      </c>
      <c r="AX41" s="891" t="s">
        <v>32</v>
      </c>
      <c r="AY41" s="891" t="s">
        <v>36</v>
      </c>
      <c r="AZ41" s="891" t="s">
        <v>35</v>
      </c>
      <c r="BA41" s="891" t="s">
        <v>2729</v>
      </c>
      <c r="BB41" s="910"/>
      <c r="BC41" s="891" t="s">
        <v>1877</v>
      </c>
      <c r="BD41" s="904" t="s">
        <v>34</v>
      </c>
      <c r="BE41" s="891" t="s">
        <v>32</v>
      </c>
      <c r="BF41" s="891" t="s">
        <v>35</v>
      </c>
      <c r="BG41" s="891" t="s">
        <v>35</v>
      </c>
      <c r="BH41" s="891"/>
      <c r="BI41" s="891" t="s">
        <v>32</v>
      </c>
      <c r="BJ41" s="891" t="s">
        <v>36</v>
      </c>
      <c r="BK41" s="891" t="s">
        <v>32</v>
      </c>
      <c r="BL41" s="891" t="s">
        <v>34</v>
      </c>
      <c r="BM41" s="891"/>
      <c r="BN41" s="891"/>
      <c r="BO41" s="891" t="s">
        <v>32</v>
      </c>
      <c r="BP41" s="891" t="s">
        <v>1877</v>
      </c>
      <c r="BQ41" s="891"/>
      <c r="BR41" s="891"/>
      <c r="BS41" s="891"/>
      <c r="BT41" s="891"/>
      <c r="BU41" s="891"/>
      <c r="BV41" s="891"/>
      <c r="BW41" s="891"/>
      <c r="BX41" s="891"/>
      <c r="BY41" s="896"/>
      <c r="BZ41" s="896"/>
      <c r="CA41" s="896"/>
      <c r="CB41" s="896"/>
      <c r="CC41" s="891"/>
      <c r="CD41" s="891"/>
      <c r="CE41" s="891"/>
      <c r="CF41" s="891"/>
      <c r="CG41" s="891"/>
      <c r="CH41" s="891"/>
      <c r="CI41" s="891"/>
      <c r="CJ41" s="428"/>
      <c r="CK41" s="428"/>
      <c r="CL41" s="428"/>
      <c r="CM41" s="428"/>
      <c r="CN41" s="230" t="s">
        <v>32</v>
      </c>
      <c r="CO41" s="230" t="s">
        <v>32</v>
      </c>
      <c r="CP41" s="230" t="s">
        <v>32</v>
      </c>
      <c r="CQ41" s="230" t="s">
        <v>32</v>
      </c>
      <c r="CR41" s="230" t="s">
        <v>32</v>
      </c>
      <c r="CS41" s="230" t="s">
        <v>32</v>
      </c>
      <c r="CT41" s="230" t="s">
        <v>32</v>
      </c>
    </row>
    <row r="42" spans="1:125" ht="15">
      <c r="A42" s="912">
        <v>6382</v>
      </c>
      <c r="B42" s="894"/>
      <c r="C42" s="894"/>
      <c r="D42" s="894"/>
      <c r="E42" s="894"/>
      <c r="F42" s="894"/>
      <c r="G42" s="828" t="s">
        <v>873</v>
      </c>
      <c r="H42" s="828" t="s">
        <v>18</v>
      </c>
      <c r="I42" s="828" t="s">
        <v>2649</v>
      </c>
      <c r="J42" s="895">
        <v>1</v>
      </c>
      <c r="K42" s="895">
        <v>1</v>
      </c>
      <c r="L42" s="816" t="str">
        <f t="shared" ref="L42" si="44">IF(J42="","",IF(J42&gt;K42,"W",IF(J42=K42,"D",IF(J42&lt;K42,"L"))))</f>
        <v>D</v>
      </c>
      <c r="M42" s="816">
        <f t="shared" ref="M42" si="45">IF(J42="","",J42+K42)</f>
        <v>2</v>
      </c>
      <c r="N42" s="816" t="str">
        <f t="shared" si="42"/>
        <v>U</v>
      </c>
      <c r="O42" s="816" t="str">
        <f t="shared" ref="O42" si="46">IF(Q42="","",IF(SIGN(Q42)&lt;&gt;1,VLOOKUP(ABS(Q42),SUP_HDC,3,TRUE),-VLOOKUP(ABS(Q42),SUP_HDC,3,TRUE)))</f>
        <v/>
      </c>
      <c r="P42" s="829" t="str">
        <f t="shared" ref="P42" si="47">IF(O42="","",IF((J42-K42+O42)&gt;=0.5,1,IF((J42-K42+O42)=0.25,0.5,IF((J42-K42+O42)&lt;=-0.5,-1,IF((J42-K42+O42)=-0.25,-0.5,0)))))</f>
        <v/>
      </c>
      <c r="Q42" s="830"/>
      <c r="R42" s="871" t="str">
        <f t="shared" ref="R42" si="48">IF(ISBLANK(Q42),"",J42-K42-Q42)</f>
        <v/>
      </c>
      <c r="S42" s="830"/>
      <c r="T42" s="871" t="str">
        <f t="shared" ref="T42" si="49">IF(ISBLANK(S42),"",J42+K42-S42)</f>
        <v/>
      </c>
      <c r="U42" s="868" t="str">
        <f t="shared" ref="U42" si="50">IF(Q42="","",(Q42+S42)/2)</f>
        <v/>
      </c>
      <c r="V42" s="868" t="str">
        <f t="shared" ref="V42" si="51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IF($J42="","",IF(SUM(IF(ISNUMBER(VALUE(RIGHT($AG42:$EB42,1))),VALUE(RIGHT($AG42:$EB42,1)),0))=$J42,"T","F"))</f>
        <v>T</v>
      </c>
      <c r="AE42" s="831">
        <f t="array" ref="AE42">IF($J42="","",SUM(IF(LEFT($AG42:$EB42,1)="s",1,0))-SUM(IF(RIGHT(LEFT($AG42:$EB42,2))="-",1,0)))</f>
        <v>0</v>
      </c>
      <c r="AF42" s="816">
        <f t="array" ref="AF42">IF($J42="","",SUM(IF(LEFT($AG42:$EB42,1)="X",1,0)))</f>
        <v>11</v>
      </c>
      <c r="AG42" s="891" t="s">
        <v>34</v>
      </c>
      <c r="AH42" s="891" t="s">
        <v>1877</v>
      </c>
      <c r="AI42" s="891" t="s">
        <v>1886</v>
      </c>
      <c r="AJ42" s="910"/>
      <c r="AK42" s="891" t="s">
        <v>34</v>
      </c>
      <c r="AL42" s="891" t="s">
        <v>32</v>
      </c>
      <c r="AM42" s="904" t="s">
        <v>36</v>
      </c>
      <c r="AN42" s="891" t="s">
        <v>32</v>
      </c>
      <c r="AO42" s="891" t="s">
        <v>35</v>
      </c>
      <c r="AP42" s="891" t="s">
        <v>32</v>
      </c>
      <c r="AQ42" s="891" t="s">
        <v>32</v>
      </c>
      <c r="AR42" s="891" t="s">
        <v>36</v>
      </c>
      <c r="AS42" s="910"/>
      <c r="AT42" s="891" t="s">
        <v>34</v>
      </c>
      <c r="AU42" s="891" t="s">
        <v>35</v>
      </c>
      <c r="AV42" s="891" t="s">
        <v>36</v>
      </c>
      <c r="AW42" s="891" t="s">
        <v>2718</v>
      </c>
      <c r="AX42" s="891" t="s">
        <v>35</v>
      </c>
      <c r="AY42" s="904" t="s">
        <v>34</v>
      </c>
      <c r="AZ42" s="891" t="s">
        <v>34</v>
      </c>
      <c r="BA42" s="891" t="s">
        <v>2729</v>
      </c>
      <c r="BB42" s="910"/>
      <c r="BC42" s="891" t="s">
        <v>34</v>
      </c>
      <c r="BD42" s="891" t="s">
        <v>32</v>
      </c>
      <c r="BE42" s="891" t="s">
        <v>32</v>
      </c>
      <c r="BF42" s="891" t="s">
        <v>32</v>
      </c>
      <c r="BG42" s="891" t="s">
        <v>32</v>
      </c>
      <c r="BH42" s="891"/>
      <c r="BI42" s="891" t="s">
        <v>32</v>
      </c>
      <c r="BJ42" s="891" t="s">
        <v>34</v>
      </c>
      <c r="BK42" s="891" t="s">
        <v>1877</v>
      </c>
      <c r="BL42" s="891" t="s">
        <v>1877</v>
      </c>
      <c r="BM42" s="891"/>
      <c r="BN42" s="891"/>
      <c r="BO42" s="891" t="s">
        <v>32</v>
      </c>
      <c r="BP42" s="891" t="s">
        <v>1877</v>
      </c>
      <c r="BQ42" s="891"/>
      <c r="BR42" s="891"/>
      <c r="BS42" s="891"/>
      <c r="BT42" s="891"/>
      <c r="BU42" s="891"/>
      <c r="BV42" s="891"/>
      <c r="BW42" s="891"/>
      <c r="BX42" s="891"/>
      <c r="BY42" s="896"/>
      <c r="BZ42" s="896"/>
      <c r="CA42" s="896"/>
      <c r="CB42" s="896"/>
      <c r="CC42" s="891"/>
      <c r="CD42" s="891"/>
      <c r="CE42" s="891"/>
      <c r="CF42" s="891"/>
      <c r="CG42" s="891"/>
      <c r="CH42" s="891"/>
      <c r="CI42" s="891"/>
      <c r="CJ42" s="428"/>
      <c r="CK42" s="428"/>
      <c r="CL42" s="428"/>
      <c r="CM42" s="428"/>
    </row>
    <row r="43" spans="1:125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20</v>
      </c>
      <c r="G43" s="879" t="s">
        <v>882</v>
      </c>
      <c r="H43" s="879" t="s">
        <v>22</v>
      </c>
      <c r="I43" s="879" t="s">
        <v>891</v>
      </c>
      <c r="J43" s="846">
        <v>0</v>
      </c>
      <c r="K43" s="846">
        <v>2</v>
      </c>
      <c r="L43" s="816" t="str">
        <f t="shared" si="40"/>
        <v>L</v>
      </c>
      <c r="M43" s="816">
        <f t="shared" si="41"/>
        <v>2</v>
      </c>
      <c r="N43" s="816" t="str">
        <f t="shared" si="42"/>
        <v>U</v>
      </c>
      <c r="O43" s="816">
        <f t="shared" si="22"/>
        <v>0.25</v>
      </c>
      <c r="P43" s="829">
        <f t="shared" si="33"/>
        <v>-1</v>
      </c>
      <c r="Q43" s="830">
        <v>-0.15</v>
      </c>
      <c r="R43" s="871">
        <f t="shared" si="43"/>
        <v>-1.85</v>
      </c>
      <c r="S43" s="830">
        <v>2.5</v>
      </c>
      <c r="T43" s="871">
        <f t="shared" si="35"/>
        <v>-0.5</v>
      </c>
      <c r="U43" s="868">
        <f t="shared" si="36"/>
        <v>1.175</v>
      </c>
      <c r="V43" s="868">
        <f t="shared" si="37"/>
        <v>1.325</v>
      </c>
      <c r="W43" s="829">
        <v>8</v>
      </c>
      <c r="X43" s="829">
        <v>14</v>
      </c>
      <c r="Y43" s="829">
        <v>1</v>
      </c>
      <c r="Z43" s="829">
        <v>3</v>
      </c>
      <c r="AA43" s="829">
        <v>57</v>
      </c>
      <c r="AB43" s="829">
        <v>43</v>
      </c>
      <c r="AC43" s="829"/>
      <c r="AD43" s="816" t="str">
        <f t="array" ref="AD43">IF($J43="","",IF(SUM(IF(ISNUMBER(VALUE(RIGHT($AG43:$EB43,1))),VALUE(RIGHT($AG43:$EB43,1)),0))=$J43,"T","F"))</f>
        <v>T</v>
      </c>
      <c r="AE43" s="831">
        <f t="array" ref="AE43">IF($J43="","",SUM(IF(LEFT($AG43:$EB43,1)="s",1,0))-SUM(IF(RIGHT(LEFT($AG43:$EB43,2))="-",1,0)))</f>
        <v>0</v>
      </c>
      <c r="AF43" s="816">
        <f t="array" ref="AF43">IF($J43="","",SUM(IF(LEFT($AG43:$EB43,1)="X",1,0)))</f>
        <v>11</v>
      </c>
      <c r="AG43" s="891" t="s">
        <v>34</v>
      </c>
      <c r="AH43" s="891" t="s">
        <v>1877</v>
      </c>
      <c r="AI43" s="891" t="s">
        <v>1886</v>
      </c>
      <c r="AJ43" s="910"/>
      <c r="AK43" s="904" t="s">
        <v>34</v>
      </c>
      <c r="AL43" s="891" t="s">
        <v>1877</v>
      </c>
      <c r="AM43" s="891" t="s">
        <v>34</v>
      </c>
      <c r="AN43" s="891" t="s">
        <v>32</v>
      </c>
      <c r="AO43" s="891" t="s">
        <v>35</v>
      </c>
      <c r="AP43" s="891" t="s">
        <v>32</v>
      </c>
      <c r="AQ43" s="891" t="s">
        <v>32</v>
      </c>
      <c r="AR43" s="891" t="s">
        <v>32</v>
      </c>
      <c r="AS43" s="910"/>
      <c r="AT43" s="891" t="s">
        <v>34</v>
      </c>
      <c r="AU43" s="891" t="s">
        <v>32</v>
      </c>
      <c r="AV43" s="891" t="s">
        <v>36</v>
      </c>
      <c r="AW43" s="891" t="s">
        <v>34</v>
      </c>
      <c r="AX43" s="891" t="s">
        <v>35</v>
      </c>
      <c r="AY43" s="904" t="s">
        <v>34</v>
      </c>
      <c r="AZ43" s="891" t="s">
        <v>34</v>
      </c>
      <c r="BA43" s="891" t="s">
        <v>1886</v>
      </c>
      <c r="BB43" s="910"/>
      <c r="BC43" s="891" t="s">
        <v>35</v>
      </c>
      <c r="BD43" s="891" t="s">
        <v>2749</v>
      </c>
      <c r="BE43" s="891" t="s">
        <v>32</v>
      </c>
      <c r="BF43" s="904" t="s">
        <v>34</v>
      </c>
      <c r="BG43" s="891" t="s">
        <v>36</v>
      </c>
      <c r="BH43" s="891"/>
      <c r="BI43" s="891" t="s">
        <v>32</v>
      </c>
      <c r="BJ43" s="891" t="s">
        <v>36</v>
      </c>
      <c r="BK43" s="891" t="s">
        <v>1877</v>
      </c>
      <c r="BL43" s="891" t="s">
        <v>1877</v>
      </c>
      <c r="BM43" s="891"/>
      <c r="BN43" s="891"/>
      <c r="BO43" s="891" t="s">
        <v>32</v>
      </c>
      <c r="BP43" s="891" t="s">
        <v>32</v>
      </c>
      <c r="BQ43" s="891"/>
      <c r="BR43" s="891"/>
      <c r="BS43" s="891"/>
      <c r="BT43" s="891"/>
      <c r="BU43" s="892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896"/>
      <c r="CH43" s="896"/>
      <c r="CI43" s="896"/>
      <c r="CJ43" s="428"/>
      <c r="CK43" s="428"/>
      <c r="CL43" s="428"/>
      <c r="CM43" s="428"/>
    </row>
    <row r="44" spans="1:125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5</v>
      </c>
      <c r="G44" s="879" t="s">
        <v>889</v>
      </c>
      <c r="H44" s="879" t="s">
        <v>22</v>
      </c>
      <c r="I44" s="879" t="s">
        <v>891</v>
      </c>
      <c r="J44" s="846">
        <v>4</v>
      </c>
      <c r="K44" s="846">
        <v>0</v>
      </c>
      <c r="L44" s="816" t="str">
        <f>IF(J44="","",IF(J44&gt;K44,"W",IF(J44=K44,"D",IF(J44&lt;K44,"L"))))</f>
        <v>W</v>
      </c>
      <c r="M44" s="816">
        <f>IF(J44="","",J44+K44)</f>
        <v>4</v>
      </c>
      <c r="N44" s="816" t="str">
        <f>IF($J44="","",IF($M44&gt;N$19,"O",IF($M44&lt;N$19,"U",IF($M44=N$19,"-"))))</f>
        <v>O</v>
      </c>
      <c r="O44" s="816">
        <f>IF(Q44="","",IF(SIGN(Q44)&lt;&gt;1,VLOOKUP(ABS(Q44),SUP_HDC,3,TRUE),-VLOOKUP(ABS(Q44),SUP_HDC,3,TRUE)))</f>
        <v>0.5</v>
      </c>
      <c r="P44" s="829">
        <f>IF(O44="","",IF((J44-K44+O44)&gt;=0.5,1,IF((J44-K44+O44)=0.25,0.5,IF((J44-K44+O44)&lt;=-0.5,-1,IF((J44-K44+O44)=-0.25,-0.5,0)))))</f>
        <v>1</v>
      </c>
      <c r="Q44" s="830">
        <v>-0.6</v>
      </c>
      <c r="R44" s="871">
        <f t="shared" ref="R44:R49" si="52">IF(ISBLANK(Q44),"",J44-K44-Q44)</f>
        <v>4.5999999999999996</v>
      </c>
      <c r="S44" s="830">
        <v>2.5</v>
      </c>
      <c r="T44" s="871">
        <f>IF(ISBLANK(S44),"",J44+K44-S44)</f>
        <v>1.5</v>
      </c>
      <c r="U44" s="868">
        <f>IF(Q44="","",(Q44+S44)/2)</f>
        <v>0.95</v>
      </c>
      <c r="V44" s="868">
        <f>IF(Q44="","",S44-U44)</f>
        <v>1.55</v>
      </c>
      <c r="W44" s="829">
        <v>9</v>
      </c>
      <c r="X44" s="829">
        <v>24</v>
      </c>
      <c r="Y44" s="829">
        <v>5</v>
      </c>
      <c r="Z44" s="829">
        <v>6</v>
      </c>
      <c r="AA44" s="829">
        <v>43</v>
      </c>
      <c r="AB44" s="829">
        <v>57</v>
      </c>
      <c r="AC44" s="829"/>
      <c r="AD44" s="816" t="str">
        <f t="array" ref="AD44">IF($J44="","",IF(SUM(IF(ISNUMBER(VALUE(RIGHT($AG44:$EB44,1))),VALUE(RIGHT($AG44:$EB44,1)),0))=$J44,"T","F"))</f>
        <v>T</v>
      </c>
      <c r="AE44" s="831">
        <f t="array" ref="AE44">IF($J44="","",SUM(IF(LEFT($AG44:$EB44,1)="s",1,0))-SUM(IF(RIGHT(LEFT($AG44:$EB44,2))="-",1,0)))</f>
        <v>0</v>
      </c>
      <c r="AF44" s="816">
        <f t="array" ref="AF44">IF($J44="","",SUM(IF(LEFT($AG44:$EB44,1)="X",1,0)))</f>
        <v>11</v>
      </c>
      <c r="AG44" s="891" t="s">
        <v>34</v>
      </c>
      <c r="AH44" s="891" t="s">
        <v>1877</v>
      </c>
      <c r="AI44" s="891" t="s">
        <v>1886</v>
      </c>
      <c r="AJ44" s="910"/>
      <c r="AK44" s="891" t="s">
        <v>34</v>
      </c>
      <c r="AL44" s="904" t="s">
        <v>34</v>
      </c>
      <c r="AM44" s="891" t="s">
        <v>1877</v>
      </c>
      <c r="AN44" s="891" t="s">
        <v>32</v>
      </c>
      <c r="AO44" s="891" t="s">
        <v>32</v>
      </c>
      <c r="AP44" s="891" t="s">
        <v>32</v>
      </c>
      <c r="AQ44" s="891" t="s">
        <v>32</v>
      </c>
      <c r="AR44" s="904" t="s">
        <v>34</v>
      </c>
      <c r="AS44" s="910"/>
      <c r="AT44" s="891" t="s">
        <v>2814</v>
      </c>
      <c r="AU44" s="891" t="s">
        <v>34</v>
      </c>
      <c r="AV44" s="891" t="s">
        <v>2813</v>
      </c>
      <c r="AW44" s="891" t="s">
        <v>34</v>
      </c>
      <c r="AX44" s="891" t="s">
        <v>35</v>
      </c>
      <c r="AY44" s="891" t="s">
        <v>32</v>
      </c>
      <c r="AZ44" s="891" t="s">
        <v>2810</v>
      </c>
      <c r="BA44" s="891" t="s">
        <v>1886</v>
      </c>
      <c r="BB44" s="910"/>
      <c r="BC44" s="891" t="s">
        <v>32</v>
      </c>
      <c r="BD44" s="891" t="s">
        <v>2800</v>
      </c>
      <c r="BE44" s="891" t="s">
        <v>32</v>
      </c>
      <c r="BF44" s="891" t="s">
        <v>1877</v>
      </c>
      <c r="BG44" s="891" t="s">
        <v>1877</v>
      </c>
      <c r="BH44" s="891"/>
      <c r="BI44" s="891" t="s">
        <v>32</v>
      </c>
      <c r="BJ44" s="891" t="s">
        <v>36</v>
      </c>
      <c r="BK44" s="891" t="s">
        <v>36</v>
      </c>
      <c r="BL44" s="891" t="s">
        <v>36</v>
      </c>
      <c r="BM44" s="891"/>
      <c r="BN44" s="891"/>
      <c r="BO44" s="891" t="s">
        <v>32</v>
      </c>
      <c r="BP44" s="891" t="s">
        <v>32</v>
      </c>
      <c r="BQ44" s="891"/>
      <c r="BR44" s="891"/>
      <c r="BS44" s="891"/>
      <c r="BT44" s="891"/>
      <c r="BU44" s="892"/>
      <c r="BV44" s="896"/>
      <c r="BW44" s="896"/>
      <c r="BX44" s="891"/>
      <c r="BY44" s="896"/>
      <c r="BZ44" s="896"/>
      <c r="CA44" s="896"/>
      <c r="CB44" s="896"/>
      <c r="CC44" s="896"/>
      <c r="CD44" s="896"/>
      <c r="CE44" s="896"/>
      <c r="CF44" s="896"/>
      <c r="CG44" s="896"/>
      <c r="CH44" s="896"/>
      <c r="CI44" s="896"/>
      <c r="CJ44" s="428"/>
      <c r="CK44" s="428"/>
      <c r="CL44" s="428"/>
      <c r="CM44" s="428"/>
    </row>
    <row r="45" spans="1:125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14</v>
      </c>
      <c r="G45" s="879" t="s">
        <v>873</v>
      </c>
      <c r="H45" s="879" t="s">
        <v>18</v>
      </c>
      <c r="I45" s="879" t="s">
        <v>891</v>
      </c>
      <c r="J45" s="846">
        <v>2</v>
      </c>
      <c r="K45" s="846">
        <v>2</v>
      </c>
      <c r="L45" s="816" t="str">
        <f t="shared" ref="L45:L51" si="53">IF(J45="","",IF(J45&gt;K45,"W",IF(J45=K45,"D",IF(J45&lt;K45,"L"))))</f>
        <v>D</v>
      </c>
      <c r="M45" s="816">
        <f t="shared" ref="M45:M51" si="54">IF(J45="","",J45+K45)</f>
        <v>4</v>
      </c>
      <c r="N45" s="816" t="str">
        <f t="shared" ref="N45:N51" si="55">IF($J45="","",IF($M45&gt;N$19,"O",IF($M45&lt;N$19,"U",IF($M45=N$19,"-"))))</f>
        <v>O</v>
      </c>
      <c r="O45" s="816">
        <f t="shared" si="22"/>
        <v>0.5</v>
      </c>
      <c r="P45" s="829">
        <f t="shared" si="33"/>
        <v>1</v>
      </c>
      <c r="Q45" s="830">
        <v>-0.52</v>
      </c>
      <c r="R45" s="871">
        <f t="shared" si="52"/>
        <v>0.52</v>
      </c>
      <c r="S45" s="830">
        <v>2.35</v>
      </c>
      <c r="T45" s="871">
        <f t="shared" si="35"/>
        <v>1.65</v>
      </c>
      <c r="U45" s="868">
        <f t="shared" si="36"/>
        <v>0.91500000000000004</v>
      </c>
      <c r="V45" s="868">
        <f t="shared" si="37"/>
        <v>1.4350000000000001</v>
      </c>
      <c r="W45" s="829">
        <v>8</v>
      </c>
      <c r="X45" s="829">
        <v>15</v>
      </c>
      <c r="Y45" s="829">
        <v>3</v>
      </c>
      <c r="Z45" s="829">
        <v>3</v>
      </c>
      <c r="AA45" s="829">
        <v>48</v>
      </c>
      <c r="AB45" s="829">
        <v>52</v>
      </c>
      <c r="AC45" s="829"/>
      <c r="AD45" s="816" t="str">
        <f t="array" ref="AD45">IF($J45="","",IF(SUM(IF(ISNUMBER(VALUE(RIGHT($AG45:$EB45,1))),VALUE(RIGHT($AG45:$EB45,1)),0))=$J45,"T","F"))</f>
        <v>T</v>
      </c>
      <c r="AE45" s="831">
        <f t="array" ref="AE45">IF($J45="","",SUM(IF(LEFT($AG45:$EB45,1)="s",1,0))-SUM(IF(RIGHT(LEFT($AG45:$EB45,2))="-",1,0)))</f>
        <v>0</v>
      </c>
      <c r="AF45" s="816">
        <f t="array" ref="AF45">IF($J45="","",SUM(IF(LEFT($AG45:$EB45,1)="X",1,0)))</f>
        <v>11</v>
      </c>
      <c r="AG45" s="891" t="s">
        <v>34</v>
      </c>
      <c r="AH45" s="891" t="s">
        <v>1877</v>
      </c>
      <c r="AI45" s="891" t="s">
        <v>1886</v>
      </c>
      <c r="AJ45" s="910"/>
      <c r="AK45" s="891" t="s">
        <v>34</v>
      </c>
      <c r="AL45" s="891" t="s">
        <v>34</v>
      </c>
      <c r="AM45" s="891" t="s">
        <v>1877</v>
      </c>
      <c r="AN45" s="891" t="s">
        <v>32</v>
      </c>
      <c r="AO45" s="891" t="s">
        <v>1877</v>
      </c>
      <c r="AP45" s="891" t="s">
        <v>32</v>
      </c>
      <c r="AQ45" s="891" t="s">
        <v>32</v>
      </c>
      <c r="AR45" s="891" t="s">
        <v>35</v>
      </c>
      <c r="AS45" s="910"/>
      <c r="AT45" s="891" t="s">
        <v>34</v>
      </c>
      <c r="AU45" s="891" t="s">
        <v>34</v>
      </c>
      <c r="AV45" s="891" t="s">
        <v>35</v>
      </c>
      <c r="AW45" s="891" t="s">
        <v>34</v>
      </c>
      <c r="AX45" s="891" t="s">
        <v>35</v>
      </c>
      <c r="AY45" s="891" t="s">
        <v>32</v>
      </c>
      <c r="AZ45" s="891" t="s">
        <v>34</v>
      </c>
      <c r="BA45" s="891" t="s">
        <v>36</v>
      </c>
      <c r="BB45" s="910"/>
      <c r="BC45" s="891" t="s">
        <v>32</v>
      </c>
      <c r="BD45" s="891" t="s">
        <v>2832</v>
      </c>
      <c r="BE45" s="891" t="s">
        <v>32</v>
      </c>
      <c r="BF45" s="891" t="s">
        <v>2833</v>
      </c>
      <c r="BG45" s="891" t="s">
        <v>32</v>
      </c>
      <c r="BH45" s="891"/>
      <c r="BI45" s="891" t="s">
        <v>32</v>
      </c>
      <c r="BJ45" s="891" t="s">
        <v>1877</v>
      </c>
      <c r="BK45" s="891" t="s">
        <v>32</v>
      </c>
      <c r="BL45" s="891" t="s">
        <v>36</v>
      </c>
      <c r="BM45" s="891"/>
      <c r="BN45" s="891"/>
      <c r="BO45" s="891" t="s">
        <v>32</v>
      </c>
      <c r="BP45" s="891" t="s">
        <v>32</v>
      </c>
      <c r="BQ45" s="891"/>
      <c r="BR45" s="891"/>
      <c r="BS45" s="891"/>
      <c r="BT45" s="891"/>
      <c r="BU45" s="892"/>
      <c r="BV45" s="896"/>
      <c r="BW45" s="891"/>
      <c r="BX45" s="896"/>
      <c r="BY45" s="896"/>
      <c r="BZ45" s="896"/>
      <c r="CA45" s="896"/>
      <c r="CB45" s="896"/>
      <c r="CC45" s="891"/>
      <c r="CD45" s="891"/>
      <c r="CE45" s="891"/>
      <c r="CF45" s="891"/>
      <c r="CG45" s="891"/>
      <c r="CH45" s="891"/>
      <c r="CI45" s="891"/>
      <c r="CJ45" s="428"/>
      <c r="CK45" s="428"/>
      <c r="CL45" s="428"/>
      <c r="CM45" s="428"/>
    </row>
    <row r="46" spans="1:125" ht="15">
      <c r="A46" s="912">
        <v>6403</v>
      </c>
      <c r="B46" s="894"/>
      <c r="C46" s="894"/>
      <c r="D46" s="894"/>
      <c r="E46" s="894"/>
      <c r="F46" s="894"/>
      <c r="G46" s="828" t="s">
        <v>2761</v>
      </c>
      <c r="H46" s="828" t="s">
        <v>18</v>
      </c>
      <c r="I46" s="828" t="s">
        <v>2649</v>
      </c>
      <c r="J46" s="895">
        <v>0</v>
      </c>
      <c r="K46" s="895">
        <v>1</v>
      </c>
      <c r="L46" s="816" t="str">
        <f t="shared" si="53"/>
        <v>L</v>
      </c>
      <c r="M46" s="816">
        <f t="shared" si="54"/>
        <v>1</v>
      </c>
      <c r="N46" s="816" t="str">
        <f t="shared" si="55"/>
        <v>U</v>
      </c>
      <c r="O46" s="816"/>
      <c r="P46" s="829"/>
      <c r="Q46" s="830"/>
      <c r="R46" s="871" t="str">
        <f t="shared" si="52"/>
        <v/>
      </c>
      <c r="S46" s="830"/>
      <c r="T46" s="871" t="str">
        <f t="shared" si="35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IF($J46="","",IF(SUM(IF(ISNUMBER(VALUE(RIGHT($AG46:$EB46,1))),VALUE(RIGHT($AG46:$EB46,1)),0))=$J46,"T","F"))</f>
        <v>T</v>
      </c>
      <c r="AE46" s="831">
        <f t="array" ref="AE46">IF($J46="","",SUM(IF(LEFT($AG46:$EB46,1)="s",1,0))-SUM(IF(RIGHT(LEFT($AG46:$EB46,2))="-",1,0)))</f>
        <v>0</v>
      </c>
      <c r="AF46" s="816">
        <f t="array" ref="AF46">IF($J46="","",SUM(IF(LEFT($AG46:$EB46,1)="X",1,0)))</f>
        <v>11</v>
      </c>
      <c r="AG46" s="891" t="s">
        <v>1877</v>
      </c>
      <c r="AH46" s="891" t="s">
        <v>34</v>
      </c>
      <c r="AI46" s="891" t="s">
        <v>1886</v>
      </c>
      <c r="AJ46" s="910"/>
      <c r="AK46" s="891" t="s">
        <v>32</v>
      </c>
      <c r="AL46" s="891" t="s">
        <v>32</v>
      </c>
      <c r="AM46" s="891" t="s">
        <v>34</v>
      </c>
      <c r="AN46" s="891" t="s">
        <v>34</v>
      </c>
      <c r="AO46" s="891" t="s">
        <v>34</v>
      </c>
      <c r="AP46" s="891" t="s">
        <v>32</v>
      </c>
      <c r="AQ46" s="891" t="s">
        <v>34</v>
      </c>
      <c r="AR46" s="891" t="s">
        <v>32</v>
      </c>
      <c r="AS46" s="910"/>
      <c r="AT46" s="891" t="s">
        <v>32</v>
      </c>
      <c r="AU46" s="891" t="s">
        <v>32</v>
      </c>
      <c r="AV46" s="891" t="s">
        <v>32</v>
      </c>
      <c r="AW46" s="891" t="s">
        <v>32</v>
      </c>
      <c r="AX46" s="891" t="s">
        <v>32</v>
      </c>
      <c r="AY46" s="891" t="s">
        <v>34</v>
      </c>
      <c r="AZ46" s="891" t="s">
        <v>32</v>
      </c>
      <c r="BA46" s="891" t="s">
        <v>34</v>
      </c>
      <c r="BB46" s="910"/>
      <c r="BC46" s="891" t="s">
        <v>1877</v>
      </c>
      <c r="BD46" s="891" t="s">
        <v>32</v>
      </c>
      <c r="BE46" s="891" t="s">
        <v>32</v>
      </c>
      <c r="BF46" s="891" t="s">
        <v>35</v>
      </c>
      <c r="BG46" s="891" t="s">
        <v>36</v>
      </c>
      <c r="BH46" s="891"/>
      <c r="BI46" s="891" t="s">
        <v>35</v>
      </c>
      <c r="BJ46" s="891" t="s">
        <v>36</v>
      </c>
      <c r="BK46" s="891" t="s">
        <v>1877</v>
      </c>
      <c r="BL46" s="891" t="s">
        <v>34</v>
      </c>
      <c r="BM46" s="891" t="s">
        <v>36</v>
      </c>
      <c r="BN46" s="891"/>
      <c r="BO46" s="891" t="s">
        <v>1877</v>
      </c>
      <c r="BP46" s="891" t="s">
        <v>35</v>
      </c>
      <c r="BQ46" s="891"/>
      <c r="BR46" s="891"/>
      <c r="BS46" s="891"/>
      <c r="BT46" s="891"/>
      <c r="BU46" s="892"/>
      <c r="BV46" s="896"/>
      <c r="BW46" s="891"/>
      <c r="BX46" s="896"/>
      <c r="BY46" s="896"/>
      <c r="BZ46" s="896"/>
      <c r="CA46" s="896"/>
      <c r="CB46" s="896"/>
      <c r="CC46" s="891"/>
      <c r="CD46" s="891"/>
      <c r="CE46" s="891"/>
      <c r="CF46" s="891"/>
      <c r="CG46" s="891"/>
      <c r="CH46" s="891"/>
      <c r="CI46" s="891"/>
      <c r="CJ46" s="428"/>
      <c r="CK46" s="428"/>
      <c r="CL46" s="428"/>
      <c r="CM46" s="428"/>
    </row>
    <row r="47" spans="1:125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6</v>
      </c>
      <c r="G47" s="879" t="s">
        <v>876</v>
      </c>
      <c r="H47" s="879" t="s">
        <v>22</v>
      </c>
      <c r="I47" s="879" t="s">
        <v>891</v>
      </c>
      <c r="J47" s="846">
        <v>1</v>
      </c>
      <c r="K47" s="846">
        <v>0</v>
      </c>
      <c r="L47" s="816" t="str">
        <f t="shared" si="53"/>
        <v>W</v>
      </c>
      <c r="M47" s="816">
        <f t="shared" si="54"/>
        <v>1</v>
      </c>
      <c r="N47" s="816" t="str">
        <f t="shared" si="55"/>
        <v>U</v>
      </c>
      <c r="O47" s="816">
        <f t="shared" si="22"/>
        <v>0.5</v>
      </c>
      <c r="P47" s="829">
        <f t="shared" si="33"/>
        <v>1</v>
      </c>
      <c r="Q47" s="830">
        <v>-0.67</v>
      </c>
      <c r="R47" s="871">
        <f t="shared" si="52"/>
        <v>1.67</v>
      </c>
      <c r="S47" s="830">
        <v>2.87</v>
      </c>
      <c r="T47" s="871">
        <f t="shared" si="35"/>
        <v>-1.87</v>
      </c>
      <c r="U47" s="868">
        <f t="shared" si="36"/>
        <v>1.1000000000000001</v>
      </c>
      <c r="V47" s="868">
        <f t="shared" si="37"/>
        <v>1.77</v>
      </c>
      <c r="W47" s="829">
        <v>13</v>
      </c>
      <c r="X47" s="829">
        <v>14</v>
      </c>
      <c r="Y47" s="829">
        <v>4</v>
      </c>
      <c r="Z47" s="829">
        <v>1</v>
      </c>
      <c r="AA47" s="829">
        <v>34</v>
      </c>
      <c r="AB47" s="829">
        <v>66</v>
      </c>
      <c r="AC47" s="829"/>
      <c r="AD47" s="816" t="str">
        <f t="array" ref="AD47">IF($J47="","",IF(SUM(IF(ISNUMBER(VALUE(RIGHT($AG47:$EB47,1))),VALUE(RIGHT($AG47:$EB47,1)),0))=$J47,"T","F"))</f>
        <v>T</v>
      </c>
      <c r="AE47" s="831">
        <f t="array" ref="AE47">IF($J47="","",SUM(IF(LEFT($AG47:$EB47,1)="s",1,0))-SUM(IF(RIGHT(LEFT($AG47:$EB47,2))="-",1,0)))</f>
        <v>0</v>
      </c>
      <c r="AF47" s="816">
        <f t="array" ref="AF47">IF($J47="","",SUM(IF(LEFT($AG47:$EB47,1)="X",1,0)))</f>
        <v>11</v>
      </c>
      <c r="AG47" s="891" t="s">
        <v>34</v>
      </c>
      <c r="AH47" s="891" t="s">
        <v>1877</v>
      </c>
      <c r="AI47" s="891" t="s">
        <v>1886</v>
      </c>
      <c r="AJ47" s="910"/>
      <c r="AK47" s="891" t="s">
        <v>32</v>
      </c>
      <c r="AL47" s="891" t="s">
        <v>34</v>
      </c>
      <c r="AM47" s="891" t="s">
        <v>1877</v>
      </c>
      <c r="AN47" s="891" t="s">
        <v>32</v>
      </c>
      <c r="AO47" s="891" t="s">
        <v>36</v>
      </c>
      <c r="AP47" s="891" t="s">
        <v>32</v>
      </c>
      <c r="AQ47" s="891" t="s">
        <v>34</v>
      </c>
      <c r="AR47" s="891" t="s">
        <v>34</v>
      </c>
      <c r="AS47" s="910"/>
      <c r="AT47" s="904" t="s">
        <v>2883</v>
      </c>
      <c r="AU47" s="891" t="s">
        <v>34</v>
      </c>
      <c r="AV47" s="891" t="s">
        <v>35</v>
      </c>
      <c r="AW47" s="891" t="s">
        <v>35</v>
      </c>
      <c r="AX47" s="891" t="s">
        <v>35</v>
      </c>
      <c r="AY47" s="891" t="s">
        <v>32</v>
      </c>
      <c r="AZ47" s="904" t="s">
        <v>34</v>
      </c>
      <c r="BA47" s="891" t="s">
        <v>32</v>
      </c>
      <c r="BB47" s="910"/>
      <c r="BC47" s="891" t="s">
        <v>32</v>
      </c>
      <c r="BD47" s="891" t="s">
        <v>34</v>
      </c>
      <c r="BE47" s="891" t="s">
        <v>32</v>
      </c>
      <c r="BF47" s="891" t="s">
        <v>1877</v>
      </c>
      <c r="BG47" s="891" t="s">
        <v>32</v>
      </c>
      <c r="BH47" s="891"/>
      <c r="BI47" s="891" t="s">
        <v>36</v>
      </c>
      <c r="BJ47" s="891" t="s">
        <v>36</v>
      </c>
      <c r="BK47" s="891"/>
      <c r="BL47" s="891"/>
      <c r="BM47" s="891"/>
      <c r="BN47" s="891"/>
      <c r="BO47" s="891" t="s">
        <v>32</v>
      </c>
      <c r="BP47" s="891" t="s">
        <v>1877</v>
      </c>
      <c r="BQ47" s="891"/>
      <c r="BR47" s="891"/>
      <c r="BS47" s="891"/>
      <c r="BT47" s="891"/>
      <c r="BU47" s="892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896"/>
      <c r="CH47" s="896"/>
      <c r="CI47" s="896"/>
      <c r="CJ47" s="428"/>
      <c r="CK47" s="428"/>
      <c r="CL47" s="428"/>
      <c r="CM47" s="428"/>
    </row>
    <row r="48" spans="1:125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22</v>
      </c>
      <c r="G48" s="879" t="s">
        <v>1087</v>
      </c>
      <c r="H48" s="879" t="s">
        <v>18</v>
      </c>
      <c r="I48" s="879" t="s">
        <v>891</v>
      </c>
      <c r="J48" s="846">
        <v>1</v>
      </c>
      <c r="K48" s="846">
        <v>1</v>
      </c>
      <c r="L48" s="816" t="str">
        <f t="shared" si="53"/>
        <v>D</v>
      </c>
      <c r="M48" s="816">
        <f t="shared" si="54"/>
        <v>2</v>
      </c>
      <c r="N48" s="816" t="str">
        <f t="shared" si="55"/>
        <v>U</v>
      </c>
      <c r="O48" s="816">
        <f t="shared" si="22"/>
        <v>0</v>
      </c>
      <c r="P48" s="829">
        <f t="shared" si="33"/>
        <v>0</v>
      </c>
      <c r="Q48" s="830">
        <v>0.02</v>
      </c>
      <c r="R48" s="871">
        <f t="shared" si="52"/>
        <v>-0.02</v>
      </c>
      <c r="S48" s="830">
        <v>2.48</v>
      </c>
      <c r="T48" s="871">
        <f t="shared" si="35"/>
        <v>-0.48</v>
      </c>
      <c r="U48" s="868">
        <f t="shared" si="36"/>
        <v>1.25</v>
      </c>
      <c r="V48" s="868">
        <f t="shared" si="37"/>
        <v>1.23</v>
      </c>
      <c r="W48" s="829">
        <v>13</v>
      </c>
      <c r="X48" s="829">
        <v>15</v>
      </c>
      <c r="Y48" s="829">
        <v>6</v>
      </c>
      <c r="Z48" s="829">
        <v>5</v>
      </c>
      <c r="AA48" s="829">
        <v>55</v>
      </c>
      <c r="AB48" s="829">
        <v>45</v>
      </c>
      <c r="AC48" s="829"/>
      <c r="AD48" s="816" t="str">
        <f t="array" ref="AD48">IF($J48="","",IF(SUM(IF(ISNUMBER(VALUE(RIGHT($AG48:$EB48,1))),VALUE(RIGHT($AG48:$EB48,1)),0))=$J48,"T","F"))</f>
        <v>T</v>
      </c>
      <c r="AE48" s="831">
        <f t="array" ref="AE48">IF($J48="","",SUM(IF(LEFT($AG48:$EB48,1)="s",1,0))-SUM(IF(RIGHT(LEFT($AG48:$EB48,2))="-",1,0)))</f>
        <v>0</v>
      </c>
      <c r="AF48" s="816">
        <f t="array" ref="AF48">IF($J48="","",SUM(IF(LEFT($AG48:$EB48,1)="X",1,0)))</f>
        <v>11</v>
      </c>
      <c r="AG48" s="891" t="s">
        <v>34</v>
      </c>
      <c r="AH48" s="891" t="s">
        <v>1877</v>
      </c>
      <c r="AI48" s="891" t="s">
        <v>1886</v>
      </c>
      <c r="AJ48" s="891"/>
      <c r="AK48" s="891" t="s">
        <v>32</v>
      </c>
      <c r="AL48" s="891" t="s">
        <v>34</v>
      </c>
      <c r="AM48" s="891" t="s">
        <v>1877</v>
      </c>
      <c r="AN48" s="904" t="s">
        <v>34</v>
      </c>
      <c r="AO48" s="904" t="s">
        <v>36</v>
      </c>
      <c r="AP48" s="891" t="s">
        <v>32</v>
      </c>
      <c r="AQ48" s="891" t="s">
        <v>34</v>
      </c>
      <c r="AR48" s="891" t="s">
        <v>32</v>
      </c>
      <c r="AS48" s="910"/>
      <c r="AT48" s="891" t="s">
        <v>35</v>
      </c>
      <c r="AU48" s="891" t="s">
        <v>34</v>
      </c>
      <c r="AV48" s="904" t="s">
        <v>2911</v>
      </c>
      <c r="AW48" s="891" t="s">
        <v>34</v>
      </c>
      <c r="AX48" s="891" t="s">
        <v>35</v>
      </c>
      <c r="AY48" s="891" t="s">
        <v>32</v>
      </c>
      <c r="AZ48" s="891" t="s">
        <v>34</v>
      </c>
      <c r="BA48" s="891" t="s">
        <v>36</v>
      </c>
      <c r="BB48" s="910"/>
      <c r="BC48" s="891" t="s">
        <v>32</v>
      </c>
      <c r="BD48" s="891" t="s">
        <v>35</v>
      </c>
      <c r="BE48" s="891" t="s">
        <v>32</v>
      </c>
      <c r="BF48" s="891" t="s">
        <v>1877</v>
      </c>
      <c r="BG48" s="891" t="s">
        <v>32</v>
      </c>
      <c r="BH48" s="891"/>
      <c r="BI48" s="891" t="s">
        <v>32</v>
      </c>
      <c r="BJ48" s="891" t="s">
        <v>36</v>
      </c>
      <c r="BK48" s="891" t="s">
        <v>32</v>
      </c>
      <c r="BL48" s="891" t="s">
        <v>1877</v>
      </c>
      <c r="BM48" s="891"/>
      <c r="BN48" s="891"/>
      <c r="BO48" s="910" t="s">
        <v>32</v>
      </c>
      <c r="BP48" s="910" t="s">
        <v>32</v>
      </c>
      <c r="BQ48" s="891"/>
      <c r="BR48" s="891"/>
      <c r="BS48" s="891"/>
      <c r="BT48" s="891"/>
      <c r="BU48" s="892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896"/>
      <c r="CH48" s="896"/>
      <c r="CI48" s="896"/>
      <c r="CJ48" s="428"/>
      <c r="CK48" s="428"/>
      <c r="CL48" s="428"/>
      <c r="CM48" s="428"/>
    </row>
    <row r="49" spans="1:98" ht="15">
      <c r="A49" s="882">
        <v>6421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3</v>
      </c>
      <c r="G49" s="879" t="s">
        <v>1085</v>
      </c>
      <c r="H49" s="879" t="s">
        <v>22</v>
      </c>
      <c r="I49" s="879" t="s">
        <v>891</v>
      </c>
      <c r="J49" s="846">
        <v>0</v>
      </c>
      <c r="K49" s="846">
        <v>1</v>
      </c>
      <c r="L49" s="816" t="str">
        <f t="shared" si="53"/>
        <v>L</v>
      </c>
      <c r="M49" s="816">
        <f t="shared" si="54"/>
        <v>1</v>
      </c>
      <c r="N49" s="816" t="str">
        <f t="shared" si="55"/>
        <v>U</v>
      </c>
      <c r="O49" s="816">
        <f t="shared" si="22"/>
        <v>0.5</v>
      </c>
      <c r="P49" s="829">
        <f t="shared" si="33"/>
        <v>-1</v>
      </c>
      <c r="Q49" s="830">
        <v>-0.54</v>
      </c>
      <c r="R49" s="871">
        <f t="shared" si="52"/>
        <v>-0.45999999999999996</v>
      </c>
      <c r="S49" s="830">
        <v>2.7</v>
      </c>
      <c r="T49" s="871">
        <f t="shared" si="35"/>
        <v>-1.7000000000000002</v>
      </c>
      <c r="U49" s="868">
        <f t="shared" si="36"/>
        <v>1.08</v>
      </c>
      <c r="V49" s="868">
        <f t="shared" si="37"/>
        <v>1.62</v>
      </c>
      <c r="W49" s="829">
        <v>7</v>
      </c>
      <c r="X49" s="829">
        <v>15</v>
      </c>
      <c r="Y49" s="829">
        <v>1</v>
      </c>
      <c r="Z49" s="829">
        <v>4</v>
      </c>
      <c r="AA49" s="829">
        <v>55</v>
      </c>
      <c r="AB49" s="829">
        <v>45</v>
      </c>
      <c r="AC49" s="829"/>
      <c r="AD49" s="816" t="str">
        <f t="array" ref="AD49">IF($J49="","",IF(SUM(IF(ISNUMBER(VALUE(RIGHT($AG49:$EB49,1))),VALUE(RIGHT($AG49:$EB49,1)),0))=$J49,"T","F"))</f>
        <v>T</v>
      </c>
      <c r="AE49" s="831">
        <f t="array" ref="AE49">IF($J49="","",SUM(IF(LEFT($AG49:$EB49,1)="s",1,0))-SUM(IF(RIGHT(LEFT($AG49:$EB49,2))="-",1,0)))</f>
        <v>0</v>
      </c>
      <c r="AF49" s="816">
        <f t="array" ref="AF49">IF($J49="","",SUM(IF(LEFT($AG49:$EB49,1)="X",1,0)))</f>
        <v>11</v>
      </c>
      <c r="AG49" s="891" t="s">
        <v>34</v>
      </c>
      <c r="AH49" s="891" t="s">
        <v>1877</v>
      </c>
      <c r="AI49" s="891" t="s">
        <v>2946</v>
      </c>
      <c r="AJ49" s="891" t="s">
        <v>32</v>
      </c>
      <c r="AK49" s="891" t="s">
        <v>32</v>
      </c>
      <c r="AL49" s="891" t="s">
        <v>34</v>
      </c>
      <c r="AM49" s="891" t="s">
        <v>1877</v>
      </c>
      <c r="AN49" s="891" t="s">
        <v>32</v>
      </c>
      <c r="AO49" s="891" t="s">
        <v>32</v>
      </c>
      <c r="AP49" s="891" t="s">
        <v>32</v>
      </c>
      <c r="AQ49" s="904" t="s">
        <v>34</v>
      </c>
      <c r="AR49" s="891" t="s">
        <v>35</v>
      </c>
      <c r="AS49" s="910"/>
      <c r="AT49" s="891" t="s">
        <v>34</v>
      </c>
      <c r="AU49" s="891" t="s">
        <v>34</v>
      </c>
      <c r="AV49" s="891" t="s">
        <v>34</v>
      </c>
      <c r="AW49" s="891" t="s">
        <v>34</v>
      </c>
      <c r="AX49" s="891" t="s">
        <v>32</v>
      </c>
      <c r="AY49" s="891" t="s">
        <v>32</v>
      </c>
      <c r="AZ49" s="891" t="s">
        <v>34</v>
      </c>
      <c r="BA49" s="891" t="s">
        <v>35</v>
      </c>
      <c r="BB49" s="910"/>
      <c r="BC49" s="891" t="s">
        <v>32</v>
      </c>
      <c r="BD49" s="891" t="s">
        <v>32</v>
      </c>
      <c r="BE49" s="891" t="s">
        <v>32</v>
      </c>
      <c r="BF49" s="904" t="s">
        <v>35</v>
      </c>
      <c r="BG49" s="891" t="s">
        <v>36</v>
      </c>
      <c r="BH49" s="891"/>
      <c r="BI49" s="891" t="s">
        <v>36</v>
      </c>
      <c r="BJ49" s="891" t="s">
        <v>1877</v>
      </c>
      <c r="BK49" s="891" t="s">
        <v>36</v>
      </c>
      <c r="BL49" s="891" t="s">
        <v>1877</v>
      </c>
      <c r="BM49" s="891" t="s">
        <v>32</v>
      </c>
      <c r="BN49" s="891" t="s">
        <v>32</v>
      </c>
      <c r="BO49" s="910"/>
      <c r="BP49" s="910"/>
      <c r="BQ49" s="891"/>
      <c r="BR49" s="891"/>
      <c r="BS49" s="891"/>
      <c r="BT49" s="891" t="s">
        <v>32</v>
      </c>
      <c r="BU49" s="892" t="s">
        <v>32</v>
      </c>
      <c r="BV49" s="896" t="s">
        <v>32</v>
      </c>
      <c r="BW49" s="896" t="s">
        <v>32</v>
      </c>
      <c r="BX49" s="896" t="s">
        <v>32</v>
      </c>
      <c r="BY49" s="896" t="s">
        <v>32</v>
      </c>
      <c r="BZ49" s="896" t="s">
        <v>32</v>
      </c>
      <c r="CA49" s="896" t="s">
        <v>32</v>
      </c>
      <c r="CB49" s="896" t="s">
        <v>32</v>
      </c>
      <c r="CC49" s="896" t="s">
        <v>32</v>
      </c>
      <c r="CD49" s="896" t="s">
        <v>32</v>
      </c>
      <c r="CE49" s="896"/>
      <c r="CF49" s="896"/>
      <c r="CG49" s="896"/>
      <c r="CH49" s="896"/>
      <c r="CI49" s="896"/>
      <c r="CJ49" s="428"/>
      <c r="CK49" s="428"/>
      <c r="CL49" s="428"/>
      <c r="CM49" s="428"/>
    </row>
    <row r="50" spans="1:98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20</v>
      </c>
      <c r="G50" s="879" t="s">
        <v>882</v>
      </c>
      <c r="H50" s="879" t="s">
        <v>18</v>
      </c>
      <c r="I50" s="879" t="s">
        <v>891</v>
      </c>
      <c r="J50" s="846">
        <v>2</v>
      </c>
      <c r="K50" s="846">
        <v>1</v>
      </c>
      <c r="L50" s="816" t="str">
        <f t="shared" si="53"/>
        <v>W</v>
      </c>
      <c r="M50" s="816">
        <f t="shared" si="54"/>
        <v>3</v>
      </c>
      <c r="N50" s="816" t="str">
        <f t="shared" si="55"/>
        <v>O</v>
      </c>
      <c r="O50" s="816">
        <f t="shared" si="22"/>
        <v>0.5</v>
      </c>
      <c r="P50" s="829">
        <f t="shared" si="33"/>
        <v>1</v>
      </c>
      <c r="Q50" s="830">
        <v>-0.68</v>
      </c>
      <c r="R50" s="871">
        <f t="shared" ref="R50:R66" si="56">IF(ISBLANK(Q50),"",J50-K50-Q50)</f>
        <v>1.6800000000000002</v>
      </c>
      <c r="S50" s="830">
        <v>2.5299999999999998</v>
      </c>
      <c r="T50" s="871">
        <f t="shared" si="35"/>
        <v>0.4700000000000002</v>
      </c>
      <c r="U50" s="868">
        <f t="shared" si="36"/>
        <v>0.92499999999999982</v>
      </c>
      <c r="V50" s="868">
        <f t="shared" si="37"/>
        <v>1.605</v>
      </c>
      <c r="W50" s="829">
        <v>12</v>
      </c>
      <c r="X50" s="829">
        <v>9</v>
      </c>
      <c r="Y50" s="829">
        <v>3</v>
      </c>
      <c r="Z50" s="829">
        <v>3</v>
      </c>
      <c r="AA50" s="829">
        <v>50</v>
      </c>
      <c r="AB50" s="829">
        <v>50</v>
      </c>
      <c r="AC50" s="829"/>
      <c r="AD50" s="816" t="str">
        <f t="array" ref="AD50">IF($J50="","",IF(SUM(IF(ISNUMBER(VALUE(RIGHT($AG50:$EB50,1))),VALUE(RIGHT($AG50:$EB50,1)),0))=$J50,"T","F"))</f>
        <v>T</v>
      </c>
      <c r="AE50" s="831">
        <f t="array" ref="AE50">IF($J50="","",SUM(IF(LEFT($AG50:$EB50,1)="s",1,0))-SUM(IF(RIGHT(LEFT($AG50:$EB50,2))="-",1,0)))</f>
        <v>0</v>
      </c>
      <c r="AF50" s="816">
        <f t="array" ref="AF50">IF($J50="","",SUM(IF(LEFT($AG50:$EB50,1)="X",1,0)))</f>
        <v>11</v>
      </c>
      <c r="AG50" s="891" t="s">
        <v>34</v>
      </c>
      <c r="AH50" s="891" t="s">
        <v>1877</v>
      </c>
      <c r="AI50" s="891" t="s">
        <v>1886</v>
      </c>
      <c r="AJ50" s="891" t="s">
        <v>32</v>
      </c>
      <c r="AK50" s="891" t="s">
        <v>32</v>
      </c>
      <c r="AL50" s="891" t="s">
        <v>32</v>
      </c>
      <c r="AM50" s="891" t="s">
        <v>3027</v>
      </c>
      <c r="AN50" s="891" t="s">
        <v>34</v>
      </c>
      <c r="AO50" s="891" t="s">
        <v>35</v>
      </c>
      <c r="AP50" s="891" t="s">
        <v>32</v>
      </c>
      <c r="AQ50" s="891" t="s">
        <v>34</v>
      </c>
      <c r="AR50" s="891" t="s">
        <v>32</v>
      </c>
      <c r="AS50" s="891" t="s">
        <v>32</v>
      </c>
      <c r="AT50" s="891" t="s">
        <v>34</v>
      </c>
      <c r="AU50" s="891" t="s">
        <v>34</v>
      </c>
      <c r="AV50" s="891" t="s">
        <v>3028</v>
      </c>
      <c r="AW50" s="891" t="s">
        <v>32</v>
      </c>
      <c r="AX50" s="891" t="s">
        <v>32</v>
      </c>
      <c r="AY50" s="891" t="s">
        <v>1877</v>
      </c>
      <c r="AZ50" s="891" t="s">
        <v>34</v>
      </c>
      <c r="BA50" s="891" t="s">
        <v>35</v>
      </c>
      <c r="BB50" s="891" t="s">
        <v>32</v>
      </c>
      <c r="BC50" s="891" t="s">
        <v>32</v>
      </c>
      <c r="BD50" s="891" t="s">
        <v>36</v>
      </c>
      <c r="BE50" s="891" t="s">
        <v>32</v>
      </c>
      <c r="BF50" s="891" t="s">
        <v>3026</v>
      </c>
      <c r="BG50" s="891" t="s">
        <v>1877</v>
      </c>
      <c r="BH50" s="891"/>
      <c r="BI50" s="891" t="s">
        <v>32</v>
      </c>
      <c r="BJ50" s="891" t="s">
        <v>34</v>
      </c>
      <c r="BK50" s="891" t="s">
        <v>36</v>
      </c>
      <c r="BL50" s="904" t="s">
        <v>36</v>
      </c>
      <c r="BM50" s="891" t="s">
        <v>1877</v>
      </c>
      <c r="BN50" s="891" t="s">
        <v>32</v>
      </c>
      <c r="BO50" s="910" t="s">
        <v>32</v>
      </c>
      <c r="BP50" s="910" t="s">
        <v>32</v>
      </c>
      <c r="BQ50" s="891"/>
      <c r="BR50" s="891"/>
      <c r="BS50" s="891"/>
      <c r="BT50" s="891"/>
      <c r="BU50" s="892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896"/>
      <c r="CH50" s="896"/>
      <c r="CI50" s="896"/>
      <c r="CJ50" s="428"/>
      <c r="CK50" s="428"/>
      <c r="CL50" s="428"/>
      <c r="CM50" s="428"/>
    </row>
    <row r="51" spans="1:98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5</v>
      </c>
      <c r="G51" s="879" t="s">
        <v>889</v>
      </c>
      <c r="H51" s="879" t="s">
        <v>18</v>
      </c>
      <c r="I51" s="879" t="s">
        <v>891</v>
      </c>
      <c r="J51" s="908">
        <v>0</v>
      </c>
      <c r="K51" s="846">
        <v>1</v>
      </c>
      <c r="L51" s="816" t="str">
        <f t="shared" si="53"/>
        <v>L</v>
      </c>
      <c r="M51" s="816">
        <f t="shared" si="54"/>
        <v>1</v>
      </c>
      <c r="N51" s="816" t="str">
        <f t="shared" si="55"/>
        <v>U</v>
      </c>
      <c r="O51" s="816">
        <f t="shared" si="22"/>
        <v>0.75</v>
      </c>
      <c r="P51" s="829">
        <f t="shared" si="33"/>
        <v>-0.5</v>
      </c>
      <c r="Q51" s="830">
        <v>-0.83</v>
      </c>
      <c r="R51" s="871">
        <f t="shared" si="56"/>
        <v>-0.17000000000000004</v>
      </c>
      <c r="S51" s="830">
        <v>2.65</v>
      </c>
      <c r="T51" s="871">
        <f t="shared" si="35"/>
        <v>-1.65</v>
      </c>
      <c r="U51" s="868">
        <f t="shared" si="36"/>
        <v>0.90999999999999992</v>
      </c>
      <c r="V51" s="868">
        <f t="shared" si="37"/>
        <v>1.74</v>
      </c>
      <c r="W51" s="829">
        <v>3</v>
      </c>
      <c r="X51" s="829">
        <v>28</v>
      </c>
      <c r="Y51" s="816">
        <v>0</v>
      </c>
      <c r="Z51" s="829">
        <v>9</v>
      </c>
      <c r="AA51" s="829">
        <v>32</v>
      </c>
      <c r="AB51" s="829">
        <v>68</v>
      </c>
      <c r="AC51" s="829"/>
      <c r="AD51" s="816" t="str">
        <f t="array" ref="AD51">IF($J51="","",IF(SUM(IF(ISNUMBER(VALUE(RIGHT($AG51:$EB51,1))),VALUE(RIGHT($AG51:$EB51,1)),0))=$J51,"T","F"))</f>
        <v>T</v>
      </c>
      <c r="AE51" s="831">
        <f t="array" ref="AE51">IF($J51="","",SUM(IF(LEFT($AG51:$EB51,1)="s",1,0))-SUM(IF(RIGHT(LEFT($AG51:$EB51,2))="-",1,0)))</f>
        <v>0</v>
      </c>
      <c r="AF51" s="816">
        <f t="array" ref="AF51">IF($J51="","",SUM(IF(LEFT($AG51:$EB51,1)="X",1,0)))</f>
        <v>11</v>
      </c>
      <c r="AG51" s="891" t="s">
        <v>34</v>
      </c>
      <c r="AH51" s="891" t="s">
        <v>1877</v>
      </c>
      <c r="AI51" s="891" t="s">
        <v>1886</v>
      </c>
      <c r="AJ51" s="891" t="s">
        <v>32</v>
      </c>
      <c r="AK51" s="891" t="s">
        <v>32</v>
      </c>
      <c r="AL51" s="891" t="s">
        <v>32</v>
      </c>
      <c r="AM51" s="891" t="s">
        <v>34</v>
      </c>
      <c r="AN51" s="891" t="s">
        <v>34</v>
      </c>
      <c r="AO51" s="891" t="s">
        <v>32</v>
      </c>
      <c r="AP51" s="891" t="s">
        <v>32</v>
      </c>
      <c r="AQ51" s="891" t="s">
        <v>35</v>
      </c>
      <c r="AR51" s="891" t="s">
        <v>32</v>
      </c>
      <c r="AS51" s="906" t="s">
        <v>3068</v>
      </c>
      <c r="AT51" s="891" t="s">
        <v>34</v>
      </c>
      <c r="AU51" s="909" t="s">
        <v>34</v>
      </c>
      <c r="AV51" s="891" t="s">
        <v>35</v>
      </c>
      <c r="AW51" s="891" t="s">
        <v>34</v>
      </c>
      <c r="AX51" s="891" t="s">
        <v>35</v>
      </c>
      <c r="AY51" s="891" t="s">
        <v>32</v>
      </c>
      <c r="AZ51" s="891" t="s">
        <v>34</v>
      </c>
      <c r="BA51" s="891" t="s">
        <v>36</v>
      </c>
      <c r="BB51" s="891" t="s">
        <v>32</v>
      </c>
      <c r="BC51" s="891" t="s">
        <v>32</v>
      </c>
      <c r="BD51" s="891" t="s">
        <v>34</v>
      </c>
      <c r="BE51" s="891" t="s">
        <v>32</v>
      </c>
      <c r="BF51" s="891" t="s">
        <v>32</v>
      </c>
      <c r="BG51" s="891" t="s">
        <v>36</v>
      </c>
      <c r="BH51" s="891"/>
      <c r="BI51" s="891" t="s">
        <v>32</v>
      </c>
      <c r="BJ51" s="891" t="s">
        <v>1877</v>
      </c>
      <c r="BK51" s="891" t="s">
        <v>32</v>
      </c>
      <c r="BL51" s="891" t="s">
        <v>1877</v>
      </c>
      <c r="BM51" s="891" t="s">
        <v>1877</v>
      </c>
      <c r="BN51" s="891"/>
      <c r="BO51" s="910"/>
      <c r="BP51" s="910"/>
      <c r="BQ51" s="891"/>
      <c r="BR51" s="891"/>
      <c r="BS51" s="891"/>
      <c r="BT51" s="891"/>
      <c r="BU51" s="892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896"/>
      <c r="CH51" s="896"/>
      <c r="CI51" s="896"/>
      <c r="CJ51" s="428"/>
      <c r="CK51" s="428"/>
      <c r="CL51" s="428"/>
      <c r="CM51" s="428"/>
    </row>
    <row r="52" spans="1:98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18</v>
      </c>
      <c r="G52" s="879" t="s">
        <v>887</v>
      </c>
      <c r="H52" s="879" t="s">
        <v>22</v>
      </c>
      <c r="I52" s="879" t="s">
        <v>891</v>
      </c>
      <c r="J52" s="846">
        <v>0</v>
      </c>
      <c r="K52" s="846">
        <v>0</v>
      </c>
      <c r="L52" s="816" t="str">
        <f t="shared" si="40"/>
        <v>D</v>
      </c>
      <c r="M52" s="816">
        <f t="shared" si="41"/>
        <v>0</v>
      </c>
      <c r="N52" s="816" t="str">
        <f t="shared" si="42"/>
        <v>U</v>
      </c>
      <c r="O52" s="816">
        <f t="shared" si="22"/>
        <v>0.5</v>
      </c>
      <c r="P52" s="829">
        <f t="shared" si="33"/>
        <v>1</v>
      </c>
      <c r="Q52" s="830">
        <v>-0.45</v>
      </c>
      <c r="R52" s="871">
        <f t="shared" si="56"/>
        <v>0.45</v>
      </c>
      <c r="S52" s="830">
        <v>2.5299999999999998</v>
      </c>
      <c r="T52" s="871">
        <f t="shared" si="35"/>
        <v>-2.5299999999999998</v>
      </c>
      <c r="U52" s="868">
        <f t="shared" si="36"/>
        <v>1.0399999999999998</v>
      </c>
      <c r="V52" s="868">
        <f t="shared" si="37"/>
        <v>1.49</v>
      </c>
      <c r="W52" s="829">
        <v>10</v>
      </c>
      <c r="X52" s="829">
        <v>8</v>
      </c>
      <c r="Y52" s="829">
        <v>4</v>
      </c>
      <c r="Z52" s="829">
        <v>1</v>
      </c>
      <c r="AA52" s="829">
        <v>38</v>
      </c>
      <c r="AB52" s="829">
        <v>62</v>
      </c>
      <c r="AC52" s="829"/>
      <c r="AD52" s="816" t="str">
        <f t="array" ref="AD52">IF($J52="","",IF(SUM(IF(ISNUMBER(VALUE(RIGHT($AG52:$EB52,1))),VALUE(RIGHT($AG52:$EB52,1)),0))=$J52,"T","F"))</f>
        <v>T</v>
      </c>
      <c r="AE52" s="831">
        <f t="array" ref="AE52">IF($J52="","",SUM(IF(LEFT($AG52:$EB52,1)="s",1,0))-SUM(IF(RIGHT(LEFT($AG52:$EB52,2))="-",1,0)))</f>
        <v>0</v>
      </c>
      <c r="AF52" s="816">
        <f t="array" ref="AF52">IF($J52="","",SUM(IF(LEFT($AG52:$EB52,1)="X",1,0)))</f>
        <v>11</v>
      </c>
      <c r="AG52" s="891" t="s">
        <v>34</v>
      </c>
      <c r="AH52" s="891" t="s">
        <v>1877</v>
      </c>
      <c r="AI52" s="891" t="s">
        <v>1886</v>
      </c>
      <c r="AJ52" s="891" t="s">
        <v>32</v>
      </c>
      <c r="AK52" s="891" t="s">
        <v>32</v>
      </c>
      <c r="AL52" s="891" t="s">
        <v>32</v>
      </c>
      <c r="AM52" s="891" t="s">
        <v>34</v>
      </c>
      <c r="AN52" s="891" t="s">
        <v>34</v>
      </c>
      <c r="AO52" s="891" t="s">
        <v>34</v>
      </c>
      <c r="AP52" s="891" t="s">
        <v>32</v>
      </c>
      <c r="AQ52" s="891" t="s">
        <v>34</v>
      </c>
      <c r="AR52" s="891" t="s">
        <v>32</v>
      </c>
      <c r="AS52" s="891" t="s">
        <v>34</v>
      </c>
      <c r="AT52" s="891" t="s">
        <v>35</v>
      </c>
      <c r="AU52" s="891" t="s">
        <v>3081</v>
      </c>
      <c r="AV52" s="891" t="s">
        <v>34</v>
      </c>
      <c r="AW52" s="891" t="s">
        <v>35</v>
      </c>
      <c r="AX52" s="891" t="s">
        <v>3143</v>
      </c>
      <c r="AY52" s="891" t="s">
        <v>1877</v>
      </c>
      <c r="AZ52" s="891" t="s">
        <v>35</v>
      </c>
      <c r="BA52" s="891" t="s">
        <v>36</v>
      </c>
      <c r="BB52" s="891" t="s">
        <v>32</v>
      </c>
      <c r="BC52" s="891" t="s">
        <v>32</v>
      </c>
      <c r="BD52" s="891" t="s">
        <v>34</v>
      </c>
      <c r="BE52" s="891" t="s">
        <v>32</v>
      </c>
      <c r="BF52" s="891" t="s">
        <v>1877</v>
      </c>
      <c r="BG52" s="891" t="s">
        <v>36</v>
      </c>
      <c r="BH52" s="891"/>
      <c r="BI52" s="891" t="s">
        <v>32</v>
      </c>
      <c r="BJ52" s="891" t="s">
        <v>1877</v>
      </c>
      <c r="BK52" s="891" t="s">
        <v>32</v>
      </c>
      <c r="BL52" s="891" t="s">
        <v>36</v>
      </c>
      <c r="BM52" s="891"/>
      <c r="BN52" s="891"/>
      <c r="BO52" s="910"/>
      <c r="BP52" s="910"/>
      <c r="BQ52" s="891"/>
      <c r="BR52" s="891"/>
      <c r="BS52" s="891"/>
      <c r="BT52" s="891"/>
      <c r="BU52" s="892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896"/>
      <c r="CH52" s="896"/>
      <c r="CI52" s="896"/>
      <c r="CJ52" s="428"/>
      <c r="CK52" s="428"/>
      <c r="CL52" s="428"/>
      <c r="CM52" s="428"/>
    </row>
    <row r="53" spans="1:98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</v>
      </c>
      <c r="G53" s="879" t="s">
        <v>1086</v>
      </c>
      <c r="H53" s="879" t="s">
        <v>18</v>
      </c>
      <c r="I53" s="879" t="s">
        <v>891</v>
      </c>
      <c r="J53" s="846">
        <v>0</v>
      </c>
      <c r="K53" s="846">
        <v>0</v>
      </c>
      <c r="L53" s="816" t="str">
        <f t="shared" si="40"/>
        <v>D</v>
      </c>
      <c r="M53" s="816">
        <f t="shared" si="41"/>
        <v>0</v>
      </c>
      <c r="N53" s="816" t="str">
        <f t="shared" si="42"/>
        <v>U</v>
      </c>
      <c r="O53" s="816">
        <f t="shared" si="22"/>
        <v>1</v>
      </c>
      <c r="P53" s="829">
        <f t="shared" si="33"/>
        <v>1</v>
      </c>
      <c r="Q53" s="830">
        <v>-0.97</v>
      </c>
      <c r="R53" s="871">
        <f t="shared" si="56"/>
        <v>0.97</v>
      </c>
      <c r="S53" s="830">
        <v>2.5099999999999998</v>
      </c>
      <c r="T53" s="871">
        <f t="shared" si="35"/>
        <v>-2.5099999999999998</v>
      </c>
      <c r="U53" s="868">
        <f t="shared" si="36"/>
        <v>0.76999999999999991</v>
      </c>
      <c r="V53" s="868">
        <f t="shared" si="37"/>
        <v>1.7399999999999998</v>
      </c>
      <c r="W53" s="829">
        <v>9</v>
      </c>
      <c r="X53" s="829">
        <v>20</v>
      </c>
      <c r="Y53" s="829">
        <v>2</v>
      </c>
      <c r="Z53" s="829">
        <v>4</v>
      </c>
      <c r="AA53" s="829">
        <v>44</v>
      </c>
      <c r="AB53" s="829">
        <v>56</v>
      </c>
      <c r="AC53" s="829"/>
      <c r="AD53" s="816" t="str">
        <f t="array" ref="AD53">IF($J53="","",IF(SUM(IF(ISNUMBER(VALUE(RIGHT($AG53:$EB53,1))),VALUE(RIGHT($AG53:$EB53,1)),0))=$J53,"T","F"))</f>
        <v>T</v>
      </c>
      <c r="AE53" s="831">
        <f t="array" ref="AE53">IF($J53="","",SUM(IF(LEFT($AG53:$EB53,1)="s",1,0))-SUM(IF(RIGHT(LEFT($AG53:$EB53,2))="-",1,0)))</f>
        <v>0</v>
      </c>
      <c r="AF53" s="816">
        <f t="array" ref="AF53">IF($J53="","",SUM(IF(LEFT($AG53:$EB53,1)="X",1,0)))</f>
        <v>11</v>
      </c>
      <c r="AG53" s="891" t="s">
        <v>34</v>
      </c>
      <c r="AH53" s="891" t="s">
        <v>1877</v>
      </c>
      <c r="AI53" s="891" t="s">
        <v>3135</v>
      </c>
      <c r="AJ53" s="891" t="s">
        <v>32</v>
      </c>
      <c r="AK53" s="891" t="s">
        <v>32</v>
      </c>
      <c r="AL53" s="891" t="s">
        <v>32</v>
      </c>
      <c r="AM53" s="891" t="s">
        <v>34</v>
      </c>
      <c r="AN53" s="891" t="s">
        <v>34</v>
      </c>
      <c r="AO53" s="891" t="s">
        <v>34</v>
      </c>
      <c r="AP53" s="891" t="s">
        <v>32</v>
      </c>
      <c r="AQ53" s="891" t="s">
        <v>34</v>
      </c>
      <c r="AR53" s="891" t="s">
        <v>32</v>
      </c>
      <c r="AS53" s="891" t="s">
        <v>1877</v>
      </c>
      <c r="AT53" s="891" t="s">
        <v>34</v>
      </c>
      <c r="AU53" s="891" t="s">
        <v>34</v>
      </c>
      <c r="AV53" s="891" t="s">
        <v>35</v>
      </c>
      <c r="AW53" s="904" t="s">
        <v>35</v>
      </c>
      <c r="AX53" s="891" t="s">
        <v>32</v>
      </c>
      <c r="AY53" s="891" t="s">
        <v>32</v>
      </c>
      <c r="AZ53" s="891" t="s">
        <v>34</v>
      </c>
      <c r="BA53" s="891" t="s">
        <v>36</v>
      </c>
      <c r="BB53" s="891" t="s">
        <v>32</v>
      </c>
      <c r="BC53" s="891" t="s">
        <v>32</v>
      </c>
      <c r="BD53" s="891" t="s">
        <v>35</v>
      </c>
      <c r="BE53" s="891" t="s">
        <v>32</v>
      </c>
      <c r="BF53" s="891" t="s">
        <v>1877</v>
      </c>
      <c r="BG53" s="891" t="s">
        <v>36</v>
      </c>
      <c r="BH53" s="891"/>
      <c r="BI53" s="891" t="s">
        <v>32</v>
      </c>
      <c r="BJ53" s="891" t="s">
        <v>36</v>
      </c>
      <c r="BK53" s="891" t="s">
        <v>32</v>
      </c>
      <c r="BL53" s="891" t="s">
        <v>1877</v>
      </c>
      <c r="BM53" s="891" t="s">
        <v>32</v>
      </c>
      <c r="BN53" s="891" t="s">
        <v>32</v>
      </c>
      <c r="BO53" s="910" t="s">
        <v>32</v>
      </c>
      <c r="BP53" s="910" t="s">
        <v>32</v>
      </c>
      <c r="BQ53" s="891"/>
      <c r="BR53" s="891"/>
      <c r="BS53" s="891"/>
      <c r="BT53" s="891"/>
      <c r="BU53" s="892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896"/>
      <c r="CH53" s="896"/>
      <c r="CI53" s="896"/>
      <c r="CJ53" s="428"/>
      <c r="CK53" s="428"/>
      <c r="CL53" s="428"/>
      <c r="CM53" s="428"/>
    </row>
    <row r="54" spans="1:98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13</v>
      </c>
      <c r="G54" s="879" t="s">
        <v>884</v>
      </c>
      <c r="H54" s="879" t="s">
        <v>22</v>
      </c>
      <c r="I54" s="879" t="s">
        <v>891</v>
      </c>
      <c r="J54" s="846">
        <v>0</v>
      </c>
      <c r="K54" s="846">
        <v>1</v>
      </c>
      <c r="L54" s="816" t="str">
        <f t="shared" si="40"/>
        <v>L</v>
      </c>
      <c r="M54" s="816">
        <f t="shared" si="41"/>
        <v>1</v>
      </c>
      <c r="N54" s="816" t="str">
        <f t="shared" si="42"/>
        <v>U</v>
      </c>
      <c r="O54" s="816">
        <f t="shared" si="22"/>
        <v>0.25</v>
      </c>
      <c r="P54" s="829">
        <f t="shared" si="33"/>
        <v>-1</v>
      </c>
      <c r="Q54" s="830">
        <v>-0.26</v>
      </c>
      <c r="R54" s="871">
        <f t="shared" si="56"/>
        <v>-0.74</v>
      </c>
      <c r="S54" s="830">
        <v>2.2400000000000002</v>
      </c>
      <c r="T54" s="871">
        <f t="shared" si="35"/>
        <v>-1.2400000000000002</v>
      </c>
      <c r="U54" s="868">
        <f t="shared" si="36"/>
        <v>0.9900000000000001</v>
      </c>
      <c r="V54" s="868">
        <f t="shared" si="37"/>
        <v>1.25</v>
      </c>
      <c r="W54" s="829">
        <v>7</v>
      </c>
      <c r="X54" s="829">
        <v>19</v>
      </c>
      <c r="Y54" s="829">
        <v>2</v>
      </c>
      <c r="Z54" s="829">
        <v>6</v>
      </c>
      <c r="AA54" s="829">
        <v>49</v>
      </c>
      <c r="AB54" s="829">
        <v>51</v>
      </c>
      <c r="AC54" s="829"/>
      <c r="AD54" s="816" t="str">
        <f t="array" ref="AD54">IF($J54="","",IF(SUM(IF(ISNUMBER(VALUE(RIGHT($AG54:$EB54,1))),VALUE(RIGHT($AG54:$EB54,1)),0))=$J54,"T","F"))</f>
        <v>T</v>
      </c>
      <c r="AE54" s="831">
        <f t="array" ref="AE54">IF($J54="","",SUM(IF(LEFT($AG54:$EB54,1)="s",1,0))-SUM(IF(RIGHT(LEFT($AG54:$EB54,2))="-",1,0)))</f>
        <v>0</v>
      </c>
      <c r="AF54" s="816">
        <f t="array" ref="AF54">IF($J54="","",SUM(IF(LEFT($AG54:$EB54,1)="X",1,0)))</f>
        <v>11</v>
      </c>
      <c r="AG54" s="891" t="s">
        <v>34</v>
      </c>
      <c r="AH54" s="891" t="s">
        <v>1877</v>
      </c>
      <c r="AI54" s="891" t="s">
        <v>32</v>
      </c>
      <c r="AJ54" s="891" t="s">
        <v>32</v>
      </c>
      <c r="AK54" s="891" t="s">
        <v>32</v>
      </c>
      <c r="AL54" s="891" t="s">
        <v>32</v>
      </c>
      <c r="AM54" s="904" t="s">
        <v>34</v>
      </c>
      <c r="AN54" s="891" t="s">
        <v>34</v>
      </c>
      <c r="AO54" s="891" t="s">
        <v>34</v>
      </c>
      <c r="AP54" s="891" t="s">
        <v>32</v>
      </c>
      <c r="AQ54" s="891" t="s">
        <v>35</v>
      </c>
      <c r="AR54" s="891" t="s">
        <v>32</v>
      </c>
      <c r="AS54" s="891" t="s">
        <v>1877</v>
      </c>
      <c r="AT54" s="891" t="s">
        <v>34</v>
      </c>
      <c r="AU54" s="891" t="s">
        <v>34</v>
      </c>
      <c r="AV54" s="891" t="s">
        <v>34</v>
      </c>
      <c r="AW54" s="891" t="s">
        <v>3157</v>
      </c>
      <c r="AX54" s="891" t="s">
        <v>32</v>
      </c>
      <c r="AY54" s="891" t="s">
        <v>32</v>
      </c>
      <c r="AZ54" s="891" t="s">
        <v>34</v>
      </c>
      <c r="BA54" s="891" t="s">
        <v>32</v>
      </c>
      <c r="BB54" s="891" t="s">
        <v>32</v>
      </c>
      <c r="BC54" s="891" t="s">
        <v>32</v>
      </c>
      <c r="BD54" s="904" t="s">
        <v>35</v>
      </c>
      <c r="BE54" s="891" t="s">
        <v>32</v>
      </c>
      <c r="BF54" s="891" t="s">
        <v>36</v>
      </c>
      <c r="BG54" s="891" t="s">
        <v>1877</v>
      </c>
      <c r="BH54" s="904" t="s">
        <v>3167</v>
      </c>
      <c r="BI54" s="891" t="s">
        <v>32</v>
      </c>
      <c r="BJ54" s="891" t="s">
        <v>36</v>
      </c>
      <c r="BK54" s="891" t="s">
        <v>32</v>
      </c>
      <c r="BL54" s="891" t="s">
        <v>1877</v>
      </c>
      <c r="BM54" s="904" t="s">
        <v>36</v>
      </c>
      <c r="BN54" s="891" t="s">
        <v>32</v>
      </c>
      <c r="BO54" s="910" t="s">
        <v>32</v>
      </c>
      <c r="BP54" s="910" t="s">
        <v>32</v>
      </c>
      <c r="BQ54" s="891"/>
      <c r="BR54" s="891"/>
      <c r="BS54" s="891"/>
      <c r="BT54" s="891"/>
      <c r="BU54" s="892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896"/>
      <c r="CH54" s="896"/>
      <c r="CI54" s="896"/>
      <c r="CJ54" s="428"/>
      <c r="CK54" s="428"/>
      <c r="CL54" s="428"/>
      <c r="CM54" s="428"/>
    </row>
    <row r="55" spans="1:98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16</v>
      </c>
      <c r="G55" s="879" t="s">
        <v>872</v>
      </c>
      <c r="H55" s="879" t="s">
        <v>22</v>
      </c>
      <c r="I55" s="879" t="s">
        <v>891</v>
      </c>
      <c r="J55" s="846">
        <v>0</v>
      </c>
      <c r="K55" s="846">
        <v>1</v>
      </c>
      <c r="L55" s="816" t="str">
        <f>IF(J55="","",IF(J55&gt;K55,"W",IF(J55=K55,"D",IF(J55&lt;K55,"L"))))</f>
        <v>L</v>
      </c>
      <c r="M55" s="816">
        <f>IF(J55="","",J55+K55)</f>
        <v>1</v>
      </c>
      <c r="N55" s="816" t="str">
        <f>IF($J55="","",IF($M55&gt;N$19,"O",IF($M55&lt;N$19,"U",IF($M55=N$19,"-"))))</f>
        <v>U</v>
      </c>
      <c r="O55" s="816">
        <f>IF(Q55="","",IF(SIGN(Q55)&lt;&gt;1,VLOOKUP(ABS(Q55),SUP_HDC,3,TRUE),-VLOOKUP(ABS(Q55),SUP_HDC,3,TRUE)))</f>
        <v>0.25</v>
      </c>
      <c r="P55" s="829">
        <f>IF(O55="","",IF((J55-K55+O55)&gt;=0.5,1,IF((J55-K55+O55)=0.25,0.5,IF((J55-K55+O55)&lt;=-0.5,-1,IF((J55-K55+O55)=-0.25,-0.5,0)))))</f>
        <v>-1</v>
      </c>
      <c r="Q55" s="830">
        <v>-0.18</v>
      </c>
      <c r="R55" s="871">
        <f>IF(ISBLANK(Q55),"",J55-K55-Q55)</f>
        <v>-0.82000000000000006</v>
      </c>
      <c r="S55" s="830">
        <v>2.38</v>
      </c>
      <c r="T55" s="871">
        <f>IF(ISBLANK(S55),"",J55+K55-S55)</f>
        <v>-1.38</v>
      </c>
      <c r="U55" s="868">
        <f>IF(Q55="","",(Q55+S55)/2)</f>
        <v>1.0999999999999999</v>
      </c>
      <c r="V55" s="868">
        <f>IF(Q55="","",S55-U55)</f>
        <v>1.28</v>
      </c>
      <c r="W55" s="829">
        <v>17</v>
      </c>
      <c r="X55" s="829">
        <v>16</v>
      </c>
      <c r="Y55" s="829">
        <v>3</v>
      </c>
      <c r="Z55" s="829">
        <v>2</v>
      </c>
      <c r="AA55" s="829">
        <v>52</v>
      </c>
      <c r="AB55" s="829">
        <v>48</v>
      </c>
      <c r="AC55" s="829"/>
      <c r="AD55" s="816" t="str">
        <f t="array" ref="AD55">IF($J55="","",IF(SUM(IF(ISNUMBER(VALUE(RIGHT($AG55:$EB55,1))),VALUE(RIGHT($AG55:$EB55,1)),0))=$J55,"T","F"))</f>
        <v>T</v>
      </c>
      <c r="AE55" s="831">
        <f t="array" ref="AE55">IF($J55="","",SUM(IF(LEFT($AG55:$EB55,1)="s",1,0))-SUM(IF(RIGHT(LEFT($AG55:$EB55,2))="-",1,0)))</f>
        <v>0</v>
      </c>
      <c r="AF55" s="816">
        <f t="array" ref="AF55">IF($J55="","",SUM(IF(LEFT($AG55:$EB55,1)="X",1,0)))</f>
        <v>11</v>
      </c>
      <c r="AG55" s="891" t="s">
        <v>34</v>
      </c>
      <c r="AH55" s="891" t="s">
        <v>1877</v>
      </c>
      <c r="AI55" s="891" t="s">
        <v>32</v>
      </c>
      <c r="AJ55" s="891" t="s">
        <v>32</v>
      </c>
      <c r="AK55" s="891" t="s">
        <v>32</v>
      </c>
      <c r="AL55" s="891" t="s">
        <v>34</v>
      </c>
      <c r="AM55" s="891" t="s">
        <v>34</v>
      </c>
      <c r="AN55" s="891" t="s">
        <v>35</v>
      </c>
      <c r="AO55" s="904" t="s">
        <v>34</v>
      </c>
      <c r="AP55" s="891" t="s">
        <v>32</v>
      </c>
      <c r="AQ55" s="891" t="s">
        <v>32</v>
      </c>
      <c r="AR55" s="891" t="s">
        <v>32</v>
      </c>
      <c r="AS55" s="891" t="s">
        <v>1877</v>
      </c>
      <c r="AT55" s="891" t="s">
        <v>35</v>
      </c>
      <c r="AU55" s="891" t="s">
        <v>34</v>
      </c>
      <c r="AV55" s="891" t="s">
        <v>35</v>
      </c>
      <c r="AW55" s="891" t="s">
        <v>34</v>
      </c>
      <c r="AX55" s="891" t="s">
        <v>32</v>
      </c>
      <c r="AY55" s="891" t="s">
        <v>32</v>
      </c>
      <c r="AZ55" s="891" t="s">
        <v>1877</v>
      </c>
      <c r="BA55" s="891" t="s">
        <v>32</v>
      </c>
      <c r="BB55" s="891" t="s">
        <v>32</v>
      </c>
      <c r="BC55" s="891" t="s">
        <v>32</v>
      </c>
      <c r="BD55" s="891" t="s">
        <v>34</v>
      </c>
      <c r="BE55" s="891" t="s">
        <v>32</v>
      </c>
      <c r="BF55" s="891" t="s">
        <v>36</v>
      </c>
      <c r="BG55" s="891" t="s">
        <v>36</v>
      </c>
      <c r="BH55" s="891" t="s">
        <v>36</v>
      </c>
      <c r="BI55" s="891" t="s">
        <v>32</v>
      </c>
      <c r="BJ55" s="891" t="s">
        <v>34</v>
      </c>
      <c r="BK55" s="891" t="s">
        <v>32</v>
      </c>
      <c r="BL55" s="891" t="s">
        <v>32</v>
      </c>
      <c r="BM55" s="891" t="s">
        <v>1877</v>
      </c>
      <c r="BN55" s="891"/>
      <c r="BO55" s="910"/>
      <c r="BP55" s="910"/>
      <c r="BQ55" s="891"/>
      <c r="BR55" s="891"/>
      <c r="BS55" s="891"/>
      <c r="BT55" s="891"/>
      <c r="BU55" s="892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896"/>
      <c r="CH55" s="896"/>
      <c r="CI55" s="896"/>
      <c r="CJ55" s="428"/>
      <c r="CK55" s="428"/>
      <c r="CL55" s="428"/>
      <c r="CM55" s="428"/>
    </row>
    <row r="56" spans="1:98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19</v>
      </c>
      <c r="G56" s="879" t="s">
        <v>885</v>
      </c>
      <c r="H56" s="879" t="s">
        <v>18</v>
      </c>
      <c r="I56" s="879" t="s">
        <v>891</v>
      </c>
      <c r="J56" s="846">
        <v>0</v>
      </c>
      <c r="K56" s="846">
        <v>0</v>
      </c>
      <c r="L56" s="816" t="str">
        <f>IF(J56="","",IF(J56&gt;K56,"W",IF(J56=K56,"D",IF(J56&lt;K56,"L"))))</f>
        <v>D</v>
      </c>
      <c r="M56" s="816">
        <f>IF(J56="","",J56+K56)</f>
        <v>0</v>
      </c>
      <c r="N56" s="816" t="str">
        <f>IF($J56="","",IF($M56&gt;N$19,"O",IF($M56&lt;N$19,"U",IF($M56=N$19,"-"))))</f>
        <v>U</v>
      </c>
      <c r="O56" s="816">
        <f>IF(Q56="","",IF(SIGN(Q56)&lt;&gt;1,VLOOKUP(ABS(Q56),SUP_HDC,3,TRUE),-VLOOKUP(ABS(Q56),SUP_HDC,3,TRUE)))</f>
        <v>0.25</v>
      </c>
      <c r="P56" s="829">
        <f>IF(O56="","",IF((J56-K56+O56)&gt;=0.5,1,IF((J56-K56+O56)=0.25,0.5,IF((J56-K56+O56)&lt;=-0.5,-1,IF((J56-K56+O56)=-0.25,-0.5,0)))))</f>
        <v>0.5</v>
      </c>
      <c r="Q56" s="830">
        <v>-0.28000000000000003</v>
      </c>
      <c r="R56" s="871">
        <f>IF(ISBLANK(Q56),"",J56-K56-Q56)</f>
        <v>0.28000000000000003</v>
      </c>
      <c r="S56" s="830">
        <v>2.2000000000000002</v>
      </c>
      <c r="T56" s="871">
        <f>IF(ISBLANK(S56),"",J56+K56-S56)</f>
        <v>-2.2000000000000002</v>
      </c>
      <c r="U56" s="868">
        <f>IF(Q56="","",(Q56+S56)/2)</f>
        <v>0.96000000000000008</v>
      </c>
      <c r="V56" s="868">
        <f>IF(Q56="","",S56-U56)</f>
        <v>1.2400000000000002</v>
      </c>
      <c r="W56" s="829">
        <v>12</v>
      </c>
      <c r="X56" s="829">
        <v>10</v>
      </c>
      <c r="Y56" s="829">
        <v>1</v>
      </c>
      <c r="Z56" s="829">
        <v>4</v>
      </c>
      <c r="AA56" s="829">
        <v>50</v>
      </c>
      <c r="AB56" s="829">
        <v>50</v>
      </c>
      <c r="AC56" s="829"/>
      <c r="AD56" s="816" t="str">
        <f t="array" ref="AD56">IF($J56="","",IF(SUM(IF(ISNUMBER(VALUE(RIGHT($AG56:$EB56,1))),VALUE(RIGHT($AG56:$EB56,1)),0))=$J56,"T","F"))</f>
        <v>T</v>
      </c>
      <c r="AE56" s="831">
        <f t="array" ref="AE56">IF($J56="","",SUM(IF(LEFT($AG56:$EB56,1)="s",1,0))-SUM(IF(RIGHT(LEFT($AG56:$EB56,2))="-",1,0)))</f>
        <v>0</v>
      </c>
      <c r="AF56" s="816">
        <f t="array" ref="AF56">IF($J56="","",SUM(IF(LEFT($AG56:$EB56,1)="X",1,0)))</f>
        <v>11</v>
      </c>
      <c r="AG56" s="891" t="s">
        <v>34</v>
      </c>
      <c r="AH56" s="891" t="s">
        <v>1877</v>
      </c>
      <c r="AI56" s="891" t="s">
        <v>32</v>
      </c>
      <c r="AJ56" s="891" t="s">
        <v>32</v>
      </c>
      <c r="AK56" s="891" t="s">
        <v>32</v>
      </c>
      <c r="AL56" s="891" t="s">
        <v>34</v>
      </c>
      <c r="AM56" s="891" t="s">
        <v>34</v>
      </c>
      <c r="AN56" s="891" t="s">
        <v>32</v>
      </c>
      <c r="AO56" s="904" t="s">
        <v>34</v>
      </c>
      <c r="AP56" s="891" t="s">
        <v>32</v>
      </c>
      <c r="AQ56" s="906" t="s">
        <v>3239</v>
      </c>
      <c r="AR56" s="891" t="s">
        <v>1877</v>
      </c>
      <c r="AS56" s="891" t="s">
        <v>32</v>
      </c>
      <c r="AT56" s="891" t="s">
        <v>34</v>
      </c>
      <c r="AU56" s="891" t="s">
        <v>35</v>
      </c>
      <c r="AV56" s="891" t="s">
        <v>32</v>
      </c>
      <c r="AW56" s="891" t="s">
        <v>32</v>
      </c>
      <c r="AX56" s="891" t="s">
        <v>35</v>
      </c>
      <c r="AY56" s="891" t="s">
        <v>32</v>
      </c>
      <c r="AZ56" s="891" t="s">
        <v>36</v>
      </c>
      <c r="BA56" s="891" t="s">
        <v>35</v>
      </c>
      <c r="BB56" s="891" t="s">
        <v>32</v>
      </c>
      <c r="BC56" s="891" t="s">
        <v>1877</v>
      </c>
      <c r="BD56" s="891" t="s">
        <v>34</v>
      </c>
      <c r="BE56" s="891" t="s">
        <v>32</v>
      </c>
      <c r="BF56" s="891" t="s">
        <v>36</v>
      </c>
      <c r="BG56" s="891" t="s">
        <v>34</v>
      </c>
      <c r="BH56" s="891" t="s">
        <v>34</v>
      </c>
      <c r="BI56" s="891" t="s">
        <v>32</v>
      </c>
      <c r="BJ56" s="891" t="s">
        <v>1877</v>
      </c>
      <c r="BK56" s="891"/>
      <c r="BL56" s="891"/>
      <c r="BM56" s="891"/>
      <c r="BN56" s="891"/>
      <c r="BO56" s="910"/>
      <c r="BP56" s="910"/>
      <c r="BQ56" s="891"/>
      <c r="BR56" s="891"/>
      <c r="BS56" s="891"/>
      <c r="BT56" s="891"/>
      <c r="BU56" s="892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896"/>
      <c r="CH56" s="896"/>
      <c r="CI56" s="896"/>
      <c r="CJ56" s="428"/>
      <c r="CK56" s="428"/>
      <c r="CL56" s="428"/>
      <c r="CM56" s="428"/>
    </row>
    <row r="57" spans="1:98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4</v>
      </c>
      <c r="G57" s="879" t="s">
        <v>1084</v>
      </c>
      <c r="H57" s="879" t="s">
        <v>22</v>
      </c>
      <c r="I57" s="879" t="s">
        <v>891</v>
      </c>
      <c r="J57" s="846">
        <v>1</v>
      </c>
      <c r="K57" s="846">
        <v>1</v>
      </c>
      <c r="L57" s="816" t="str">
        <f>IF(J57="","",IF(J57&gt;K57,"W",IF(J57=K57,"D",IF(J57&lt;K57,"L"))))</f>
        <v>D</v>
      </c>
      <c r="M57" s="816">
        <f>IF(J57="","",J57+K57)</f>
        <v>2</v>
      </c>
      <c r="N57" s="816" t="str">
        <f>IF($J57="","",IF($M57&gt;N$19,"O",IF($M57&lt;N$19,"U",IF($M57=N$19,"-"))))</f>
        <v>U</v>
      </c>
      <c r="O57" s="816">
        <f>IF(Q57="","",IF(SIGN(Q57)&lt;&gt;1,VLOOKUP(ABS(Q57),SUP_HDC,3,TRUE),-VLOOKUP(ABS(Q57),SUP_HDC,3,TRUE)))</f>
        <v>0.75</v>
      </c>
      <c r="P57" s="829">
        <f>IF(O57="","",IF((J57-K57+O57)&gt;=0.5,1,IF((J57-K57+O57)=0.25,0.5,IF((J57-K57+O57)&lt;=-0.5,-1,IF((J57-K57+O57)=-0.25,-0.5,0)))))</f>
        <v>1</v>
      </c>
      <c r="Q57" s="830">
        <v>-0.78</v>
      </c>
      <c r="R57" s="871">
        <f>IF(ISBLANK(Q57),"",J57-K57-Q57)</f>
        <v>0.78</v>
      </c>
      <c r="S57" s="830">
        <v>2.35</v>
      </c>
      <c r="T57" s="871">
        <f>IF(ISBLANK(S57),"",J57+K57-S57)</f>
        <v>-0.35000000000000009</v>
      </c>
      <c r="U57" s="868">
        <f>IF(Q57="","",(Q57+S57)/2)</f>
        <v>0.78500000000000003</v>
      </c>
      <c r="V57" s="868">
        <f>IF(Q57="","",S57-U57)</f>
        <v>1.5649999999999999</v>
      </c>
      <c r="W57" s="829">
        <v>10</v>
      </c>
      <c r="X57" s="829">
        <v>14</v>
      </c>
      <c r="Y57" s="829">
        <v>4</v>
      </c>
      <c r="Z57" s="829">
        <v>3</v>
      </c>
      <c r="AA57" s="829">
        <v>47</v>
      </c>
      <c r="AB57" s="829">
        <v>53</v>
      </c>
      <c r="AC57" s="829"/>
      <c r="AD57" s="816" t="str">
        <f t="array" ref="AD57">IF($J57="","",IF(SUM(IF(ISNUMBER(VALUE(RIGHT($AG57:$EB57,1))),VALUE(RIGHT($AG57:$EB57,1)),0))=$J57,"T","F"))</f>
        <v>T</v>
      </c>
      <c r="AE57" s="831">
        <f t="array" ref="AE57">IF($J57="","",SUM(IF(LEFT($AG57:$EB57,1)="s",1,0))-SUM(IF(RIGHT(LEFT($AG57:$EB57,2))="-",1,0)))</f>
        <v>0</v>
      </c>
      <c r="AF57" s="816">
        <f t="array" ref="AF57">IF($J57="","",SUM(IF(LEFT($AG57:$EB57,1)="X",1,0)))</f>
        <v>11</v>
      </c>
      <c r="AG57" s="891" t="s">
        <v>34</v>
      </c>
      <c r="AH57" s="891" t="s">
        <v>1877</v>
      </c>
      <c r="AI57" s="891" t="s">
        <v>32</v>
      </c>
      <c r="AJ57" s="891" t="s">
        <v>32</v>
      </c>
      <c r="AK57" s="891" t="s">
        <v>32</v>
      </c>
      <c r="AL57" s="904" t="s">
        <v>34</v>
      </c>
      <c r="AM57" s="891" t="s">
        <v>34</v>
      </c>
      <c r="AN57" s="891" t="s">
        <v>35</v>
      </c>
      <c r="AO57" s="891" t="s">
        <v>34</v>
      </c>
      <c r="AP57" s="891" t="s">
        <v>32</v>
      </c>
      <c r="AQ57" s="891" t="s">
        <v>34</v>
      </c>
      <c r="AR57" s="891" t="s">
        <v>36</v>
      </c>
      <c r="AS57" s="891" t="s">
        <v>1886</v>
      </c>
      <c r="AT57" s="891" t="s">
        <v>34</v>
      </c>
      <c r="AU57" s="891" t="s">
        <v>1886</v>
      </c>
      <c r="AV57" s="891" t="s">
        <v>3276</v>
      </c>
      <c r="AW57" s="891" t="s">
        <v>34</v>
      </c>
      <c r="AX57" s="891" t="s">
        <v>35</v>
      </c>
      <c r="AY57" s="891" t="s">
        <v>1886</v>
      </c>
      <c r="AZ57" s="891" t="s">
        <v>1877</v>
      </c>
      <c r="BA57" s="891" t="s">
        <v>3277</v>
      </c>
      <c r="BB57" s="891" t="s">
        <v>32</v>
      </c>
      <c r="BC57" s="891" t="s">
        <v>36</v>
      </c>
      <c r="BD57" s="891" t="s">
        <v>35</v>
      </c>
      <c r="BE57" s="891" t="s">
        <v>32</v>
      </c>
      <c r="BF57" s="891" t="s">
        <v>36</v>
      </c>
      <c r="BG57" s="891" t="s">
        <v>1877</v>
      </c>
      <c r="BH57" s="891" t="s">
        <v>32</v>
      </c>
      <c r="BI57" s="891" t="s">
        <v>32</v>
      </c>
      <c r="BJ57" s="891" t="s">
        <v>32</v>
      </c>
      <c r="BK57" s="891" t="s">
        <v>1877</v>
      </c>
      <c r="BL57" s="891"/>
      <c r="BM57" s="891"/>
      <c r="BN57" s="891"/>
      <c r="BO57" s="910"/>
      <c r="BP57" s="910"/>
      <c r="BQ57" s="891"/>
      <c r="BR57" s="891"/>
      <c r="BS57" s="891"/>
      <c r="BT57" s="891"/>
      <c r="BU57" s="892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896"/>
      <c r="CH57" s="896"/>
      <c r="CI57" s="896"/>
      <c r="CJ57" s="428"/>
      <c r="CK57" s="428"/>
      <c r="CL57" s="428"/>
      <c r="CM57" s="428"/>
      <c r="CN57" s="230" t="s">
        <v>32</v>
      </c>
      <c r="CO57" s="230" t="s">
        <v>32</v>
      </c>
      <c r="CP57" s="230" t="s">
        <v>32</v>
      </c>
      <c r="CQ57" s="230" t="s">
        <v>32</v>
      </c>
      <c r="CR57" s="230" t="s">
        <v>32</v>
      </c>
      <c r="CS57" s="230" t="s">
        <v>32</v>
      </c>
      <c r="CT57" s="230" t="s">
        <v>32</v>
      </c>
    </row>
    <row r="58" spans="1:98" ht="15">
      <c r="A58" s="882">
        <v>6476</v>
      </c>
      <c r="B58" s="884"/>
      <c r="C58" s="884"/>
      <c r="D58" s="884"/>
      <c r="E58" s="884"/>
      <c r="F58" s="884">
        <f ca="1">IF(I58="","",IF(I58=Table!$C$1,VLOOKUP(G58,Table!$B$9:$AE$32,Table!$AE$6-1,FALSE),""))</f>
        <v>11</v>
      </c>
      <c r="G58" s="879" t="s">
        <v>874</v>
      </c>
      <c r="H58" s="879" t="s">
        <v>18</v>
      </c>
      <c r="I58" s="879" t="s">
        <v>891</v>
      </c>
      <c r="J58" s="846">
        <v>1</v>
      </c>
      <c r="K58" s="846">
        <v>0</v>
      </c>
      <c r="L58" s="816" t="str">
        <f>IF(J58="","",IF(J58&gt;K58,"W",IF(J58=K58,"D",IF(J58&lt;K58,"L"))))</f>
        <v>W</v>
      </c>
      <c r="M58" s="816">
        <f>IF(J58="","",J58+K58)</f>
        <v>1</v>
      </c>
      <c r="N58" s="816" t="str">
        <f>IF($J58="","",IF($M58&gt;N$19,"O",IF($M58&lt;N$19,"U",IF($M58=N$19,"-"))))</f>
        <v>U</v>
      </c>
      <c r="O58" s="816">
        <f>IF(Q58="","",IF(SIGN(Q58)&lt;&gt;1,VLOOKUP(ABS(Q58),SUP_HDC,3,TRUE),-VLOOKUP(ABS(Q58),SUP_HDC,3,TRUE)))</f>
        <v>0.5</v>
      </c>
      <c r="P58" s="829">
        <f>IF(O58="","",IF((J58-K58+O58)&gt;=0.5,1,IF((J58-K58+O58)=0.25,0.5,IF((J58-K58+O58)&lt;=-0.5,-1,IF((J58-K58+O58)=-0.25,-0.5,0)))))</f>
        <v>1</v>
      </c>
      <c r="Q58" s="830">
        <v>-0.51</v>
      </c>
      <c r="R58" s="871">
        <f>IF(ISBLANK(Q58),"",J58-K58-Q58)</f>
        <v>1.51</v>
      </c>
      <c r="S58" s="830">
        <v>2.2400000000000002</v>
      </c>
      <c r="T58" s="871">
        <f>IF(ISBLANK(S58),"",J58+K58-S58)</f>
        <v>-1.2400000000000002</v>
      </c>
      <c r="U58" s="868">
        <f>IF(Q58="","",(Q58+S58)/2)</f>
        <v>0.8650000000000001</v>
      </c>
      <c r="V58" s="868">
        <f>IF(Q58="","",S58-U58)</f>
        <v>1.375</v>
      </c>
      <c r="W58" s="829">
        <v>7</v>
      </c>
      <c r="X58" s="829">
        <v>14</v>
      </c>
      <c r="Y58" s="829">
        <v>3</v>
      </c>
      <c r="Z58" s="829">
        <v>6</v>
      </c>
      <c r="AA58" s="829">
        <v>46</v>
      </c>
      <c r="AB58" s="829">
        <v>54</v>
      </c>
      <c r="AC58" s="829"/>
      <c r="AD58" s="816" t="str">
        <f t="array" ref="AD58">IF($J58="","",IF(SUM(IF(ISNUMBER(VALUE(RIGHT($AG58:$EB58,1))),VALUE(RIGHT($AG58:$EB58,1)),0))=$J58,"T","F"))</f>
        <v>T</v>
      </c>
      <c r="AE58" s="831">
        <f t="array" ref="AE58">IF($J58="","",SUM(IF(LEFT($AG58:$EB58,1)="s",1,0))-SUM(IF(RIGHT(LEFT($AG58:$EB58,2))="-",1,0)))</f>
        <v>0</v>
      </c>
      <c r="AF58" s="816">
        <f t="array" ref="AF58">IF($J58="","",SUM(IF(LEFT($AG58:$EB58,1)="X",1,0)))</f>
        <v>11</v>
      </c>
      <c r="AG58" s="891" t="s">
        <v>34</v>
      </c>
      <c r="AH58" s="891" t="s">
        <v>1877</v>
      </c>
      <c r="AI58" s="891" t="s">
        <v>32</v>
      </c>
      <c r="AJ58" s="891" t="s">
        <v>32</v>
      </c>
      <c r="AK58" s="891" t="s">
        <v>32</v>
      </c>
      <c r="AL58" s="891" t="s">
        <v>34</v>
      </c>
      <c r="AM58" s="904" t="s">
        <v>34</v>
      </c>
      <c r="AN58" s="891" t="s">
        <v>35</v>
      </c>
      <c r="AO58" s="891" t="s">
        <v>34</v>
      </c>
      <c r="AP58" s="891" t="s">
        <v>32</v>
      </c>
      <c r="AQ58" s="891" t="s">
        <v>34</v>
      </c>
      <c r="AR58" s="891" t="s">
        <v>1877</v>
      </c>
      <c r="AS58" s="891" t="s">
        <v>1886</v>
      </c>
      <c r="AT58" s="891" t="s">
        <v>34</v>
      </c>
      <c r="AU58" s="891" t="s">
        <v>1886</v>
      </c>
      <c r="AV58" s="891" t="s">
        <v>32</v>
      </c>
      <c r="AW58" s="891" t="s">
        <v>32</v>
      </c>
      <c r="AX58" s="891" t="s">
        <v>35</v>
      </c>
      <c r="AY58" s="891" t="s">
        <v>1886</v>
      </c>
      <c r="AZ58" s="891" t="s">
        <v>35</v>
      </c>
      <c r="BA58" s="904" t="s">
        <v>34</v>
      </c>
      <c r="BB58" s="891" t="s">
        <v>32</v>
      </c>
      <c r="BC58" s="891" t="s">
        <v>36</v>
      </c>
      <c r="BD58" s="891" t="s">
        <v>3322</v>
      </c>
      <c r="BE58" s="891" t="s">
        <v>32</v>
      </c>
      <c r="BF58" s="891" t="s">
        <v>1877</v>
      </c>
      <c r="BG58" s="891" t="s">
        <v>36</v>
      </c>
      <c r="BH58" s="891" t="s">
        <v>36</v>
      </c>
      <c r="BI58" s="891" t="s">
        <v>32</v>
      </c>
      <c r="BJ58" s="891" t="s">
        <v>1877</v>
      </c>
      <c r="BK58" s="891"/>
      <c r="BL58" s="891"/>
      <c r="BM58" s="891"/>
      <c r="BN58" s="891"/>
      <c r="BO58" s="910"/>
      <c r="BP58" s="910"/>
      <c r="BQ58" s="891"/>
      <c r="BR58" s="891"/>
      <c r="BS58" s="891"/>
      <c r="BT58" s="891"/>
      <c r="BU58" s="892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896"/>
      <c r="CH58" s="896"/>
      <c r="CI58" s="896"/>
      <c r="CJ58" s="428"/>
      <c r="CK58" s="428"/>
      <c r="CL58" s="428"/>
      <c r="CM58" s="428"/>
    </row>
    <row r="59" spans="1:98" ht="15">
      <c r="A59" s="882">
        <v>6483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15</v>
      </c>
      <c r="G59" s="879" t="s">
        <v>881</v>
      </c>
      <c r="H59" s="879" t="s">
        <v>22</v>
      </c>
      <c r="I59" s="879" t="s">
        <v>891</v>
      </c>
      <c r="J59" s="846">
        <v>2</v>
      </c>
      <c r="K59" s="846">
        <v>1</v>
      </c>
      <c r="L59" s="816" t="str">
        <f>IF(J59="","",IF(J59&gt;K59,"W",IF(J59=K59,"D",IF(J59&lt;K59,"L"))))</f>
        <v>W</v>
      </c>
      <c r="M59" s="816">
        <f>IF(J59="","",J59+K59)</f>
        <v>3</v>
      </c>
      <c r="N59" s="816" t="str">
        <f>IF($J59="","",IF($M59&gt;N$19,"O",IF($M59&lt;N$19,"U",IF($M59=N$19,"-"))))</f>
        <v>O</v>
      </c>
      <c r="O59" s="816">
        <f>IF(Q59="","",IF(SIGN(Q59)&lt;&gt;1,VLOOKUP(ABS(Q59),SUP_HDC,3,TRUE),-VLOOKUP(ABS(Q59),SUP_HDC,3,TRUE)))</f>
        <v>0.25</v>
      </c>
      <c r="P59" s="829">
        <f>IF(O59="","",IF((J59-K59+O59)&gt;=0.5,1,IF((J59-K59+O59)=0.25,0.5,IF((J59-K59+O59)&lt;=-0.5,-1,IF((J59-K59+O59)=-0.25,-0.5,0)))))</f>
        <v>1</v>
      </c>
      <c r="Q59" s="830">
        <v>-0.18</v>
      </c>
      <c r="R59" s="871">
        <f>IF(ISBLANK(Q59),"",J59-K59-Q59)</f>
        <v>1.18</v>
      </c>
      <c r="S59" s="830">
        <v>2.2000000000000002</v>
      </c>
      <c r="T59" s="871">
        <f>IF(ISBLANK(S59),"",J59+K59-S59)</f>
        <v>0.79999999999999982</v>
      </c>
      <c r="U59" s="868">
        <f>IF(Q59="","",(Q59+S59)/2)</f>
        <v>1.01</v>
      </c>
      <c r="V59" s="868">
        <f>IF(Q59="","",S59-U59)</f>
        <v>1.1900000000000002</v>
      </c>
      <c r="W59" s="829">
        <v>13</v>
      </c>
      <c r="X59" s="829">
        <v>20</v>
      </c>
      <c r="Y59" s="829">
        <v>6</v>
      </c>
      <c r="Z59" s="829">
        <v>4</v>
      </c>
      <c r="AA59" s="829">
        <v>39</v>
      </c>
      <c r="AB59" s="829">
        <v>61</v>
      </c>
      <c r="AC59" s="829"/>
      <c r="AD59" s="816" t="str">
        <f t="array" ref="AD59">IF($J59="","",IF(SUM(IF(ISNUMBER(VALUE(RIGHT($AG59:$EB59,1))),VALUE(RIGHT($AG59:$EB59,1)),0))=$J59,"T","F"))</f>
        <v>T</v>
      </c>
      <c r="AE59" s="831">
        <f t="array" ref="AE59">IF($J59="","",SUM(IF(LEFT($AG59:$EB59,1)="s",1,0))-SUM(IF(RIGHT(LEFT($AG59:$EB59,2))="-",1,0)))</f>
        <v>0</v>
      </c>
      <c r="AF59" s="816">
        <f t="array" ref="AF59">IF($J59="","",SUM(IF(LEFT($AG59:$EB59,1)="X",1,0)))</f>
        <v>11</v>
      </c>
      <c r="AG59" s="891" t="s">
        <v>34</v>
      </c>
      <c r="AH59" s="891" t="s">
        <v>32</v>
      </c>
      <c r="AI59" s="891" t="s">
        <v>1877</v>
      </c>
      <c r="AJ59" s="891" t="s">
        <v>32</v>
      </c>
      <c r="AK59" s="891" t="s">
        <v>32</v>
      </c>
      <c r="AL59" s="891" t="s">
        <v>35</v>
      </c>
      <c r="AM59" s="891" t="s">
        <v>3363</v>
      </c>
      <c r="AN59" s="891" t="s">
        <v>34</v>
      </c>
      <c r="AO59" s="891" t="s">
        <v>34</v>
      </c>
      <c r="AP59" s="891" t="s">
        <v>32</v>
      </c>
      <c r="AQ59" s="891" t="s">
        <v>3356</v>
      </c>
      <c r="AR59" s="891" t="s">
        <v>36</v>
      </c>
      <c r="AS59" s="891" t="s">
        <v>1886</v>
      </c>
      <c r="AT59" s="891" t="s">
        <v>34</v>
      </c>
      <c r="AU59" s="891" t="s">
        <v>1960</v>
      </c>
      <c r="AV59" s="891" t="s">
        <v>3358</v>
      </c>
      <c r="AW59" s="891" t="s">
        <v>32</v>
      </c>
      <c r="AX59" s="891" t="s">
        <v>35</v>
      </c>
      <c r="AY59" s="891" t="s">
        <v>1960</v>
      </c>
      <c r="AZ59" s="891" t="s">
        <v>34</v>
      </c>
      <c r="BA59" s="904" t="s">
        <v>3364</v>
      </c>
      <c r="BB59" s="891" t="s">
        <v>32</v>
      </c>
      <c r="BC59" s="891" t="s">
        <v>32</v>
      </c>
      <c r="BD59" s="891" t="s">
        <v>34</v>
      </c>
      <c r="BE59" s="891" t="s">
        <v>32</v>
      </c>
      <c r="BF59" s="891" t="s">
        <v>1877</v>
      </c>
      <c r="BG59" s="891" t="s">
        <v>36</v>
      </c>
      <c r="BH59" s="891" t="s">
        <v>1877</v>
      </c>
      <c r="BI59" s="891" t="s">
        <v>32</v>
      </c>
      <c r="BJ59" s="891" t="s">
        <v>36</v>
      </c>
      <c r="BK59" s="891" t="s">
        <v>1877</v>
      </c>
      <c r="BL59" s="891" t="s">
        <v>34</v>
      </c>
      <c r="BM59" s="891"/>
      <c r="BN59" s="891"/>
      <c r="BO59" s="910"/>
      <c r="BP59" s="910"/>
      <c r="BQ59" s="891"/>
      <c r="BR59" s="891"/>
      <c r="BS59" s="891"/>
      <c r="BT59" s="891"/>
      <c r="BU59" s="891"/>
      <c r="BV59" s="891"/>
      <c r="BW59" s="891"/>
      <c r="BX59" s="891"/>
      <c r="BY59" s="896"/>
      <c r="BZ59" s="896"/>
      <c r="CA59" s="896"/>
      <c r="CB59" s="896"/>
      <c r="CC59" s="896"/>
      <c r="CD59" s="896"/>
      <c r="CE59" s="896"/>
      <c r="CF59" s="896"/>
      <c r="CG59" s="896"/>
      <c r="CH59" s="896"/>
      <c r="CI59" s="896"/>
      <c r="CJ59" s="428"/>
      <c r="CK59" s="428"/>
      <c r="CL59" s="428"/>
      <c r="CM59" s="428"/>
      <c r="CN59" s="230" t="s">
        <v>32</v>
      </c>
      <c r="CO59" s="230" t="s">
        <v>32</v>
      </c>
      <c r="CP59" s="230" t="s">
        <v>32</v>
      </c>
      <c r="CQ59" s="230" t="s">
        <v>32</v>
      </c>
      <c r="CR59" s="230" t="s">
        <v>32</v>
      </c>
      <c r="CS59" s="230" t="s">
        <v>32</v>
      </c>
      <c r="CT59" s="230" t="s">
        <v>32</v>
      </c>
    </row>
    <row r="60" spans="1:98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8</v>
      </c>
      <c r="G60" s="879" t="s">
        <v>880</v>
      </c>
      <c r="H60" s="879" t="s">
        <v>18</v>
      </c>
      <c r="I60" s="879" t="s">
        <v>891</v>
      </c>
      <c r="J60" s="846">
        <v>0</v>
      </c>
      <c r="K60" s="846">
        <v>1</v>
      </c>
      <c r="L60" s="816" t="str">
        <f t="shared" si="40"/>
        <v>L</v>
      </c>
      <c r="M60" s="816">
        <f t="shared" si="41"/>
        <v>1</v>
      </c>
      <c r="N60" s="816" t="str">
        <f t="shared" si="42"/>
        <v>U</v>
      </c>
      <c r="O60" s="816">
        <f t="shared" si="22"/>
        <v>1</v>
      </c>
      <c r="P60" s="829">
        <f t="shared" si="33"/>
        <v>0</v>
      </c>
      <c r="Q60" s="830">
        <v>-0.96</v>
      </c>
      <c r="R60" s="816">
        <f t="shared" si="56"/>
        <v>-4.0000000000000036E-2</v>
      </c>
      <c r="S60" s="830">
        <v>2.63</v>
      </c>
      <c r="T60" s="871">
        <f t="shared" si="35"/>
        <v>-1.63</v>
      </c>
      <c r="U60" s="868">
        <f t="shared" si="36"/>
        <v>0.83499999999999996</v>
      </c>
      <c r="V60" s="868">
        <f t="shared" si="37"/>
        <v>1.7949999999999999</v>
      </c>
      <c r="W60" s="829">
        <v>10</v>
      </c>
      <c r="X60" s="829">
        <v>12</v>
      </c>
      <c r="Y60" s="829">
        <v>0</v>
      </c>
      <c r="Z60" s="829">
        <v>3</v>
      </c>
      <c r="AA60" s="829">
        <v>58</v>
      </c>
      <c r="AB60" s="829">
        <v>42</v>
      </c>
      <c r="AC60" s="829"/>
      <c r="AD60" s="816" t="str">
        <f t="array" ref="AD60">IF($J60="","",IF(SUM(IF(ISNUMBER(VALUE(RIGHT($AG60:$EB60,1))),VALUE(RIGHT($AG60:$EB60,1)),0))=$J60,"T","F"))</f>
        <v>T</v>
      </c>
      <c r="AE60" s="831">
        <f t="array" ref="AE60">IF($J60="","",SUM(IF(LEFT($AG60:$EB60,1)="s",1,0))-SUM(IF(RIGHT(LEFT($AG60:$EB60,2))="-",1,0)))</f>
        <v>0</v>
      </c>
      <c r="AF60" s="816">
        <f t="array" ref="AF60">IF($J60="","",SUM(IF(LEFT($AG60:$EB60,1)="X",1,0)))</f>
        <v>11</v>
      </c>
      <c r="AG60" s="891" t="s">
        <v>34</v>
      </c>
      <c r="AH60" s="891" t="s">
        <v>32</v>
      </c>
      <c r="AI60" s="891" t="s">
        <v>1877</v>
      </c>
      <c r="AJ60" s="891" t="s">
        <v>32</v>
      </c>
      <c r="AK60" s="891" t="s">
        <v>32</v>
      </c>
      <c r="AL60" s="891" t="s">
        <v>3404</v>
      </c>
      <c r="AM60" s="891" t="s">
        <v>34</v>
      </c>
      <c r="AN60" s="891" t="s">
        <v>34</v>
      </c>
      <c r="AO60" s="891" t="s">
        <v>34</v>
      </c>
      <c r="AP60" s="891" t="s">
        <v>32</v>
      </c>
      <c r="AQ60" s="891" t="s">
        <v>34</v>
      </c>
      <c r="AR60" s="891" t="s">
        <v>1877</v>
      </c>
      <c r="AS60" s="891" t="s">
        <v>36</v>
      </c>
      <c r="AT60" s="891" t="s">
        <v>34</v>
      </c>
      <c r="AU60" s="891" t="s">
        <v>1886</v>
      </c>
      <c r="AV60" s="891" t="s">
        <v>36</v>
      </c>
      <c r="AW60" s="891" t="s">
        <v>1877</v>
      </c>
      <c r="AX60" s="891" t="s">
        <v>35</v>
      </c>
      <c r="AY60" s="891" t="s">
        <v>1886</v>
      </c>
      <c r="AZ60" s="891" t="s">
        <v>34</v>
      </c>
      <c r="BA60" s="891" t="s">
        <v>34</v>
      </c>
      <c r="BB60" s="891" t="s">
        <v>32</v>
      </c>
      <c r="BC60" s="891" t="s">
        <v>32</v>
      </c>
      <c r="BD60" s="891" t="s">
        <v>3405</v>
      </c>
      <c r="BE60" s="891" t="s">
        <v>32</v>
      </c>
      <c r="BF60" s="891" t="s">
        <v>35</v>
      </c>
      <c r="BG60" s="891" t="s">
        <v>1877</v>
      </c>
      <c r="BH60" s="891" t="s">
        <v>32</v>
      </c>
      <c r="BI60" s="891" t="s">
        <v>32</v>
      </c>
      <c r="BJ60" s="891" t="s">
        <v>36</v>
      </c>
      <c r="BK60" s="891" t="s">
        <v>32</v>
      </c>
      <c r="BL60" s="891" t="s">
        <v>35</v>
      </c>
      <c r="BM60" s="891"/>
      <c r="BN60" s="891"/>
      <c r="BO60" s="910"/>
      <c r="BP60" s="910"/>
      <c r="BQ60" s="891"/>
      <c r="BR60" s="891"/>
      <c r="BS60" s="891"/>
      <c r="BT60" s="891"/>
      <c r="BU60" s="892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896"/>
      <c r="CH60" s="896"/>
      <c r="CI60" s="896"/>
      <c r="CJ60" s="428"/>
      <c r="CK60" s="428"/>
      <c r="CL60" s="428"/>
      <c r="CM60" s="428"/>
    </row>
    <row r="61" spans="1:98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12</v>
      </c>
      <c r="G61" s="879" t="s">
        <v>879</v>
      </c>
      <c r="H61" s="879" t="s">
        <v>18</v>
      </c>
      <c r="I61" s="879" t="s">
        <v>891</v>
      </c>
      <c r="J61" s="846">
        <v>1</v>
      </c>
      <c r="K61" s="846">
        <v>2</v>
      </c>
      <c r="L61" s="816" t="str">
        <f t="shared" si="40"/>
        <v>L</v>
      </c>
      <c r="M61" s="816">
        <f t="shared" si="41"/>
        <v>3</v>
      </c>
      <c r="N61" s="816" t="str">
        <f t="shared" si="42"/>
        <v>O</v>
      </c>
      <c r="O61" s="816">
        <f t="shared" si="22"/>
        <v>0.5</v>
      </c>
      <c r="P61" s="829">
        <f t="shared" si="33"/>
        <v>-1</v>
      </c>
      <c r="Q61" s="830">
        <v>-0.53</v>
      </c>
      <c r="R61" s="816">
        <f t="shared" si="56"/>
        <v>-0.47</v>
      </c>
      <c r="S61" s="830">
        <v>2.42</v>
      </c>
      <c r="T61" s="871">
        <f t="shared" si="35"/>
        <v>0.58000000000000007</v>
      </c>
      <c r="U61" s="868">
        <f t="shared" si="36"/>
        <v>0.94499999999999995</v>
      </c>
      <c r="V61" s="868">
        <f t="shared" si="37"/>
        <v>1.4750000000000001</v>
      </c>
      <c r="W61" s="829">
        <v>9</v>
      </c>
      <c r="X61" s="829">
        <v>26</v>
      </c>
      <c r="Y61" s="829">
        <v>2</v>
      </c>
      <c r="Z61" s="829">
        <v>3</v>
      </c>
      <c r="AA61" s="829">
        <v>50</v>
      </c>
      <c r="AB61" s="829">
        <v>50</v>
      </c>
      <c r="AC61" s="829"/>
      <c r="AD61" s="816" t="str">
        <f t="array" ref="AD61">IF($J61="","",IF(SUM(IF(ISNUMBER(VALUE(RIGHT($AG61:$EB61,1))),VALUE(RIGHT($AG61:$EB61,1)),0))=$J61,"T","F"))</f>
        <v>T</v>
      </c>
      <c r="AE61" s="831">
        <f t="array" ref="AE61">IF($J61="","",SUM(IF(LEFT($AG61:$EB61,1)="s",1,0))-SUM(IF(RIGHT(LEFT($AG61:$EB61,2))="-",1,0)))</f>
        <v>0</v>
      </c>
      <c r="AF61" s="816">
        <f t="array" ref="AF61">IF($J61="","",SUM(IF(LEFT($AG61:$EB61,1)="X",1,0)))</f>
        <v>11</v>
      </c>
      <c r="AG61" s="891" t="s">
        <v>3425</v>
      </c>
      <c r="AH61" s="891" t="s">
        <v>32</v>
      </c>
      <c r="AI61" s="891" t="s">
        <v>1877</v>
      </c>
      <c r="AJ61" s="891" t="s">
        <v>32</v>
      </c>
      <c r="AK61" s="891" t="s">
        <v>32</v>
      </c>
      <c r="AL61" s="891" t="s">
        <v>3392</v>
      </c>
      <c r="AM61" s="891" t="s">
        <v>34</v>
      </c>
      <c r="AN61" s="891" t="s">
        <v>35</v>
      </c>
      <c r="AO61" s="891" t="s">
        <v>34</v>
      </c>
      <c r="AP61" s="891" t="s">
        <v>32</v>
      </c>
      <c r="AQ61" s="891" t="s">
        <v>34</v>
      </c>
      <c r="AR61" s="891" t="s">
        <v>32</v>
      </c>
      <c r="AS61" s="891" t="s">
        <v>1877</v>
      </c>
      <c r="AT61" s="891" t="s">
        <v>34</v>
      </c>
      <c r="AU61" s="891" t="s">
        <v>1886</v>
      </c>
      <c r="AV61" s="891" t="s">
        <v>32</v>
      </c>
      <c r="AW61" s="891" t="s">
        <v>34</v>
      </c>
      <c r="AX61" s="891" t="s">
        <v>36</v>
      </c>
      <c r="AY61" s="891" t="s">
        <v>32</v>
      </c>
      <c r="AZ61" s="891" t="s">
        <v>35</v>
      </c>
      <c r="BA61" s="891" t="s">
        <v>34</v>
      </c>
      <c r="BB61" s="891" t="s">
        <v>32</v>
      </c>
      <c r="BC61" s="891" t="s">
        <v>32</v>
      </c>
      <c r="BD61" s="891" t="s">
        <v>36</v>
      </c>
      <c r="BE61" s="891" t="s">
        <v>32</v>
      </c>
      <c r="BF61" s="891" t="s">
        <v>35</v>
      </c>
      <c r="BG61" s="891" t="s">
        <v>36</v>
      </c>
      <c r="BH61" s="891" t="s">
        <v>1877</v>
      </c>
      <c r="BI61" s="891" t="s">
        <v>32</v>
      </c>
      <c r="BJ61" s="891" t="s">
        <v>1877</v>
      </c>
      <c r="BK61" s="891" t="s">
        <v>32</v>
      </c>
      <c r="BL61" s="891" t="s">
        <v>34</v>
      </c>
      <c r="BM61" s="891"/>
      <c r="BN61" s="891">
        <v>1</v>
      </c>
      <c r="BO61" s="910"/>
      <c r="BP61" s="910"/>
      <c r="BQ61" s="891"/>
      <c r="BR61" s="891"/>
      <c r="BS61" s="891"/>
      <c r="BT61" s="891"/>
      <c r="BU61" s="892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  <c r="CG61" s="896"/>
      <c r="CH61" s="896"/>
      <c r="CI61" s="896"/>
      <c r="CJ61" s="428"/>
      <c r="CK61" s="428"/>
      <c r="CL61" s="428"/>
      <c r="CM61" s="428"/>
    </row>
    <row r="62" spans="1:98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7</v>
      </c>
      <c r="G62" s="879" t="s">
        <v>888</v>
      </c>
      <c r="H62" s="879" t="s">
        <v>22</v>
      </c>
      <c r="I62" s="879" t="s">
        <v>891</v>
      </c>
      <c r="J62" s="846">
        <v>1</v>
      </c>
      <c r="K62" s="846">
        <v>1</v>
      </c>
      <c r="L62" s="816" t="str">
        <f t="shared" si="40"/>
        <v>D</v>
      </c>
      <c r="M62" s="816">
        <f t="shared" si="41"/>
        <v>2</v>
      </c>
      <c r="N62" s="816" t="str">
        <f t="shared" si="42"/>
        <v>U</v>
      </c>
      <c r="O62" s="816">
        <f t="shared" ref="O62:O66" si="57">IF(Q62="","",IF(SIGN(Q62)&lt;&gt;1,VLOOKUP(ABS(Q62),SUP_HDC,3,TRUE),-VLOOKUP(ABS(Q62),SUP_HDC,3,TRUE)))</f>
        <v>0.75</v>
      </c>
      <c r="P62" s="829">
        <f t="shared" ref="P62:P66" si="58">IF(O62="","",IF((J62-K62+O62)&gt;=0.5,1,IF((J62-K62+O62)=0.25,0.5,IF((J62-K62+O62)&lt;=-0.5,-1,IF((J62-K62+O62)=-0.25,-0.5,0)))))</f>
        <v>1</v>
      </c>
      <c r="Q62" s="830">
        <v>-0.8</v>
      </c>
      <c r="R62" s="816">
        <f t="shared" si="56"/>
        <v>0.8</v>
      </c>
      <c r="S62" s="830">
        <v>2.7</v>
      </c>
      <c r="T62" s="871">
        <f t="shared" si="35"/>
        <v>-0.70000000000000018</v>
      </c>
      <c r="U62" s="868">
        <f t="shared" ref="U62:U71" si="59">IF(Q62="","",(Q62+S62)/2)</f>
        <v>0.95000000000000007</v>
      </c>
      <c r="V62" s="868">
        <f t="shared" ref="V62:V71" si="60">IF(Q62="","",S62-U62)</f>
        <v>1.75</v>
      </c>
      <c r="W62" s="829">
        <v>9</v>
      </c>
      <c r="X62" s="829">
        <v>17</v>
      </c>
      <c r="Y62" s="829">
        <v>3</v>
      </c>
      <c r="Z62" s="829">
        <v>4</v>
      </c>
      <c r="AA62" s="829">
        <v>34</v>
      </c>
      <c r="AB62" s="829">
        <v>66</v>
      </c>
      <c r="AC62" s="829"/>
      <c r="AD62" s="816" t="str">
        <f t="array" ref="AD62">IF($J62="","",IF(SUM(IF(ISNUMBER(VALUE(RIGHT($AG62:$CN62,1))),VALUE(RIGHT($AG62:$CN62,1)),0))=$J62,"T","F"))</f>
        <v>T</v>
      </c>
      <c r="AE62" s="831">
        <f t="array" ref="AE62">IF($J62="","",SUM(IF(LEFT($AG62:$DZ62,1)="s",1,0))-SUM(IF(RIGHT(LEFT($AG62:$DZ62,2))="-",1,0)))</f>
        <v>0</v>
      </c>
      <c r="AF62" s="816">
        <f t="array" ref="AF62">IF($J62="","",SUM(IF(LEFT($AG62:$DF62,1)="X",1,0)))</f>
        <v>11</v>
      </c>
      <c r="AG62" s="891" t="s">
        <v>34</v>
      </c>
      <c r="AH62" s="891" t="s">
        <v>32</v>
      </c>
      <c r="AI62" s="891" t="s">
        <v>1877</v>
      </c>
      <c r="AJ62" s="891" t="s">
        <v>32</v>
      </c>
      <c r="AK62" s="891" t="s">
        <v>32</v>
      </c>
      <c r="AL62" s="891" t="s">
        <v>34</v>
      </c>
      <c r="AM62" s="891" t="s">
        <v>34</v>
      </c>
      <c r="AN62" s="891" t="s">
        <v>34</v>
      </c>
      <c r="AO62" s="904" t="s">
        <v>34</v>
      </c>
      <c r="AP62" s="891" t="s">
        <v>32</v>
      </c>
      <c r="AQ62" s="891" t="s">
        <v>34</v>
      </c>
      <c r="AR62" s="891" t="s">
        <v>32</v>
      </c>
      <c r="AS62" s="891" t="s">
        <v>32</v>
      </c>
      <c r="AT62" s="904" t="s">
        <v>34</v>
      </c>
      <c r="AU62" s="891" t="s">
        <v>1886</v>
      </c>
      <c r="AV62" s="891" t="s">
        <v>35</v>
      </c>
      <c r="AW62" s="891" t="s">
        <v>32</v>
      </c>
      <c r="AX62" s="891" t="s">
        <v>36</v>
      </c>
      <c r="AY62" s="891" t="s">
        <v>1877</v>
      </c>
      <c r="AZ62" s="891" t="s">
        <v>34</v>
      </c>
      <c r="BA62" s="891" t="s">
        <v>3471</v>
      </c>
      <c r="BB62" s="891" t="s">
        <v>32</v>
      </c>
      <c r="BC62" s="891" t="s">
        <v>32</v>
      </c>
      <c r="BD62" s="904" t="s">
        <v>35</v>
      </c>
      <c r="BE62" s="891" t="s">
        <v>32</v>
      </c>
      <c r="BF62" s="891" t="s">
        <v>32</v>
      </c>
      <c r="BG62" s="891" t="s">
        <v>1877</v>
      </c>
      <c r="BH62" s="891" t="s">
        <v>32</v>
      </c>
      <c r="BI62" s="891" t="s">
        <v>32</v>
      </c>
      <c r="BJ62" s="891" t="s">
        <v>36</v>
      </c>
      <c r="BK62" s="891" t="s">
        <v>32</v>
      </c>
      <c r="BL62" s="891" t="s">
        <v>1877</v>
      </c>
      <c r="BM62" s="891" t="s">
        <v>36</v>
      </c>
      <c r="BN62" s="891"/>
      <c r="BO62" s="910"/>
      <c r="BP62" s="910"/>
      <c r="BQ62" s="891"/>
      <c r="BR62" s="891"/>
      <c r="BS62" s="891"/>
      <c r="BT62" s="891"/>
      <c r="BU62" s="892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  <c r="CG62" s="896"/>
      <c r="CH62" s="896"/>
      <c r="CI62" s="896"/>
      <c r="CJ62" s="428"/>
      <c r="CK62" s="428"/>
      <c r="CL62" s="428"/>
      <c r="CM62" s="428"/>
    </row>
    <row r="63" spans="1:98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2</v>
      </c>
      <c r="G63" s="879" t="s">
        <v>886</v>
      </c>
      <c r="H63" s="879" t="s">
        <v>22</v>
      </c>
      <c r="I63" s="879" t="s">
        <v>891</v>
      </c>
      <c r="J63" s="846">
        <v>0</v>
      </c>
      <c r="K63" s="846">
        <v>2</v>
      </c>
      <c r="L63" s="816" t="str">
        <f t="shared" si="40"/>
        <v>L</v>
      </c>
      <c r="M63" s="816">
        <f t="shared" si="41"/>
        <v>2</v>
      </c>
      <c r="N63" s="816" t="str">
        <f t="shared" si="42"/>
        <v>U</v>
      </c>
      <c r="O63" s="816">
        <f t="shared" si="57"/>
        <v>0.5</v>
      </c>
      <c r="P63" s="829">
        <f t="shared" si="58"/>
        <v>-1</v>
      </c>
      <c r="Q63" s="830">
        <v>-0.43</v>
      </c>
      <c r="R63" s="816">
        <f t="shared" si="56"/>
        <v>-1.57</v>
      </c>
      <c r="S63" s="830">
        <v>2.08</v>
      </c>
      <c r="T63" s="871">
        <f t="shared" si="35"/>
        <v>-8.0000000000000071E-2</v>
      </c>
      <c r="U63" s="868">
        <f t="shared" si="59"/>
        <v>0.82500000000000007</v>
      </c>
      <c r="V63" s="868">
        <f t="shared" si="60"/>
        <v>1.2549999999999999</v>
      </c>
      <c r="W63" s="829">
        <v>13</v>
      </c>
      <c r="X63" s="829">
        <v>12</v>
      </c>
      <c r="Y63" s="829">
        <v>6</v>
      </c>
      <c r="Z63" s="829">
        <v>6</v>
      </c>
      <c r="AA63" s="829">
        <v>55</v>
      </c>
      <c r="AB63" s="829">
        <v>45</v>
      </c>
      <c r="AC63" s="829"/>
      <c r="AD63" s="816" t="str">
        <f t="array" ref="AD63">IF($J63="","",IF(SUM(IF(ISNUMBER(VALUE(RIGHT($AG63:$CN63,1))),VALUE(RIGHT($AG63:$CN63,1)),0))=$J63,"T","F"))</f>
        <v>T</v>
      </c>
      <c r="AE63" s="831">
        <f t="array" ref="AE63">IF($J63="","",SUM(IF(LEFT($AG63:$DZ63,1)="s",1,0))-SUM(IF(RIGHT(LEFT($AG63:$DZ63,2))="-",1,0)))</f>
        <v>0</v>
      </c>
      <c r="AF63" s="816">
        <f t="array" ref="AF63">IF($J63="","",SUM(IF(LEFT($AG63:$DF63,1)="X",1,0)))</f>
        <v>11</v>
      </c>
      <c r="AG63" s="891" t="s">
        <v>34</v>
      </c>
      <c r="AH63" s="891" t="s">
        <v>32</v>
      </c>
      <c r="AI63" s="891" t="s">
        <v>1877</v>
      </c>
      <c r="AJ63" s="891" t="s">
        <v>32</v>
      </c>
      <c r="AK63" s="891" t="s">
        <v>32</v>
      </c>
      <c r="AL63" s="891" t="s">
        <v>34</v>
      </c>
      <c r="AM63" s="891" t="s">
        <v>34</v>
      </c>
      <c r="AN63" s="891" t="s">
        <v>35</v>
      </c>
      <c r="AO63" s="891" t="s">
        <v>3485</v>
      </c>
      <c r="AP63" s="891" t="s">
        <v>32</v>
      </c>
      <c r="AQ63" s="904" t="s">
        <v>35</v>
      </c>
      <c r="AR63" s="891" t="s">
        <v>32</v>
      </c>
      <c r="AS63" s="891" t="s">
        <v>1877</v>
      </c>
      <c r="AT63" s="904" t="s">
        <v>34</v>
      </c>
      <c r="AU63" s="891" t="s">
        <v>1886</v>
      </c>
      <c r="AV63" s="891" t="s">
        <v>35</v>
      </c>
      <c r="AW63" s="891" t="s">
        <v>32</v>
      </c>
      <c r="AX63" s="891" t="s">
        <v>1877</v>
      </c>
      <c r="AY63" s="891" t="s">
        <v>32</v>
      </c>
      <c r="AZ63" s="891" t="s">
        <v>34</v>
      </c>
      <c r="BA63" s="904" t="s">
        <v>34</v>
      </c>
      <c r="BB63" s="891" t="s">
        <v>32</v>
      </c>
      <c r="BC63" s="891" t="s">
        <v>32</v>
      </c>
      <c r="BD63" s="891" t="s">
        <v>34</v>
      </c>
      <c r="BE63" s="891" t="s">
        <v>32</v>
      </c>
      <c r="BF63" s="891" t="s">
        <v>36</v>
      </c>
      <c r="BG63" s="891" t="s">
        <v>36</v>
      </c>
      <c r="BH63" s="891" t="s">
        <v>34</v>
      </c>
      <c r="BI63" s="891" t="s">
        <v>32</v>
      </c>
      <c r="BJ63" s="891" t="s">
        <v>36</v>
      </c>
      <c r="BK63" s="891" t="s">
        <v>32</v>
      </c>
      <c r="BL63" s="891" t="s">
        <v>1877</v>
      </c>
      <c r="BM63" s="891"/>
      <c r="BN63" s="891"/>
      <c r="BO63" s="910"/>
      <c r="BP63" s="910"/>
      <c r="BQ63" s="891"/>
      <c r="BR63" s="891"/>
      <c r="BS63" s="891"/>
      <c r="BT63" s="891"/>
      <c r="BU63" s="892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  <c r="CG63" s="896"/>
      <c r="CH63" s="896"/>
      <c r="CI63" s="896"/>
    </row>
    <row r="64" spans="1:98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10</v>
      </c>
      <c r="G64" s="879" t="s">
        <v>883</v>
      </c>
      <c r="H64" s="879" t="s">
        <v>18</v>
      </c>
      <c r="I64" s="879" t="s">
        <v>891</v>
      </c>
      <c r="J64" s="846">
        <v>0</v>
      </c>
      <c r="K64" s="846">
        <v>2</v>
      </c>
      <c r="L64" s="816" t="str">
        <f t="shared" si="40"/>
        <v>L</v>
      </c>
      <c r="M64" s="816">
        <f t="shared" si="41"/>
        <v>2</v>
      </c>
      <c r="N64" s="816" t="str">
        <f t="shared" si="42"/>
        <v>U</v>
      </c>
      <c r="O64" s="816">
        <f t="shared" si="57"/>
        <v>0.5</v>
      </c>
      <c r="P64" s="829">
        <f t="shared" si="58"/>
        <v>-1</v>
      </c>
      <c r="Q64" s="830">
        <v>-0.68</v>
      </c>
      <c r="R64" s="816">
        <f t="shared" si="56"/>
        <v>-1.3199999999999998</v>
      </c>
      <c r="S64" s="830">
        <v>2.4500000000000002</v>
      </c>
      <c r="T64" s="871">
        <f t="shared" si="35"/>
        <v>-0.45000000000000018</v>
      </c>
      <c r="U64" s="868">
        <f t="shared" si="59"/>
        <v>0.88500000000000001</v>
      </c>
      <c r="V64" s="868">
        <f t="shared" si="60"/>
        <v>1.5650000000000002</v>
      </c>
      <c r="W64" s="829">
        <v>20</v>
      </c>
      <c r="X64" s="829">
        <v>23</v>
      </c>
      <c r="Y64" s="829">
        <v>3</v>
      </c>
      <c r="Z64" s="829">
        <v>10</v>
      </c>
      <c r="AA64" s="829">
        <v>49</v>
      </c>
      <c r="AB64" s="829">
        <v>51</v>
      </c>
      <c r="AC64" s="829"/>
      <c r="AD64" s="816" t="str">
        <f t="array" ref="AD64">IF($J64="","",IF(SUM(IF(ISNUMBER(VALUE(RIGHT($AG64:$CN64,1))),VALUE(RIGHT($AG64:$CN64,1)),0))=$J64,"T","F"))</f>
        <v>T</v>
      </c>
      <c r="AE64" s="831">
        <f t="array" ref="AE64">IF($J64="","",SUM(IF(LEFT($AG64:$DZ64,1)="s",1,0))-SUM(IF(RIGHT(LEFT($AG64:$DZ64,2))="-",1,0)))</f>
        <v>0</v>
      </c>
      <c r="AF64" s="816">
        <f t="array" ref="AF64">IF($J64="","",SUM(IF(LEFT($AG64:$DF64,1)="X",1,0)))</f>
        <v>11</v>
      </c>
      <c r="AG64" s="891" t="s">
        <v>34</v>
      </c>
      <c r="AH64" s="891" t="s">
        <v>32</v>
      </c>
      <c r="AI64" s="891" t="s">
        <v>1877</v>
      </c>
      <c r="AJ64" s="891" t="s">
        <v>32</v>
      </c>
      <c r="AK64" s="891" t="s">
        <v>32</v>
      </c>
      <c r="AL64" s="891" t="s">
        <v>34</v>
      </c>
      <c r="AM64" s="891" t="s">
        <v>34</v>
      </c>
      <c r="AN64" s="891" t="s">
        <v>34</v>
      </c>
      <c r="AO64" s="891" t="s">
        <v>34</v>
      </c>
      <c r="AP64" s="891" t="s">
        <v>32</v>
      </c>
      <c r="AQ64" s="891" t="s">
        <v>32</v>
      </c>
      <c r="AR64" s="891" t="s">
        <v>32</v>
      </c>
      <c r="AS64" s="891" t="s">
        <v>1877</v>
      </c>
      <c r="AT64" s="891" t="s">
        <v>3518</v>
      </c>
      <c r="AU64" s="891" t="s">
        <v>1886</v>
      </c>
      <c r="AV64" s="891" t="s">
        <v>35</v>
      </c>
      <c r="AW64" s="891" t="s">
        <v>32</v>
      </c>
      <c r="AX64" s="891" t="s">
        <v>35</v>
      </c>
      <c r="AY64" s="891" t="s">
        <v>34</v>
      </c>
      <c r="AZ64" s="891" t="s">
        <v>35</v>
      </c>
      <c r="BA64" s="891" t="s">
        <v>3518</v>
      </c>
      <c r="BB64" s="891" t="s">
        <v>32</v>
      </c>
      <c r="BC64" s="891" t="s">
        <v>32</v>
      </c>
      <c r="BD64" s="891" t="s">
        <v>34</v>
      </c>
      <c r="BE64" s="891" t="s">
        <v>32</v>
      </c>
      <c r="BF64" s="891" t="s">
        <v>36</v>
      </c>
      <c r="BG64" s="891" t="s">
        <v>34</v>
      </c>
      <c r="BH64" s="891" t="s">
        <v>36</v>
      </c>
      <c r="BI64" s="891" t="s">
        <v>1877</v>
      </c>
      <c r="BJ64" s="891" t="s">
        <v>36</v>
      </c>
      <c r="BK64" s="891" t="s">
        <v>32</v>
      </c>
      <c r="BL64" s="891" t="s">
        <v>1877</v>
      </c>
      <c r="BM64" s="891"/>
      <c r="BN64" s="891"/>
      <c r="BO64" s="910"/>
      <c r="BP64" s="910"/>
      <c r="BQ64" s="891"/>
      <c r="BR64" s="891"/>
      <c r="BS64" s="891"/>
      <c r="BT64" s="891"/>
      <c r="BU64" s="892"/>
      <c r="BV64" s="896"/>
      <c r="BW64" s="896"/>
      <c r="BX64" s="896"/>
      <c r="BY64" s="896"/>
      <c r="BZ64" s="896"/>
      <c r="CA64" s="896"/>
      <c r="CB64" s="896"/>
      <c r="CC64" s="896"/>
      <c r="CD64" s="896"/>
      <c r="CE64" s="896"/>
      <c r="CF64" s="896"/>
      <c r="CG64" s="896"/>
      <c r="CH64" s="896"/>
      <c r="CI64" s="896"/>
    </row>
    <row r="65" spans="1:87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17</v>
      </c>
      <c r="G65" s="879" t="s">
        <v>875</v>
      </c>
      <c r="H65" s="879" t="s">
        <v>22</v>
      </c>
      <c r="I65" s="879" t="s">
        <v>891</v>
      </c>
      <c r="J65" s="846">
        <v>1</v>
      </c>
      <c r="K65" s="846">
        <v>4</v>
      </c>
      <c r="L65" s="816" t="str">
        <f t="shared" si="40"/>
        <v>L</v>
      </c>
      <c r="M65" s="816">
        <f t="shared" si="41"/>
        <v>5</v>
      </c>
      <c r="N65" s="816" t="str">
        <f t="shared" si="42"/>
        <v>O</v>
      </c>
      <c r="O65" s="816">
        <f t="shared" si="57"/>
        <v>-0.25</v>
      </c>
      <c r="P65" s="829">
        <f t="shared" si="58"/>
        <v>-1</v>
      </c>
      <c r="Q65" s="830">
        <v>0.15</v>
      </c>
      <c r="R65" s="816">
        <f t="shared" si="56"/>
        <v>-3.15</v>
      </c>
      <c r="S65" s="830">
        <v>2.4300000000000002</v>
      </c>
      <c r="T65" s="871">
        <f t="shared" si="35"/>
        <v>2.57</v>
      </c>
      <c r="U65" s="868">
        <f t="shared" si="59"/>
        <v>1.29</v>
      </c>
      <c r="V65" s="868">
        <f t="shared" si="60"/>
        <v>1.1400000000000001</v>
      </c>
      <c r="W65" s="829">
        <v>17</v>
      </c>
      <c r="X65" s="829">
        <v>11</v>
      </c>
      <c r="Y65" s="829">
        <v>4</v>
      </c>
      <c r="Z65" s="829">
        <v>5</v>
      </c>
      <c r="AA65" s="829">
        <v>50</v>
      </c>
      <c r="AB65" s="829">
        <v>50</v>
      </c>
      <c r="AC65" s="829"/>
      <c r="AD65" s="816" t="str">
        <f t="array" ref="AD65">IF($J65="","",IF(SUM(IF(ISNUMBER(VALUE(RIGHT($AG65:$CN65,1))),VALUE(RIGHT($AG65:$CN65,1)),0))=$J65,"T","F"))</f>
        <v>T</v>
      </c>
      <c r="AE65" s="831">
        <f t="array" ref="AE65">IF($J65="","",SUM(IF(LEFT($AG65:$DZ65,1)="s",1,0))-SUM(IF(RIGHT(LEFT($AG65:$DZ65,2))="-",1,0)))</f>
        <v>0</v>
      </c>
      <c r="AF65" s="816">
        <f t="array" ref="AF65">IF($J65="","",SUM(IF(LEFT($AG65:$DF65,1)="X",1,0)))</f>
        <v>11</v>
      </c>
      <c r="AG65" s="891" t="s">
        <v>34</v>
      </c>
      <c r="AH65" s="891" t="s">
        <v>32</v>
      </c>
      <c r="AI65" s="891" t="s">
        <v>1877</v>
      </c>
      <c r="AJ65" s="891" t="s">
        <v>32</v>
      </c>
      <c r="AK65" s="891" t="s">
        <v>32</v>
      </c>
      <c r="AL65" s="891" t="s">
        <v>34</v>
      </c>
      <c r="AM65" s="891" t="s">
        <v>34</v>
      </c>
      <c r="AN65" s="891" t="s">
        <v>32</v>
      </c>
      <c r="AO65" s="891" t="s">
        <v>34</v>
      </c>
      <c r="AP65" s="891" t="s">
        <v>32</v>
      </c>
      <c r="AQ65" s="891" t="s">
        <v>34</v>
      </c>
      <c r="AR65" s="891" t="s">
        <v>32</v>
      </c>
      <c r="AS65" s="891" t="s">
        <v>32</v>
      </c>
      <c r="AT65" s="891" t="s">
        <v>34</v>
      </c>
      <c r="AU65" s="891" t="s">
        <v>1886</v>
      </c>
      <c r="AV65" s="891" t="s">
        <v>1877</v>
      </c>
      <c r="AW65" s="891" t="s">
        <v>1877</v>
      </c>
      <c r="AX65" s="891" t="s">
        <v>35</v>
      </c>
      <c r="AY65" s="891" t="s">
        <v>32</v>
      </c>
      <c r="AZ65" s="891" t="s">
        <v>35</v>
      </c>
      <c r="BA65" s="904" t="s">
        <v>34</v>
      </c>
      <c r="BB65" s="891" t="s">
        <v>32</v>
      </c>
      <c r="BC65" s="891" t="s">
        <v>32</v>
      </c>
      <c r="BD65" s="891" t="s">
        <v>35</v>
      </c>
      <c r="BE65" s="891" t="s">
        <v>32</v>
      </c>
      <c r="BF65" s="904" t="s">
        <v>36</v>
      </c>
      <c r="BG65" s="891" t="s">
        <v>34</v>
      </c>
      <c r="BH65" s="891" t="s">
        <v>32</v>
      </c>
      <c r="BI65" s="891" t="s">
        <v>32</v>
      </c>
      <c r="BJ65" s="891" t="s">
        <v>3546</v>
      </c>
      <c r="BK65" s="891" t="s">
        <v>36</v>
      </c>
      <c r="BL65" s="891" t="s">
        <v>1877</v>
      </c>
      <c r="BM65" s="891"/>
      <c r="BN65" s="891"/>
      <c r="BO65" s="910"/>
      <c r="BP65" s="910"/>
      <c r="BQ65" s="891"/>
      <c r="BR65" s="891"/>
      <c r="BS65" s="891"/>
      <c r="BT65" s="891"/>
      <c r="BU65" s="892"/>
      <c r="BV65" s="896"/>
      <c r="BW65" s="896"/>
      <c r="BX65" s="896"/>
      <c r="BY65" s="896"/>
      <c r="BZ65" s="896"/>
      <c r="CA65" s="896"/>
      <c r="CB65" s="896"/>
      <c r="CC65" s="896"/>
      <c r="CD65" s="896"/>
      <c r="CE65" s="896"/>
      <c r="CF65" s="896"/>
      <c r="CG65" s="896"/>
      <c r="CH65" s="896"/>
      <c r="CI65" s="896"/>
    </row>
    <row r="66" spans="1:87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9</v>
      </c>
      <c r="G66" s="879" t="s">
        <v>1083</v>
      </c>
      <c r="H66" s="879" t="s">
        <v>18</v>
      </c>
      <c r="I66" s="879" t="s">
        <v>891</v>
      </c>
      <c r="J66" s="846">
        <v>1</v>
      </c>
      <c r="K66" s="846">
        <v>2</v>
      </c>
      <c r="L66" s="816" t="str">
        <f t="shared" si="40"/>
        <v>L</v>
      </c>
      <c r="M66" s="816">
        <f t="shared" si="41"/>
        <v>3</v>
      </c>
      <c r="N66" s="816" t="str">
        <f t="shared" si="42"/>
        <v>O</v>
      </c>
      <c r="O66" s="816">
        <f t="shared" si="57"/>
        <v>0.5</v>
      </c>
      <c r="P66" s="829">
        <f t="shared" si="58"/>
        <v>-1</v>
      </c>
      <c r="Q66" s="830">
        <v>-0.6</v>
      </c>
      <c r="R66" s="816">
        <f t="shared" si="56"/>
        <v>-0.4</v>
      </c>
      <c r="S66" s="830">
        <v>2.5299999999999998</v>
      </c>
      <c r="T66" s="871">
        <f t="shared" si="35"/>
        <v>0.4700000000000002</v>
      </c>
      <c r="U66" s="868">
        <f t="shared" si="59"/>
        <v>0.96499999999999986</v>
      </c>
      <c r="V66" s="868">
        <f t="shared" si="60"/>
        <v>1.5649999999999999</v>
      </c>
      <c r="W66" s="829">
        <v>6</v>
      </c>
      <c r="X66" s="829">
        <v>11</v>
      </c>
      <c r="Y66" s="829">
        <v>1</v>
      </c>
      <c r="Z66" s="829">
        <v>3</v>
      </c>
      <c r="AA66" s="829">
        <v>39</v>
      </c>
      <c r="AB66" s="829">
        <v>61</v>
      </c>
      <c r="AC66" s="829"/>
      <c r="AD66" s="816" t="str">
        <f t="array" ref="AD66">IF($J66="","",IF(SUM(IF(ISNUMBER(VALUE(RIGHT($AG66:$CN66,1))),VALUE(RIGHT($AG66:$CN66,1)),0))=$J66,"T","F"))</f>
        <v>T</v>
      </c>
      <c r="AE66" s="831">
        <f t="array" ref="AE66">IF($J66="","",SUM(IF(LEFT($AG66:$DZ66,1)="s",1,0))-SUM(IF(RIGHT(LEFT($AG66:$DZ66,2))="-",1,0)))</f>
        <v>0</v>
      </c>
      <c r="AF66" s="816">
        <f t="array" ref="AF66">IF($J66="","",SUM(IF(LEFT($AG66:$DF66,1)="X",1,0)))</f>
        <v>11</v>
      </c>
      <c r="AG66" s="891" t="s">
        <v>1877</v>
      </c>
      <c r="AH66" s="891" t="s">
        <v>32</v>
      </c>
      <c r="AI66" s="904" t="s">
        <v>34</v>
      </c>
      <c r="AJ66" s="891" t="s">
        <v>32</v>
      </c>
      <c r="AK66" s="891" t="s">
        <v>32</v>
      </c>
      <c r="AL66" s="891" t="s">
        <v>34</v>
      </c>
      <c r="AM66" s="891" t="s">
        <v>34</v>
      </c>
      <c r="AN66" s="891" t="s">
        <v>34</v>
      </c>
      <c r="AO66" s="904" t="s">
        <v>35</v>
      </c>
      <c r="AP66" s="891" t="s">
        <v>32</v>
      </c>
      <c r="AQ66" s="891" t="s">
        <v>32</v>
      </c>
      <c r="AR66" s="891" t="s">
        <v>32</v>
      </c>
      <c r="AS66" s="891" t="s">
        <v>32</v>
      </c>
      <c r="AT66" s="891" t="s">
        <v>34</v>
      </c>
      <c r="AU66" s="891" t="s">
        <v>1886</v>
      </c>
      <c r="AV66" s="891" t="s">
        <v>32</v>
      </c>
      <c r="AW66" s="891" t="s">
        <v>34</v>
      </c>
      <c r="AX66" s="904" t="s">
        <v>35</v>
      </c>
      <c r="AY66" s="891" t="s">
        <v>1877</v>
      </c>
      <c r="AZ66" s="891" t="s">
        <v>32</v>
      </c>
      <c r="BA66" s="891" t="s">
        <v>35</v>
      </c>
      <c r="BB66" s="891" t="s">
        <v>32</v>
      </c>
      <c r="BC66" s="891" t="s">
        <v>3582</v>
      </c>
      <c r="BD66" s="891" t="s">
        <v>34</v>
      </c>
      <c r="BE66" s="891" t="s">
        <v>32</v>
      </c>
      <c r="BF66" s="891" t="s">
        <v>1877</v>
      </c>
      <c r="BG66" s="891" t="s">
        <v>1877</v>
      </c>
      <c r="BH66" s="891" t="s">
        <v>32</v>
      </c>
      <c r="BI66" s="891" t="s">
        <v>32</v>
      </c>
      <c r="BJ66" s="891" t="s">
        <v>36</v>
      </c>
      <c r="BK66" s="891" t="s">
        <v>36</v>
      </c>
      <c r="BL66" s="891" t="s">
        <v>34</v>
      </c>
      <c r="BM66" s="891"/>
      <c r="BN66" s="891"/>
      <c r="BO66" s="910"/>
      <c r="BP66" s="910"/>
      <c r="BQ66" s="891"/>
      <c r="BR66" s="891"/>
      <c r="BS66" s="891"/>
      <c r="BT66" s="891"/>
      <c r="BU66" s="893"/>
      <c r="BV66" s="896"/>
      <c r="BW66" s="896"/>
      <c r="BX66" s="896"/>
      <c r="BY66" s="896"/>
      <c r="BZ66" s="896"/>
      <c r="CA66" s="896"/>
      <c r="CB66" s="896"/>
      <c r="CC66" s="896"/>
      <c r="CD66" s="896"/>
      <c r="CE66" s="896"/>
      <c r="CF66" s="896"/>
      <c r="CG66" s="896"/>
      <c r="CH66" s="896"/>
      <c r="CI66" s="896"/>
    </row>
    <row r="67" spans="1:87" ht="15">
      <c r="A67" s="882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35"/>
        <v/>
      </c>
      <c r="U67" s="868" t="str">
        <f t="shared" si="59"/>
        <v/>
      </c>
      <c r="V67" s="868" t="str">
        <f t="shared" si="60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IF($J67="","",IF(SUM(IF(ISNUMBER(VALUE(RIGHT($AG67:$CN67,1))),VALUE(RIGHT($AG67:$CN67,1)),0))=$J67,"T","F"))</f>
        <v/>
      </c>
      <c r="AE67" s="831" t="str">
        <f t="array" ref="AE67">IF($J67="","",SUM(IF(LEFT($AG67:$DZ67,1)="s",1,0))-SUM(IF(RIGHT(LEFT($AG67:$DZ67,2))="-",1,0)))</f>
        <v/>
      </c>
      <c r="AF67" s="816" t="str">
        <f t="array" ref="AF67">IF($J67="","",SUM(IF(LEFT($AG67:$DF67,1)="X",1,0)))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1"/>
      <c r="BT67" s="891"/>
      <c r="BU67" s="893"/>
      <c r="BV67" s="896"/>
      <c r="BW67" s="896"/>
      <c r="BX67" s="897"/>
      <c r="BY67" s="897"/>
      <c r="BZ67" s="897"/>
      <c r="CA67" s="897"/>
      <c r="CB67" s="897"/>
      <c r="CC67" s="896"/>
      <c r="CD67" s="896"/>
      <c r="CE67" s="896"/>
      <c r="CF67" s="896"/>
      <c r="CG67" s="896"/>
      <c r="CH67" s="896"/>
      <c r="CI67" s="896"/>
    </row>
    <row r="68" spans="1:87" ht="15">
      <c r="A68" s="882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80"/>
      <c r="H68" s="879"/>
      <c r="I68" s="879"/>
      <c r="J68" s="428"/>
      <c r="K68" s="428"/>
      <c r="T68" s="871" t="str">
        <f t="shared" si="35"/>
        <v/>
      </c>
      <c r="U68" s="868" t="str">
        <f t="shared" si="59"/>
        <v/>
      </c>
      <c r="V68" s="868" t="str">
        <f t="shared" si="60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IF($J68="","",IF(SUM(IF(ISNUMBER(VALUE(RIGHT($AG68:$CN68,1))),VALUE(RIGHT($AG68:$CN68,1)),0))=$J68,"T","F"))</f>
        <v/>
      </c>
      <c r="AE68" s="831" t="str">
        <f t="array" ref="AE68">IF($J68="","",SUM(IF(LEFT($AG68:$DZ68,1)="s",1,0))-SUM(IF(RIGHT(LEFT($AG68:$DZ68,2))="-",1,0)))</f>
        <v/>
      </c>
      <c r="AF68" s="816" t="str">
        <f t="array" ref="AF68">IF($J68="","",SUM(IF(LEFT($AG68:$DF68,1)="X",1,0)))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1"/>
      <c r="BT68" s="891"/>
      <c r="BU68" s="893"/>
      <c r="BV68" s="896"/>
      <c r="BW68" s="896"/>
      <c r="BX68" s="897"/>
      <c r="BY68" s="897"/>
      <c r="BZ68" s="897"/>
      <c r="CA68" s="897"/>
      <c r="CB68" s="897"/>
      <c r="CC68" s="896"/>
      <c r="CD68" s="896"/>
      <c r="CE68" s="896"/>
      <c r="CF68" s="896"/>
      <c r="CG68" s="896"/>
      <c r="CH68" s="896"/>
      <c r="CI68" s="896"/>
    </row>
    <row r="69" spans="1:87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71" t="str">
        <f t="shared" si="35"/>
        <v/>
      </c>
      <c r="U69" s="868" t="str">
        <f t="shared" si="59"/>
        <v/>
      </c>
      <c r="V69" s="868" t="str">
        <f t="shared" si="60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IF($J69="","",IF(SUM(IF(ISNUMBER(VALUE(RIGHT($AG69:$CN69,1))),VALUE(RIGHT($AG69:$CN69,1)),0))=$J69,"T","F"))</f>
        <v/>
      </c>
      <c r="AE69" s="831" t="str">
        <f t="array" ref="AE69">IF($J69="","",SUM(IF(LEFT($AG69:$DZ69,1)="s",1,0))-SUM(IF(RIGHT(LEFT($AG69:$DZ69,2))="-",1,0)))</f>
        <v/>
      </c>
      <c r="AF69" s="816" t="str">
        <f t="array" ref="AF69">IF($J69="","",SUM(IF(LEFT($AG69:$DF69,1)="X",1,0)))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1"/>
      <c r="BT69" s="891"/>
      <c r="BU69" s="893"/>
      <c r="BV69" s="896"/>
      <c r="BW69" s="896"/>
      <c r="BX69" s="897"/>
      <c r="BY69" s="897"/>
      <c r="BZ69" s="897"/>
      <c r="CA69" s="897"/>
      <c r="CB69" s="897"/>
      <c r="CC69" s="896"/>
      <c r="CD69" s="896"/>
      <c r="CE69" s="896"/>
      <c r="CF69" s="896"/>
      <c r="CG69" s="896"/>
      <c r="CH69" s="896"/>
      <c r="CI69" s="896"/>
    </row>
    <row r="70" spans="1:87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71" t="str">
        <f t="shared" si="35"/>
        <v/>
      </c>
      <c r="U70" s="868" t="str">
        <f t="shared" si="59"/>
        <v/>
      </c>
      <c r="V70" s="868" t="str">
        <f t="shared" si="60"/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IF($J70="","",IF(SUM(IF(ISNUMBER(VALUE(RIGHT($AG70:$CN70,1))),VALUE(RIGHT($AG70:$CN70,1)),0))=$J70,"T","F"))</f>
        <v/>
      </c>
      <c r="AE70" s="831" t="str">
        <f t="array" ref="AE70">IF($J70="","",SUM(IF(LEFT($AG70:$DZ70,1)="s",1,0))-SUM(IF(RIGHT(LEFT($AG70:$DZ70,2))="-",1,0)))</f>
        <v/>
      </c>
      <c r="AF70" s="816" t="str">
        <f t="array" ref="AF70">IF($J70="","",SUM(IF(LEFT($AG70:$DF70,1)="X",1,0)))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1"/>
      <c r="BT70" s="891"/>
      <c r="BU70" s="893"/>
      <c r="BV70" s="896"/>
      <c r="BW70" s="896"/>
      <c r="BX70" s="897"/>
      <c r="BY70" s="897"/>
      <c r="BZ70" s="897"/>
      <c r="CA70" s="897"/>
      <c r="CB70" s="897"/>
      <c r="CC70" s="896"/>
      <c r="CD70" s="896"/>
      <c r="CE70" s="896"/>
      <c r="CF70" s="896"/>
      <c r="CG70" s="896"/>
      <c r="CH70" s="896"/>
      <c r="CI70" s="896"/>
    </row>
    <row r="71" spans="1:87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71" t="str">
        <f t="shared" si="35"/>
        <v/>
      </c>
      <c r="U71" s="868" t="str">
        <f t="shared" si="59"/>
        <v/>
      </c>
      <c r="V71" s="868" t="str">
        <f t="shared" si="60"/>
        <v/>
      </c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IF($J71="","",IF(SUM(IF(ISNUMBER(VALUE(RIGHT($AG71:$CN71,1))),VALUE(RIGHT($AG71:$CN71,1)),0))=$J71,"T","F"))</f>
        <v/>
      </c>
      <c r="AE71" s="831" t="str">
        <f t="array" ref="AE71">IF($J71="","",SUM(IF(LEFT($AG71:$DZ71,1)="s",1,0))-SUM(IF(RIGHT(LEFT($AG71:$DZ71,2))="-",1,0)))</f>
        <v/>
      </c>
      <c r="AF71" s="816" t="str">
        <f t="array" ref="AF71">IF($J71="","",SUM(IF(LEFT($AG71:$DF71,1)="X",1,0)))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1"/>
      <c r="BT71" s="891"/>
      <c r="BU71" s="893"/>
      <c r="BV71" s="896"/>
      <c r="BW71" s="896"/>
      <c r="BX71" s="897"/>
      <c r="BY71" s="897"/>
      <c r="BZ71" s="897"/>
      <c r="CA71" s="897"/>
      <c r="CB71" s="897"/>
      <c r="CC71" s="896"/>
      <c r="CD71" s="896"/>
      <c r="CE71" s="896"/>
      <c r="CF71" s="896"/>
      <c r="CG71" s="896"/>
      <c r="CH71" s="896"/>
      <c r="CI71" s="896"/>
    </row>
    <row r="72" spans="1:87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1"/>
      <c r="BR72" s="891"/>
      <c r="BS72" s="891"/>
      <c r="BT72" s="891"/>
      <c r="BU72" s="893"/>
      <c r="BV72" s="896"/>
      <c r="BW72" s="896"/>
      <c r="BX72" s="897"/>
      <c r="BY72" s="897"/>
      <c r="BZ72" s="897"/>
      <c r="CA72" s="897"/>
      <c r="CB72" s="897"/>
      <c r="CC72" s="896"/>
      <c r="CD72" s="896"/>
      <c r="CE72" s="896"/>
      <c r="CF72" s="896"/>
      <c r="CG72" s="896"/>
      <c r="CH72" s="896"/>
      <c r="CI72" s="896"/>
    </row>
    <row r="73" spans="1:87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/>
      <c r="BF73" s="891"/>
      <c r="BG73" s="891"/>
      <c r="BH73" s="891"/>
      <c r="BI73" s="891"/>
      <c r="BJ73" s="891"/>
      <c r="BK73" s="891"/>
      <c r="BL73" s="891"/>
      <c r="BM73" s="891"/>
      <c r="BN73" s="891"/>
      <c r="BO73" s="891"/>
      <c r="BP73" s="891"/>
      <c r="BQ73" s="891"/>
      <c r="BR73" s="891"/>
      <c r="BS73" s="891"/>
      <c r="BT73" s="891"/>
      <c r="BU73" s="893"/>
      <c r="BV73" s="896"/>
      <c r="BW73" s="896"/>
      <c r="BX73" s="897"/>
      <c r="BY73" s="897"/>
      <c r="BZ73" s="897"/>
      <c r="CA73" s="897"/>
      <c r="CB73" s="897"/>
      <c r="CC73" s="896"/>
      <c r="CD73" s="896"/>
      <c r="CE73" s="896"/>
      <c r="CF73" s="896"/>
      <c r="CG73" s="896"/>
      <c r="CH73" s="896"/>
      <c r="CI73" s="896"/>
    </row>
    <row r="74" spans="1:87" ht="15">
      <c r="A74" s="843"/>
      <c r="E74" s="816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/>
      <c r="AG74" s="896"/>
      <c r="AH74" s="896"/>
      <c r="AI74" s="896"/>
      <c r="AJ74" s="896"/>
      <c r="AK74" s="893"/>
      <c r="AL74" s="896"/>
      <c r="AM74" s="896"/>
      <c r="AN74" s="896"/>
      <c r="AO74" s="896"/>
      <c r="AP74" s="896"/>
      <c r="AQ74" s="896"/>
      <c r="AR74" s="896"/>
      <c r="AS74" s="896"/>
      <c r="AT74" s="896"/>
      <c r="AU74" s="896"/>
      <c r="AV74" s="896"/>
      <c r="AW74" s="896"/>
      <c r="AX74" s="896"/>
      <c r="AY74" s="896"/>
      <c r="AZ74" s="896"/>
      <c r="BA74" s="896"/>
      <c r="BB74" s="896"/>
      <c r="BC74" s="896"/>
      <c r="BD74" s="896"/>
      <c r="BE74" s="896"/>
      <c r="BF74" s="896"/>
      <c r="BG74" s="896"/>
      <c r="BH74" s="896"/>
      <c r="BI74" s="893"/>
      <c r="BJ74" s="893"/>
      <c r="BK74" s="896"/>
      <c r="BL74" s="896"/>
      <c r="BM74" s="896"/>
      <c r="BN74" s="896"/>
      <c r="BO74" s="896"/>
      <c r="BP74" s="893"/>
      <c r="BQ74" s="896"/>
      <c r="BR74" s="893"/>
      <c r="BS74" s="893"/>
      <c r="BT74" s="896"/>
      <c r="BU74" s="893"/>
      <c r="BV74" s="896"/>
      <c r="BW74" s="896"/>
      <c r="BX74" s="897"/>
      <c r="BY74" s="897"/>
      <c r="BZ74" s="897"/>
      <c r="CA74" s="897"/>
      <c r="CB74" s="897"/>
      <c r="CC74" s="896"/>
      <c r="CD74" s="896"/>
      <c r="CE74" s="896"/>
      <c r="CF74" s="896"/>
      <c r="CG74" s="896"/>
      <c r="CH74" s="896"/>
      <c r="CI74" s="896"/>
    </row>
    <row r="75" spans="1:87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ref="L75:L132" si="61">IF(J75="","",IF(J75&gt;K75,"W",IF(J75=K75,"D",IF(J75&lt;K75,"L"))))</f>
        <v/>
      </c>
      <c r="M75" s="816" t="str">
        <f t="shared" ref="M75:M132" si="62">IF(J75="","",J75+K75)</f>
        <v/>
      </c>
      <c r="N75" s="816" t="str">
        <f t="shared" ref="N75:N132" si="63">IF($J75="","",IF($M75&gt;N$19,"O",IF($M75&lt;N$19,"U",IF($M75=N$19,"-"))))</f>
        <v/>
      </c>
      <c r="R75" s="816" t="str">
        <f t="shared" ref="R75:R132" si="64">IF(ISBLANK(Q75),"",J75-K75-Q75)</f>
        <v/>
      </c>
      <c r="T75" s="829" t="str">
        <f t="shared" ref="T75:T132" si="65">IF(ISBLANK(S75),"",J75+K75-S75)</f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IF($J75="","",IF(SUM(IF(ISNUMBER(VALUE(RIGHT($AG75:$CN75,1))),VALUE(RIGHT($AG75:$CN75,1)),0))=$J75,"T","F"))</f>
        <v/>
      </c>
      <c r="AE75" s="831" t="str">
        <f t="array" ref="AE75">IF($J75="","",SUM(IF(LEFT($AG75:$DZ75,1)="s",1,0))-SUM(IF(RIGHT(LEFT($AG75:$DZ75,2))="-",1,0)))</f>
        <v/>
      </c>
      <c r="AF75" s="816" t="str">
        <f t="array" ref="AF75">IF($J75="","",SUM(IF(LEFT($AG75:$DF75,1)="X",1,0)))</f>
        <v/>
      </c>
      <c r="AG75" s="897"/>
      <c r="AH75" s="897"/>
      <c r="AI75" s="897"/>
      <c r="AJ75" s="897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7"/>
      <c r="BF75" s="897"/>
      <c r="BG75" s="897"/>
      <c r="BH75" s="897"/>
      <c r="BI75" s="893"/>
      <c r="BJ75" s="893"/>
      <c r="BK75" s="897"/>
      <c r="BL75" s="897"/>
      <c r="BM75" s="897"/>
      <c r="BN75" s="897"/>
      <c r="BO75" s="897"/>
      <c r="BP75" s="893"/>
      <c r="BQ75" s="897"/>
      <c r="BR75" s="893"/>
      <c r="BS75" s="893"/>
      <c r="BT75" s="897"/>
      <c r="BU75" s="893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  <c r="CG75" s="897"/>
      <c r="CH75" s="897"/>
      <c r="CI75" s="897"/>
    </row>
    <row r="76" spans="1:87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61"/>
        <v/>
      </c>
      <c r="M76" s="816" t="str">
        <f t="shared" si="62"/>
        <v/>
      </c>
      <c r="N76" s="816" t="str">
        <f t="shared" si="63"/>
        <v/>
      </c>
      <c r="R76" s="816" t="str">
        <f t="shared" si="64"/>
        <v/>
      </c>
      <c r="T76" s="829" t="str">
        <f t="shared" si="65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IF($J76="","",IF(SUM(IF(ISNUMBER(VALUE(RIGHT($AG76:$CN76,1))),VALUE(RIGHT($AG76:$CN76,1)),0))=$J76,"T","F"))</f>
        <v/>
      </c>
      <c r="AE76" s="831" t="str">
        <f t="array" ref="AE76">IF($J76="","",SUM(IF(LEFT($AG76:$DZ76,1)="s",1,0))-SUM(IF(RIGHT(LEFT($AG76:$DZ76,2))="-",1,0)))</f>
        <v/>
      </c>
      <c r="AF76" s="816" t="str">
        <f t="array" ref="AF76">IF($J76="","",SUM(IF(LEFT($AG76:$DF76,1)="X",1,0)))</f>
        <v/>
      </c>
      <c r="AG76" s="897"/>
      <c r="AH76" s="897"/>
      <c r="AI76" s="897"/>
      <c r="AJ76" s="897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7"/>
      <c r="BG76" s="897"/>
      <c r="BH76" s="897"/>
      <c r="BI76" s="893"/>
      <c r="BJ76" s="893"/>
      <c r="BK76" s="897"/>
      <c r="BL76" s="897"/>
      <c r="BM76" s="897"/>
      <c r="BN76" s="897"/>
      <c r="BO76" s="897"/>
      <c r="BP76" s="893"/>
      <c r="BQ76" s="897"/>
      <c r="BR76" s="893"/>
      <c r="BS76" s="893"/>
      <c r="BT76" s="897"/>
      <c r="BU76" s="893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  <c r="CG76" s="897"/>
      <c r="CH76" s="897"/>
      <c r="CI76" s="897"/>
    </row>
    <row r="77" spans="1:87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61"/>
        <v/>
      </c>
      <c r="M77" s="816" t="str">
        <f t="shared" si="62"/>
        <v/>
      </c>
      <c r="N77" s="816" t="str">
        <f t="shared" si="63"/>
        <v/>
      </c>
      <c r="R77" s="816" t="str">
        <f t="shared" si="64"/>
        <v/>
      </c>
      <c r="T77" s="829" t="str">
        <f t="shared" si="65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IF($J77="","",IF(SUM(IF(ISNUMBER(VALUE(RIGHT($AG77:$CN77,1))),VALUE(RIGHT($AG77:$CN77,1)),0))=$J77,"T","F"))</f>
        <v/>
      </c>
      <c r="AE77" s="831" t="str">
        <f t="array" ref="AE77">IF($J77="","",SUM(IF(LEFT($AG77:$DZ77,1)="s",1,0))-SUM(IF(RIGHT(LEFT($AG77:$DZ77,2))="-",1,0)))</f>
        <v/>
      </c>
      <c r="AF77" s="816" t="str">
        <f t="array" ref="AF77">IF($J77="","",SUM(IF(LEFT($AG77:$DF77,1)="X",1,0)))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7"/>
      <c r="BF77" s="897"/>
      <c r="BG77" s="897"/>
      <c r="BH77" s="897"/>
      <c r="BI77" s="893"/>
      <c r="BJ77" s="893"/>
      <c r="BK77" s="897"/>
      <c r="BL77" s="897"/>
      <c r="BM77" s="897"/>
      <c r="BN77" s="897"/>
      <c r="BO77" s="897"/>
      <c r="BP77" s="893"/>
      <c r="BQ77" s="897"/>
      <c r="BR77" s="893"/>
      <c r="BS77" s="893"/>
      <c r="BT77" s="897"/>
      <c r="BU77" s="893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  <c r="CG77" s="897"/>
      <c r="CH77" s="897"/>
      <c r="CI77" s="897"/>
    </row>
    <row r="78" spans="1:87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61"/>
        <v/>
      </c>
      <c r="M78" s="816" t="str">
        <f t="shared" si="62"/>
        <v/>
      </c>
      <c r="N78" s="816" t="str">
        <f t="shared" si="63"/>
        <v/>
      </c>
      <c r="R78" s="816" t="str">
        <f t="shared" si="64"/>
        <v/>
      </c>
      <c r="T78" s="829" t="str">
        <f t="shared" si="65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IF($J78="","",IF(SUM(IF(ISNUMBER(VALUE(RIGHT($AG78:$CN78,1))),VALUE(RIGHT($AG78:$CN78,1)),0))=$J78,"T","F"))</f>
        <v/>
      </c>
      <c r="AE78" s="831" t="str">
        <f t="array" ref="AE78">IF($J78="","",SUM(IF(LEFT($AG78:$DZ78,1)="s",1,0))-SUM(IF(RIGHT(LEFT($AG78:$DZ78,2))="-",1,0)))</f>
        <v/>
      </c>
      <c r="AF78" s="816" t="str">
        <f t="array" ref="AF78">IF($J78="","",SUM(IF(LEFT($AG78:$DF78,1)="X",1,0)))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7"/>
      <c r="BF78" s="897"/>
      <c r="BG78" s="897"/>
      <c r="BH78" s="897"/>
      <c r="BI78" s="893"/>
      <c r="BJ78" s="893"/>
      <c r="BK78" s="897"/>
      <c r="BL78" s="897"/>
      <c r="BM78" s="897"/>
      <c r="BN78" s="897"/>
      <c r="BO78" s="897"/>
      <c r="BP78" s="893"/>
      <c r="BQ78" s="897"/>
      <c r="BR78" s="893"/>
      <c r="BS78" s="893"/>
      <c r="BT78" s="897"/>
      <c r="BU78" s="893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  <c r="CG78" s="897"/>
      <c r="CH78" s="897"/>
      <c r="CI78" s="897"/>
    </row>
    <row r="79" spans="1:87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428"/>
      <c r="K79" s="428"/>
      <c r="L79" s="816" t="str">
        <f t="shared" si="61"/>
        <v/>
      </c>
      <c r="M79" s="816" t="str">
        <f t="shared" si="62"/>
        <v/>
      </c>
      <c r="N79" s="816" t="str">
        <f t="shared" si="63"/>
        <v/>
      </c>
      <c r="R79" s="816" t="str">
        <f t="shared" si="64"/>
        <v/>
      </c>
      <c r="T79" s="829" t="str">
        <f t="shared" si="65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IF($J79="","",IF(SUM(IF(ISNUMBER(VALUE(RIGHT($AG79:$CN79,1))),VALUE(RIGHT($AG79:$CN79,1)),0))=$J79,"T","F"))</f>
        <v/>
      </c>
      <c r="AE79" s="831" t="str">
        <f t="array" ref="AE79">IF($J79="","",SUM(IF(LEFT($AG79:$DZ79,1)="s",1,0))-SUM(IF(RIGHT(LEFT($AG79:$DZ79,2))="-",1,0)))</f>
        <v/>
      </c>
      <c r="AF79" s="816" t="str">
        <f t="array" ref="AF79">IF($J79="","",SUM(IF(LEFT($AG79:$DF79,1)="X",1,0)))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7"/>
      <c r="BG79" s="897"/>
      <c r="BH79" s="897"/>
      <c r="BI79" s="893"/>
      <c r="BJ79" s="893"/>
      <c r="BK79" s="897"/>
      <c r="BL79" s="897"/>
      <c r="BM79" s="897"/>
      <c r="BN79" s="897"/>
      <c r="BO79" s="897"/>
      <c r="BP79" s="893"/>
      <c r="BQ79" s="897"/>
      <c r="BR79" s="893"/>
      <c r="BS79" s="893"/>
      <c r="BT79" s="897"/>
      <c r="BU79" s="893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  <c r="CG79" s="897"/>
      <c r="CH79" s="897"/>
      <c r="CI79" s="897"/>
    </row>
    <row r="80" spans="1:87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1"/>
        <v/>
      </c>
      <c r="M80" s="816" t="str">
        <f t="shared" si="62"/>
        <v/>
      </c>
      <c r="N80" s="816" t="str">
        <f t="shared" si="63"/>
        <v/>
      </c>
      <c r="R80" s="816" t="str">
        <f t="shared" si="64"/>
        <v/>
      </c>
      <c r="T80" s="829" t="str">
        <f t="shared" si="65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IF($J80="","",IF(SUM(IF(ISNUMBER(VALUE(RIGHT($AG80:$CN80,1))),VALUE(RIGHT($AG80:$CN80,1)),0))=$J80,"T","F"))</f>
        <v/>
      </c>
      <c r="AE80" s="831" t="str">
        <f t="array" ref="AE80">IF($J80="","",SUM(IF(LEFT($AG80:$DZ80,1)="s",1,0))-SUM(IF(RIGHT(LEFT($AG80:$DZ80,2))="-",1,0)))</f>
        <v/>
      </c>
      <c r="AF80" s="816" t="str">
        <f t="array" ref="AF80">IF($J80="","",SUM(IF(LEFT($AG80:$DF80,1)="X",1,0)))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7"/>
      <c r="BG80" s="897"/>
      <c r="BH80" s="897"/>
      <c r="BI80" s="893"/>
      <c r="BJ80" s="893"/>
      <c r="BK80" s="897"/>
      <c r="BL80" s="897"/>
      <c r="BM80" s="897"/>
      <c r="BN80" s="897"/>
      <c r="BO80" s="897"/>
      <c r="BP80" s="893"/>
      <c r="BQ80" s="897"/>
      <c r="BR80" s="893"/>
      <c r="BS80" s="893"/>
      <c r="BT80" s="897"/>
      <c r="BU80" s="893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  <c r="CG80" s="897"/>
      <c r="CH80" s="897"/>
      <c r="CI80" s="897"/>
    </row>
    <row r="81" spans="1:87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1"/>
        <v/>
      </c>
      <c r="M81" s="816" t="str">
        <f t="shared" si="62"/>
        <v/>
      </c>
      <c r="N81" s="816" t="str">
        <f t="shared" si="63"/>
        <v/>
      </c>
      <c r="R81" s="816" t="str">
        <f t="shared" si="64"/>
        <v/>
      </c>
      <c r="T81" s="829" t="str">
        <f t="shared" si="65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IF($J81="","",IF(SUM(IF(ISNUMBER(VALUE(RIGHT($AG81:$CN81,1))),VALUE(RIGHT($AG81:$CN81,1)),0))=$J81,"T","F"))</f>
        <v/>
      </c>
      <c r="AE81" s="831" t="str">
        <f t="array" ref="AE81">IF($J81="","",SUM(IF(LEFT($AG81:$DZ81,1)="s",1,0))-SUM(IF(RIGHT(LEFT($AG81:$DZ81,2))="-",1,0)))</f>
        <v/>
      </c>
      <c r="AF81" s="816" t="str">
        <f t="array" ref="AF81">IF($J81="","",SUM(IF(LEFT($AG81:$DF81,1)="X",1,0)))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7"/>
      <c r="BG81" s="897"/>
      <c r="BH81" s="897"/>
      <c r="BI81" s="893"/>
      <c r="BJ81" s="893"/>
      <c r="BK81" s="897"/>
      <c r="BL81" s="897"/>
      <c r="BM81" s="897"/>
      <c r="BN81" s="897"/>
      <c r="BO81" s="897"/>
      <c r="BP81" s="893"/>
      <c r="BQ81" s="897"/>
      <c r="BR81" s="893"/>
      <c r="BS81" s="893"/>
      <c r="BT81" s="897"/>
      <c r="BU81" s="893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  <c r="CG81" s="897"/>
      <c r="CH81" s="897"/>
      <c r="CI81" s="897"/>
    </row>
    <row r="82" spans="1:87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1"/>
        <v/>
      </c>
      <c r="M82" s="816" t="str">
        <f t="shared" si="62"/>
        <v/>
      </c>
      <c r="N82" s="816" t="str">
        <f t="shared" si="63"/>
        <v/>
      </c>
      <c r="R82" s="816" t="str">
        <f t="shared" si="64"/>
        <v/>
      </c>
      <c r="T82" s="829" t="str">
        <f t="shared" si="65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IF($J82="","",IF(SUM(IF(ISNUMBER(VALUE(RIGHT($AG82:$CN82,1))),VALUE(RIGHT($AG82:$CN82,1)),0))=$J82,"T","F"))</f>
        <v/>
      </c>
      <c r="AE82" s="831" t="str">
        <f t="array" ref="AE82">IF($J82="","",SUM(IF(LEFT($AG82:$DZ82,1)="s",1,0))-SUM(IF(RIGHT(LEFT($AG82:$DZ82,2))="-",1,0)))</f>
        <v/>
      </c>
      <c r="AF82" s="816" t="str">
        <f t="array" ref="AF82">IF($J82="","",SUM(IF(LEFT($AG82:$DF82,1)="X",1,0)))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7"/>
      <c r="BF82" s="897"/>
      <c r="BG82" s="897"/>
      <c r="BH82" s="897"/>
      <c r="BI82" s="893"/>
      <c r="BJ82" s="893"/>
      <c r="BK82" s="897"/>
      <c r="BL82" s="897"/>
      <c r="BM82" s="897"/>
      <c r="BN82" s="897"/>
      <c r="BO82" s="897"/>
      <c r="BP82" s="893"/>
      <c r="BQ82" s="897"/>
      <c r="BR82" s="893"/>
      <c r="BS82" s="893"/>
      <c r="BT82" s="897"/>
      <c r="BU82" s="893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  <c r="CG82" s="897"/>
      <c r="CH82" s="897"/>
      <c r="CI82" s="897"/>
    </row>
    <row r="83" spans="1:87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1"/>
        <v/>
      </c>
      <c r="M83" s="816" t="str">
        <f t="shared" si="62"/>
        <v/>
      </c>
      <c r="N83" s="816" t="str">
        <f t="shared" si="63"/>
        <v/>
      </c>
      <c r="R83" s="816" t="str">
        <f t="shared" si="64"/>
        <v/>
      </c>
      <c r="T83" s="829" t="str">
        <f t="shared" si="65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IF($J83="","",IF(SUM(IF(ISNUMBER(VALUE(RIGHT($AG83:$CN83,1))),VALUE(RIGHT($AG83:$CN83,1)),0))=$J83,"T","F"))</f>
        <v/>
      </c>
      <c r="AE83" s="831" t="str">
        <f t="array" ref="AE83">IF($J83="","",SUM(IF(LEFT($AG83:$DZ83,1)="s",1,0))-SUM(IF(RIGHT(LEFT($AG83:$DZ83,2))="-",1,0)))</f>
        <v/>
      </c>
      <c r="AF83" s="816" t="str">
        <f t="array" ref="AF83">IF($J83="","",SUM(IF(LEFT($AG83:$DF83,1)="X",1,0)))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7"/>
      <c r="BG83" s="897"/>
      <c r="BH83" s="897"/>
      <c r="BI83" s="893"/>
      <c r="BJ83" s="893"/>
      <c r="BK83" s="897"/>
      <c r="BL83" s="897"/>
      <c r="BM83" s="897"/>
      <c r="BN83" s="897"/>
      <c r="BO83" s="897"/>
      <c r="BP83" s="893"/>
      <c r="BQ83" s="897"/>
      <c r="BR83" s="893"/>
      <c r="BS83" s="893"/>
      <c r="BT83" s="897"/>
      <c r="BU83" s="893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  <c r="CG83" s="897"/>
      <c r="CH83" s="897"/>
      <c r="CI83" s="897"/>
    </row>
    <row r="84" spans="1:87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1"/>
        <v/>
      </c>
      <c r="M84" s="816" t="str">
        <f t="shared" si="62"/>
        <v/>
      </c>
      <c r="N84" s="816" t="str">
        <f t="shared" si="63"/>
        <v/>
      </c>
      <c r="R84" s="816" t="str">
        <f t="shared" si="64"/>
        <v/>
      </c>
      <c r="T84" s="829" t="str">
        <f t="shared" si="65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IF($J84="","",IF(SUM(IF(ISNUMBER(VALUE(RIGHT($AG84:$CN84,1))),VALUE(RIGHT($AG84:$CN84,1)),0))=$J84,"T","F"))</f>
        <v/>
      </c>
      <c r="AE84" s="831" t="str">
        <f t="array" ref="AE84">IF($J84="","",SUM(IF(LEFT($AG84:$DZ84,1)="s",1,0))-SUM(IF(RIGHT(LEFT($AG84:$DZ84,2))="-",1,0)))</f>
        <v/>
      </c>
      <c r="AF84" s="816" t="str">
        <f t="array" ref="AF84">IF($J84="","",SUM(IF(LEFT($AG84:$DF84,1)="X",1,0)))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7"/>
      <c r="BF84" s="897"/>
      <c r="BG84" s="897"/>
      <c r="BH84" s="897"/>
      <c r="BI84" s="893"/>
      <c r="BJ84" s="893"/>
      <c r="BK84" s="897"/>
      <c r="BL84" s="897"/>
      <c r="BM84" s="897"/>
      <c r="BN84" s="897"/>
      <c r="BO84" s="897"/>
      <c r="BP84" s="893"/>
      <c r="BQ84" s="897"/>
      <c r="BR84" s="893"/>
      <c r="BS84" s="893"/>
      <c r="BT84" s="897"/>
      <c r="BU84" s="893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  <c r="CG84" s="897"/>
      <c r="CH84" s="897"/>
      <c r="CI84" s="897"/>
    </row>
    <row r="85" spans="1:87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1"/>
        <v/>
      </c>
      <c r="M85" s="816" t="str">
        <f t="shared" si="62"/>
        <v/>
      </c>
      <c r="N85" s="816" t="str">
        <f t="shared" si="63"/>
        <v/>
      </c>
      <c r="R85" s="816" t="str">
        <f t="shared" si="64"/>
        <v/>
      </c>
      <c r="T85" s="829" t="str">
        <f t="shared" si="65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IF($J85="","",IF(SUM(IF(ISNUMBER(VALUE(RIGHT($AG85:$CN85,1))),VALUE(RIGHT($AG85:$CN85,1)),0))=$J85,"T","F"))</f>
        <v/>
      </c>
      <c r="AE85" s="831" t="str">
        <f t="array" ref="AE85">IF($J85="","",SUM(IF(LEFT($AG85:$DZ85,1)="s",1,0))-SUM(IF(RIGHT(LEFT($AG85:$DZ85,2))="-",1,0)))</f>
        <v/>
      </c>
      <c r="AF85" s="816" t="str">
        <f t="array" ref="AF85">IF($J85="","",SUM(IF(LEFT($AG85:$DF85,1)="X",1,0)))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7"/>
      <c r="BF85" s="897"/>
      <c r="BG85" s="897"/>
      <c r="BH85" s="897"/>
      <c r="BI85" s="893"/>
      <c r="BJ85" s="893"/>
      <c r="BK85" s="897"/>
      <c r="BL85" s="897"/>
      <c r="BM85" s="897"/>
      <c r="BN85" s="897"/>
      <c r="BO85" s="897"/>
      <c r="BP85" s="893"/>
      <c r="BQ85" s="897"/>
      <c r="BR85" s="893"/>
      <c r="BS85" s="893"/>
      <c r="BT85" s="897"/>
      <c r="BU85" s="893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  <c r="CG85" s="897"/>
      <c r="CH85" s="897"/>
      <c r="CI85" s="897"/>
    </row>
    <row r="86" spans="1:87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61"/>
        <v/>
      </c>
      <c r="M86" s="816" t="str">
        <f t="shared" si="62"/>
        <v/>
      </c>
      <c r="N86" s="816" t="str">
        <f t="shared" si="63"/>
        <v/>
      </c>
      <c r="R86" s="816" t="str">
        <f t="shared" si="64"/>
        <v/>
      </c>
      <c r="T86" s="829" t="str">
        <f t="shared" si="65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IF($J86="","",IF(SUM(IF(ISNUMBER(VALUE(RIGHT($AG86:$CN86,1))),VALUE(RIGHT($AG86:$CN86,1)),0))=$J86,"T","F"))</f>
        <v/>
      </c>
      <c r="AE86" s="831" t="str">
        <f t="array" ref="AE86">IF($J86="","",SUM(IF(LEFT($AG86:$DZ86,1)="s",1,0))-SUM(IF(RIGHT(LEFT($AG86:$DZ86,2))="-",1,0)))</f>
        <v/>
      </c>
      <c r="AF86" s="816" t="str">
        <f t="array" ref="AF86">IF($J86="","",SUM(IF(LEFT($AG86:$DF86,1)="X",1,0)))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7"/>
      <c r="BF86" s="897"/>
      <c r="BG86" s="897"/>
      <c r="BH86" s="897"/>
      <c r="BI86" s="893"/>
      <c r="BJ86" s="893"/>
      <c r="BK86" s="897"/>
      <c r="BL86" s="897"/>
      <c r="BM86" s="897"/>
      <c r="BN86" s="897"/>
      <c r="BO86" s="897"/>
      <c r="BP86" s="893"/>
      <c r="BQ86" s="897"/>
      <c r="BR86" s="893"/>
      <c r="BS86" s="893"/>
      <c r="BT86" s="897"/>
      <c r="BU86" s="893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  <c r="CG86" s="897"/>
      <c r="CH86" s="897"/>
      <c r="CI86" s="897"/>
    </row>
    <row r="87" spans="1:87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61"/>
        <v/>
      </c>
      <c r="M87" s="816" t="str">
        <f t="shared" si="62"/>
        <v/>
      </c>
      <c r="N87" s="816" t="str">
        <f t="shared" si="63"/>
        <v/>
      </c>
      <c r="R87" s="816" t="str">
        <f t="shared" si="64"/>
        <v/>
      </c>
      <c r="T87" s="829" t="str">
        <f t="shared" si="65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IF($J87="","",IF(SUM(IF(ISNUMBER(VALUE(RIGHT($AG87:$CN87,1))),VALUE(RIGHT($AG87:$CN87,1)),0))=$J87,"T","F"))</f>
        <v/>
      </c>
      <c r="AE87" s="831" t="str">
        <f t="array" ref="AE87">IF($J87="","",SUM(IF(LEFT($AG87:$DZ87,1)="s",1,0))-SUM(IF(RIGHT(LEFT($AG87:$DZ87,2))="-",1,0)))</f>
        <v/>
      </c>
      <c r="AF87" s="816" t="str">
        <f t="array" ref="AF87">IF($J87="","",SUM(IF(LEFT($AG87:$DF87,1)="X",1,0)))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7"/>
      <c r="BF87" s="897"/>
      <c r="BG87" s="897"/>
      <c r="BH87" s="897"/>
      <c r="BI87" s="893"/>
      <c r="BJ87" s="893"/>
      <c r="BK87" s="897"/>
      <c r="BL87" s="897"/>
      <c r="BM87" s="897"/>
      <c r="BN87" s="897"/>
      <c r="BO87" s="897"/>
      <c r="BP87" s="893"/>
      <c r="BQ87" s="897"/>
      <c r="BR87" s="893"/>
      <c r="BS87" s="893"/>
      <c r="BT87" s="897"/>
      <c r="BU87" s="893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  <c r="CG87" s="897"/>
      <c r="CH87" s="897"/>
      <c r="CI87" s="897"/>
    </row>
    <row r="88" spans="1:87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787"/>
      <c r="H88" s="833"/>
      <c r="I88" s="833"/>
      <c r="J88" s="833"/>
      <c r="K88" s="833"/>
      <c r="L88" s="816" t="str">
        <f t="shared" si="61"/>
        <v/>
      </c>
      <c r="M88" s="816" t="str">
        <f t="shared" si="62"/>
        <v/>
      </c>
      <c r="N88" s="816" t="str">
        <f t="shared" si="63"/>
        <v/>
      </c>
      <c r="R88" s="816" t="str">
        <f t="shared" si="64"/>
        <v/>
      </c>
      <c r="T88" s="829" t="str">
        <f t="shared" si="65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IF($J88="","",IF(SUM(IF(ISNUMBER(VALUE(RIGHT($AG88:$CN88,1))),VALUE(RIGHT($AG88:$CN88,1)),0))=$J88,"T","F"))</f>
        <v/>
      </c>
      <c r="AE88" s="831" t="str">
        <f t="array" ref="AE88">IF($J88="","",SUM(IF(LEFT($AG88:$DZ88,1)="s",1,0))-SUM(IF(RIGHT(LEFT($AG88:$DZ88,2))="-",1,0)))</f>
        <v/>
      </c>
      <c r="AF88" s="816" t="str">
        <f t="array" ref="AF88">IF($J88="","",SUM(IF(LEFT($AG88:$DF88,1)="X",1,0)))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7"/>
      <c r="BF88" s="897"/>
      <c r="BG88" s="897"/>
      <c r="BH88" s="897"/>
      <c r="BI88" s="893"/>
      <c r="BJ88" s="893"/>
      <c r="BK88" s="897"/>
      <c r="BL88" s="897"/>
      <c r="BM88" s="897"/>
      <c r="BN88" s="897"/>
      <c r="BO88" s="897"/>
      <c r="BP88" s="893"/>
      <c r="BQ88" s="897"/>
      <c r="BR88" s="893"/>
      <c r="BS88" s="893"/>
      <c r="BT88" s="897"/>
      <c r="BU88" s="893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  <c r="CG88" s="897"/>
      <c r="CH88" s="897"/>
      <c r="CI88" s="897"/>
    </row>
    <row r="89" spans="1:87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1"/>
        <v/>
      </c>
      <c r="M89" s="816" t="str">
        <f t="shared" si="62"/>
        <v/>
      </c>
      <c r="N89" s="816" t="str">
        <f t="shared" si="63"/>
        <v/>
      </c>
      <c r="R89" s="816" t="str">
        <f t="shared" si="64"/>
        <v/>
      </c>
      <c r="T89" s="829" t="str">
        <f t="shared" si="65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IF($J89="","",IF(SUM(IF(ISNUMBER(VALUE(RIGHT($AG89:$CN89,1))),VALUE(RIGHT($AG89:$CN89,1)),0))=$J89,"T","F"))</f>
        <v/>
      </c>
      <c r="AE89" s="831" t="str">
        <f t="array" ref="AE89">IF($J89="","",SUM(IF(LEFT($AG89:$DZ89,1)="s",1,0))-SUM(IF(RIGHT(LEFT($AG89:$DZ89,2))="-",1,0)))</f>
        <v/>
      </c>
      <c r="AF89" s="816" t="str">
        <f t="array" ref="AF89">IF($J89="","",SUM(IF(LEFT($AG89:$DF89,1)="X",1,0)))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7"/>
      <c r="BF89" s="897"/>
      <c r="BG89" s="897"/>
      <c r="BH89" s="897"/>
      <c r="BI89" s="893"/>
      <c r="BJ89" s="893"/>
      <c r="BK89" s="897"/>
      <c r="BL89" s="897"/>
      <c r="BM89" s="897"/>
      <c r="BN89" s="897"/>
      <c r="BO89" s="897"/>
      <c r="BP89" s="893"/>
      <c r="BQ89" s="897"/>
      <c r="BR89" s="893"/>
      <c r="BS89" s="893"/>
      <c r="BT89" s="897"/>
      <c r="BU89" s="893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  <c r="CG89" s="897"/>
      <c r="CH89" s="897"/>
      <c r="CI89" s="897"/>
    </row>
    <row r="90" spans="1:87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1"/>
        <v/>
      </c>
      <c r="M90" s="816" t="str">
        <f t="shared" si="62"/>
        <v/>
      </c>
      <c r="N90" s="816" t="str">
        <f t="shared" si="63"/>
        <v/>
      </c>
      <c r="R90" s="816" t="str">
        <f t="shared" si="64"/>
        <v/>
      </c>
      <c r="T90" s="829" t="str">
        <f t="shared" si="65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IF($J90="","",IF(SUM(IF(ISNUMBER(VALUE(RIGHT($AG90:$CN90,1))),VALUE(RIGHT($AG90:$CN90,1)),0))=$J90,"T","F"))</f>
        <v/>
      </c>
      <c r="AE90" s="831" t="str">
        <f t="array" ref="AE90">IF($J90="","",SUM(IF(LEFT($AG90:$DZ90,1)="s",1,0))-SUM(IF(RIGHT(LEFT($AG90:$DZ90,2))="-",1,0)))</f>
        <v/>
      </c>
      <c r="AF90" s="816" t="str">
        <f t="array" ref="AF90">IF($J90="","",SUM(IF(LEFT($AG90:$DF90,1)="X",1,0)))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7"/>
      <c r="BF90" s="897"/>
      <c r="BG90" s="897"/>
      <c r="BH90" s="897"/>
      <c r="BI90" s="893"/>
      <c r="BJ90" s="893"/>
      <c r="BK90" s="897"/>
      <c r="BL90" s="897"/>
      <c r="BM90" s="897"/>
      <c r="BN90" s="897"/>
      <c r="BO90" s="897"/>
      <c r="BP90" s="893"/>
      <c r="BQ90" s="897"/>
      <c r="BR90" s="893"/>
      <c r="BS90" s="893"/>
      <c r="BT90" s="897"/>
      <c r="BU90" s="893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  <c r="CG90" s="897"/>
      <c r="CH90" s="897"/>
      <c r="CI90" s="897"/>
    </row>
    <row r="91" spans="1:87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1"/>
        <v/>
      </c>
      <c r="M91" s="816" t="str">
        <f t="shared" si="62"/>
        <v/>
      </c>
      <c r="N91" s="816" t="str">
        <f t="shared" si="63"/>
        <v/>
      </c>
      <c r="R91" s="816" t="str">
        <f t="shared" si="64"/>
        <v/>
      </c>
      <c r="T91" s="829" t="str">
        <f t="shared" si="65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IF($J91="","",IF(SUM(IF(ISNUMBER(VALUE(RIGHT($AG91:$CN91,1))),VALUE(RIGHT($AG91:$CN91,1)),0))=$J91,"T","F"))</f>
        <v/>
      </c>
      <c r="AE91" s="831" t="str">
        <f t="array" ref="AE91">IF($J91="","",SUM(IF(LEFT($AG91:$DZ91,1)="s",1,0))-SUM(IF(RIGHT(LEFT($AG91:$DZ91,2))="-",1,0)))</f>
        <v/>
      </c>
      <c r="AF91" s="816" t="str">
        <f t="array" ref="AF91">IF($J91="","",SUM(IF(LEFT($AG91:$DF91,1)="X",1,0)))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7"/>
      <c r="BF91" s="897"/>
      <c r="BG91" s="897"/>
      <c r="BH91" s="897"/>
      <c r="BI91" s="893"/>
      <c r="BJ91" s="893"/>
      <c r="BK91" s="897"/>
      <c r="BL91" s="897"/>
      <c r="BM91" s="897"/>
      <c r="BN91" s="897"/>
      <c r="BO91" s="897"/>
      <c r="BP91" s="893"/>
      <c r="BQ91" s="897"/>
      <c r="BR91" s="893"/>
      <c r="BS91" s="893"/>
      <c r="BT91" s="897"/>
      <c r="BU91" s="893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  <c r="CG91" s="897"/>
      <c r="CH91" s="897"/>
      <c r="CI91" s="897"/>
    </row>
    <row r="92" spans="1:87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1"/>
        <v/>
      </c>
      <c r="M92" s="816" t="str">
        <f t="shared" si="62"/>
        <v/>
      </c>
      <c r="N92" s="816" t="str">
        <f t="shared" si="63"/>
        <v/>
      </c>
      <c r="R92" s="816" t="str">
        <f t="shared" si="64"/>
        <v/>
      </c>
      <c r="T92" s="829" t="str">
        <f t="shared" si="65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IF($J92="","",IF(SUM(IF(ISNUMBER(VALUE(RIGHT($AG92:$CN92,1))),VALUE(RIGHT($AG92:$CN92,1)),0))=$J92,"T","F"))</f>
        <v/>
      </c>
      <c r="AE92" s="831" t="str">
        <f t="array" ref="AE92">IF($J92="","",SUM(IF(LEFT($AG92:$DZ92,1)="s",1,0))-SUM(IF(RIGHT(LEFT($AG92:$DZ92,2))="-",1,0)))</f>
        <v/>
      </c>
      <c r="AF92" s="816" t="str">
        <f t="array" ref="AF92">IF($J92="","",SUM(IF(LEFT($AG92:$DF92,1)="X",1,0)))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7"/>
      <c r="BF92" s="897"/>
      <c r="BG92" s="897"/>
      <c r="BH92" s="897"/>
      <c r="BI92" s="893"/>
      <c r="BJ92" s="893"/>
      <c r="BK92" s="897"/>
      <c r="BL92" s="897"/>
      <c r="BM92" s="897"/>
      <c r="BN92" s="897"/>
      <c r="BO92" s="897"/>
      <c r="BP92" s="893"/>
      <c r="BQ92" s="897"/>
      <c r="BR92" s="893"/>
      <c r="BS92" s="893"/>
      <c r="BT92" s="897"/>
      <c r="BU92" s="893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  <c r="CG92" s="897"/>
      <c r="CH92" s="897"/>
      <c r="CI92" s="897"/>
    </row>
    <row r="93" spans="1:87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1"/>
        <v/>
      </c>
      <c r="M93" s="816" t="str">
        <f t="shared" si="62"/>
        <v/>
      </c>
      <c r="N93" s="816" t="str">
        <f t="shared" si="63"/>
        <v/>
      </c>
      <c r="R93" s="816" t="str">
        <f t="shared" si="64"/>
        <v/>
      </c>
      <c r="T93" s="829" t="str">
        <f t="shared" si="65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IF($J93="","",IF(SUM(IF(ISNUMBER(VALUE(RIGHT($AG93:$CN93,1))),VALUE(RIGHT($AG93:$CN93,1)),0))=$J93,"T","F"))</f>
        <v/>
      </c>
      <c r="AE93" s="831" t="str">
        <f t="array" ref="AE93">IF($J93="","",SUM(IF(LEFT($AG93:$DZ93,1)="s",1,0))-SUM(IF(RIGHT(LEFT($AG93:$DZ93,2))="-",1,0)))</f>
        <v/>
      </c>
      <c r="AF93" s="816" t="str">
        <f t="array" ref="AF93">IF($J93="","",SUM(IF(LEFT($AG93:$DF93,1)="X",1,0)))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7"/>
      <c r="BF93" s="897"/>
      <c r="BG93" s="897"/>
      <c r="BH93" s="897"/>
      <c r="BI93" s="893"/>
      <c r="BJ93" s="893"/>
      <c r="BK93" s="897"/>
      <c r="BL93" s="897"/>
      <c r="BM93" s="897"/>
      <c r="BN93" s="897"/>
      <c r="BO93" s="897"/>
      <c r="BP93" s="893"/>
      <c r="BQ93" s="897"/>
      <c r="BR93" s="893"/>
      <c r="BS93" s="893"/>
      <c r="BT93" s="897"/>
      <c r="BU93" s="893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  <c r="CG93" s="897"/>
      <c r="CH93" s="897"/>
      <c r="CI93" s="897"/>
    </row>
    <row r="94" spans="1:87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1"/>
        <v/>
      </c>
      <c r="M94" s="816" t="str">
        <f t="shared" si="62"/>
        <v/>
      </c>
      <c r="N94" s="816" t="str">
        <f t="shared" si="63"/>
        <v/>
      </c>
      <c r="R94" s="816" t="str">
        <f t="shared" si="64"/>
        <v/>
      </c>
      <c r="T94" s="829" t="str">
        <f t="shared" si="65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IF($J94="","",IF(SUM(IF(ISNUMBER(VALUE(RIGHT($AG94:$CN94,1))),VALUE(RIGHT($AG94:$CN94,1)),0))=$J94,"T","F"))</f>
        <v/>
      </c>
      <c r="AE94" s="831" t="str">
        <f t="array" ref="AE94">IF($J94="","",SUM(IF(LEFT($AG94:$DZ94,1)="s",1,0))-SUM(IF(RIGHT(LEFT($AG94:$DZ94,2))="-",1,0)))</f>
        <v/>
      </c>
      <c r="AF94" s="816" t="str">
        <f t="array" ref="AF94">IF($J94="","",SUM(IF(LEFT($AG94:$DF94,1)="X",1,0)))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7"/>
      <c r="BF94" s="897"/>
      <c r="BG94" s="897"/>
      <c r="BH94" s="897"/>
      <c r="BI94" s="893"/>
      <c r="BJ94" s="893"/>
      <c r="BK94" s="897"/>
      <c r="BL94" s="897"/>
      <c r="BM94" s="897"/>
      <c r="BN94" s="897"/>
      <c r="BO94" s="897"/>
      <c r="BP94" s="893"/>
      <c r="BQ94" s="897"/>
      <c r="BR94" s="893"/>
      <c r="BS94" s="893"/>
      <c r="BT94" s="897"/>
      <c r="BU94" s="893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  <c r="CG94" s="897"/>
      <c r="CH94" s="897"/>
      <c r="CI94" s="897"/>
    </row>
    <row r="95" spans="1:87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1"/>
        <v/>
      </c>
      <c r="M95" s="816" t="str">
        <f t="shared" si="62"/>
        <v/>
      </c>
      <c r="N95" s="816" t="str">
        <f t="shared" si="63"/>
        <v/>
      </c>
      <c r="R95" s="816" t="str">
        <f t="shared" si="64"/>
        <v/>
      </c>
      <c r="T95" s="829" t="str">
        <f t="shared" si="65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IF($J95="","",IF(SUM(IF(ISNUMBER(VALUE(RIGHT($AG95:$CN95,1))),VALUE(RIGHT($AG95:$CN95,1)),0))=$J95,"T","F"))</f>
        <v/>
      </c>
      <c r="AE95" s="831" t="str">
        <f t="array" ref="AE95">IF($J95="","",SUM(IF(LEFT($AG95:$DZ95,1)="s",1,0))-SUM(IF(RIGHT(LEFT($AG95:$DZ95,2))="-",1,0)))</f>
        <v/>
      </c>
      <c r="AF95" s="816" t="str">
        <f t="array" ref="AF95">IF($J95="","",SUM(IF(LEFT($AG95:$DF95,1)="X",1,0)))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7"/>
      <c r="BF95" s="897"/>
      <c r="BG95" s="897"/>
      <c r="BH95" s="897"/>
      <c r="BI95" s="893"/>
      <c r="BJ95" s="893"/>
      <c r="BK95" s="897"/>
      <c r="BL95" s="897"/>
      <c r="BM95" s="897"/>
      <c r="BN95" s="897"/>
      <c r="BO95" s="897"/>
      <c r="BP95" s="893"/>
      <c r="BQ95" s="897"/>
      <c r="BR95" s="893"/>
      <c r="BS95" s="893"/>
      <c r="BT95" s="897"/>
      <c r="BU95" s="893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  <c r="CG95" s="897"/>
      <c r="CH95" s="897"/>
      <c r="CI95" s="897"/>
    </row>
    <row r="96" spans="1:87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1"/>
        <v/>
      </c>
      <c r="M96" s="816" t="str">
        <f t="shared" si="62"/>
        <v/>
      </c>
      <c r="N96" s="816" t="str">
        <f t="shared" si="63"/>
        <v/>
      </c>
      <c r="R96" s="816" t="str">
        <f t="shared" si="64"/>
        <v/>
      </c>
      <c r="T96" s="829" t="str">
        <f t="shared" si="65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IF($J96="","",IF(SUM(IF(ISNUMBER(VALUE(RIGHT($AG96:$CN96,1))),VALUE(RIGHT($AG96:$CN96,1)),0))=$J96,"T","F"))</f>
        <v/>
      </c>
      <c r="AE96" s="831" t="str">
        <f t="array" ref="AE96">IF($J96="","",SUM(IF(LEFT($AG96:$DZ96,1)="s",1,0))-SUM(IF(RIGHT(LEFT($AG96:$DZ96,2))="-",1,0)))</f>
        <v/>
      </c>
      <c r="AF96" s="816" t="str">
        <f t="array" ref="AF96">IF($J96="","",SUM(IF(LEFT($AG96:$DF96,1)="X",1,0)))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7"/>
      <c r="BF96" s="897"/>
      <c r="BG96" s="897"/>
      <c r="BH96" s="897"/>
      <c r="BI96" s="893"/>
      <c r="BJ96" s="893"/>
      <c r="BK96" s="897"/>
      <c r="BL96" s="897"/>
      <c r="BM96" s="897"/>
      <c r="BN96" s="897"/>
      <c r="BO96" s="897"/>
      <c r="BP96" s="893"/>
      <c r="BQ96" s="897"/>
      <c r="BR96" s="893"/>
      <c r="BS96" s="893"/>
      <c r="BT96" s="897"/>
      <c r="BU96" s="893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  <c r="CG96" s="897"/>
      <c r="CH96" s="897"/>
      <c r="CI96" s="897"/>
    </row>
    <row r="97" spans="1:87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1"/>
        <v/>
      </c>
      <c r="M97" s="816" t="str">
        <f t="shared" si="62"/>
        <v/>
      </c>
      <c r="N97" s="816" t="str">
        <f t="shared" si="63"/>
        <v/>
      </c>
      <c r="R97" s="816" t="str">
        <f t="shared" si="64"/>
        <v/>
      </c>
      <c r="T97" s="829" t="str">
        <f t="shared" si="65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IF($J97="","",IF(SUM(IF(ISNUMBER(VALUE(RIGHT($AG97:$CN97,1))),VALUE(RIGHT($AG97:$CN97,1)),0))=$J97,"T","F"))</f>
        <v/>
      </c>
      <c r="AE97" s="831" t="str">
        <f t="array" ref="AE97">IF($J97="","",SUM(IF(LEFT($AG97:$DZ97,1)="s",1,0))-SUM(IF(RIGHT(LEFT($AG97:$DZ97,2))="-",1,0)))</f>
        <v/>
      </c>
      <c r="AF97" s="816" t="str">
        <f t="array" ref="AF97">IF($J97="","",SUM(IF(LEFT($AG97:$DF97,1)="X",1,0)))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7"/>
      <c r="BF97" s="897"/>
      <c r="BG97" s="897"/>
      <c r="BH97" s="897"/>
      <c r="BI97" s="893"/>
      <c r="BJ97" s="893"/>
      <c r="BK97" s="897"/>
      <c r="BL97" s="897"/>
      <c r="BM97" s="897"/>
      <c r="BN97" s="897"/>
      <c r="BO97" s="897"/>
      <c r="BP97" s="893"/>
      <c r="BQ97" s="897"/>
      <c r="BR97" s="893"/>
      <c r="BS97" s="893"/>
      <c r="BT97" s="897"/>
      <c r="BU97" s="893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  <c r="CG97" s="897"/>
      <c r="CH97" s="897"/>
      <c r="CI97" s="897"/>
    </row>
    <row r="98" spans="1:87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1"/>
        <v/>
      </c>
      <c r="M98" s="816" t="str">
        <f t="shared" si="62"/>
        <v/>
      </c>
      <c r="N98" s="816" t="str">
        <f t="shared" si="63"/>
        <v/>
      </c>
      <c r="R98" s="816" t="str">
        <f t="shared" si="64"/>
        <v/>
      </c>
      <c r="T98" s="829" t="str">
        <f t="shared" si="65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IF($J98="","",IF(SUM(IF(ISNUMBER(VALUE(RIGHT($AG98:$CN98,1))),VALUE(RIGHT($AG98:$CN98,1)),0))=$J98,"T","F"))</f>
        <v/>
      </c>
      <c r="AE98" s="831" t="str">
        <f t="array" ref="AE98">IF($J98="","",SUM(IF(LEFT($AG98:$DZ98,1)="s",1,0))-SUM(IF(RIGHT(LEFT($AG98:$DZ98,2))="-",1,0)))</f>
        <v/>
      </c>
      <c r="AF98" s="816" t="str">
        <f t="array" ref="AF98">IF($J98="","",SUM(IF(LEFT($AG98:$DF98,1)="X",1,0)))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7"/>
      <c r="BF98" s="897"/>
      <c r="BG98" s="897"/>
      <c r="BH98" s="897"/>
      <c r="BI98" s="893"/>
      <c r="BJ98" s="893"/>
      <c r="BK98" s="897"/>
      <c r="BL98" s="897"/>
      <c r="BM98" s="897"/>
      <c r="BN98" s="897"/>
      <c r="BO98" s="897"/>
      <c r="BP98" s="893"/>
      <c r="BQ98" s="897"/>
      <c r="BR98" s="893"/>
      <c r="BS98" s="893"/>
      <c r="BT98" s="897"/>
      <c r="BU98" s="893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  <c r="CG98" s="897"/>
      <c r="CH98" s="897"/>
      <c r="CI98" s="897"/>
    </row>
    <row r="99" spans="1:87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1"/>
        <v/>
      </c>
      <c r="M99" s="816" t="str">
        <f t="shared" si="62"/>
        <v/>
      </c>
      <c r="N99" s="816" t="str">
        <f t="shared" si="63"/>
        <v/>
      </c>
      <c r="R99" s="816" t="str">
        <f t="shared" si="64"/>
        <v/>
      </c>
      <c r="T99" s="829" t="str">
        <f t="shared" si="65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IF($J99="","",IF(SUM(IF(ISNUMBER(VALUE(RIGHT($AG99:$CN99,1))),VALUE(RIGHT($AG99:$CN99,1)),0))=$J99,"T","F"))</f>
        <v/>
      </c>
      <c r="AE99" s="831" t="str">
        <f t="array" ref="AE99">IF($J99="","",SUM(IF(LEFT($AG99:$DZ99,1)="s",1,0))-SUM(IF(RIGHT(LEFT($AG99:$DZ99,2))="-",1,0)))</f>
        <v/>
      </c>
      <c r="AF99" s="816" t="str">
        <f t="array" ref="AF99">IF($J99="","",SUM(IF(LEFT($AG99:$DF99,1)="X",1,0)))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7"/>
      <c r="BF99" s="897"/>
      <c r="BG99" s="897"/>
      <c r="BH99" s="897"/>
      <c r="BI99" s="893"/>
      <c r="BJ99" s="893"/>
      <c r="BK99" s="897"/>
      <c r="BL99" s="897"/>
      <c r="BM99" s="897"/>
      <c r="BN99" s="897"/>
      <c r="BO99" s="897"/>
      <c r="BP99" s="893"/>
      <c r="BQ99" s="897"/>
      <c r="BR99" s="893"/>
      <c r="BS99" s="893"/>
      <c r="BT99" s="897"/>
      <c r="BU99" s="893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  <c r="CG99" s="897"/>
      <c r="CH99" s="897"/>
      <c r="CI99" s="897"/>
    </row>
    <row r="100" spans="1:87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1"/>
        <v/>
      </c>
      <c r="M100" s="816" t="str">
        <f t="shared" si="62"/>
        <v/>
      </c>
      <c r="N100" s="816" t="str">
        <f t="shared" si="63"/>
        <v/>
      </c>
      <c r="R100" s="816" t="str">
        <f t="shared" si="64"/>
        <v/>
      </c>
      <c r="T100" s="829" t="str">
        <f t="shared" si="65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IF($J100="","",IF(SUM(IF(ISNUMBER(VALUE(RIGHT($AG100:$CN100,1))),VALUE(RIGHT($AG100:$CN100,1)),0))=$J100,"T","F"))</f>
        <v/>
      </c>
      <c r="AE100" s="831" t="str">
        <f t="array" ref="AE100">IF($J100="","",SUM(IF(LEFT($AG100:$DZ100,1)="s",1,0))-SUM(IF(RIGHT(LEFT($AG100:$DZ100,2))="-",1,0)))</f>
        <v/>
      </c>
      <c r="AF100" s="816" t="str">
        <f t="array" ref="AF100">IF($J100="","",SUM(IF(LEFT($AG100:$DF100,1)="X",1,0)))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7"/>
      <c r="BF100" s="897"/>
      <c r="BG100" s="897"/>
      <c r="BH100" s="897"/>
      <c r="BI100" s="893"/>
      <c r="BJ100" s="893"/>
      <c r="BK100" s="897"/>
      <c r="BL100" s="897"/>
      <c r="BM100" s="897"/>
      <c r="BN100" s="897"/>
      <c r="BO100" s="897"/>
      <c r="BP100" s="893"/>
      <c r="BQ100" s="897"/>
      <c r="BR100" s="893"/>
      <c r="BS100" s="893"/>
      <c r="BT100" s="897"/>
      <c r="BU100" s="893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  <c r="CG100" s="897"/>
      <c r="CH100" s="897"/>
      <c r="CI100" s="897"/>
    </row>
    <row r="101" spans="1:87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1"/>
        <v/>
      </c>
      <c r="M101" s="816" t="str">
        <f t="shared" si="62"/>
        <v/>
      </c>
      <c r="N101" s="816" t="str">
        <f t="shared" si="63"/>
        <v/>
      </c>
      <c r="R101" s="816" t="str">
        <f t="shared" si="64"/>
        <v/>
      </c>
      <c r="T101" s="829" t="str">
        <f t="shared" si="65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IF($J101="","",IF(SUM(IF(ISNUMBER(VALUE(RIGHT($AG101:$CN101,1))),VALUE(RIGHT($AG101:$CN101,1)),0))=$J101,"T","F"))</f>
        <v/>
      </c>
      <c r="AE101" s="831" t="str">
        <f t="array" ref="AE101">IF($J101="","",SUM(IF(LEFT($AG101:$DZ101,1)="s",1,0))-SUM(IF(RIGHT(LEFT($AG101:$DZ101,2))="-",1,0)))</f>
        <v/>
      </c>
      <c r="AF101" s="816" t="str">
        <f t="array" ref="AF101">IF($J101="","",SUM(IF(LEFT($AG101:$DF101,1)="X",1,0)))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7"/>
      <c r="BF101" s="897"/>
      <c r="BG101" s="897"/>
      <c r="BH101" s="897"/>
      <c r="BI101" s="893"/>
      <c r="BJ101" s="893"/>
      <c r="BK101" s="897"/>
      <c r="BL101" s="897"/>
      <c r="BM101" s="897"/>
      <c r="BN101" s="897"/>
      <c r="BO101" s="897"/>
      <c r="BP101" s="893"/>
      <c r="BQ101" s="897"/>
      <c r="BR101" s="893"/>
      <c r="BS101" s="893"/>
      <c r="BT101" s="897"/>
      <c r="BU101" s="893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  <c r="CG101" s="897"/>
      <c r="CH101" s="897"/>
      <c r="CI101" s="897"/>
    </row>
    <row r="102" spans="1:87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1"/>
        <v/>
      </c>
      <c r="M102" s="816" t="str">
        <f t="shared" si="62"/>
        <v/>
      </c>
      <c r="N102" s="816" t="str">
        <f t="shared" si="63"/>
        <v/>
      </c>
      <c r="R102" s="816" t="str">
        <f t="shared" si="64"/>
        <v/>
      </c>
      <c r="T102" s="829" t="str">
        <f t="shared" si="65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IF($J102="","",IF(SUM(IF(ISNUMBER(VALUE(RIGHT($AG102:$CN102,1))),VALUE(RIGHT($AG102:$CN102,1)),0))=$J102,"T","F"))</f>
        <v/>
      </c>
      <c r="AE102" s="831" t="str">
        <f t="array" ref="AE102">IF($J102="","",SUM(IF(LEFT($AG102:$DZ102,1)="s",1,0))-SUM(IF(RIGHT(LEFT($AG102:$DZ102,2))="-",1,0)))</f>
        <v/>
      </c>
      <c r="AF102" s="816" t="str">
        <f t="array" ref="AF102">IF($J102="","",SUM(IF(LEFT($AG102:$DF102,1)="X",1,0)))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7"/>
      <c r="BF102" s="897"/>
      <c r="BG102" s="897"/>
      <c r="BH102" s="897"/>
      <c r="BI102" s="893"/>
      <c r="BJ102" s="893"/>
      <c r="BK102" s="897"/>
      <c r="BL102" s="897"/>
      <c r="BM102" s="897"/>
      <c r="BN102" s="897"/>
      <c r="BO102" s="897"/>
      <c r="BP102" s="893"/>
      <c r="BQ102" s="897"/>
      <c r="BR102" s="893"/>
      <c r="BS102" s="893"/>
      <c r="BT102" s="897"/>
      <c r="BU102" s="893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  <c r="CG102" s="897"/>
      <c r="CH102" s="897"/>
      <c r="CI102" s="897"/>
    </row>
    <row r="103" spans="1:87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1"/>
        <v/>
      </c>
      <c r="M103" s="816" t="str">
        <f t="shared" si="62"/>
        <v/>
      </c>
      <c r="N103" s="816" t="str">
        <f t="shared" si="63"/>
        <v/>
      </c>
      <c r="R103" s="816" t="str">
        <f t="shared" si="64"/>
        <v/>
      </c>
      <c r="T103" s="829" t="str">
        <f t="shared" si="65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IF($J103="","",IF(SUM(IF(ISNUMBER(VALUE(RIGHT($AG103:$CN103,1))),VALUE(RIGHT($AG103:$CN103,1)),0))=$J103,"T","F"))</f>
        <v/>
      </c>
      <c r="AE103" s="831" t="str">
        <f t="array" ref="AE103">IF($J103="","",SUM(IF(LEFT($AG103:$DZ103,1)="s",1,0))-SUM(IF(RIGHT(LEFT($AG103:$DZ103,2))="-",1,0)))</f>
        <v/>
      </c>
      <c r="AF103" s="816" t="str">
        <f t="array" ref="AF103">IF($J103="","",SUM(IF(LEFT($AG103:$DF103,1)="X",1,0)))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7"/>
      <c r="BF103" s="897"/>
      <c r="BG103" s="897"/>
      <c r="BH103" s="897"/>
      <c r="BI103" s="893"/>
      <c r="BJ103" s="893"/>
      <c r="BK103" s="897"/>
      <c r="BL103" s="897"/>
      <c r="BM103" s="897"/>
      <c r="BN103" s="897"/>
      <c r="BO103" s="897"/>
      <c r="BP103" s="893"/>
      <c r="BQ103" s="897"/>
      <c r="BR103" s="893"/>
      <c r="BS103" s="893"/>
      <c r="BT103" s="897"/>
      <c r="BU103" s="893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  <c r="CG103" s="897"/>
      <c r="CH103" s="897"/>
      <c r="CI103" s="897"/>
    </row>
    <row r="104" spans="1:87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1"/>
        <v/>
      </c>
      <c r="M104" s="816" t="str">
        <f t="shared" si="62"/>
        <v/>
      </c>
      <c r="N104" s="816" t="str">
        <f t="shared" si="63"/>
        <v/>
      </c>
      <c r="R104" s="816" t="str">
        <f t="shared" si="64"/>
        <v/>
      </c>
      <c r="T104" s="829" t="str">
        <f t="shared" si="65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IF($J104="","",IF(SUM(IF(ISNUMBER(VALUE(RIGHT($AG104:$CN104,1))),VALUE(RIGHT($AG104:$CN104,1)),0))=$J104,"T","F"))</f>
        <v/>
      </c>
      <c r="AE104" s="831" t="str">
        <f t="array" ref="AE104">IF($J104="","",SUM(IF(LEFT($AG104:$DZ104,1)="s",1,0))-SUM(IF(RIGHT(LEFT($AG104:$DZ104,2))="-",1,0)))</f>
        <v/>
      </c>
      <c r="AF104" s="816" t="str">
        <f t="array" ref="AF104">IF($J104="","",SUM(IF(LEFT($AG104:$DF104,1)="X",1,0)))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7"/>
      <c r="BF104" s="897"/>
      <c r="BG104" s="897"/>
      <c r="BH104" s="897"/>
      <c r="BI104" s="893"/>
      <c r="BJ104" s="893"/>
      <c r="BK104" s="897"/>
      <c r="BL104" s="897"/>
      <c r="BM104" s="897"/>
      <c r="BN104" s="897"/>
      <c r="BO104" s="897"/>
      <c r="BP104" s="893"/>
      <c r="BQ104" s="897"/>
      <c r="BR104" s="893"/>
      <c r="BS104" s="893"/>
      <c r="BT104" s="897"/>
      <c r="BU104" s="893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  <c r="CG104" s="897"/>
      <c r="CH104" s="897"/>
      <c r="CI104" s="897"/>
    </row>
    <row r="105" spans="1:87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1"/>
        <v/>
      </c>
      <c r="M105" s="816" t="str">
        <f t="shared" si="62"/>
        <v/>
      </c>
      <c r="N105" s="816" t="str">
        <f t="shared" si="63"/>
        <v/>
      </c>
      <c r="R105" s="816" t="str">
        <f t="shared" si="64"/>
        <v/>
      </c>
      <c r="T105" s="829" t="str">
        <f t="shared" si="65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IF($J105="","",IF(SUM(IF(ISNUMBER(VALUE(RIGHT($AG105:$CN105,1))),VALUE(RIGHT($AG105:$CN105,1)),0))=$J105,"T","F"))</f>
        <v/>
      </c>
      <c r="AE105" s="831" t="str">
        <f t="array" ref="AE105">IF($J105="","",SUM(IF(LEFT($AG105:$DZ105,1)="s",1,0))-SUM(IF(RIGHT(LEFT($AG105:$DZ105,2))="-",1,0)))</f>
        <v/>
      </c>
      <c r="AF105" s="816" t="str">
        <f t="array" ref="AF105">IF($J105="","",SUM(IF(LEFT($AG105:$DF105,1)="X",1,0)))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7"/>
      <c r="BF105" s="897"/>
      <c r="BG105" s="897"/>
      <c r="BH105" s="897"/>
      <c r="BI105" s="893"/>
      <c r="BJ105" s="893"/>
      <c r="BK105" s="897"/>
      <c r="BL105" s="897"/>
      <c r="BM105" s="897"/>
      <c r="BN105" s="897"/>
      <c r="BO105" s="897"/>
      <c r="BP105" s="893"/>
      <c r="BQ105" s="897"/>
      <c r="BR105" s="893"/>
      <c r="BS105" s="893"/>
      <c r="BT105" s="897"/>
      <c r="BU105" s="893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  <c r="CG105" s="897"/>
      <c r="CH105" s="897"/>
      <c r="CI105" s="897"/>
    </row>
    <row r="106" spans="1:87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1"/>
        <v/>
      </c>
      <c r="M106" s="816" t="str">
        <f t="shared" si="62"/>
        <v/>
      </c>
      <c r="N106" s="816" t="str">
        <f t="shared" si="63"/>
        <v/>
      </c>
      <c r="R106" s="816" t="str">
        <f t="shared" si="64"/>
        <v/>
      </c>
      <c r="T106" s="829" t="str">
        <f t="shared" si="65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IF($J106="","",IF(SUM(IF(ISNUMBER(VALUE(RIGHT($AG106:$CN106,1))),VALUE(RIGHT($AG106:$CN106,1)),0))=$J106,"T","F"))</f>
        <v/>
      </c>
      <c r="AE106" s="831" t="str">
        <f t="array" ref="AE106">IF($J106="","",SUM(IF(LEFT($AG106:$DZ106,1)="s",1,0))-SUM(IF(RIGHT(LEFT($AG106:$DZ106,2))="-",1,0)))</f>
        <v/>
      </c>
      <c r="AF106" s="816" t="str">
        <f t="array" ref="AF106">IF($J106="","",SUM(IF(LEFT($AG106:$DF106,1)="X",1,0)))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3"/>
      <c r="BJ106" s="893"/>
      <c r="BK106" s="897"/>
      <c r="BL106" s="897"/>
      <c r="BM106" s="897"/>
      <c r="BN106" s="897"/>
      <c r="BO106" s="897"/>
      <c r="BP106" s="893"/>
      <c r="BQ106" s="897"/>
      <c r="BR106" s="893"/>
      <c r="BS106" s="893"/>
      <c r="BT106" s="897"/>
      <c r="BU106" s="893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  <c r="CG106" s="897"/>
      <c r="CH106" s="897"/>
      <c r="CI106" s="897"/>
    </row>
    <row r="107" spans="1:87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1"/>
        <v/>
      </c>
      <c r="M107" s="816" t="str">
        <f t="shared" si="62"/>
        <v/>
      </c>
      <c r="N107" s="816" t="str">
        <f t="shared" si="63"/>
        <v/>
      </c>
      <c r="R107" s="816" t="str">
        <f t="shared" si="64"/>
        <v/>
      </c>
      <c r="T107" s="829" t="str">
        <f t="shared" si="65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IF($J107="","",IF(SUM(IF(ISNUMBER(VALUE(RIGHT($AG107:$CN107,1))),VALUE(RIGHT($AG107:$CN107,1)),0))=$J107,"T","F"))</f>
        <v/>
      </c>
      <c r="AE107" s="816" t="str">
        <f t="array" ref="AE107">IF($J107="","",SUM(IF(LEFT($AG107:$DZ107,1)="s",1,0))-SUM(IF(RIGHT(LEFT($AG107:$DZ107,2))="-",1,0)))</f>
        <v/>
      </c>
      <c r="AF107" s="816" t="str">
        <f t="array" ref="AF107">IF($J107="","",SUM(IF(LEFT($AG107:$DF107,1)="X",1,0)))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3"/>
      <c r="BJ107" s="893"/>
      <c r="BK107" s="897"/>
      <c r="BL107" s="897"/>
      <c r="BM107" s="897"/>
      <c r="BN107" s="897"/>
      <c r="BO107" s="897"/>
      <c r="BP107" s="893"/>
      <c r="BQ107" s="897"/>
      <c r="BR107" s="893"/>
      <c r="BS107" s="893"/>
      <c r="BT107" s="897"/>
      <c r="BU107" s="893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  <c r="CG107" s="897"/>
      <c r="CH107" s="897"/>
      <c r="CI107" s="897"/>
    </row>
    <row r="108" spans="1:87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1"/>
        <v/>
      </c>
      <c r="M108" s="816" t="str">
        <f t="shared" si="62"/>
        <v/>
      </c>
      <c r="N108" s="816" t="str">
        <f t="shared" si="63"/>
        <v/>
      </c>
      <c r="R108" s="816" t="str">
        <f t="shared" si="64"/>
        <v/>
      </c>
      <c r="T108" s="829" t="str">
        <f t="shared" si="65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IF($J108="","",IF(SUM(IF(ISNUMBER(VALUE(RIGHT($AG108:$CN108,1))),VALUE(RIGHT($AG108:$CN108,1)),0))=$J108,"T","F"))</f>
        <v/>
      </c>
      <c r="AE108" s="816" t="str">
        <f t="array" ref="AE108">IF($J108="","",SUM(IF(LEFT($AG108:$DZ108,1)="s",1,0))-SUM(IF(RIGHT(LEFT($AG108:$DZ108,2))="-",1,0)))</f>
        <v/>
      </c>
      <c r="AF108" s="816" t="str">
        <f t="array" ref="AF108">IF($J108="","",SUM(IF(LEFT($AG108:$DF108,1)="X",1,0)))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3"/>
      <c r="BJ108" s="893"/>
      <c r="BK108" s="897"/>
      <c r="BL108" s="897"/>
      <c r="BM108" s="897"/>
      <c r="BN108" s="897"/>
      <c r="BO108" s="897"/>
      <c r="BP108" s="893"/>
      <c r="BQ108" s="897"/>
      <c r="BR108" s="893"/>
      <c r="BS108" s="893"/>
      <c r="BT108" s="897"/>
      <c r="BU108" s="893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  <c r="CG108" s="897"/>
      <c r="CH108" s="897"/>
      <c r="CI108" s="897"/>
    </row>
    <row r="109" spans="1:87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1"/>
        <v/>
      </c>
      <c r="M109" s="816" t="str">
        <f t="shared" si="62"/>
        <v/>
      </c>
      <c r="N109" s="816" t="str">
        <f t="shared" si="63"/>
        <v/>
      </c>
      <c r="R109" s="816" t="str">
        <f t="shared" si="64"/>
        <v/>
      </c>
      <c r="T109" s="829" t="str">
        <f t="shared" si="65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IF($J109="","",IF(SUM(IF(ISNUMBER(VALUE(RIGHT($AG109:$CN109,1))),VALUE(RIGHT($AG109:$CN109,1)),0))=$J109,"T","F"))</f>
        <v/>
      </c>
      <c r="AE109" s="816" t="str">
        <f t="array" ref="AE109">IF($J109="","",SUM(IF(LEFT($AG109:$DZ109,1)="s",1,0))-SUM(IF(RIGHT(LEFT($AG109:$DZ109,2))="-",1,0)))</f>
        <v/>
      </c>
      <c r="AF109" s="816" t="str">
        <f t="array" ref="AF109">IF($J109="","",SUM(IF(LEFT($AG109:$DF109,1)="X",1,0)))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3"/>
      <c r="BJ109" s="893"/>
      <c r="BK109" s="897"/>
      <c r="BL109" s="897"/>
      <c r="BM109" s="897"/>
      <c r="BN109" s="897"/>
      <c r="BO109" s="897"/>
      <c r="BP109" s="893"/>
      <c r="BQ109" s="897"/>
      <c r="BR109" s="893"/>
      <c r="BS109" s="893"/>
      <c r="BT109" s="897"/>
      <c r="BU109" s="893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  <c r="CG109" s="897"/>
      <c r="CH109" s="897"/>
      <c r="CI109" s="897"/>
    </row>
    <row r="110" spans="1:87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1"/>
        <v/>
      </c>
      <c r="M110" s="816" t="str">
        <f t="shared" si="62"/>
        <v/>
      </c>
      <c r="N110" s="816" t="str">
        <f t="shared" si="63"/>
        <v/>
      </c>
      <c r="R110" s="816" t="str">
        <f t="shared" si="64"/>
        <v/>
      </c>
      <c r="T110" s="829" t="str">
        <f t="shared" si="65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IF($J110="","",IF(SUM(IF(ISNUMBER(VALUE(RIGHT($AG110:$CN110,1))),VALUE(RIGHT($AG110:$CN110,1)),0))=$J110,"T","F"))</f>
        <v/>
      </c>
      <c r="AE110" s="816" t="str">
        <f t="array" ref="AE110">IF($J110="","",SUM(IF(LEFT($AG110:$DZ110,1)="s",1,0))-SUM(IF(RIGHT(LEFT($AG110:$DZ110,2))="-",1,0)))</f>
        <v/>
      </c>
      <c r="AF110" s="816" t="str">
        <f t="array" ref="AF110">IF($J110="","",SUM(IF(LEFT($AG110:$DF110,1)="X",1,0)))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3"/>
      <c r="BJ110" s="893"/>
      <c r="BK110" s="897"/>
      <c r="BL110" s="897"/>
      <c r="BM110" s="897"/>
      <c r="BN110" s="897"/>
      <c r="BO110" s="897"/>
      <c r="BP110" s="893"/>
      <c r="BQ110" s="897"/>
      <c r="BR110" s="893"/>
      <c r="BS110" s="893"/>
      <c r="BT110" s="897"/>
      <c r="BU110" s="893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  <c r="CG110" s="897"/>
      <c r="CH110" s="897"/>
      <c r="CI110" s="897"/>
    </row>
    <row r="111" spans="1:87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1"/>
        <v/>
      </c>
      <c r="M111" s="816" t="str">
        <f t="shared" si="62"/>
        <v/>
      </c>
      <c r="N111" s="816" t="str">
        <f t="shared" si="63"/>
        <v/>
      </c>
      <c r="R111" s="816" t="str">
        <f t="shared" si="64"/>
        <v/>
      </c>
      <c r="T111" s="829" t="str">
        <f t="shared" si="65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IF($J111="","",IF(SUM(IF(ISNUMBER(VALUE(RIGHT($AG111:$CN111,1))),VALUE(RIGHT($AG111:$CN111,1)),0))=$J111,"T","F"))</f>
        <v/>
      </c>
      <c r="AE111" s="816" t="str">
        <f t="array" ref="AE111">IF($J111="","",SUM(IF(LEFT($AG111:$DZ111,1)="s",1,0))-SUM(IF(RIGHT(LEFT($AG111:$DZ111,2))="-",1,0)))</f>
        <v/>
      </c>
      <c r="AF111" s="816" t="str">
        <f t="array" ref="AF111">IF($J111="","",SUM(IF(LEFT($AG111:$DF111,1)="X",1,0)))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3"/>
      <c r="BJ111" s="893"/>
      <c r="BK111" s="897"/>
      <c r="BL111" s="897"/>
      <c r="BM111" s="897"/>
      <c r="BN111" s="897"/>
      <c r="BO111" s="897"/>
      <c r="BP111" s="893"/>
      <c r="BQ111" s="897"/>
      <c r="BR111" s="893"/>
      <c r="BS111" s="893"/>
      <c r="BT111" s="897"/>
      <c r="BU111" s="893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  <c r="CG111" s="897"/>
      <c r="CH111" s="897"/>
      <c r="CI111" s="897"/>
    </row>
    <row r="112" spans="1:87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1"/>
        <v/>
      </c>
      <c r="M112" s="816" t="str">
        <f t="shared" si="62"/>
        <v/>
      </c>
      <c r="N112" s="816" t="str">
        <f t="shared" si="63"/>
        <v/>
      </c>
      <c r="R112" s="816" t="str">
        <f t="shared" si="64"/>
        <v/>
      </c>
      <c r="T112" s="829" t="str">
        <f t="shared" si="65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IF($J112="","",IF(SUM(IF(ISNUMBER(VALUE(RIGHT($AG112:$CN112,1))),VALUE(RIGHT($AG112:$CN112,1)),0))=$J112,"T","F"))</f>
        <v/>
      </c>
      <c r="AE112" s="816" t="str">
        <f t="array" ref="AE112">IF($J112="","",SUM(IF(LEFT($AG112:$DZ112,1)="s",1,0))-SUM(IF(RIGHT(LEFT($AG112:$DZ112,2))="-",1,0)))</f>
        <v/>
      </c>
      <c r="AF112" s="816" t="str">
        <f t="array" ref="AF112">IF($J112="","",SUM(IF(LEFT($AG112:$DF112,1)="X",1,0)))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3"/>
      <c r="BJ112" s="893"/>
      <c r="BK112" s="897"/>
      <c r="BL112" s="897"/>
      <c r="BM112" s="897"/>
      <c r="BN112" s="897"/>
      <c r="BO112" s="897"/>
      <c r="BP112" s="893"/>
      <c r="BQ112" s="897"/>
      <c r="BR112" s="893"/>
      <c r="BS112" s="893"/>
      <c r="BT112" s="897"/>
      <c r="BU112" s="893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  <c r="CG112" s="897"/>
      <c r="CH112" s="897"/>
      <c r="CI112" s="897"/>
    </row>
    <row r="113" spans="4:87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1"/>
        <v/>
      </c>
      <c r="M113" s="816" t="str">
        <f t="shared" si="62"/>
        <v/>
      </c>
      <c r="N113" s="816" t="str">
        <f t="shared" si="63"/>
        <v/>
      </c>
      <c r="R113" s="816" t="str">
        <f t="shared" si="64"/>
        <v/>
      </c>
      <c r="T113" s="829" t="str">
        <f t="shared" si="65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IF($J113="","",IF(SUM(IF(ISNUMBER(VALUE(RIGHT($AG113:$CN113,1))),VALUE(RIGHT($AG113:$CN113,1)),0))=$J113,"T","F"))</f>
        <v/>
      </c>
      <c r="AE113" s="816" t="str">
        <f t="array" ref="AE113">IF($J113="","",SUM(IF(LEFT($AG113:$DZ113,1)="s",1,0))-SUM(IF(RIGHT(LEFT($AG113:$DZ113,2))="-",1,0)))</f>
        <v/>
      </c>
      <c r="AF113" s="816" t="str">
        <f t="array" ref="AF113">IF($J113="","",SUM(IF(LEFT($AG113:$DF113,1)="X",1,0)))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3"/>
      <c r="BJ113" s="893"/>
      <c r="BK113" s="897"/>
      <c r="BL113" s="897"/>
      <c r="BM113" s="897"/>
      <c r="BN113" s="897"/>
      <c r="BO113" s="897"/>
      <c r="BP113" s="893"/>
      <c r="BQ113" s="897"/>
      <c r="BR113" s="893"/>
      <c r="BS113" s="893"/>
      <c r="BT113" s="897"/>
      <c r="BU113" s="893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  <c r="CG113" s="897"/>
      <c r="CH113" s="897"/>
      <c r="CI113" s="897"/>
    </row>
    <row r="114" spans="4:87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1"/>
        <v/>
      </c>
      <c r="M114" s="816" t="str">
        <f t="shared" si="62"/>
        <v/>
      </c>
      <c r="N114" s="816" t="str">
        <f t="shared" si="63"/>
        <v/>
      </c>
      <c r="R114" s="816" t="str">
        <f t="shared" si="64"/>
        <v/>
      </c>
      <c r="T114" s="829" t="str">
        <f t="shared" si="65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IF($J114="","",IF(SUM(IF(ISNUMBER(VALUE(RIGHT($AG114:$CN114,1))),VALUE(RIGHT($AG114:$CN114,1)),0))=$J114,"T","F"))</f>
        <v/>
      </c>
      <c r="AE114" s="816" t="str">
        <f t="array" ref="AE114">IF($J114="","",SUM(IF(LEFT($AG114:$DZ114,1)="s",1,0))-SUM(IF(RIGHT(LEFT($AG114:$DZ114,2))="-",1,0)))</f>
        <v/>
      </c>
      <c r="AF114" s="816" t="str">
        <f t="array" ref="AF114">IF($J114="","",SUM(IF(LEFT($AG114:$DF114,1)="X",1,0)))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7"/>
      <c r="BF114" s="897"/>
      <c r="BG114" s="897"/>
      <c r="BH114" s="897"/>
      <c r="BI114" s="893"/>
      <c r="BJ114" s="893"/>
      <c r="BK114" s="897"/>
      <c r="BL114" s="897"/>
      <c r="BM114" s="897"/>
      <c r="BN114" s="897"/>
      <c r="BO114" s="897"/>
      <c r="BP114" s="893"/>
      <c r="BQ114" s="897"/>
      <c r="BR114" s="893"/>
      <c r="BS114" s="893"/>
      <c r="BT114" s="897"/>
      <c r="BU114" s="893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  <c r="CG114" s="897"/>
      <c r="CH114" s="897"/>
      <c r="CI114" s="897"/>
    </row>
    <row r="115" spans="4:87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1"/>
        <v/>
      </c>
      <c r="M115" s="816" t="str">
        <f t="shared" si="62"/>
        <v/>
      </c>
      <c r="N115" s="816" t="str">
        <f t="shared" si="63"/>
        <v/>
      </c>
      <c r="R115" s="816" t="str">
        <f t="shared" si="64"/>
        <v/>
      </c>
      <c r="T115" s="829" t="str">
        <f t="shared" si="65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IF($J115="","",IF(SUM(IF(ISNUMBER(VALUE(RIGHT($AG115:$CN115,1))),VALUE(RIGHT($AG115:$CN115,1)),0))=$J115,"T","F"))</f>
        <v/>
      </c>
      <c r="AE115" s="816" t="str">
        <f t="array" ref="AE115">IF($J115="","",SUM(IF(LEFT($AG115:$DZ115,1)="s",1,0))-SUM(IF(RIGHT(LEFT($AG115:$DZ115,2))="-",1,0)))</f>
        <v/>
      </c>
      <c r="AF115" s="816" t="str">
        <f t="array" ref="AF115">IF($J115="","",SUM(IF(LEFT($AG115:$DF115,1)="X",1,0)))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7"/>
      <c r="BF115" s="897"/>
      <c r="BG115" s="897"/>
      <c r="BH115" s="897"/>
      <c r="BI115" s="893"/>
      <c r="BJ115" s="893"/>
      <c r="BK115" s="897"/>
      <c r="BL115" s="897"/>
      <c r="BM115" s="897"/>
      <c r="BN115" s="897"/>
      <c r="BO115" s="897"/>
      <c r="BP115" s="893"/>
      <c r="BQ115" s="897"/>
      <c r="BR115" s="893"/>
      <c r="BS115" s="893"/>
      <c r="BT115" s="897"/>
      <c r="BU115" s="893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  <c r="CG115" s="897"/>
      <c r="CH115" s="897"/>
      <c r="CI115" s="897"/>
    </row>
    <row r="116" spans="4:87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1"/>
        <v/>
      </c>
      <c r="M116" s="816" t="str">
        <f t="shared" si="62"/>
        <v/>
      </c>
      <c r="N116" s="816" t="str">
        <f t="shared" si="63"/>
        <v/>
      </c>
      <c r="R116" s="816" t="str">
        <f t="shared" si="64"/>
        <v/>
      </c>
      <c r="T116" s="829" t="str">
        <f t="shared" si="65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IF($J116="","",IF(SUM(IF(ISNUMBER(VALUE(RIGHT($AG116:$CN116,1))),VALUE(RIGHT($AG116:$CN116,1)),0))=$J116,"T","F"))</f>
        <v/>
      </c>
      <c r="AE116" s="816" t="str">
        <f t="array" ref="AE116">IF($J116="","",SUM(IF(LEFT($AG116:$DZ116,1)="s",1,0))-SUM(IF(RIGHT(LEFT($AG116:$DZ116,2))="-",1,0)))</f>
        <v/>
      </c>
      <c r="AF116" s="816" t="str">
        <f t="array" ref="AF116">IF($J116="","",SUM(IF(LEFT($AG116:$DF116,1)="X",1,0)))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7"/>
      <c r="BF116" s="897"/>
      <c r="BG116" s="897"/>
      <c r="BH116" s="897"/>
      <c r="BI116" s="893"/>
      <c r="BJ116" s="893"/>
      <c r="BK116" s="897"/>
      <c r="BL116" s="897"/>
      <c r="BM116" s="897"/>
      <c r="BN116" s="897"/>
      <c r="BO116" s="897"/>
      <c r="BP116" s="893"/>
      <c r="BQ116" s="897"/>
      <c r="BR116" s="893"/>
      <c r="BS116" s="893"/>
      <c r="BT116" s="897"/>
      <c r="BU116" s="893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  <c r="CG116" s="897"/>
      <c r="CH116" s="897"/>
      <c r="CI116" s="897"/>
    </row>
    <row r="117" spans="4:87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1"/>
        <v/>
      </c>
      <c r="M117" s="816" t="str">
        <f t="shared" si="62"/>
        <v/>
      </c>
      <c r="N117" s="816" t="str">
        <f t="shared" si="63"/>
        <v/>
      </c>
      <c r="R117" s="816" t="str">
        <f t="shared" si="64"/>
        <v/>
      </c>
      <c r="T117" s="829" t="str">
        <f t="shared" si="65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IF($J117="","",IF(SUM(IF(ISNUMBER(VALUE(RIGHT($AG117:$CN117,1))),VALUE(RIGHT($AG117:$CN117,1)),0))=$J117,"T","F"))</f>
        <v/>
      </c>
      <c r="AE117" s="816" t="str">
        <f t="array" ref="AE117">IF($J117="","",SUM(IF(LEFT($AG117:$DZ117,1)="s",1,0))-SUM(IF(RIGHT(LEFT($AG117:$DZ117,2))="-",1,0)))</f>
        <v/>
      </c>
      <c r="AF117" s="816" t="str">
        <f t="array" ref="AF117">IF($J117="","",SUM(IF(LEFT($AG117:$DF117,1)="X",1,0)))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7"/>
      <c r="BF117" s="897"/>
      <c r="BG117" s="897"/>
      <c r="BH117" s="897"/>
      <c r="BI117" s="893"/>
      <c r="BJ117" s="893"/>
      <c r="BK117" s="897"/>
      <c r="BL117" s="897"/>
      <c r="BM117" s="897"/>
      <c r="BN117" s="897"/>
      <c r="BO117" s="897"/>
      <c r="BP117" s="893"/>
      <c r="BQ117" s="897"/>
      <c r="BR117" s="893"/>
      <c r="BS117" s="893"/>
      <c r="BT117" s="897"/>
      <c r="BU117" s="893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  <c r="CG117" s="897"/>
      <c r="CH117" s="897"/>
      <c r="CI117" s="897"/>
    </row>
    <row r="118" spans="4:87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1"/>
        <v/>
      </c>
      <c r="M118" s="816" t="str">
        <f t="shared" si="62"/>
        <v/>
      </c>
      <c r="N118" s="816" t="str">
        <f t="shared" si="63"/>
        <v/>
      </c>
      <c r="R118" s="816" t="str">
        <f t="shared" si="64"/>
        <v/>
      </c>
      <c r="T118" s="829" t="str">
        <f t="shared" si="65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IF($J118="","",IF(SUM(IF(ISNUMBER(VALUE(RIGHT($AG118:$CN118,1))),VALUE(RIGHT($AG118:$CN118,1)),0))=$J118,"T","F"))</f>
        <v/>
      </c>
      <c r="AE118" s="816" t="str">
        <f t="array" ref="AE118">IF($J118="","",SUM(IF(LEFT($AG118:$DZ118,1)="s",1,0))-SUM(IF(RIGHT(LEFT($AG118:$DZ118,2))="-",1,0)))</f>
        <v/>
      </c>
      <c r="AF118" s="816" t="str">
        <f t="array" ref="AF118">IF($J118="","",SUM(IF(LEFT($AG118:$DF118,1)="X",1,0)))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7"/>
      <c r="BF118" s="897"/>
      <c r="BG118" s="897"/>
      <c r="BH118" s="897"/>
      <c r="BI118" s="893"/>
      <c r="BJ118" s="893"/>
      <c r="BK118" s="897"/>
      <c r="BL118" s="897"/>
      <c r="BM118" s="897"/>
      <c r="BN118" s="897"/>
      <c r="BO118" s="897"/>
      <c r="BP118" s="893"/>
      <c r="BQ118" s="897"/>
      <c r="BR118" s="893"/>
      <c r="BS118" s="893"/>
      <c r="BT118" s="897"/>
      <c r="BU118" s="893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  <c r="CG118" s="897"/>
      <c r="CH118" s="897"/>
      <c r="CI118" s="897"/>
    </row>
    <row r="119" spans="4:87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1"/>
        <v/>
      </c>
      <c r="M119" s="816" t="str">
        <f t="shared" si="62"/>
        <v/>
      </c>
      <c r="N119" s="816" t="str">
        <f t="shared" si="63"/>
        <v/>
      </c>
      <c r="R119" s="816" t="str">
        <f t="shared" si="64"/>
        <v/>
      </c>
      <c r="T119" s="829" t="str">
        <f t="shared" si="65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IF($J119="","",IF(SUM(IF(ISNUMBER(VALUE(RIGHT($AG119:$CN119,1))),VALUE(RIGHT($AG119:$CN119,1)),0))=$J119,"T","F"))</f>
        <v/>
      </c>
      <c r="AE119" s="816" t="str">
        <f t="array" ref="AE119">IF($J119="","",SUM(IF(LEFT($AG119:$DZ119,1)="s",1,0))-SUM(IF(RIGHT(LEFT($AG119:$DZ119,2))="-",1,0)))</f>
        <v/>
      </c>
      <c r="AF119" s="816" t="str">
        <f t="array" ref="AF119">IF($J119="","",SUM(IF(LEFT($AG119:$DF119,1)="X",1,0)))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7"/>
      <c r="BF119" s="897"/>
      <c r="BG119" s="897"/>
      <c r="BH119" s="897"/>
      <c r="BI119" s="893"/>
      <c r="BJ119" s="893"/>
      <c r="BK119" s="897"/>
      <c r="BL119" s="897"/>
      <c r="BM119" s="897"/>
      <c r="BN119" s="897"/>
      <c r="BO119" s="897"/>
      <c r="BP119" s="893"/>
      <c r="BQ119" s="897"/>
      <c r="BR119" s="893"/>
      <c r="BS119" s="893"/>
      <c r="BT119" s="897"/>
      <c r="BU119" s="893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  <c r="CG119" s="897"/>
      <c r="CH119" s="897"/>
      <c r="CI119" s="897"/>
    </row>
    <row r="120" spans="4:87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1"/>
        <v/>
      </c>
      <c r="M120" s="816" t="str">
        <f t="shared" si="62"/>
        <v/>
      </c>
      <c r="N120" s="816" t="str">
        <f t="shared" si="63"/>
        <v/>
      </c>
      <c r="R120" s="816" t="str">
        <f t="shared" si="64"/>
        <v/>
      </c>
      <c r="T120" s="829" t="str">
        <f t="shared" si="65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IF($J120="","",IF(SUM(IF(ISNUMBER(VALUE(RIGHT($AG120:$CN120,1))),VALUE(RIGHT($AG120:$CN120,1)),0))=$J120,"T","F"))</f>
        <v/>
      </c>
      <c r="AE120" s="816" t="str">
        <f t="array" ref="AE120">IF($J120="","",SUM(IF(LEFT($AG120:$DZ120,1)="s",1,0))-SUM(IF(RIGHT(LEFT($AG120:$DZ120,2))="-",1,0)))</f>
        <v/>
      </c>
      <c r="AF120" s="816" t="str">
        <f t="array" ref="AF120">IF($J120="","",SUM(IF(LEFT($AG120:$DF120,1)="X",1,0)))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7"/>
      <c r="BF120" s="897"/>
      <c r="BG120" s="897"/>
      <c r="BH120" s="897"/>
      <c r="BI120" s="893"/>
      <c r="BJ120" s="893"/>
      <c r="BK120" s="897"/>
      <c r="BL120" s="897"/>
      <c r="BM120" s="897"/>
      <c r="BN120" s="897"/>
      <c r="BO120" s="897"/>
      <c r="BP120" s="893"/>
      <c r="BQ120" s="897"/>
      <c r="BR120" s="893"/>
      <c r="BS120" s="893"/>
      <c r="BT120" s="897"/>
      <c r="BU120" s="893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  <c r="CG120" s="897"/>
      <c r="CH120" s="897"/>
      <c r="CI120" s="897"/>
    </row>
    <row r="121" spans="4:87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1"/>
        <v/>
      </c>
      <c r="M121" s="816" t="str">
        <f t="shared" si="62"/>
        <v/>
      </c>
      <c r="N121" s="816" t="str">
        <f t="shared" si="63"/>
        <v/>
      </c>
      <c r="R121" s="816" t="str">
        <f t="shared" si="64"/>
        <v/>
      </c>
      <c r="T121" s="829" t="str">
        <f t="shared" si="65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IF($J121="","",IF(SUM(IF(ISNUMBER(VALUE(RIGHT($AG121:$CN121,1))),VALUE(RIGHT($AG121:$CN121,1)),0))=$J121,"T","F"))</f>
        <v/>
      </c>
      <c r="AE121" s="816" t="str">
        <f t="array" ref="AE121">IF($J121="","",SUM(IF(LEFT($AG121:$DZ121,1)="s",1,0))-SUM(IF(RIGHT(LEFT($AG121:$DZ121,2))="-",1,0)))</f>
        <v/>
      </c>
      <c r="AF121" s="816" t="str">
        <f t="array" ref="AF121">IF($J121="","",SUM(IF(LEFT($AG121:$DF121,1)="X",1,0)))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3"/>
      <c r="BJ121" s="893"/>
      <c r="BK121" s="897"/>
      <c r="BL121" s="897"/>
      <c r="BM121" s="897"/>
      <c r="BN121" s="897"/>
      <c r="BO121" s="897"/>
      <c r="BP121" s="893"/>
      <c r="BQ121" s="897"/>
      <c r="BR121" s="893"/>
      <c r="BS121" s="893"/>
      <c r="BT121" s="897"/>
      <c r="BU121" s="893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  <c r="CG121" s="897"/>
      <c r="CH121" s="897"/>
      <c r="CI121" s="897"/>
    </row>
    <row r="122" spans="4:87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1"/>
        <v/>
      </c>
      <c r="M122" s="816" t="str">
        <f t="shared" si="62"/>
        <v/>
      </c>
      <c r="N122" s="816" t="str">
        <f t="shared" si="63"/>
        <v/>
      </c>
      <c r="R122" s="816" t="str">
        <f t="shared" si="64"/>
        <v/>
      </c>
      <c r="T122" s="829" t="str">
        <f t="shared" si="65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IF($J122="","",IF(SUM(IF(ISNUMBER(VALUE(RIGHT($AG122:$CN122,1))),VALUE(RIGHT($AG122:$CN122,1)),0))=$J122,"T","F"))</f>
        <v/>
      </c>
      <c r="AE122" s="816" t="str">
        <f t="array" ref="AE122">IF($J122="","",SUM(IF(LEFT($AG122:$DZ122,1)="s",1,0))-SUM(IF(RIGHT(LEFT($AG122:$DZ122,2))="-",1,0)))</f>
        <v/>
      </c>
      <c r="AF122" s="816" t="str">
        <f t="array" ref="AF122">IF($J122="","",SUM(IF(LEFT($AG122:$DF122,1)="X",1,0)))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7"/>
      <c r="BF122" s="897"/>
      <c r="BG122" s="897"/>
      <c r="BH122" s="897"/>
      <c r="BI122" s="893"/>
      <c r="BJ122" s="893"/>
      <c r="BK122" s="897"/>
      <c r="BL122" s="897"/>
      <c r="BM122" s="897"/>
      <c r="BN122" s="897"/>
      <c r="BO122" s="897"/>
      <c r="BP122" s="893"/>
      <c r="BQ122" s="897"/>
      <c r="BR122" s="893"/>
      <c r="BS122" s="893"/>
      <c r="BT122" s="897"/>
      <c r="BU122" s="893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  <c r="CG122" s="897"/>
      <c r="CH122" s="897"/>
      <c r="CI122" s="897"/>
    </row>
    <row r="123" spans="4:87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1"/>
        <v/>
      </c>
      <c r="M123" s="816" t="str">
        <f t="shared" si="62"/>
        <v/>
      </c>
      <c r="N123" s="816" t="str">
        <f t="shared" si="63"/>
        <v/>
      </c>
      <c r="R123" s="816" t="str">
        <f t="shared" si="64"/>
        <v/>
      </c>
      <c r="T123" s="829" t="str">
        <f t="shared" si="65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IF($J123="","",IF(SUM(IF(ISNUMBER(VALUE(RIGHT($AG123:$CN123,1))),VALUE(RIGHT($AG123:$CN123,1)),0))=$J123,"T","F"))</f>
        <v/>
      </c>
      <c r="AE123" s="816" t="str">
        <f t="array" ref="AE123">IF($J123="","",SUM(IF(LEFT($AG123:$DZ123,1)="s",1,0))-SUM(IF(RIGHT(LEFT($AG123:$DZ123,2))="-",1,0)))</f>
        <v/>
      </c>
      <c r="AF123" s="816" t="str">
        <f t="array" ref="AF123">IF($J123="","",SUM(IF(LEFT($AG123:$DF123,1)="X",1,0)))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7"/>
      <c r="BE123" s="897"/>
      <c r="BF123" s="897"/>
      <c r="BG123" s="897"/>
      <c r="BH123" s="897"/>
      <c r="BI123" s="893"/>
      <c r="BJ123" s="893"/>
      <c r="BK123" s="897"/>
      <c r="BL123" s="897"/>
      <c r="BM123" s="897"/>
      <c r="BN123" s="897"/>
      <c r="BO123" s="897"/>
      <c r="BP123" s="893"/>
      <c r="BQ123" s="897"/>
      <c r="BR123" s="893"/>
      <c r="BS123" s="893"/>
      <c r="BT123" s="897"/>
      <c r="BU123" s="893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  <c r="CG123" s="897"/>
      <c r="CH123" s="897"/>
      <c r="CI123" s="897"/>
    </row>
    <row r="124" spans="4:87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1"/>
        <v/>
      </c>
      <c r="M124" s="816" t="str">
        <f t="shared" si="62"/>
        <v/>
      </c>
      <c r="N124" s="816" t="str">
        <f t="shared" si="63"/>
        <v/>
      </c>
      <c r="R124" s="816" t="str">
        <f t="shared" si="64"/>
        <v/>
      </c>
      <c r="T124" s="829" t="str">
        <f t="shared" si="65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IF($J124="","",IF(SUM(IF(ISNUMBER(VALUE(RIGHT($AG124:$CN124,1))),VALUE(RIGHT($AG124:$CN124,1)),0))=$J124,"T","F"))</f>
        <v/>
      </c>
      <c r="AE124" s="816" t="str">
        <f t="array" ref="AE124">IF($J124="","",SUM(IF(LEFT($AG124:$DZ124,1)="s",1,0))-SUM(IF(RIGHT(LEFT($AG124:$DZ124,2))="-",1,0)))</f>
        <v/>
      </c>
      <c r="AF124" s="816" t="str">
        <f t="array" ref="AF124">IF($J124="","",SUM(IF(LEFT($AG124:$DF124,1)="X",1,0)))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7"/>
      <c r="BE124" s="897"/>
      <c r="BF124" s="897"/>
      <c r="BG124" s="897"/>
      <c r="BH124" s="897"/>
      <c r="BI124" s="893"/>
      <c r="BJ124" s="893"/>
      <c r="BK124" s="897"/>
      <c r="BL124" s="897"/>
      <c r="BM124" s="897"/>
      <c r="BN124" s="897"/>
      <c r="BO124" s="897"/>
      <c r="BP124" s="893"/>
      <c r="BQ124" s="897"/>
      <c r="BR124" s="893"/>
      <c r="BS124" s="893"/>
      <c r="BT124" s="897"/>
      <c r="BU124" s="893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  <c r="CF124" s="897"/>
      <c r="CG124" s="897"/>
      <c r="CH124" s="897"/>
      <c r="CI124" s="897"/>
    </row>
    <row r="125" spans="4:87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1"/>
        <v/>
      </c>
      <c r="M125" s="816" t="str">
        <f t="shared" si="62"/>
        <v/>
      </c>
      <c r="N125" s="816" t="str">
        <f t="shared" si="63"/>
        <v/>
      </c>
      <c r="R125" s="816" t="str">
        <f t="shared" si="64"/>
        <v/>
      </c>
      <c r="T125" s="829" t="str">
        <f t="shared" si="65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IF($J125="","",IF(SUM(IF(ISNUMBER(VALUE(RIGHT($AG125:$CN125,1))),VALUE(RIGHT($AG125:$CN125,1)),0))=$J125,"T","F"))</f>
        <v/>
      </c>
      <c r="AE125" s="816" t="str">
        <f t="array" ref="AE125">IF($J125="","",SUM(IF(LEFT($AG125:$DZ125,1)="s",1,0))-SUM(IF(RIGHT(LEFT($AG125:$DZ125,2))="-",1,0)))</f>
        <v/>
      </c>
      <c r="AF125" s="816" t="str">
        <f t="array" ref="AF125">IF($J125="","",SUM(IF(LEFT($AG125:$DF125,1)="X",1,0)))</f>
        <v/>
      </c>
      <c r="AG125" s="897"/>
      <c r="AH125" s="897"/>
      <c r="AI125" s="897"/>
      <c r="AJ125" s="897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7"/>
      <c r="BD125" s="897"/>
      <c r="BE125" s="897"/>
      <c r="BF125" s="897"/>
      <c r="BG125" s="897"/>
      <c r="BH125" s="897"/>
      <c r="BI125" s="893"/>
      <c r="BJ125" s="893"/>
      <c r="BK125" s="897"/>
      <c r="BL125" s="897"/>
      <c r="BM125" s="897"/>
      <c r="BN125" s="897"/>
      <c r="BO125" s="897"/>
      <c r="BP125" s="893"/>
      <c r="BQ125" s="897"/>
      <c r="BR125" s="893"/>
      <c r="BS125" s="893"/>
      <c r="BT125" s="897"/>
      <c r="BU125" s="893"/>
      <c r="BV125" s="897"/>
      <c r="BW125" s="897"/>
      <c r="BX125" s="897"/>
      <c r="BY125" s="897"/>
      <c r="BZ125" s="897"/>
      <c r="CA125" s="897"/>
      <c r="CB125" s="897"/>
      <c r="CC125" s="897"/>
      <c r="CD125" s="897"/>
      <c r="CE125" s="897"/>
      <c r="CF125" s="897"/>
      <c r="CG125" s="897"/>
      <c r="CH125" s="897"/>
      <c r="CI125" s="897"/>
    </row>
    <row r="126" spans="4:87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1"/>
        <v/>
      </c>
      <c r="M126" s="816" t="str">
        <f t="shared" si="62"/>
        <v/>
      </c>
      <c r="N126" s="816" t="str">
        <f t="shared" si="63"/>
        <v/>
      </c>
      <c r="R126" s="816" t="str">
        <f t="shared" si="64"/>
        <v/>
      </c>
      <c r="T126" s="829" t="str">
        <f t="shared" si="65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IF($J126="","",IF(SUM(IF(ISNUMBER(VALUE(RIGHT($AG126:$CN126,1))),VALUE(RIGHT($AG126:$CN126,1)),0))=$J126,"T","F"))</f>
        <v/>
      </c>
      <c r="AE126" s="816" t="str">
        <f t="array" ref="AE126">IF($J126="","",SUM(IF(LEFT($AG126:$DZ126,1)="s",1,0))-SUM(IF(RIGHT(LEFT($AG126:$DZ126,2))="-",1,0)))</f>
        <v/>
      </c>
      <c r="AF126" s="816" t="str">
        <f t="array" ref="AF126">IF($J126="","",SUM(IF(LEFT($AG126:$DF126,1)="X",1,0)))</f>
        <v/>
      </c>
      <c r="AG126" s="897"/>
      <c r="AH126" s="897"/>
      <c r="AI126" s="897"/>
      <c r="AJ126" s="897"/>
      <c r="AK126" s="893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7"/>
      <c r="BC126" s="897"/>
      <c r="BD126" s="897"/>
      <c r="BE126" s="897"/>
      <c r="BF126" s="897"/>
      <c r="BG126" s="897"/>
      <c r="BH126" s="897"/>
      <c r="BI126" s="893"/>
      <c r="BJ126" s="893"/>
      <c r="BK126" s="897"/>
      <c r="BL126" s="897"/>
      <c r="BM126" s="897"/>
      <c r="BN126" s="897"/>
      <c r="BO126" s="897"/>
      <c r="BP126" s="893"/>
      <c r="BQ126" s="897"/>
      <c r="BR126" s="893"/>
      <c r="BS126" s="893"/>
      <c r="BT126" s="897"/>
      <c r="BU126" s="893"/>
      <c r="BV126" s="897"/>
      <c r="BW126" s="897"/>
      <c r="BX126" s="897"/>
      <c r="BY126" s="897"/>
      <c r="BZ126" s="897"/>
      <c r="CA126" s="897"/>
      <c r="CB126" s="897"/>
      <c r="CC126" s="897"/>
      <c r="CD126" s="897"/>
      <c r="CE126" s="897"/>
      <c r="CF126" s="897"/>
      <c r="CG126" s="897"/>
      <c r="CH126" s="897"/>
      <c r="CI126" s="897"/>
    </row>
    <row r="127" spans="4:87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1"/>
        <v/>
      </c>
      <c r="M127" s="816" t="str">
        <f t="shared" si="62"/>
        <v/>
      </c>
      <c r="N127" s="816" t="str">
        <f t="shared" si="63"/>
        <v/>
      </c>
      <c r="R127" s="816" t="str">
        <f t="shared" si="64"/>
        <v/>
      </c>
      <c r="T127" s="829" t="str">
        <f t="shared" si="65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IF($J127="","",IF(SUM(IF(ISNUMBER(VALUE(RIGHT($AG127:$CN127,1))),VALUE(RIGHT($AG127:$CN127,1)),0))=$J127,"T","F"))</f>
        <v/>
      </c>
      <c r="AE127" s="816" t="str">
        <f t="array" ref="AE127">IF($J127="","",SUM(IF(LEFT($AG127:$DZ127,1)="s",1,0))-SUM(IF(RIGHT(LEFT($AG127:$DZ127,2))="-",1,0)))</f>
        <v/>
      </c>
      <c r="AF127" s="816" t="str">
        <f t="array" ref="AF127">IF($J127="","",SUM(IF(LEFT($AG127:$DF127,1)="X",1,0)))</f>
        <v/>
      </c>
    </row>
    <row r="128" spans="4:87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1"/>
        <v/>
      </c>
      <c r="M128" s="816" t="str">
        <f t="shared" si="62"/>
        <v/>
      </c>
      <c r="N128" s="816" t="str">
        <f t="shared" si="63"/>
        <v/>
      </c>
      <c r="R128" s="816" t="str">
        <f t="shared" si="64"/>
        <v/>
      </c>
      <c r="T128" s="829" t="str">
        <f t="shared" si="65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IF($J128="","",IF(SUM(IF(ISNUMBER(VALUE(RIGHT($AG128:$CN128,1))),VALUE(RIGHT($AG128:$CN128,1)),0))=$J128,"T","F"))</f>
        <v/>
      </c>
      <c r="AE128" s="816" t="str">
        <f t="array" ref="AE128">IF($J128="","",SUM(IF(LEFT($AG128:$DZ128,1)="s",1,0))-SUM(IF(RIGHT(LEFT($AG128:$DZ128,2))="-",1,0)))</f>
        <v/>
      </c>
      <c r="AF128" s="816" t="str">
        <f t="array" ref="AF128">IF($J128="","",SUM(IF(LEFT($AG128:$DF128,1)="X",1,0)))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1"/>
        <v/>
      </c>
      <c r="M129" s="816" t="str">
        <f t="shared" si="62"/>
        <v/>
      </c>
      <c r="N129" s="816" t="str">
        <f t="shared" si="63"/>
        <v/>
      </c>
      <c r="R129" s="816" t="str">
        <f t="shared" si="64"/>
        <v/>
      </c>
      <c r="T129" s="829" t="str">
        <f t="shared" si="65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IF($J129="","",IF(SUM(IF(ISNUMBER(VALUE(RIGHT($AG129:$CN129,1))),VALUE(RIGHT($AG129:$CN129,1)),0))=$J129,"T","F"))</f>
        <v/>
      </c>
      <c r="AE129" s="816" t="str">
        <f t="array" ref="AE129">IF($J129="","",SUM(IF(LEFT($AG129:$DZ129,1)="s",1,0))-SUM(IF(RIGHT(LEFT($AG129:$DZ129,2))="-",1,0)))</f>
        <v/>
      </c>
      <c r="AF129" s="816" t="str">
        <f t="array" ref="AF129">IF($J129="","",SUM(IF(LEFT($AG129:$DF129,1)="X",1,0)))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1"/>
        <v/>
      </c>
      <c r="M130" s="816" t="str">
        <f t="shared" si="62"/>
        <v/>
      </c>
      <c r="N130" s="816" t="str">
        <f t="shared" si="63"/>
        <v/>
      </c>
      <c r="R130" s="816" t="str">
        <f t="shared" si="64"/>
        <v/>
      </c>
      <c r="T130" s="829" t="str">
        <f t="shared" si="65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IF($J130="","",IF(SUM(IF(ISNUMBER(VALUE(RIGHT($AG130:$CN130,1))),VALUE(RIGHT($AG130:$CN130,1)),0))=$J130,"T","F"))</f>
        <v/>
      </c>
      <c r="AE130" s="816" t="str">
        <f t="array" ref="AE130">IF($J130="","",SUM(IF(LEFT($AG130:$DZ130,1)="s",1,0))-SUM(IF(RIGHT(LEFT($AG130:$DZ130,2))="-",1,0)))</f>
        <v/>
      </c>
      <c r="AF130" s="816" t="str">
        <f t="array" ref="AF130">IF($J130="","",SUM(IF(LEFT($AG130:$DF130,1)="X",1,0)))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61"/>
        <v/>
      </c>
      <c r="M131" s="816" t="str">
        <f t="shared" si="62"/>
        <v/>
      </c>
      <c r="N131" s="816" t="str">
        <f t="shared" si="63"/>
        <v/>
      </c>
      <c r="R131" s="816" t="str">
        <f t="shared" si="64"/>
        <v/>
      </c>
      <c r="T131" s="829" t="str">
        <f t="shared" si="65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IF($J131="","",IF(SUM(IF(ISNUMBER(VALUE(RIGHT($AG131:$CN131,1))),VALUE(RIGHT($AG131:$CN131,1)),0))=$J131,"T","F"))</f>
        <v/>
      </c>
      <c r="AE131" s="816" t="str">
        <f t="array" ref="AE131">IF($J131="","",SUM(IF(LEFT($AG131:$DZ131,1)="s",1,0))-SUM(IF(RIGHT(LEFT($AG131:$DZ131,2))="-",1,0)))</f>
        <v/>
      </c>
      <c r="AF131" s="816" t="str">
        <f t="array" ref="AF131">IF($J131="","",SUM(IF(LEFT($AG131:$DF131,1)="X",1,0)))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61"/>
        <v/>
      </c>
      <c r="M132" s="816" t="str">
        <f t="shared" si="62"/>
        <v/>
      </c>
      <c r="N132" s="816" t="str">
        <f t="shared" si="63"/>
        <v/>
      </c>
      <c r="R132" s="816" t="str">
        <f t="shared" si="64"/>
        <v/>
      </c>
      <c r="T132" s="829" t="str">
        <f t="shared" si="65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IF($J132="","",IF(SUM(IF(ISNUMBER(VALUE(RIGHT($AG132:$CN132,1))),VALUE(RIGHT($AG132:$CN132,1)),0))=$J132,"T","F"))</f>
        <v/>
      </c>
      <c r="AE132" s="816" t="str">
        <f t="array" ref="AE132">IF($J132="","",SUM(IF(LEFT($AG132:$DZ132,1)="s",1,0))-SUM(IF(RIGHT(LEFT($AG132:$DZ132,2))="-",1,0)))</f>
        <v/>
      </c>
      <c r="AF132" s="816" t="str">
        <f t="array" ref="AF132">IF($J132="","",SUM(IF(LEFT($AG132:$DF132,1)="X",1,0)))</f>
        <v/>
      </c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</sheetData>
  <autoFilter ref="A22:DL79"/>
  <mergeCells count="3">
    <mergeCell ref="W19:X19"/>
    <mergeCell ref="Y19:Z19"/>
    <mergeCell ref="AA19:AB19"/>
  </mergeCells>
  <phoneticPr fontId="21" type="noConversion"/>
  <conditionalFormatting sqref="AD23:AD309">
    <cfRule type="cellIs" dxfId="740" priority="53" operator="equal">
      <formula>"T"</formula>
    </cfRule>
  </conditionalFormatting>
  <conditionalFormatting sqref="N23:N309">
    <cfRule type="cellIs" dxfId="739" priority="60" stopIfTrue="1" operator="equal">
      <formula>"U"</formula>
    </cfRule>
    <cfRule type="cellIs" dxfId="738" priority="61" stopIfTrue="1" operator="equal">
      <formula>"O"</formula>
    </cfRule>
  </conditionalFormatting>
  <conditionalFormatting sqref="L23:L309">
    <cfRule type="cellIs" dxfId="737" priority="58" stopIfTrue="1" operator="equal">
      <formula>"W"</formula>
    </cfRule>
    <cfRule type="cellIs" dxfId="736" priority="59" stopIfTrue="1" operator="equal">
      <formula>"D"</formula>
    </cfRule>
  </conditionalFormatting>
  <conditionalFormatting sqref="AF23:AF309">
    <cfRule type="cellIs" dxfId="735" priority="56" stopIfTrue="1" operator="notEqual">
      <formula>11</formula>
    </cfRule>
    <cfRule type="cellIs" dxfId="734" priority="57" stopIfTrue="1" operator="between">
      <formula>0</formula>
      <formula>20</formula>
    </cfRule>
  </conditionalFormatting>
  <conditionalFormatting sqref="AE23:AE309">
    <cfRule type="cellIs" dxfId="733" priority="54" stopIfTrue="1" operator="notEqual">
      <formula>0</formula>
    </cfRule>
    <cfRule type="cellIs" dxfId="732" priority="55" stopIfTrue="1" operator="between">
      <formula>0</formula>
      <formula>20</formula>
    </cfRule>
  </conditionalFormatting>
  <conditionalFormatting sqref="CK19:DB19">
    <cfRule type="expression" dxfId="731" priority="49">
      <formula>CK19="G"</formula>
    </cfRule>
    <cfRule type="expression" dxfId="730" priority="50">
      <formula>CK19="M"</formula>
    </cfRule>
    <cfRule type="expression" dxfId="729" priority="51">
      <formula>CK19="D"</formula>
    </cfRule>
    <cfRule type="expression" dxfId="728" priority="52">
      <formula>CK19="A"</formula>
    </cfRule>
  </conditionalFormatting>
  <conditionalFormatting sqref="BU19:CJ19 BO19:BP19 AK19:BL19">
    <cfRule type="expression" dxfId="727" priority="45">
      <formula>AK19="G"</formula>
    </cfRule>
    <cfRule type="expression" dxfId="726" priority="46">
      <formula>OR(AK19="M",AK19="CM",AK19="LM",AK19="RM",AK19="DM",AK19="AM")</formula>
    </cfRule>
    <cfRule type="expression" dxfId="725" priority="47">
      <formula>OR(AK19="D",AK19="CB",AK19="LB",AK19="RB")</formula>
    </cfRule>
    <cfRule type="expression" dxfId="724" priority="48">
      <formula>OR(AK19="A",AK19="CF",AK19="SS",AK19="ST",AK19="RW",AK19="LW")</formula>
    </cfRule>
  </conditionalFormatting>
  <conditionalFormatting sqref="BS27:CA69 BU23:CA23 BQ24:CA25 BL24:BL25 BJ23:BK25 BO23:BP25 BJ26:BT73 AG23:BI73">
    <cfRule type="expression" dxfId="723" priority="43">
      <formula>IF(ISNUMBER(VALUE(RIGHT(AG23,1))),1,0)</formula>
    </cfRule>
  </conditionalFormatting>
  <conditionalFormatting sqref="CC16:CI16 AG16:BX16">
    <cfRule type="top10" dxfId="722" priority="62" stopIfTrue="1" rank="5"/>
  </conditionalFormatting>
  <conditionalFormatting sqref="CC15:CI15 AG15:BX15">
    <cfRule type="top10" dxfId="721" priority="63" rank="11"/>
  </conditionalFormatting>
  <conditionalFormatting sqref="CC17:CI17 AG17:BX17">
    <cfRule type="top10" dxfId="720" priority="64" stopIfTrue="1" rank="5"/>
  </conditionalFormatting>
  <conditionalFormatting sqref="CC14:CI14 AG14:BX14">
    <cfRule type="top10" dxfId="719" priority="65" rank="11"/>
  </conditionalFormatting>
  <conditionalFormatting sqref="BS26:CA26">
    <cfRule type="expression" dxfId="718" priority="33">
      <formula>IF(ISNUMBER(VALUE(RIGHT(BS26,1))),1,0)</formula>
    </cfRule>
  </conditionalFormatting>
  <conditionalFormatting sqref="BO19:BP19 AG19:BL19">
    <cfRule type="cellIs" dxfId="717" priority="31" operator="equal">
      <formula>"M"</formula>
    </cfRule>
  </conditionalFormatting>
  <conditionalFormatting sqref="BO19:BP19 AG19:BL19">
    <cfRule type="cellIs" dxfId="716" priority="30" operator="equal">
      <formula>"D"</formula>
    </cfRule>
  </conditionalFormatting>
  <conditionalFormatting sqref="BO19:BP19 AG19:BL19">
    <cfRule type="cellIs" dxfId="715" priority="28" operator="equal">
      <formula>"G"</formula>
    </cfRule>
    <cfRule type="cellIs" dxfId="714" priority="29" operator="equal">
      <formula>"A"</formula>
    </cfRule>
  </conditionalFormatting>
  <conditionalFormatting sqref="BO19:BP19 AG19:BL19">
    <cfRule type="containsText" dxfId="713" priority="25" operator="containsText" text="FW">
      <formula>NOT(ISERROR(SEARCH("FW",AG19)))</formula>
    </cfRule>
    <cfRule type="containsText" dxfId="712" priority="26" operator="containsText" text="MF">
      <formula>NOT(ISERROR(SEARCH("MF",AG19)))</formula>
    </cfRule>
    <cfRule type="containsText" dxfId="711" priority="27" operator="containsText" text="DF">
      <formula>NOT(ISERROR(SEARCH("DF",AG19)))</formula>
    </cfRule>
  </conditionalFormatting>
  <conditionalFormatting sqref="AQ27">
    <cfRule type="expression" dxfId="710" priority="13">
      <formula>IF(ISNUMBER(VALUE(RIGHT(AQ27,1))),1,0)</formula>
    </cfRule>
  </conditionalFormatting>
  <conditionalFormatting sqref="AO27">
    <cfRule type="expression" dxfId="709" priority="12">
      <formula>IF(ISNUMBER(VALUE(RIGHT(AO27,1))),1,0)</formula>
    </cfRule>
  </conditionalFormatting>
  <conditionalFormatting sqref="BM19">
    <cfRule type="expression" dxfId="708" priority="8">
      <formula>BM19="G"</formula>
    </cfRule>
    <cfRule type="expression" dxfId="707" priority="9">
      <formula>OR(BM19="M",BM19="CM",BM19="LM",BM19="RM",BM19="DM",BM19="AM")</formula>
    </cfRule>
    <cfRule type="expression" dxfId="706" priority="10">
      <formula>OR(BM19="D",BM19="CB",BM19="LB",BM19="RB")</formula>
    </cfRule>
    <cfRule type="expression" dxfId="705" priority="11">
      <formula>OR(BM19="A",BM19="CF",BM19="SS",BM19="ST",BM19="RW",BM19="LW")</formula>
    </cfRule>
  </conditionalFormatting>
  <conditionalFormatting sqref="BM19">
    <cfRule type="cellIs" dxfId="704" priority="7" operator="equal">
      <formula>"M"</formula>
    </cfRule>
  </conditionalFormatting>
  <conditionalFormatting sqref="BM19">
    <cfRule type="cellIs" dxfId="703" priority="6" operator="equal">
      <formula>"D"</formula>
    </cfRule>
  </conditionalFormatting>
  <conditionalFormatting sqref="BM19">
    <cfRule type="cellIs" dxfId="702" priority="4" operator="equal">
      <formula>"G"</formula>
    </cfRule>
    <cfRule type="cellIs" dxfId="701" priority="5" operator="equal">
      <formula>"A"</formula>
    </cfRule>
  </conditionalFormatting>
  <conditionalFormatting sqref="BM19">
    <cfRule type="containsText" dxfId="700" priority="1" operator="containsText" text="FW">
      <formula>NOT(ISERROR(SEARCH("FW",BM19)))</formula>
    </cfRule>
    <cfRule type="containsText" dxfId="699" priority="2" operator="containsText" text="MF">
      <formula>NOT(ISERROR(SEARCH("MF",BM19)))</formula>
    </cfRule>
    <cfRule type="containsText" dxfId="698" priority="3" operator="containsText" text="DF">
      <formula>NOT(ISERROR(SEARCH("DF",BM19)))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DP239"/>
  <sheetViews>
    <sheetView zoomScale="85" zoomScaleNormal="85" workbookViewId="0">
      <pane xSplit="32" ySplit="22" topLeftCell="AG54" activePane="bottomRight" state="frozen"/>
      <selection activeCell="AX21" sqref="AX21"/>
      <selection pane="topRight" activeCell="AX21" sqref="AX21"/>
      <selection pane="bottomLeft" activeCell="AX21" sqref="AX21"/>
      <selection pane="bottomRight" activeCell="AB66" sqref="AB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4" width="3.75" style="230" customWidth="1"/>
    <col min="35" max="35" width="3.75" bestFit="1" customWidth="1"/>
    <col min="36" max="54" width="3.75" style="230" customWidth="1"/>
    <col min="55" max="57" width="3.75" bestFit="1" customWidth="1"/>
    <col min="58" max="58" width="3.75" customWidth="1"/>
    <col min="59" max="62" width="3.75" style="230" customWidth="1"/>
    <col min="63" max="63" width="3.75" bestFit="1" customWidth="1"/>
    <col min="64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K1" si="0">AG20</f>
        <v>Yota Akimoto</v>
      </c>
      <c r="AH1" s="814" t="str">
        <f t="shared" si="0"/>
        <v>Tando Velaphi</v>
      </c>
      <c r="AJ1" s="814" t="str">
        <f t="shared" si="0"/>
        <v>Ryohei Okazaki</v>
      </c>
      <c r="AK1" s="814" t="str">
        <f t="shared" si="0"/>
        <v>André Bahia</v>
      </c>
      <c r="AL1" s="814"/>
      <c r="AM1" s="814"/>
      <c r="AN1" s="814" t="str">
        <f>AN20</f>
        <v>Daiki SUGIOKA</v>
      </c>
      <c r="AO1" s="814" t="str">
        <f t="shared" si="0"/>
        <v>Tsuyoshi Shimamura</v>
      </c>
      <c r="AP1" s="814"/>
      <c r="AQ1" s="814" t="str">
        <f>AU20</f>
        <v>Hiroki Akino</v>
      </c>
      <c r="AR1" s="814" t="str">
        <f>AV20</f>
        <v>Toshiki Ishikawa</v>
      </c>
      <c r="AS1" s="814"/>
      <c r="AT1" s="814" t="str">
        <f>AW20</f>
        <v>Yuta Kamiya</v>
      </c>
      <c r="AU1" s="814" t="str">
        <f>AY20</f>
        <v>Miki Yamane</v>
      </c>
      <c r="AV1" s="814" t="e">
        <f>#REF!</f>
        <v>#REF!</v>
      </c>
      <c r="AW1" s="814" t="str">
        <f>AZ20</f>
        <v>Seiya Fujita</v>
      </c>
      <c r="AX1" s="814" t="str">
        <f>BA20</f>
        <v>Mitsuki Saito</v>
      </c>
      <c r="AY1" s="814">
        <f>BS20</f>
        <v>0</v>
      </c>
      <c r="AZ1" s="814" t="str">
        <f>BB20</f>
        <v>Hokuto Shimoda</v>
      </c>
      <c r="BA1" s="814"/>
      <c r="BB1" s="814" t="str">
        <f>BC20</f>
        <v>Akira Ando</v>
      </c>
      <c r="BG1" s="814"/>
      <c r="BH1" s="814"/>
      <c r="BI1" s="814"/>
      <c r="BJ1" s="814"/>
      <c r="BL1" s="814" t="str">
        <f>BM20</f>
        <v>Go Ito</v>
      </c>
      <c r="BM1" s="814"/>
      <c r="BN1" s="814" t="str">
        <f>AT20</f>
        <v>Shunsuke Kikuchi</v>
      </c>
      <c r="BO1" s="814" t="e">
        <f>#REF!</f>
        <v>#REF!</v>
      </c>
      <c r="BQ1" s="814" t="e">
        <f>#REF!</f>
        <v>#REF!</v>
      </c>
      <c r="BR1" s="814" t="e">
        <f>#REF!</f>
        <v>#REF!</v>
      </c>
      <c r="BS1" s="814" t="e">
        <f>#REF!</f>
        <v>#REF!</v>
      </c>
      <c r="BT1" s="814"/>
      <c r="BU1" s="814"/>
      <c r="BV1" s="814"/>
      <c r="BW1" s="814"/>
      <c r="BX1" s="814">
        <f t="shared" ref="BX1:CD1" si="1">BX20</f>
        <v>0</v>
      </c>
      <c r="BY1" s="814">
        <f t="shared" si="1"/>
        <v>0</v>
      </c>
      <c r="BZ1" s="814">
        <f t="shared" si="1"/>
        <v>0</v>
      </c>
      <c r="CA1" s="814">
        <f t="shared" si="1"/>
        <v>0</v>
      </c>
      <c r="CB1" s="814">
        <f t="shared" si="1"/>
        <v>0</v>
      </c>
      <c r="CC1" s="814">
        <f t="shared" si="1"/>
        <v>0</v>
      </c>
      <c r="CD1" s="814">
        <f t="shared" si="1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SUM(IF(L$23:L$241="",0,1)*IF(ISBLANK($T$1),1,IF($I$23:$I$241=$T$1,1,0)))</f>
        <v>44</v>
      </c>
      <c r="AG2" s="874">
        <f t="array" ref="AG2">SUM(IF(ISBLANK(AG$23:AG$241),0,IF(AG$23:AG$241="susp",0,1))*IF(ISBLANK($T$1),1,IF($I$23:$I$241=$T$1,1,0)))</f>
        <v>44</v>
      </c>
      <c r="AH2" s="874">
        <f t="array" ref="AH2">SUM(IF(ISBLANK(AH$23:AH$241),0,IF(AH$23:AH$241="susp",0,1))*IF(ISBLANK($T$1),1,IF($I$23:$I$241=$T$1,1,0)))</f>
        <v>44</v>
      </c>
      <c r="AJ2" s="874">
        <f t="array" ref="AJ2">SUM(IF(ISBLANK(AJ$23:AJ$241),0,IF(AJ$23:AJ$241="susp",0,1))*IF(ISBLANK($T$1),1,IF($I$23:$I$241=$T$1,1,0)))</f>
        <v>44</v>
      </c>
      <c r="AK2" s="874">
        <f t="array" ref="AK2">SUM(IF(ISBLANK(AK$23:AK$241),0,IF(AK$23:AK$241="susp",0,1))*IF(ISBLANK($T$1),1,IF($I$23:$I$241=$T$1,1,0)))</f>
        <v>44</v>
      </c>
      <c r="AN2" s="874">
        <f t="array" ref="AN2">SUM(IF(ISBLANK(AN$23:AN$241),0,IF(AN$23:AN$241="susp",0,1))*IF(ISBLANK($T$1),1,IF($I$23:$I$241=$T$1,1,0)))</f>
        <v>44</v>
      </c>
      <c r="AO2" s="874">
        <f t="array" ref="AO2">SUM(IF(ISBLANK(AO$23:AO$241),0,IF(AO$23:AO$241="susp",0,1))*IF(ISBLANK($T$1),1,IF($I$23:$I$241=$T$1,1,0)))</f>
        <v>43</v>
      </c>
      <c r="AQ2" s="874">
        <f t="array" ref="AQ2">SUM(IF(ISBLANK(AQ$26:AQ$241),0,IF(AQ$26:AQ$241="susp",0,1))*IF(ISBLANK($T$1),1,IF($I$23:$I$241=$T$1,1,0)))</f>
        <v>40</v>
      </c>
      <c r="AR2" s="874">
        <f t="array" ref="AR2">SUM(IF(ISBLANK(AR$26:AR$241),0,IF(AR$26:AR$241="susp",0,1))*IF(ISBLANK($T$1),1,IF($I$23:$I$241=$T$1,1,0)))</f>
        <v>41</v>
      </c>
      <c r="AT2" s="874">
        <f t="array" ref="AT2">SUM(IF(ISBLANK(AT$23:AT$241),0,IF(AT$23:AT$241="susp",0,1))*IF(ISBLANK($T$1),1,IF($I$23:$I$241=$T$1,1,0)))</f>
        <v>42</v>
      </c>
      <c r="AU2" s="874">
        <f t="array" ref="AU2">SUM(IF(ISBLANK(AU$23:AU$241),0,IF(AU$23:AU$241="susp",0,1))*IF(ISBLANK($T$1),1,IF($I$23:$I$241=$T$1,1,0)))</f>
        <v>44</v>
      </c>
      <c r="AV2" s="874">
        <f t="array" ref="AV2">SUM(IF(ISBLANK(AV$26:AV$241),0,IF(AV$26:AV$241="susp",0,1))*IF(ISBLANK($T$1),1,IF($I$23:$I$241=$T$1,1,0)))</f>
        <v>41</v>
      </c>
      <c r="AW2" s="874">
        <f t="array" ref="AW2">SUM(IF(ISBLANK(AW$26:AW$241),0,IF(AW$26:AW$241="susp",0,1))*IF(ISBLANK($T$1),1,IF($I$23:$I$241=$T$1,1,0)))</f>
        <v>41</v>
      </c>
      <c r="AX2" s="874">
        <f t="array" ref="AX2">SUM(IF(ISBLANK(AX$26:AX$241),0,IF(AX$26:AX$241="susp",0,1))*IF(ISBLANK($T$1),1,IF($I$23:$I$241=$T$1,1,0)))</f>
        <v>41</v>
      </c>
      <c r="AY2" s="874">
        <f t="array" ref="AY2">SUM(IF(ISBLANK(AY$23:AY$241),0,IF(AY$23:AY$241="susp",0,1))*IF(ISBLANK($T$1),1,IF($I$23:$I$241=$T$1,1,0)))</f>
        <v>44</v>
      </c>
      <c r="AZ2" s="874">
        <f t="array" ref="AZ2">SUM(IF(ISBLANK(AZ$27:AZ$241),0,IF(AZ$27:AZ$241="susp",0,1))*IF(ISBLANK($T$1),1,IF($I$23:$I$241=$T$1,1,0)))</f>
        <v>39</v>
      </c>
      <c r="BB2" s="874">
        <f t="array" ref="BB2">SUM(IF(ISBLANK(BB$26:BB$241),0,IF(BB$26:BB$241="susp",0,1))*IF(ISBLANK($T$1),1,IF($I$23:$I$241=$T$1,1,0)))</f>
        <v>41</v>
      </c>
      <c r="BL2" s="874">
        <f t="array" ref="BL2">SUM(IF(ISBLANK(BL$23:BL$241),0,IF(BL$23:BL$241="susp",0,1))*IF(ISBLANK($T$1),1,IF($I$23:$I$241=$T$1,1,0)))</f>
        <v>6</v>
      </c>
      <c r="BN2" s="874">
        <f t="array" ref="BN2">SUM(IF(ISBLANK(BN$26:BN$241),0,IF(BN$26:BN$241="susp",0,1))*IF(ISBLANK($T$1),1,IF($I$23:$I$241=$T$1,1,0)))</f>
        <v>3</v>
      </c>
      <c r="BO2" s="874">
        <f t="array" ref="BO2">SUM(IF(ISBLANK(BO$67:BO$241),0,IF(BO$67:BO$241="susp",0,1))*IF(ISBLANK($T$1),1,IF($I$23:$I$241=$T$1,1,0)))</f>
        <v>0</v>
      </c>
      <c r="BQ2" s="874">
        <f t="array" ref="BQ2">SUM(IF(ISBLANK(BQ$23:BQ$241),0,IF(BQ$23:BQ$241="susp",0,1))*IF(ISBLANK($T$1),1,IF($I$23:$I$241=$T$1,1,0)))</f>
        <v>1</v>
      </c>
      <c r="BR2" s="874">
        <f t="array" ref="BR2">SUM(IF(ISBLANK(BR$26:BR$241),0,IF(BR$26:BR$241="susp",0,1))*IF(ISBLANK($T$1),1,IF($I$23:$I$241=$T$1,1,0)))</f>
        <v>1</v>
      </c>
      <c r="BS2" s="874">
        <f t="array" ref="BS2">SUM(IF(ISBLANK(BS$45:BS$241),0,IF(BS$45:BS$241="susp",0,1))*IF(ISBLANK($T$1),1,IF($I$23:$I$241=$T$1,1,0)))</f>
        <v>1</v>
      </c>
      <c r="BX2" s="874">
        <f t="array" ref="BX2">SUM(IF(ISBLANK(BX$23:BX$241),0,IF(BX$23:BX$241="susp",0,1))*IF(ISBLANK($T$1),1,IF($I$23:$I$241=$T$1,1,0)))</f>
        <v>1</v>
      </c>
      <c r="BY2" s="874">
        <f t="array" ref="BY2">SUM(IF(ISBLANK(BY$23:BY$241),0,IF(BY$23:BY$241="susp",0,1))*IF(ISBLANK($T$1),1,IF($I$23:$I$241=$T$1,1,0)))</f>
        <v>1</v>
      </c>
      <c r="BZ2" s="874">
        <f t="array" ref="BZ2">SUM(IF(ISBLANK(BZ$23:BZ$241),0,IF(BZ$23:BZ$241="susp",0,1))*IF(ISBLANK($T$1),1,IF($I$23:$I$241=$T$1,1,0)))</f>
        <v>1</v>
      </c>
      <c r="CA2" s="874">
        <f t="array" ref="CA2">SUM(IF(ISBLANK(CA$23:CA$241),0,IF(CA$23:CA$241="susp",0,1))*IF(ISBLANK($T$1),1,IF($I$23:$I$241=$T$1,1,0)))</f>
        <v>0</v>
      </c>
      <c r="CB2" s="874">
        <f t="array" ref="CB2">SUM(IF(ISBLANK(CB$23:CB$241),0,IF(CB$23:CB$241="susp",0,1))*IF(ISBLANK($T$1),1,IF($I$23:$I$241=$T$1,1,0)))</f>
        <v>0</v>
      </c>
      <c r="CC2" s="874">
        <f t="array" ref="CC2">SUM(IF(ISBLANK(CC$23:CC$241),0,IF(CC$23:CC$241="susp",0,1))*IF(ISBLANK($T$1),1,IF($I$23:$I$241=$T$1,1,0)))</f>
        <v>0</v>
      </c>
      <c r="CD2" s="874">
        <f t="array" ref="CD2">SUM(IF(ISBLANK(CD$23:CD$241),0,IF(CD$23:CD$241="susp",0,1))*IF(ISBLANK($T$1),1,IF($I$23:$I$241=$T$1,1,0)))</f>
        <v>0</v>
      </c>
      <c r="CE2" s="874">
        <f t="array" ref="CE2">SUM(IF(ISBLANK(CE$23:CE$241),0,IF(CE$23:CE$241="susp",0,1))*IF(ISBLANK($T$1),1,IF($I$23:$I$241=$T$1,1,0)))</f>
        <v>0</v>
      </c>
      <c r="CF2" s="874">
        <f t="array" ref="CF2">SUM(IF(ISBLANK(CF$23:CF$241),0,IF(CF$23:CF$241="susp",0,1))*IF(ISBLANK($T$1),1,IF($I$23:$I$241=$T$1,1,0)))</f>
        <v>0</v>
      </c>
      <c r="CG2" s="874">
        <f t="array" ref="CG2">SUM(IF(ISBLANK(CG$23:CG$241),0,IF(CG$23:CG$241="susp",0,1))*IF(ISBLANK($T$1),1,IF($I$23:$I$241=$T$1,1,0)))</f>
        <v>0</v>
      </c>
      <c r="CH2" s="874">
        <f t="array" ref="CH2">SUM(IF(ISBLANK(CH$23:CH$241),0,IF(CH$23:CH$241="susp",0,1))*IF(ISBLANK($T$1),1,IF($I$23:$I$241=$T$1,1,0)))</f>
        <v>0</v>
      </c>
      <c r="CI2" s="874">
        <f t="array" ref="CI2">SUM(IF(ISBLANK(CI$23:CI$241),0,IF(CI$23:CI$241="susp",0,1))*IF(ISBLANK($T$1),1,IF($I$23:$I$241=$T$1,1,0)))</f>
        <v>16</v>
      </c>
      <c r="CJ2" s="874">
        <f t="array" ref="CJ2">SUM(IF(ISBLANK(CJ$23:CJ$241),0,IF(CJ$23:CJ$241="susp",0,1))*IF(ISBLANK($T$1),1,IF($I$23:$I$241=$T$1,1,0)))</f>
        <v>16</v>
      </c>
      <c r="CK2" s="874">
        <f t="array" ref="CK2">SUM(IF(ISBLANK(CK$23:CK$241),0,IF(CK$23:CK$241="susp",0,1))*IF(ISBLANK($T$1),1,IF($I$23:$I$241=$T$1,1,0)))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SUM(IF(L$23:L$241="W",1,0)*IF(ISBLANK($T$1),1,IF($I$23:$I$241=$T$1,1,0)))</f>
        <v>24</v>
      </c>
      <c r="AG3" s="874">
        <f t="array" ref="AG3">SUM(IF(ISTEXT(AG$23:AG$241),1,0)*IF(($L$23:$L$241)="W",1,0)*IF(ISBLANK($T$1),1,IF($I$23:$I$241=$T$1,1,0)))</f>
        <v>24</v>
      </c>
      <c r="AH3" s="874">
        <f t="array" ref="AH3">SUM(IF(ISTEXT(AH$23:AH$241),1,0)*IF(($L$23:$L$241)="W",1,0)*IF(ISBLANK($T$1),1,IF($I$23:$I$241=$T$1,1,0)))</f>
        <v>24</v>
      </c>
      <c r="AJ3" s="874">
        <f t="array" ref="AJ3">SUM(IF(ISTEXT(AJ$23:AJ$241),1,0)*IF(($L$23:$L$241)="W",1,0)*IF(ISBLANK($T$1),1,IF($I$23:$I$241=$T$1,1,0)))</f>
        <v>24</v>
      </c>
      <c r="AK3" s="874">
        <f t="array" ref="AK3">SUM(IF(ISTEXT(AK$23:AK$241),1,0)*IF(($L$23:$L$241)="W",1,0)*IF(ISBLANK($T$1),1,IF($I$23:$I$241=$T$1,1,0)))</f>
        <v>24</v>
      </c>
      <c r="AN3" s="874">
        <f t="array" ref="AN3">SUM(IF(ISTEXT(AN$23:AN$241),1,0)*IF(($L$23:$L$241)="W",1,0)*IF(ISBLANK($T$1),1,IF($I$23:$I$241=$T$1,1,0)))</f>
        <v>24</v>
      </c>
      <c r="AO3" s="874">
        <f t="array" ref="AO3">SUM(IF(ISTEXT(AO$23:AO$241),1,0)*IF(($L$23:$L$241)="W",1,0)*IF(ISBLANK($T$1),1,IF($I$23:$I$241=$T$1,1,0)))</f>
        <v>23</v>
      </c>
      <c r="AQ3" s="874" t="e">
        <f t="array" ref="AQ3">SUM(IF(ISTEXT(AQ$26:AQ$241),1,0)*IF(($L$23:$L$241)="W",1,0)*IF(ISBLANK($T$1),1,IF($I$23:$I$241=$T$1,1,0)))</f>
        <v>#N/A</v>
      </c>
      <c r="AR3" s="874" t="e">
        <f t="array" ref="AR3">SUM(IF(ISTEXT(AR$26:AR$241),1,0)*IF(($L$23:$L$241)="W",1,0)*IF(ISBLANK($T$1),1,IF($I$23:$I$241=$T$1,1,0)))</f>
        <v>#N/A</v>
      </c>
      <c r="AT3" s="874">
        <f t="array" ref="AT3">SUM(IF(ISTEXT(AT$23:AT$241),1,0)*IF(($L$23:$L$241)="W",1,0)*IF(ISBLANK($T$1),1,IF($I$23:$I$241=$T$1,1,0)))</f>
        <v>23</v>
      </c>
      <c r="AU3" s="874">
        <f t="array" ref="AU3">SUM(IF(ISTEXT(AU$23:AU$241),1,0)*IF(($L$23:$L$241)="W",1,0)*IF(ISBLANK($T$1),1,IF($I$23:$I$241=$T$1,1,0)))</f>
        <v>24</v>
      </c>
      <c r="AV3" s="874" t="e">
        <f t="array" ref="AV3">SUM(IF(ISTEXT(AV$26:AV$241),1,0)*IF(($L$23:$L$241)="W",1,0)*IF(ISBLANK($T$1),1,IF($I$23:$I$241=$T$1,1,0)))</f>
        <v>#N/A</v>
      </c>
      <c r="AW3" s="874" t="e">
        <f t="array" ref="AW3">SUM(IF(ISTEXT(AW$26:AW$241),1,0)*IF(($L$23:$L$241)="W",1,0)*IF(ISBLANK($T$1),1,IF($I$23:$I$241=$T$1,1,0)))</f>
        <v>#N/A</v>
      </c>
      <c r="AX3" s="874" t="e">
        <f t="array" ref="AX3">SUM(IF(ISTEXT(AX$26:AX$241),1,0)*IF(($L$23:$L$241)="W",1,0)*IF(ISBLANK($T$1),1,IF($I$23:$I$241=$T$1,1,0)))</f>
        <v>#N/A</v>
      </c>
      <c r="AY3" s="874">
        <f t="array" ref="AY3">SUM(IF(ISTEXT(AY$23:AY$241),1,0)*IF(($L$23:$L$241)="W",1,0)*IF(ISBLANK($T$1),1,IF($I$23:$I$241=$T$1,1,0)))</f>
        <v>24</v>
      </c>
      <c r="AZ3" s="874" t="e">
        <f t="array" ref="AZ3">SUM(IF(ISTEXT(AZ$27:AZ$241),1,0)*IF(($L$23:$L$241)="W",1,0)*IF(ISBLANK($T$1),1,IF($I$23:$I$241=$T$1,1,0)))</f>
        <v>#N/A</v>
      </c>
      <c r="BB3" s="874" t="e">
        <f t="array" ref="BB3">SUM(IF(ISTEXT(BB$26:BB$241),1,0)*IF(($L$23:$L$241)="W",1,0)*IF(ISBLANK($T$1),1,IF($I$23:$I$241=$T$1,1,0)))</f>
        <v>#N/A</v>
      </c>
      <c r="BL3" s="874">
        <f t="array" ref="BL3">SUM(IF(ISTEXT(BL$23:BL$241),1,0)*IF(($L$23:$L$241)="W",1,0)*IF(ISBLANK($T$1),1,IF($I$23:$I$241=$T$1,1,0)))</f>
        <v>1</v>
      </c>
      <c r="BN3" s="874" t="e">
        <f t="array" ref="BN3">SUM(IF(ISTEXT(BN$26:BN$241),1,0)*IF(($L$23:$L$241)="W",1,0)*IF(ISBLANK($T$1),1,IF($I$23:$I$241=$T$1,1,0)))</f>
        <v>#N/A</v>
      </c>
      <c r="BO3" s="874" t="e">
        <f t="array" ref="BO3">SUM(IF(ISTEXT(BO$67:BO$241),1,0)*IF(($L$23:$L$241)="W",1,0)*IF(ISBLANK($T$1),1,IF($I$23:$I$241=$T$1,1,0)))</f>
        <v>#N/A</v>
      </c>
      <c r="BQ3" s="874">
        <f t="array" ref="BQ3">SUM(IF(ISTEXT(BQ$23:BQ$241),1,0)*IF(($L$23:$L$241)="W",1,0)*IF(ISBLANK($T$1),1,IF($I$23:$I$241=$T$1,1,0)))</f>
        <v>1</v>
      </c>
      <c r="BR3" s="874" t="e">
        <f t="array" ref="BR3">SUM(IF(ISTEXT(BR$26:BR$241),1,0)*IF(($L$23:$L$241)="W",1,0)*IF(ISBLANK($T$1),1,IF($I$23:$I$241=$T$1,1,0)))</f>
        <v>#N/A</v>
      </c>
      <c r="BS3" s="874" t="e">
        <f t="array" ref="BS3">SUM(IF(ISTEXT(BS$45:BS$241),1,0)*IF(($L$23:$L$241)="W",1,0)*IF(ISBLANK($T$1),1,IF($I$23:$I$241=$T$1,1,0)))</f>
        <v>#N/A</v>
      </c>
      <c r="BX3" s="874">
        <f t="array" ref="BX3">SUM(IF(ISTEXT(BX$23:BX$241),1,0)*IF(($L$23:$L$241)="W",1,0)*IF(ISBLANK($T$1),1,IF($I$23:$I$241=$T$1,1,0)))</f>
        <v>1</v>
      </c>
      <c r="BY3" s="874">
        <f t="array" ref="BY3">SUM(IF(ISTEXT(BY$23:BY$241),1,0)*IF(($L$23:$L$241)="W",1,0)*IF(ISBLANK($T$1),1,IF($I$23:$I$241=$T$1,1,0)))</f>
        <v>1</v>
      </c>
      <c r="BZ3" s="874">
        <f t="array" ref="BZ3">SUM(IF(ISTEXT(BZ$23:BZ$241),1,0)*IF(($L$23:$L$241)="W",1,0)*IF(ISBLANK($T$1),1,IF($I$23:$I$241=$T$1,1,0)))</f>
        <v>1</v>
      </c>
      <c r="CA3" s="874">
        <f t="array" ref="CA3">SUM(IF(ISTEXT(CA$23:CA$241),1,0)*IF(($L$23:$L$241)="W",1,0)*IF(ISBLANK($T$1),1,IF($I$23:$I$241=$T$1,1,0)))</f>
        <v>0</v>
      </c>
      <c r="CB3" s="874">
        <f t="array" ref="CB3">SUM(IF(ISTEXT(CB$23:CB$241),1,0)*IF(($L$23:$L$241)="W",1,0)*IF(ISBLANK($T$1),1,IF($I$23:$I$241=$T$1,1,0)))</f>
        <v>0</v>
      </c>
      <c r="CC3" s="874">
        <f t="array" ref="CC3">SUM(IF(ISTEXT(CC$23:CC$241),1,0)*IF(($L$23:$L$241)="W",1,0)*IF(ISBLANK($T$1),1,IF($I$23:$I$241=$T$1,1,0)))</f>
        <v>0</v>
      </c>
      <c r="CD3" s="874">
        <f t="array" ref="CD3">SUM(IF(ISTEXT(CD$23:CD$241),1,0)*IF(($L$23:$L$241)="W",1,0)*IF(ISBLANK($T$1),1,IF($I$23:$I$241=$T$1,1,0)))</f>
        <v>0</v>
      </c>
      <c r="CE3" s="874">
        <f t="array" ref="CE3">SUM(IF(ISTEXT(CE$23:CE$241),1,0)*IF(($L$23:$L$241)="W",1,0)*IF(ISBLANK($T$1),1,IF($I$23:$I$241=$T$1,1,0)))</f>
        <v>0</v>
      </c>
      <c r="CF3" s="874">
        <f t="array" ref="CF3">SUM(IF(ISTEXT(CF$23:CF$241),1,0)*IF(($L$23:$L$241)="W",1,0)*IF(ISBLANK($T$1),1,IF($I$23:$I$241=$T$1,1,0)))</f>
        <v>0</v>
      </c>
      <c r="CG3" s="874">
        <f t="array" ref="CG3">SUM(IF(ISTEXT(CG$23:CG$241),1,0)*IF(($L$23:$L$241)="W",1,0)*IF(ISBLANK($T$1),1,IF($I$23:$I$241=$T$1,1,0)))</f>
        <v>0</v>
      </c>
      <c r="CH3" s="874">
        <f t="array" ref="CH3">SUM(IF(ISTEXT(CH$23:CH$241),1,0)*IF(($L$23:$L$241)="W",1,0)*IF(ISBLANK($T$1),1,IF($I$23:$I$241=$T$1,1,0)))</f>
        <v>0</v>
      </c>
      <c r="CI3" s="874">
        <f t="array" ref="CI3">SUM(IF(ISTEXT(CI$23:CI$241),1,0)*IF(($L$23:$L$241)="W",1,0)*IF(ISBLANK($T$1),1,IF($I$23:$I$241=$T$1,1,0)))</f>
        <v>9</v>
      </c>
      <c r="CJ3" s="874">
        <f t="array" ref="CJ3">SUM(IF(ISTEXT(CJ$23:CJ$241),1,0)*IF(($L$23:$L$241)="W",1,0)*IF(ISBLANK($T$1),1,IF($I$23:$I$241=$T$1,1,0)))</f>
        <v>9</v>
      </c>
      <c r="CK3" s="874">
        <f t="array" ref="CK3">SUM(IF(ISTEXT(CK$23:CK$241),1,0)*IF(($L$23:$L$241)="W",1,0)*IF(ISBLANK($T$1),1,IF($I$23:$I$241=$T$1,1,0)))</f>
        <v>9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SUM(IF(L$23:L$241="D",1,0)*IF(ISBLANK($T$1),1,IF($I$23:$I$241=$T$1,1,0)))</f>
        <v>12</v>
      </c>
      <c r="AG4" s="874">
        <f t="array" ref="AG4">SUM(IF(ISTEXT(AG$23:AG$241),1,0)*IF(($L$23:$L$241)="D",1,0)*IF(ISBLANK($T$1),1,IF($I$23:$I$241=$T$1,1,0)))</f>
        <v>12</v>
      </c>
      <c r="AH4" s="874">
        <f t="array" ref="AH4">SUM(IF(ISTEXT(AH$23:AH$241),1,0)*IF(($L$23:$L$241)="D",1,0)*IF(ISBLANK($T$1),1,IF($I$23:$I$241=$T$1,1,0)))</f>
        <v>12</v>
      </c>
      <c r="AJ4" s="874">
        <f t="array" ref="AJ4">SUM(IF(ISTEXT(AJ$23:AJ$241),1,0)*IF(($L$23:$L$241)="D",1,0)*IF(ISBLANK($T$1),1,IF($I$23:$I$241=$T$1,1,0)))</f>
        <v>12</v>
      </c>
      <c r="AK4" s="874">
        <f t="array" ref="AK4">SUM(IF(ISTEXT(AK$23:AK$241),1,0)*IF(($L$23:$L$241)="D",1,0)*IF(ISBLANK($T$1),1,IF($I$23:$I$241=$T$1,1,0)))</f>
        <v>12</v>
      </c>
      <c r="AN4" s="874">
        <f t="array" ref="AN4">SUM(IF(ISTEXT(AN$23:AN$241),1,0)*IF(($L$23:$L$241)="D",1,0)*IF(ISBLANK($T$1),1,IF($I$23:$I$241=$T$1,1,0)))</f>
        <v>12</v>
      </c>
      <c r="AO4" s="874">
        <f t="array" ref="AO4">SUM(IF(ISTEXT(AO$23:AO$241),1,0)*IF(($L$23:$L$241)="D",1,0)*IF(ISBLANK($T$1),1,IF($I$23:$I$241=$T$1,1,0)))</f>
        <v>12</v>
      </c>
      <c r="AQ4" s="874" t="e">
        <f t="array" ref="AQ4">SUM(IF(ISTEXT(AQ$26:AQ$241),1,0)*IF(($L$23:$L$241)="D",1,0)*IF(ISBLANK($T$1),1,IF($I$23:$I$241=$T$1,1,0)))</f>
        <v>#N/A</v>
      </c>
      <c r="AR4" s="874" t="e">
        <f t="array" ref="AR4">SUM(IF(ISTEXT(AR$26:AR$241),1,0)*IF(($L$23:$L$241)="D",1,0)*IF(ISBLANK($T$1),1,IF($I$23:$I$241=$T$1,1,0)))</f>
        <v>#N/A</v>
      </c>
      <c r="AT4" s="874">
        <f t="array" ref="AT4">SUM(IF(ISTEXT(AT$23:AT$241),1,0)*IF(($L$23:$L$241)="D",1,0)*IF(ISBLANK($T$1),1,IF($I$23:$I$241=$T$1,1,0)))</f>
        <v>11</v>
      </c>
      <c r="AU4" s="874">
        <f t="array" ref="AU4">SUM(IF(ISTEXT(AU$23:AU$241),1,0)*IF(($L$23:$L$241)="D",1,0)*IF(ISBLANK($T$1),1,IF($I$23:$I$241=$T$1,1,0)))</f>
        <v>12</v>
      </c>
      <c r="AV4" s="874" t="e">
        <f t="array" ref="AV4">SUM(IF(ISTEXT(AV$26:AV$241),1,0)*IF(($L$23:$L$241)="D",1,0)*IF(ISBLANK($T$1),1,IF($I$23:$I$241=$T$1,1,0)))</f>
        <v>#N/A</v>
      </c>
      <c r="AW4" s="874" t="e">
        <f t="array" ref="AW4">SUM(IF(ISTEXT(AW$26:AW$241),1,0)*IF(($L$23:$L$241)="D",1,0)*IF(ISBLANK($T$1),1,IF($I$23:$I$241=$T$1,1,0)))</f>
        <v>#N/A</v>
      </c>
      <c r="AX4" s="874" t="e">
        <f t="array" ref="AX4">SUM(IF(ISTEXT(AX$26:AX$241),1,0)*IF(($L$23:$L$241)="D",1,0)*IF(ISBLANK($T$1),1,IF($I$23:$I$241=$T$1,1,0)))</f>
        <v>#N/A</v>
      </c>
      <c r="AY4" s="874">
        <f t="array" ref="AY4">SUM(IF(ISTEXT(AY$23:AY$241),1,0)*IF(($L$23:$L$241)="D",1,0)*IF(ISBLANK($T$1),1,IF($I$23:$I$241=$T$1,1,0)))</f>
        <v>12</v>
      </c>
      <c r="AZ4" s="874" t="e">
        <f t="array" ref="AZ4">SUM(IF(ISTEXT(AZ$27:AZ$241),1,0)*IF(($L$23:$L$241)="D",1,0)*IF(ISBLANK($T$1),1,IF($I$23:$I$241=$T$1,1,0)))</f>
        <v>#N/A</v>
      </c>
      <c r="BB4" s="874" t="e">
        <f t="array" ref="BB4">SUM(IF(ISTEXT(BB$26:BB$241),1,0)*IF(($L$23:$L$241)="D",1,0)*IF(ISBLANK($T$1),1,IF($I$23:$I$241=$T$1,1,0)))</f>
        <v>#N/A</v>
      </c>
      <c r="BL4" s="874">
        <f t="array" ref="BL4">SUM(IF(ISTEXT(BL$23:BL$241),1,0)*IF(($L$23:$L$241)="D",1,0)*IF(ISBLANK($T$1),1,IF($I$23:$I$241=$T$1,1,0)))</f>
        <v>0</v>
      </c>
      <c r="BN4" s="874" t="e">
        <f t="array" ref="BN4">SUM(IF(ISTEXT(BN$26:BN$241),1,0)*IF(($L$23:$L$241)="D",1,0)*IF(ISBLANK($T$1),1,IF($I$23:$I$241=$T$1,1,0)))</f>
        <v>#N/A</v>
      </c>
      <c r="BO4" s="874" t="e">
        <f t="array" ref="BO4">SUM(IF(ISTEXT(BO$67:BO$241),1,0)*IF(($L$23:$L$241)="D",1,0)*IF(ISBLANK($T$1),1,IF($I$23:$I$241=$T$1,1,0)))</f>
        <v>#N/A</v>
      </c>
      <c r="BQ4" s="874">
        <f t="array" ref="BQ4">SUM(IF(ISTEXT(BQ$23:BQ$241),1,0)*IF(($L$23:$L$241)="D",1,0)*IF(ISBLANK($T$1),1,IF($I$23:$I$241=$T$1,1,0)))</f>
        <v>0</v>
      </c>
      <c r="BR4" s="874" t="e">
        <f t="array" ref="BR4">SUM(IF(ISTEXT(BR$26:BR$241),1,0)*IF(($L$23:$L$241)="D",1,0)*IF(ISBLANK($T$1),1,IF($I$23:$I$241=$T$1,1,0)))</f>
        <v>#N/A</v>
      </c>
      <c r="BS4" s="874" t="e">
        <f t="array" ref="BS4">SUM(IF(ISTEXT(BS$45:BS$241),1,0)*IF(($L$23:$L$241)="D",1,0)*IF(ISBLANK($T$1),1,IF($I$23:$I$241=$T$1,1,0)))</f>
        <v>#N/A</v>
      </c>
      <c r="BX4" s="874">
        <f t="array" ref="BX4">SUM(IF(ISTEXT(BX$23:BX$241),1,0)*IF(($L$23:$L$241)="D",1,0)*IF(ISBLANK($T$1),1,IF($I$23:$I$241=$T$1,1,0)))</f>
        <v>0</v>
      </c>
      <c r="BY4" s="874">
        <f t="array" ref="BY4">SUM(IF(ISTEXT(BY$23:BY$241),1,0)*IF(($L$23:$L$241)="D",1,0)*IF(ISBLANK($T$1),1,IF($I$23:$I$241=$T$1,1,0)))</f>
        <v>0</v>
      </c>
      <c r="BZ4" s="874">
        <f t="array" ref="BZ4">SUM(IF(ISTEXT(BZ$23:BZ$241),1,0)*IF(($L$23:$L$241)="D",1,0)*IF(ISBLANK($T$1),1,IF($I$23:$I$241=$T$1,1,0)))</f>
        <v>0</v>
      </c>
      <c r="CA4" s="874">
        <f t="array" ref="CA4">SUM(IF(ISTEXT(CA$23:CA$241),1,0)*IF(($L$23:$L$241)="D",1,0)*IF(ISBLANK($T$1),1,IF($I$23:$I$241=$T$1,1,0)))</f>
        <v>0</v>
      </c>
      <c r="CB4" s="874">
        <f t="array" ref="CB4">SUM(IF(ISTEXT(CB$23:CB$241),1,0)*IF(($L$23:$L$241)="D",1,0)*IF(ISBLANK($T$1),1,IF($I$23:$I$241=$T$1,1,0)))</f>
        <v>0</v>
      </c>
      <c r="CC4" s="874">
        <f t="array" ref="CC4">SUM(IF(ISTEXT(CC$23:CC$241),1,0)*IF(($L$23:$L$241)="D",1,0)*IF(ISBLANK($T$1),1,IF($I$23:$I$241=$T$1,1,0)))</f>
        <v>0</v>
      </c>
      <c r="CD4" s="874">
        <f t="array" ref="CD4">SUM(IF(ISTEXT(CD$23:CD$241),1,0)*IF(($L$23:$L$241)="D",1,0)*IF(ISBLANK($T$1),1,IF($I$23:$I$241=$T$1,1,0)))</f>
        <v>0</v>
      </c>
      <c r="CE4" s="874">
        <f t="array" ref="CE4">SUM(IF(ISTEXT(CE$23:CE$241),1,0)*IF(($L$23:$L$241)="D",1,0)*IF(ISBLANK($T$1),1,IF($I$23:$I$241=$T$1,1,0)))</f>
        <v>0</v>
      </c>
      <c r="CF4" s="874">
        <f t="array" ref="CF4">SUM(IF(ISTEXT(CF$23:CF$241),1,0)*IF(($L$23:$L$241)="D",1,0)*IF(ISBLANK($T$1),1,IF($I$23:$I$241=$T$1,1,0)))</f>
        <v>0</v>
      </c>
      <c r="CG4" s="874">
        <f t="array" ref="CG4">SUM(IF(ISTEXT(CG$23:CG$241),1,0)*IF(($L$23:$L$241)="D",1,0)*IF(ISBLANK($T$1),1,IF($I$23:$I$241=$T$1,1,0)))</f>
        <v>0</v>
      </c>
      <c r="CH4" s="874">
        <f t="array" ref="CH4">SUM(IF(ISTEXT(CH$23:CH$241),1,0)*IF(($L$23:$L$241)="D",1,0)*IF(ISBLANK($T$1),1,IF($I$23:$I$241=$T$1,1,0)))</f>
        <v>0</v>
      </c>
      <c r="CI4" s="874">
        <f t="array" ref="CI4">SUM(IF(ISTEXT(CI$23:CI$241),1,0)*IF(($L$23:$L$241)="D",1,0)*IF(ISBLANK($T$1),1,IF($I$23:$I$241=$T$1,1,0)))</f>
        <v>4</v>
      </c>
      <c r="CJ4" s="874">
        <f t="array" ref="CJ4">SUM(IF(ISTEXT(CJ$23:CJ$241),1,0)*IF(($L$23:$L$241)="D",1,0)*IF(ISBLANK($T$1),1,IF($I$23:$I$241=$T$1,1,0)))</f>
        <v>4</v>
      </c>
      <c r="CK4" s="874">
        <f t="array" ref="CK4">SUM(IF(ISTEXT(CK$23:CK$241),1,0)*IF(($L$23:$L$241)="D",1,0)*IF(ISBLANK($T$1),1,IF($I$23:$I$241=$T$1,1,0)))</f>
        <v>3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SUM(IF(L$23:L$241="L",1,0)*IF(ISBLANK($T$1),1,IF($I$23:$I$241=$T$1,1,0)))</f>
        <v>8</v>
      </c>
      <c r="AG5" s="874">
        <f t="array" ref="AG5">SUM(IF(ISTEXT(AG$23:AG$241),1,0)*IF(($L$23:$L$241)="L",1,0)*IF(ISBLANK($T$1),1,IF($I$23:$I$241=$T$1,1,0)))</f>
        <v>8</v>
      </c>
      <c r="AH5" s="874">
        <f t="array" ref="AH5">SUM(IF(ISTEXT(AH$23:AH$241),1,0)*IF(($L$23:$L$241)="L",1,0)*IF(ISBLANK($T$1),1,IF($I$23:$I$241=$T$1,1,0)))</f>
        <v>8</v>
      </c>
      <c r="AJ5" s="874">
        <f t="array" ref="AJ5">SUM(IF(ISTEXT(AJ$23:AJ$241),1,0)*IF(($L$23:$L$241)="L",1,0)*IF(ISBLANK($T$1),1,IF($I$23:$I$241=$T$1,1,0)))</f>
        <v>8</v>
      </c>
      <c r="AK5" s="874">
        <f t="array" ref="AK5">SUM(IF(ISTEXT(AK$23:AK$241),1,0)*IF(($L$23:$L$241)="L",1,0)*IF(ISBLANK($T$1),1,IF($I$23:$I$241=$T$1,1,0)))</f>
        <v>8</v>
      </c>
      <c r="AN5" s="874">
        <f t="array" ref="AN5">SUM(IF(ISTEXT(AN$23:AN$241),1,0)*IF(($L$23:$L$241)="L",1,0)*IF(ISBLANK($T$1),1,IF($I$23:$I$241=$T$1,1,0)))</f>
        <v>8</v>
      </c>
      <c r="AO5" s="874">
        <f t="array" ref="AO5">SUM(IF(ISTEXT(AO$23:AO$241),1,0)*IF(($L$23:$L$241)="L",1,0)*IF(ISBLANK($T$1),1,IF($I$23:$I$241=$T$1,1,0)))</f>
        <v>8</v>
      </c>
      <c r="AQ5" s="874" t="e">
        <f t="array" ref="AQ5">SUM(IF(ISTEXT(AQ$26:AQ$241),1,0)*IF(($L$23:$L$241)="L",1,0)*IF(ISBLANK($T$1),1,IF($I$23:$I$241=$T$1,1,0)))</f>
        <v>#N/A</v>
      </c>
      <c r="AR5" s="874" t="e">
        <f t="array" ref="AR5">SUM(IF(ISTEXT(AR$26:AR$241),1,0)*IF(($L$23:$L$241)="L",1,0)*IF(ISBLANK($T$1),1,IF($I$23:$I$241=$T$1,1,0)))</f>
        <v>#N/A</v>
      </c>
      <c r="AT5" s="874">
        <f t="array" ref="AT5">SUM(IF(ISTEXT(AT$23:AT$241),1,0)*IF(($L$23:$L$241)="L",1,0)*IF(ISBLANK($T$1),1,IF($I$23:$I$241=$T$1,1,0)))</f>
        <v>8</v>
      </c>
      <c r="AU5" s="874">
        <f t="array" ref="AU5">SUM(IF(ISTEXT(AU$23:AU$241),1,0)*IF(($L$23:$L$241)="L",1,0)*IF(ISBLANK($T$1),1,IF($I$23:$I$241=$T$1,1,0)))</f>
        <v>8</v>
      </c>
      <c r="AV5" s="874" t="e">
        <f t="array" ref="AV5">SUM(IF(ISTEXT(AV$26:AV$241),1,0)*IF(($L$23:$L$241)="L",1,0)*IF(ISBLANK($T$1),1,IF($I$23:$I$241=$T$1,1,0)))</f>
        <v>#N/A</v>
      </c>
      <c r="AW5" s="874" t="e">
        <f t="array" ref="AW5">SUM(IF(ISTEXT(AW$26:AW$241),1,0)*IF(($L$23:$L$241)="L",1,0)*IF(ISBLANK($T$1),1,IF($I$23:$I$241=$T$1,1,0)))</f>
        <v>#N/A</v>
      </c>
      <c r="AX5" s="874" t="e">
        <f t="array" ref="AX5">SUM(IF(ISTEXT(AX$26:AX$241),1,0)*IF(($L$23:$L$241)="L",1,0)*IF(ISBLANK($T$1),1,IF($I$23:$I$241=$T$1,1,0)))</f>
        <v>#N/A</v>
      </c>
      <c r="AY5" s="874">
        <f t="array" ref="AY5">SUM(IF(ISTEXT(AY$23:AY$241),1,0)*IF(($L$23:$L$241)="L",1,0)*IF(ISBLANK($T$1),1,IF($I$23:$I$241=$T$1,1,0)))</f>
        <v>8</v>
      </c>
      <c r="AZ5" s="874" t="e">
        <f t="array" ref="AZ5">SUM(IF(ISTEXT(AZ$27:AZ$241),1,0)*IF(($L$23:$L$241)="L",1,0)*IF(ISBLANK($T$1),1,IF($I$23:$I$241=$T$1,1,0)))</f>
        <v>#N/A</v>
      </c>
      <c r="BB5" s="874" t="e">
        <f t="array" ref="BB5">SUM(IF(ISTEXT(BB$26:BB$241),1,0)*IF(($L$23:$L$241)="L",1,0)*IF(ISBLANK($T$1),1,IF($I$23:$I$241=$T$1,1,0)))</f>
        <v>#N/A</v>
      </c>
      <c r="BL5" s="874">
        <f t="array" ref="BL5">SUM(IF(ISTEXT(BL$23:BL$241),1,0)*IF(($L$23:$L$241)="L",1,0)*IF(ISBLANK($T$1),1,IF($I$23:$I$241=$T$1,1,0)))</f>
        <v>0</v>
      </c>
      <c r="BN5" s="874" t="e">
        <f t="array" ref="BN5">SUM(IF(ISTEXT(BN$26:BN$241),1,0)*IF(($L$23:$L$241)="L",1,0)*IF(ISBLANK($T$1),1,IF($I$23:$I$241=$T$1,1,0)))</f>
        <v>#N/A</v>
      </c>
      <c r="BO5" s="874" t="e">
        <f t="array" ref="BO5">SUM(IF(ISTEXT(BO$67:BO$241),1,0)*IF(($L$23:$L$241)="L",1,0)*IF(ISBLANK($T$1),1,IF($I$23:$I$241=$T$1,1,0)))</f>
        <v>#N/A</v>
      </c>
      <c r="BQ5" s="874">
        <f t="array" ref="BQ5">SUM(IF(ISTEXT(BQ$23:BQ$241),1,0)*IF(($L$23:$L$241)="L",1,0)*IF(ISBLANK($T$1),1,IF($I$23:$I$241=$T$1,1,0)))</f>
        <v>0</v>
      </c>
      <c r="BR5" s="874" t="e">
        <f t="array" ref="BR5">SUM(IF(ISTEXT(BR$26:BR$241),1,0)*IF(($L$23:$L$241)="L",1,0)*IF(ISBLANK($T$1),1,IF($I$23:$I$241=$T$1,1,0)))</f>
        <v>#N/A</v>
      </c>
      <c r="BS5" s="874" t="e">
        <f t="array" ref="BS5">SUM(IF(ISTEXT(BS$45:BS$241),1,0)*IF(($L$23:$L$241)="L",1,0)*IF(ISBLANK($T$1),1,IF($I$23:$I$241=$T$1,1,0)))</f>
        <v>#N/A</v>
      </c>
      <c r="BX5" s="874">
        <f t="array" ref="BX5">SUM(IF(ISTEXT(BX$23:BX$241),1,0)*IF(($L$23:$L$241)="L",1,0)*IF(ISBLANK($T$1),1,IF($I$23:$I$241=$T$1,1,0)))</f>
        <v>0</v>
      </c>
      <c r="BY5" s="874">
        <f t="array" ref="BY5">SUM(IF(ISTEXT(BY$23:BY$241),1,0)*IF(($L$23:$L$241)="L",1,0)*IF(ISBLANK($T$1),1,IF($I$23:$I$241=$T$1,1,0)))</f>
        <v>0</v>
      </c>
      <c r="BZ5" s="874">
        <f t="array" ref="BZ5">SUM(IF(ISTEXT(BZ$23:BZ$241),1,0)*IF(($L$23:$L$241)="L",1,0)*IF(ISBLANK($T$1),1,IF($I$23:$I$241=$T$1,1,0)))</f>
        <v>0</v>
      </c>
      <c r="CA5" s="874">
        <f t="array" ref="CA5">SUM(IF(ISTEXT(CA$23:CA$241),1,0)*IF(($L$23:$L$241)="L",1,0)*IF(ISBLANK($T$1),1,IF($I$23:$I$241=$T$1,1,0)))</f>
        <v>0</v>
      </c>
      <c r="CB5" s="874">
        <f t="array" ref="CB5">SUM(IF(ISTEXT(CB$23:CB$241),1,0)*IF(($L$23:$L$241)="L",1,0)*IF(ISBLANK($T$1),1,IF($I$23:$I$241=$T$1,1,0)))</f>
        <v>0</v>
      </c>
      <c r="CC5" s="874">
        <f t="array" ref="CC5">SUM(IF(ISTEXT(CC$23:CC$241),1,0)*IF(($L$23:$L$241)="L",1,0)*IF(ISBLANK($T$1),1,IF($I$23:$I$241=$T$1,1,0)))</f>
        <v>0</v>
      </c>
      <c r="CD5" s="874">
        <f t="array" ref="CD5">SUM(IF(ISTEXT(CD$23:CD$241),1,0)*IF(($L$23:$L$241)="L",1,0)*IF(ISBLANK($T$1),1,IF($I$23:$I$241=$T$1,1,0)))</f>
        <v>0</v>
      </c>
      <c r="CE5" s="874">
        <f t="array" ref="CE5">SUM(IF(ISTEXT(CE$23:CE$241),1,0)*IF(($L$23:$L$241)="L",1,0)*IF(ISBLANK($T$1),1,IF($I$23:$I$241=$T$1,1,0)))</f>
        <v>0</v>
      </c>
      <c r="CF5" s="874">
        <f t="array" ref="CF5">SUM(IF(ISTEXT(CF$23:CF$241),1,0)*IF(($L$23:$L$241)="L",1,0)*IF(ISBLANK($T$1),1,IF($I$23:$I$241=$T$1,1,0)))</f>
        <v>0</v>
      </c>
      <c r="CG5" s="874">
        <f t="array" ref="CG5">SUM(IF(ISTEXT(CG$23:CG$241),1,0)*IF(($L$23:$L$241)="L",1,0)*IF(ISBLANK($T$1),1,IF($I$23:$I$241=$T$1,1,0)))</f>
        <v>0</v>
      </c>
      <c r="CH5" s="874">
        <f t="array" ref="CH5">SUM(IF(ISTEXT(CH$23:CH$241),1,0)*IF(($L$23:$L$241)="L",1,0)*IF(ISBLANK($T$1),1,IF($I$23:$I$241=$T$1,1,0)))</f>
        <v>0</v>
      </c>
      <c r="CI5" s="874">
        <f t="array" ref="CI5">SUM(IF(ISTEXT(CI$23:CI$241),1,0)*IF(($L$23:$L$241)="L",1,0)*IF(ISBLANK($T$1),1,IF($I$23:$I$241=$T$1,1,0)))</f>
        <v>3</v>
      </c>
      <c r="CJ5" s="874">
        <f t="array" ref="CJ5">SUM(IF(ISTEXT(CJ$23:CJ$241),1,0)*IF(($L$23:$L$241)="L",1,0)*IF(ISBLANK($T$1),1,IF($I$23:$I$241=$T$1,1,0)))</f>
        <v>3</v>
      </c>
      <c r="CK5" s="874">
        <f t="array" ref="CK5">SUM(IF(ISTEXT(CK$23:CK$241),1,0)*IF(($L$23:$L$241)="L",1,0)*IF(ISBLANK($T$1),1,IF($I$23:$I$241=$T$1,1,0)))</f>
        <v>3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84</v>
      </c>
      <c r="AG6" s="874">
        <f t="shared" ref="AG6:CK6" si="2">AG$3*3+AG$4</f>
        <v>84</v>
      </c>
      <c r="AH6" s="874">
        <f t="shared" si="2"/>
        <v>84</v>
      </c>
      <c r="AJ6" s="874">
        <f t="shared" si="2"/>
        <v>84</v>
      </c>
      <c r="AK6" s="874">
        <f t="shared" si="2"/>
        <v>84</v>
      </c>
      <c r="AN6" s="874">
        <f>AN$3*3+AN$4</f>
        <v>84</v>
      </c>
      <c r="AO6" s="874">
        <f t="shared" si="2"/>
        <v>81</v>
      </c>
      <c r="AQ6" s="874" t="e">
        <f>AQ$3*3+AQ$4</f>
        <v>#N/A</v>
      </c>
      <c r="AR6" s="874" t="e">
        <f>AR$3*3+AR$4</f>
        <v>#N/A</v>
      </c>
      <c r="AT6" s="874">
        <f t="shared" si="2"/>
        <v>80</v>
      </c>
      <c r="AU6" s="874">
        <f t="shared" si="2"/>
        <v>84</v>
      </c>
      <c r="AV6" s="874" t="e">
        <f>AV$3*3+AV$4</f>
        <v>#N/A</v>
      </c>
      <c r="AW6" s="874" t="e">
        <f>AW$3*3+AW$4</f>
        <v>#N/A</v>
      </c>
      <c r="AX6" s="874" t="e">
        <f>AX$3*3+AX$4</f>
        <v>#N/A</v>
      </c>
      <c r="AY6" s="874">
        <f>AY$3*3+AY$4</f>
        <v>84</v>
      </c>
      <c r="AZ6" s="874" t="e">
        <f>AZ$3*3+AZ$4</f>
        <v>#N/A</v>
      </c>
      <c r="BB6" s="874" t="e">
        <f>BB$3*3+BB$4</f>
        <v>#N/A</v>
      </c>
      <c r="BL6" s="874">
        <f>BL$3*3+BL$4</f>
        <v>3</v>
      </c>
      <c r="BN6" s="874" t="e">
        <f>BN$3*3+BN$4</f>
        <v>#N/A</v>
      </c>
      <c r="BO6" s="874" t="e">
        <f>BO$3*3+BO$4</f>
        <v>#N/A</v>
      </c>
      <c r="BQ6" s="874">
        <f>BQ$3*3+BQ$4</f>
        <v>3</v>
      </c>
      <c r="BR6" s="874" t="e">
        <f>BR$3*3+BR$4</f>
        <v>#N/A</v>
      </c>
      <c r="BS6" s="874" t="e">
        <f t="shared" si="2"/>
        <v>#N/A</v>
      </c>
      <c r="BX6" s="874">
        <f t="shared" ref="BX6:CD6" si="3">BX$3*3+BX$4</f>
        <v>3</v>
      </c>
      <c r="BY6" s="874">
        <f t="shared" si="3"/>
        <v>3</v>
      </c>
      <c r="BZ6" s="874">
        <f t="shared" si="3"/>
        <v>3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31</v>
      </c>
      <c r="CJ6" s="874">
        <f t="shared" si="2"/>
        <v>31</v>
      </c>
      <c r="CK6" s="874">
        <f t="shared" si="2"/>
        <v>30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4">AF6/AF2</f>
        <v>1.9090909090909092</v>
      </c>
      <c r="AG7" s="874">
        <f t="shared" si="4"/>
        <v>1.9090909090909092</v>
      </c>
      <c r="AH7" s="874">
        <f t="shared" si="4"/>
        <v>1.9090909090909092</v>
      </c>
      <c r="AJ7" s="874">
        <f t="shared" si="4"/>
        <v>1.9090909090909092</v>
      </c>
      <c r="AK7" s="874">
        <f t="shared" si="4"/>
        <v>1.9090909090909092</v>
      </c>
      <c r="AN7" s="874">
        <f>AN6/AN2</f>
        <v>1.9090909090909092</v>
      </c>
      <c r="AO7" s="874">
        <f t="shared" si="4"/>
        <v>1.8837209302325582</v>
      </c>
      <c r="AQ7" s="874" t="e">
        <f>AQ6/AQ2</f>
        <v>#N/A</v>
      </c>
      <c r="AR7" s="874" t="e">
        <f>AR6/AR2</f>
        <v>#N/A</v>
      </c>
      <c r="AT7" s="874">
        <f t="shared" ref="AT7" si="5">AT6/AT2</f>
        <v>1.9047619047619047</v>
      </c>
      <c r="AU7" s="874">
        <f t="shared" si="4"/>
        <v>1.9090909090909092</v>
      </c>
      <c r="AV7" s="874" t="e">
        <f>AV6/AV2</f>
        <v>#N/A</v>
      </c>
      <c r="AW7" s="874" t="e">
        <f>AW6/AW2</f>
        <v>#N/A</v>
      </c>
      <c r="AX7" s="874" t="e">
        <f>AX6/AX2</f>
        <v>#N/A</v>
      </c>
      <c r="AY7" s="874">
        <f>AY6/AY2</f>
        <v>1.9090909090909092</v>
      </c>
      <c r="AZ7" s="874" t="e">
        <f>AZ6/AZ2</f>
        <v>#N/A</v>
      </c>
      <c r="BB7" s="874" t="e">
        <f>BB6/BB2</f>
        <v>#N/A</v>
      </c>
      <c r="BL7" s="874">
        <f>BL6/BL2</f>
        <v>0.5</v>
      </c>
      <c r="BN7" s="874" t="e">
        <f>BN6/BN2</f>
        <v>#N/A</v>
      </c>
      <c r="BO7" s="874" t="e">
        <f>BO6/BO2</f>
        <v>#N/A</v>
      </c>
      <c r="BQ7" s="874">
        <f>BQ6/BQ2</f>
        <v>3</v>
      </c>
      <c r="BR7" s="874" t="e">
        <f>BR6/BR2</f>
        <v>#N/A</v>
      </c>
      <c r="BS7" s="874" t="e">
        <f t="shared" si="4"/>
        <v>#N/A</v>
      </c>
      <c r="BX7" s="874">
        <f t="shared" ref="BX7:CD7" si="6">BX6/BX2</f>
        <v>3</v>
      </c>
      <c r="BY7" s="874">
        <f t="shared" si="6"/>
        <v>3</v>
      </c>
      <c r="BZ7" s="874">
        <f t="shared" si="6"/>
        <v>3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4"/>
        <v>#DIV/0!</v>
      </c>
      <c r="CF7" s="874" t="e">
        <f t="shared" si="4"/>
        <v>#DIV/0!</v>
      </c>
      <c r="CG7" s="874" t="e">
        <f t="shared" si="4"/>
        <v>#DIV/0!</v>
      </c>
      <c r="CH7" s="874" t="e">
        <f t="shared" si="4"/>
        <v>#DIV/0!</v>
      </c>
      <c r="CI7" s="874">
        <f t="shared" si="4"/>
        <v>1.9375</v>
      </c>
      <c r="CJ7" s="874">
        <f t="shared" si="4"/>
        <v>1.9375</v>
      </c>
      <c r="CK7" s="874">
        <f t="shared" si="4"/>
        <v>2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SUM(IF(($T$23:$T$241)="",0,$T$23:$T$241)*IF(ISBLANK($T$1),1,IF($I$23:$I$241=$T$1,1,0)))</f>
        <v>-9.34</v>
      </c>
      <c r="AG8" s="874">
        <f t="array" ref="AG8">SUM(IF(ISTEXT(AG$23:AG$241),1,0)*IF(($T$23:$T$241)="",0,$T$23:$T$241)*IF(ISBLANK($T$1),1,IF($I$23:$I$241=$T$1,1,0)))</f>
        <v>-9.34</v>
      </c>
      <c r="AH8" s="874">
        <f t="array" ref="AH8">SUM(IF(ISTEXT(AH$23:AH$241),1,0)*IF(($T$23:$T$241)="",0,$T$23:$T$241)*IF(ISBLANK($T$1),1,IF($I$23:$I$241=$T$1,1,0)))</f>
        <v>-9.34</v>
      </c>
      <c r="AJ8" s="874">
        <f t="array" ref="AJ8">SUM(IF(ISTEXT(AJ$23:AJ$241),1,0)*IF(($T$23:$T$241)="",0,$T$23:$T$241)*IF(ISBLANK($T$1),1,IF($I$23:$I$241=$T$1,1,0)))</f>
        <v>-9.34</v>
      </c>
      <c r="AK8" s="874">
        <f t="array" ref="AK8">SUM(IF(ISTEXT(AK$23:AK$241),1,0)*IF(($T$23:$T$241)="",0,$T$23:$T$241)*IF(ISBLANK($T$1),1,IF($I$23:$I$241=$T$1,1,0)))</f>
        <v>-9.34</v>
      </c>
      <c r="AN8" s="874">
        <f t="array" ref="AN8">SUM(IF(ISTEXT(AN$23:AN$241),1,0)*IF(($T$23:$T$241)="",0,$T$23:$T$241)*IF(ISBLANK($T$1),1,IF($I$23:$I$241=$T$1,1,0)))</f>
        <v>-9.34</v>
      </c>
      <c r="AO8" s="874">
        <f t="array" ref="AO8">SUM(IF(ISTEXT(AO$23:AO$241),1,0)*IF(($T$23:$T$241)="",0,$T$23:$T$241)*IF(ISBLANK($T$1),1,IF($I$23:$I$241=$T$1,1,0)))</f>
        <v>-8.9899999999999984</v>
      </c>
      <c r="AQ8" s="874" t="e">
        <f t="array" ref="AQ8">SUM(IF(ISTEXT(AQ$26:AQ$241),1,0)*IF(($T$23:$T$241)="",0,$T$23:$T$241)*IF(ISBLANK($T$1),1,IF($I$23:$I$241=$T$1,1,0)))</f>
        <v>#N/A</v>
      </c>
      <c r="AR8" s="874" t="e">
        <f t="array" ref="AR8">SUM(IF(ISTEXT(AR$26:AR$241),1,0)*IF(($T$23:$T$241)="",0,$T$23:$T$241)*IF(ISBLANK($T$1),1,IF($I$23:$I$241=$T$1,1,0)))</f>
        <v>#N/A</v>
      </c>
      <c r="AT8" s="874">
        <f t="array" ref="AT8">SUM(IF(ISTEXT(AT$23:AT$241),1,0)*IF(($T$23:$T$241)="",0,$T$23:$T$241)*IF(ISBLANK($T$1),1,IF($I$23:$I$241=$T$1,1,0)))</f>
        <v>-5.26</v>
      </c>
      <c r="AU8" s="874">
        <f t="array" ref="AU8">SUM(IF(ISTEXT(AU$23:AU$241),1,0)*IF(($T$23:$T$241)="",0,$T$23:$T$241)*IF(ISBLANK($T$1),1,IF($I$23:$I$241=$T$1,1,0)))</f>
        <v>-9.34</v>
      </c>
      <c r="AV8" s="874" t="e">
        <f t="array" ref="AV8">SUM(IF(ISTEXT(AV$26:AV$241),1,0)*IF(($T$23:$T$241)="",0,$T$23:$T$241)*IF(ISBLANK($T$1),1,IF($I$23:$I$241=$T$1,1,0)))</f>
        <v>#N/A</v>
      </c>
      <c r="AW8" s="874" t="e">
        <f t="array" ref="AW8">SUM(IF(ISTEXT(AW$26:AW$241),1,0)*IF(($T$23:$T$241)="",0,$T$23:$T$241)*IF(ISBLANK($T$1),1,IF($I$23:$I$241=$T$1,1,0)))</f>
        <v>#N/A</v>
      </c>
      <c r="AX8" s="874" t="e">
        <f t="array" ref="AX8">SUM(IF(ISTEXT(AX$26:AX$241),1,0)*IF(($T$23:$T$241)="",0,$T$23:$T$241)*IF(ISBLANK($T$1),1,IF($I$23:$I$241=$T$1,1,0)))</f>
        <v>#N/A</v>
      </c>
      <c r="AY8" s="874">
        <f t="array" ref="AY8">SUM(IF(ISTEXT(AY$23:AY$241),1,0)*IF(($T$23:$T$241)="",0,$T$23:$T$241)*IF(ISBLANK($T$1),1,IF($I$23:$I$241=$T$1,1,0)))</f>
        <v>-9.34</v>
      </c>
      <c r="AZ8" s="874" t="e">
        <f t="array" ref="AZ8">SUM(IF(ISTEXT(AZ$27:AZ$241),1,0)*IF(($T$23:$T$241)="",0,$T$23:$T$241)*IF(ISBLANK($T$1),1,IF($I$23:$I$241=$T$1,1,0)))</f>
        <v>#N/A</v>
      </c>
      <c r="BB8" s="874" t="e">
        <f t="array" ref="BB8">SUM(IF(ISTEXT(BB$26:BB$241),1,0)*IF(($T$23:$T$241)="",0,$T$23:$T$241)*IF(ISBLANK($T$1),1,IF($I$23:$I$241=$T$1,1,0)))</f>
        <v>#N/A</v>
      </c>
      <c r="BL8" s="874">
        <f t="array" ref="BL8">SUM(IF(ISTEXT(BL$23:BL$241),1,0)*IF(($T$23:$T$241)="",0,$T$23:$T$241)*IF(ISBLANK($T$1),1,IF($I$23:$I$241=$T$1,1,0)))</f>
        <v>-0.43999999999999995</v>
      </c>
      <c r="BN8" s="874" t="e">
        <f t="array" ref="BN8">SUM(IF(ISTEXT(BN$26:BN$241),1,0)*IF(($T$23:$T$241)="",0,$T$23:$T$241)*IF(ISBLANK($T$1),1,IF($I$23:$I$241=$T$1,1,0)))</f>
        <v>#N/A</v>
      </c>
      <c r="BO8" s="874" t="e">
        <f t="array" ref="BO8">SUM(IF(ISTEXT(BO$67:BO$241),1,0)*IF(($T$23:$T$241)="",0,$T$23:$T$241)*IF(ISBLANK($T$1),1,IF($I$23:$I$241=$T$1,1,0)))</f>
        <v>#N/A</v>
      </c>
      <c r="BQ8" s="874">
        <f t="array" ref="BQ8">SUM(IF(ISTEXT(BQ$23:BQ$241),1,0)*IF(($T$23:$T$241)="",0,$T$23:$T$241)*IF(ISBLANK($T$1),1,IF($I$23:$I$241=$T$1,1,0)))</f>
        <v>-1.58</v>
      </c>
      <c r="BR8" s="874" t="e">
        <f t="array" ref="BR8">SUM(IF(ISTEXT(BR$26:BR$241),1,0)*IF(($T$23:$T$241)="",0,$T$23:$T$241)*IF(ISBLANK($T$1),1,IF($I$23:$I$241=$T$1,1,0)))</f>
        <v>#N/A</v>
      </c>
      <c r="BS8" s="874" t="e">
        <f t="array" ref="BS8">SUM(IF(ISTEXT(BS$45:BS$241),1,0)*IF(($T$23:$T$241)="",0,$T$23:$T$241)*IF(ISBLANK($T$1),1,IF($I$23:$I$241=$T$1,1,0)))</f>
        <v>#N/A</v>
      </c>
      <c r="BX8" s="874">
        <f t="array" ref="BX8">SUM(IF(ISTEXT(BX$23:BX$241),1,0)*IF(($T$23:$T$241)="",0,$T$23:$T$241)*IF(ISBLANK($T$1),1,IF($I$23:$I$241=$T$1,1,0)))</f>
        <v>-1.58</v>
      </c>
      <c r="BY8" s="874">
        <f t="array" ref="BY8">SUM(IF(ISTEXT(BY$23:BY$241),1,0)*IF(($T$23:$T$241)="",0,$T$23:$T$241)*IF(ISBLANK($T$1),1,IF($I$23:$I$241=$T$1,1,0)))</f>
        <v>-1.58</v>
      </c>
      <c r="BZ8" s="874">
        <f t="array" ref="BZ8">SUM(IF(ISTEXT(BZ$23:BZ$241),1,0)*IF(($T$23:$T$241)="",0,$T$23:$T$241)*IF(ISBLANK($T$1),1,IF($I$23:$I$241=$T$1,1,0)))</f>
        <v>-1.58</v>
      </c>
      <c r="CA8" s="874">
        <f t="array" ref="CA8">SUM(IF(ISTEXT(CA$23:CA$241),1,0)*IF(($T$23:$T$241)="",0,$T$23:$T$241)*IF(ISBLANK($T$1),1,IF($I$23:$I$241=$T$1,1,0)))</f>
        <v>0</v>
      </c>
      <c r="CB8" s="874">
        <f t="array" ref="CB8">SUM(IF(ISTEXT(CB$23:CB$241),1,0)*IF(($T$23:$T$241)="",0,$T$23:$T$241)*IF(ISBLANK($T$1),1,IF($I$23:$I$241=$T$1,1,0)))</f>
        <v>0</v>
      </c>
      <c r="CC8" s="874">
        <f t="array" ref="CC8">SUM(IF(ISTEXT(CC$23:CC$241),1,0)*IF(($T$23:$T$241)="",0,$T$23:$T$241)*IF(ISBLANK($T$1),1,IF($I$23:$I$241=$T$1,1,0)))</f>
        <v>0</v>
      </c>
      <c r="CD8" s="874">
        <f t="array" ref="CD8">SUM(IF(ISTEXT(CD$23:CD$241),1,0)*IF(($T$23:$T$241)="",0,$T$23:$T$241)*IF(ISBLANK($T$1),1,IF($I$23:$I$241=$T$1,1,0)))</f>
        <v>0</v>
      </c>
      <c r="CE8" s="874">
        <f t="array" ref="CE8">SUM(IF(ISTEXT(CE$23:CE$241),1,0)*IF(($T$23:$T$241)="",0,$T$23:$T$241)*IF(ISBLANK($T$1),1,IF($I$23:$I$241=$T$1,1,0)))</f>
        <v>0</v>
      </c>
      <c r="CF8" s="874">
        <f t="array" ref="CF8">SUM(IF(ISTEXT(CF$23:CF$241),1,0)*IF(($T$23:$T$241)="",0,$T$23:$T$241)*IF(ISBLANK($T$1),1,IF($I$23:$I$241=$T$1,1,0)))</f>
        <v>0</v>
      </c>
      <c r="CG8" s="874">
        <f t="array" ref="CG8">SUM(IF(ISTEXT(CG$23:CG$241),1,0)*IF(($T$23:$T$241)="",0,$T$23:$T$241)*IF(ISBLANK($T$1),1,IF($I$23:$I$241=$T$1,1,0)))</f>
        <v>0</v>
      </c>
      <c r="CH8" s="874">
        <f t="array" ref="CH8">SUM(IF(ISTEXT(CH$23:CH$241),1,0)*IF(($T$23:$T$241)="",0,$T$23:$T$241)*IF(ISBLANK($T$1),1,IF($I$23:$I$241=$T$1,1,0)))</f>
        <v>0</v>
      </c>
      <c r="CI8" s="874">
        <f t="array" ref="CI8">SUM(IF(ISTEXT(CI$23:CI$241),1,0)*IF(($T$23:$T$241)="",0,$T$23:$T$241)*IF(ISBLANK($T$1),1,IF($I$23:$I$241=$T$1,1,0)))</f>
        <v>-5.84</v>
      </c>
      <c r="CJ8" s="874">
        <f t="array" ref="CJ8">SUM(IF(ISTEXT(CJ$23:CJ$241),1,0)*IF(($T$23:$T$241)="",0,$T$23:$T$241)*IF(ISBLANK($T$1),1,IF($I$23:$I$241=$T$1,1,0)))</f>
        <v>-5.84</v>
      </c>
      <c r="CK8" s="874">
        <f t="array" ref="CK8">SUM(IF(ISTEXT(CK$23:CK$241),1,0)*IF(($T$23:$T$241)="",0,$T$23:$T$241)*IF(ISBLANK($T$1),1,IF($I$23:$I$241=$T$1,1,0)))</f>
        <v>-3.3400000000000003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7">AF8/AF2</f>
        <v>-0.21227272727272728</v>
      </c>
      <c r="AG9" s="874">
        <f t="shared" si="7"/>
        <v>-0.21227272727272728</v>
      </c>
      <c r="AH9" s="874">
        <f t="shared" si="7"/>
        <v>-0.21227272727272728</v>
      </c>
      <c r="AJ9" s="874">
        <f t="shared" si="7"/>
        <v>-0.21227272727272728</v>
      </c>
      <c r="AK9" s="874">
        <f t="shared" si="7"/>
        <v>-0.21227272727272728</v>
      </c>
      <c r="AN9" s="874">
        <f>AN8/AN2</f>
        <v>-0.21227272727272728</v>
      </c>
      <c r="AO9" s="874">
        <f t="shared" si="7"/>
        <v>-0.20906976744186043</v>
      </c>
      <c r="AQ9" s="874" t="e">
        <f>AQ8/AQ2</f>
        <v>#N/A</v>
      </c>
      <c r="AR9" s="874" t="e">
        <f>AR8/AR2</f>
        <v>#N/A</v>
      </c>
      <c r="AT9" s="874">
        <f t="shared" ref="AT9" si="8">AT8/AT2</f>
        <v>-0.12523809523809523</v>
      </c>
      <c r="AU9" s="874">
        <f t="shared" si="7"/>
        <v>-0.21227272727272728</v>
      </c>
      <c r="AV9" s="874" t="e">
        <f>AV8/AV2</f>
        <v>#N/A</v>
      </c>
      <c r="AW9" s="874" t="e">
        <f>AW8/AW2</f>
        <v>#N/A</v>
      </c>
      <c r="AX9" s="874" t="e">
        <f>AX8/AX2</f>
        <v>#N/A</v>
      </c>
      <c r="AY9" s="874">
        <f>AY8/AY2</f>
        <v>-0.21227272727272728</v>
      </c>
      <c r="AZ9" s="874" t="e">
        <f>AZ8/AZ2</f>
        <v>#N/A</v>
      </c>
      <c r="BB9" s="874" t="e">
        <f>BB8/BB2</f>
        <v>#N/A</v>
      </c>
      <c r="BL9" s="874">
        <f>BL8/BL2</f>
        <v>-7.333333333333332E-2</v>
      </c>
      <c r="BN9" s="874" t="e">
        <f>BN8/BN2</f>
        <v>#N/A</v>
      </c>
      <c r="BO9" s="874" t="e">
        <f>BO8/BO2</f>
        <v>#N/A</v>
      </c>
      <c r="BQ9" s="874">
        <f>BQ8/BQ2</f>
        <v>-1.58</v>
      </c>
      <c r="BR9" s="874" t="e">
        <f>BR8/BR2</f>
        <v>#N/A</v>
      </c>
      <c r="BS9" s="874" t="e">
        <f t="shared" si="7"/>
        <v>#N/A</v>
      </c>
      <c r="BX9" s="874">
        <f t="shared" ref="BX9:CD9" si="9">BX8/BX2</f>
        <v>-1.58</v>
      </c>
      <c r="BY9" s="874">
        <f t="shared" si="9"/>
        <v>-1.58</v>
      </c>
      <c r="BZ9" s="874">
        <f t="shared" si="9"/>
        <v>-1.58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7"/>
        <v>#DIV/0!</v>
      </c>
      <c r="CF9" s="874" t="e">
        <f t="shared" si="7"/>
        <v>#DIV/0!</v>
      </c>
      <c r="CG9" s="874" t="e">
        <f t="shared" si="7"/>
        <v>#DIV/0!</v>
      </c>
      <c r="CH9" s="874" t="e">
        <f t="shared" si="7"/>
        <v>#DIV/0!</v>
      </c>
      <c r="CI9" s="874">
        <f t="shared" si="7"/>
        <v>-0.36499999999999999</v>
      </c>
      <c r="CJ9" s="874">
        <f t="shared" si="7"/>
        <v>-0.36499999999999999</v>
      </c>
      <c r="CK9" s="874">
        <f t="shared" si="7"/>
        <v>-0.22266666666666668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SUM(IF(ISBLANK($T$1),$J$23:$J$241,IF($I$23:$I$241=$T$1,$J$23:$J$241,0)))</f>
        <v>59</v>
      </c>
      <c r="AG10" s="874">
        <f t="array" ref="AG10">SUM(IF(ISBLANK(AG$23:AG$241),0,IF(ISNUMBER(VALUE(RIGHT(AG$23:AG$241,1))),RIGHT(AG$23:AG$241,1),0)*IF(ISBLANK($T$1),1,IF($I$23:$I$241=$T$1,1,0))))</f>
        <v>0</v>
      </c>
      <c r="AH10" s="874">
        <f t="array" ref="AH10">SUM(IF(ISBLANK(AH$23:AH$241),0,IF(ISNUMBER(VALUE(RIGHT(AH$23:AH$241,1))),RIGHT(AH$23:AH$241,1),0)*IF(ISBLANK($T$1),1,IF($I$23:$I$241=$T$1,1,0))))</f>
        <v>0</v>
      </c>
      <c r="AJ10" s="874">
        <f t="array" ref="AJ10">SUM(IF(ISBLANK(AJ$23:AJ$241),0,IF(ISNUMBER(VALUE(RIGHT(AJ$23:AJ$241,1))),RIGHT(AJ$23:AJ$241,1),0)*IF(ISBLANK($T$1),1,IF($I$23:$I$241=$T$1,1,0))))</f>
        <v>0</v>
      </c>
      <c r="AK10" s="874">
        <f t="array" ref="AK10">SUM(IF(ISBLANK(AK$23:AK$241),0,IF(ISNUMBER(VALUE(RIGHT(AK$23:AK$241,1))),RIGHT(AK$23:AK$241,1),0)*IF(ISBLANK($T$1),1,IF($I$23:$I$241=$T$1,1,0))))</f>
        <v>4</v>
      </c>
      <c r="AN10" s="874">
        <f t="array" ref="AN10">SUM(IF(ISBLANK(AN$23:AN$241),0,IF(ISNUMBER(VALUE(RIGHT(AN$23:AN$241,1))),RIGHT(AN$23:AN$241,1),0)*IF(ISBLANK($T$1),1,IF($I$23:$I$241=$T$1,1,0))))</f>
        <v>3</v>
      </c>
      <c r="AO10" s="874">
        <f t="array" ref="AO10">SUM(IF(ISBLANK(AO$23:AO$241),0,IF(ISNUMBER(VALUE(RIGHT(AO$23:AO$241,1))),RIGHT(AO$23:AO$241,1),0)*IF(ISBLANK($T$1),1,IF($I$23:$I$241=$T$1,1,0))))</f>
        <v>3</v>
      </c>
      <c r="AQ10" s="874">
        <f t="array" ref="AQ10">SUM(IF(ISBLANK(AQ$26:AQ$241),0,IF(ISNUMBER(VALUE(RIGHT(AQ$26:AQ$241,1))),RIGHT(AQ$26:AQ$241,1),0)*IF(ISBLANK($T$1),1,IF($I$23:$I$241=$T$1,1,0))))</f>
        <v>0</v>
      </c>
      <c r="AR10" s="874">
        <f t="array" ref="AR10">SUM(IF(ISBLANK(AR$26:AR$241),0,IF(ISNUMBER(VALUE(RIGHT(AR$26:AR$241,1))),RIGHT(AR$26:AR$241,1),0)*IF(ISBLANK($T$1),1,IF($I$23:$I$241=$T$1,1,0))))</f>
        <v>1</v>
      </c>
      <c r="AT10" s="874">
        <f t="array" ref="AT10">SUM(IF(ISBLANK(AT$23:AT$241),0,IF(ISNUMBER(VALUE(RIGHT(AT$23:AT$241,1))),RIGHT(AT$23:AT$241,1),0)*IF(ISBLANK($T$1),1,IF($I$23:$I$241=$T$1,1,0))))</f>
        <v>8</v>
      </c>
      <c r="AU10" s="874">
        <f t="array" ref="AU10">SUM(IF(ISBLANK(AU$23:AU$241),0,IF(ISNUMBER(VALUE(RIGHT(AU$23:AU$241,1))),RIGHT(AU$23:AU$241,1),0)*IF(ISBLANK($T$1),1,IF($I$23:$I$241=$T$1,1,0))))</f>
        <v>4</v>
      </c>
      <c r="AV10" s="874">
        <f t="array" ref="AV10">SUM(IF(ISBLANK(AV$26:AV$241),0,IF(ISNUMBER(VALUE(RIGHT(AV$26:AV$241,1))),RIGHT(AV$26:AV$241,1),0)*IF(ISBLANK($T$1),1,IF($I$23:$I$241=$T$1,1,0))))</f>
        <v>2</v>
      </c>
      <c r="AW10" s="874">
        <f t="array" ref="AW10">SUM(IF(ISBLANK(AW$26:AW$241),0,IF(ISNUMBER(VALUE(RIGHT(AW$26:AW$241,1))),RIGHT(AW$26:AW$241,1),0)*IF(ISBLANK($T$1),1,IF($I$23:$I$241=$T$1,1,0))))</f>
        <v>0</v>
      </c>
      <c r="AX10" s="874">
        <f t="array" ref="AX10">SUM(IF(ISBLANK(AX$26:AX$241),0,IF(ISNUMBER(VALUE(RIGHT(AX$26:AX$241,1))),RIGHT(AX$26:AX$241,1),0)*IF(ISBLANK($T$1),1,IF($I$23:$I$241=$T$1,1,0))))</f>
        <v>5</v>
      </c>
      <c r="AY10" s="874">
        <f t="array" ref="AY10">SUM(IF(ISBLANK(AY$23:AY$241),0,IF(ISNUMBER(VALUE(RIGHT(AY$23:AY$241,1))),RIGHT(AY$23:AY$241,1),0)*IF(ISBLANK($T$1),1,IF($I$23:$I$241=$T$1,1,0))))</f>
        <v>0</v>
      </c>
      <c r="AZ10" s="874">
        <f t="array" ref="AZ10">SUM(IF(ISBLANK(AZ$27:AZ$241),0,IF(ISNUMBER(VALUE(RIGHT(AZ$27:AZ$241,1))),RIGHT(AZ$27:AZ$241,1),0)*IF(ISBLANK($T$1),1,IF($I$23:$I$241=$T$1,1,0))))</f>
        <v>1</v>
      </c>
      <c r="BB10" s="874">
        <f t="array" ref="BB10">SUM(IF(ISBLANK(BB$26:BB$241),0,IF(ISNUMBER(VALUE(RIGHT(BB$26:BB$241,1))),RIGHT(BB$26:BB$241,1),0)*IF(ISBLANK($T$1),1,IF($I$23:$I$241=$T$1,1,0))))</f>
        <v>0</v>
      </c>
      <c r="BL10" s="874">
        <f t="array" ref="BL10">SUM(IF(ISBLANK(BL$23:BL$241),0,IF(ISNUMBER(VALUE(RIGHT(BL$23:BL$241,1))),RIGHT(BL$23:BL$241,1),0)*IF(ISBLANK($T$1),1,IF($I$23:$I$241=$T$1,1,0))))</f>
        <v>5</v>
      </c>
      <c r="BN10" s="874">
        <f t="array" ref="BN10">SUM(IF(ISBLANK(BN$26:BN$241),0,IF(ISNUMBER(VALUE(RIGHT(BN$26:BN$241,1))),RIGHT(BN$26:BN$241,1),0)*IF(ISBLANK($T$1),1,IF($I$23:$I$241=$T$1,1,0))))</f>
        <v>0</v>
      </c>
      <c r="BO10" s="874">
        <f t="array" ref="BO10">SUM(IF(ISBLANK(BO$67:BO$241),0,IF(ISNUMBER(VALUE(RIGHT(BO$67:BO$241,1))),RIGHT(BO$67:BO$241,1),0)*IF(ISBLANK($T$1),1,IF($I$23:$I$241=$T$1,1,0))))</f>
        <v>0</v>
      </c>
      <c r="BQ10" s="874">
        <f t="array" ref="BQ10">SUM(IF(ISBLANK(BQ$23:BQ$241),0,IF(ISNUMBER(VALUE(RIGHT(BQ$23:BQ$241,1))),RIGHT(BQ$23:BQ$241,1),0)*IF(ISBLANK($T$1),1,IF($I$23:$I$241=$T$1,1,0))))</f>
        <v>0</v>
      </c>
      <c r="BR10" s="874">
        <f t="array" ref="BR10">SUM(IF(ISBLANK(BR$26:BR$241),0,IF(ISNUMBER(VALUE(RIGHT(BR$26:BR$241,1))),RIGHT(BR$26:BR$241,1),0)*IF(ISBLANK($T$1),1,IF($I$23:$I$241=$T$1,1,0))))</f>
        <v>0</v>
      </c>
      <c r="BS10" s="874">
        <f t="array" ref="BS10">SUM(IF(ISBLANK(BS$45:BS$241),0,IF(ISNUMBER(VALUE(RIGHT(BS$45:BS$241,1))),RIGHT(BS$45:BS$241,1),0)*IF(ISBLANK($T$1),1,IF($I$23:$I$241=$T$1,1,0))))</f>
        <v>0</v>
      </c>
      <c r="BX10" s="874">
        <f t="array" ref="BX10">SUM(IF(ISBLANK(BX$23:BX$241),0,IF(ISNUMBER(VALUE(RIGHT(BX$23:BX$241,1))),RIGHT(BX$23:BX$241,1),0)*IF(ISBLANK($T$1),1,IF($I$23:$I$241=$T$1,1,0))))</f>
        <v>0</v>
      </c>
      <c r="BY10" s="874">
        <f t="array" ref="BY10">SUM(IF(ISBLANK(BY$23:BY$241),0,IF(ISNUMBER(VALUE(RIGHT(BY$23:BY$241,1))),RIGHT(BY$23:BY$241,1),0)*IF(ISBLANK($T$1),1,IF($I$23:$I$241=$T$1,1,0))))</f>
        <v>0</v>
      </c>
      <c r="BZ10" s="874">
        <f t="array" ref="BZ10">SUM(IF(ISBLANK(BZ$23:BZ$241),0,IF(ISNUMBER(VALUE(RIGHT(BZ$23:BZ$241,1))),RIGHT(BZ$23:BZ$241,1),0)*IF(ISBLANK($T$1),1,IF($I$23:$I$241=$T$1,1,0))))</f>
        <v>0</v>
      </c>
      <c r="CA10" s="874">
        <f t="array" ref="CA10">SUM(IF(ISBLANK(CA$23:CA$241),0,IF(ISNUMBER(VALUE(RIGHT(CA$23:CA$241,1))),RIGHT(CA$23:CA$241,1),0)*IF(ISBLANK($T$1),1,IF($I$23:$I$241=$T$1,1,0))))</f>
        <v>0</v>
      </c>
      <c r="CB10" s="874">
        <f t="array" ref="CB10">SUM(IF(ISBLANK(CB$23:CB$241),0,IF(ISNUMBER(VALUE(RIGHT(CB$23:CB$241,1))),RIGHT(CB$23:CB$241,1),0)*IF(ISBLANK($T$1),1,IF($I$23:$I$241=$T$1,1,0))))</f>
        <v>0</v>
      </c>
      <c r="CC10" s="874">
        <f t="array" ref="CC10">SUM(IF(ISBLANK(CC$23:CC$241),0,IF(ISNUMBER(VALUE(RIGHT(CC$23:CC$241,1))),RIGHT(CC$23:CC$241,1),0)*IF(ISBLANK($T$1),1,IF($I$23:$I$241=$T$1,1,0))))</f>
        <v>0</v>
      </c>
      <c r="CD10" s="874">
        <f t="array" ref="CD10">SUM(IF(ISBLANK(CD$23:CD$241),0,IF(ISNUMBER(VALUE(RIGHT(CD$23:CD$241,1))),RIGHT(CD$23:CD$241,1),0)*IF(ISBLANK($T$1),1,IF($I$23:$I$241=$T$1,1,0))))</f>
        <v>0</v>
      </c>
      <c r="CE10" s="874">
        <f t="array" ref="CE10">SUM(IF(ISBLANK(CE$23:CE$241),0,IF(ISNUMBER(VALUE(RIGHT(CE$23:CE$241,1))),RIGHT(CE$23:CE$241,1),0)*IF(ISBLANK($T$1),1,IF($I$23:$I$241=$T$1,1,0))))</f>
        <v>0</v>
      </c>
      <c r="CF10" s="874">
        <f t="array" ref="CF10">SUM(IF(ISBLANK(CF$23:CF$241),0,IF(ISNUMBER(VALUE(RIGHT(CF$23:CF$241,1))),RIGHT(CF$23:CF$241,1),0)*IF(ISBLANK($T$1),1,IF($I$23:$I$241=$T$1,1,0))))</f>
        <v>0</v>
      </c>
      <c r="CG10" s="874">
        <f t="array" ref="CG10">SUM(IF(ISBLANK(CG$23:CG$241),0,IF(ISNUMBER(VALUE(RIGHT(CG$23:CG$241,1))),RIGHT(CG$23:CG$241,1),0)*IF(ISBLANK($T$1),1,IF($I$23:$I$241=$T$1,1,0))))</f>
        <v>0</v>
      </c>
      <c r="CH10" s="874">
        <f t="array" ref="CH10">SUM(IF(ISBLANK(CH$23:CH$241),0,IF(ISNUMBER(VALUE(RIGHT(CH$23:CH$241,1))),RIGHT(CH$23:CH$241,1),0)*IF(ISBLANK($T$1),1,IF($I$23:$I$241=$T$1,1,0))))</f>
        <v>0</v>
      </c>
      <c r="CI10" s="874">
        <f t="array" ref="CI10">SUM(IF(ISBLANK(CI$23:CI$241),0,IF(ISNUMBER(VALUE(RIGHT(CI$23:CI$241,1))),RIGHT(CI$23:CI$241,1),0)*IF(ISBLANK($T$1),1,IF($I$23:$I$241=$T$1,1,0))))</f>
        <v>0</v>
      </c>
      <c r="CJ10" s="874">
        <f t="array" ref="CJ10">SUM(IF(ISBLANK(CJ$23:CJ$241),0,IF(ISNUMBER(VALUE(RIGHT(CJ$23:CJ$241,1))),RIGHT(CJ$23:CJ$241,1),0)*IF(ISBLANK($T$1),1,IF($I$23:$I$241=$T$1,1,0))))</f>
        <v>0</v>
      </c>
      <c r="CK10" s="874">
        <f t="array" ref="CK10">SUM(IF(ISBLANK(CK$23:CK$241),0,IF(ISNUMBER(VALUE(RIGHT(CK$23:CK$241,1))),RIGHT(CK$23:CK$241,1),0)*IF(ISBLANK($T$1),1,IF($I$23:$I$241=$T$1,1,0))))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0">AF10/AF2</f>
        <v>1.3409090909090908</v>
      </c>
      <c r="AG11" s="874">
        <f t="shared" si="10"/>
        <v>0</v>
      </c>
      <c r="AH11" s="874">
        <f t="shared" si="10"/>
        <v>0</v>
      </c>
      <c r="AJ11" s="874">
        <f t="shared" si="10"/>
        <v>0</v>
      </c>
      <c r="AK11" s="874">
        <f t="shared" si="10"/>
        <v>9.0909090909090912E-2</v>
      </c>
      <c r="AN11" s="874">
        <f>AN10/AN2</f>
        <v>6.8181818181818177E-2</v>
      </c>
      <c r="AO11" s="874">
        <f t="shared" si="10"/>
        <v>6.9767441860465115E-2</v>
      </c>
      <c r="AQ11" s="874">
        <f>AQ10/AQ2</f>
        <v>0</v>
      </c>
      <c r="AR11" s="874">
        <f>AR10/AR2</f>
        <v>2.4390243902439025E-2</v>
      </c>
      <c r="AT11" s="874">
        <f t="shared" ref="AT11" si="11">AT10/AT2</f>
        <v>0.19047619047619047</v>
      </c>
      <c r="AU11" s="874">
        <f t="shared" si="10"/>
        <v>9.0909090909090912E-2</v>
      </c>
      <c r="AV11" s="874">
        <f>AV10/AV2</f>
        <v>4.878048780487805E-2</v>
      </c>
      <c r="AW11" s="874">
        <f>AW10/AW2</f>
        <v>0</v>
      </c>
      <c r="AX11" s="874">
        <f>AX10/AX2</f>
        <v>0.12195121951219512</v>
      </c>
      <c r="AY11" s="874">
        <f>AY10/AY2</f>
        <v>0</v>
      </c>
      <c r="AZ11" s="874">
        <f>AZ10/AZ2</f>
        <v>2.564102564102564E-2</v>
      </c>
      <c r="BB11" s="874">
        <f>BB10/BB2</f>
        <v>0</v>
      </c>
      <c r="BL11" s="874">
        <f>BL10/BL2</f>
        <v>0.83333333333333337</v>
      </c>
      <c r="BN11" s="874">
        <f>BN10/BN2</f>
        <v>0</v>
      </c>
      <c r="BO11" s="874" t="e">
        <f>BO10/BO2</f>
        <v>#DIV/0!</v>
      </c>
      <c r="BQ11" s="874">
        <f>BQ10/BQ2</f>
        <v>0</v>
      </c>
      <c r="BR11" s="874">
        <f>BR10/BR2</f>
        <v>0</v>
      </c>
      <c r="BS11" s="874">
        <f t="shared" si="10"/>
        <v>0</v>
      </c>
      <c r="BX11" s="874">
        <f t="shared" ref="BX11:CD11" si="12">BX10/BX2</f>
        <v>0</v>
      </c>
      <c r="BY11" s="874">
        <f t="shared" si="12"/>
        <v>0</v>
      </c>
      <c r="BZ11" s="874">
        <f t="shared" si="12"/>
        <v>0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0"/>
        <v>#DIV/0!</v>
      </c>
      <c r="CF11" s="874" t="e">
        <f t="shared" si="10"/>
        <v>#DIV/0!</v>
      </c>
      <c r="CG11" s="874" t="e">
        <f t="shared" si="10"/>
        <v>#DIV/0!</v>
      </c>
      <c r="CH11" s="874" t="e">
        <f t="shared" si="10"/>
        <v>#DIV/0!</v>
      </c>
      <c r="CI11" s="874">
        <f t="shared" si="10"/>
        <v>0</v>
      </c>
      <c r="CJ11" s="874">
        <f t="shared" si="10"/>
        <v>0</v>
      </c>
      <c r="CK11" s="874">
        <f t="shared" si="10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SUM(IF(ISBLANK($T$1),$K$23:$K$241,IF($I$23:$I$241=$T$1,$K$23:$K$241,0)))</f>
        <v>40</v>
      </c>
      <c r="AG12" s="874">
        <f t="array" ref="AG12">SUM(IF(ISBLANK(AG$23:AG$241),0,$K23:$K241)*IF(ISBLANK($T$1),1,IF($I$23:$I$241=$T$1,1,0)))</f>
        <v>40</v>
      </c>
      <c r="AH12" s="874">
        <f t="array" ref="AH12">SUM(IF(ISBLANK(AH$23:AH$241),0,$K23:$K241)*IF(ISBLANK($T$1),1,IF($I$23:$I$241=$T$1,1,0)))</f>
        <v>40</v>
      </c>
      <c r="AJ12" s="874">
        <f t="array" ref="AJ12">SUM(IF(ISBLANK(AJ$23:AJ$241),0,$K23:$K241)*IF(ISBLANK($T$1),1,IF($I$23:$I$241=$T$1,1,0)))</f>
        <v>40</v>
      </c>
      <c r="AK12" s="874">
        <f t="array" ref="AK12">SUM(IF(ISBLANK(AK$23:AK$241),0,$K23:$K241)*IF(ISBLANK($T$1),1,IF($I$23:$I$241=$T$1,1,0)))</f>
        <v>40</v>
      </c>
      <c r="AN12" s="874">
        <f t="array" ref="AN12">SUM(IF(ISBLANK(AN$23:AN$241),0,$K23:$K241)*IF(ISBLANK($T$1),1,IF($I$23:$I$241=$T$1,1,0)))</f>
        <v>40</v>
      </c>
      <c r="AO12" s="874">
        <f t="array" ref="AO12">SUM(IF(ISBLANK(AO$23:AO$241),0,$K23:$K241)*IF(ISBLANK($T$1),1,IF($I$23:$I$241=$T$1,1,0)))</f>
        <v>40</v>
      </c>
      <c r="AQ12" s="874" t="e">
        <f t="array" ref="AQ12">SUM(IF(ISBLANK(AQ$26:AQ$241),0,$K23:$K241)*IF(ISBLANK($T$1),1,IF($I$23:$I$241=$T$1,1,0)))</f>
        <v>#N/A</v>
      </c>
      <c r="AR12" s="874" t="e">
        <f t="array" ref="AR12">SUM(IF(ISBLANK(AR$26:AR$241),0,$K23:$K241)*IF(ISBLANK($T$1),1,IF($I$23:$I$241=$T$1,1,0)))</f>
        <v>#N/A</v>
      </c>
      <c r="AT12" s="874">
        <f t="array" ref="AT12">SUM(IF(ISBLANK(AT$23:AT$241),0,$K23:$K241)*IF(ISBLANK($T$1),1,IF($I$23:$I$241=$T$1,1,0)))</f>
        <v>40</v>
      </c>
      <c r="AU12" s="874">
        <f t="array" ref="AU12">SUM(IF(ISBLANK(AU$23:AU$241),0,$K23:$K241)*IF(ISBLANK($T$1),1,IF($I$23:$I$241=$T$1,1,0)))</f>
        <v>40</v>
      </c>
      <c r="AV12" s="874" t="e">
        <f t="array" ref="AV12">SUM(IF(ISBLANK(AV$26:AV$241),0,$K23:$K241)*IF(ISBLANK($T$1),1,IF($I$23:$I$241=$T$1,1,0)))</f>
        <v>#N/A</v>
      </c>
      <c r="AW12" s="874" t="e">
        <f t="array" ref="AW12">SUM(IF(ISBLANK(AW$26:AW$241),0,$K23:$K241)*IF(ISBLANK($T$1),1,IF($I$23:$I$241=$T$1,1,0)))</f>
        <v>#N/A</v>
      </c>
      <c r="AX12" s="874" t="e">
        <f t="array" ref="AX12">SUM(IF(ISBLANK(AX$26:AX$241),0,$K23:$K241)*IF(ISBLANK($T$1),1,IF($I$23:$I$241=$T$1,1,0)))</f>
        <v>#N/A</v>
      </c>
      <c r="AY12" s="874">
        <f t="array" ref="AY12">SUM(IF(ISBLANK(AY$23:AY$241),0,$K23:$K241)*IF(ISBLANK($T$1),1,IF($I$23:$I$241=$T$1,1,0)))</f>
        <v>40</v>
      </c>
      <c r="AZ12" s="874" t="e">
        <f t="array" ref="AZ12">SUM(IF(ISBLANK(AZ$27:AZ$241),0,$K23:$K241)*IF(ISBLANK($T$1),1,IF($I$23:$I$241=$T$1,1,0)))</f>
        <v>#N/A</v>
      </c>
      <c r="BB12" s="874" t="e">
        <f t="array" ref="BB12">SUM(IF(ISBLANK(BB$26:BB$241),0,$K23:$K241)*IF(ISBLANK($T$1),1,IF($I$23:$I$241=$T$1,1,0)))</f>
        <v>#N/A</v>
      </c>
      <c r="BL12" s="874">
        <f t="array" ref="BL12">SUM(IF(ISBLANK(BL$23:BL$241),0,$K23:$K241)*IF(ISBLANK($T$1),1,IF($I$23:$I$241=$T$1,1,0)))</f>
        <v>4</v>
      </c>
      <c r="BN12" s="874" t="e">
        <f t="array" ref="BN12">SUM(IF(ISBLANK(BN$26:BN$241),0,$K23:$K241)*IF(ISBLANK($T$1),1,IF($I$23:$I$241=$T$1,1,0)))</f>
        <v>#N/A</v>
      </c>
      <c r="BO12" s="874" t="e">
        <f t="array" ref="BO12">SUM(IF(ISBLANK(BO$67:BO$241),0,$K23:$K241)*IF(ISBLANK($T$1),1,IF($I$23:$I$241=$T$1,1,0)))</f>
        <v>#N/A</v>
      </c>
      <c r="BQ12" s="874">
        <f t="array" ref="BQ12">SUM(IF(ISBLANK(BQ$23:BQ$241),0,$K23:$K241)*IF(ISBLANK($T$1),1,IF($I$23:$I$241=$T$1,1,0)))</f>
        <v>0</v>
      </c>
      <c r="BR12" s="874" t="e">
        <f t="array" ref="BR12">SUM(IF(ISBLANK(BR$26:BR$241),0,$K23:$K241)*IF(ISBLANK($T$1),1,IF($I$23:$I$241=$T$1,1,0)))</f>
        <v>#N/A</v>
      </c>
      <c r="BS12" s="874" t="e">
        <f t="array" ref="BS12">SUM(IF(ISBLANK(BS$45:BS$241),0,$K23:$K241)*IF(ISBLANK($T$1),1,IF($I$23:$I$241=$T$1,1,0)))</f>
        <v>#N/A</v>
      </c>
      <c r="BX12" s="874">
        <f t="array" ref="BX12">SUM(IF(ISBLANK(BX$23:BX$241),0,$K23:$K241)*IF(ISBLANK($T$1),1,IF($I$23:$I$241=$T$1,1,0)))</f>
        <v>0</v>
      </c>
      <c r="BY12" s="874">
        <f t="array" ref="BY12">SUM(IF(ISBLANK(BY$23:BY$241),0,$K23:$K241)*IF(ISBLANK($T$1),1,IF($I$23:$I$241=$T$1,1,0)))</f>
        <v>0</v>
      </c>
      <c r="BZ12" s="874">
        <f t="array" ref="BZ12">SUM(IF(ISBLANK(BZ$23:BZ$241),0,$K23:$K241)*IF(ISBLANK($T$1),1,IF($I$23:$I$241=$T$1,1,0)))</f>
        <v>0</v>
      </c>
      <c r="CA12" s="874">
        <f t="array" ref="CA12">SUM(IF(ISBLANK(CA$23:CA$241),0,$K23:$K241)*IF(ISBLANK($T$1),1,IF($I$23:$I$241=$T$1,1,0)))</f>
        <v>0</v>
      </c>
      <c r="CB12" s="874">
        <f t="array" ref="CB12">SUM(IF(ISBLANK(CB$23:CB$241),0,$K23:$K241)*IF(ISBLANK($T$1),1,IF($I$23:$I$241=$T$1,1,0)))</f>
        <v>0</v>
      </c>
      <c r="CC12" s="874">
        <f t="array" ref="CC12">SUM(IF(ISBLANK(CC$23:CC$241),0,$K23:$K241)*IF(ISBLANK($T$1),1,IF($I$23:$I$241=$T$1,1,0)))</f>
        <v>0</v>
      </c>
      <c r="CD12" s="874">
        <f t="array" ref="CD12">SUM(IF(ISBLANK(CD$23:CD$241),0,$K23:$K241)*IF(ISBLANK($T$1),1,IF($I$23:$I$241=$T$1,1,0)))</f>
        <v>0</v>
      </c>
      <c r="CE12" s="874">
        <f t="array" ref="CE12">SUM(IF(ISBLANK(CE$23:CE$241),0,$K23:$K241)*IF(ISBLANK($T$1),1,IF($I$23:$I$241=$T$1,1,0)))</f>
        <v>0</v>
      </c>
      <c r="CF12" s="874">
        <f t="array" ref="CF12">SUM(IF(ISBLANK(CF$23:CF$241),0,$K23:$K241)*IF(ISBLANK($T$1),1,IF($I$23:$I$241=$T$1,1,0)))</f>
        <v>0</v>
      </c>
      <c r="CG12" s="874">
        <f t="array" ref="CG12">SUM(IF(ISBLANK(CG$23:CG$241),0,$K23:$K241)*IF(ISBLANK($T$1),1,IF($I$23:$I$241=$T$1,1,0)))</f>
        <v>0</v>
      </c>
      <c r="CH12" s="874">
        <f t="array" ref="CH12">SUM(IF(ISBLANK(CH$23:CH$241),0,$K23:$K241)*IF(ISBLANK($T$1),1,IF($I$23:$I$241=$T$1,1,0)))</f>
        <v>0</v>
      </c>
      <c r="CI12" s="874">
        <f t="array" ref="CI12">SUM(IF(ISBLANK(CI$23:CI$241),0,$K23:$K241)*IF(ISBLANK($T$1),1,IF($I$23:$I$241=$T$1,1,0)))</f>
        <v>14</v>
      </c>
      <c r="CJ12" s="874">
        <f t="array" ref="CJ12">SUM(IF(ISBLANK(CJ$23:CJ$241),0,$K23:$K241)*IF(ISBLANK($T$1),1,IF($I$23:$I$241=$T$1,1,0)))</f>
        <v>14</v>
      </c>
      <c r="CK12" s="874">
        <f t="array" ref="CK12">SUM(IF(ISBLANK(CK$23:CK$241),0,$K23:$K241)*IF(ISBLANK($T$1),1,IF($I$23:$I$241=$T$1,1,0)))</f>
        <v>14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3">AF12/AF2</f>
        <v>0.90909090909090906</v>
      </c>
      <c r="AG13" s="874">
        <f t="shared" si="13"/>
        <v>0.90909090909090906</v>
      </c>
      <c r="AH13" s="874">
        <f t="shared" si="13"/>
        <v>0.90909090909090906</v>
      </c>
      <c r="AJ13" s="874">
        <f t="shared" si="13"/>
        <v>0.90909090909090906</v>
      </c>
      <c r="AK13" s="874">
        <f t="shared" si="13"/>
        <v>0.90909090909090906</v>
      </c>
      <c r="AN13" s="874">
        <f>AN12/AN2</f>
        <v>0.90909090909090906</v>
      </c>
      <c r="AO13" s="874">
        <f t="shared" si="13"/>
        <v>0.93023255813953487</v>
      </c>
      <c r="AQ13" s="874" t="e">
        <f>AQ12/AQ2</f>
        <v>#N/A</v>
      </c>
      <c r="AR13" s="874" t="e">
        <f>AR12/AR2</f>
        <v>#N/A</v>
      </c>
      <c r="AT13" s="874">
        <f t="shared" ref="AT13" si="14">AT12/AT2</f>
        <v>0.95238095238095233</v>
      </c>
      <c r="AU13" s="874">
        <f t="shared" si="13"/>
        <v>0.90909090909090906</v>
      </c>
      <c r="AV13" s="874" t="e">
        <f>AV12/AV2</f>
        <v>#N/A</v>
      </c>
      <c r="AW13" s="874" t="e">
        <f>AW12/AW2</f>
        <v>#N/A</v>
      </c>
      <c r="AX13" s="874" t="e">
        <f>AX12/AX2</f>
        <v>#N/A</v>
      </c>
      <c r="AY13" s="874">
        <f>AY12/AY2</f>
        <v>0.90909090909090906</v>
      </c>
      <c r="AZ13" s="874" t="e">
        <f>AZ12/AZ2</f>
        <v>#N/A</v>
      </c>
      <c r="BB13" s="874" t="e">
        <f>BB12/BB2</f>
        <v>#N/A</v>
      </c>
      <c r="BL13" s="874">
        <f>BL12/BL2</f>
        <v>0.66666666666666663</v>
      </c>
      <c r="BN13" s="874" t="e">
        <f>BN12/BN2</f>
        <v>#N/A</v>
      </c>
      <c r="BO13" s="874" t="e">
        <f>BO12/BO2</f>
        <v>#N/A</v>
      </c>
      <c r="BQ13" s="874">
        <f>BQ12/BQ2</f>
        <v>0</v>
      </c>
      <c r="BR13" s="874" t="e">
        <f>BR12/BR2</f>
        <v>#N/A</v>
      </c>
      <c r="BS13" s="874" t="e">
        <f t="shared" si="13"/>
        <v>#N/A</v>
      </c>
      <c r="BX13" s="874">
        <f t="shared" ref="BX13:CD13" si="15">BX12/BX2</f>
        <v>0</v>
      </c>
      <c r="BY13" s="874">
        <f t="shared" si="15"/>
        <v>0</v>
      </c>
      <c r="BZ13" s="874">
        <f t="shared" si="15"/>
        <v>0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3"/>
        <v>#DIV/0!</v>
      </c>
      <c r="CF13" s="874" t="e">
        <f t="shared" si="13"/>
        <v>#DIV/0!</v>
      </c>
      <c r="CG13" s="874" t="e">
        <f t="shared" si="13"/>
        <v>#DIV/0!</v>
      </c>
      <c r="CH13" s="874" t="e">
        <f t="shared" si="13"/>
        <v>#DIV/0!</v>
      </c>
      <c r="CI13" s="874">
        <f t="shared" si="13"/>
        <v>0.875</v>
      </c>
      <c r="CJ13" s="874">
        <f t="shared" si="13"/>
        <v>0.875</v>
      </c>
      <c r="CK13" s="874">
        <f t="shared" si="13"/>
        <v>0.93333333333333335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BA14" si="16">AG15+AG16</f>
        <v>42</v>
      </c>
      <c r="AH14" s="902">
        <f t="shared" si="16"/>
        <v>0</v>
      </c>
      <c r="AI14" s="902">
        <f t="shared" si="16"/>
        <v>2</v>
      </c>
      <c r="AJ14" s="902">
        <f t="shared" si="16"/>
        <v>4</v>
      </c>
      <c r="AK14" s="902">
        <f t="shared" si="16"/>
        <v>39</v>
      </c>
      <c r="AL14" s="902">
        <f t="shared" si="16"/>
        <v>7</v>
      </c>
      <c r="AM14" s="902">
        <f t="shared" si="16"/>
        <v>12</v>
      </c>
      <c r="AN14" s="902">
        <f t="shared" si="16"/>
        <v>38</v>
      </c>
      <c r="AO14" s="902">
        <f t="shared" si="16"/>
        <v>19</v>
      </c>
      <c r="AP14" s="902">
        <f t="shared" si="16"/>
        <v>30</v>
      </c>
      <c r="AQ14" s="902">
        <f t="shared" si="16"/>
        <v>2</v>
      </c>
      <c r="AR14" s="902">
        <f t="shared" si="16"/>
        <v>27</v>
      </c>
      <c r="AS14" s="902">
        <f t="shared" ref="AS14:AT14" si="17">AS15+AS16</f>
        <v>6</v>
      </c>
      <c r="AT14" s="902">
        <f t="shared" si="17"/>
        <v>23</v>
      </c>
      <c r="AU14" s="902">
        <f t="shared" si="16"/>
        <v>39</v>
      </c>
      <c r="AV14" s="902">
        <f t="shared" si="16"/>
        <v>37</v>
      </c>
      <c r="AW14" s="902">
        <f t="shared" si="16"/>
        <v>9</v>
      </c>
      <c r="AX14" s="902">
        <f t="shared" si="16"/>
        <v>40</v>
      </c>
      <c r="AY14" s="902">
        <f t="shared" si="16"/>
        <v>39</v>
      </c>
      <c r="AZ14" s="902">
        <f t="shared" si="16"/>
        <v>15</v>
      </c>
      <c r="BA14" s="902">
        <f t="shared" si="16"/>
        <v>32</v>
      </c>
      <c r="BB14" s="902">
        <f t="shared" ref="BB14:BO14" si="18">BB15+BB16</f>
        <v>12</v>
      </c>
      <c r="BC14" s="902">
        <f t="shared" si="18"/>
        <v>3</v>
      </c>
      <c r="BD14" s="902">
        <f t="shared" si="18"/>
        <v>3</v>
      </c>
      <c r="BE14" s="902">
        <f t="shared" si="18"/>
        <v>33</v>
      </c>
      <c r="BF14" s="902">
        <f t="shared" si="18"/>
        <v>12</v>
      </c>
      <c r="BG14" s="902">
        <f t="shared" si="18"/>
        <v>21</v>
      </c>
      <c r="BH14" s="902">
        <f t="shared" si="18"/>
        <v>28</v>
      </c>
      <c r="BI14" s="902">
        <f t="shared" si="18"/>
        <v>22</v>
      </c>
      <c r="BJ14" s="902">
        <f t="shared" si="18"/>
        <v>8</v>
      </c>
      <c r="BK14" s="902">
        <f t="shared" si="18"/>
        <v>10</v>
      </c>
      <c r="BL14" s="902"/>
      <c r="BM14" s="902">
        <f t="shared" si="18"/>
        <v>0</v>
      </c>
      <c r="BN14" s="902">
        <f t="shared" si="18"/>
        <v>0</v>
      </c>
      <c r="BO14" s="902">
        <f t="shared" si="18"/>
        <v>2</v>
      </c>
      <c r="BP14" s="889"/>
      <c r="BQ14" s="889"/>
      <c r="BR14" s="889"/>
      <c r="BS14" s="889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AVERAGEIFS($Q$23:$Q$208,$H$23:$H$208,"H",$I$23:$I$208,Table!$C$1)</f>
        <v>0.58047619047619048</v>
      </c>
      <c r="S15" s="858">
        <f>AVERAGEIFS($Q$23:$Q$208,$H$23:$H$208,"A",$I$23:$I$208,Table!$C$1)</f>
        <v>0.28095238095238101</v>
      </c>
      <c r="AF15" s="848" t="s">
        <v>821</v>
      </c>
      <c r="AG15" s="850">
        <f t="array" ref="AG15">SUM(IF(LEFT(AG23:AG162,1)="X",1,0))</f>
        <v>42</v>
      </c>
      <c r="AH15" s="903">
        <f t="array" ref="AH15">SUM(IF(LEFT(AH23:AH162,1)="X",1,0))</f>
        <v>0</v>
      </c>
      <c r="AI15" s="903">
        <f t="array" ref="AI15">SUM(IF(LEFT(AI23:AI162,1)="X",1,0))</f>
        <v>2</v>
      </c>
      <c r="AJ15" s="903">
        <f t="array" ref="AJ15">SUM(IF(LEFT(AJ23:AJ162,1)="X",1,0))</f>
        <v>2</v>
      </c>
      <c r="AK15" s="903">
        <f t="array" ref="AK15">SUM(IF(LEFT(AK23:AK162,1)="X",1,0))</f>
        <v>39</v>
      </c>
      <c r="AL15" s="903">
        <f t="array" ref="AL15">SUM(IF(LEFT(AL23:AL162,1)="X",1,0))</f>
        <v>3</v>
      </c>
      <c r="AM15" s="903">
        <f t="array" ref="AM15">SUM(IF(LEFT(AM23:AM162,1)="X",1,0))</f>
        <v>9</v>
      </c>
      <c r="AN15" s="903">
        <f t="array" ref="AN15">SUM(IF(LEFT(AN23:AN162,1)="X",1,0))</f>
        <v>36</v>
      </c>
      <c r="AO15" s="903">
        <f t="array" ref="AO15">SUM(IF(LEFT(AO23:AO162,1)="X",1,0))</f>
        <v>11</v>
      </c>
      <c r="AP15" s="903">
        <f t="array" ref="AP15">SUM(IF(LEFT(AP23:AP162,1)="X",1,0))</f>
        <v>29</v>
      </c>
      <c r="AQ15" s="903">
        <f t="array" ref="AQ15">SUM(IF(LEFT(AQ23:AQ162,1)="X",1,0))</f>
        <v>2</v>
      </c>
      <c r="AR15" s="903">
        <f t="array" ref="AR15">SUM(IF(LEFT(AR23:AR162,1)="X",1,0))</f>
        <v>22</v>
      </c>
      <c r="AS15" s="903">
        <f t="array" ref="AS15">SUM(IF(LEFT(AS23:AS162,1)="X",1,0))</f>
        <v>2</v>
      </c>
      <c r="AT15" s="903">
        <f t="array" ref="AT15">SUM(IF(LEFT(AT23:AT162,1)="X",1,0))</f>
        <v>22</v>
      </c>
      <c r="AU15" s="903">
        <f t="array" ref="AU15">SUM(IF(LEFT(AU23:AU162,1)="X",1,0))</f>
        <v>36</v>
      </c>
      <c r="AV15" s="903">
        <f t="array" ref="AV15">SUM(IF(LEFT(AV23:AV162,1)="X",1,0))</f>
        <v>32</v>
      </c>
      <c r="AW15" s="903">
        <f t="array" ref="AW15">SUM(IF(LEFT(AW23:AW162,1)="X",1,0))</f>
        <v>7</v>
      </c>
      <c r="AX15" s="903">
        <f t="array" ref="AX15">SUM(IF(LEFT(AX23:AX162,1)="X",1,0))</f>
        <v>38</v>
      </c>
      <c r="AY15" s="903">
        <f t="array" ref="AY15">SUM(IF(LEFT(AY23:AY162,1)="X",1,0))</f>
        <v>37</v>
      </c>
      <c r="AZ15" s="903">
        <f t="array" ref="AZ15">SUM(IF(LEFT(AZ23:AZ162,1)="X",1,0))</f>
        <v>9</v>
      </c>
      <c r="BA15" s="903">
        <f t="array" ref="BA15">SUM(IF(LEFT(BA23:BA162,1)="X",1,0))</f>
        <v>16</v>
      </c>
      <c r="BB15" s="903">
        <f t="array" ref="BB15">SUM(IF(LEFT(BB23:BB162,1)="X",1,0))</f>
        <v>7</v>
      </c>
      <c r="BC15" s="903">
        <f t="array" ref="BC15">SUM(IF(LEFT(BC23:BC162,1)="X",1,0))</f>
        <v>2</v>
      </c>
      <c r="BD15" s="903">
        <f t="array" ref="BD15">SUM(IF(LEFT(BD23:BD162,1)="X",1,0))</f>
        <v>1</v>
      </c>
      <c r="BE15" s="903">
        <f t="array" ref="BE15">SUM(IF(LEFT(BE23:BE162,1)="X",1,0))</f>
        <v>29</v>
      </c>
      <c r="BF15" s="903">
        <f t="array" ref="BF15">SUM(IF(LEFT(BF23:BF162,1)="X",1,0))</f>
        <v>4</v>
      </c>
      <c r="BG15" s="903">
        <f t="array" ref="BG15">SUM(IF(LEFT(BG23:BG162,1)="X",1,0))</f>
        <v>7</v>
      </c>
      <c r="BH15" s="903">
        <f t="array" ref="BH15">SUM(IF(LEFT(BH23:BH162,1)="X",1,0))</f>
        <v>18</v>
      </c>
      <c r="BI15" s="903">
        <f t="array" ref="BI15">SUM(IF(LEFT(BI23:BI162,1)="X",1,0))</f>
        <v>11</v>
      </c>
      <c r="BJ15" s="903">
        <f t="array" ref="BJ15">SUM(IF(LEFT(BJ23:BJ162,1)="X",1,0))</f>
        <v>6</v>
      </c>
      <c r="BK15" s="903">
        <f t="array" ref="BK15">SUM(IF(LEFT(BK23:BK162,1)="X",1,0))</f>
        <v>3</v>
      </c>
      <c r="BL15" s="903"/>
      <c r="BM15" s="903">
        <f t="array" ref="BM15">SUM(IF(LEFT(BM23:BM162,1)="X",1,0))</f>
        <v>0</v>
      </c>
      <c r="BN15" s="903">
        <f t="array" ref="BN15">SUM(IF(LEFT(BN23:BN162,1)="X",1,0))</f>
        <v>0</v>
      </c>
      <c r="BO15" s="903">
        <f t="array" ref="BO15">SUM(IF(LEFT(BO23:BO162,1)="X",1,0))</f>
        <v>0</v>
      </c>
      <c r="BP15" s="889"/>
      <c r="BQ15" s="889"/>
      <c r="BR15" s="889"/>
      <c r="BS15" s="889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AVERAGEIF($H$23:$H$205,"=H",$J$23:$J$205)</f>
        <v>1.4545454545454546</v>
      </c>
      <c r="J16" s="858">
        <f>AVERAGEIF($H$23:$H$209,"=H",$K$23:$K$209)</f>
        <v>0.81818181818181823</v>
      </c>
      <c r="K16" s="858">
        <f>I16-J16</f>
        <v>0.63636363636363635</v>
      </c>
      <c r="L16" s="857">
        <f>COUNTIFS($L$23:$L$205,"=W",$H$23:$H$205,"=H")</f>
        <v>12</v>
      </c>
      <c r="M16" s="857">
        <f>COUNTIFS($L$23:$L$205,"=D",$H$23:$H$205,"=H")</f>
        <v>7</v>
      </c>
      <c r="N16" s="863">
        <f>COUNTIFS($L$23:$L$205,"=L",$H$23:$H$205,"=H")</f>
        <v>3</v>
      </c>
      <c r="O16" s="858">
        <f>SUM(I16:J16)</f>
        <v>2.2727272727272729</v>
      </c>
      <c r="Q16" s="861" t="s">
        <v>212</v>
      </c>
      <c r="R16" s="858">
        <f>AVERAGEIFS($S$23:$S$206,$H$23:$H$206,"H",$I$23:$I$206,Table!$C$1)</f>
        <v>2.5004761904761907</v>
      </c>
      <c r="S16" s="858">
        <f>AVERAGEIFS($S$23:$S$206,$H$23:$H$206,"A",$I$23:$I$206,Table!$C$1)</f>
        <v>2.4204761904761902</v>
      </c>
      <c r="AF16" s="848" t="s">
        <v>724</v>
      </c>
      <c r="AG16" s="850">
        <f t="array" ref="AG16">SUM(IF(LEFT(AG23:AG163,1)="s",1,0))</f>
        <v>0</v>
      </c>
      <c r="AH16" s="903">
        <f t="array" ref="AH16">SUM(IF(LEFT(AH23:AH163,1)="s",1,0))</f>
        <v>0</v>
      </c>
      <c r="AI16" s="903">
        <f t="array" ref="AI16">SUM(IF(LEFT(AI23:AI163,1)="s",1,0))</f>
        <v>0</v>
      </c>
      <c r="AJ16" s="903">
        <f t="array" ref="AJ16">SUM(IF(LEFT(AJ23:AJ163,1)="s",1,0))</f>
        <v>2</v>
      </c>
      <c r="AK16" s="903">
        <f t="array" ref="AK16">SUM(IF(LEFT(AK23:AK163,1)="s",1,0))</f>
        <v>0</v>
      </c>
      <c r="AL16" s="903">
        <f t="array" ref="AL16">SUM(IF(LEFT(AL23:AL163,1)="s",1,0))</f>
        <v>4</v>
      </c>
      <c r="AM16" s="903">
        <f t="array" ref="AM16">SUM(IF(LEFT(AM23:AM163,1)="s",1,0))</f>
        <v>3</v>
      </c>
      <c r="AN16" s="903">
        <f t="array" ref="AN16">SUM(IF(LEFT(AN23:AN163,1)="s",1,0))</f>
        <v>2</v>
      </c>
      <c r="AO16" s="903">
        <f t="array" ref="AO16">SUM(IF(LEFT(AO23:AO163,1)="s",1,0))</f>
        <v>8</v>
      </c>
      <c r="AP16" s="903">
        <f t="array" ref="AP16">SUM(IF(LEFT(AP23:AP163,1)="s",1,0))</f>
        <v>1</v>
      </c>
      <c r="AQ16" s="903">
        <f t="array" ref="AQ16">SUM(IF(LEFT(AQ23:AQ163,1)="s",1,0))</f>
        <v>0</v>
      </c>
      <c r="AR16" s="903">
        <f t="array" ref="AR16">SUM(IF(LEFT(AR23:AR163,1)="s",1,0))</f>
        <v>5</v>
      </c>
      <c r="AS16" s="903">
        <f t="array" ref="AS16">SUM(IF(LEFT(AS23:AS163,1)="s",1,0))</f>
        <v>4</v>
      </c>
      <c r="AT16" s="903">
        <f t="array" ref="AT16">SUM(IF(LEFT(AT23:AT163,1)="s",1,0))</f>
        <v>1</v>
      </c>
      <c r="AU16" s="903">
        <f t="array" ref="AU16">SUM(IF(LEFT(AU23:AU163,1)="s",1,0))</f>
        <v>3</v>
      </c>
      <c r="AV16" s="903">
        <f t="array" ref="AV16">SUM(IF(LEFT(AV23:AV163,1)="s",1,0))</f>
        <v>5</v>
      </c>
      <c r="AW16" s="903">
        <f t="array" ref="AW16">SUM(IF(LEFT(AW23:AW163,1)="s",1,0))</f>
        <v>2</v>
      </c>
      <c r="AX16" s="903">
        <f t="array" ref="AX16">SUM(IF(LEFT(AX23:AX163,1)="s",1,0))</f>
        <v>2</v>
      </c>
      <c r="AY16" s="903">
        <f t="array" ref="AY16">SUM(IF(LEFT(AY23:AY163,1)="s",1,0))</f>
        <v>2</v>
      </c>
      <c r="AZ16" s="903">
        <f t="array" ref="AZ16">SUM(IF(LEFT(AZ23:AZ163,1)="s",1,0))</f>
        <v>6</v>
      </c>
      <c r="BA16" s="903">
        <f t="array" ref="BA16">SUM(IF(LEFT(BA23:BA163,1)="s",1,0))</f>
        <v>16</v>
      </c>
      <c r="BB16" s="903">
        <f t="array" ref="BB16">SUM(IF(LEFT(BB23:BB163,1)="s",1,0))</f>
        <v>5</v>
      </c>
      <c r="BC16" s="903">
        <f t="array" ref="BC16">SUM(IF(LEFT(BC23:BC163,1)="s",1,0))</f>
        <v>1</v>
      </c>
      <c r="BD16" s="903">
        <f t="array" ref="BD16">SUM(IF(LEFT(BD23:BD163,1)="s",1,0))</f>
        <v>2</v>
      </c>
      <c r="BE16" s="903">
        <f t="array" ref="BE16">SUM(IF(LEFT(BE23:BE163,1)="s",1,0))</f>
        <v>4</v>
      </c>
      <c r="BF16" s="903">
        <f t="array" ref="BF16">SUM(IF(LEFT(BF23:BF163,1)="s",1,0))</f>
        <v>8</v>
      </c>
      <c r="BG16" s="903">
        <f t="array" ref="BG16">SUM(IF(LEFT(BG23:BG163,1)="s",1,0))</f>
        <v>14</v>
      </c>
      <c r="BH16" s="903">
        <f t="array" ref="BH16">SUM(IF(LEFT(BH23:BH163,1)="s",1,0))</f>
        <v>10</v>
      </c>
      <c r="BI16" s="903">
        <f t="array" ref="BI16">SUM(IF(LEFT(BI23:BI163,1)="s",1,0))</f>
        <v>11</v>
      </c>
      <c r="BJ16" s="903">
        <f t="array" ref="BJ16">SUM(IF(LEFT(BJ23:BJ163,1)="s",1,0))</f>
        <v>2</v>
      </c>
      <c r="BK16" s="903">
        <f t="array" ref="BK16">SUM(IF(LEFT(BK23:BK163,1)="s",1,0))</f>
        <v>7</v>
      </c>
      <c r="BL16" s="903"/>
      <c r="BM16" s="903">
        <f t="array" ref="BM16">SUM(IF(LEFT(BM23:BM163,1)="s",1,0))</f>
        <v>0</v>
      </c>
      <c r="BN16" s="903">
        <f t="array" ref="BN16">SUM(IF(LEFT(BN23:BN163,1)="s",1,0))</f>
        <v>0</v>
      </c>
      <c r="BO16" s="903">
        <f t="array" ref="BO16">SUM(IF(LEFT(BO23:BO163,1)="s",1,0))</f>
        <v>2</v>
      </c>
      <c r="BP16" s="889"/>
      <c r="BQ16" s="889"/>
      <c r="BR16" s="889"/>
      <c r="BS16" s="889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AVERAGEIF($H$23:$H$205,"=A",$J$23:$J$205)</f>
        <v>1.2272727272727273</v>
      </c>
      <c r="J17" s="860">
        <f>AVERAGEIF($H$23:$H$209,"=A",$K$23:$K$209)</f>
        <v>1</v>
      </c>
      <c r="K17" s="858">
        <f>I17-J17</f>
        <v>0.22727272727272729</v>
      </c>
      <c r="L17" s="857">
        <f>COUNTIFS($L$23:$L$205,"=W",$H$23:$H$205,"=A")</f>
        <v>12</v>
      </c>
      <c r="M17" s="857">
        <f>COUNTIFS($L$23:$L$205,"=D",$H$23:$H$205,"=A")</f>
        <v>5</v>
      </c>
      <c r="N17" s="863">
        <f>COUNTIFS($L$23:$L$205,"=L",$H$23:$H$205,"=A")</f>
        <v>5</v>
      </c>
      <c r="O17" s="858">
        <f>SUM(I17:J17)</f>
        <v>2.2272727272727275</v>
      </c>
      <c r="Q17" s="848"/>
      <c r="R17" s="859"/>
      <c r="S17" s="855"/>
      <c r="AF17" s="848" t="s">
        <v>718</v>
      </c>
      <c r="AG17" s="850">
        <f t="array" ref="AG17">SUM(IF(ISNUMBER(VALUE(RIGHT(AG23:AG171,1))),VALUE(RIGHT(AG23:AG171,1)),0))</f>
        <v>0</v>
      </c>
      <c r="AH17" s="903">
        <f t="array" ref="AH17">SUM(IF(ISNUMBER(VALUE(RIGHT(AH23:AH171,1))),VALUE(RIGHT(AH23:AH171,1)),0))</f>
        <v>0</v>
      </c>
      <c r="AI17" s="903">
        <f t="array" ref="AI17">SUM(IF(ISNUMBER(VALUE(RIGHT(AI23:AI171,1))),VALUE(RIGHT(AI23:AI171,1)),0))</f>
        <v>0</v>
      </c>
      <c r="AJ17" s="903">
        <f t="array" ref="AJ17">SUM(IF(ISNUMBER(VALUE(RIGHT(AJ23:AJ171,1))),VALUE(RIGHT(AJ23:AJ171,1)),0))</f>
        <v>0</v>
      </c>
      <c r="AK17" s="903">
        <f t="array" ref="AK17">SUM(IF(ISNUMBER(VALUE(RIGHT(AK23:AK171,1))),VALUE(RIGHT(AK23:AK171,1)),0))</f>
        <v>4</v>
      </c>
      <c r="AL17" s="903">
        <f t="array" ref="AL17">SUM(IF(ISNUMBER(VALUE(RIGHT(AL23:AL171,1))),VALUE(RIGHT(AL23:AL171,1)),0))</f>
        <v>0</v>
      </c>
      <c r="AM17" s="903">
        <f t="array" ref="AM17">SUM(IF(ISNUMBER(VALUE(RIGHT(AM23:AM171,1))),VALUE(RIGHT(AM23:AM171,1)),0))</f>
        <v>0</v>
      </c>
      <c r="AN17" s="903">
        <f t="array" ref="AN17">SUM(IF(ISNUMBER(VALUE(RIGHT(AN23:AN171,1))),VALUE(RIGHT(AN23:AN171,1)),0))</f>
        <v>3</v>
      </c>
      <c r="AO17" s="903">
        <f t="array" ref="AO17">SUM(IF(ISNUMBER(VALUE(RIGHT(AO23:AO171,1))),VALUE(RIGHT(AO23:AO171,1)),0))</f>
        <v>3</v>
      </c>
      <c r="AP17" s="903">
        <f t="array" ref="AP17">SUM(IF(ISNUMBER(VALUE(RIGHT(AP23:AP171,1))),VALUE(RIGHT(AP23:AP171,1)),0))</f>
        <v>3</v>
      </c>
      <c r="AQ17" s="903">
        <f t="array" ref="AQ17">SUM(IF(ISNUMBER(VALUE(RIGHT(AQ23:AQ171,1))),VALUE(RIGHT(AQ23:AQ171,1)),0))</f>
        <v>0</v>
      </c>
      <c r="AR17" s="903">
        <f t="array" ref="AR17">SUM(IF(ISNUMBER(VALUE(RIGHT(AR23:AR171,1))),VALUE(RIGHT(AR23:AR171,1)),0))</f>
        <v>1</v>
      </c>
      <c r="AS17" s="903">
        <f t="array" ref="AS17">SUM(IF(ISNUMBER(VALUE(RIGHT(AS23:AS171,1))),VALUE(RIGHT(AS23:AS171,1)),0))</f>
        <v>1</v>
      </c>
      <c r="AT17" s="903">
        <f t="array" ref="AT17">SUM(IF(ISNUMBER(VALUE(RIGHT(AT23:AT171,1))),VALUE(RIGHT(AT23:AT171,1)),0))</f>
        <v>8</v>
      </c>
      <c r="AU17" s="903">
        <f t="array" ref="AU17">SUM(IF(ISNUMBER(VALUE(RIGHT(AU23:AU171,1))),VALUE(RIGHT(AU23:AU171,1)),0))</f>
        <v>4</v>
      </c>
      <c r="AV17" s="903">
        <f t="array" ref="AV17">SUM(IF(ISNUMBER(VALUE(RIGHT(AV23:AV171,1))),VALUE(RIGHT(AV23:AV171,1)),0))</f>
        <v>2</v>
      </c>
      <c r="AW17" s="903">
        <f t="array" ref="AW17">SUM(IF(ISNUMBER(VALUE(RIGHT(AW23:AW171,1))),VALUE(RIGHT(AW23:AW171,1)),0))</f>
        <v>0</v>
      </c>
      <c r="AX17" s="903">
        <f t="array" ref="AX17">SUM(IF(ISNUMBER(VALUE(RIGHT(AX23:AX171,1))),VALUE(RIGHT(AX23:AX171,1)),0))</f>
        <v>5</v>
      </c>
      <c r="AY17" s="903">
        <f t="array" ref="AY17">SUM(IF(ISNUMBER(VALUE(RIGHT(AY23:AY171,1))),VALUE(RIGHT(AY23:AY171,1)),0))</f>
        <v>0</v>
      </c>
      <c r="AZ17" s="903">
        <f t="array" ref="AZ17">SUM(IF(ISNUMBER(VALUE(RIGHT(AZ23:AZ171,1))),VALUE(RIGHT(AZ23:AZ171,1)),0))</f>
        <v>1</v>
      </c>
      <c r="BA17" s="903">
        <f t="array" ref="BA17">SUM(IF(ISNUMBER(VALUE(RIGHT(BA23:BA171,1))),VALUE(RIGHT(BA23:BA171,1)),0))</f>
        <v>0</v>
      </c>
      <c r="BB17" s="903">
        <f t="array" ref="BB17">SUM(IF(ISNUMBER(VALUE(RIGHT(BB23:BB171,1))),VALUE(RIGHT(BB23:BB171,1)),0))</f>
        <v>0</v>
      </c>
      <c r="BC17" s="903">
        <f t="array" ref="BC17">SUM(IF(ISNUMBER(VALUE(RIGHT(BC23:BC171,1))),VALUE(RIGHT(BC23:BC171,1)),0))</f>
        <v>0</v>
      </c>
      <c r="BD17" s="903">
        <f t="array" ref="BD17">SUM(IF(ISNUMBER(VALUE(RIGHT(BD23:BD171,1))),VALUE(RIGHT(BD23:BD171,1)),0))</f>
        <v>0</v>
      </c>
      <c r="BE17" s="903">
        <f t="array" ref="BE17">SUM(IF(ISNUMBER(VALUE(RIGHT(BE23:BE171,1))),VALUE(RIGHT(BE23:BE171,1)),0))</f>
        <v>12</v>
      </c>
      <c r="BF17" s="903">
        <f t="array" ref="BF17">SUM(IF(ISNUMBER(VALUE(RIGHT(BF23:BF171,1))),VALUE(RIGHT(BF23:BF171,1)),0))</f>
        <v>0</v>
      </c>
      <c r="BG17" s="903">
        <f t="array" ref="BG17">SUM(IF(ISNUMBER(VALUE(RIGHT(BG23:BG171,1))),VALUE(RIGHT(BG23:BG171,1)),0))</f>
        <v>2</v>
      </c>
      <c r="BH17" s="903">
        <f t="array" ref="BH17">SUM(IF(ISNUMBER(VALUE(RIGHT(BH23:BH171,1))),VALUE(RIGHT(BH23:BH171,1)),0))</f>
        <v>1</v>
      </c>
      <c r="BI17" s="903">
        <f t="array" ref="BI17">SUM(IF(ISNUMBER(VALUE(RIGHT(BI23:BI171,1))),VALUE(RIGHT(BI23:BI171,1)),0))</f>
        <v>1</v>
      </c>
      <c r="BJ17" s="903">
        <f t="array" ref="BJ17">SUM(IF(ISNUMBER(VALUE(RIGHT(BJ23:BJ171,1))),VALUE(RIGHT(BJ23:BJ171,1)),0))</f>
        <v>2</v>
      </c>
      <c r="BK17" s="903">
        <f t="array" ref="BK17">SUM(IF(ISNUMBER(VALUE(RIGHT(BK23:BK171,1))),VALUE(RIGHT(BK23:BK171,1)),0))</f>
        <v>1</v>
      </c>
      <c r="BL17" s="903"/>
      <c r="BM17" s="903">
        <f t="array" ref="BM17">SUM(IF(ISNUMBER(VALUE(RIGHT(BM23:BM171,1))),VALUE(RIGHT(BM23:BM171,1)),0))</f>
        <v>0</v>
      </c>
      <c r="BN17" s="903">
        <f t="array" ref="BN17">SUM(IF(ISNUMBER(VALUE(RIGHT(BN23:BN171,1))),VALUE(RIGHT(BN23:BN171,1)),0))</f>
        <v>0</v>
      </c>
      <c r="BO17" s="903">
        <f t="array" ref="BO17">SUM(IF(ISNUMBER(VALUE(RIGHT(BO23:BO171,1))),VALUE(RIGHT(BO23:BO171,1)),0))</f>
        <v>0</v>
      </c>
      <c r="BP17" s="889"/>
      <c r="BQ17" s="889"/>
      <c r="BR17" s="889"/>
      <c r="BS17" s="889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AVERAGEIFS($Y$23:$Y$208,$H$23:$H$208,"H",$I$23:$I$208,Table!$C$1)</f>
        <v>4.5238095238095237</v>
      </c>
      <c r="S18" s="858">
        <f>AVERAGEIFS($Y$23:$Y$208,$H$23:$H$208,"A",$I$23:$I$208,Table!$C$1)</f>
        <v>4.333333333333333</v>
      </c>
      <c r="AG18" s="876">
        <v>1</v>
      </c>
      <c r="AH18" s="876">
        <v>25</v>
      </c>
      <c r="AI18" s="876">
        <v>31</v>
      </c>
      <c r="AJ18" s="876">
        <v>3</v>
      </c>
      <c r="AK18" s="876">
        <v>4</v>
      </c>
      <c r="AL18" s="876">
        <v>20</v>
      </c>
      <c r="AM18" s="876">
        <v>28</v>
      </c>
      <c r="AN18" s="876">
        <v>29</v>
      </c>
      <c r="AO18" s="876">
        <v>30</v>
      </c>
      <c r="AP18" s="876">
        <v>36</v>
      </c>
      <c r="AQ18" s="876">
        <v>18</v>
      </c>
      <c r="AR18" s="876">
        <v>24</v>
      </c>
      <c r="AS18" s="876">
        <v>42</v>
      </c>
      <c r="AT18" s="876">
        <v>2</v>
      </c>
      <c r="AU18" s="876">
        <v>5</v>
      </c>
      <c r="AV18" s="876">
        <v>6</v>
      </c>
      <c r="AW18" s="876">
        <v>7</v>
      </c>
      <c r="AX18" s="874">
        <v>8</v>
      </c>
      <c r="AY18" s="876">
        <v>13</v>
      </c>
      <c r="AZ18" s="876">
        <v>14</v>
      </c>
      <c r="BA18" s="876">
        <v>16</v>
      </c>
      <c r="BB18" s="876">
        <v>22</v>
      </c>
      <c r="BC18" s="876">
        <v>27</v>
      </c>
      <c r="BD18" s="876">
        <v>40</v>
      </c>
      <c r="BE18" s="876">
        <v>9</v>
      </c>
      <c r="BF18" s="876">
        <v>11</v>
      </c>
      <c r="BG18" s="876">
        <v>15</v>
      </c>
      <c r="BH18" s="876">
        <v>17</v>
      </c>
      <c r="BI18" s="876">
        <v>19</v>
      </c>
      <c r="BJ18" s="876">
        <v>23</v>
      </c>
      <c r="BK18" s="876">
        <v>10</v>
      </c>
      <c r="BL18" s="876"/>
      <c r="BM18" s="876">
        <v>21</v>
      </c>
      <c r="BN18" s="876">
        <v>26</v>
      </c>
      <c r="BO18" s="876">
        <v>10</v>
      </c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AVERAGEIFS($Z$23:$Z$206,$H$23:$H$206,"H",$I$23:$I$206,Table!$C$1)</f>
        <v>3.0476190476190474</v>
      </c>
      <c r="S19" s="858">
        <f>AVERAGEIFS($Z$23:$Z$206,$H$23:$H$206,"A",$I$23:$I$206,Table!$C$1)</f>
        <v>3.6190476190476191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2072</v>
      </c>
      <c r="AK19" s="901" t="s">
        <v>2072</v>
      </c>
      <c r="AL19" s="901" t="s">
        <v>2072</v>
      </c>
      <c r="AM19" s="901" t="s">
        <v>2082</v>
      </c>
      <c r="AN19" s="901" t="s">
        <v>2128</v>
      </c>
      <c r="AO19" s="901" t="s">
        <v>2072</v>
      </c>
      <c r="AP19" s="901" t="s">
        <v>2072</v>
      </c>
      <c r="AQ19" s="901" t="s">
        <v>2074</v>
      </c>
      <c r="AR19" s="901" t="s">
        <v>2075</v>
      </c>
      <c r="AS19" s="901" t="s">
        <v>1988</v>
      </c>
      <c r="AT19" s="901" t="s">
        <v>2073</v>
      </c>
      <c r="AU19" s="901" t="s">
        <v>2073</v>
      </c>
      <c r="AV19" s="901" t="s">
        <v>2073</v>
      </c>
      <c r="AW19" s="901" t="s">
        <v>2078</v>
      </c>
      <c r="AX19" s="901" t="s">
        <v>2079</v>
      </c>
      <c r="AY19" s="901" t="s">
        <v>2083</v>
      </c>
      <c r="AZ19" s="901" t="s">
        <v>2084</v>
      </c>
      <c r="BA19" s="901" t="s">
        <v>2073</v>
      </c>
      <c r="BB19" s="901" t="s">
        <v>2078</v>
      </c>
      <c r="BC19" s="901" t="s">
        <v>2073</v>
      </c>
      <c r="BD19" s="901" t="s">
        <v>3048</v>
      </c>
      <c r="BE19" s="901" t="s">
        <v>2080</v>
      </c>
      <c r="BF19" s="901" t="s">
        <v>2080</v>
      </c>
      <c r="BG19" s="901" t="s">
        <v>2081</v>
      </c>
      <c r="BH19" s="901" t="s">
        <v>2077</v>
      </c>
      <c r="BI19" s="901" t="s">
        <v>2080</v>
      </c>
      <c r="BJ19" s="901" t="s">
        <v>2080</v>
      </c>
      <c r="BK19" s="901" t="s">
        <v>2786</v>
      </c>
      <c r="BL19" s="877"/>
      <c r="BM19" s="901" t="s">
        <v>896</v>
      </c>
      <c r="BN19" s="901" t="s">
        <v>2080</v>
      </c>
      <c r="BO19" s="901" t="s">
        <v>2074</v>
      </c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</v>
      </c>
      <c r="G20" s="822" t="s">
        <v>1875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1622</v>
      </c>
      <c r="AH20" s="887" t="s">
        <v>2278</v>
      </c>
      <c r="AI20" s="887" t="s">
        <v>1926</v>
      </c>
      <c r="AJ20" s="887" t="s">
        <v>1624</v>
      </c>
      <c r="AK20" s="887" t="s">
        <v>2328</v>
      </c>
      <c r="AL20" s="887" t="s">
        <v>1625</v>
      </c>
      <c r="AM20" s="887" t="s">
        <v>1626</v>
      </c>
      <c r="AN20" s="887" t="s">
        <v>2455</v>
      </c>
      <c r="AO20" s="887" t="s">
        <v>1627</v>
      </c>
      <c r="AP20" s="887" t="s">
        <v>1628</v>
      </c>
      <c r="AQ20" s="887" t="s">
        <v>1636</v>
      </c>
      <c r="AR20" s="887" t="s">
        <v>1638</v>
      </c>
      <c r="AS20" s="887" t="s">
        <v>1559</v>
      </c>
      <c r="AT20" s="887" t="s">
        <v>2546</v>
      </c>
      <c r="AU20" s="887" t="s">
        <v>1629</v>
      </c>
      <c r="AV20" s="887" t="s">
        <v>1630</v>
      </c>
      <c r="AW20" s="887" t="s">
        <v>1631</v>
      </c>
      <c r="AX20" s="887" t="s">
        <v>1632</v>
      </c>
      <c r="AY20" s="887" t="s">
        <v>1634</v>
      </c>
      <c r="AZ20" s="887" t="s">
        <v>2127</v>
      </c>
      <c r="BA20" s="887" t="s">
        <v>1635</v>
      </c>
      <c r="BB20" s="887" t="s">
        <v>1637</v>
      </c>
      <c r="BC20" s="887" t="s">
        <v>1639</v>
      </c>
      <c r="BD20" s="887" t="s">
        <v>3046</v>
      </c>
      <c r="BE20" s="887" t="s">
        <v>3455</v>
      </c>
      <c r="BF20" s="887" t="s">
        <v>1640</v>
      </c>
      <c r="BG20" s="887" t="s">
        <v>1641</v>
      </c>
      <c r="BH20" s="887" t="s">
        <v>1642</v>
      </c>
      <c r="BI20" s="887" t="s">
        <v>1643</v>
      </c>
      <c r="BJ20" s="887" t="s">
        <v>2279</v>
      </c>
      <c r="BK20" s="887" t="s">
        <v>2787</v>
      </c>
      <c r="BL20" s="864"/>
      <c r="BM20" s="887" t="s">
        <v>1623</v>
      </c>
      <c r="BN20" s="887" t="s">
        <v>1644</v>
      </c>
      <c r="BO20" s="887" t="s">
        <v>1633</v>
      </c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1165</v>
      </c>
      <c r="AH21" s="886" t="s">
        <v>1676</v>
      </c>
      <c r="AI21" s="886" t="s">
        <v>1166</v>
      </c>
      <c r="AJ21" s="886" t="s">
        <v>1167</v>
      </c>
      <c r="AK21" s="886" t="s">
        <v>1677</v>
      </c>
      <c r="AL21" s="886" t="s">
        <v>1168</v>
      </c>
      <c r="AM21" s="886" t="s">
        <v>1169</v>
      </c>
      <c r="AN21" s="886" t="s">
        <v>1170</v>
      </c>
      <c r="AO21" s="886" t="s">
        <v>1678</v>
      </c>
      <c r="AP21" s="886" t="s">
        <v>1171</v>
      </c>
      <c r="AQ21" s="886" t="s">
        <v>1680</v>
      </c>
      <c r="AR21" s="886" t="s">
        <v>1181</v>
      </c>
      <c r="AS21" s="886" t="s">
        <v>1695</v>
      </c>
      <c r="AT21" s="886" t="s">
        <v>1172</v>
      </c>
      <c r="AU21" s="886" t="s">
        <v>1173</v>
      </c>
      <c r="AV21" s="886" t="s">
        <v>1174</v>
      </c>
      <c r="AW21" s="886" t="s">
        <v>1175</v>
      </c>
      <c r="AX21" s="886" t="s">
        <v>1176</v>
      </c>
      <c r="AY21" s="886" t="s">
        <v>1177</v>
      </c>
      <c r="AZ21" s="886" t="s">
        <v>1178</v>
      </c>
      <c r="BA21" s="886" t="s">
        <v>1179</v>
      </c>
      <c r="BB21" s="886" t="s">
        <v>1180</v>
      </c>
      <c r="BC21" s="886" t="s">
        <v>1681</v>
      </c>
      <c r="BD21" s="886" t="s">
        <v>3047</v>
      </c>
      <c r="BE21" s="886" t="s">
        <v>1682</v>
      </c>
      <c r="BF21" s="886" t="s">
        <v>1182</v>
      </c>
      <c r="BG21" s="886" t="s">
        <v>1683</v>
      </c>
      <c r="BH21" s="886" t="s">
        <v>1684</v>
      </c>
      <c r="BI21" s="886" t="s">
        <v>904</v>
      </c>
      <c r="BJ21" s="886" t="s">
        <v>2280</v>
      </c>
      <c r="BK21" s="886" t="s">
        <v>2788</v>
      </c>
      <c r="BL21" s="864" t="s">
        <v>2740</v>
      </c>
      <c r="BM21" s="886" t="s">
        <v>1675</v>
      </c>
      <c r="BN21" s="886" t="s">
        <v>1685</v>
      </c>
      <c r="BO21" s="886" t="s">
        <v>1679</v>
      </c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Y22" s="829"/>
      <c r="AZ22" s="829"/>
      <c r="BA22" s="829"/>
      <c r="BB22" s="829"/>
      <c r="BC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O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14</v>
      </c>
      <c r="G23" s="879" t="s">
        <v>873</v>
      </c>
      <c r="H23" s="879" t="s">
        <v>18</v>
      </c>
      <c r="I23" s="879" t="s">
        <v>891</v>
      </c>
      <c r="J23" s="905">
        <v>1</v>
      </c>
      <c r="K23" s="905">
        <v>0</v>
      </c>
      <c r="L23" s="816" t="str">
        <f t="shared" ref="L23:L26" si="19">IF(J23="","",IF(J23&gt;K23,"W",IF(J23=K23,"D",IF(J23&lt;K23,"L"))))</f>
        <v>W</v>
      </c>
      <c r="M23" s="816">
        <f t="shared" ref="M23:M26" si="20">IF(J23="","",J23+K23)</f>
        <v>1</v>
      </c>
      <c r="N23" s="816" t="str">
        <f t="shared" ref="N23:N24" si="21">IF($J23="","",IF($M23&gt;N$19,"O",IF($M23&lt;N$19,"U",IF($M23=N$19,"-"))))</f>
        <v>U</v>
      </c>
      <c r="O23" s="816">
        <f t="shared" ref="O23:O26" si="22">IF(Q23="","",IF(SIGN(Q23)&lt;&gt;1,VLOOKUP(ABS(Q23),SUP_HDC,3,TRUE),-VLOOKUP(ABS(Q23),SUP_HDC,3,TRUE)))</f>
        <v>-0.25</v>
      </c>
      <c r="P23" s="829">
        <f t="shared" ref="P23:P26" si="23">IF(O23="","",IF((J23-K23+O23)&gt;=0.5,1,IF((J23-K23+O23)=0.25,0.5,IF((J23-K23+O23)&lt;=-0.5,-1,IF((J23-K23+O23)=-0.25,-0.5,0)))))</f>
        <v>1</v>
      </c>
      <c r="Q23" s="830">
        <v>0.34</v>
      </c>
      <c r="R23" s="871">
        <f t="shared" ref="R23:R66" si="24">IF(ISBLANK(Q23),"",J23-K23-Q23)</f>
        <v>0.65999999999999992</v>
      </c>
      <c r="S23" s="830">
        <v>2.25</v>
      </c>
      <c r="T23" s="871">
        <f t="shared" ref="T23:T26" si="25">IF(ISBLANK(S23),"",J23+K23-S23)</f>
        <v>-1.25</v>
      </c>
      <c r="U23" s="868">
        <f t="shared" ref="U23:U26" si="26">IF(Q23="","",(Q23+S23)/2)</f>
        <v>1.2949999999999999</v>
      </c>
      <c r="V23" s="868">
        <f t="shared" ref="V23:V26" si="27">IF(Q23="","",S23-U23)</f>
        <v>0.95500000000000007</v>
      </c>
      <c r="W23" s="829">
        <v>19</v>
      </c>
      <c r="X23" s="829">
        <v>10</v>
      </c>
      <c r="Y23" s="829">
        <v>5</v>
      </c>
      <c r="Z23" s="829">
        <v>0</v>
      </c>
      <c r="AA23" s="829">
        <v>54</v>
      </c>
      <c r="AB23" s="829">
        <v>46</v>
      </c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34</v>
      </c>
      <c r="AH23" s="891" t="s">
        <v>1877</v>
      </c>
      <c r="AI23" s="891" t="s">
        <v>32</v>
      </c>
      <c r="AJ23" s="891" t="s">
        <v>1877</v>
      </c>
      <c r="AK23" s="891" t="s">
        <v>34</v>
      </c>
      <c r="AL23" s="891" t="s">
        <v>32</v>
      </c>
      <c r="AM23" s="891" t="s">
        <v>32</v>
      </c>
      <c r="AN23" s="891" t="s">
        <v>34</v>
      </c>
      <c r="AO23" s="891" t="s">
        <v>32</v>
      </c>
      <c r="AP23" s="891"/>
      <c r="AQ23" s="891"/>
      <c r="AR23" s="891" t="s">
        <v>35</v>
      </c>
      <c r="AS23" s="910"/>
      <c r="AT23" s="891" t="s">
        <v>1879</v>
      </c>
      <c r="AU23" s="891" t="s">
        <v>34</v>
      </c>
      <c r="AV23" s="891" t="s">
        <v>1877</v>
      </c>
      <c r="AW23" s="891" t="s">
        <v>32</v>
      </c>
      <c r="AX23" s="891" t="s">
        <v>35</v>
      </c>
      <c r="AY23" s="891" t="s">
        <v>34</v>
      </c>
      <c r="AZ23" s="891" t="s">
        <v>36</v>
      </c>
      <c r="BA23" s="891" t="s">
        <v>1877</v>
      </c>
      <c r="BB23" s="891" t="s">
        <v>36</v>
      </c>
      <c r="BC23" s="891" t="s">
        <v>32</v>
      </c>
      <c r="BD23" s="918"/>
      <c r="BE23" s="891" t="s">
        <v>35</v>
      </c>
      <c r="BF23" s="891" t="s">
        <v>36</v>
      </c>
      <c r="BG23" s="891" t="s">
        <v>32</v>
      </c>
      <c r="BH23" s="891" t="s">
        <v>32</v>
      </c>
      <c r="BI23" s="891" t="s">
        <v>34</v>
      </c>
      <c r="BJ23" s="891" t="s">
        <v>34</v>
      </c>
      <c r="BK23" s="910"/>
      <c r="BL23" s="891"/>
      <c r="BM23" s="891" t="s">
        <v>32</v>
      </c>
      <c r="BN23" s="891"/>
      <c r="BO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6273</v>
      </c>
      <c r="B24" s="884"/>
      <c r="C24" s="884"/>
      <c r="D24" s="884"/>
      <c r="E24" s="884"/>
      <c r="F24" s="884">
        <f ca="1">IF(I24="","",IF(I24=Table!$C$1,VLOOKUP(G24,Table!$B$9:$AE$32,Table!$AE$6-1,FALSE),""))</f>
        <v>22</v>
      </c>
      <c r="G24" s="879" t="s">
        <v>1087</v>
      </c>
      <c r="H24" s="879" t="s">
        <v>22</v>
      </c>
      <c r="I24" s="879" t="s">
        <v>891</v>
      </c>
      <c r="J24" s="905">
        <v>3</v>
      </c>
      <c r="K24" s="905">
        <v>1</v>
      </c>
      <c r="L24" s="816" t="str">
        <f t="shared" si="19"/>
        <v>W</v>
      </c>
      <c r="M24" s="816">
        <f t="shared" si="20"/>
        <v>4</v>
      </c>
      <c r="N24" s="816" t="str">
        <f t="shared" si="21"/>
        <v>O</v>
      </c>
      <c r="O24" s="816">
        <f t="shared" si="22"/>
        <v>-1</v>
      </c>
      <c r="P24" s="829">
        <f t="shared" si="23"/>
        <v>1</v>
      </c>
      <c r="Q24" s="830">
        <v>1.04</v>
      </c>
      <c r="R24" s="871">
        <f t="shared" si="24"/>
        <v>0.96</v>
      </c>
      <c r="S24" s="830">
        <v>2.48</v>
      </c>
      <c r="T24" s="871">
        <f t="shared" si="25"/>
        <v>1.52</v>
      </c>
      <c r="U24" s="868">
        <f t="shared" si="26"/>
        <v>1.76</v>
      </c>
      <c r="V24" s="868">
        <f t="shared" si="27"/>
        <v>0.72</v>
      </c>
      <c r="W24" s="829">
        <v>15</v>
      </c>
      <c r="X24" s="829">
        <v>16</v>
      </c>
      <c r="Y24" s="829">
        <v>4</v>
      </c>
      <c r="Z24" s="829">
        <v>3</v>
      </c>
      <c r="AA24" s="829">
        <v>45</v>
      </c>
      <c r="AB24" s="829">
        <v>55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34</v>
      </c>
      <c r="AH24" s="891" t="s">
        <v>1877</v>
      </c>
      <c r="AI24" s="891" t="s">
        <v>32</v>
      </c>
      <c r="AJ24" s="891" t="s">
        <v>32</v>
      </c>
      <c r="AK24" s="891" t="s">
        <v>34</v>
      </c>
      <c r="AL24" s="891" t="s">
        <v>32</v>
      </c>
      <c r="AM24" s="891" t="s">
        <v>32</v>
      </c>
      <c r="AN24" s="891" t="s">
        <v>1948</v>
      </c>
      <c r="AO24" s="891" t="s">
        <v>1877</v>
      </c>
      <c r="AP24" s="891"/>
      <c r="AQ24" s="891"/>
      <c r="AR24" s="891" t="s">
        <v>34</v>
      </c>
      <c r="AS24" s="910"/>
      <c r="AT24" s="891" t="s">
        <v>34</v>
      </c>
      <c r="AU24" s="891" t="s">
        <v>35</v>
      </c>
      <c r="AV24" s="891" t="s">
        <v>36</v>
      </c>
      <c r="AW24" s="891" t="s">
        <v>32</v>
      </c>
      <c r="AX24" s="891" t="s">
        <v>35</v>
      </c>
      <c r="AY24" s="891" t="s">
        <v>34</v>
      </c>
      <c r="AZ24" s="891" t="s">
        <v>36</v>
      </c>
      <c r="BA24" s="891" t="s">
        <v>36</v>
      </c>
      <c r="BB24" s="891" t="s">
        <v>1877</v>
      </c>
      <c r="BC24" s="891" t="s">
        <v>32</v>
      </c>
      <c r="BD24" s="918"/>
      <c r="BE24" s="891" t="s">
        <v>32</v>
      </c>
      <c r="BF24" s="891" t="s">
        <v>34</v>
      </c>
      <c r="BG24" s="891" t="s">
        <v>32</v>
      </c>
      <c r="BH24" s="891" t="s">
        <v>1877</v>
      </c>
      <c r="BI24" s="891" t="s">
        <v>35</v>
      </c>
      <c r="BJ24" s="891" t="s">
        <v>1951</v>
      </c>
      <c r="BK24" s="910"/>
      <c r="BL24" s="891"/>
      <c r="BM24" s="891" t="s">
        <v>32</v>
      </c>
      <c r="BN24" s="891"/>
      <c r="BO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</row>
    <row r="25" spans="1:115" ht="15">
      <c r="A25" s="882">
        <v>6281</v>
      </c>
      <c r="B25" s="884"/>
      <c r="C25" s="884"/>
      <c r="D25" s="884"/>
      <c r="E25" s="884"/>
      <c r="F25" s="884">
        <f ca="1">IF(I25="","",IF(I25=Table!$C$1,VLOOKUP(G25,Table!$B$9:$AE$32,Table!$AE$6-1,FALSE),""))</f>
        <v>17</v>
      </c>
      <c r="G25" s="879" t="s">
        <v>875</v>
      </c>
      <c r="H25" s="879" t="s">
        <v>18</v>
      </c>
      <c r="I25" s="879" t="s">
        <v>891</v>
      </c>
      <c r="J25" s="905">
        <v>0</v>
      </c>
      <c r="K25" s="905">
        <v>0</v>
      </c>
      <c r="L25" s="816" t="str">
        <f t="shared" si="19"/>
        <v>D</v>
      </c>
      <c r="M25" s="816">
        <f t="shared" si="20"/>
        <v>0</v>
      </c>
      <c r="N25" s="816" t="str">
        <f t="shared" ref="N25:N33" si="28">IF($J25="","",IF($M25&gt;N$19,"O",IF($M25&lt;N$19,"U",IF($M25=N$19,"-"))))</f>
        <v>U</v>
      </c>
      <c r="O25" s="816">
        <f t="shared" si="22"/>
        <v>-0.75</v>
      </c>
      <c r="P25" s="829">
        <f t="shared" si="23"/>
        <v>-1</v>
      </c>
      <c r="Q25" s="830">
        <v>0.76</v>
      </c>
      <c r="R25" s="871">
        <f t="shared" si="24"/>
        <v>-0.76</v>
      </c>
      <c r="S25" s="830">
        <v>2.36</v>
      </c>
      <c r="T25" s="871">
        <f t="shared" si="25"/>
        <v>-2.36</v>
      </c>
      <c r="U25" s="868">
        <f t="shared" si="26"/>
        <v>1.56</v>
      </c>
      <c r="V25" s="868">
        <f t="shared" si="27"/>
        <v>0.79999999999999982</v>
      </c>
      <c r="W25" s="829">
        <v>11</v>
      </c>
      <c r="X25" s="829">
        <v>7</v>
      </c>
      <c r="Y25" s="829">
        <v>5</v>
      </c>
      <c r="Z25" s="829">
        <v>2</v>
      </c>
      <c r="AA25" s="829">
        <v>59</v>
      </c>
      <c r="AB25" s="829">
        <v>41</v>
      </c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34</v>
      </c>
      <c r="AH25" s="891" t="s">
        <v>1877</v>
      </c>
      <c r="AI25" s="891" t="s">
        <v>32</v>
      </c>
      <c r="AJ25" s="891" t="s">
        <v>32</v>
      </c>
      <c r="AK25" s="891" t="s">
        <v>34</v>
      </c>
      <c r="AL25" s="891" t="s">
        <v>32</v>
      </c>
      <c r="AM25" s="891" t="s">
        <v>32</v>
      </c>
      <c r="AN25" s="891" t="s">
        <v>34</v>
      </c>
      <c r="AO25" s="904" t="s">
        <v>36</v>
      </c>
      <c r="AP25" s="891"/>
      <c r="AQ25" s="891"/>
      <c r="AR25" s="891" t="s">
        <v>36</v>
      </c>
      <c r="AS25" s="910"/>
      <c r="AT25" s="891" t="s">
        <v>34</v>
      </c>
      <c r="AU25" s="904" t="s">
        <v>34</v>
      </c>
      <c r="AV25" s="891" t="s">
        <v>1877</v>
      </c>
      <c r="AW25" s="891" t="s">
        <v>1877</v>
      </c>
      <c r="AX25" s="891" t="s">
        <v>35</v>
      </c>
      <c r="AY25" s="891" t="s">
        <v>34</v>
      </c>
      <c r="AZ25" s="891" t="s">
        <v>35</v>
      </c>
      <c r="BA25" s="891" t="s">
        <v>36</v>
      </c>
      <c r="BB25" s="891" t="s">
        <v>1877</v>
      </c>
      <c r="BC25" s="891" t="s">
        <v>32</v>
      </c>
      <c r="BD25" s="918"/>
      <c r="BE25" s="891" t="s">
        <v>32</v>
      </c>
      <c r="BF25" s="891" t="s">
        <v>34</v>
      </c>
      <c r="BG25" s="891" t="s">
        <v>32</v>
      </c>
      <c r="BH25" s="891" t="s">
        <v>32</v>
      </c>
      <c r="BI25" s="891" t="s">
        <v>35</v>
      </c>
      <c r="BJ25" s="891" t="s">
        <v>34</v>
      </c>
      <c r="BK25" s="910"/>
      <c r="BL25" s="891"/>
      <c r="BM25" s="891" t="s">
        <v>32</v>
      </c>
      <c r="BN25" s="891"/>
      <c r="BO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15</v>
      </c>
      <c r="G26" s="879" t="s">
        <v>881</v>
      </c>
      <c r="H26" s="879" t="s">
        <v>18</v>
      </c>
      <c r="I26" s="879" t="s">
        <v>891</v>
      </c>
      <c r="J26" s="905">
        <v>1</v>
      </c>
      <c r="K26" s="905">
        <v>0</v>
      </c>
      <c r="L26" s="816" t="str">
        <f t="shared" si="19"/>
        <v>W</v>
      </c>
      <c r="M26" s="816">
        <f t="shared" si="20"/>
        <v>1</v>
      </c>
      <c r="N26" s="816" t="str">
        <f t="shared" si="28"/>
        <v>U</v>
      </c>
      <c r="O26" s="816">
        <f t="shared" si="22"/>
        <v>-0.5</v>
      </c>
      <c r="P26" s="829">
        <f t="shared" si="23"/>
        <v>1</v>
      </c>
      <c r="Q26" s="830">
        <v>0.46</v>
      </c>
      <c r="R26" s="871">
        <f t="shared" si="24"/>
        <v>0.54</v>
      </c>
      <c r="S26" s="830">
        <v>2.25</v>
      </c>
      <c r="T26" s="871">
        <f t="shared" si="25"/>
        <v>-1.25</v>
      </c>
      <c r="U26" s="868">
        <f t="shared" si="26"/>
        <v>1.355</v>
      </c>
      <c r="V26" s="868">
        <f t="shared" si="27"/>
        <v>0.89500000000000002</v>
      </c>
      <c r="W26" s="829">
        <v>18</v>
      </c>
      <c r="X26" s="829">
        <v>15</v>
      </c>
      <c r="Y26" s="829">
        <v>5</v>
      </c>
      <c r="Z26" s="829">
        <v>5</v>
      </c>
      <c r="AA26" s="829">
        <v>56</v>
      </c>
      <c r="AB26" s="829">
        <v>44</v>
      </c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34</v>
      </c>
      <c r="AH26" s="891" t="s">
        <v>32</v>
      </c>
      <c r="AI26" s="891" t="s">
        <v>1877</v>
      </c>
      <c r="AJ26" s="891" t="s">
        <v>32</v>
      </c>
      <c r="AK26" s="891" t="s">
        <v>34</v>
      </c>
      <c r="AL26" s="891" t="s">
        <v>32</v>
      </c>
      <c r="AM26" s="891" t="s">
        <v>32</v>
      </c>
      <c r="AN26" s="891" t="s">
        <v>34</v>
      </c>
      <c r="AO26" s="891" t="s">
        <v>32</v>
      </c>
      <c r="AP26" s="891" t="s">
        <v>36</v>
      </c>
      <c r="AQ26" s="891" t="s">
        <v>32</v>
      </c>
      <c r="AR26" s="891" t="s">
        <v>35</v>
      </c>
      <c r="AS26" s="910"/>
      <c r="AT26" s="891" t="s">
        <v>32</v>
      </c>
      <c r="AU26" s="891" t="s">
        <v>35</v>
      </c>
      <c r="AV26" s="904" t="s">
        <v>34</v>
      </c>
      <c r="AW26" s="891" t="s">
        <v>1877</v>
      </c>
      <c r="AX26" s="891" t="s">
        <v>35</v>
      </c>
      <c r="AY26" s="891" t="s">
        <v>34</v>
      </c>
      <c r="AZ26" s="891" t="s">
        <v>32</v>
      </c>
      <c r="BA26" s="891" t="s">
        <v>34</v>
      </c>
      <c r="BB26" s="891" t="s">
        <v>32</v>
      </c>
      <c r="BC26" s="891" t="s">
        <v>36</v>
      </c>
      <c r="BD26" s="918"/>
      <c r="BE26" s="891" t="s">
        <v>2122</v>
      </c>
      <c r="BF26" s="891" t="s">
        <v>1877</v>
      </c>
      <c r="BG26" s="891" t="s">
        <v>32</v>
      </c>
      <c r="BH26" s="891" t="s">
        <v>36</v>
      </c>
      <c r="BI26" s="891" t="s">
        <v>1877</v>
      </c>
      <c r="BJ26" s="891" t="s">
        <v>34</v>
      </c>
      <c r="BK26" s="910"/>
      <c r="BL26" s="891"/>
      <c r="BM26" s="891" t="s">
        <v>32</v>
      </c>
      <c r="BN26" s="891"/>
      <c r="BO26" s="891" t="s">
        <v>32</v>
      </c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28"/>
      <c r="CF26" s="428"/>
      <c r="CG26" s="428"/>
      <c r="CH26" s="428"/>
    </row>
    <row r="27" spans="1:115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6</v>
      </c>
      <c r="G27" s="879" t="s">
        <v>876</v>
      </c>
      <c r="H27" s="879" t="s">
        <v>22</v>
      </c>
      <c r="I27" s="879" t="s">
        <v>891</v>
      </c>
      <c r="J27" s="905">
        <v>2</v>
      </c>
      <c r="K27" s="905">
        <v>0</v>
      </c>
      <c r="L27" s="816" t="str">
        <f>IF(J27="","",IF(J27&gt;K27,"W",IF(J27=K27,"D",IF(J27&lt;K27,"L"))))</f>
        <v>W</v>
      </c>
      <c r="M27" s="816">
        <f>IF(J27="","",J27+K27)</f>
        <v>2</v>
      </c>
      <c r="N27" s="816" t="str">
        <f t="shared" si="28"/>
        <v>U</v>
      </c>
      <c r="O27" s="816">
        <f t="shared" ref="O27:O61" si="29">IF(Q27="","",IF(SIGN(Q27)&lt;&gt;1,VLOOKUP(ABS(Q27),SUP_HDC,3,TRUE),-VLOOKUP(ABS(Q27),SUP_HDC,3,TRUE)))</f>
        <v>-0.5</v>
      </c>
      <c r="P27" s="829">
        <f t="shared" ref="P27:P61" si="30">IF(O27="","",IF((J27-K27+O27)&gt;=0.5,1,IF((J27-K27+O27)=0.25,0.5,IF((J27-K27+O27)&lt;=-0.5,-1,IF((J27-K27+O27)=-0.25,-0.5,0)))))</f>
        <v>1</v>
      </c>
      <c r="Q27" s="830">
        <v>0.45</v>
      </c>
      <c r="R27" s="871">
        <f t="shared" si="24"/>
        <v>1.55</v>
      </c>
      <c r="S27" s="830">
        <v>2.4300000000000002</v>
      </c>
      <c r="T27" s="871">
        <f t="shared" ref="T27:T71" si="31">IF(ISBLANK(S27),"",J27+K27-S27)</f>
        <v>-0.43000000000000016</v>
      </c>
      <c r="U27" s="868">
        <f t="shared" ref="U27:U61" si="32">IF(Q27="","",(Q27+S27)/2)</f>
        <v>1.4400000000000002</v>
      </c>
      <c r="V27" s="868">
        <f t="shared" ref="V27:V61" si="33">IF(Q27="","",S27-U27)</f>
        <v>0.99</v>
      </c>
      <c r="W27" s="829">
        <v>14</v>
      </c>
      <c r="X27" s="829">
        <v>13</v>
      </c>
      <c r="Y27" s="829">
        <v>4</v>
      </c>
      <c r="Z27" s="829">
        <v>2</v>
      </c>
      <c r="AA27" s="829">
        <v>40</v>
      </c>
      <c r="AB27" s="829">
        <v>60</v>
      </c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 t="s">
        <v>2130</v>
      </c>
      <c r="AH27" s="891" t="s">
        <v>2126</v>
      </c>
      <c r="AI27" s="891" t="s">
        <v>1877</v>
      </c>
      <c r="AJ27" s="891" t="s">
        <v>32</v>
      </c>
      <c r="AK27" s="891" t="s">
        <v>34</v>
      </c>
      <c r="AL27" s="891" t="s">
        <v>32</v>
      </c>
      <c r="AM27" s="891" t="s">
        <v>32</v>
      </c>
      <c r="AN27" s="891" t="s">
        <v>2125</v>
      </c>
      <c r="AO27" s="891" t="s">
        <v>36</v>
      </c>
      <c r="AP27" s="891" t="s">
        <v>34</v>
      </c>
      <c r="AQ27" s="904" t="s">
        <v>35</v>
      </c>
      <c r="AR27" s="891" t="s">
        <v>2142</v>
      </c>
      <c r="AS27" s="910"/>
      <c r="AT27" s="891" t="s">
        <v>34</v>
      </c>
      <c r="AU27" s="891" t="s">
        <v>1877</v>
      </c>
      <c r="AV27" s="891" t="s">
        <v>32</v>
      </c>
      <c r="AW27" s="891" t="s">
        <v>2125</v>
      </c>
      <c r="AX27" s="904" t="s">
        <v>35</v>
      </c>
      <c r="AY27" s="891" t="s">
        <v>34</v>
      </c>
      <c r="AZ27" s="891" t="s">
        <v>2125</v>
      </c>
      <c r="BA27" s="904" t="s">
        <v>34</v>
      </c>
      <c r="BB27" s="891" t="s">
        <v>34</v>
      </c>
      <c r="BC27" s="891" t="s">
        <v>32</v>
      </c>
      <c r="BD27" s="918"/>
      <c r="BE27" s="904" t="s">
        <v>2140</v>
      </c>
      <c r="BF27" s="891" t="s">
        <v>1877</v>
      </c>
      <c r="BG27" s="891" t="s">
        <v>32</v>
      </c>
      <c r="BH27" s="891" t="s">
        <v>36</v>
      </c>
      <c r="BI27" s="891" t="s">
        <v>1877</v>
      </c>
      <c r="BJ27" s="891" t="s">
        <v>35</v>
      </c>
      <c r="BK27" s="910"/>
      <c r="BL27" s="891"/>
      <c r="BM27" s="891"/>
      <c r="BN27" s="891"/>
      <c r="BO27" s="891" t="s">
        <v>32</v>
      </c>
      <c r="BP27" s="891"/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428"/>
      <c r="CF27" s="428"/>
      <c r="CG27" s="428"/>
      <c r="CH27" s="428"/>
      <c r="CI27" s="230" t="s">
        <v>32</v>
      </c>
      <c r="CJ27" s="230" t="s">
        <v>32</v>
      </c>
      <c r="CK27" s="230" t="s">
        <v>32</v>
      </c>
      <c r="CL27" s="230" t="s">
        <v>32</v>
      </c>
      <c r="CM27" s="230" t="s">
        <v>32</v>
      </c>
      <c r="CN27" s="230" t="s">
        <v>32</v>
      </c>
      <c r="CO27" s="230" t="s">
        <v>32</v>
      </c>
    </row>
    <row r="28" spans="1:115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19</v>
      </c>
      <c r="G28" s="879" t="s">
        <v>885</v>
      </c>
      <c r="H28" s="879" t="s">
        <v>18</v>
      </c>
      <c r="I28" s="879" t="s">
        <v>891</v>
      </c>
      <c r="J28" s="905">
        <v>0</v>
      </c>
      <c r="K28" s="905">
        <v>3</v>
      </c>
      <c r="L28" s="816" t="str">
        <f>IF(J28="","",IF(J28&gt;K28,"W",IF(J28=K28,"D",IF(J28&lt;K28,"L"))))</f>
        <v>L</v>
      </c>
      <c r="M28" s="816">
        <f>IF(J28="","",J28+K28)</f>
        <v>3</v>
      </c>
      <c r="N28" s="816" t="str">
        <f t="shared" si="28"/>
        <v>O</v>
      </c>
      <c r="O28" s="816">
        <f t="shared" si="29"/>
        <v>-1</v>
      </c>
      <c r="P28" s="829">
        <f t="shared" si="30"/>
        <v>-1</v>
      </c>
      <c r="Q28" s="830">
        <v>1.02</v>
      </c>
      <c r="R28" s="871">
        <f t="shared" si="24"/>
        <v>-4.0199999999999996</v>
      </c>
      <c r="S28" s="830">
        <v>2.46</v>
      </c>
      <c r="T28" s="871">
        <f t="shared" si="31"/>
        <v>0.54</v>
      </c>
      <c r="U28" s="868">
        <f t="shared" si="32"/>
        <v>1.74</v>
      </c>
      <c r="V28" s="868">
        <f t="shared" si="33"/>
        <v>0.72</v>
      </c>
      <c r="W28" s="829">
        <v>12</v>
      </c>
      <c r="X28" s="829">
        <v>11</v>
      </c>
      <c r="Y28" s="829">
        <v>3</v>
      </c>
      <c r="Z28" s="829">
        <v>5</v>
      </c>
      <c r="AA28" s="829">
        <v>61</v>
      </c>
      <c r="AB28" s="829">
        <v>39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34</v>
      </c>
      <c r="AH28" s="891" t="s">
        <v>1884</v>
      </c>
      <c r="AI28" s="891" t="s">
        <v>1877</v>
      </c>
      <c r="AJ28" s="891" t="s">
        <v>32</v>
      </c>
      <c r="AK28" s="891" t="s">
        <v>34</v>
      </c>
      <c r="AL28" s="891" t="s">
        <v>32</v>
      </c>
      <c r="AM28" s="891" t="s">
        <v>32</v>
      </c>
      <c r="AN28" s="891" t="s">
        <v>36</v>
      </c>
      <c r="AO28" s="891" t="s">
        <v>34</v>
      </c>
      <c r="AP28" s="891" t="s">
        <v>34</v>
      </c>
      <c r="AQ28" s="891" t="s">
        <v>32</v>
      </c>
      <c r="AR28" s="891" t="s">
        <v>34</v>
      </c>
      <c r="AS28" s="910"/>
      <c r="AT28" s="904" t="s">
        <v>34</v>
      </c>
      <c r="AU28" s="891" t="s">
        <v>34</v>
      </c>
      <c r="AV28" s="891" t="s">
        <v>1877</v>
      </c>
      <c r="AW28" s="891" t="s">
        <v>36</v>
      </c>
      <c r="AX28" s="891" t="s">
        <v>1877</v>
      </c>
      <c r="AY28" s="891" t="s">
        <v>32</v>
      </c>
      <c r="AZ28" s="891" t="s">
        <v>32</v>
      </c>
      <c r="BA28" s="891" t="s">
        <v>35</v>
      </c>
      <c r="BB28" s="904" t="s">
        <v>35</v>
      </c>
      <c r="BC28" s="891" t="s">
        <v>32</v>
      </c>
      <c r="BD28" s="918"/>
      <c r="BE28" s="891" t="s">
        <v>1877</v>
      </c>
      <c r="BF28" s="891" t="s">
        <v>36</v>
      </c>
      <c r="BG28" s="891" t="s">
        <v>32</v>
      </c>
      <c r="BH28" s="891" t="s">
        <v>35</v>
      </c>
      <c r="BI28" s="891" t="s">
        <v>34</v>
      </c>
      <c r="BJ28" s="891" t="s">
        <v>2182</v>
      </c>
      <c r="BK28" s="910"/>
      <c r="BL28" s="891"/>
      <c r="BM28" s="891" t="s">
        <v>32</v>
      </c>
      <c r="BN28" s="891"/>
      <c r="BO28" s="891" t="s">
        <v>32</v>
      </c>
      <c r="BP28" s="891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28"/>
      <c r="CF28" s="428"/>
      <c r="CG28" s="428"/>
      <c r="CH28" s="428"/>
      <c r="CI28" s="230" t="s">
        <v>32</v>
      </c>
      <c r="CJ28" s="230" t="s">
        <v>32</v>
      </c>
      <c r="CK28" s="230" t="s">
        <v>32</v>
      </c>
      <c r="CL28" s="230" t="s">
        <v>32</v>
      </c>
      <c r="CM28" s="230" t="s">
        <v>32</v>
      </c>
      <c r="CN28" s="230" t="s">
        <v>32</v>
      </c>
      <c r="CO28" s="230" t="s">
        <v>32</v>
      </c>
    </row>
    <row r="29" spans="1:115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5</v>
      </c>
      <c r="G29" s="879" t="s">
        <v>889</v>
      </c>
      <c r="H29" s="879" t="s">
        <v>18</v>
      </c>
      <c r="I29" s="879" t="s">
        <v>891</v>
      </c>
      <c r="J29" s="905">
        <v>3</v>
      </c>
      <c r="K29" s="905">
        <v>2</v>
      </c>
      <c r="L29" s="816" t="str">
        <f t="shared" ref="L29:L33" si="34">IF(J29="","",IF(J29&gt;K29,"W",IF(J29=K29,"D",IF(J29&lt;K29,"L"))))</f>
        <v>W</v>
      </c>
      <c r="M29" s="816">
        <f t="shared" ref="M29:M33" si="35">IF(J29="","",J29+K29)</f>
        <v>5</v>
      </c>
      <c r="N29" s="816" t="str">
        <f t="shared" si="28"/>
        <v>O</v>
      </c>
      <c r="O29" s="816">
        <f t="shared" si="29"/>
        <v>-0.25</v>
      </c>
      <c r="P29" s="829">
        <f t="shared" si="30"/>
        <v>1</v>
      </c>
      <c r="Q29" s="830">
        <v>0.27</v>
      </c>
      <c r="R29" s="871">
        <f t="shared" si="24"/>
        <v>0.73</v>
      </c>
      <c r="S29" s="830">
        <v>2.33</v>
      </c>
      <c r="T29" s="871">
        <f t="shared" si="31"/>
        <v>2.67</v>
      </c>
      <c r="U29" s="868">
        <f t="shared" si="32"/>
        <v>1.3</v>
      </c>
      <c r="V29" s="868">
        <f t="shared" si="33"/>
        <v>1.03</v>
      </c>
      <c r="W29" s="829">
        <v>15</v>
      </c>
      <c r="X29" s="829">
        <v>18</v>
      </c>
      <c r="Y29" s="829">
        <v>8</v>
      </c>
      <c r="Z29" s="829">
        <v>7</v>
      </c>
      <c r="AA29" s="829">
        <v>34</v>
      </c>
      <c r="AB29" s="829">
        <v>66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34</v>
      </c>
      <c r="AH29" s="891" t="s">
        <v>1884</v>
      </c>
      <c r="AI29" s="891" t="s">
        <v>1877</v>
      </c>
      <c r="AJ29" s="891" t="s">
        <v>36</v>
      </c>
      <c r="AK29" s="891" t="s">
        <v>34</v>
      </c>
      <c r="AL29" s="891" t="s">
        <v>32</v>
      </c>
      <c r="AM29" s="891" t="s">
        <v>35</v>
      </c>
      <c r="AN29" s="891" t="s">
        <v>34</v>
      </c>
      <c r="AO29" s="230" t="s">
        <v>32</v>
      </c>
      <c r="AP29" s="904" t="s">
        <v>34</v>
      </c>
      <c r="AQ29" s="891" t="s">
        <v>32</v>
      </c>
      <c r="AR29" s="891" t="s">
        <v>34</v>
      </c>
      <c r="AS29" s="910"/>
      <c r="AT29" s="904" t="s">
        <v>2203</v>
      </c>
      <c r="AU29" s="891" t="s">
        <v>1877</v>
      </c>
      <c r="AV29" s="891" t="s">
        <v>34</v>
      </c>
      <c r="AW29" s="891" t="s">
        <v>35</v>
      </c>
      <c r="AX29" s="891" t="s">
        <v>34</v>
      </c>
      <c r="AY29" s="891" t="s">
        <v>32</v>
      </c>
      <c r="AZ29" s="891" t="s">
        <v>32</v>
      </c>
      <c r="BA29" s="891" t="s">
        <v>36</v>
      </c>
      <c r="BB29" s="891" t="s">
        <v>32</v>
      </c>
      <c r="BC29" s="891" t="s">
        <v>32</v>
      </c>
      <c r="BD29" s="918"/>
      <c r="BE29" s="891" t="s">
        <v>2204</v>
      </c>
      <c r="BF29" s="891" t="s">
        <v>32</v>
      </c>
      <c r="BG29" s="891" t="s">
        <v>1877</v>
      </c>
      <c r="BH29" s="904" t="s">
        <v>36</v>
      </c>
      <c r="BI29" s="891" t="s">
        <v>1877</v>
      </c>
      <c r="BJ29" s="891" t="s">
        <v>2182</v>
      </c>
      <c r="BK29" s="910"/>
      <c r="BL29" s="891"/>
      <c r="BM29" s="891" t="s">
        <v>32</v>
      </c>
      <c r="BN29" s="891"/>
      <c r="BO29" s="891" t="s">
        <v>32</v>
      </c>
      <c r="BP29" s="891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1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6" t="s">
        <v>32</v>
      </c>
      <c r="CM29" s="6" t="s">
        <v>32</v>
      </c>
      <c r="CN29" s="6" t="s">
        <v>32</v>
      </c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20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18</v>
      </c>
      <c r="G30" s="879" t="s">
        <v>887</v>
      </c>
      <c r="H30" s="879" t="s">
        <v>22</v>
      </c>
      <c r="I30" s="879" t="s">
        <v>891</v>
      </c>
      <c r="J30" s="905">
        <v>3</v>
      </c>
      <c r="K30" s="905">
        <v>3</v>
      </c>
      <c r="L30" s="816" t="str">
        <f t="shared" si="34"/>
        <v>D</v>
      </c>
      <c r="M30" s="816">
        <f t="shared" si="35"/>
        <v>6</v>
      </c>
      <c r="N30" s="816" t="str">
        <f t="shared" si="28"/>
        <v>O</v>
      </c>
      <c r="O30" s="816">
        <f t="shared" si="29"/>
        <v>-0.5</v>
      </c>
      <c r="P30" s="829">
        <f t="shared" si="30"/>
        <v>-1</v>
      </c>
      <c r="Q30" s="830">
        <v>0.6</v>
      </c>
      <c r="R30" s="871">
        <f t="shared" si="24"/>
        <v>-0.6</v>
      </c>
      <c r="S30" s="830">
        <v>2.44</v>
      </c>
      <c r="T30" s="871">
        <f t="shared" si="31"/>
        <v>3.56</v>
      </c>
      <c r="U30" s="868">
        <f t="shared" si="32"/>
        <v>1.52</v>
      </c>
      <c r="V30" s="868">
        <f t="shared" si="33"/>
        <v>0.91999999999999993</v>
      </c>
      <c r="W30" s="829">
        <v>17</v>
      </c>
      <c r="X30" s="829">
        <v>10</v>
      </c>
      <c r="Y30" s="829">
        <v>6</v>
      </c>
      <c r="Z30" s="829">
        <v>3</v>
      </c>
      <c r="AA30" s="829">
        <v>34</v>
      </c>
      <c r="AB30" s="829">
        <v>64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34</v>
      </c>
      <c r="AH30" s="891" t="s">
        <v>1884</v>
      </c>
      <c r="AI30" s="891" t="s">
        <v>1877</v>
      </c>
      <c r="AJ30" s="891" t="s">
        <v>1877</v>
      </c>
      <c r="AK30" s="891" t="s">
        <v>34</v>
      </c>
      <c r="AL30" s="891" t="s">
        <v>32</v>
      </c>
      <c r="AM30" s="891" t="s">
        <v>36</v>
      </c>
      <c r="AN30" s="891" t="s">
        <v>35</v>
      </c>
      <c r="AO30" s="891" t="s">
        <v>32</v>
      </c>
      <c r="AP30" s="891" t="s">
        <v>2242</v>
      </c>
      <c r="AQ30" s="891" t="s">
        <v>32</v>
      </c>
      <c r="AR30" s="904" t="s">
        <v>34</v>
      </c>
      <c r="AS30" s="910"/>
      <c r="AT30" s="891" t="s">
        <v>2242</v>
      </c>
      <c r="AU30" s="891" t="s">
        <v>36</v>
      </c>
      <c r="AV30" s="891" t="s">
        <v>34</v>
      </c>
      <c r="AW30" s="891" t="s">
        <v>1877</v>
      </c>
      <c r="AX30" s="891" t="s">
        <v>35</v>
      </c>
      <c r="AY30" s="891" t="s">
        <v>32</v>
      </c>
      <c r="AZ30" s="891" t="s">
        <v>32</v>
      </c>
      <c r="BA30" s="891" t="s">
        <v>34</v>
      </c>
      <c r="BB30" s="891" t="s">
        <v>35</v>
      </c>
      <c r="BC30" s="891" t="s">
        <v>32</v>
      </c>
      <c r="BD30" s="918"/>
      <c r="BE30" s="891" t="s">
        <v>2243</v>
      </c>
      <c r="BF30" s="891" t="s">
        <v>32</v>
      </c>
      <c r="BG30" s="891" t="s">
        <v>32</v>
      </c>
      <c r="BH30" s="891" t="s">
        <v>1877</v>
      </c>
      <c r="BI30" s="891" t="s">
        <v>36</v>
      </c>
      <c r="BJ30" s="891" t="s">
        <v>2182</v>
      </c>
      <c r="BK30" s="910"/>
      <c r="BL30" s="891"/>
      <c r="BM30" s="891" t="s">
        <v>32</v>
      </c>
      <c r="BN30" s="891"/>
      <c r="BO30" s="891" t="s">
        <v>32</v>
      </c>
      <c r="BP30" s="891"/>
      <c r="BQ30" s="891"/>
      <c r="BR30" s="891"/>
      <c r="BS30" s="891"/>
      <c r="BT30" s="896"/>
      <c r="BU30" s="896"/>
      <c r="BV30" s="896"/>
      <c r="BW30" s="896"/>
      <c r="BX30" s="891"/>
      <c r="BY30" s="891"/>
      <c r="BZ30" s="891"/>
      <c r="CA30" s="891"/>
      <c r="CB30" s="891"/>
      <c r="CC30" s="891"/>
      <c r="CD30" s="891"/>
      <c r="CE30" s="865"/>
      <c r="CF30" s="865"/>
      <c r="CG30" s="865"/>
      <c r="CH30" s="865"/>
      <c r="CI30" s="865" t="s">
        <v>32</v>
      </c>
      <c r="CJ30" s="865" t="s">
        <v>32</v>
      </c>
      <c r="CK30" s="865" t="s">
        <v>32</v>
      </c>
      <c r="CL30" s="4" t="s">
        <v>32</v>
      </c>
      <c r="CM30" s="6" t="s">
        <v>32</v>
      </c>
      <c r="CN30" s="6" t="s">
        <v>32</v>
      </c>
      <c r="CO30" s="6" t="s">
        <v>32</v>
      </c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9</v>
      </c>
      <c r="G31" s="879" t="s">
        <v>1083</v>
      </c>
      <c r="H31" s="879" t="s">
        <v>22</v>
      </c>
      <c r="I31" s="879" t="s">
        <v>891</v>
      </c>
      <c r="J31" s="911">
        <v>0</v>
      </c>
      <c r="K31" s="905">
        <v>1</v>
      </c>
      <c r="L31" s="816" t="str">
        <f t="shared" si="34"/>
        <v>L</v>
      </c>
      <c r="M31" s="816">
        <f t="shared" si="35"/>
        <v>1</v>
      </c>
      <c r="N31" s="816" t="str">
        <f t="shared" si="28"/>
        <v>U</v>
      </c>
      <c r="O31" s="816">
        <f t="shared" si="29"/>
        <v>-0.25</v>
      </c>
      <c r="P31" s="829">
        <f t="shared" si="30"/>
        <v>-1</v>
      </c>
      <c r="Q31" s="830">
        <v>0.3</v>
      </c>
      <c r="R31" s="871">
        <f t="shared" si="24"/>
        <v>-1.3</v>
      </c>
      <c r="S31" s="830">
        <v>2.39</v>
      </c>
      <c r="T31" s="871">
        <f t="shared" si="31"/>
        <v>-1.3900000000000001</v>
      </c>
      <c r="U31" s="868">
        <f t="shared" si="32"/>
        <v>1.345</v>
      </c>
      <c r="V31" s="868">
        <f t="shared" si="33"/>
        <v>1.0450000000000002</v>
      </c>
      <c r="W31" s="829">
        <v>26</v>
      </c>
      <c r="X31" s="829">
        <v>12</v>
      </c>
      <c r="Y31" s="829">
        <v>6</v>
      </c>
      <c r="Z31" s="829">
        <v>4</v>
      </c>
      <c r="AA31" s="829">
        <v>52</v>
      </c>
      <c r="AB31" s="829">
        <v>48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34</v>
      </c>
      <c r="AH31" s="891" t="s">
        <v>1884</v>
      </c>
      <c r="AI31" s="891" t="s">
        <v>1877</v>
      </c>
      <c r="AJ31" s="891" t="s">
        <v>32</v>
      </c>
      <c r="AK31" s="909" t="s">
        <v>34</v>
      </c>
      <c r="AL31" s="891" t="s">
        <v>1877</v>
      </c>
      <c r="AM31" s="891" t="s">
        <v>32</v>
      </c>
      <c r="AN31" s="891" t="s">
        <v>34</v>
      </c>
      <c r="AO31" s="891" t="s">
        <v>32</v>
      </c>
      <c r="AP31" s="904" t="s">
        <v>34</v>
      </c>
      <c r="AQ31" s="891" t="s">
        <v>32</v>
      </c>
      <c r="AR31" s="891" t="s">
        <v>34</v>
      </c>
      <c r="AS31" s="910"/>
      <c r="AT31" s="891" t="s">
        <v>34</v>
      </c>
      <c r="AU31" s="891" t="s">
        <v>1877</v>
      </c>
      <c r="AV31" s="891" t="s">
        <v>35</v>
      </c>
      <c r="AW31" s="891" t="s">
        <v>34</v>
      </c>
      <c r="AX31" s="891" t="s">
        <v>35</v>
      </c>
      <c r="AY31" s="891" t="s">
        <v>36</v>
      </c>
      <c r="AZ31" s="891" t="s">
        <v>32</v>
      </c>
      <c r="BA31" s="891" t="s">
        <v>35</v>
      </c>
      <c r="BB31" s="891" t="s">
        <v>1877</v>
      </c>
      <c r="BC31" s="891" t="s">
        <v>32</v>
      </c>
      <c r="BD31" s="918"/>
      <c r="BE31" s="891" t="s">
        <v>36</v>
      </c>
      <c r="BF31" s="891" t="s">
        <v>32</v>
      </c>
      <c r="BG31" s="891" t="s">
        <v>32</v>
      </c>
      <c r="BH31" s="891" t="s">
        <v>34</v>
      </c>
      <c r="BI31" s="891" t="s">
        <v>36</v>
      </c>
      <c r="BJ31" s="891" t="s">
        <v>2182</v>
      </c>
      <c r="BK31" s="910"/>
      <c r="BL31" s="891"/>
      <c r="BM31" s="891" t="s">
        <v>32</v>
      </c>
      <c r="BN31" s="891"/>
      <c r="BO31" s="891" t="s">
        <v>32</v>
      </c>
      <c r="BP31" s="891"/>
      <c r="BQ31" s="891"/>
      <c r="BR31" s="891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"/>
      <c r="CF31" s="4"/>
      <c r="CG31" s="4"/>
      <c r="CH31" s="4"/>
      <c r="CI31" s="4" t="s">
        <v>32</v>
      </c>
      <c r="CJ31" s="4" t="s">
        <v>32</v>
      </c>
      <c r="CK31" s="4" t="s">
        <v>32</v>
      </c>
      <c r="CL31" s="4" t="s">
        <v>32</v>
      </c>
      <c r="CM31" s="6" t="s">
        <v>32</v>
      </c>
      <c r="CN31" s="6" t="s">
        <v>32</v>
      </c>
      <c r="CO31" s="6" t="s">
        <v>32</v>
      </c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13</v>
      </c>
      <c r="G32" s="879" t="s">
        <v>884</v>
      </c>
      <c r="H32" s="879" t="s">
        <v>18</v>
      </c>
      <c r="I32" s="879" t="s">
        <v>891</v>
      </c>
      <c r="J32" s="905">
        <v>2</v>
      </c>
      <c r="K32" s="905">
        <v>0</v>
      </c>
      <c r="L32" s="816" t="str">
        <f t="shared" si="34"/>
        <v>W</v>
      </c>
      <c r="M32" s="816">
        <f t="shared" si="35"/>
        <v>2</v>
      </c>
      <c r="N32" s="816" t="str">
        <f t="shared" si="28"/>
        <v>U</v>
      </c>
      <c r="O32" s="816">
        <f t="shared" si="29"/>
        <v>-0.25</v>
      </c>
      <c r="P32" s="829">
        <f t="shared" si="30"/>
        <v>1</v>
      </c>
      <c r="Q32" s="830">
        <v>0.2</v>
      </c>
      <c r="R32" s="871">
        <f t="shared" si="24"/>
        <v>1.8</v>
      </c>
      <c r="S32" s="830">
        <v>2.35</v>
      </c>
      <c r="T32" s="871">
        <f t="shared" si="31"/>
        <v>-0.35000000000000009</v>
      </c>
      <c r="U32" s="868">
        <f t="shared" si="32"/>
        <v>1.2750000000000001</v>
      </c>
      <c r="V32" s="868">
        <f t="shared" si="33"/>
        <v>1.075</v>
      </c>
      <c r="W32" s="829">
        <v>15</v>
      </c>
      <c r="X32" s="829">
        <v>6</v>
      </c>
      <c r="Y32" s="829">
        <v>5</v>
      </c>
      <c r="Z32" s="829">
        <v>1</v>
      </c>
      <c r="AA32" s="829">
        <v>51</v>
      </c>
      <c r="AB32" s="829">
        <v>49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 t="s">
        <v>2333</v>
      </c>
      <c r="AH32" s="891" t="s">
        <v>2126</v>
      </c>
      <c r="AI32" s="891" t="s">
        <v>2351</v>
      </c>
      <c r="AJ32" s="891" t="s">
        <v>2334</v>
      </c>
      <c r="AK32" s="891" t="s">
        <v>2404</v>
      </c>
      <c r="AL32" s="891"/>
      <c r="AM32" s="891" t="s">
        <v>2334</v>
      </c>
      <c r="AN32" s="891" t="s">
        <v>1879</v>
      </c>
      <c r="AO32" s="891"/>
      <c r="AP32" s="891" t="s">
        <v>1946</v>
      </c>
      <c r="AQ32" s="891"/>
      <c r="AR32" s="891" t="s">
        <v>2350</v>
      </c>
      <c r="AS32" s="910"/>
      <c r="AT32" s="891" t="s">
        <v>2334</v>
      </c>
      <c r="AU32" s="891" t="s">
        <v>2351</v>
      </c>
      <c r="AV32" s="891" t="s">
        <v>2334</v>
      </c>
      <c r="AW32" s="891" t="s">
        <v>2351</v>
      </c>
      <c r="AX32" s="891" t="s">
        <v>871</v>
      </c>
      <c r="AY32" s="891" t="s">
        <v>2334</v>
      </c>
      <c r="AZ32" s="891"/>
      <c r="BA32" s="891" t="s">
        <v>2350</v>
      </c>
      <c r="BB32" s="891" t="s">
        <v>2351</v>
      </c>
      <c r="BC32" s="891"/>
      <c r="BD32" s="918"/>
      <c r="BE32" s="891" t="s">
        <v>871</v>
      </c>
      <c r="BF32" s="891" t="s">
        <v>2350</v>
      </c>
      <c r="BG32" s="891"/>
      <c r="BH32" s="891"/>
      <c r="BI32" s="891" t="s">
        <v>2334</v>
      </c>
      <c r="BJ32" s="891" t="s">
        <v>2182</v>
      </c>
      <c r="BK32" s="910"/>
      <c r="BL32" s="891"/>
      <c r="BM32" s="891"/>
      <c r="BN32" s="891"/>
      <c r="BO32" s="891"/>
      <c r="BP32" s="891"/>
      <c r="BQ32" s="896"/>
      <c r="BR32" s="896"/>
      <c r="BS32" s="891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4"/>
      <c r="CF32" s="4"/>
      <c r="CG32" s="4"/>
      <c r="CH32" s="4"/>
      <c r="CI32" s="4" t="s">
        <v>32</v>
      </c>
      <c r="CJ32" s="4" t="s">
        <v>32</v>
      </c>
      <c r="CK32" s="4" t="s">
        <v>32</v>
      </c>
      <c r="CL32" s="4" t="s">
        <v>32</v>
      </c>
      <c r="CM32" s="6" t="s">
        <v>32</v>
      </c>
      <c r="CN32" s="6" t="s">
        <v>32</v>
      </c>
      <c r="CO32" s="6" t="s">
        <v>32</v>
      </c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20</v>
      </c>
      <c r="G33" s="879" t="s">
        <v>882</v>
      </c>
      <c r="H33" s="879" t="s">
        <v>22</v>
      </c>
      <c r="I33" s="879" t="s">
        <v>891</v>
      </c>
      <c r="J33" s="905">
        <v>1</v>
      </c>
      <c r="K33" s="905">
        <v>0</v>
      </c>
      <c r="L33" s="816" t="str">
        <f t="shared" si="34"/>
        <v>W</v>
      </c>
      <c r="M33" s="816">
        <f t="shared" si="35"/>
        <v>1</v>
      </c>
      <c r="N33" s="816" t="str">
        <f t="shared" si="28"/>
        <v>U</v>
      </c>
      <c r="O33" s="816">
        <f t="shared" si="29"/>
        <v>-0.75</v>
      </c>
      <c r="P33" s="829">
        <f t="shared" si="30"/>
        <v>0.5</v>
      </c>
      <c r="Q33" s="830">
        <v>0.8</v>
      </c>
      <c r="R33" s="871">
        <f t="shared" si="24"/>
        <v>0.19999999999999996</v>
      </c>
      <c r="S33" s="830">
        <v>2.73</v>
      </c>
      <c r="T33" s="871">
        <f t="shared" si="31"/>
        <v>-1.73</v>
      </c>
      <c r="U33" s="868">
        <f t="shared" si="32"/>
        <v>1.7650000000000001</v>
      </c>
      <c r="V33" s="868">
        <f t="shared" si="33"/>
        <v>0.96499999999999986</v>
      </c>
      <c r="W33" s="829">
        <v>7</v>
      </c>
      <c r="X33" s="829">
        <v>6</v>
      </c>
      <c r="Y33" s="829">
        <v>1</v>
      </c>
      <c r="Z33" s="829">
        <v>0</v>
      </c>
      <c r="AA33" s="829">
        <v>48</v>
      </c>
      <c r="AB33" s="829">
        <v>52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34</v>
      </c>
      <c r="AH33" s="891" t="s">
        <v>1884</v>
      </c>
      <c r="AI33" s="891" t="s">
        <v>1877</v>
      </c>
      <c r="AJ33" s="891" t="s">
        <v>35</v>
      </c>
      <c r="AK33" s="891" t="s">
        <v>32</v>
      </c>
      <c r="AL33" s="891" t="s">
        <v>32</v>
      </c>
      <c r="AM33" s="891" t="s">
        <v>1877</v>
      </c>
      <c r="AN33" s="891" t="s">
        <v>34</v>
      </c>
      <c r="AO33" s="891" t="s">
        <v>32</v>
      </c>
      <c r="AP33" s="891" t="s">
        <v>34</v>
      </c>
      <c r="AQ33" s="891" t="s">
        <v>32</v>
      </c>
      <c r="AR33" s="891" t="s">
        <v>34</v>
      </c>
      <c r="AS33" s="910"/>
      <c r="AT33" s="891" t="s">
        <v>2417</v>
      </c>
      <c r="AU33" s="904" t="s">
        <v>36</v>
      </c>
      <c r="AV33" s="891" t="s">
        <v>34</v>
      </c>
      <c r="AW33" s="891" t="s">
        <v>1877</v>
      </c>
      <c r="AX33" s="891" t="s">
        <v>35</v>
      </c>
      <c r="AY33" s="891" t="s">
        <v>34</v>
      </c>
      <c r="AZ33" s="891" t="s">
        <v>32</v>
      </c>
      <c r="BA33" s="891" t="s">
        <v>36</v>
      </c>
      <c r="BB33" s="891" t="s">
        <v>32</v>
      </c>
      <c r="BC33" s="891" t="s">
        <v>32</v>
      </c>
      <c r="BD33" s="918"/>
      <c r="BE33" s="891" t="s">
        <v>34</v>
      </c>
      <c r="BF33" s="891" t="s">
        <v>32</v>
      </c>
      <c r="BG33" s="891" t="s">
        <v>1877</v>
      </c>
      <c r="BH33" s="891" t="s">
        <v>36</v>
      </c>
      <c r="BI33" s="891" t="s">
        <v>35</v>
      </c>
      <c r="BJ33" s="891" t="s">
        <v>2182</v>
      </c>
      <c r="BK33" s="910"/>
      <c r="BL33" s="891"/>
      <c r="BM33" s="891" t="s">
        <v>32</v>
      </c>
      <c r="BN33" s="891"/>
      <c r="BO33" s="891" t="s">
        <v>32</v>
      </c>
      <c r="BP33" s="891"/>
      <c r="BQ33" s="896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428"/>
      <c r="CF33" s="428"/>
      <c r="CG33" s="428"/>
      <c r="CH33" s="428"/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16</v>
      </c>
      <c r="G34" s="879" t="s">
        <v>872</v>
      </c>
      <c r="H34" s="879" t="s">
        <v>18</v>
      </c>
      <c r="I34" s="879" t="s">
        <v>891</v>
      </c>
      <c r="J34" s="905">
        <v>0</v>
      </c>
      <c r="K34" s="905">
        <v>0</v>
      </c>
      <c r="L34" s="816" t="str">
        <f>IF(J34="","",IF(J34&gt;K34,"W",IF(J34=K34,"D",IF(J34&lt;K34,"L"))))</f>
        <v>D</v>
      </c>
      <c r="M34" s="816">
        <f>IF(J34="","",J34+K34)</f>
        <v>0</v>
      </c>
      <c r="N34" s="816" t="str">
        <f>IF($J34="","",IF($M34&gt;N$19,"O",IF($M34&lt;N$19,"U",IF($M34=N$19,"-"))))</f>
        <v>U</v>
      </c>
      <c r="O34" s="816">
        <f t="shared" si="29"/>
        <v>-0.25</v>
      </c>
      <c r="P34" s="829">
        <f t="shared" si="30"/>
        <v>-0.5</v>
      </c>
      <c r="Q34" s="830">
        <v>0.14000000000000001</v>
      </c>
      <c r="R34" s="871">
        <f t="shared" si="24"/>
        <v>-0.14000000000000001</v>
      </c>
      <c r="S34" s="830">
        <v>2.39</v>
      </c>
      <c r="T34" s="871">
        <f t="shared" si="31"/>
        <v>-2.39</v>
      </c>
      <c r="U34" s="868">
        <f t="shared" si="32"/>
        <v>1.2650000000000001</v>
      </c>
      <c r="V34" s="868">
        <f t="shared" si="33"/>
        <v>1.125</v>
      </c>
      <c r="W34" s="829">
        <v>10</v>
      </c>
      <c r="X34" s="829">
        <v>15</v>
      </c>
      <c r="Y34" s="829">
        <v>1</v>
      </c>
      <c r="Z34" s="829">
        <v>4</v>
      </c>
      <c r="AA34" s="829">
        <v>52</v>
      </c>
      <c r="AB34" s="829">
        <v>48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34</v>
      </c>
      <c r="AH34" s="891" t="s">
        <v>1884</v>
      </c>
      <c r="AI34" s="891" t="s">
        <v>1877</v>
      </c>
      <c r="AJ34" s="891" t="s">
        <v>32</v>
      </c>
      <c r="AK34" s="904" t="s">
        <v>34</v>
      </c>
      <c r="AL34" s="891" t="s">
        <v>32</v>
      </c>
      <c r="AM34" s="891" t="s">
        <v>35</v>
      </c>
      <c r="AN34" s="891" t="s">
        <v>34</v>
      </c>
      <c r="AO34" s="891" t="s">
        <v>32</v>
      </c>
      <c r="AP34" s="891" t="s">
        <v>34</v>
      </c>
      <c r="AQ34" s="891" t="s">
        <v>32</v>
      </c>
      <c r="AR34" s="891" t="s">
        <v>34</v>
      </c>
      <c r="AS34" s="910"/>
      <c r="AT34" s="891" t="s">
        <v>34</v>
      </c>
      <c r="AU34" s="891" t="s">
        <v>35</v>
      </c>
      <c r="AV34" s="891" t="s">
        <v>36</v>
      </c>
      <c r="AW34" s="904" t="s">
        <v>35</v>
      </c>
      <c r="AX34" s="891" t="s">
        <v>32</v>
      </c>
      <c r="AY34" s="891" t="s">
        <v>32</v>
      </c>
      <c r="AZ34" s="891" t="s">
        <v>32</v>
      </c>
      <c r="BA34" s="906" t="s">
        <v>2446</v>
      </c>
      <c r="BB34" s="891" t="s">
        <v>32</v>
      </c>
      <c r="BC34" s="891" t="s">
        <v>32</v>
      </c>
      <c r="BD34" s="918"/>
      <c r="BE34" s="904" t="s">
        <v>34</v>
      </c>
      <c r="BF34" s="891" t="s">
        <v>1877</v>
      </c>
      <c r="BG34" s="891" t="s">
        <v>1877</v>
      </c>
      <c r="BH34" s="891" t="s">
        <v>34</v>
      </c>
      <c r="BI34" s="891" t="s">
        <v>1877</v>
      </c>
      <c r="BJ34" s="891" t="s">
        <v>2182</v>
      </c>
      <c r="BK34" s="910"/>
      <c r="BL34" s="891"/>
      <c r="BM34" s="891" t="s">
        <v>32</v>
      </c>
      <c r="BN34" s="891"/>
      <c r="BO34" s="891" t="s">
        <v>36</v>
      </c>
      <c r="BP34" s="891"/>
      <c r="BQ34" s="896"/>
      <c r="BR34" s="896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428"/>
      <c r="CF34" s="428"/>
      <c r="CG34" s="428"/>
      <c r="CH34" s="428"/>
      <c r="CI34" s="230" t="s">
        <v>32</v>
      </c>
      <c r="CJ34" s="230" t="s">
        <v>32</v>
      </c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21</v>
      </c>
      <c r="G35" s="879" t="s">
        <v>890</v>
      </c>
      <c r="H35" s="879" t="s">
        <v>18</v>
      </c>
      <c r="I35" s="879" t="s">
        <v>891</v>
      </c>
      <c r="J35" s="905">
        <v>1</v>
      </c>
      <c r="K35" s="905">
        <v>0</v>
      </c>
      <c r="L35" s="816" t="str">
        <f>IF(J35="","",IF(J35&gt;K35,"W",IF(J35=K35,"D",IF(J35&lt;K35,"L"))))</f>
        <v>W</v>
      </c>
      <c r="M35" s="816">
        <f>IF(J35="","",J35+K35)</f>
        <v>1</v>
      </c>
      <c r="N35" s="816" t="str">
        <f>IF($J35="","",IF($M35&gt;N$19,"O",IF($M35&lt;N$19,"U",IF($M35=N$19,"-"))))</f>
        <v>U</v>
      </c>
      <c r="O35" s="816">
        <f t="shared" si="29"/>
        <v>-0.5</v>
      </c>
      <c r="P35" s="829">
        <f t="shared" si="30"/>
        <v>1</v>
      </c>
      <c r="Q35" s="830">
        <v>0.6</v>
      </c>
      <c r="R35" s="871">
        <f t="shared" si="24"/>
        <v>0.4</v>
      </c>
      <c r="S35" s="830">
        <v>2.39</v>
      </c>
      <c r="T35" s="871">
        <f t="shared" si="31"/>
        <v>-1.3900000000000001</v>
      </c>
      <c r="U35" s="868">
        <f t="shared" si="32"/>
        <v>1.4950000000000001</v>
      </c>
      <c r="V35" s="868">
        <f t="shared" si="33"/>
        <v>0.89500000000000002</v>
      </c>
      <c r="W35" s="829">
        <v>10</v>
      </c>
      <c r="X35" s="829">
        <v>9</v>
      </c>
      <c r="Y35" s="829">
        <v>3</v>
      </c>
      <c r="Z35" s="829">
        <v>2</v>
      </c>
      <c r="AA35" s="829">
        <v>53</v>
      </c>
      <c r="AB35" s="829">
        <v>47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34</v>
      </c>
      <c r="AH35" s="891" t="s">
        <v>1884</v>
      </c>
      <c r="AI35" s="891" t="s">
        <v>1877</v>
      </c>
      <c r="AJ35" s="891" t="s">
        <v>32</v>
      </c>
      <c r="AK35" s="891" t="s">
        <v>34</v>
      </c>
      <c r="AL35" s="891" t="s">
        <v>1877</v>
      </c>
      <c r="AM35" s="891" t="s">
        <v>1877</v>
      </c>
      <c r="AN35" s="891" t="s">
        <v>2125</v>
      </c>
      <c r="AO35" s="891" t="s">
        <v>32</v>
      </c>
      <c r="AP35" s="891" t="s">
        <v>34</v>
      </c>
      <c r="AQ35" s="891" t="s">
        <v>32</v>
      </c>
      <c r="AR35" s="904" t="s">
        <v>34</v>
      </c>
      <c r="AS35" s="910"/>
      <c r="AT35" s="891" t="s">
        <v>34</v>
      </c>
      <c r="AU35" s="891" t="s">
        <v>35</v>
      </c>
      <c r="AV35" s="891" t="s">
        <v>34</v>
      </c>
      <c r="AW35" s="891" t="s">
        <v>2482</v>
      </c>
      <c r="AX35" s="891" t="s">
        <v>35</v>
      </c>
      <c r="AY35" s="891" t="s">
        <v>34</v>
      </c>
      <c r="AZ35" s="891" t="s">
        <v>32</v>
      </c>
      <c r="BA35" s="891" t="s">
        <v>36</v>
      </c>
      <c r="BB35" s="891" t="s">
        <v>35</v>
      </c>
      <c r="BC35" s="891" t="s">
        <v>32</v>
      </c>
      <c r="BD35" s="918"/>
      <c r="BE35" s="891" t="s">
        <v>2481</v>
      </c>
      <c r="BF35" s="891" t="s">
        <v>32</v>
      </c>
      <c r="BG35" s="891" t="s">
        <v>36</v>
      </c>
      <c r="BH35" s="891" t="s">
        <v>32</v>
      </c>
      <c r="BI35" s="891" t="s">
        <v>1877</v>
      </c>
      <c r="BJ35" s="891" t="s">
        <v>2182</v>
      </c>
      <c r="BK35" s="910"/>
      <c r="BL35" s="891"/>
      <c r="BM35" s="891" t="s">
        <v>32</v>
      </c>
      <c r="BN35" s="891"/>
      <c r="BO35" s="891" t="s">
        <v>36</v>
      </c>
      <c r="BP35" s="891"/>
      <c r="BQ35" s="891"/>
      <c r="BR35" s="891"/>
      <c r="BS35" s="891"/>
      <c r="BT35" s="896"/>
      <c r="BU35" s="896"/>
      <c r="BV35" s="896"/>
      <c r="BW35" s="896"/>
      <c r="BX35" s="896"/>
      <c r="BY35" s="896"/>
      <c r="BZ35" s="896"/>
      <c r="CA35" s="896"/>
      <c r="CB35" s="896"/>
      <c r="CC35" s="896"/>
      <c r="CD35" s="896"/>
      <c r="CE35" s="428"/>
      <c r="CF35" s="428"/>
      <c r="CG35" s="428"/>
      <c r="CH35" s="428"/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4</v>
      </c>
      <c r="G36" s="879" t="s">
        <v>1084</v>
      </c>
      <c r="H36" s="879" t="s">
        <v>22</v>
      </c>
      <c r="I36" s="879" t="s">
        <v>891</v>
      </c>
      <c r="J36" s="905">
        <v>0</v>
      </c>
      <c r="K36" s="905">
        <v>3</v>
      </c>
      <c r="L36" s="816" t="str">
        <f t="shared" ref="L36:L66" si="36">IF(J36="","",IF(J36&gt;K36,"W",IF(J36=K36,"D",IF(J36&lt;K36,"L"))))</f>
        <v>L</v>
      </c>
      <c r="M36" s="816">
        <f t="shared" ref="M36:M66" si="37">IF(J36="","",J36+K36)</f>
        <v>3</v>
      </c>
      <c r="N36" s="816" t="str">
        <f t="shared" ref="N36:N66" si="38">IF($J36="","",IF($M36&gt;N$19,"O",IF($M36&lt;N$19,"U",IF($M36=N$19,"-"))))</f>
        <v>O</v>
      </c>
      <c r="O36" s="816">
        <f t="shared" si="29"/>
        <v>-0.25</v>
      </c>
      <c r="P36" s="829">
        <f t="shared" si="30"/>
        <v>-1</v>
      </c>
      <c r="Q36" s="830">
        <v>0.26</v>
      </c>
      <c r="R36" s="871">
        <f t="shared" si="24"/>
        <v>-3.26</v>
      </c>
      <c r="S36" s="830">
        <v>2.4</v>
      </c>
      <c r="T36" s="871">
        <f t="shared" si="31"/>
        <v>0.60000000000000009</v>
      </c>
      <c r="U36" s="868">
        <f t="shared" si="32"/>
        <v>1.33</v>
      </c>
      <c r="V36" s="868">
        <f t="shared" si="33"/>
        <v>1.0699999999999998</v>
      </c>
      <c r="W36" s="829">
        <v>20</v>
      </c>
      <c r="X36" s="829">
        <v>9</v>
      </c>
      <c r="Y36" s="829">
        <v>3</v>
      </c>
      <c r="Z36" s="829">
        <v>5</v>
      </c>
      <c r="AA36" s="829">
        <v>63</v>
      </c>
      <c r="AB36" s="829">
        <v>37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34</v>
      </c>
      <c r="AH36" s="891" t="s">
        <v>1884</v>
      </c>
      <c r="AI36" s="891" t="s">
        <v>1877</v>
      </c>
      <c r="AJ36" s="891" t="s">
        <v>32</v>
      </c>
      <c r="AK36" s="891" t="s">
        <v>34</v>
      </c>
      <c r="AL36" s="891" t="s">
        <v>1877</v>
      </c>
      <c r="AM36" s="891" t="s">
        <v>35</v>
      </c>
      <c r="AN36" s="891" t="s">
        <v>2125</v>
      </c>
      <c r="AO36" s="891" t="s">
        <v>32</v>
      </c>
      <c r="AP36" s="891" t="s">
        <v>34</v>
      </c>
      <c r="AQ36" s="891" t="s">
        <v>32</v>
      </c>
      <c r="AR36" s="891" t="s">
        <v>1877</v>
      </c>
      <c r="AS36" s="910"/>
      <c r="AT36" s="904" t="s">
        <v>34</v>
      </c>
      <c r="AU36" s="891" t="s">
        <v>34</v>
      </c>
      <c r="AV36" s="891" t="s">
        <v>34</v>
      </c>
      <c r="AW36" s="891" t="s">
        <v>1885</v>
      </c>
      <c r="AX36" s="891" t="s">
        <v>35</v>
      </c>
      <c r="AY36" s="891" t="s">
        <v>34</v>
      </c>
      <c r="AZ36" s="891" t="s">
        <v>32</v>
      </c>
      <c r="BA36" s="891" t="s">
        <v>34</v>
      </c>
      <c r="BB36" s="891" t="s">
        <v>36</v>
      </c>
      <c r="BC36" s="891" t="s">
        <v>32</v>
      </c>
      <c r="BD36" s="918"/>
      <c r="BE36" s="891" t="s">
        <v>36</v>
      </c>
      <c r="BF36" s="891" t="s">
        <v>32</v>
      </c>
      <c r="BG36" s="891" t="s">
        <v>35</v>
      </c>
      <c r="BH36" s="891" t="s">
        <v>1877</v>
      </c>
      <c r="BI36" s="891" t="s">
        <v>36</v>
      </c>
      <c r="BJ36" s="891" t="s">
        <v>2182</v>
      </c>
      <c r="BK36" s="910"/>
      <c r="BL36" s="891"/>
      <c r="BM36" s="891" t="s">
        <v>32</v>
      </c>
      <c r="BN36" s="891"/>
      <c r="BO36" s="891" t="s">
        <v>32</v>
      </c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6"/>
      <c r="CC36" s="896"/>
      <c r="CD36" s="896"/>
      <c r="CE36" s="428"/>
      <c r="CF36" s="428"/>
      <c r="CG36" s="428"/>
      <c r="CH36" s="428"/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8</v>
      </c>
      <c r="G37" s="879" t="s">
        <v>880</v>
      </c>
      <c r="H37" s="879" t="s">
        <v>18</v>
      </c>
      <c r="I37" s="879" t="s">
        <v>891</v>
      </c>
      <c r="J37" s="905">
        <v>2</v>
      </c>
      <c r="K37" s="905">
        <v>1</v>
      </c>
      <c r="L37" s="816" t="str">
        <f t="shared" si="36"/>
        <v>W</v>
      </c>
      <c r="M37" s="816">
        <f t="shared" si="37"/>
        <v>3</v>
      </c>
      <c r="N37" s="816" t="str">
        <f t="shared" si="38"/>
        <v>O</v>
      </c>
      <c r="O37" s="816">
        <f t="shared" si="29"/>
        <v>0</v>
      </c>
      <c r="P37" s="829">
        <f t="shared" si="30"/>
        <v>1</v>
      </c>
      <c r="Q37" s="830">
        <v>-0.08</v>
      </c>
      <c r="R37" s="871">
        <f t="shared" si="24"/>
        <v>1.08</v>
      </c>
      <c r="S37" s="830">
        <v>2.25</v>
      </c>
      <c r="T37" s="871">
        <f t="shared" si="31"/>
        <v>0.75</v>
      </c>
      <c r="U37" s="868">
        <f t="shared" si="32"/>
        <v>1.085</v>
      </c>
      <c r="V37" s="868">
        <f t="shared" si="33"/>
        <v>1.165</v>
      </c>
      <c r="W37" s="829">
        <v>15</v>
      </c>
      <c r="X37" s="829">
        <v>14</v>
      </c>
      <c r="Y37" s="829">
        <v>6</v>
      </c>
      <c r="Z37" s="829">
        <v>7</v>
      </c>
      <c r="AA37" s="829">
        <v>60</v>
      </c>
      <c r="AB37" s="829">
        <v>40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34</v>
      </c>
      <c r="AH37" s="891" t="s">
        <v>1884</v>
      </c>
      <c r="AI37" s="891" t="s">
        <v>1877</v>
      </c>
      <c r="AJ37" s="891" t="s">
        <v>32</v>
      </c>
      <c r="AK37" s="891" t="s">
        <v>34</v>
      </c>
      <c r="AL37" s="891" t="s">
        <v>32</v>
      </c>
      <c r="AM37" s="891" t="s">
        <v>35</v>
      </c>
      <c r="AN37" s="891" t="s">
        <v>2125</v>
      </c>
      <c r="AO37" s="891" t="s">
        <v>36</v>
      </c>
      <c r="AP37" s="891" t="s">
        <v>34</v>
      </c>
      <c r="AQ37" s="891" t="s">
        <v>32</v>
      </c>
      <c r="AR37" s="891" t="s">
        <v>36</v>
      </c>
      <c r="AS37" s="910"/>
      <c r="AT37" s="891" t="s">
        <v>34</v>
      </c>
      <c r="AU37" s="891" t="s">
        <v>35</v>
      </c>
      <c r="AV37" s="891" t="s">
        <v>34</v>
      </c>
      <c r="AW37" s="891" t="s">
        <v>2525</v>
      </c>
      <c r="AX37" s="891" t="s">
        <v>2506</v>
      </c>
      <c r="AY37" s="891" t="s">
        <v>34</v>
      </c>
      <c r="AZ37" s="891" t="s">
        <v>32</v>
      </c>
      <c r="BA37" s="904" t="s">
        <v>34</v>
      </c>
      <c r="BB37" s="891" t="s">
        <v>32</v>
      </c>
      <c r="BC37" s="891" t="s">
        <v>32</v>
      </c>
      <c r="BD37" s="918"/>
      <c r="BE37" s="891" t="s">
        <v>1877</v>
      </c>
      <c r="BF37" s="891" t="s">
        <v>36</v>
      </c>
      <c r="BG37" s="891" t="s">
        <v>2505</v>
      </c>
      <c r="BH37" s="891" t="s">
        <v>1877</v>
      </c>
      <c r="BI37" s="891" t="s">
        <v>1877</v>
      </c>
      <c r="BJ37" s="891" t="s">
        <v>2182</v>
      </c>
      <c r="BK37" s="910"/>
      <c r="BL37" s="891"/>
      <c r="BM37" s="891" t="s">
        <v>32</v>
      </c>
      <c r="BN37" s="891"/>
      <c r="BO37" s="891" t="s">
        <v>32</v>
      </c>
      <c r="BP37" s="891"/>
      <c r="BQ37" s="891"/>
      <c r="BR37" s="891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11</v>
      </c>
      <c r="G38" s="879" t="s">
        <v>874</v>
      </c>
      <c r="H38" s="879" t="s">
        <v>22</v>
      </c>
      <c r="I38" s="879" t="s">
        <v>891</v>
      </c>
      <c r="J38" s="905">
        <v>0</v>
      </c>
      <c r="K38" s="905">
        <v>1</v>
      </c>
      <c r="L38" s="816" t="str">
        <f t="shared" si="36"/>
        <v>L</v>
      </c>
      <c r="M38" s="816">
        <f t="shared" si="37"/>
        <v>1</v>
      </c>
      <c r="N38" s="816" t="str">
        <f t="shared" si="38"/>
        <v>U</v>
      </c>
      <c r="O38" s="816">
        <f t="shared" si="29"/>
        <v>-0.5</v>
      </c>
      <c r="P38" s="829">
        <f t="shared" si="30"/>
        <v>-1</v>
      </c>
      <c r="Q38" s="830">
        <v>0.51</v>
      </c>
      <c r="R38" s="871">
        <f t="shared" si="24"/>
        <v>-1.51</v>
      </c>
      <c r="S38" s="830">
        <v>2.2200000000000002</v>
      </c>
      <c r="T38" s="871">
        <f t="shared" si="31"/>
        <v>-1.2200000000000002</v>
      </c>
      <c r="U38" s="868">
        <f t="shared" si="32"/>
        <v>1.3650000000000002</v>
      </c>
      <c r="V38" s="868">
        <f t="shared" si="33"/>
        <v>0.85499999999999998</v>
      </c>
      <c r="W38" s="829">
        <v>14</v>
      </c>
      <c r="X38" s="829">
        <v>13</v>
      </c>
      <c r="Y38" s="829">
        <v>4</v>
      </c>
      <c r="Z38" s="829">
        <v>3</v>
      </c>
      <c r="AA38" s="829">
        <v>53</v>
      </c>
      <c r="AB38" s="829">
        <v>47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34</v>
      </c>
      <c r="AH38" s="891" t="s">
        <v>1884</v>
      </c>
      <c r="AI38" s="891" t="s">
        <v>1877</v>
      </c>
      <c r="AJ38" s="891" t="s">
        <v>32</v>
      </c>
      <c r="AK38" s="891" t="s">
        <v>34</v>
      </c>
      <c r="AL38" s="891" t="s">
        <v>32</v>
      </c>
      <c r="AM38" s="891" t="s">
        <v>34</v>
      </c>
      <c r="AN38" s="891" t="s">
        <v>2125</v>
      </c>
      <c r="AO38" s="891" t="s">
        <v>1877</v>
      </c>
      <c r="AP38" s="891" t="s">
        <v>34</v>
      </c>
      <c r="AQ38" s="891" t="s">
        <v>32</v>
      </c>
      <c r="AR38" s="891" t="s">
        <v>1877</v>
      </c>
      <c r="AS38" s="910"/>
      <c r="AT38" s="904" t="s">
        <v>34</v>
      </c>
      <c r="AU38" s="891" t="s">
        <v>34</v>
      </c>
      <c r="AV38" s="891" t="s">
        <v>34</v>
      </c>
      <c r="AW38" s="891" t="s">
        <v>1885</v>
      </c>
      <c r="AX38" s="891" t="s">
        <v>35</v>
      </c>
      <c r="AY38" s="891" t="s">
        <v>34</v>
      </c>
      <c r="AZ38" s="891" t="s">
        <v>32</v>
      </c>
      <c r="BA38" s="891" t="s">
        <v>35</v>
      </c>
      <c r="BB38" s="891" t="s">
        <v>32</v>
      </c>
      <c r="BC38" s="891" t="s">
        <v>32</v>
      </c>
      <c r="BD38" s="918"/>
      <c r="BE38" s="904" t="s">
        <v>36</v>
      </c>
      <c r="BF38" s="891" t="s">
        <v>1877</v>
      </c>
      <c r="BG38" s="891" t="s">
        <v>35</v>
      </c>
      <c r="BH38" s="891" t="s">
        <v>36</v>
      </c>
      <c r="BI38" s="891" t="s">
        <v>36</v>
      </c>
      <c r="BJ38" s="891" t="s">
        <v>2182</v>
      </c>
      <c r="BK38" s="910"/>
      <c r="BL38" s="891"/>
      <c r="BM38" s="891" t="s">
        <v>32</v>
      </c>
      <c r="BN38" s="891"/>
      <c r="BO38" s="891" t="s">
        <v>32</v>
      </c>
      <c r="BP38" s="891"/>
      <c r="BQ38" s="891"/>
      <c r="BR38" s="891"/>
      <c r="BS38" s="891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428"/>
      <c r="CF38" s="428"/>
      <c r="CG38" s="428"/>
      <c r="CH38" s="428"/>
      <c r="CL38" s="4" t="s">
        <v>32</v>
      </c>
      <c r="CM38" s="6" t="s">
        <v>32</v>
      </c>
      <c r="CN38" s="6" t="s">
        <v>32</v>
      </c>
      <c r="CO38" s="6" t="s">
        <v>32</v>
      </c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</row>
    <row r="39" spans="1:120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2</v>
      </c>
      <c r="G39" s="879" t="s">
        <v>886</v>
      </c>
      <c r="H39" s="879" t="s">
        <v>22</v>
      </c>
      <c r="I39" s="879" t="s">
        <v>891</v>
      </c>
      <c r="J39" s="905">
        <v>1</v>
      </c>
      <c r="K39" s="905">
        <v>1</v>
      </c>
      <c r="L39" s="816" t="str">
        <f t="shared" si="36"/>
        <v>D</v>
      </c>
      <c r="M39" s="816">
        <f t="shared" si="37"/>
        <v>2</v>
      </c>
      <c r="N39" s="816" t="str">
        <f t="shared" si="38"/>
        <v>U</v>
      </c>
      <c r="O39" s="816">
        <f t="shared" si="29"/>
        <v>-0.5</v>
      </c>
      <c r="P39" s="829">
        <f t="shared" si="30"/>
        <v>-1</v>
      </c>
      <c r="Q39" s="830">
        <v>0.67</v>
      </c>
      <c r="R39" s="871">
        <f t="shared" si="24"/>
        <v>-0.67</v>
      </c>
      <c r="S39" s="830">
        <v>2.38</v>
      </c>
      <c r="T39" s="871">
        <f t="shared" si="31"/>
        <v>-0.37999999999999989</v>
      </c>
      <c r="U39" s="868">
        <f t="shared" si="32"/>
        <v>1.5249999999999999</v>
      </c>
      <c r="V39" s="868">
        <f t="shared" si="33"/>
        <v>0.85499999999999998</v>
      </c>
      <c r="W39" s="829">
        <v>18</v>
      </c>
      <c r="X39" s="829">
        <v>9</v>
      </c>
      <c r="Y39" s="829">
        <v>3</v>
      </c>
      <c r="Z39" s="829">
        <v>4</v>
      </c>
      <c r="AA39" s="829">
        <v>54</v>
      </c>
      <c r="AB39" s="829">
        <v>46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34</v>
      </c>
      <c r="AH39" s="891" t="s">
        <v>1884</v>
      </c>
      <c r="AI39" s="891" t="s">
        <v>1877</v>
      </c>
      <c r="AJ39" s="891" t="s">
        <v>32</v>
      </c>
      <c r="AK39" s="904" t="s">
        <v>34</v>
      </c>
      <c r="AL39" s="891" t="s">
        <v>1877</v>
      </c>
      <c r="AM39" s="891" t="s">
        <v>32</v>
      </c>
      <c r="AN39" s="891" t="s">
        <v>34</v>
      </c>
      <c r="AO39" s="891" t="s">
        <v>32</v>
      </c>
      <c r="AP39" s="891" t="s">
        <v>34</v>
      </c>
      <c r="AQ39" s="891" t="s">
        <v>32</v>
      </c>
      <c r="AR39" s="891" t="s">
        <v>32</v>
      </c>
      <c r="AS39" s="910"/>
      <c r="AT39" s="891" t="s">
        <v>2563</v>
      </c>
      <c r="AU39" s="891" t="s">
        <v>35</v>
      </c>
      <c r="AV39" s="891" t="s">
        <v>2555</v>
      </c>
      <c r="AW39" s="891" t="s">
        <v>36</v>
      </c>
      <c r="AX39" s="891" t="s">
        <v>35</v>
      </c>
      <c r="AY39" s="891" t="s">
        <v>34</v>
      </c>
      <c r="AZ39" s="891" t="s">
        <v>36</v>
      </c>
      <c r="BA39" s="891" t="s">
        <v>34</v>
      </c>
      <c r="BB39" s="891" t="s">
        <v>32</v>
      </c>
      <c r="BC39" s="891" t="s">
        <v>32</v>
      </c>
      <c r="BD39" s="918"/>
      <c r="BE39" s="891" t="s">
        <v>35</v>
      </c>
      <c r="BF39" s="891" t="s">
        <v>34</v>
      </c>
      <c r="BG39" s="891" t="s">
        <v>36</v>
      </c>
      <c r="BH39" s="891" t="s">
        <v>1877</v>
      </c>
      <c r="BI39" s="891" t="s">
        <v>1877</v>
      </c>
      <c r="BJ39" s="891" t="s">
        <v>2182</v>
      </c>
      <c r="BK39" s="910"/>
      <c r="BL39" s="891"/>
      <c r="BM39" s="891" t="s">
        <v>32</v>
      </c>
      <c r="BN39" s="891"/>
      <c r="BO39" s="891" t="s">
        <v>32</v>
      </c>
      <c r="BP39" s="891"/>
      <c r="BQ39" s="896"/>
      <c r="BR39" s="896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7</v>
      </c>
      <c r="G40" s="879" t="s">
        <v>888</v>
      </c>
      <c r="H40" s="879" t="s">
        <v>18</v>
      </c>
      <c r="I40" s="879" t="s">
        <v>891</v>
      </c>
      <c r="J40" s="905">
        <v>1</v>
      </c>
      <c r="K40" s="905">
        <v>0</v>
      </c>
      <c r="L40" s="816" t="str">
        <f t="shared" ref="L40:L52" si="39">IF(J40="","",IF(J40&gt;K40,"W",IF(J40=K40,"D",IF(J40&lt;K40,"L"))))</f>
        <v>W</v>
      </c>
      <c r="M40" s="816">
        <f t="shared" ref="M40:M52" si="40">IF(J40="","",J40+K40)</f>
        <v>1</v>
      </c>
      <c r="N40" s="816" t="str">
        <f t="shared" si="38"/>
        <v>U</v>
      </c>
      <c r="O40" s="816">
        <f t="shared" si="29"/>
        <v>0</v>
      </c>
      <c r="P40" s="829">
        <f t="shared" si="30"/>
        <v>1</v>
      </c>
      <c r="Q40" s="830">
        <v>0.05</v>
      </c>
      <c r="R40" s="871">
        <f t="shared" si="24"/>
        <v>0.95</v>
      </c>
      <c r="S40" s="830">
        <v>2.4500000000000002</v>
      </c>
      <c r="T40" s="871">
        <f t="shared" si="31"/>
        <v>-1.4500000000000002</v>
      </c>
      <c r="U40" s="868">
        <f t="shared" si="32"/>
        <v>1.25</v>
      </c>
      <c r="V40" s="868">
        <f t="shared" si="33"/>
        <v>1.2000000000000002</v>
      </c>
      <c r="W40" s="829">
        <v>8</v>
      </c>
      <c r="X40" s="829">
        <v>14</v>
      </c>
      <c r="Y40" s="829">
        <v>3</v>
      </c>
      <c r="Z40" s="829">
        <v>3</v>
      </c>
      <c r="AA40" s="829">
        <v>39</v>
      </c>
      <c r="AB40" s="829">
        <v>61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34</v>
      </c>
      <c r="AH40" s="891" t="s">
        <v>1884</v>
      </c>
      <c r="AI40" s="891" t="s">
        <v>1877</v>
      </c>
      <c r="AJ40" s="891" t="s">
        <v>32</v>
      </c>
      <c r="AK40" s="891" t="s">
        <v>34</v>
      </c>
      <c r="AL40" s="891" t="s">
        <v>32</v>
      </c>
      <c r="AM40" s="891" t="s">
        <v>1877</v>
      </c>
      <c r="AN40" s="891" t="s">
        <v>2584</v>
      </c>
      <c r="AO40" s="891" t="s">
        <v>36</v>
      </c>
      <c r="AP40" s="891" t="s">
        <v>34</v>
      </c>
      <c r="AQ40" s="891" t="s">
        <v>1877</v>
      </c>
      <c r="AR40" s="891" t="s">
        <v>34</v>
      </c>
      <c r="AS40" s="910"/>
      <c r="AT40" s="891" t="s">
        <v>2733</v>
      </c>
      <c r="AU40" s="891" t="s">
        <v>34</v>
      </c>
      <c r="AV40" s="891" t="s">
        <v>36</v>
      </c>
      <c r="AW40" s="891" t="s">
        <v>1877</v>
      </c>
      <c r="AX40" s="891" t="s">
        <v>35</v>
      </c>
      <c r="AY40" s="891" t="s">
        <v>32</v>
      </c>
      <c r="AZ40" s="891" t="s">
        <v>32</v>
      </c>
      <c r="BA40" s="891" t="s">
        <v>34</v>
      </c>
      <c r="BB40" s="891" t="s">
        <v>32</v>
      </c>
      <c r="BC40" s="891" t="s">
        <v>35</v>
      </c>
      <c r="BD40" s="918"/>
      <c r="BE40" s="891" t="s">
        <v>32</v>
      </c>
      <c r="BF40" s="891" t="s">
        <v>36</v>
      </c>
      <c r="BG40" s="891" t="s">
        <v>35</v>
      </c>
      <c r="BH40" s="891" t="s">
        <v>34</v>
      </c>
      <c r="BI40" s="891"/>
      <c r="BJ40" s="891" t="s">
        <v>2182</v>
      </c>
      <c r="BK40" s="910"/>
      <c r="BL40" s="891"/>
      <c r="BM40" s="891" t="s">
        <v>32</v>
      </c>
      <c r="BN40" s="891"/>
      <c r="BO40" s="891" t="s">
        <v>32</v>
      </c>
      <c r="BP40" s="891"/>
      <c r="BQ40" s="896"/>
      <c r="BR40" s="891"/>
      <c r="BS40" s="891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28"/>
      <c r="CF40" s="428"/>
      <c r="CG40" s="428"/>
      <c r="CH40" s="428"/>
      <c r="CM40" s="4" t="s">
        <v>32</v>
      </c>
      <c r="CN40" s="4" t="s">
        <v>32</v>
      </c>
      <c r="CO40" s="4" t="s">
        <v>32</v>
      </c>
      <c r="CP40" s="4" t="s">
        <v>32</v>
      </c>
      <c r="CQ40" s="4" t="s">
        <v>32</v>
      </c>
      <c r="CR40" s="4" t="s">
        <v>32</v>
      </c>
      <c r="CS40" s="6" t="s">
        <v>32</v>
      </c>
      <c r="CT40" s="6" t="s">
        <v>32</v>
      </c>
      <c r="CU40" s="6" t="s">
        <v>32</v>
      </c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12</v>
      </c>
      <c r="G41" s="879" t="s">
        <v>879</v>
      </c>
      <c r="H41" s="879" t="s">
        <v>22</v>
      </c>
      <c r="I41" s="879" t="s">
        <v>891</v>
      </c>
      <c r="J41" s="905">
        <v>1</v>
      </c>
      <c r="K41" s="905">
        <v>0</v>
      </c>
      <c r="L41" s="816" t="str">
        <f t="shared" si="39"/>
        <v>W</v>
      </c>
      <c r="M41" s="816">
        <f t="shared" si="40"/>
        <v>1</v>
      </c>
      <c r="N41" s="816" t="str">
        <f t="shared" si="38"/>
        <v>U</v>
      </c>
      <c r="O41" s="816">
        <f t="shared" si="29"/>
        <v>-0.25</v>
      </c>
      <c r="P41" s="829">
        <f t="shared" si="30"/>
        <v>1</v>
      </c>
      <c r="Q41" s="830">
        <v>0.41</v>
      </c>
      <c r="R41" s="871">
        <f t="shared" si="24"/>
        <v>0.59000000000000008</v>
      </c>
      <c r="S41" s="830">
        <v>2.42</v>
      </c>
      <c r="T41" s="871">
        <f t="shared" si="31"/>
        <v>-1.42</v>
      </c>
      <c r="U41" s="868">
        <f t="shared" si="32"/>
        <v>1.415</v>
      </c>
      <c r="V41" s="868">
        <f t="shared" si="33"/>
        <v>1.0049999999999999</v>
      </c>
      <c r="W41" s="829">
        <v>17</v>
      </c>
      <c r="X41" s="829">
        <v>11</v>
      </c>
      <c r="Y41" s="829">
        <v>5</v>
      </c>
      <c r="Z41" s="829">
        <v>2</v>
      </c>
      <c r="AA41" s="829">
        <v>51</v>
      </c>
      <c r="AB41" s="829">
        <v>49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34</v>
      </c>
      <c r="AH41" s="891" t="s">
        <v>1884</v>
      </c>
      <c r="AI41" s="891" t="s">
        <v>1877</v>
      </c>
      <c r="AJ41" s="891" t="s">
        <v>32</v>
      </c>
      <c r="AK41" s="891" t="s">
        <v>34</v>
      </c>
      <c r="AL41" s="891" t="s">
        <v>32</v>
      </c>
      <c r="AM41" s="891" t="s">
        <v>35</v>
      </c>
      <c r="AN41" s="891" t="s">
        <v>34</v>
      </c>
      <c r="AO41" s="891" t="s">
        <v>36</v>
      </c>
      <c r="AP41" s="904" t="s">
        <v>2675</v>
      </c>
      <c r="AQ41" s="891" t="s">
        <v>32</v>
      </c>
      <c r="AR41" s="891" t="s">
        <v>1877</v>
      </c>
      <c r="AS41" s="910"/>
      <c r="AT41" s="891" t="s">
        <v>2733</v>
      </c>
      <c r="AU41" s="891" t="s">
        <v>34</v>
      </c>
      <c r="AV41" s="891" t="s">
        <v>34</v>
      </c>
      <c r="AW41" s="891" t="s">
        <v>1877</v>
      </c>
      <c r="AX41" s="891" t="s">
        <v>35</v>
      </c>
      <c r="AY41" s="891" t="s">
        <v>34</v>
      </c>
      <c r="AZ41" s="891" t="s">
        <v>32</v>
      </c>
      <c r="BA41" s="891" t="s">
        <v>1877</v>
      </c>
      <c r="BB41" s="891" t="s">
        <v>32</v>
      </c>
      <c r="BC41" s="891" t="s">
        <v>32</v>
      </c>
      <c r="BD41" s="918"/>
      <c r="BE41" s="891" t="s">
        <v>35</v>
      </c>
      <c r="BF41" s="891" t="s">
        <v>36</v>
      </c>
      <c r="BG41" s="891" t="s">
        <v>32</v>
      </c>
      <c r="BH41" s="891" t="s">
        <v>34</v>
      </c>
      <c r="BI41" s="891" t="s">
        <v>36</v>
      </c>
      <c r="BJ41" s="891" t="s">
        <v>2182</v>
      </c>
      <c r="BK41" s="910"/>
      <c r="BL41" s="891"/>
      <c r="BM41" s="891" t="s">
        <v>32</v>
      </c>
      <c r="BN41" s="891"/>
      <c r="BO41" s="891" t="s">
        <v>32</v>
      </c>
      <c r="BP41" s="891"/>
      <c r="BQ41" s="896"/>
      <c r="BR41" s="891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84"/>
      <c r="C42" s="884"/>
      <c r="D42" s="884"/>
      <c r="E42" s="884"/>
      <c r="F42" s="884"/>
      <c r="G42" s="828" t="s">
        <v>2653</v>
      </c>
      <c r="H42" s="828" t="s">
        <v>22</v>
      </c>
      <c r="I42" s="828" t="s">
        <v>2649</v>
      </c>
      <c r="J42" s="895">
        <v>0</v>
      </c>
      <c r="K42" s="895">
        <v>0</v>
      </c>
      <c r="L42" s="816" t="str">
        <f t="shared" ref="L42" si="41">IF(J42="","",IF(J42&gt;K42,"W",IF(J42=K42,"D",IF(J42&lt;K42,"L"))))</f>
        <v>D</v>
      </c>
      <c r="M42" s="816">
        <f t="shared" ref="M42" si="42">IF(J42="","",J42+K42)</f>
        <v>0</v>
      </c>
      <c r="N42" s="816" t="str">
        <f t="shared" si="38"/>
        <v>U</v>
      </c>
      <c r="O42" s="816" t="str">
        <f t="shared" ref="O42" si="43">IF(Q42="","",IF(SIGN(Q42)&lt;&gt;1,VLOOKUP(ABS(Q42),SUP_HDC,3,TRUE),-VLOOKUP(ABS(Q42),SUP_HDC,3,TRUE)))</f>
        <v/>
      </c>
      <c r="P42" s="829" t="str">
        <f t="shared" ref="P42" si="44">IF(O42="","",IF((J42-K42+O42)&gt;=0.5,1,IF((J42-K42+O42)=0.25,0.5,IF((J42-K42+O42)&lt;=-0.5,-1,IF((J42-K42+O42)=-0.25,-0.5,0)))))</f>
        <v/>
      </c>
      <c r="Q42" s="830"/>
      <c r="R42" s="871" t="str">
        <f t="shared" ref="R42" si="45">IF(ISBLANK(Q42),"",J42-K42-Q42)</f>
        <v/>
      </c>
      <c r="S42" s="830"/>
      <c r="T42" s="871" t="str">
        <f t="shared" ref="T42" si="46">IF(ISBLANK(S42),"",J42+K42-S42)</f>
        <v/>
      </c>
      <c r="U42" s="868" t="str">
        <f t="shared" ref="U42" si="47">IF(Q42="","",(Q42+S42)/2)</f>
        <v/>
      </c>
      <c r="V42" s="868" t="str">
        <f t="shared" ref="V42" si="48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32</v>
      </c>
      <c r="AH42" s="891" t="s">
        <v>1884</v>
      </c>
      <c r="AI42" s="891" t="s">
        <v>34</v>
      </c>
      <c r="AJ42" s="891" t="s">
        <v>32</v>
      </c>
      <c r="AK42" s="891" t="s">
        <v>32</v>
      </c>
      <c r="AL42" s="891" t="s">
        <v>34</v>
      </c>
      <c r="AM42" s="891" t="s">
        <v>34</v>
      </c>
      <c r="AN42" s="891" t="s">
        <v>36</v>
      </c>
      <c r="AO42" s="891" t="s">
        <v>32</v>
      </c>
      <c r="AP42" s="891" t="s">
        <v>32</v>
      </c>
      <c r="AQ42" s="904" t="s">
        <v>2712</v>
      </c>
      <c r="AR42" s="891" t="s">
        <v>34</v>
      </c>
      <c r="AS42" s="910"/>
      <c r="AT42" s="891" t="s">
        <v>2733</v>
      </c>
      <c r="AU42" s="891" t="s">
        <v>32</v>
      </c>
      <c r="AV42" s="891" t="s">
        <v>1877</v>
      </c>
      <c r="AW42" s="891" t="s">
        <v>34</v>
      </c>
      <c r="AX42" s="891" t="s">
        <v>32</v>
      </c>
      <c r="AY42" s="891" t="s">
        <v>36</v>
      </c>
      <c r="AZ42" s="891" t="s">
        <v>32</v>
      </c>
      <c r="BA42" s="891" t="s">
        <v>34</v>
      </c>
      <c r="BB42" s="891" t="s">
        <v>35</v>
      </c>
      <c r="BC42" s="891" t="s">
        <v>35</v>
      </c>
      <c r="BD42" s="918"/>
      <c r="BE42" s="891" t="s">
        <v>32</v>
      </c>
      <c r="BF42" s="891" t="s">
        <v>34</v>
      </c>
      <c r="BG42" s="891" t="s">
        <v>1877</v>
      </c>
      <c r="BH42" s="891" t="s">
        <v>36</v>
      </c>
      <c r="BI42" s="891" t="s">
        <v>34</v>
      </c>
      <c r="BJ42" s="891" t="s">
        <v>1884</v>
      </c>
      <c r="BK42" s="910"/>
      <c r="BL42" s="891"/>
      <c r="BM42" s="891" t="s">
        <v>1877</v>
      </c>
      <c r="BN42" s="891" t="s">
        <v>1877</v>
      </c>
      <c r="BO42" s="891" t="s">
        <v>32</v>
      </c>
      <c r="BP42" s="891"/>
      <c r="BQ42" s="896"/>
      <c r="BR42" s="891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428"/>
      <c r="CF42" s="428"/>
      <c r="CG42" s="428"/>
      <c r="CH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10</v>
      </c>
      <c r="G43" s="879" t="s">
        <v>883</v>
      </c>
      <c r="H43" s="879" t="s">
        <v>18</v>
      </c>
      <c r="I43" s="879" t="s">
        <v>891</v>
      </c>
      <c r="J43" s="905">
        <v>1</v>
      </c>
      <c r="K43" s="905">
        <v>0</v>
      </c>
      <c r="L43" s="816" t="str">
        <f t="shared" si="39"/>
        <v>W</v>
      </c>
      <c r="M43" s="816">
        <f t="shared" si="40"/>
        <v>1</v>
      </c>
      <c r="N43" s="816" t="str">
        <f t="shared" si="38"/>
        <v>U</v>
      </c>
      <c r="O43" s="816">
        <f t="shared" si="29"/>
        <v>-0.25</v>
      </c>
      <c r="P43" s="829">
        <f t="shared" si="30"/>
        <v>1</v>
      </c>
      <c r="Q43" s="830">
        <v>0.23</v>
      </c>
      <c r="R43" s="871">
        <f t="shared" si="24"/>
        <v>0.77</v>
      </c>
      <c r="S43" s="830">
        <v>2.23</v>
      </c>
      <c r="T43" s="871">
        <f t="shared" si="31"/>
        <v>-1.23</v>
      </c>
      <c r="U43" s="868">
        <f t="shared" si="32"/>
        <v>1.23</v>
      </c>
      <c r="V43" s="868">
        <f t="shared" si="33"/>
        <v>1</v>
      </c>
      <c r="W43" s="829">
        <v>14</v>
      </c>
      <c r="X43" s="829">
        <v>13</v>
      </c>
      <c r="Y43" s="829">
        <v>5</v>
      </c>
      <c r="Z43" s="829">
        <v>1</v>
      </c>
      <c r="AA43" s="829">
        <v>40</v>
      </c>
      <c r="AB43" s="829">
        <v>60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34</v>
      </c>
      <c r="AH43" s="891" t="s">
        <v>1884</v>
      </c>
      <c r="AI43" s="891" t="s">
        <v>1877</v>
      </c>
      <c r="AJ43" s="891" t="s">
        <v>32</v>
      </c>
      <c r="AK43" s="891" t="s">
        <v>34</v>
      </c>
      <c r="AL43" s="891" t="s">
        <v>1877</v>
      </c>
      <c r="AM43" s="891" t="s">
        <v>32</v>
      </c>
      <c r="AN43" s="891" t="s">
        <v>34</v>
      </c>
      <c r="AO43" s="904" t="s">
        <v>34</v>
      </c>
      <c r="AP43" s="904" t="s">
        <v>34</v>
      </c>
      <c r="AQ43" s="891" t="s">
        <v>32</v>
      </c>
      <c r="AR43" s="891" t="s">
        <v>1877</v>
      </c>
      <c r="AS43" s="910"/>
      <c r="AT43" s="891" t="s">
        <v>1960</v>
      </c>
      <c r="AU43" s="904" t="s">
        <v>34</v>
      </c>
      <c r="AV43" s="891" t="s">
        <v>34</v>
      </c>
      <c r="AW43" s="891" t="s">
        <v>1877</v>
      </c>
      <c r="AX43" s="891" t="s">
        <v>35</v>
      </c>
      <c r="AY43" s="891" t="s">
        <v>34</v>
      </c>
      <c r="AZ43" s="891" t="s">
        <v>32</v>
      </c>
      <c r="BA43" s="891" t="s">
        <v>36</v>
      </c>
      <c r="BB43" s="891" t="s">
        <v>32</v>
      </c>
      <c r="BC43" s="891" t="s">
        <v>32</v>
      </c>
      <c r="BD43" s="918"/>
      <c r="BE43" s="891" t="s">
        <v>35</v>
      </c>
      <c r="BF43" s="891" t="s">
        <v>32</v>
      </c>
      <c r="BG43" s="891" t="s">
        <v>36</v>
      </c>
      <c r="BH43" s="891" t="s">
        <v>35</v>
      </c>
      <c r="BI43" s="891" t="s">
        <v>36</v>
      </c>
      <c r="BJ43" s="891" t="s">
        <v>2182</v>
      </c>
      <c r="BK43" s="910"/>
      <c r="BL43" s="891">
        <v>1</v>
      </c>
      <c r="BM43" s="891" t="s">
        <v>32</v>
      </c>
      <c r="BN43" s="891"/>
      <c r="BO43" s="910"/>
      <c r="BP43" s="891"/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3</v>
      </c>
      <c r="G44" s="879" t="s">
        <v>1085</v>
      </c>
      <c r="H44" s="879" t="s">
        <v>22</v>
      </c>
      <c r="I44" s="879" t="s">
        <v>891</v>
      </c>
      <c r="J44" s="905">
        <v>2</v>
      </c>
      <c r="K44" s="905">
        <v>1</v>
      </c>
      <c r="L44" s="816" t="str">
        <f t="shared" si="39"/>
        <v>W</v>
      </c>
      <c r="M44" s="816">
        <f t="shared" si="40"/>
        <v>3</v>
      </c>
      <c r="N44" s="816" t="str">
        <f t="shared" si="38"/>
        <v>O</v>
      </c>
      <c r="O44" s="816">
        <f t="shared" si="29"/>
        <v>-0.25</v>
      </c>
      <c r="P44" s="829">
        <f t="shared" si="30"/>
        <v>1</v>
      </c>
      <c r="Q44" s="830">
        <v>0.33</v>
      </c>
      <c r="R44" s="871">
        <f t="shared" si="24"/>
        <v>0.66999999999999993</v>
      </c>
      <c r="S44" s="830">
        <v>2.65</v>
      </c>
      <c r="T44" s="871">
        <f t="shared" si="31"/>
        <v>0.35000000000000009</v>
      </c>
      <c r="U44" s="868">
        <f t="shared" si="32"/>
        <v>1.49</v>
      </c>
      <c r="V44" s="868">
        <f t="shared" si="33"/>
        <v>1.1599999999999999</v>
      </c>
      <c r="W44" s="829">
        <v>15</v>
      </c>
      <c r="X44" s="829">
        <v>16</v>
      </c>
      <c r="Y44" s="829">
        <v>8</v>
      </c>
      <c r="Z44" s="829">
        <v>4</v>
      </c>
      <c r="AA44" s="829">
        <v>39</v>
      </c>
      <c r="AB44" s="829">
        <v>61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34</v>
      </c>
      <c r="AH44" s="891" t="s">
        <v>32</v>
      </c>
      <c r="AI44" s="891" t="s">
        <v>1877</v>
      </c>
      <c r="AJ44" s="891" t="s">
        <v>32</v>
      </c>
      <c r="AK44" s="891" t="s">
        <v>34</v>
      </c>
      <c r="AL44" s="891" t="s">
        <v>36</v>
      </c>
      <c r="AM44" s="891" t="s">
        <v>32</v>
      </c>
      <c r="AN44" s="891" t="s">
        <v>34</v>
      </c>
      <c r="AO44" s="891" t="s">
        <v>2817</v>
      </c>
      <c r="AP44" s="891" t="s">
        <v>2815</v>
      </c>
      <c r="AQ44" s="891" t="s">
        <v>32</v>
      </c>
      <c r="AR44" s="891" t="s">
        <v>34</v>
      </c>
      <c r="AS44" s="910"/>
      <c r="AT44" s="891" t="s">
        <v>1960</v>
      </c>
      <c r="AU44" s="891" t="s">
        <v>35</v>
      </c>
      <c r="AV44" s="891" t="s">
        <v>34</v>
      </c>
      <c r="AW44" s="891" t="s">
        <v>1877</v>
      </c>
      <c r="AX44" s="891" t="s">
        <v>34</v>
      </c>
      <c r="AY44" s="891" t="s">
        <v>34</v>
      </c>
      <c r="AZ44" s="891" t="s">
        <v>32</v>
      </c>
      <c r="BA44" s="891" t="s">
        <v>36</v>
      </c>
      <c r="BB44" s="891" t="s">
        <v>1877</v>
      </c>
      <c r="BC44" s="891" t="s">
        <v>32</v>
      </c>
      <c r="BD44" s="918"/>
      <c r="BE44" s="904" t="s">
        <v>2816</v>
      </c>
      <c r="BF44" s="891" t="s">
        <v>32</v>
      </c>
      <c r="BG44" s="891" t="s">
        <v>1877</v>
      </c>
      <c r="BH44" s="891" t="s">
        <v>35</v>
      </c>
      <c r="BI44" s="891" t="s">
        <v>36</v>
      </c>
      <c r="BJ44" s="891" t="s">
        <v>2182</v>
      </c>
      <c r="BK44" s="910"/>
      <c r="BL44" s="891"/>
      <c r="BM44" s="910"/>
      <c r="BN44" s="910"/>
      <c r="BO44" s="910"/>
      <c r="BP44" s="891"/>
      <c r="BQ44" s="896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428"/>
      <c r="CF44" s="428"/>
      <c r="CG44" s="428"/>
      <c r="CH44" s="428"/>
      <c r="CI44" s="230" t="s">
        <v>32</v>
      </c>
      <c r="CJ44" s="230" t="s">
        <v>32</v>
      </c>
      <c r="CK44" s="230" t="s">
        <v>32</v>
      </c>
      <c r="CL44" s="230" t="s">
        <v>32</v>
      </c>
      <c r="CM44" s="230" t="s">
        <v>32</v>
      </c>
      <c r="CN44" s="230" t="s">
        <v>32</v>
      </c>
      <c r="CO44" s="230" t="s">
        <v>32</v>
      </c>
    </row>
    <row r="45" spans="1:120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9</v>
      </c>
      <c r="G45" s="879" t="s">
        <v>1083</v>
      </c>
      <c r="H45" s="879" t="s">
        <v>18</v>
      </c>
      <c r="I45" s="879" t="s">
        <v>891</v>
      </c>
      <c r="J45" s="905">
        <v>0</v>
      </c>
      <c r="K45" s="905">
        <v>0</v>
      </c>
      <c r="L45" s="816" t="str">
        <f t="shared" si="39"/>
        <v>D</v>
      </c>
      <c r="M45" s="816">
        <f t="shared" si="40"/>
        <v>0</v>
      </c>
      <c r="N45" s="816" t="str">
        <f t="shared" si="38"/>
        <v>U</v>
      </c>
      <c r="O45" s="816">
        <f t="shared" si="29"/>
        <v>0</v>
      </c>
      <c r="P45" s="829">
        <f t="shared" si="30"/>
        <v>0</v>
      </c>
      <c r="Q45" s="830">
        <v>0.09</v>
      </c>
      <c r="R45" s="871">
        <f t="shared" si="24"/>
        <v>-0.09</v>
      </c>
      <c r="S45" s="830">
        <v>2.5</v>
      </c>
      <c r="T45" s="871">
        <f t="shared" si="31"/>
        <v>-2.5</v>
      </c>
      <c r="U45" s="868">
        <f t="shared" si="32"/>
        <v>1.2949999999999999</v>
      </c>
      <c r="V45" s="868">
        <f t="shared" si="33"/>
        <v>1.2050000000000001</v>
      </c>
      <c r="W45" s="829">
        <v>15</v>
      </c>
      <c r="X45" s="829">
        <v>8</v>
      </c>
      <c r="Y45" s="829">
        <v>1</v>
      </c>
      <c r="Z45" s="829">
        <v>3</v>
      </c>
      <c r="AA45" s="829">
        <v>48</v>
      </c>
      <c r="AB45" s="829">
        <v>52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34</v>
      </c>
      <c r="AH45" s="891" t="s">
        <v>32</v>
      </c>
      <c r="AI45" s="891" t="s">
        <v>1877</v>
      </c>
      <c r="AJ45" s="891" t="s">
        <v>32</v>
      </c>
      <c r="AK45" s="891" t="s">
        <v>34</v>
      </c>
      <c r="AL45" s="891" t="s">
        <v>1877</v>
      </c>
      <c r="AM45" s="891" t="s">
        <v>32</v>
      </c>
      <c r="AN45" s="891" t="s">
        <v>34</v>
      </c>
      <c r="AO45" s="891" t="s">
        <v>36</v>
      </c>
      <c r="AP45" s="891" t="s">
        <v>34</v>
      </c>
      <c r="AQ45" s="891" t="s">
        <v>32</v>
      </c>
      <c r="AR45" s="891" t="s">
        <v>35</v>
      </c>
      <c r="AS45" s="910"/>
      <c r="AT45" s="891" t="s">
        <v>1960</v>
      </c>
      <c r="AU45" s="891" t="s">
        <v>34</v>
      </c>
      <c r="AV45" s="891" t="s">
        <v>34</v>
      </c>
      <c r="AW45" s="891" t="s">
        <v>32</v>
      </c>
      <c r="AX45" s="891" t="s">
        <v>34</v>
      </c>
      <c r="AY45" s="891" t="s">
        <v>34</v>
      </c>
      <c r="AZ45" s="891" t="s">
        <v>32</v>
      </c>
      <c r="BA45" s="904" t="s">
        <v>2845</v>
      </c>
      <c r="BB45" s="891" t="s">
        <v>1877</v>
      </c>
      <c r="BC45" s="891" t="s">
        <v>32</v>
      </c>
      <c r="BD45" s="918"/>
      <c r="BE45" s="891" t="s">
        <v>2844</v>
      </c>
      <c r="BF45" s="891" t="s">
        <v>36</v>
      </c>
      <c r="BG45" s="891" t="s">
        <v>35</v>
      </c>
      <c r="BH45" s="891" t="s">
        <v>34</v>
      </c>
      <c r="BI45" s="891"/>
      <c r="BJ45" s="891" t="s">
        <v>2182</v>
      </c>
      <c r="BK45" s="910"/>
      <c r="BL45" s="891"/>
      <c r="BM45" s="910"/>
      <c r="BN45" s="910"/>
      <c r="BO45" s="910"/>
      <c r="BP45" s="891"/>
      <c r="BQ45" s="896"/>
      <c r="BR45" s="891"/>
      <c r="BS45" s="896"/>
      <c r="BT45" s="896"/>
      <c r="BU45" s="896"/>
      <c r="BV45" s="896"/>
      <c r="BW45" s="896"/>
      <c r="BX45" s="891"/>
      <c r="BY45" s="891"/>
      <c r="BZ45" s="891"/>
      <c r="CA45" s="891"/>
      <c r="CB45" s="891"/>
      <c r="CC45" s="891"/>
      <c r="CD45" s="891"/>
      <c r="CE45" s="4"/>
      <c r="CF45" s="4"/>
      <c r="CG45" s="4"/>
      <c r="CH45" s="4"/>
      <c r="CI45" s="6" t="s">
        <v>32</v>
      </c>
      <c r="CJ45" s="6" t="s">
        <v>32</v>
      </c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</row>
    <row r="46" spans="1:120" ht="15">
      <c r="A46" s="912">
        <v>6403</v>
      </c>
      <c r="B46" s="894"/>
      <c r="C46" s="894"/>
      <c r="D46" s="894"/>
      <c r="E46" s="894"/>
      <c r="F46" s="894"/>
      <c r="G46" s="828" t="s">
        <v>2767</v>
      </c>
      <c r="H46" s="828" t="s">
        <v>2759</v>
      </c>
      <c r="I46" s="828" t="s">
        <v>2649</v>
      </c>
      <c r="J46" s="895">
        <v>1</v>
      </c>
      <c r="K46" s="895">
        <v>4</v>
      </c>
      <c r="L46" s="816" t="str">
        <f t="shared" si="39"/>
        <v>L</v>
      </c>
      <c r="M46" s="816">
        <f t="shared" si="40"/>
        <v>5</v>
      </c>
      <c r="N46" s="816" t="str">
        <f t="shared" si="38"/>
        <v>O</v>
      </c>
      <c r="O46" s="816"/>
      <c r="P46" s="829"/>
      <c r="Q46" s="830"/>
      <c r="R46" s="871" t="str">
        <f t="shared" si="24"/>
        <v/>
      </c>
      <c r="S46" s="830"/>
      <c r="T46" s="871" t="str">
        <f t="shared" si="31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32</v>
      </c>
      <c r="AH46" s="891" t="s">
        <v>1877</v>
      </c>
      <c r="AI46" s="891" t="s">
        <v>34</v>
      </c>
      <c r="AJ46" s="891" t="s">
        <v>32</v>
      </c>
      <c r="AK46" s="891" t="s">
        <v>32</v>
      </c>
      <c r="AL46" s="891" t="s">
        <v>35</v>
      </c>
      <c r="AM46" s="891" t="s">
        <v>34</v>
      </c>
      <c r="AN46" s="891" t="s">
        <v>32</v>
      </c>
      <c r="AO46" s="891" t="s">
        <v>34</v>
      </c>
      <c r="AP46" s="891" t="s">
        <v>32</v>
      </c>
      <c r="AQ46" s="891" t="s">
        <v>32</v>
      </c>
      <c r="AR46" s="891" t="s">
        <v>34</v>
      </c>
      <c r="AS46" s="910"/>
      <c r="AT46" s="891" t="s">
        <v>1960</v>
      </c>
      <c r="AU46" s="891" t="s">
        <v>36</v>
      </c>
      <c r="AV46" s="891" t="s">
        <v>36</v>
      </c>
      <c r="AW46" s="891" t="s">
        <v>34</v>
      </c>
      <c r="AX46" s="891" t="s">
        <v>36</v>
      </c>
      <c r="AY46" s="891" t="s">
        <v>34</v>
      </c>
      <c r="AZ46" s="891" t="s">
        <v>32</v>
      </c>
      <c r="BA46" s="891" t="s">
        <v>34</v>
      </c>
      <c r="BB46" s="891" t="s">
        <v>35</v>
      </c>
      <c r="BC46" s="891" t="s">
        <v>1877</v>
      </c>
      <c r="BD46" s="918"/>
      <c r="BE46" s="891" t="s">
        <v>1877</v>
      </c>
      <c r="BF46" s="891" t="s">
        <v>1877</v>
      </c>
      <c r="BG46" s="904" t="s">
        <v>35</v>
      </c>
      <c r="BH46" s="891" t="s">
        <v>32</v>
      </c>
      <c r="BI46" s="904" t="s">
        <v>2858</v>
      </c>
      <c r="BJ46" s="891" t="s">
        <v>1884</v>
      </c>
      <c r="BK46" s="910"/>
      <c r="BL46" s="891"/>
      <c r="BM46" s="910"/>
      <c r="BN46" s="910"/>
      <c r="BO46" s="910"/>
      <c r="BP46" s="891"/>
      <c r="BQ46" s="896"/>
      <c r="BR46" s="891"/>
      <c r="BS46" s="896"/>
      <c r="BT46" s="896"/>
      <c r="BU46" s="896"/>
      <c r="BV46" s="896"/>
      <c r="BW46" s="896"/>
      <c r="BX46" s="891"/>
      <c r="BY46" s="891"/>
      <c r="BZ46" s="891"/>
      <c r="CA46" s="891"/>
      <c r="CB46" s="891"/>
      <c r="CC46" s="891"/>
      <c r="CD46" s="891"/>
      <c r="CE46" s="4"/>
      <c r="CF46" s="4"/>
      <c r="CG46" s="4"/>
      <c r="CH46" s="4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</row>
    <row r="47" spans="1:120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5</v>
      </c>
      <c r="G47" s="879" t="s">
        <v>889</v>
      </c>
      <c r="H47" s="879" t="s">
        <v>22</v>
      </c>
      <c r="I47" s="879" t="s">
        <v>891</v>
      </c>
      <c r="J47" s="905">
        <v>2</v>
      </c>
      <c r="K47" s="905">
        <v>0</v>
      </c>
      <c r="L47" s="816" t="str">
        <f t="shared" si="39"/>
        <v>W</v>
      </c>
      <c r="M47" s="816">
        <f t="shared" si="40"/>
        <v>2</v>
      </c>
      <c r="N47" s="816" t="str">
        <f t="shared" si="38"/>
        <v>U</v>
      </c>
      <c r="O47" s="816">
        <f t="shared" si="29"/>
        <v>-0.25</v>
      </c>
      <c r="P47" s="829">
        <f t="shared" si="30"/>
        <v>1</v>
      </c>
      <c r="Q47" s="830">
        <v>0.37</v>
      </c>
      <c r="R47" s="871">
        <f t="shared" si="24"/>
        <v>1.63</v>
      </c>
      <c r="S47" s="830">
        <v>2.4900000000000002</v>
      </c>
      <c r="T47" s="871">
        <f t="shared" si="31"/>
        <v>-0.49000000000000021</v>
      </c>
      <c r="U47" s="868">
        <f t="shared" si="32"/>
        <v>1.4300000000000002</v>
      </c>
      <c r="V47" s="868">
        <f t="shared" si="33"/>
        <v>1.06</v>
      </c>
      <c r="W47" s="829">
        <v>15</v>
      </c>
      <c r="X47" s="829">
        <v>11</v>
      </c>
      <c r="Y47" s="829">
        <v>6</v>
      </c>
      <c r="Z47" s="829">
        <v>2</v>
      </c>
      <c r="AA47" s="829">
        <v>46</v>
      </c>
      <c r="AB47" s="829">
        <v>54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34</v>
      </c>
      <c r="AH47" s="891" t="s">
        <v>32</v>
      </c>
      <c r="AI47" s="891" t="s">
        <v>1877</v>
      </c>
      <c r="AJ47" s="891" t="s">
        <v>32</v>
      </c>
      <c r="AK47" s="891" t="s">
        <v>2883</v>
      </c>
      <c r="AL47" s="891" t="s">
        <v>32</v>
      </c>
      <c r="AM47" s="891" t="s">
        <v>32</v>
      </c>
      <c r="AN47" s="891" t="s">
        <v>34</v>
      </c>
      <c r="AO47" s="891" t="s">
        <v>36</v>
      </c>
      <c r="AP47" s="891" t="s">
        <v>34</v>
      </c>
      <c r="AQ47" s="891" t="s">
        <v>32</v>
      </c>
      <c r="AR47" s="891" t="s">
        <v>35</v>
      </c>
      <c r="AS47" s="910"/>
      <c r="AT47" s="891" t="s">
        <v>1960</v>
      </c>
      <c r="AU47" s="891" t="s">
        <v>2883</v>
      </c>
      <c r="AV47" s="891" t="s">
        <v>34</v>
      </c>
      <c r="AW47" s="891" t="s">
        <v>32</v>
      </c>
      <c r="AX47" s="904" t="s">
        <v>34</v>
      </c>
      <c r="AY47" s="891" t="s">
        <v>34</v>
      </c>
      <c r="AZ47" s="891" t="s">
        <v>32</v>
      </c>
      <c r="BA47" s="891" t="s">
        <v>1877</v>
      </c>
      <c r="BB47" s="891" t="s">
        <v>1877</v>
      </c>
      <c r="BC47" s="891" t="s">
        <v>32</v>
      </c>
      <c r="BD47" s="918"/>
      <c r="BE47" s="891" t="s">
        <v>35</v>
      </c>
      <c r="BF47" s="891" t="s">
        <v>1877</v>
      </c>
      <c r="BG47" s="891" t="s">
        <v>36</v>
      </c>
      <c r="BH47" s="891" t="s">
        <v>35</v>
      </c>
      <c r="BI47" s="891" t="s">
        <v>36</v>
      </c>
      <c r="BJ47" s="891" t="s">
        <v>2182</v>
      </c>
      <c r="BK47" s="910"/>
      <c r="BL47" s="891"/>
      <c r="BM47" s="910"/>
      <c r="BN47" s="910"/>
      <c r="BO47" s="910"/>
      <c r="BP47" s="891"/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428"/>
      <c r="CF47" s="428"/>
      <c r="CG47" s="428"/>
      <c r="CH47" s="428"/>
      <c r="CI47" s="230" t="s">
        <v>32</v>
      </c>
      <c r="CJ47" s="230" t="s">
        <v>32</v>
      </c>
      <c r="CK47" s="230" t="s">
        <v>32</v>
      </c>
      <c r="CL47" s="230" t="s">
        <v>32</v>
      </c>
      <c r="CM47" s="230" t="s">
        <v>32</v>
      </c>
      <c r="CN47" s="230" t="s">
        <v>32</v>
      </c>
      <c r="CO47" s="230" t="s">
        <v>32</v>
      </c>
    </row>
    <row r="48" spans="1:120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11</v>
      </c>
      <c r="G48" s="879" t="s">
        <v>874</v>
      </c>
      <c r="H48" s="879" t="s">
        <v>18</v>
      </c>
      <c r="I48" s="879" t="s">
        <v>891</v>
      </c>
      <c r="J48" s="905">
        <v>0</v>
      </c>
      <c r="K48" s="905">
        <v>3</v>
      </c>
      <c r="L48" s="816" t="str">
        <f t="shared" si="39"/>
        <v>L</v>
      </c>
      <c r="M48" s="816">
        <f t="shared" si="40"/>
        <v>3</v>
      </c>
      <c r="N48" s="816" t="str">
        <f t="shared" si="38"/>
        <v>O</v>
      </c>
      <c r="O48" s="816">
        <f t="shared" si="29"/>
        <v>-0.25</v>
      </c>
      <c r="P48" s="829">
        <f t="shared" si="30"/>
        <v>-1</v>
      </c>
      <c r="Q48" s="830">
        <v>0.16</v>
      </c>
      <c r="R48" s="871">
        <f t="shared" si="24"/>
        <v>-3.16</v>
      </c>
      <c r="S48" s="830">
        <v>2.2200000000000002</v>
      </c>
      <c r="T48" s="871">
        <f t="shared" si="31"/>
        <v>0.7799999999999998</v>
      </c>
      <c r="U48" s="868">
        <f t="shared" si="32"/>
        <v>1.1900000000000002</v>
      </c>
      <c r="V48" s="868">
        <f t="shared" si="33"/>
        <v>1.03</v>
      </c>
      <c r="W48" s="829">
        <v>5</v>
      </c>
      <c r="X48" s="829">
        <v>14</v>
      </c>
      <c r="Y48" s="829">
        <v>5</v>
      </c>
      <c r="Z48" s="829">
        <v>4</v>
      </c>
      <c r="AA48" s="829">
        <v>51</v>
      </c>
      <c r="AB48" s="829">
        <v>49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34</v>
      </c>
      <c r="AH48" s="891" t="s">
        <v>32</v>
      </c>
      <c r="AI48" s="891" t="s">
        <v>1877</v>
      </c>
      <c r="AJ48" s="891" t="s">
        <v>32</v>
      </c>
      <c r="AK48" s="891" t="s">
        <v>34</v>
      </c>
      <c r="AL48" s="891" t="s">
        <v>32</v>
      </c>
      <c r="AM48" s="891" t="s">
        <v>1877</v>
      </c>
      <c r="AN48" s="891" t="s">
        <v>34</v>
      </c>
      <c r="AO48" s="891" t="s">
        <v>1877</v>
      </c>
      <c r="AP48" s="891" t="s">
        <v>34</v>
      </c>
      <c r="AQ48" s="891" t="s">
        <v>32</v>
      </c>
      <c r="AR48" s="891" t="s">
        <v>35</v>
      </c>
      <c r="AS48" s="891"/>
      <c r="AT48" s="891" t="s">
        <v>1960</v>
      </c>
      <c r="AU48" s="891" t="s">
        <v>34</v>
      </c>
      <c r="AV48" s="904" t="s">
        <v>34</v>
      </c>
      <c r="AW48" s="891" t="s">
        <v>32</v>
      </c>
      <c r="AX48" s="891" t="s">
        <v>34</v>
      </c>
      <c r="AY48" s="891" t="s">
        <v>34</v>
      </c>
      <c r="AZ48" s="891" t="s">
        <v>32</v>
      </c>
      <c r="BA48" s="891" t="s">
        <v>1877</v>
      </c>
      <c r="BB48" s="891" t="s">
        <v>32</v>
      </c>
      <c r="BC48" s="891" t="s">
        <v>32</v>
      </c>
      <c r="BD48" s="918"/>
      <c r="BE48" s="891" t="s">
        <v>35</v>
      </c>
      <c r="BF48" s="891" t="s">
        <v>32</v>
      </c>
      <c r="BG48" s="891" t="s">
        <v>36</v>
      </c>
      <c r="BH48" s="891" t="s">
        <v>35</v>
      </c>
      <c r="BI48" s="891" t="s">
        <v>36</v>
      </c>
      <c r="BJ48" s="891" t="s">
        <v>1884</v>
      </c>
      <c r="BK48" s="891" t="s">
        <v>36</v>
      </c>
      <c r="BL48" s="891"/>
      <c r="BM48" s="910"/>
      <c r="BN48" s="910"/>
      <c r="BO48" s="910"/>
      <c r="BP48" s="891"/>
      <c r="BQ48" s="896"/>
      <c r="BR48" s="896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86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7</v>
      </c>
      <c r="G49" s="879" t="s">
        <v>888</v>
      </c>
      <c r="H49" s="879" t="s">
        <v>22</v>
      </c>
      <c r="I49" s="879" t="s">
        <v>891</v>
      </c>
      <c r="J49" s="905">
        <v>2</v>
      </c>
      <c r="K49" s="905">
        <v>0</v>
      </c>
      <c r="L49" s="816" t="str">
        <f t="shared" si="39"/>
        <v>W</v>
      </c>
      <c r="M49" s="816">
        <f t="shared" si="40"/>
        <v>2</v>
      </c>
      <c r="N49" s="816" t="str">
        <f t="shared" si="38"/>
        <v>U</v>
      </c>
      <c r="O49" s="816">
        <f t="shared" si="29"/>
        <v>0</v>
      </c>
      <c r="P49" s="829">
        <f t="shared" si="30"/>
        <v>1</v>
      </c>
      <c r="Q49" s="830">
        <v>0.08</v>
      </c>
      <c r="R49" s="871">
        <f t="shared" si="24"/>
        <v>1.92</v>
      </c>
      <c r="S49" s="830">
        <v>2.44</v>
      </c>
      <c r="T49" s="871">
        <f t="shared" si="31"/>
        <v>-0.43999999999999995</v>
      </c>
      <c r="U49" s="868">
        <f t="shared" si="32"/>
        <v>1.26</v>
      </c>
      <c r="V49" s="868">
        <f t="shared" si="33"/>
        <v>1.18</v>
      </c>
      <c r="W49" s="829">
        <v>19</v>
      </c>
      <c r="X49" s="829">
        <v>14</v>
      </c>
      <c r="Y49" s="829">
        <v>6</v>
      </c>
      <c r="Z49" s="829">
        <v>4</v>
      </c>
      <c r="AA49" s="829">
        <v>42</v>
      </c>
      <c r="AB49" s="829">
        <v>58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34</v>
      </c>
      <c r="AH49" s="891" t="s">
        <v>32</v>
      </c>
      <c r="AI49" s="891" t="s">
        <v>1877</v>
      </c>
      <c r="AJ49" s="891" t="s">
        <v>32</v>
      </c>
      <c r="AK49" s="891" t="s">
        <v>34</v>
      </c>
      <c r="AL49" s="891" t="s">
        <v>1877</v>
      </c>
      <c r="AM49" s="891" t="s">
        <v>32</v>
      </c>
      <c r="AN49" s="891" t="s">
        <v>34</v>
      </c>
      <c r="AO49" s="904" t="s">
        <v>34</v>
      </c>
      <c r="AP49" s="891" t="s">
        <v>34</v>
      </c>
      <c r="AQ49" s="891" t="s">
        <v>32</v>
      </c>
      <c r="AR49" s="891" t="s">
        <v>32</v>
      </c>
      <c r="AS49" s="891" t="s">
        <v>32</v>
      </c>
      <c r="AT49" s="891" t="s">
        <v>1960</v>
      </c>
      <c r="AU49" s="891" t="s">
        <v>2958</v>
      </c>
      <c r="AV49" s="891" t="s">
        <v>34</v>
      </c>
      <c r="AW49" s="891" t="s">
        <v>32</v>
      </c>
      <c r="AX49" s="891" t="s">
        <v>36</v>
      </c>
      <c r="AY49" s="904" t="s">
        <v>34</v>
      </c>
      <c r="AZ49" s="891" t="s">
        <v>32</v>
      </c>
      <c r="BA49" s="891" t="s">
        <v>35</v>
      </c>
      <c r="BB49" s="891" t="s">
        <v>1877</v>
      </c>
      <c r="BC49" s="891" t="s">
        <v>32</v>
      </c>
      <c r="BD49" s="918"/>
      <c r="BE49" s="891" t="s">
        <v>2957</v>
      </c>
      <c r="BF49" s="891" t="s">
        <v>32</v>
      </c>
      <c r="BG49" s="904" t="s">
        <v>36</v>
      </c>
      <c r="BH49" s="891" t="s">
        <v>36</v>
      </c>
      <c r="BI49" s="904" t="s">
        <v>35</v>
      </c>
      <c r="BJ49" s="891" t="s">
        <v>1884</v>
      </c>
      <c r="BK49" s="891" t="s">
        <v>1877</v>
      </c>
      <c r="BL49" s="891" t="s">
        <v>32</v>
      </c>
      <c r="BM49" s="910" t="s">
        <v>32</v>
      </c>
      <c r="BN49" s="910" t="s">
        <v>32</v>
      </c>
      <c r="BO49" s="910"/>
      <c r="BP49" s="891"/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86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8</v>
      </c>
      <c r="G50" s="879" t="s">
        <v>880</v>
      </c>
      <c r="H50" s="879" t="s">
        <v>22</v>
      </c>
      <c r="I50" s="879" t="s">
        <v>891</v>
      </c>
      <c r="J50" s="905">
        <v>2</v>
      </c>
      <c r="K50" s="905">
        <v>1</v>
      </c>
      <c r="L50" s="816" t="str">
        <f t="shared" si="39"/>
        <v>W</v>
      </c>
      <c r="M50" s="816">
        <f t="shared" si="40"/>
        <v>3</v>
      </c>
      <c r="N50" s="816" t="str">
        <f t="shared" si="38"/>
        <v>O</v>
      </c>
      <c r="O50" s="816">
        <f t="shared" si="29"/>
        <v>0</v>
      </c>
      <c r="P50" s="829">
        <f t="shared" si="30"/>
        <v>1</v>
      </c>
      <c r="Q50" s="830">
        <v>0.05</v>
      </c>
      <c r="R50" s="871">
        <f t="shared" si="24"/>
        <v>0.95</v>
      </c>
      <c r="S50" s="830">
        <v>2.2799999999999998</v>
      </c>
      <c r="T50" s="871">
        <f t="shared" si="31"/>
        <v>0.7200000000000002</v>
      </c>
      <c r="U50" s="868">
        <f t="shared" si="32"/>
        <v>1.1649999999999998</v>
      </c>
      <c r="V50" s="868">
        <f t="shared" si="33"/>
        <v>1.115</v>
      </c>
      <c r="W50" s="829">
        <v>20</v>
      </c>
      <c r="X50" s="829">
        <v>8</v>
      </c>
      <c r="Y50" s="829">
        <v>7</v>
      </c>
      <c r="Z50" s="829">
        <v>2</v>
      </c>
      <c r="AA50" s="829">
        <v>57</v>
      </c>
      <c r="AB50" s="829">
        <v>43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34</v>
      </c>
      <c r="AH50" s="891" t="s">
        <v>32</v>
      </c>
      <c r="AI50" s="891" t="s">
        <v>1877</v>
      </c>
      <c r="AJ50" s="891" t="s">
        <v>1877</v>
      </c>
      <c r="AK50" s="891" t="s">
        <v>34</v>
      </c>
      <c r="AL50" s="891" t="s">
        <v>32</v>
      </c>
      <c r="AM50" s="891" t="s">
        <v>32</v>
      </c>
      <c r="AN50" s="891" t="s">
        <v>34</v>
      </c>
      <c r="AO50" s="891" t="s">
        <v>36</v>
      </c>
      <c r="AP50" s="891" t="s">
        <v>35</v>
      </c>
      <c r="AQ50" s="891" t="s">
        <v>32</v>
      </c>
      <c r="AR50" s="891" t="s">
        <v>32</v>
      </c>
      <c r="AS50" s="891" t="s">
        <v>32</v>
      </c>
      <c r="AT50" s="891" t="s">
        <v>1960</v>
      </c>
      <c r="AU50" s="891" t="s">
        <v>34</v>
      </c>
      <c r="AV50" s="891" t="s">
        <v>34</v>
      </c>
      <c r="AW50" s="891" t="s">
        <v>32</v>
      </c>
      <c r="AX50" s="891" t="s">
        <v>3017</v>
      </c>
      <c r="AY50" s="891" t="s">
        <v>34</v>
      </c>
      <c r="AZ50" s="891" t="s">
        <v>32</v>
      </c>
      <c r="BA50" s="891" t="s">
        <v>1877</v>
      </c>
      <c r="BB50" s="891" t="s">
        <v>32</v>
      </c>
      <c r="BC50" s="891" t="s">
        <v>32</v>
      </c>
      <c r="BD50" s="904" t="s">
        <v>3049</v>
      </c>
      <c r="BE50" s="904" t="s">
        <v>35</v>
      </c>
      <c r="BF50" s="891" t="s">
        <v>32</v>
      </c>
      <c r="BG50" s="891" t="s">
        <v>36</v>
      </c>
      <c r="BH50" s="891" t="s">
        <v>34</v>
      </c>
      <c r="BI50" s="891" t="s">
        <v>1877</v>
      </c>
      <c r="BJ50" s="891" t="s">
        <v>1884</v>
      </c>
      <c r="BK50" s="891" t="s">
        <v>36</v>
      </c>
      <c r="BL50" s="891">
        <v>1</v>
      </c>
      <c r="BM50" s="910" t="s">
        <v>32</v>
      </c>
      <c r="BN50" s="910" t="s">
        <v>32</v>
      </c>
      <c r="BO50" s="910" t="s">
        <v>32</v>
      </c>
      <c r="BP50" s="891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86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2</v>
      </c>
      <c r="G51" s="879" t="s">
        <v>886</v>
      </c>
      <c r="H51" s="879" t="s">
        <v>18</v>
      </c>
      <c r="I51" s="879" t="s">
        <v>891</v>
      </c>
      <c r="J51" s="905">
        <v>2</v>
      </c>
      <c r="K51" s="905">
        <v>0</v>
      </c>
      <c r="L51" s="816" t="str">
        <f t="shared" si="39"/>
        <v>W</v>
      </c>
      <c r="M51" s="816">
        <f t="shared" si="40"/>
        <v>2</v>
      </c>
      <c r="N51" s="816" t="str">
        <f t="shared" si="38"/>
        <v>U</v>
      </c>
      <c r="O51" s="816">
        <f t="shared" si="29"/>
        <v>-0.25</v>
      </c>
      <c r="P51" s="829">
        <f t="shared" si="30"/>
        <v>1</v>
      </c>
      <c r="Q51" s="830">
        <v>0.23</v>
      </c>
      <c r="R51" s="871">
        <f t="shared" si="24"/>
        <v>1.77</v>
      </c>
      <c r="S51" s="830">
        <v>2.15</v>
      </c>
      <c r="T51" s="871">
        <f t="shared" si="31"/>
        <v>-0.14999999999999991</v>
      </c>
      <c r="U51" s="868">
        <f t="shared" si="32"/>
        <v>1.19</v>
      </c>
      <c r="V51" s="868">
        <f t="shared" si="33"/>
        <v>0.96</v>
      </c>
      <c r="W51" s="829">
        <v>17</v>
      </c>
      <c r="X51" s="829">
        <v>13</v>
      </c>
      <c r="Y51" s="829">
        <v>5</v>
      </c>
      <c r="Z51" s="829">
        <v>1</v>
      </c>
      <c r="AA51" s="829">
        <v>52</v>
      </c>
      <c r="AB51" s="829">
        <v>48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 t="s">
        <v>34</v>
      </c>
      <c r="AH51" s="891" t="s">
        <v>1877</v>
      </c>
      <c r="AI51" s="891" t="s">
        <v>32</v>
      </c>
      <c r="AJ51" s="891" t="s">
        <v>32</v>
      </c>
      <c r="AK51" s="891" t="s">
        <v>34</v>
      </c>
      <c r="AL51" s="891" t="s">
        <v>32</v>
      </c>
      <c r="AM51" s="891" t="s">
        <v>32</v>
      </c>
      <c r="AN51" s="904" t="s">
        <v>34</v>
      </c>
      <c r="AO51" s="891" t="s">
        <v>3074</v>
      </c>
      <c r="AP51" s="891" t="s">
        <v>32</v>
      </c>
      <c r="AQ51" s="891" t="s">
        <v>32</v>
      </c>
      <c r="AR51" s="891" t="s">
        <v>34</v>
      </c>
      <c r="AS51" s="891" t="s">
        <v>32</v>
      </c>
      <c r="AT51" s="891" t="s">
        <v>1960</v>
      </c>
      <c r="AU51" s="891" t="s">
        <v>34</v>
      </c>
      <c r="AV51" s="891" t="s">
        <v>34</v>
      </c>
      <c r="AW51" s="891" t="s">
        <v>32</v>
      </c>
      <c r="AX51" s="891" t="s">
        <v>35</v>
      </c>
      <c r="AY51" s="891" t="s">
        <v>34</v>
      </c>
      <c r="AZ51" s="891" t="s">
        <v>36</v>
      </c>
      <c r="BA51" s="891" t="s">
        <v>36</v>
      </c>
      <c r="BB51" s="891" t="s">
        <v>1877</v>
      </c>
      <c r="BC51" s="891" t="s">
        <v>32</v>
      </c>
      <c r="BD51" t="s">
        <v>32</v>
      </c>
      <c r="BE51" s="891" t="s">
        <v>35</v>
      </c>
      <c r="BF51" s="891" t="s">
        <v>32</v>
      </c>
      <c r="BG51" s="891" t="s">
        <v>36</v>
      </c>
      <c r="BH51" s="891" t="s">
        <v>34</v>
      </c>
      <c r="BI51" s="891" t="s">
        <v>1877</v>
      </c>
      <c r="BJ51" s="891" t="s">
        <v>1884</v>
      </c>
      <c r="BK51" s="891" t="s">
        <v>1877</v>
      </c>
      <c r="BL51" s="891"/>
      <c r="BM51" s="910"/>
      <c r="BN51" s="910"/>
      <c r="BO51" s="910"/>
      <c r="BP51" s="891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86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6</v>
      </c>
      <c r="G52" s="879" t="s">
        <v>876</v>
      </c>
      <c r="H52" s="879" t="s">
        <v>18</v>
      </c>
      <c r="I52" s="879" t="s">
        <v>891</v>
      </c>
      <c r="J52" s="905">
        <v>1</v>
      </c>
      <c r="K52" s="905">
        <v>0</v>
      </c>
      <c r="L52" s="816" t="str">
        <f t="shared" si="39"/>
        <v>W</v>
      </c>
      <c r="M52" s="816">
        <f t="shared" si="40"/>
        <v>1</v>
      </c>
      <c r="N52" s="816" t="str">
        <f t="shared" si="38"/>
        <v>U</v>
      </c>
      <c r="O52" s="816">
        <f t="shared" si="29"/>
        <v>0</v>
      </c>
      <c r="P52" s="829">
        <f t="shared" si="30"/>
        <v>1</v>
      </c>
      <c r="Q52" s="830">
        <v>-0.08</v>
      </c>
      <c r="R52" s="871">
        <f t="shared" si="24"/>
        <v>1.08</v>
      </c>
      <c r="S52" s="830">
        <v>2.58</v>
      </c>
      <c r="T52" s="871">
        <f t="shared" si="31"/>
        <v>-1.58</v>
      </c>
      <c r="U52" s="868">
        <f t="shared" si="32"/>
        <v>1.25</v>
      </c>
      <c r="V52" s="868">
        <f t="shared" si="33"/>
        <v>1.33</v>
      </c>
      <c r="W52" s="829">
        <v>3</v>
      </c>
      <c r="X52" s="829">
        <v>20</v>
      </c>
      <c r="Y52" s="829">
        <v>1</v>
      </c>
      <c r="Z52" s="829">
        <v>9</v>
      </c>
      <c r="AA52" s="829">
        <v>40</v>
      </c>
      <c r="AB52" s="829">
        <v>60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891" t="s">
        <v>34</v>
      </c>
      <c r="AH52" s="891" t="s">
        <v>1877</v>
      </c>
      <c r="AI52" s="891" t="s">
        <v>32</v>
      </c>
      <c r="AJ52" s="891" t="s">
        <v>32</v>
      </c>
      <c r="AK52" s="891" t="s">
        <v>34</v>
      </c>
      <c r="AL52" s="891" t="s">
        <v>1877</v>
      </c>
      <c r="AM52" s="891" t="s">
        <v>32</v>
      </c>
      <c r="AN52" s="891" t="s">
        <v>34</v>
      </c>
      <c r="AO52" s="891" t="s">
        <v>34</v>
      </c>
      <c r="AP52" s="891" t="s">
        <v>32</v>
      </c>
      <c r="AQ52" s="891" t="s">
        <v>32</v>
      </c>
      <c r="AR52" s="891" t="s">
        <v>34</v>
      </c>
      <c r="AS52" s="891" t="s">
        <v>32</v>
      </c>
      <c r="AT52" s="891" t="s">
        <v>1960</v>
      </c>
      <c r="AU52" s="891" t="s">
        <v>34</v>
      </c>
      <c r="AV52" s="891" t="s">
        <v>36</v>
      </c>
      <c r="AW52" s="891" t="s">
        <v>32</v>
      </c>
      <c r="AX52" s="891" t="s">
        <v>34</v>
      </c>
      <c r="AY52" s="891" t="s">
        <v>34</v>
      </c>
      <c r="AZ52" s="891" t="s">
        <v>1877</v>
      </c>
      <c r="BA52" s="891" t="s">
        <v>35</v>
      </c>
      <c r="BB52" s="891" t="s">
        <v>32</v>
      </c>
      <c r="BC52" s="891" t="s">
        <v>32</v>
      </c>
      <c r="BD52" t="s">
        <v>32</v>
      </c>
      <c r="BE52" s="891" t="s">
        <v>35</v>
      </c>
      <c r="BF52" s="891" t="s">
        <v>32</v>
      </c>
      <c r="BG52" s="891" t="s">
        <v>36</v>
      </c>
      <c r="BH52" s="891" t="s">
        <v>1877</v>
      </c>
      <c r="BI52" s="891" t="s">
        <v>35</v>
      </c>
      <c r="BJ52" s="891" t="s">
        <v>1884</v>
      </c>
      <c r="BK52" s="904" t="s">
        <v>3087</v>
      </c>
      <c r="BL52" s="891"/>
      <c r="BM52" s="910"/>
      <c r="BN52" s="910"/>
      <c r="BO52" s="910"/>
      <c r="BP52" s="891" t="s">
        <v>32</v>
      </c>
      <c r="BQ52" s="896" t="s">
        <v>32</v>
      </c>
      <c r="BR52" s="896" t="s">
        <v>32</v>
      </c>
      <c r="BS52" s="896" t="s">
        <v>32</v>
      </c>
      <c r="BT52" s="896" t="s">
        <v>32</v>
      </c>
      <c r="BU52" s="896" t="s">
        <v>32</v>
      </c>
      <c r="BV52" s="896" t="s">
        <v>32</v>
      </c>
      <c r="BW52" s="896" t="s">
        <v>32</v>
      </c>
      <c r="BX52" s="896" t="s">
        <v>32</v>
      </c>
      <c r="BY52" s="896" t="s">
        <v>32</v>
      </c>
      <c r="BZ52" s="896" t="s">
        <v>32</v>
      </c>
      <c r="CA52" s="896"/>
      <c r="CB52" s="896"/>
      <c r="CC52" s="896"/>
      <c r="CD52" s="896"/>
      <c r="CE52" s="428"/>
      <c r="CF52" s="428"/>
      <c r="CG52" s="428"/>
      <c r="CH52" s="428"/>
    </row>
    <row r="53" spans="1:86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21</v>
      </c>
      <c r="G53" s="879" t="s">
        <v>890</v>
      </c>
      <c r="H53" s="879" t="s">
        <v>22</v>
      </c>
      <c r="I53" s="879" t="s">
        <v>891</v>
      </c>
      <c r="J53" s="905">
        <v>0</v>
      </c>
      <c r="K53" s="905">
        <v>0</v>
      </c>
      <c r="L53" s="816" t="str">
        <f t="shared" si="36"/>
        <v>D</v>
      </c>
      <c r="M53" s="816">
        <f t="shared" si="37"/>
        <v>0</v>
      </c>
      <c r="N53" s="816" t="str">
        <f t="shared" si="38"/>
        <v>U</v>
      </c>
      <c r="O53" s="816">
        <f t="shared" si="29"/>
        <v>-1</v>
      </c>
      <c r="P53" s="829">
        <f t="shared" si="30"/>
        <v>-1</v>
      </c>
      <c r="Q53" s="830">
        <v>0.97</v>
      </c>
      <c r="R53" s="871">
        <f t="shared" si="24"/>
        <v>-0.97</v>
      </c>
      <c r="S53" s="830">
        <v>2.5099999999999998</v>
      </c>
      <c r="T53" s="871">
        <f t="shared" si="31"/>
        <v>-2.5099999999999998</v>
      </c>
      <c r="U53" s="868">
        <f t="shared" si="32"/>
        <v>1.7399999999999998</v>
      </c>
      <c r="V53" s="868">
        <f t="shared" si="33"/>
        <v>0.77</v>
      </c>
      <c r="W53" s="829">
        <v>20</v>
      </c>
      <c r="X53" s="829">
        <v>9</v>
      </c>
      <c r="Y53" s="829">
        <v>4</v>
      </c>
      <c r="Z53" s="829">
        <v>2</v>
      </c>
      <c r="AA53" s="829">
        <v>56</v>
      </c>
      <c r="AB53" s="829">
        <v>44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34</v>
      </c>
      <c r="AH53" s="891" t="s">
        <v>1877</v>
      </c>
      <c r="AI53" s="891" t="s">
        <v>32</v>
      </c>
      <c r="AJ53" s="891" t="s">
        <v>32</v>
      </c>
      <c r="AK53" s="904" t="s">
        <v>34</v>
      </c>
      <c r="AL53" s="891" t="s">
        <v>32</v>
      </c>
      <c r="AM53" s="891" t="s">
        <v>32</v>
      </c>
      <c r="AN53" s="891" t="s">
        <v>34</v>
      </c>
      <c r="AO53" s="891" t="s">
        <v>1877</v>
      </c>
      <c r="AP53" s="891" t="s">
        <v>32</v>
      </c>
      <c r="AQ53" s="891" t="s">
        <v>32</v>
      </c>
      <c r="AR53" s="891" t="s">
        <v>34</v>
      </c>
      <c r="AS53" s="891" t="s">
        <v>32</v>
      </c>
      <c r="AT53" s="891" t="s">
        <v>1960</v>
      </c>
      <c r="AU53" s="891" t="s">
        <v>34</v>
      </c>
      <c r="AV53" s="891" t="s">
        <v>34</v>
      </c>
      <c r="AW53" s="891" t="s">
        <v>32</v>
      </c>
      <c r="AX53" s="891" t="s">
        <v>34</v>
      </c>
      <c r="AY53" s="904" t="s">
        <v>34</v>
      </c>
      <c r="AZ53" s="904" t="s">
        <v>36</v>
      </c>
      <c r="BA53" s="891" t="s">
        <v>1877</v>
      </c>
      <c r="BB53" s="891" t="s">
        <v>36</v>
      </c>
      <c r="BC53" s="891" t="s">
        <v>32</v>
      </c>
      <c r="BD53" t="s">
        <v>32</v>
      </c>
      <c r="BE53" s="891" t="s">
        <v>36</v>
      </c>
      <c r="BF53" s="891" t="s">
        <v>32</v>
      </c>
      <c r="BG53" s="891" t="s">
        <v>1877</v>
      </c>
      <c r="BH53" s="891" t="s">
        <v>35</v>
      </c>
      <c r="BI53" s="891" t="s">
        <v>35</v>
      </c>
      <c r="BJ53" s="891" t="s">
        <v>3138</v>
      </c>
      <c r="BK53" s="891" t="s">
        <v>35</v>
      </c>
      <c r="BL53" s="891"/>
      <c r="BM53" s="910"/>
      <c r="BN53" s="910"/>
      <c r="BO53" s="910"/>
      <c r="BP53" s="891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86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22</v>
      </c>
      <c r="G54" s="879" t="s">
        <v>1087</v>
      </c>
      <c r="H54" s="879" t="s">
        <v>18</v>
      </c>
      <c r="I54" s="879" t="s">
        <v>891</v>
      </c>
      <c r="J54" s="905">
        <v>2</v>
      </c>
      <c r="K54" s="905">
        <v>0</v>
      </c>
      <c r="L54" s="816" t="str">
        <f t="shared" si="36"/>
        <v>W</v>
      </c>
      <c r="M54" s="816">
        <f t="shared" si="37"/>
        <v>2</v>
      </c>
      <c r="N54" s="816" t="str">
        <f t="shared" si="38"/>
        <v>U</v>
      </c>
      <c r="O54" s="816">
        <f t="shared" si="29"/>
        <v>-0.75</v>
      </c>
      <c r="P54" s="829">
        <f t="shared" si="30"/>
        <v>1</v>
      </c>
      <c r="Q54" s="830">
        <v>0.87</v>
      </c>
      <c r="R54" s="871">
        <f t="shared" si="24"/>
        <v>1.1299999999999999</v>
      </c>
      <c r="S54" s="830">
        <v>2.4900000000000002</v>
      </c>
      <c r="T54" s="871">
        <f t="shared" si="31"/>
        <v>-0.49000000000000021</v>
      </c>
      <c r="U54" s="868">
        <f t="shared" si="32"/>
        <v>1.6800000000000002</v>
      </c>
      <c r="V54" s="868">
        <f t="shared" si="33"/>
        <v>0.81</v>
      </c>
      <c r="W54" s="829">
        <v>14</v>
      </c>
      <c r="X54" s="829">
        <v>10</v>
      </c>
      <c r="Y54" s="829">
        <v>6</v>
      </c>
      <c r="Z54" s="829">
        <v>2</v>
      </c>
      <c r="AA54" s="829">
        <v>45</v>
      </c>
      <c r="AB54" s="829">
        <v>55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3160</v>
      </c>
      <c r="AH54" s="891" t="s">
        <v>1877</v>
      </c>
      <c r="AI54" s="891" t="s">
        <v>32</v>
      </c>
      <c r="AJ54" s="891" t="s">
        <v>32</v>
      </c>
      <c r="AK54" s="891" t="s">
        <v>34</v>
      </c>
      <c r="AL54" s="891" t="s">
        <v>36</v>
      </c>
      <c r="AM54" s="891" t="s">
        <v>1877</v>
      </c>
      <c r="AN54" s="891" t="s">
        <v>34</v>
      </c>
      <c r="AO54" s="904" t="s">
        <v>34</v>
      </c>
      <c r="AP54" s="891" t="s">
        <v>32</v>
      </c>
      <c r="AQ54" s="891" t="s">
        <v>3168</v>
      </c>
      <c r="AR54" s="891" t="s">
        <v>1877</v>
      </c>
      <c r="AS54" s="891" t="s">
        <v>32</v>
      </c>
      <c r="AT54" s="891" t="s">
        <v>1960</v>
      </c>
      <c r="AU54" s="891" t="s">
        <v>34</v>
      </c>
      <c r="AV54" s="891" t="s">
        <v>34</v>
      </c>
      <c r="AW54" s="891" t="s">
        <v>32</v>
      </c>
      <c r="AX54" s="904" t="s">
        <v>3147</v>
      </c>
      <c r="AY54" s="891" t="s">
        <v>34</v>
      </c>
      <c r="AZ54" s="904" t="s">
        <v>35</v>
      </c>
      <c r="BA54" s="904" t="s">
        <v>36</v>
      </c>
      <c r="BB54" s="891" t="s">
        <v>32</v>
      </c>
      <c r="BC54" s="891" t="s">
        <v>32</v>
      </c>
      <c r="BD54" t="s">
        <v>32</v>
      </c>
      <c r="BE54" s="891" t="s">
        <v>35</v>
      </c>
      <c r="BF54" s="891" t="s">
        <v>32</v>
      </c>
      <c r="BG54" s="891" t="s">
        <v>36</v>
      </c>
      <c r="BH54" s="891" t="s">
        <v>35</v>
      </c>
      <c r="BI54" s="891" t="s">
        <v>1877</v>
      </c>
      <c r="BJ54" s="891" t="s">
        <v>3159</v>
      </c>
      <c r="BK54" s="891" t="s">
        <v>3169</v>
      </c>
      <c r="BL54" s="891">
        <v>1</v>
      </c>
      <c r="BM54" s="910" t="s">
        <v>32</v>
      </c>
      <c r="BN54" s="910"/>
      <c r="BO54" s="910"/>
      <c r="BP54" s="891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86" ht="15">
      <c r="A55" s="882">
        <v>6455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10</v>
      </c>
      <c r="G55" s="879" t="s">
        <v>883</v>
      </c>
      <c r="H55" s="879" t="s">
        <v>22</v>
      </c>
      <c r="I55" s="879" t="s">
        <v>891</v>
      </c>
      <c r="J55" s="905">
        <v>2</v>
      </c>
      <c r="K55" s="905">
        <v>2</v>
      </c>
      <c r="L55" s="816" t="str">
        <f t="shared" si="36"/>
        <v>D</v>
      </c>
      <c r="M55" s="816">
        <f t="shared" si="37"/>
        <v>4</v>
      </c>
      <c r="N55" s="816" t="str">
        <f t="shared" si="38"/>
        <v>O</v>
      </c>
      <c r="O55" s="816">
        <f t="shared" si="29"/>
        <v>-0.5</v>
      </c>
      <c r="P55" s="829">
        <f t="shared" si="30"/>
        <v>-1</v>
      </c>
      <c r="Q55" s="830">
        <v>0.45</v>
      </c>
      <c r="R55" s="871">
        <f t="shared" si="24"/>
        <v>-0.45</v>
      </c>
      <c r="S55" s="830">
        <v>2.23</v>
      </c>
      <c r="T55" s="871">
        <f t="shared" si="31"/>
        <v>1.77</v>
      </c>
      <c r="U55" s="868">
        <f t="shared" si="32"/>
        <v>1.34</v>
      </c>
      <c r="V55" s="868">
        <f t="shared" si="33"/>
        <v>0.8899999999999999</v>
      </c>
      <c r="W55" s="829">
        <v>21</v>
      </c>
      <c r="X55" s="829">
        <v>14</v>
      </c>
      <c r="Y55" s="829">
        <v>5</v>
      </c>
      <c r="Z55" s="829">
        <v>5</v>
      </c>
      <c r="AA55" s="829">
        <v>45</v>
      </c>
      <c r="AB55" s="829">
        <v>55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 t="s">
        <v>34</v>
      </c>
      <c r="AH55" s="891" t="s">
        <v>1877</v>
      </c>
      <c r="AI55" s="891" t="s">
        <v>32</v>
      </c>
      <c r="AJ55" s="891" t="s">
        <v>1877</v>
      </c>
      <c r="AK55" s="891" t="s">
        <v>34</v>
      </c>
      <c r="AL55" s="904" t="s">
        <v>35</v>
      </c>
      <c r="AM55" s="891" t="s">
        <v>36</v>
      </c>
      <c r="AN55" s="891" t="s">
        <v>34</v>
      </c>
      <c r="AO55" s="891" t="s">
        <v>3170</v>
      </c>
      <c r="AP55" s="891" t="s">
        <v>32</v>
      </c>
      <c r="AQ55" s="891" t="s">
        <v>3032</v>
      </c>
      <c r="AR55" s="891" t="s">
        <v>36</v>
      </c>
      <c r="AS55" s="891" t="s">
        <v>32</v>
      </c>
      <c r="AT55" s="891" t="s">
        <v>1960</v>
      </c>
      <c r="AU55" s="891" t="s">
        <v>34</v>
      </c>
      <c r="AV55" s="891" t="s">
        <v>34</v>
      </c>
      <c r="AW55" s="891" t="s">
        <v>1877</v>
      </c>
      <c r="AX55" s="891" t="s">
        <v>34</v>
      </c>
      <c r="AY55" s="891" t="s">
        <v>34</v>
      </c>
      <c r="AZ55" s="891" t="s">
        <v>3172</v>
      </c>
      <c r="BA55" s="891" t="s">
        <v>3170</v>
      </c>
      <c r="BB55" s="891" t="s">
        <v>32</v>
      </c>
      <c r="BC55" s="891" t="s">
        <v>32</v>
      </c>
      <c r="BD55" t="s">
        <v>32</v>
      </c>
      <c r="BE55" s="891" t="s">
        <v>3174</v>
      </c>
      <c r="BF55" s="891" t="s">
        <v>36</v>
      </c>
      <c r="BG55" s="891" t="s">
        <v>32</v>
      </c>
      <c r="BH55" s="891" t="s">
        <v>35</v>
      </c>
      <c r="BI55" s="891" t="s">
        <v>1877</v>
      </c>
      <c r="BJ55" s="891" t="s">
        <v>1884</v>
      </c>
      <c r="BK55" s="891" t="s">
        <v>3169</v>
      </c>
      <c r="BL55" s="891"/>
      <c r="BM55" s="910"/>
      <c r="BN55" s="910"/>
      <c r="BO55" s="910"/>
      <c r="BP55" s="891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</row>
    <row r="56" spans="1:86" ht="15">
      <c r="A56" s="882">
        <v>6462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20</v>
      </c>
      <c r="G56" s="879" t="s">
        <v>882</v>
      </c>
      <c r="H56" s="879" t="s">
        <v>18</v>
      </c>
      <c r="I56" s="879" t="s">
        <v>891</v>
      </c>
      <c r="J56" s="905">
        <v>5</v>
      </c>
      <c r="K56" s="905">
        <v>3</v>
      </c>
      <c r="L56" s="816" t="str">
        <f t="shared" si="36"/>
        <v>W</v>
      </c>
      <c r="M56" s="816">
        <f t="shared" si="37"/>
        <v>8</v>
      </c>
      <c r="N56" s="816" t="str">
        <f t="shared" si="38"/>
        <v>O</v>
      </c>
      <c r="O56" s="816">
        <f t="shared" si="29"/>
        <v>-0.5</v>
      </c>
      <c r="P56" s="829">
        <f t="shared" si="30"/>
        <v>1</v>
      </c>
      <c r="Q56" s="830">
        <v>0.53</v>
      </c>
      <c r="R56" s="871">
        <f t="shared" si="24"/>
        <v>1.47</v>
      </c>
      <c r="S56" s="830">
        <v>2.5299999999999998</v>
      </c>
      <c r="T56" s="871">
        <f t="shared" si="31"/>
        <v>5.4700000000000006</v>
      </c>
      <c r="U56" s="868">
        <f t="shared" si="32"/>
        <v>1.5299999999999998</v>
      </c>
      <c r="V56" s="868">
        <f t="shared" si="33"/>
        <v>1</v>
      </c>
      <c r="W56" s="829">
        <v>10</v>
      </c>
      <c r="X56" s="829">
        <v>14</v>
      </c>
      <c r="Y56" s="829">
        <v>4</v>
      </c>
      <c r="Z56" s="829">
        <v>5</v>
      </c>
      <c r="AA56" s="829">
        <v>53</v>
      </c>
      <c r="AB56" s="829">
        <v>47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34</v>
      </c>
      <c r="AH56" s="891" t="s">
        <v>1877</v>
      </c>
      <c r="AI56" s="891" t="s">
        <v>32</v>
      </c>
      <c r="AJ56" s="891" t="s">
        <v>32</v>
      </c>
      <c r="AK56" s="891" t="s">
        <v>3222</v>
      </c>
      <c r="AL56" s="891" t="s">
        <v>36</v>
      </c>
      <c r="AM56" s="891" t="s">
        <v>1877</v>
      </c>
      <c r="AN56" s="904" t="s">
        <v>34</v>
      </c>
      <c r="AO56" s="904" t="s">
        <v>34</v>
      </c>
      <c r="AP56" s="891" t="s">
        <v>32</v>
      </c>
      <c r="AQ56" s="891" t="s">
        <v>3217</v>
      </c>
      <c r="AR56" s="891" t="s">
        <v>32</v>
      </c>
      <c r="AS56" s="891" t="s">
        <v>32</v>
      </c>
      <c r="AT56" s="891" t="s">
        <v>1886</v>
      </c>
      <c r="AU56" s="891" t="s">
        <v>34</v>
      </c>
      <c r="AV56" s="891" t="s">
        <v>34</v>
      </c>
      <c r="AW56" s="891" t="s">
        <v>32</v>
      </c>
      <c r="AX56" s="904" t="s">
        <v>35</v>
      </c>
      <c r="AY56" s="891" t="s">
        <v>34</v>
      </c>
      <c r="AZ56" s="891" t="s">
        <v>35</v>
      </c>
      <c r="BA56" s="891" t="s">
        <v>36</v>
      </c>
      <c r="BB56" s="891" t="s">
        <v>32</v>
      </c>
      <c r="BC56" s="891" t="s">
        <v>32</v>
      </c>
      <c r="BD56" s="891" t="s">
        <v>3221</v>
      </c>
      <c r="BE56" s="891" t="s">
        <v>3229</v>
      </c>
      <c r="BF56" s="891" t="s">
        <v>32</v>
      </c>
      <c r="BG56" s="891" t="s">
        <v>1877</v>
      </c>
      <c r="BH56" s="891" t="s">
        <v>35</v>
      </c>
      <c r="BI56" s="891" t="s">
        <v>32</v>
      </c>
      <c r="BJ56" s="891" t="s">
        <v>3228</v>
      </c>
      <c r="BK56" s="891" t="s">
        <v>1877</v>
      </c>
      <c r="BL56" s="891">
        <v>1</v>
      </c>
      <c r="BM56" s="910"/>
      <c r="BN56" s="910"/>
      <c r="BO56" s="910"/>
      <c r="BP56" s="891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86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19</v>
      </c>
      <c r="G57" s="879" t="s">
        <v>885</v>
      </c>
      <c r="H57" s="879" t="s">
        <v>22</v>
      </c>
      <c r="I57" s="879" t="s">
        <v>891</v>
      </c>
      <c r="J57" s="905">
        <v>1</v>
      </c>
      <c r="K57" s="905">
        <v>0</v>
      </c>
      <c r="L57" s="816" t="str">
        <f t="shared" si="36"/>
        <v>W</v>
      </c>
      <c r="M57" s="816">
        <f t="shared" si="37"/>
        <v>1</v>
      </c>
      <c r="N57" s="816" t="str">
        <f t="shared" si="38"/>
        <v>U</v>
      </c>
      <c r="O57" s="816">
        <f t="shared" si="29"/>
        <v>-0.75</v>
      </c>
      <c r="P57" s="829">
        <f t="shared" si="30"/>
        <v>0.5</v>
      </c>
      <c r="Q57" s="830">
        <v>0.85</v>
      </c>
      <c r="R57" s="871">
        <f t="shared" si="24"/>
        <v>0.15000000000000002</v>
      </c>
      <c r="S57" s="830">
        <v>2.63</v>
      </c>
      <c r="T57" s="871">
        <f t="shared" si="31"/>
        <v>-1.63</v>
      </c>
      <c r="U57" s="868">
        <f t="shared" si="32"/>
        <v>1.74</v>
      </c>
      <c r="V57" s="868">
        <f t="shared" si="33"/>
        <v>0.8899999999999999</v>
      </c>
      <c r="W57" s="829">
        <v>14</v>
      </c>
      <c r="X57" s="829">
        <v>12</v>
      </c>
      <c r="Y57" s="829">
        <v>1</v>
      </c>
      <c r="Z57" s="829">
        <v>2</v>
      </c>
      <c r="AA57" s="829">
        <v>41</v>
      </c>
      <c r="AB57" s="829">
        <v>59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34</v>
      </c>
      <c r="AH57" s="891" t="s">
        <v>1877</v>
      </c>
      <c r="AI57" s="891" t="s">
        <v>32</v>
      </c>
      <c r="AJ57" s="891" t="s">
        <v>32</v>
      </c>
      <c r="AK57" s="891" t="s">
        <v>3252</v>
      </c>
      <c r="AL57" s="891" t="s">
        <v>36</v>
      </c>
      <c r="AM57" s="891" t="s">
        <v>1877</v>
      </c>
      <c r="AN57" s="891" t="s">
        <v>34</v>
      </c>
      <c r="AO57" s="891" t="s">
        <v>34</v>
      </c>
      <c r="AP57" s="891" t="s">
        <v>32</v>
      </c>
      <c r="AQ57" s="891" t="s">
        <v>1886</v>
      </c>
      <c r="AR57" s="891" t="s">
        <v>35</v>
      </c>
      <c r="AS57" s="891" t="s">
        <v>32</v>
      </c>
      <c r="AT57" s="891"/>
      <c r="AU57" s="891" t="s">
        <v>34</v>
      </c>
      <c r="AV57" s="891" t="s">
        <v>34</v>
      </c>
      <c r="AW57" s="891" t="s">
        <v>35</v>
      </c>
      <c r="AX57" s="891" t="s">
        <v>3268</v>
      </c>
      <c r="AY57" s="891" t="s">
        <v>34</v>
      </c>
      <c r="AZ57" s="891" t="s">
        <v>32</v>
      </c>
      <c r="BA57" s="891" t="s">
        <v>32</v>
      </c>
      <c r="BB57" s="891" t="s">
        <v>32</v>
      </c>
      <c r="BC57" s="891" t="s">
        <v>32</v>
      </c>
      <c r="BD57" s="891" t="s">
        <v>1877</v>
      </c>
      <c r="BE57" s="891" t="s">
        <v>35</v>
      </c>
      <c r="BF57" s="891" t="s">
        <v>32</v>
      </c>
      <c r="BG57" s="891" t="s">
        <v>36</v>
      </c>
      <c r="BH57" s="891" t="s">
        <v>34</v>
      </c>
      <c r="BI57" s="891" t="s">
        <v>36</v>
      </c>
      <c r="BJ57" s="891" t="s">
        <v>3269</v>
      </c>
      <c r="BK57" s="891" t="s">
        <v>1877</v>
      </c>
      <c r="BL57" s="891"/>
      <c r="BM57" s="910"/>
      <c r="BN57" s="910"/>
      <c r="BO57" s="910"/>
      <c r="BP57" s="891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86" ht="15">
      <c r="A58" s="882">
        <v>6476</v>
      </c>
      <c r="B58" s="884"/>
      <c r="C58" s="884"/>
      <c r="D58" s="884"/>
      <c r="E58" s="884"/>
      <c r="F58" s="884">
        <f ca="1">IF(I58="","",IF(I58=Table!$C$1,VLOOKUP(G58,Table!$B$9:$AE$32,Table!$AE$6-1,FALSE),""))</f>
        <v>12</v>
      </c>
      <c r="G58" s="879" t="s">
        <v>879</v>
      </c>
      <c r="H58" s="879" t="s">
        <v>18</v>
      </c>
      <c r="I58" s="879" t="s">
        <v>891</v>
      </c>
      <c r="J58" s="905">
        <v>0</v>
      </c>
      <c r="K58" s="905">
        <v>0</v>
      </c>
      <c r="L58" s="816" t="str">
        <f t="shared" si="36"/>
        <v>D</v>
      </c>
      <c r="M58" s="816">
        <f t="shared" si="37"/>
        <v>0</v>
      </c>
      <c r="N58" s="816" t="str">
        <f t="shared" si="38"/>
        <v>U</v>
      </c>
      <c r="O58" s="816">
        <f t="shared" ref="O58" si="49">IF(Q58="","",IF(SIGN(Q58)&lt;&gt;1,VLOOKUP(ABS(Q58),SUP_HDC,3,TRUE),-VLOOKUP(ABS(Q58),SUP_HDC,3,TRUE)))</f>
        <v>-0.25</v>
      </c>
      <c r="P58" s="829">
        <f t="shared" ref="P58" si="50">IF(O58="","",IF((J58-K58+O58)&gt;=0.5,1,IF((J58-K58+O58)=0.25,0.5,IF((J58-K58+O58)&lt;=-0.5,-1,IF((J58-K58+O58)=-0.25,-0.5,0)))))</f>
        <v>-0.5</v>
      </c>
      <c r="Q58" s="830">
        <v>0.19</v>
      </c>
      <c r="R58" s="871">
        <f t="shared" ref="R58" si="51">IF(ISBLANK(Q58),"",J58-K58-Q58)</f>
        <v>-0.19</v>
      </c>
      <c r="S58" s="830">
        <v>2.4500000000000002</v>
      </c>
      <c r="T58" s="871">
        <f t="shared" ref="T58" si="52">IF(ISBLANK(S58),"",J58+K58-S58)</f>
        <v>-2.4500000000000002</v>
      </c>
      <c r="U58" s="868">
        <f t="shared" ref="U58" si="53">IF(Q58="","",(Q58+S58)/2)</f>
        <v>1.32</v>
      </c>
      <c r="V58" s="868">
        <f t="shared" ref="V58" si="54">IF(Q58="","",S58-U58)</f>
        <v>1.1300000000000001</v>
      </c>
      <c r="W58" s="829">
        <v>4</v>
      </c>
      <c r="X58" s="829">
        <v>25</v>
      </c>
      <c r="Y58" s="829">
        <v>1</v>
      </c>
      <c r="Z58" s="829">
        <v>3</v>
      </c>
      <c r="AA58" s="829">
        <v>53</v>
      </c>
      <c r="AB58" s="829">
        <v>47</v>
      </c>
      <c r="AC58" s="829"/>
      <c r="AD58" s="816" t="str">
        <f t="array" ref="AD58">IF($J58="","",IF(SUM(IF(ISNUMBER(VALUE(RIGHT($AG58:$DW58,1))),VALUE(RIGHT($AG58:$DW58,1)),0))=$J58,"T","F"))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IF($J58="","",SUM(IF(LEFT($AG58:$DW58,1)="X",1,0)))</f>
        <v>11</v>
      </c>
      <c r="AG58" s="891" t="s">
        <v>34</v>
      </c>
      <c r="AH58" s="891" t="s">
        <v>1877</v>
      </c>
      <c r="AI58" s="891" t="s">
        <v>32</v>
      </c>
      <c r="AJ58" s="891" t="s">
        <v>1877</v>
      </c>
      <c r="AK58" s="891" t="s">
        <v>34</v>
      </c>
      <c r="AL58" s="891" t="s">
        <v>1877</v>
      </c>
      <c r="AM58" s="891" t="s">
        <v>36</v>
      </c>
      <c r="AN58" s="891" t="s">
        <v>34</v>
      </c>
      <c r="AO58" s="891" t="s">
        <v>34</v>
      </c>
      <c r="AP58" s="891" t="s">
        <v>35</v>
      </c>
      <c r="AQ58" s="891" t="s">
        <v>1886</v>
      </c>
      <c r="AR58" s="891" t="s">
        <v>32</v>
      </c>
      <c r="AS58" s="891" t="s">
        <v>32</v>
      </c>
      <c r="AT58" s="891"/>
      <c r="AU58" s="891" t="s">
        <v>34</v>
      </c>
      <c r="AV58" s="891" t="s">
        <v>34</v>
      </c>
      <c r="AW58" s="891" t="s">
        <v>1877</v>
      </c>
      <c r="AX58" s="891" t="s">
        <v>35</v>
      </c>
      <c r="AY58" s="891" t="s">
        <v>34</v>
      </c>
      <c r="AZ58" s="891" t="s">
        <v>32</v>
      </c>
      <c r="BA58" s="891" t="s">
        <v>36</v>
      </c>
      <c r="BB58" s="891" t="s">
        <v>32</v>
      </c>
      <c r="BC58" s="891" t="s">
        <v>32</v>
      </c>
      <c r="BD58" s="891" t="s">
        <v>32</v>
      </c>
      <c r="BE58" s="891" t="s">
        <v>34</v>
      </c>
      <c r="BF58" s="891" t="s">
        <v>32</v>
      </c>
      <c r="BG58" s="891" t="s">
        <v>35</v>
      </c>
      <c r="BH58" s="891" t="s">
        <v>32</v>
      </c>
      <c r="BI58" s="891" t="s">
        <v>32</v>
      </c>
      <c r="BJ58" s="891" t="s">
        <v>1884</v>
      </c>
      <c r="BK58" s="891" t="s">
        <v>36</v>
      </c>
      <c r="BL58" s="891"/>
      <c r="BM58" s="910"/>
      <c r="BN58" s="910"/>
      <c r="BO58" s="910"/>
      <c r="BP58" s="891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86" ht="15">
      <c r="A59" s="882">
        <v>6483</v>
      </c>
      <c r="B59" s="884"/>
      <c r="C59" s="884"/>
      <c r="D59" s="884"/>
      <c r="E59" s="884"/>
      <c r="F59" s="884">
        <f ca="1">IF(I59="","",IF(I59=Table!$C$1,VLOOKUP(G59,Table!$B$9:$AE$32,Table!$AE$6-1,FALSE),""))</f>
        <v>17</v>
      </c>
      <c r="G59" s="879" t="s">
        <v>875</v>
      </c>
      <c r="H59" s="879" t="s">
        <v>22</v>
      </c>
      <c r="I59" s="879" t="s">
        <v>891</v>
      </c>
      <c r="J59" s="905">
        <v>4</v>
      </c>
      <c r="K59" s="905">
        <v>2</v>
      </c>
      <c r="L59" s="816" t="str">
        <f t="shared" si="36"/>
        <v>W</v>
      </c>
      <c r="M59" s="816">
        <f t="shared" si="37"/>
        <v>6</v>
      </c>
      <c r="N59" s="816" t="str">
        <f t="shared" si="38"/>
        <v>O</v>
      </c>
      <c r="O59" s="816">
        <f t="shared" ref="O59" si="55">IF(Q59="","",IF(SIGN(Q59)&lt;&gt;1,VLOOKUP(ABS(Q59),SUP_HDC,3,TRUE),-VLOOKUP(ABS(Q59),SUP_HDC,3,TRUE)))</f>
        <v>-0.75</v>
      </c>
      <c r="P59" s="829">
        <f t="shared" ref="P59" si="56">IF(O59="","",IF((J59-K59+O59)&gt;=0.5,1,IF((J59-K59+O59)=0.25,0.5,IF((J59-K59+O59)&lt;=-0.5,-1,IF((J59-K59+O59)=-0.25,-0.5,0)))))</f>
        <v>1</v>
      </c>
      <c r="Q59" s="830">
        <v>0.9</v>
      </c>
      <c r="R59" s="871">
        <f t="shared" ref="R59" si="57">IF(ISBLANK(Q59),"",J59-K59-Q59)</f>
        <v>1.1000000000000001</v>
      </c>
      <c r="S59" s="830">
        <v>2.65</v>
      </c>
      <c r="T59" s="871">
        <f t="shared" ref="T59" si="58">IF(ISBLANK(S59),"",J59+K59-S59)</f>
        <v>3.35</v>
      </c>
      <c r="U59" s="868">
        <f t="shared" ref="U59" si="59">IF(Q59="","",(Q59+S59)/2)</f>
        <v>1.7749999999999999</v>
      </c>
      <c r="V59" s="868">
        <f t="shared" ref="V59" si="60">IF(Q59="","",S59-U59)</f>
        <v>0.875</v>
      </c>
      <c r="W59" s="829">
        <v>18</v>
      </c>
      <c r="X59" s="829">
        <v>15</v>
      </c>
      <c r="Y59" s="829">
        <v>6</v>
      </c>
      <c r="Z59" s="829">
        <v>6</v>
      </c>
      <c r="AA59" s="829">
        <v>53</v>
      </c>
      <c r="AB59" s="829">
        <v>47</v>
      </c>
      <c r="AC59" s="829"/>
      <c r="AD59" s="816" t="str">
        <f t="array" ref="AD59">IF($J59="","",IF(SUM(IF(ISNUMBER(VALUE(RIGHT($AG59:$DW59,1))),VALUE(RIGHT($AG59:$DW59,1)),0))=$J59,"T","F"))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IF($J59="","",SUM(IF(LEFT($AG59:$DW59,1)="X",1,0)))</f>
        <v>11</v>
      </c>
      <c r="AG59" s="891" t="s">
        <v>34</v>
      </c>
      <c r="AH59" s="891" t="s">
        <v>32</v>
      </c>
      <c r="AI59" s="891" t="s">
        <v>1877</v>
      </c>
      <c r="AJ59" s="891" t="s">
        <v>32</v>
      </c>
      <c r="AK59" s="891" t="s">
        <v>3356</v>
      </c>
      <c r="AL59" s="891" t="s">
        <v>1877</v>
      </c>
      <c r="AM59" s="891" t="s">
        <v>32</v>
      </c>
      <c r="AN59" s="891" t="s">
        <v>34</v>
      </c>
      <c r="AO59" s="891" t="s">
        <v>32</v>
      </c>
      <c r="AP59" s="891" t="s">
        <v>34</v>
      </c>
      <c r="AQ59" s="891" t="s">
        <v>1886</v>
      </c>
      <c r="AR59" s="891" t="s">
        <v>1877</v>
      </c>
      <c r="AS59" s="891" t="s">
        <v>1877</v>
      </c>
      <c r="AT59" s="891" t="s">
        <v>3371</v>
      </c>
      <c r="AU59" s="891" t="s">
        <v>3372</v>
      </c>
      <c r="AV59" s="891" t="s">
        <v>34</v>
      </c>
      <c r="AW59" s="891" t="s">
        <v>32</v>
      </c>
      <c r="AX59" s="891" t="s">
        <v>3370</v>
      </c>
      <c r="AY59" s="891" t="s">
        <v>34</v>
      </c>
      <c r="AZ59" s="891" t="s">
        <v>34</v>
      </c>
      <c r="BA59" s="907" t="s">
        <v>3374</v>
      </c>
      <c r="BB59" s="891" t="s">
        <v>32</v>
      </c>
      <c r="BC59" s="891" t="s">
        <v>32</v>
      </c>
      <c r="BD59" s="891" t="s">
        <v>32</v>
      </c>
      <c r="BE59" s="891" t="s">
        <v>35</v>
      </c>
      <c r="BF59" s="891" t="s">
        <v>32</v>
      </c>
      <c r="BG59" s="891" t="s">
        <v>36</v>
      </c>
      <c r="BH59" s="891" t="s">
        <v>32</v>
      </c>
      <c r="BI59" s="891" t="s">
        <v>36</v>
      </c>
      <c r="BJ59" s="891" t="s">
        <v>1884</v>
      </c>
      <c r="BK59" s="891"/>
      <c r="BL59" s="891"/>
      <c r="BM59" s="910"/>
      <c r="BN59" s="910"/>
      <c r="BO59" s="910"/>
      <c r="BP59" s="891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86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14</v>
      </c>
      <c r="G60" s="879" t="s">
        <v>873</v>
      </c>
      <c r="H60" s="879" t="s">
        <v>22</v>
      </c>
      <c r="I60" s="879" t="s">
        <v>891</v>
      </c>
      <c r="J60" s="905">
        <v>3</v>
      </c>
      <c r="K60" s="905">
        <v>0</v>
      </c>
      <c r="L60" s="816" t="str">
        <f t="shared" si="36"/>
        <v>W</v>
      </c>
      <c r="M60" s="816">
        <f t="shared" si="37"/>
        <v>3</v>
      </c>
      <c r="N60" s="816" t="str">
        <f t="shared" si="38"/>
        <v>O</v>
      </c>
      <c r="O60" s="816">
        <f t="shared" si="29"/>
        <v>-0.5</v>
      </c>
      <c r="P60" s="829">
        <f t="shared" si="30"/>
        <v>1</v>
      </c>
      <c r="Q60" s="830">
        <v>0.67</v>
      </c>
      <c r="R60" s="871">
        <f t="shared" si="24"/>
        <v>2.33</v>
      </c>
      <c r="S60" s="830">
        <v>2.56</v>
      </c>
      <c r="T60" s="871">
        <f t="shared" si="31"/>
        <v>0.43999999999999995</v>
      </c>
      <c r="U60" s="868">
        <f t="shared" si="32"/>
        <v>1.615</v>
      </c>
      <c r="V60" s="868">
        <f t="shared" si="33"/>
        <v>0.94500000000000006</v>
      </c>
      <c r="W60" s="829">
        <v>15</v>
      </c>
      <c r="X60" s="829">
        <v>14</v>
      </c>
      <c r="Y60" s="829">
        <v>7</v>
      </c>
      <c r="Z60" s="829">
        <v>1</v>
      </c>
      <c r="AA60" s="829">
        <v>51</v>
      </c>
      <c r="AB60" s="829">
        <v>49</v>
      </c>
      <c r="AC60" s="829"/>
      <c r="AD60" s="816" t="str">
        <f t="array" ref="AD60">IF($J60="","",IF(SUM(IF(ISNUMBER(VALUE(RIGHT($AG60:$DW60,1))),VALUE(RIGHT($AG60:$DW60,1)),0))=$J60,"T","F"))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IF($J60="","",SUM(IF(LEFT($AG60:$DW60,1)="X",1,0)))</f>
        <v>11</v>
      </c>
      <c r="AG60" s="891" t="s">
        <v>34</v>
      </c>
      <c r="AH60" s="891" t="s">
        <v>32</v>
      </c>
      <c r="AI60" s="891" t="s">
        <v>1877</v>
      </c>
      <c r="AJ60" s="891" t="s">
        <v>1877</v>
      </c>
      <c r="AK60" s="891" t="s">
        <v>34</v>
      </c>
      <c r="AL60" s="891" t="s">
        <v>32</v>
      </c>
      <c r="AM60" s="891" t="s">
        <v>32</v>
      </c>
      <c r="AN60" s="891" t="s">
        <v>34</v>
      </c>
      <c r="AO60" s="891" t="s">
        <v>32</v>
      </c>
      <c r="AP60" s="891" t="s">
        <v>34</v>
      </c>
      <c r="AQ60" s="891" t="s">
        <v>32</v>
      </c>
      <c r="AR60" s="891" t="s">
        <v>1877</v>
      </c>
      <c r="AS60" s="891" t="s">
        <v>3407</v>
      </c>
      <c r="AT60" s="891" t="s">
        <v>34</v>
      </c>
      <c r="AU60" s="891" t="s">
        <v>35</v>
      </c>
      <c r="AV60" s="891" t="s">
        <v>34</v>
      </c>
      <c r="AW60" s="891" t="s">
        <v>32</v>
      </c>
      <c r="AX60" s="891" t="s">
        <v>34</v>
      </c>
      <c r="AY60" s="891" t="s">
        <v>34</v>
      </c>
      <c r="AZ60" s="891" t="s">
        <v>35</v>
      </c>
      <c r="BA60" s="891" t="s">
        <v>35</v>
      </c>
      <c r="BB60" s="891" t="s">
        <v>32</v>
      </c>
      <c r="BC60" s="891" t="s">
        <v>32</v>
      </c>
      <c r="BD60" s="891" t="s">
        <v>32</v>
      </c>
      <c r="BE60" s="891" t="s">
        <v>3395</v>
      </c>
      <c r="BF60" s="891" t="s">
        <v>32</v>
      </c>
      <c r="BG60" s="891" t="s">
        <v>3407</v>
      </c>
      <c r="BH60" s="891" t="s">
        <v>32</v>
      </c>
      <c r="BI60" s="891" t="s">
        <v>1877</v>
      </c>
      <c r="BJ60" s="891" t="s">
        <v>1884</v>
      </c>
      <c r="BK60" s="891" t="s">
        <v>36</v>
      </c>
      <c r="BL60" s="891">
        <v>1</v>
      </c>
      <c r="BM60" s="910"/>
      <c r="BN60" s="910"/>
      <c r="BO60" s="910"/>
      <c r="BP60" s="891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428"/>
      <c r="CF60" s="428"/>
      <c r="CG60" s="428"/>
      <c r="CH60" s="428"/>
    </row>
    <row r="61" spans="1:86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3</v>
      </c>
      <c r="G61" s="879" t="s">
        <v>1085</v>
      </c>
      <c r="H61" s="879" t="s">
        <v>18</v>
      </c>
      <c r="I61" s="879" t="s">
        <v>891</v>
      </c>
      <c r="J61" s="905">
        <v>2</v>
      </c>
      <c r="K61" s="905">
        <v>3</v>
      </c>
      <c r="L61" s="816" t="str">
        <f t="shared" si="36"/>
        <v>L</v>
      </c>
      <c r="M61" s="816">
        <f t="shared" si="37"/>
        <v>5</v>
      </c>
      <c r="N61" s="816" t="str">
        <f t="shared" si="38"/>
        <v>O</v>
      </c>
      <c r="O61" s="816">
        <f t="shared" si="29"/>
        <v>0</v>
      </c>
      <c r="P61" s="829">
        <f t="shared" si="30"/>
        <v>-1</v>
      </c>
      <c r="Q61" s="830">
        <v>-0.13</v>
      </c>
      <c r="R61" s="871">
        <f t="shared" si="24"/>
        <v>-0.87</v>
      </c>
      <c r="S61" s="830">
        <v>3</v>
      </c>
      <c r="T61" s="871">
        <f t="shared" si="31"/>
        <v>2</v>
      </c>
      <c r="U61" s="868">
        <f t="shared" si="32"/>
        <v>1.4350000000000001</v>
      </c>
      <c r="V61" s="868">
        <f t="shared" si="33"/>
        <v>1.5649999999999999</v>
      </c>
      <c r="W61" s="829">
        <v>11</v>
      </c>
      <c r="X61" s="829">
        <v>12</v>
      </c>
      <c r="Y61" s="829">
        <v>7</v>
      </c>
      <c r="Z61" s="829">
        <v>3</v>
      </c>
      <c r="AA61" s="829">
        <v>46</v>
      </c>
      <c r="AB61" s="829">
        <v>54</v>
      </c>
      <c r="AC61" s="829"/>
      <c r="AD61" s="816" t="str">
        <f t="array" ref="AD61">IF($J61="","",IF(SUM(IF(ISNUMBER(VALUE(RIGHT($AG61:$DW61,1))),VALUE(RIGHT($AG61:$DW61,1)),0))=$J61,"T","F"))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IF($J61="","",SUM(IF(LEFT($AG61:$DW61,1)="X",1,0)))</f>
        <v>11</v>
      </c>
      <c r="AG61" s="891" t="s">
        <v>3442</v>
      </c>
      <c r="AH61" s="891" t="s">
        <v>32</v>
      </c>
      <c r="AI61" s="891" t="s">
        <v>1877</v>
      </c>
      <c r="AJ61" s="891" t="s">
        <v>32</v>
      </c>
      <c r="AK61" s="891" t="s">
        <v>34</v>
      </c>
      <c r="AL61" s="891" t="s">
        <v>32</v>
      </c>
      <c r="AM61" s="891" t="s">
        <v>32</v>
      </c>
      <c r="AN61" s="891" t="s">
        <v>34</v>
      </c>
      <c r="AO61" s="891" t="s">
        <v>1877</v>
      </c>
      <c r="AP61" s="891" t="s">
        <v>34</v>
      </c>
      <c r="AQ61" s="891" t="s">
        <v>32</v>
      </c>
      <c r="AR61" s="891" t="s">
        <v>1877</v>
      </c>
      <c r="AS61" s="891" t="s">
        <v>32</v>
      </c>
      <c r="AT61" s="891" t="s">
        <v>3445</v>
      </c>
      <c r="AU61" s="891" t="s">
        <v>34</v>
      </c>
      <c r="AV61" s="891" t="s">
        <v>35</v>
      </c>
      <c r="AW61" s="891" t="s">
        <v>32</v>
      </c>
      <c r="AX61" s="891" t="s">
        <v>34</v>
      </c>
      <c r="AY61" s="891" t="s">
        <v>34</v>
      </c>
      <c r="AZ61" s="891" t="s">
        <v>35</v>
      </c>
      <c r="BA61" s="891" t="s">
        <v>1877</v>
      </c>
      <c r="BB61" s="891" t="s">
        <v>36</v>
      </c>
      <c r="BC61" s="891" t="s">
        <v>32</v>
      </c>
      <c r="BD61" s="891" t="s">
        <v>36</v>
      </c>
      <c r="BE61" s="891" t="s">
        <v>3427</v>
      </c>
      <c r="BF61" s="891" t="s">
        <v>32</v>
      </c>
      <c r="BG61" s="891" t="s">
        <v>36</v>
      </c>
      <c r="BH61" s="891" t="s">
        <v>32</v>
      </c>
      <c r="BI61" s="891" t="s">
        <v>32</v>
      </c>
      <c r="BJ61" s="891" t="s">
        <v>3444</v>
      </c>
      <c r="BK61" s="891" t="s">
        <v>35</v>
      </c>
      <c r="BL61" s="891"/>
      <c r="BM61" s="910"/>
      <c r="BN61" s="910"/>
      <c r="BO61" s="910"/>
      <c r="BP61" s="891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428"/>
      <c r="CF61" s="428"/>
      <c r="CG61" s="428"/>
      <c r="CH61" s="428"/>
    </row>
    <row r="62" spans="1:86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15</v>
      </c>
      <c r="G62" s="879" t="s">
        <v>881</v>
      </c>
      <c r="H62" s="879" t="s">
        <v>22</v>
      </c>
      <c r="I62" s="879" t="s">
        <v>891</v>
      </c>
      <c r="J62" s="905">
        <v>1</v>
      </c>
      <c r="K62" s="905">
        <v>0</v>
      </c>
      <c r="L62" s="816" t="str">
        <f t="shared" si="36"/>
        <v>W</v>
      </c>
      <c r="M62" s="816">
        <f t="shared" si="37"/>
        <v>1</v>
      </c>
      <c r="N62" s="816" t="str">
        <f t="shared" si="38"/>
        <v>U</v>
      </c>
      <c r="O62" s="816">
        <f t="shared" ref="O62:O66" si="61">IF(Q62="","",IF(SIGN(Q62)&lt;&gt;1,VLOOKUP(ABS(Q62),SUP_HDC,3,TRUE),-VLOOKUP(ABS(Q62),SUP_HDC,3,TRUE)))</f>
        <v>-1</v>
      </c>
      <c r="P62" s="829">
        <f t="shared" ref="P62:P66" si="62">IF(O62="","",IF((J62-K62+O62)&gt;=0.5,1,IF((J62-K62+O62)=0.25,0.5,IF((J62-K62+O62)&lt;=-0.5,-1,IF((J62-K62+O62)=-0.25,-0.5,0)))))</f>
        <v>0</v>
      </c>
      <c r="Q62" s="830">
        <v>0.98</v>
      </c>
      <c r="R62" s="871">
        <f t="shared" si="24"/>
        <v>2.0000000000000018E-2</v>
      </c>
      <c r="S62" s="830">
        <v>2.85</v>
      </c>
      <c r="T62" s="871">
        <f t="shared" si="31"/>
        <v>-1.85</v>
      </c>
      <c r="U62" s="868">
        <f t="shared" ref="U62:U71" si="63">IF(Q62="","",(Q62+S62)/2)</f>
        <v>1.915</v>
      </c>
      <c r="V62" s="868">
        <f t="shared" ref="V62:V71" si="64">IF(Q62="","",S62-U62)</f>
        <v>0.93500000000000005</v>
      </c>
      <c r="W62" s="829">
        <v>13</v>
      </c>
      <c r="X62" s="829">
        <v>12</v>
      </c>
      <c r="Y62" s="829">
        <v>3</v>
      </c>
      <c r="Z62" s="829">
        <v>0</v>
      </c>
      <c r="AA62" s="829">
        <v>46</v>
      </c>
      <c r="AB62" s="829">
        <v>54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34</v>
      </c>
      <c r="AH62" s="891" t="s">
        <v>32</v>
      </c>
      <c r="AI62" s="891" t="s">
        <v>1877</v>
      </c>
      <c r="AJ62" s="891" t="s">
        <v>1877</v>
      </c>
      <c r="AK62" s="891" t="s">
        <v>34</v>
      </c>
      <c r="AL62" s="891" t="s">
        <v>32</v>
      </c>
      <c r="AM62" s="891" t="s">
        <v>32</v>
      </c>
      <c r="AN62" s="891" t="s">
        <v>34</v>
      </c>
      <c r="AO62" s="891" t="s">
        <v>32</v>
      </c>
      <c r="AP62" s="891" t="s">
        <v>34</v>
      </c>
      <c r="AQ62" s="891" t="s">
        <v>32</v>
      </c>
      <c r="AR62" s="891" t="s">
        <v>32</v>
      </c>
      <c r="AS62" s="891" t="s">
        <v>36</v>
      </c>
      <c r="AT62" s="891" t="s">
        <v>34</v>
      </c>
      <c r="AU62" s="891" t="s">
        <v>3472</v>
      </c>
      <c r="AV62" s="891" t="s">
        <v>34</v>
      </c>
      <c r="AW62" s="891" t="s">
        <v>32</v>
      </c>
      <c r="AX62" s="891" t="s">
        <v>35</v>
      </c>
      <c r="AY62" s="891" t="s">
        <v>34</v>
      </c>
      <c r="AZ62" s="891" t="s">
        <v>35</v>
      </c>
      <c r="BA62" s="891" t="s">
        <v>36</v>
      </c>
      <c r="BB62" s="891" t="s">
        <v>1877</v>
      </c>
      <c r="BC62" s="891" t="s">
        <v>32</v>
      </c>
      <c r="BD62" s="891" t="s">
        <v>32</v>
      </c>
      <c r="BE62" s="891" t="s">
        <v>35</v>
      </c>
      <c r="BF62" s="891" t="s">
        <v>32</v>
      </c>
      <c r="BG62" s="891" t="s">
        <v>32</v>
      </c>
      <c r="BH62" s="891" t="s">
        <v>32</v>
      </c>
      <c r="BI62" s="891" t="s">
        <v>1877</v>
      </c>
      <c r="BJ62" s="891" t="s">
        <v>3477</v>
      </c>
      <c r="BK62" s="891" t="s">
        <v>36</v>
      </c>
      <c r="BL62" s="891"/>
      <c r="BM62" s="910"/>
      <c r="BN62" s="910"/>
      <c r="BO62" s="910"/>
      <c r="BP62" s="891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428"/>
      <c r="CF62" s="428"/>
      <c r="CG62" s="428"/>
      <c r="CH62" s="428"/>
    </row>
    <row r="63" spans="1:86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13</v>
      </c>
      <c r="G63" s="879" t="s">
        <v>884</v>
      </c>
      <c r="H63" s="879" t="s">
        <v>22</v>
      </c>
      <c r="I63" s="879" t="s">
        <v>891</v>
      </c>
      <c r="J63" s="905">
        <v>1</v>
      </c>
      <c r="K63" s="905">
        <v>1</v>
      </c>
      <c r="L63" s="816" t="str">
        <f t="shared" si="36"/>
        <v>D</v>
      </c>
      <c r="M63" s="816">
        <f t="shared" si="37"/>
        <v>2</v>
      </c>
      <c r="N63" s="816" t="str">
        <f t="shared" si="38"/>
        <v>U</v>
      </c>
      <c r="O63" s="816">
        <f t="shared" si="61"/>
        <v>-0.75</v>
      </c>
      <c r="P63" s="829">
        <f t="shared" si="62"/>
        <v>-1</v>
      </c>
      <c r="Q63" s="830">
        <v>0.8</v>
      </c>
      <c r="R63" s="871">
        <f t="shared" si="24"/>
        <v>-0.8</v>
      </c>
      <c r="S63" s="830">
        <v>2.6</v>
      </c>
      <c r="T63" s="871">
        <f t="shared" si="31"/>
        <v>-0.60000000000000009</v>
      </c>
      <c r="U63" s="868">
        <f t="shared" si="63"/>
        <v>1.7000000000000002</v>
      </c>
      <c r="V63" s="868">
        <f t="shared" si="64"/>
        <v>0.89999999999999991</v>
      </c>
      <c r="W63" s="829">
        <v>9</v>
      </c>
      <c r="X63" s="829">
        <v>22</v>
      </c>
      <c r="Y63" s="829">
        <v>3</v>
      </c>
      <c r="Z63" s="829">
        <v>4</v>
      </c>
      <c r="AA63" s="829">
        <v>48</v>
      </c>
      <c r="AB63" s="829">
        <v>52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34</v>
      </c>
      <c r="AH63" s="891" t="s">
        <v>32</v>
      </c>
      <c r="AI63" s="891" t="s">
        <v>1877</v>
      </c>
      <c r="AJ63" s="891" t="s">
        <v>36</v>
      </c>
      <c r="AK63" s="891" t="s">
        <v>34</v>
      </c>
      <c r="AL63" s="891" t="s">
        <v>32</v>
      </c>
      <c r="AM63" s="891" t="s">
        <v>32</v>
      </c>
      <c r="AN63" s="891" t="s">
        <v>34</v>
      </c>
      <c r="AO63" s="891" t="s">
        <v>32</v>
      </c>
      <c r="AP63" s="891" t="s">
        <v>34</v>
      </c>
      <c r="AQ63" s="891" t="s">
        <v>32</v>
      </c>
      <c r="AR63" s="891" t="s">
        <v>32</v>
      </c>
      <c r="AS63" s="891" t="s">
        <v>35</v>
      </c>
      <c r="AT63" s="891" t="s">
        <v>34</v>
      </c>
      <c r="AU63" s="891" t="s">
        <v>34</v>
      </c>
      <c r="AV63" s="891" t="s">
        <v>34</v>
      </c>
      <c r="AW63" s="891" t="s">
        <v>32</v>
      </c>
      <c r="AX63" s="891" t="s">
        <v>35</v>
      </c>
      <c r="AY63" s="891" t="s">
        <v>34</v>
      </c>
      <c r="AZ63" s="891" t="s">
        <v>1877</v>
      </c>
      <c r="BA63" s="891" t="s">
        <v>1877</v>
      </c>
      <c r="BB63" s="891" t="s">
        <v>1877</v>
      </c>
      <c r="BC63" s="891" t="s">
        <v>32</v>
      </c>
      <c r="BD63" s="891" t="s">
        <v>32</v>
      </c>
      <c r="BE63" s="891" t="s">
        <v>3497</v>
      </c>
      <c r="BF63" s="891" t="s">
        <v>32</v>
      </c>
      <c r="BG63" s="891" t="s">
        <v>32</v>
      </c>
      <c r="BH63" s="891" t="s">
        <v>36</v>
      </c>
      <c r="BI63" s="891" t="s">
        <v>32</v>
      </c>
      <c r="BJ63" s="891" t="s">
        <v>1884</v>
      </c>
      <c r="BK63" s="891" t="s">
        <v>36</v>
      </c>
      <c r="BL63" s="891"/>
      <c r="BM63" s="910"/>
      <c r="BN63" s="910"/>
      <c r="BO63" s="910"/>
      <c r="BP63" s="891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</row>
    <row r="64" spans="1:86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4</v>
      </c>
      <c r="G64" s="879" t="s">
        <v>1084</v>
      </c>
      <c r="H64" s="879" t="s">
        <v>18</v>
      </c>
      <c r="I64" s="879" t="s">
        <v>891</v>
      </c>
      <c r="J64" s="905">
        <v>1</v>
      </c>
      <c r="K64" s="905">
        <v>2</v>
      </c>
      <c r="L64" s="816" t="str">
        <f t="shared" si="36"/>
        <v>L</v>
      </c>
      <c r="M64" s="816">
        <f t="shared" si="37"/>
        <v>3</v>
      </c>
      <c r="N64" s="816" t="str">
        <f t="shared" si="38"/>
        <v>O</v>
      </c>
      <c r="O64" s="816">
        <f t="shared" si="61"/>
        <v>0.25</v>
      </c>
      <c r="P64" s="829">
        <f t="shared" si="62"/>
        <v>-1</v>
      </c>
      <c r="Q64" s="830">
        <v>-0.38</v>
      </c>
      <c r="R64" s="871">
        <f t="shared" si="24"/>
        <v>-0.62</v>
      </c>
      <c r="S64" s="830">
        <v>2.4</v>
      </c>
      <c r="T64" s="871">
        <f t="shared" si="31"/>
        <v>0.60000000000000009</v>
      </c>
      <c r="U64" s="868">
        <f t="shared" si="63"/>
        <v>1.01</v>
      </c>
      <c r="V64" s="868">
        <f t="shared" si="64"/>
        <v>1.39</v>
      </c>
      <c r="W64" s="829">
        <v>16</v>
      </c>
      <c r="X64" s="829">
        <v>17</v>
      </c>
      <c r="Y64" s="829">
        <v>7</v>
      </c>
      <c r="Z64" s="829">
        <v>5</v>
      </c>
      <c r="AA64" s="829">
        <v>57</v>
      </c>
      <c r="AB64" s="829">
        <v>43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34</v>
      </c>
      <c r="AH64" s="891" t="s">
        <v>32</v>
      </c>
      <c r="AI64" s="891" t="s">
        <v>1877</v>
      </c>
      <c r="AJ64" s="891" t="s">
        <v>32</v>
      </c>
      <c r="AK64" s="891" t="s">
        <v>34</v>
      </c>
      <c r="AL64" s="891" t="s">
        <v>32</v>
      </c>
      <c r="AM64" s="891" t="s">
        <v>32</v>
      </c>
      <c r="AN64" s="891" t="s">
        <v>35</v>
      </c>
      <c r="AO64" s="891" t="s">
        <v>1877</v>
      </c>
      <c r="AP64" s="891" t="s">
        <v>1877</v>
      </c>
      <c r="AQ64" s="891" t="s">
        <v>32</v>
      </c>
      <c r="AR64" s="891" t="s">
        <v>32</v>
      </c>
      <c r="AS64" s="891" t="s">
        <v>35</v>
      </c>
      <c r="AT64" s="891" t="s">
        <v>34</v>
      </c>
      <c r="AU64" s="891" t="s">
        <v>34</v>
      </c>
      <c r="AV64" s="904" t="s">
        <v>3516</v>
      </c>
      <c r="AW64" s="891" t="s">
        <v>32</v>
      </c>
      <c r="AX64" s="891" t="s">
        <v>34</v>
      </c>
      <c r="AY64" s="891" t="s">
        <v>34</v>
      </c>
      <c r="AZ64" s="891" t="s">
        <v>34</v>
      </c>
      <c r="BA64" s="891" t="s">
        <v>32</v>
      </c>
      <c r="BB64" s="891" t="s">
        <v>36</v>
      </c>
      <c r="BC64" s="891" t="s">
        <v>32</v>
      </c>
      <c r="BD64" s="891" t="s">
        <v>32</v>
      </c>
      <c r="BE64" s="891" t="s">
        <v>32</v>
      </c>
      <c r="BF64" s="891" t="s">
        <v>32</v>
      </c>
      <c r="BG64" s="891" t="s">
        <v>32</v>
      </c>
      <c r="BH64" s="891" t="s">
        <v>36</v>
      </c>
      <c r="BI64" s="891" t="s">
        <v>1877</v>
      </c>
      <c r="BJ64" s="891" t="s">
        <v>36</v>
      </c>
      <c r="BK64" s="891" t="s">
        <v>35</v>
      </c>
      <c r="BL64" s="891"/>
      <c r="BM64" s="910"/>
      <c r="BN64" s="910"/>
      <c r="BO64" s="910"/>
      <c r="BP64" s="891"/>
      <c r="BQ64" s="896"/>
      <c r="BR64" s="896"/>
      <c r="BS64" s="897"/>
      <c r="BT64" s="897"/>
      <c r="BU64" s="897"/>
      <c r="BV64" s="897"/>
      <c r="BW64" s="897"/>
      <c r="BX64" s="896"/>
      <c r="BY64" s="896"/>
      <c r="BZ64" s="896"/>
      <c r="CA64" s="896"/>
      <c r="CB64" s="896"/>
      <c r="CC64" s="896"/>
      <c r="CD64" s="896"/>
    </row>
    <row r="65" spans="1:82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18</v>
      </c>
      <c r="G65" s="879" t="s">
        <v>887</v>
      </c>
      <c r="H65" s="879" t="s">
        <v>18</v>
      </c>
      <c r="I65" s="879" t="s">
        <v>891</v>
      </c>
      <c r="J65" s="905">
        <v>1</v>
      </c>
      <c r="K65" s="905">
        <v>1</v>
      </c>
      <c r="L65" s="816" t="str">
        <f t="shared" si="36"/>
        <v>D</v>
      </c>
      <c r="M65" s="816">
        <f t="shared" si="37"/>
        <v>2</v>
      </c>
      <c r="N65" s="816" t="str">
        <f t="shared" si="38"/>
        <v>U</v>
      </c>
      <c r="O65" s="816">
        <f t="shared" si="61"/>
        <v>-0.5</v>
      </c>
      <c r="P65" s="829">
        <f t="shared" si="62"/>
        <v>-1</v>
      </c>
      <c r="Q65" s="830">
        <v>0.43</v>
      </c>
      <c r="R65" s="871">
        <f t="shared" si="24"/>
        <v>-0.43</v>
      </c>
      <c r="S65" s="830">
        <v>2.8</v>
      </c>
      <c r="T65" s="871">
        <f t="shared" si="31"/>
        <v>-0.79999999999999982</v>
      </c>
      <c r="U65" s="868">
        <f t="shared" si="63"/>
        <v>1.615</v>
      </c>
      <c r="V65" s="868">
        <f t="shared" si="64"/>
        <v>1.1849999999999998</v>
      </c>
      <c r="W65" s="829">
        <v>20</v>
      </c>
      <c r="X65" s="829">
        <v>11</v>
      </c>
      <c r="Y65" s="829">
        <v>5</v>
      </c>
      <c r="Z65" s="829">
        <v>4</v>
      </c>
      <c r="AA65" s="829">
        <v>51</v>
      </c>
      <c r="AB65" s="829">
        <v>49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34</v>
      </c>
      <c r="AH65" s="891" t="s">
        <v>32</v>
      </c>
      <c r="AI65" s="891" t="s">
        <v>1877</v>
      </c>
      <c r="AJ65" s="891" t="s">
        <v>32</v>
      </c>
      <c r="AK65" s="891" t="s">
        <v>32</v>
      </c>
      <c r="AL65" s="891" t="s">
        <v>32</v>
      </c>
      <c r="AM65" s="891" t="s">
        <v>32</v>
      </c>
      <c r="AN65" s="891" t="s">
        <v>34</v>
      </c>
      <c r="AO65" s="891" t="s">
        <v>32</v>
      </c>
      <c r="AP65" s="891" t="s">
        <v>34</v>
      </c>
      <c r="AQ65" s="891" t="s">
        <v>32</v>
      </c>
      <c r="AR65" s="891" t="s">
        <v>35</v>
      </c>
      <c r="AS65" s="891" t="s">
        <v>36</v>
      </c>
      <c r="AT65" s="891" t="s">
        <v>36</v>
      </c>
      <c r="AU65" s="891" t="s">
        <v>34</v>
      </c>
      <c r="AV65" s="891" t="s">
        <v>1877</v>
      </c>
      <c r="AW65" s="891" t="s">
        <v>34</v>
      </c>
      <c r="AX65" s="891" t="s">
        <v>34</v>
      </c>
      <c r="AY65" s="891" t="s">
        <v>34</v>
      </c>
      <c r="AZ65" s="891" t="s">
        <v>32</v>
      </c>
      <c r="BA65" s="891" t="s">
        <v>1877</v>
      </c>
      <c r="BB65" s="891" t="s">
        <v>35</v>
      </c>
      <c r="BC65" s="891" t="s">
        <v>32</v>
      </c>
      <c r="BD65" s="891" t="s">
        <v>32</v>
      </c>
      <c r="BE65" s="891" t="s">
        <v>35</v>
      </c>
      <c r="BF65" s="891" t="s">
        <v>32</v>
      </c>
      <c r="BG65" s="891" t="s">
        <v>32</v>
      </c>
      <c r="BH65" s="904" t="s">
        <v>3545</v>
      </c>
      <c r="BI65" s="891" t="s">
        <v>32</v>
      </c>
      <c r="BJ65" s="891" t="s">
        <v>36</v>
      </c>
      <c r="BK65" s="891" t="s">
        <v>1877</v>
      </c>
      <c r="BL65" s="891"/>
      <c r="BM65" s="910"/>
      <c r="BN65" s="910"/>
      <c r="BO65" s="910"/>
      <c r="BP65" s="891"/>
      <c r="BQ65" s="896"/>
      <c r="BR65" s="896"/>
      <c r="BS65" s="897"/>
      <c r="BT65" s="897"/>
      <c r="BU65" s="897"/>
      <c r="BV65" s="897"/>
      <c r="BW65" s="897"/>
      <c r="BX65" s="896"/>
      <c r="BY65" s="896"/>
      <c r="BZ65" s="896"/>
      <c r="CA65" s="896"/>
      <c r="CB65" s="896"/>
      <c r="CC65" s="896"/>
      <c r="CD65" s="896"/>
    </row>
    <row r="66" spans="1:82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16</v>
      </c>
      <c r="G66" s="879" t="s">
        <v>872</v>
      </c>
      <c r="H66" s="879" t="s">
        <v>22</v>
      </c>
      <c r="I66" s="879" t="s">
        <v>891</v>
      </c>
      <c r="J66" s="905">
        <v>1</v>
      </c>
      <c r="K66" s="905">
        <v>1</v>
      </c>
      <c r="L66" s="816" t="str">
        <f t="shared" si="36"/>
        <v>D</v>
      </c>
      <c r="M66" s="816">
        <f t="shared" si="37"/>
        <v>2</v>
      </c>
      <c r="N66" s="816" t="str">
        <f t="shared" si="38"/>
        <v>U</v>
      </c>
      <c r="O66" s="816">
        <f t="shared" si="61"/>
        <v>-0.5</v>
      </c>
      <c r="P66" s="829">
        <f t="shared" si="62"/>
        <v>-1</v>
      </c>
      <c r="Q66" s="830">
        <v>0.7</v>
      </c>
      <c r="R66" s="871">
        <f t="shared" si="24"/>
        <v>-0.7</v>
      </c>
      <c r="S66" s="830">
        <v>2.73</v>
      </c>
      <c r="T66" s="871">
        <f t="shared" si="31"/>
        <v>-0.73</v>
      </c>
      <c r="U66" s="868">
        <f t="shared" si="63"/>
        <v>1.7149999999999999</v>
      </c>
      <c r="V66" s="868">
        <f t="shared" si="64"/>
        <v>1.0150000000000001</v>
      </c>
      <c r="W66" s="829">
        <v>10</v>
      </c>
      <c r="X66" s="829">
        <v>16</v>
      </c>
      <c r="Y66" s="829">
        <v>3</v>
      </c>
      <c r="Z66" s="829">
        <v>6</v>
      </c>
      <c r="AA66" s="829">
        <v>56</v>
      </c>
      <c r="AB66" s="829">
        <v>44</v>
      </c>
      <c r="AC66" s="829"/>
      <c r="AD66" s="816" t="str">
        <f t="array" ref="AD66">IF($J66="","",IF(SUM(IF(ISNUMBER(VALUE(RIGHT($AG66:$CI66,1))),VALUE(RIGHT($AG66:$CI66,1)),0))=$J66,"T","F"))</f>
        <v>T</v>
      </c>
      <c r="AE66" s="831">
        <f t="array" ref="AE66">IF($J66="","",SUM(IF(LEFT($AG66:$DU66,1)="s",1,0))-SUM(IF(RIGHT(LEFT($AG66:$DU66,2))="-",1,0)))</f>
        <v>0</v>
      </c>
      <c r="AF66" s="816">
        <f t="array" ref="AF66">IF($J66="","",SUM(IF(LEFT($AG66:$DA66,1)="X",1,0)))</f>
        <v>11</v>
      </c>
      <c r="AG66" s="891" t="s">
        <v>34</v>
      </c>
      <c r="AH66" s="891" t="s">
        <v>32</v>
      </c>
      <c r="AI66" s="891" t="s">
        <v>1877</v>
      </c>
      <c r="AJ66" s="891" t="s">
        <v>32</v>
      </c>
      <c r="AK66" s="904" t="s">
        <v>34</v>
      </c>
      <c r="AL66" s="891" t="s">
        <v>32</v>
      </c>
      <c r="AM66" s="891" t="s">
        <v>32</v>
      </c>
      <c r="AN66" s="891" t="s">
        <v>34</v>
      </c>
      <c r="AO66" s="891" t="s">
        <v>32</v>
      </c>
      <c r="AP66" s="891" t="s">
        <v>34</v>
      </c>
      <c r="AQ66" s="891" t="s">
        <v>32</v>
      </c>
      <c r="AR66" s="891" t="s">
        <v>32</v>
      </c>
      <c r="AS66" s="891" t="s">
        <v>36</v>
      </c>
      <c r="AT66" s="891" t="s">
        <v>34</v>
      </c>
      <c r="AU66" s="891" t="s">
        <v>34</v>
      </c>
      <c r="AV66" s="891" t="s">
        <v>1877</v>
      </c>
      <c r="AW66" s="891" t="s">
        <v>1877</v>
      </c>
      <c r="AX66" s="904" t="s">
        <v>3571</v>
      </c>
      <c r="AY66" s="891" t="s">
        <v>35</v>
      </c>
      <c r="AZ66" s="906" t="s">
        <v>3585</v>
      </c>
      <c r="BA66" s="904" t="s">
        <v>35</v>
      </c>
      <c r="BB66" s="891" t="s">
        <v>32</v>
      </c>
      <c r="BC66" s="891" t="s">
        <v>32</v>
      </c>
      <c r="BD66" s="891" t="s">
        <v>32</v>
      </c>
      <c r="BE66" s="904" t="s">
        <v>34</v>
      </c>
      <c r="BF66" s="891" t="s">
        <v>32</v>
      </c>
      <c r="BG66" s="891" t="s">
        <v>32</v>
      </c>
      <c r="BH66" s="891" t="s">
        <v>36</v>
      </c>
      <c r="BI66" s="891" t="s">
        <v>32</v>
      </c>
      <c r="BJ66" s="904" t="s">
        <v>35</v>
      </c>
      <c r="BK66" s="891" t="s">
        <v>1877</v>
      </c>
      <c r="BL66" s="891"/>
      <c r="BM66" s="910"/>
      <c r="BN66" s="910"/>
      <c r="BO66" s="910"/>
      <c r="BP66" s="891"/>
      <c r="BQ66" s="896"/>
      <c r="BR66" s="896"/>
      <c r="BS66" s="897"/>
      <c r="BT66" s="897"/>
      <c r="BU66" s="897"/>
      <c r="BV66" s="897"/>
      <c r="BW66" s="897"/>
      <c r="BX66" s="896"/>
      <c r="BY66" s="896"/>
      <c r="BZ66" s="896"/>
      <c r="CA66" s="896"/>
      <c r="CB66" s="896"/>
      <c r="CC66" s="896"/>
      <c r="CD66" s="896"/>
    </row>
    <row r="67" spans="1:82" ht="15">
      <c r="A67" s="882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31"/>
        <v/>
      </c>
      <c r="U67" s="868" t="str">
        <f t="shared" si="63"/>
        <v/>
      </c>
      <c r="V67" s="868" t="str">
        <f t="shared" si="64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IF($J67="","",IF(SUM(IF(ISNUMBER(VALUE(RIGHT($AG67:$CI67,1))),VALUE(RIGHT($AG67:$CI67,1)),0))=$J67,"T","F"))</f>
        <v/>
      </c>
      <c r="AE67" s="831" t="str">
        <f t="array" ref="AE67">IF($J67="","",SUM(IF(LEFT($AG67:$DU67,1)="s",1,0))-SUM(IF(RIGHT(LEFT($AG67:$DU67,2))="-",1,0)))</f>
        <v/>
      </c>
      <c r="AF67" s="816" t="str">
        <f t="array" ref="AF67">IF($J67="","",SUM(IF(LEFT($AG67:$DA67,1)="X",1,0)))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6"/>
      <c r="BR67" s="896"/>
      <c r="BS67" s="897"/>
      <c r="BT67" s="897"/>
      <c r="BU67" s="897"/>
      <c r="BV67" s="897"/>
      <c r="BW67" s="897"/>
      <c r="BX67" s="896"/>
      <c r="BY67" s="896"/>
      <c r="BZ67" s="896"/>
      <c r="CA67" s="896"/>
      <c r="CB67" s="896"/>
      <c r="CC67" s="896"/>
      <c r="CD67" s="896"/>
    </row>
    <row r="68" spans="1:82" ht="15">
      <c r="A68" s="882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80"/>
      <c r="H68" s="879"/>
      <c r="I68" s="879"/>
      <c r="J68" s="428"/>
      <c r="K68" s="428"/>
      <c r="T68" s="871" t="str">
        <f t="shared" si="31"/>
        <v/>
      </c>
      <c r="U68" s="868" t="str">
        <f t="shared" si="63"/>
        <v/>
      </c>
      <c r="V68" s="868" t="str">
        <f t="shared" si="64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IF($J68="","",IF(SUM(IF(ISNUMBER(VALUE(RIGHT($AG68:$CI68,1))),VALUE(RIGHT($AG68:$CI68,1)),0))=$J68,"T","F"))</f>
        <v/>
      </c>
      <c r="AE68" s="831" t="str">
        <f t="array" ref="AE68">IF($J68="","",SUM(IF(LEFT($AG68:$DU68,1)="s",1,0))-SUM(IF(RIGHT(LEFT($AG68:$DU68,2))="-",1,0)))</f>
        <v/>
      </c>
      <c r="AF68" s="816" t="str">
        <f t="array" ref="AF68">IF($J68="","",SUM(IF(LEFT($AG68:$DA68,1)="X",1,0)))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6"/>
      <c r="BR68" s="896"/>
      <c r="BS68" s="897"/>
      <c r="BT68" s="897"/>
      <c r="BU68" s="897"/>
      <c r="BV68" s="897"/>
      <c r="BW68" s="897"/>
      <c r="BX68" s="896"/>
      <c r="BY68" s="896"/>
      <c r="BZ68" s="896"/>
      <c r="CA68" s="896"/>
      <c r="CB68" s="896"/>
      <c r="CC68" s="896"/>
      <c r="CD68" s="896"/>
    </row>
    <row r="69" spans="1:82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71" t="str">
        <f t="shared" si="31"/>
        <v/>
      </c>
      <c r="U69" s="868" t="str">
        <f t="shared" si="63"/>
        <v/>
      </c>
      <c r="V69" s="868" t="str">
        <f t="shared" si="64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IF($J69="","",IF(SUM(IF(ISNUMBER(VALUE(RIGHT($AG69:$CI69,1))),VALUE(RIGHT($AG69:$CI69,1)),0))=$J69,"T","F"))</f>
        <v/>
      </c>
      <c r="AE69" s="831" t="str">
        <f t="array" ref="AE69">IF($J69="","",SUM(IF(LEFT($AG69:$DU69,1)="s",1,0))-SUM(IF(RIGHT(LEFT($AG69:$DU69,2))="-",1,0)))</f>
        <v/>
      </c>
      <c r="AF69" s="816" t="str">
        <f t="array" ref="AF69">IF($J69="","",SUM(IF(LEFT($AG69:$DA69,1)="X",1,0)))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6"/>
      <c r="BR69" s="896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71" t="str">
        <f t="shared" si="31"/>
        <v/>
      </c>
      <c r="U70" s="868" t="str">
        <f t="shared" si="63"/>
        <v/>
      </c>
      <c r="V70" s="868" t="str">
        <f t="shared" si="64"/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IF($J70="","",IF(SUM(IF(ISNUMBER(VALUE(RIGHT($AG70:$CI70,1))),VALUE(RIGHT($AG70:$CI70,1)),0))=$J70,"T","F"))</f>
        <v/>
      </c>
      <c r="AE70" s="831" t="str">
        <f t="array" ref="AE70">IF($J70="","",SUM(IF(LEFT($AG70:$DU70,1)="s",1,0))-SUM(IF(RIGHT(LEFT($AG70:$DU70,2))="-",1,0)))</f>
        <v/>
      </c>
      <c r="AF70" s="816" t="str">
        <f t="array" ref="AF70">IF($J70="","",SUM(IF(LEFT($AG70:$DA70,1)="X",1,0)))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6"/>
      <c r="BR70" s="896"/>
      <c r="BS70" s="897"/>
      <c r="BT70" s="897"/>
      <c r="BU70" s="897"/>
      <c r="BV70" s="897"/>
      <c r="BW70" s="897"/>
      <c r="BX70" s="896"/>
      <c r="BY70" s="896"/>
      <c r="BZ70" s="896"/>
      <c r="CA70" s="896"/>
      <c r="CB70" s="896"/>
      <c r="CC70" s="896"/>
      <c r="CD70" s="896"/>
    </row>
    <row r="71" spans="1:82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71" t="str">
        <f t="shared" si="31"/>
        <v/>
      </c>
      <c r="U71" s="868" t="str">
        <f t="shared" si="63"/>
        <v/>
      </c>
      <c r="V71" s="868" t="str">
        <f t="shared" si="64"/>
        <v/>
      </c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IF($J71="","",IF(SUM(IF(ISNUMBER(VALUE(RIGHT($AG71:$CI71,1))),VALUE(RIGHT($AG71:$CI71,1)),0))=$J71,"T","F"))</f>
        <v/>
      </c>
      <c r="AE71" s="831" t="str">
        <f t="array" ref="AE71">IF($J71="","",SUM(IF(LEFT($AG71:$DU71,1)="s",1,0))-SUM(IF(RIGHT(LEFT($AG71:$DU71,2))="-",1,0)))</f>
        <v/>
      </c>
      <c r="AF71" s="816" t="str">
        <f t="array" ref="AF71">IF($J71="","",SUM(IF(LEFT($AG71:$DA71,1)="X",1,0)))</f>
        <v/>
      </c>
      <c r="AG71" s="896"/>
      <c r="AH71" s="896"/>
      <c r="AI71" s="896"/>
      <c r="AJ71" s="896"/>
      <c r="AK71" s="896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6"/>
      <c r="BC71" s="896"/>
      <c r="BD71" s="896"/>
      <c r="BE71" s="896"/>
      <c r="BF71" s="896"/>
      <c r="BG71" s="896"/>
      <c r="BH71" s="896"/>
      <c r="BI71" s="896"/>
      <c r="BJ71" s="896"/>
      <c r="BK71" s="896"/>
      <c r="BL71" s="896"/>
      <c r="BM71" s="896"/>
      <c r="BN71" s="896"/>
      <c r="BO71" s="896"/>
      <c r="BP71" s="893"/>
      <c r="BQ71" s="896"/>
      <c r="BR71" s="896"/>
      <c r="BS71" s="897"/>
      <c r="BT71" s="897"/>
      <c r="BU71" s="897"/>
      <c r="BV71" s="897"/>
      <c r="BW71" s="897"/>
      <c r="BX71" s="896"/>
      <c r="BY71" s="896"/>
      <c r="BZ71" s="896"/>
      <c r="CA71" s="896"/>
      <c r="CB71" s="896"/>
      <c r="CC71" s="896"/>
      <c r="CD71" s="896"/>
    </row>
    <row r="72" spans="1:82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6"/>
      <c r="AH72" s="896"/>
      <c r="AI72" s="896"/>
      <c r="AJ72" s="896"/>
      <c r="AK72" s="896"/>
      <c r="AL72" s="896"/>
      <c r="AM72" s="896"/>
      <c r="AN72" s="896"/>
      <c r="AO72" s="896"/>
      <c r="AP72" s="896"/>
      <c r="AQ72" s="896"/>
      <c r="AR72" s="896"/>
      <c r="AS72" s="896"/>
      <c r="AT72" s="896"/>
      <c r="AU72" s="896"/>
      <c r="AV72" s="896"/>
      <c r="AW72" s="896"/>
      <c r="AX72" s="896"/>
      <c r="AY72" s="896"/>
      <c r="AZ72" s="896"/>
      <c r="BA72" s="896"/>
      <c r="BB72" s="896"/>
      <c r="BC72" s="896"/>
      <c r="BD72" s="896"/>
      <c r="BE72" s="896"/>
      <c r="BF72" s="896"/>
      <c r="BG72" s="896"/>
      <c r="BH72" s="896"/>
      <c r="BI72" s="896"/>
      <c r="BJ72" s="896"/>
      <c r="BK72" s="896"/>
      <c r="BL72" s="896"/>
      <c r="BM72" s="896"/>
      <c r="BN72" s="896"/>
      <c r="BO72" s="897"/>
      <c r="BP72" s="893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  <c r="CD72" s="897"/>
    </row>
    <row r="73" spans="1:82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7"/>
      <c r="AH73" s="897"/>
      <c r="AI73" s="893"/>
      <c r="AJ73" s="897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3"/>
      <c r="BD73" s="893"/>
      <c r="BE73" s="893"/>
      <c r="BF73" s="893"/>
      <c r="BG73" s="897"/>
      <c r="BH73" s="897"/>
      <c r="BI73" s="897"/>
      <c r="BJ73" s="897"/>
      <c r="BK73" s="893"/>
      <c r="BL73" s="897"/>
      <c r="BM73" s="897"/>
      <c r="BN73" s="897"/>
      <c r="BO73" s="897"/>
      <c r="BP73" s="893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</row>
    <row r="74" spans="1:82" ht="15">
      <c r="A74" s="843"/>
      <c r="E74" s="816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/>
      <c r="AG74" s="897"/>
      <c r="AH74" s="897"/>
      <c r="AI74" s="893"/>
      <c r="AJ74" s="897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3"/>
      <c r="BD74" s="893"/>
      <c r="BE74" s="893"/>
      <c r="BF74" s="893"/>
      <c r="BG74" s="897"/>
      <c r="BH74" s="897"/>
      <c r="BI74" s="897"/>
      <c r="BJ74" s="897"/>
      <c r="BK74" s="893"/>
      <c r="BL74" s="897"/>
      <c r="BM74" s="897"/>
      <c r="BN74" s="897"/>
      <c r="BO74" s="897"/>
      <c r="BP74" s="893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</row>
    <row r="75" spans="1:82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ref="L75:L132" si="65">IF(J75="","",IF(J75&gt;K75,"W",IF(J75=K75,"D",IF(J75&lt;K75,"L"))))</f>
        <v/>
      </c>
      <c r="M75" s="816" t="str">
        <f t="shared" ref="M75:M132" si="66">IF(J75="","",J75+K75)</f>
        <v/>
      </c>
      <c r="N75" s="816" t="str">
        <f t="shared" ref="N75:N132" si="67">IF($J75="","",IF($M75&gt;N$19,"O",IF($M75&lt;N$19,"U",IF($M75=N$19,"-"))))</f>
        <v/>
      </c>
      <c r="R75" s="816" t="str">
        <f t="shared" ref="R75:R132" si="68">IF(ISBLANK(Q75),"",J75-K75-Q75)</f>
        <v/>
      </c>
      <c r="T75" s="829" t="str">
        <f t="shared" ref="T75:T132" si="69">IF(ISBLANK(S75),"",J75+K75-S75)</f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3"/>
      <c r="AJ75" s="897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3"/>
      <c r="BD75" s="893"/>
      <c r="BE75" s="893"/>
      <c r="BF75" s="893"/>
      <c r="BG75" s="897"/>
      <c r="BH75" s="897"/>
      <c r="BI75" s="897"/>
      <c r="BJ75" s="897"/>
      <c r="BK75" s="893"/>
      <c r="BL75" s="897"/>
      <c r="BM75" s="897"/>
      <c r="BN75" s="897"/>
      <c r="BO75" s="897"/>
      <c r="BP75" s="893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</row>
    <row r="76" spans="1:82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65"/>
        <v/>
      </c>
      <c r="M76" s="816" t="str">
        <f t="shared" si="66"/>
        <v/>
      </c>
      <c r="N76" s="816" t="str">
        <f t="shared" si="67"/>
        <v/>
      </c>
      <c r="R76" s="816" t="str">
        <f t="shared" si="68"/>
        <v/>
      </c>
      <c r="T76" s="829" t="str">
        <f t="shared" si="69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3"/>
      <c r="AJ76" s="897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3"/>
      <c r="BD76" s="893"/>
      <c r="BE76" s="893"/>
      <c r="BF76" s="893"/>
      <c r="BG76" s="897"/>
      <c r="BH76" s="897"/>
      <c r="BI76" s="897"/>
      <c r="BJ76" s="897"/>
      <c r="BK76" s="893"/>
      <c r="BL76" s="897"/>
      <c r="BM76" s="897"/>
      <c r="BN76" s="897"/>
      <c r="BO76" s="897"/>
      <c r="BP76" s="893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</row>
    <row r="77" spans="1:82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65"/>
        <v/>
      </c>
      <c r="M77" s="816" t="str">
        <f t="shared" si="66"/>
        <v/>
      </c>
      <c r="N77" s="816" t="str">
        <f t="shared" si="67"/>
        <v/>
      </c>
      <c r="R77" s="816" t="str">
        <f t="shared" si="68"/>
        <v/>
      </c>
      <c r="T77" s="829" t="str">
        <f t="shared" si="69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3"/>
      <c r="AJ77" s="897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3"/>
      <c r="BD77" s="893"/>
      <c r="BE77" s="893"/>
      <c r="BF77" s="893"/>
      <c r="BG77" s="897"/>
      <c r="BH77" s="897"/>
      <c r="BI77" s="897"/>
      <c r="BJ77" s="897"/>
      <c r="BK77" s="893"/>
      <c r="BL77" s="897"/>
      <c r="BM77" s="897"/>
      <c r="BN77" s="897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65"/>
        <v/>
      </c>
      <c r="M78" s="816" t="str">
        <f t="shared" si="66"/>
        <v/>
      </c>
      <c r="N78" s="816" t="str">
        <f t="shared" si="67"/>
        <v/>
      </c>
      <c r="R78" s="816" t="str">
        <f t="shared" si="68"/>
        <v/>
      </c>
      <c r="T78" s="829" t="str">
        <f t="shared" si="69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3"/>
      <c r="AJ78" s="897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3"/>
      <c r="BD78" s="893"/>
      <c r="BE78" s="893"/>
      <c r="BF78" s="893"/>
      <c r="BG78" s="897"/>
      <c r="BH78" s="897"/>
      <c r="BI78" s="897"/>
      <c r="BJ78" s="897"/>
      <c r="BK78" s="893"/>
      <c r="BL78" s="897"/>
      <c r="BM78" s="897"/>
      <c r="BN78" s="897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428"/>
      <c r="K79" s="428"/>
      <c r="L79" s="816" t="str">
        <f t="shared" si="65"/>
        <v/>
      </c>
      <c r="M79" s="816" t="str">
        <f t="shared" si="66"/>
        <v/>
      </c>
      <c r="N79" s="816" t="str">
        <f t="shared" si="67"/>
        <v/>
      </c>
      <c r="R79" s="816" t="str">
        <f t="shared" si="68"/>
        <v/>
      </c>
      <c r="T79" s="829" t="str">
        <f t="shared" si="69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3"/>
      <c r="AJ79" s="897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3"/>
      <c r="BD79" s="893"/>
      <c r="BE79" s="893"/>
      <c r="BF79" s="893"/>
      <c r="BG79" s="897"/>
      <c r="BH79" s="897"/>
      <c r="BI79" s="897"/>
      <c r="BJ79" s="897"/>
      <c r="BK79" s="893"/>
      <c r="BL79" s="897"/>
      <c r="BM79" s="897"/>
      <c r="BN79" s="897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5"/>
        <v/>
      </c>
      <c r="M80" s="816" t="str">
        <f t="shared" si="66"/>
        <v/>
      </c>
      <c r="N80" s="816" t="str">
        <f t="shared" si="67"/>
        <v/>
      </c>
      <c r="R80" s="816" t="str">
        <f t="shared" si="68"/>
        <v/>
      </c>
      <c r="T80" s="829" t="str">
        <f t="shared" si="69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3"/>
      <c r="AJ80" s="897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3"/>
      <c r="BD80" s="893"/>
      <c r="BE80" s="893"/>
      <c r="BF80" s="893"/>
      <c r="BG80" s="897"/>
      <c r="BH80" s="897"/>
      <c r="BI80" s="897"/>
      <c r="BJ80" s="897"/>
      <c r="BK80" s="893"/>
      <c r="BL80" s="897"/>
      <c r="BM80" s="897"/>
      <c r="BN80" s="897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5"/>
        <v/>
      </c>
      <c r="M81" s="816" t="str">
        <f t="shared" si="66"/>
        <v/>
      </c>
      <c r="N81" s="816" t="str">
        <f t="shared" si="67"/>
        <v/>
      </c>
      <c r="R81" s="816" t="str">
        <f t="shared" si="68"/>
        <v/>
      </c>
      <c r="T81" s="829" t="str">
        <f t="shared" si="69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3"/>
      <c r="AJ81" s="897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3"/>
      <c r="BD81" s="893"/>
      <c r="BE81" s="893"/>
      <c r="BF81" s="893"/>
      <c r="BG81" s="897"/>
      <c r="BH81" s="897"/>
      <c r="BI81" s="897"/>
      <c r="BJ81" s="897"/>
      <c r="BK81" s="893"/>
      <c r="BL81" s="897"/>
      <c r="BM81" s="897"/>
      <c r="BN81" s="897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5"/>
        <v/>
      </c>
      <c r="M82" s="816" t="str">
        <f t="shared" si="66"/>
        <v/>
      </c>
      <c r="N82" s="816" t="str">
        <f t="shared" si="67"/>
        <v/>
      </c>
      <c r="R82" s="816" t="str">
        <f t="shared" si="68"/>
        <v/>
      </c>
      <c r="T82" s="829" t="str">
        <f t="shared" si="69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3"/>
      <c r="AJ82" s="897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3"/>
      <c r="BD82" s="893"/>
      <c r="BE82" s="893"/>
      <c r="BF82" s="893"/>
      <c r="BG82" s="897"/>
      <c r="BH82" s="897"/>
      <c r="BI82" s="897"/>
      <c r="BJ82" s="897"/>
      <c r="BK82" s="893"/>
      <c r="BL82" s="897"/>
      <c r="BM82" s="897"/>
      <c r="BN82" s="897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5"/>
        <v/>
      </c>
      <c r="M83" s="816" t="str">
        <f t="shared" si="66"/>
        <v/>
      </c>
      <c r="N83" s="816" t="str">
        <f t="shared" si="67"/>
        <v/>
      </c>
      <c r="R83" s="816" t="str">
        <f t="shared" si="68"/>
        <v/>
      </c>
      <c r="T83" s="829" t="str">
        <f t="shared" si="69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3"/>
      <c r="AJ83" s="897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3"/>
      <c r="BD83" s="893"/>
      <c r="BE83" s="893"/>
      <c r="BF83" s="893"/>
      <c r="BG83" s="897"/>
      <c r="BH83" s="897"/>
      <c r="BI83" s="897"/>
      <c r="BJ83" s="897"/>
      <c r="BK83" s="893"/>
      <c r="BL83" s="897"/>
      <c r="BM83" s="897"/>
      <c r="BN83" s="897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5"/>
        <v/>
      </c>
      <c r="M84" s="816" t="str">
        <f t="shared" si="66"/>
        <v/>
      </c>
      <c r="N84" s="816" t="str">
        <f t="shared" si="67"/>
        <v/>
      </c>
      <c r="R84" s="816" t="str">
        <f t="shared" si="68"/>
        <v/>
      </c>
      <c r="T84" s="829" t="str">
        <f t="shared" si="69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3"/>
      <c r="AJ84" s="897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3"/>
      <c r="BD84" s="893"/>
      <c r="BE84" s="893"/>
      <c r="BF84" s="893"/>
      <c r="BG84" s="897"/>
      <c r="BH84" s="897"/>
      <c r="BI84" s="897"/>
      <c r="BJ84" s="897"/>
      <c r="BK84" s="893"/>
      <c r="BL84" s="897"/>
      <c r="BM84" s="897"/>
      <c r="BN84" s="897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5"/>
        <v/>
      </c>
      <c r="M85" s="816" t="str">
        <f t="shared" si="66"/>
        <v/>
      </c>
      <c r="N85" s="816" t="str">
        <f t="shared" si="67"/>
        <v/>
      </c>
      <c r="R85" s="816" t="str">
        <f t="shared" si="68"/>
        <v/>
      </c>
      <c r="T85" s="829" t="str">
        <f t="shared" si="69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3"/>
      <c r="AJ85" s="897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3"/>
      <c r="BD85" s="893"/>
      <c r="BE85" s="893"/>
      <c r="BF85" s="893"/>
      <c r="BG85" s="897"/>
      <c r="BH85" s="897"/>
      <c r="BI85" s="897"/>
      <c r="BJ85" s="897"/>
      <c r="BK85" s="893"/>
      <c r="BL85" s="897"/>
      <c r="BM85" s="897"/>
      <c r="BN85" s="897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65"/>
        <v/>
      </c>
      <c r="M86" s="816" t="str">
        <f t="shared" si="66"/>
        <v/>
      </c>
      <c r="N86" s="816" t="str">
        <f t="shared" si="67"/>
        <v/>
      </c>
      <c r="R86" s="816" t="str">
        <f t="shared" si="68"/>
        <v/>
      </c>
      <c r="T86" s="829" t="str">
        <f t="shared" si="69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3"/>
      <c r="AJ86" s="897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3"/>
      <c r="BD86" s="893"/>
      <c r="BE86" s="893"/>
      <c r="BF86" s="893"/>
      <c r="BG86" s="897"/>
      <c r="BH86" s="897"/>
      <c r="BI86" s="897"/>
      <c r="BJ86" s="897"/>
      <c r="BK86" s="893"/>
      <c r="BL86" s="897"/>
      <c r="BM86" s="897"/>
      <c r="BN86" s="897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65"/>
        <v/>
      </c>
      <c r="M87" s="816" t="str">
        <f t="shared" si="66"/>
        <v/>
      </c>
      <c r="N87" s="816" t="str">
        <f t="shared" si="67"/>
        <v/>
      </c>
      <c r="R87" s="816" t="str">
        <f t="shared" si="68"/>
        <v/>
      </c>
      <c r="T87" s="829" t="str">
        <f t="shared" si="69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3"/>
      <c r="AJ87" s="897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3"/>
      <c r="BD87" s="893"/>
      <c r="BE87" s="893"/>
      <c r="BF87" s="893"/>
      <c r="BG87" s="897"/>
      <c r="BH87" s="897"/>
      <c r="BI87" s="897"/>
      <c r="BJ87" s="897"/>
      <c r="BK87" s="893"/>
      <c r="BL87" s="897"/>
      <c r="BM87" s="897"/>
      <c r="BN87" s="897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787"/>
      <c r="H88" s="833"/>
      <c r="I88" s="833"/>
      <c r="J88" s="833"/>
      <c r="K88" s="833"/>
      <c r="L88" s="816" t="str">
        <f t="shared" si="65"/>
        <v/>
      </c>
      <c r="M88" s="816" t="str">
        <f t="shared" si="66"/>
        <v/>
      </c>
      <c r="N88" s="816" t="str">
        <f t="shared" si="67"/>
        <v/>
      </c>
      <c r="R88" s="816" t="str">
        <f t="shared" si="68"/>
        <v/>
      </c>
      <c r="T88" s="829" t="str">
        <f t="shared" si="69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3"/>
      <c r="AJ88" s="897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3"/>
      <c r="BD88" s="893"/>
      <c r="BE88" s="893"/>
      <c r="BF88" s="893"/>
      <c r="BG88" s="897"/>
      <c r="BH88" s="897"/>
      <c r="BI88" s="897"/>
      <c r="BJ88" s="897"/>
      <c r="BK88" s="893"/>
      <c r="BL88" s="897"/>
      <c r="BM88" s="897"/>
      <c r="BN88" s="897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5"/>
        <v/>
      </c>
      <c r="M89" s="816" t="str">
        <f t="shared" si="66"/>
        <v/>
      </c>
      <c r="N89" s="816" t="str">
        <f t="shared" si="67"/>
        <v/>
      </c>
      <c r="R89" s="816" t="str">
        <f t="shared" si="68"/>
        <v/>
      </c>
      <c r="T89" s="829" t="str">
        <f t="shared" si="69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3"/>
      <c r="AJ89" s="897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3"/>
      <c r="BD89" s="893"/>
      <c r="BE89" s="893"/>
      <c r="BF89" s="893"/>
      <c r="BG89" s="897"/>
      <c r="BH89" s="897"/>
      <c r="BI89" s="897"/>
      <c r="BJ89" s="897"/>
      <c r="BK89" s="893"/>
      <c r="BL89" s="897"/>
      <c r="BM89" s="897"/>
      <c r="BN89" s="897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5"/>
        <v/>
      </c>
      <c r="M90" s="816" t="str">
        <f t="shared" si="66"/>
        <v/>
      </c>
      <c r="N90" s="816" t="str">
        <f t="shared" si="67"/>
        <v/>
      </c>
      <c r="R90" s="816" t="str">
        <f t="shared" si="68"/>
        <v/>
      </c>
      <c r="T90" s="829" t="str">
        <f t="shared" si="69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3"/>
      <c r="AJ90" s="897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3"/>
      <c r="BD90" s="893"/>
      <c r="BE90" s="893"/>
      <c r="BF90" s="893"/>
      <c r="BG90" s="897"/>
      <c r="BH90" s="897"/>
      <c r="BI90" s="897"/>
      <c r="BJ90" s="897"/>
      <c r="BK90" s="893"/>
      <c r="BL90" s="897"/>
      <c r="BM90" s="897"/>
      <c r="BN90" s="897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5"/>
        <v/>
      </c>
      <c r="M91" s="816" t="str">
        <f t="shared" si="66"/>
        <v/>
      </c>
      <c r="N91" s="816" t="str">
        <f t="shared" si="67"/>
        <v/>
      </c>
      <c r="R91" s="816" t="str">
        <f t="shared" si="68"/>
        <v/>
      </c>
      <c r="T91" s="829" t="str">
        <f t="shared" si="69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3"/>
      <c r="AJ91" s="897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3"/>
      <c r="BD91" s="893"/>
      <c r="BE91" s="893"/>
      <c r="BF91" s="893"/>
      <c r="BG91" s="897"/>
      <c r="BH91" s="897"/>
      <c r="BI91" s="897"/>
      <c r="BJ91" s="897"/>
      <c r="BK91" s="893"/>
      <c r="BL91" s="897"/>
      <c r="BM91" s="897"/>
      <c r="BN91" s="897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5"/>
        <v/>
      </c>
      <c r="M92" s="816" t="str">
        <f t="shared" si="66"/>
        <v/>
      </c>
      <c r="N92" s="816" t="str">
        <f t="shared" si="67"/>
        <v/>
      </c>
      <c r="R92" s="816" t="str">
        <f t="shared" si="68"/>
        <v/>
      </c>
      <c r="T92" s="829" t="str">
        <f t="shared" si="69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3"/>
      <c r="AJ92" s="897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3"/>
      <c r="BD92" s="893"/>
      <c r="BE92" s="893"/>
      <c r="BF92" s="893"/>
      <c r="BG92" s="897"/>
      <c r="BH92" s="897"/>
      <c r="BI92" s="897"/>
      <c r="BJ92" s="897"/>
      <c r="BK92" s="893"/>
      <c r="BL92" s="897"/>
      <c r="BM92" s="897"/>
      <c r="BN92" s="897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5"/>
        <v/>
      </c>
      <c r="M93" s="816" t="str">
        <f t="shared" si="66"/>
        <v/>
      </c>
      <c r="N93" s="816" t="str">
        <f t="shared" si="67"/>
        <v/>
      </c>
      <c r="R93" s="816" t="str">
        <f t="shared" si="68"/>
        <v/>
      </c>
      <c r="T93" s="829" t="str">
        <f t="shared" si="69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3"/>
      <c r="AJ93" s="897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3"/>
      <c r="BD93" s="893"/>
      <c r="BE93" s="893"/>
      <c r="BF93" s="893"/>
      <c r="BG93" s="897"/>
      <c r="BH93" s="897"/>
      <c r="BI93" s="897"/>
      <c r="BJ93" s="897"/>
      <c r="BK93" s="893"/>
      <c r="BL93" s="897"/>
      <c r="BM93" s="897"/>
      <c r="BN93" s="897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5"/>
        <v/>
      </c>
      <c r="M94" s="816" t="str">
        <f t="shared" si="66"/>
        <v/>
      </c>
      <c r="N94" s="816" t="str">
        <f t="shared" si="67"/>
        <v/>
      </c>
      <c r="R94" s="816" t="str">
        <f t="shared" si="68"/>
        <v/>
      </c>
      <c r="T94" s="829" t="str">
        <f t="shared" si="69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3"/>
      <c r="AJ94" s="897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3"/>
      <c r="BD94" s="893"/>
      <c r="BE94" s="893"/>
      <c r="BF94" s="893"/>
      <c r="BG94" s="897"/>
      <c r="BH94" s="897"/>
      <c r="BI94" s="897"/>
      <c r="BJ94" s="897"/>
      <c r="BK94" s="893"/>
      <c r="BL94" s="897"/>
      <c r="BM94" s="897"/>
      <c r="BN94" s="897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5"/>
        <v/>
      </c>
      <c r="M95" s="816" t="str">
        <f t="shared" si="66"/>
        <v/>
      </c>
      <c r="N95" s="816" t="str">
        <f t="shared" si="67"/>
        <v/>
      </c>
      <c r="R95" s="816" t="str">
        <f t="shared" si="68"/>
        <v/>
      </c>
      <c r="T95" s="829" t="str">
        <f t="shared" si="69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3"/>
      <c r="AJ95" s="897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3"/>
      <c r="BD95" s="893"/>
      <c r="BE95" s="893"/>
      <c r="BF95" s="893"/>
      <c r="BG95" s="897"/>
      <c r="BH95" s="897"/>
      <c r="BI95" s="897"/>
      <c r="BJ95" s="897"/>
      <c r="BK95" s="893"/>
      <c r="BL95" s="897"/>
      <c r="BM95" s="897"/>
      <c r="BN95" s="897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5"/>
        <v/>
      </c>
      <c r="M96" s="816" t="str">
        <f t="shared" si="66"/>
        <v/>
      </c>
      <c r="N96" s="816" t="str">
        <f t="shared" si="67"/>
        <v/>
      </c>
      <c r="R96" s="816" t="str">
        <f t="shared" si="68"/>
        <v/>
      </c>
      <c r="T96" s="829" t="str">
        <f t="shared" si="69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3"/>
      <c r="AJ96" s="897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3"/>
      <c r="BD96" s="893"/>
      <c r="BE96" s="893"/>
      <c r="BF96" s="893"/>
      <c r="BG96" s="897"/>
      <c r="BH96" s="897"/>
      <c r="BI96" s="897"/>
      <c r="BJ96" s="897"/>
      <c r="BK96" s="893"/>
      <c r="BL96" s="897"/>
      <c r="BM96" s="897"/>
      <c r="BN96" s="897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5"/>
        <v/>
      </c>
      <c r="M97" s="816" t="str">
        <f t="shared" si="66"/>
        <v/>
      </c>
      <c r="N97" s="816" t="str">
        <f t="shared" si="67"/>
        <v/>
      </c>
      <c r="R97" s="816" t="str">
        <f t="shared" si="68"/>
        <v/>
      </c>
      <c r="T97" s="829" t="str">
        <f t="shared" si="69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3"/>
      <c r="AJ97" s="897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3"/>
      <c r="BD97" s="893"/>
      <c r="BE97" s="893"/>
      <c r="BF97" s="893"/>
      <c r="BG97" s="897"/>
      <c r="BH97" s="897"/>
      <c r="BI97" s="897"/>
      <c r="BJ97" s="897"/>
      <c r="BK97" s="893"/>
      <c r="BL97" s="897"/>
      <c r="BM97" s="897"/>
      <c r="BN97" s="897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5"/>
        <v/>
      </c>
      <c r="M98" s="816" t="str">
        <f t="shared" si="66"/>
        <v/>
      </c>
      <c r="N98" s="816" t="str">
        <f t="shared" si="67"/>
        <v/>
      </c>
      <c r="R98" s="816" t="str">
        <f t="shared" si="68"/>
        <v/>
      </c>
      <c r="T98" s="829" t="str">
        <f t="shared" si="69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3"/>
      <c r="AJ98" s="897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3"/>
      <c r="BD98" s="893"/>
      <c r="BE98" s="893"/>
      <c r="BF98" s="893"/>
      <c r="BG98" s="897"/>
      <c r="BH98" s="897"/>
      <c r="BI98" s="897"/>
      <c r="BJ98" s="897"/>
      <c r="BK98" s="893"/>
      <c r="BL98" s="897"/>
      <c r="BM98" s="897"/>
      <c r="BN98" s="897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5"/>
        <v/>
      </c>
      <c r="M99" s="816" t="str">
        <f t="shared" si="66"/>
        <v/>
      </c>
      <c r="N99" s="816" t="str">
        <f t="shared" si="67"/>
        <v/>
      </c>
      <c r="R99" s="816" t="str">
        <f t="shared" si="68"/>
        <v/>
      </c>
      <c r="T99" s="829" t="str">
        <f t="shared" si="69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3"/>
      <c r="AJ99" s="897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3"/>
      <c r="BD99" s="893"/>
      <c r="BE99" s="893"/>
      <c r="BF99" s="893"/>
      <c r="BG99" s="897"/>
      <c r="BH99" s="897"/>
      <c r="BI99" s="897"/>
      <c r="BJ99" s="897"/>
      <c r="BK99" s="893"/>
      <c r="BL99" s="897"/>
      <c r="BM99" s="897"/>
      <c r="BN99" s="897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5"/>
        <v/>
      </c>
      <c r="M100" s="816" t="str">
        <f t="shared" si="66"/>
        <v/>
      </c>
      <c r="N100" s="816" t="str">
        <f t="shared" si="67"/>
        <v/>
      </c>
      <c r="R100" s="816" t="str">
        <f t="shared" si="68"/>
        <v/>
      </c>
      <c r="T100" s="829" t="str">
        <f t="shared" si="69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3"/>
      <c r="AJ100" s="897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3"/>
      <c r="BD100" s="893"/>
      <c r="BE100" s="893"/>
      <c r="BF100" s="893"/>
      <c r="BG100" s="897"/>
      <c r="BH100" s="897"/>
      <c r="BI100" s="897"/>
      <c r="BJ100" s="897"/>
      <c r="BK100" s="893"/>
      <c r="BL100" s="897"/>
      <c r="BM100" s="897"/>
      <c r="BN100" s="897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5"/>
        <v/>
      </c>
      <c r="M101" s="816" t="str">
        <f t="shared" si="66"/>
        <v/>
      </c>
      <c r="N101" s="816" t="str">
        <f t="shared" si="67"/>
        <v/>
      </c>
      <c r="R101" s="816" t="str">
        <f t="shared" si="68"/>
        <v/>
      </c>
      <c r="T101" s="829" t="str">
        <f t="shared" si="69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3"/>
      <c r="AJ101" s="897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3"/>
      <c r="BD101" s="893"/>
      <c r="BE101" s="893"/>
      <c r="BF101" s="893"/>
      <c r="BG101" s="897"/>
      <c r="BH101" s="897"/>
      <c r="BI101" s="897"/>
      <c r="BJ101" s="897"/>
      <c r="BK101" s="893"/>
      <c r="BL101" s="897"/>
      <c r="BM101" s="897"/>
      <c r="BN101" s="897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5"/>
        <v/>
      </c>
      <c r="M102" s="816" t="str">
        <f t="shared" si="66"/>
        <v/>
      </c>
      <c r="N102" s="816" t="str">
        <f t="shared" si="67"/>
        <v/>
      </c>
      <c r="R102" s="816" t="str">
        <f t="shared" si="68"/>
        <v/>
      </c>
      <c r="T102" s="829" t="str">
        <f t="shared" si="69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3"/>
      <c r="AJ102" s="897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3"/>
      <c r="BD102" s="893"/>
      <c r="BE102" s="893"/>
      <c r="BF102" s="893"/>
      <c r="BG102" s="897"/>
      <c r="BH102" s="897"/>
      <c r="BI102" s="897"/>
      <c r="BJ102" s="897"/>
      <c r="BK102" s="893"/>
      <c r="BL102" s="897"/>
      <c r="BM102" s="897"/>
      <c r="BN102" s="897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5"/>
        <v/>
      </c>
      <c r="M103" s="816" t="str">
        <f t="shared" si="66"/>
        <v/>
      </c>
      <c r="N103" s="816" t="str">
        <f t="shared" si="67"/>
        <v/>
      </c>
      <c r="R103" s="816" t="str">
        <f t="shared" si="68"/>
        <v/>
      </c>
      <c r="T103" s="829" t="str">
        <f t="shared" si="69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3"/>
      <c r="AJ103" s="897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3"/>
      <c r="BD103" s="893"/>
      <c r="BE103" s="893"/>
      <c r="BF103" s="893"/>
      <c r="BG103" s="897"/>
      <c r="BH103" s="897"/>
      <c r="BI103" s="897"/>
      <c r="BJ103" s="897"/>
      <c r="BK103" s="893"/>
      <c r="BL103" s="897"/>
      <c r="BM103" s="897"/>
      <c r="BN103" s="897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5"/>
        <v/>
      </c>
      <c r="M104" s="816" t="str">
        <f t="shared" si="66"/>
        <v/>
      </c>
      <c r="N104" s="816" t="str">
        <f t="shared" si="67"/>
        <v/>
      </c>
      <c r="R104" s="816" t="str">
        <f t="shared" si="68"/>
        <v/>
      </c>
      <c r="T104" s="829" t="str">
        <f t="shared" si="69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3"/>
      <c r="AJ104" s="897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3"/>
      <c r="BD104" s="893"/>
      <c r="BE104" s="893"/>
      <c r="BF104" s="893"/>
      <c r="BG104" s="897"/>
      <c r="BH104" s="897"/>
      <c r="BI104" s="897"/>
      <c r="BJ104" s="897"/>
      <c r="BK104" s="893"/>
      <c r="BL104" s="897"/>
      <c r="BM104" s="897"/>
      <c r="BN104" s="897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5"/>
        <v/>
      </c>
      <c r="M105" s="816" t="str">
        <f t="shared" si="66"/>
        <v/>
      </c>
      <c r="N105" s="816" t="str">
        <f t="shared" si="67"/>
        <v/>
      </c>
      <c r="R105" s="816" t="str">
        <f t="shared" si="68"/>
        <v/>
      </c>
      <c r="T105" s="829" t="str">
        <f t="shared" si="69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31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3"/>
      <c r="AJ105" s="897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3"/>
      <c r="BD105" s="893"/>
      <c r="BE105" s="893"/>
      <c r="BF105" s="893"/>
      <c r="BG105" s="897"/>
      <c r="BH105" s="897"/>
      <c r="BI105" s="897"/>
      <c r="BJ105" s="897"/>
      <c r="BK105" s="893"/>
      <c r="BL105" s="897"/>
      <c r="BM105" s="897"/>
      <c r="BN105" s="897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5"/>
        <v/>
      </c>
      <c r="M106" s="816" t="str">
        <f t="shared" si="66"/>
        <v/>
      </c>
      <c r="N106" s="816" t="str">
        <f t="shared" si="67"/>
        <v/>
      </c>
      <c r="R106" s="816" t="str">
        <f t="shared" si="68"/>
        <v/>
      </c>
      <c r="T106" s="829" t="str">
        <f t="shared" si="69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31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3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3"/>
      <c r="BD106" s="893"/>
      <c r="BE106" s="893"/>
      <c r="BF106" s="893"/>
      <c r="BG106" s="897"/>
      <c r="BH106" s="897"/>
      <c r="BI106" s="897"/>
      <c r="BJ106" s="897"/>
      <c r="BK106" s="893"/>
      <c r="BL106" s="897"/>
      <c r="BM106" s="897"/>
      <c r="BN106" s="897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5"/>
        <v/>
      </c>
      <c r="M107" s="816" t="str">
        <f t="shared" si="66"/>
        <v/>
      </c>
      <c r="N107" s="816" t="str">
        <f t="shared" si="67"/>
        <v/>
      </c>
      <c r="R107" s="816" t="str">
        <f t="shared" si="68"/>
        <v/>
      </c>
      <c r="T107" s="829" t="str">
        <f t="shared" si="69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3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3"/>
      <c r="BD107" s="893"/>
      <c r="BE107" s="893"/>
      <c r="BF107" s="893"/>
      <c r="BG107" s="897"/>
      <c r="BH107" s="897"/>
      <c r="BI107" s="897"/>
      <c r="BJ107" s="897"/>
      <c r="BK107" s="893"/>
      <c r="BL107" s="897"/>
      <c r="BM107" s="897"/>
      <c r="BN107" s="897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5"/>
        <v/>
      </c>
      <c r="M108" s="816" t="str">
        <f t="shared" si="66"/>
        <v/>
      </c>
      <c r="N108" s="816" t="str">
        <f t="shared" si="67"/>
        <v/>
      </c>
      <c r="R108" s="816" t="str">
        <f t="shared" si="68"/>
        <v/>
      </c>
      <c r="T108" s="829" t="str">
        <f t="shared" si="69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3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3"/>
      <c r="BD108" s="893"/>
      <c r="BE108" s="893"/>
      <c r="BF108" s="893"/>
      <c r="BG108" s="897"/>
      <c r="BH108" s="897"/>
      <c r="BI108" s="897"/>
      <c r="BJ108" s="897"/>
      <c r="BK108" s="893"/>
      <c r="BL108" s="897"/>
      <c r="BM108" s="897"/>
      <c r="BN108" s="897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5"/>
        <v/>
      </c>
      <c r="M109" s="816" t="str">
        <f t="shared" si="66"/>
        <v/>
      </c>
      <c r="N109" s="816" t="str">
        <f t="shared" si="67"/>
        <v/>
      </c>
      <c r="R109" s="816" t="str">
        <f t="shared" si="68"/>
        <v/>
      </c>
      <c r="T109" s="829" t="str">
        <f t="shared" si="69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3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3"/>
      <c r="BD109" s="893"/>
      <c r="BE109" s="893"/>
      <c r="BF109" s="893"/>
      <c r="BG109" s="897"/>
      <c r="BH109" s="897"/>
      <c r="BI109" s="897"/>
      <c r="BJ109" s="897"/>
      <c r="BK109" s="893"/>
      <c r="BL109" s="897"/>
      <c r="BM109" s="897"/>
      <c r="BN109" s="897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5"/>
        <v/>
      </c>
      <c r="M110" s="816" t="str">
        <f t="shared" si="66"/>
        <v/>
      </c>
      <c r="N110" s="816" t="str">
        <f t="shared" si="67"/>
        <v/>
      </c>
      <c r="R110" s="816" t="str">
        <f t="shared" si="68"/>
        <v/>
      </c>
      <c r="T110" s="829" t="str">
        <f t="shared" si="69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3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3"/>
      <c r="BD110" s="893"/>
      <c r="BE110" s="893"/>
      <c r="BF110" s="893"/>
      <c r="BG110" s="897"/>
      <c r="BH110" s="897"/>
      <c r="BI110" s="897"/>
      <c r="BJ110" s="897"/>
      <c r="BK110" s="893"/>
      <c r="BL110" s="897"/>
      <c r="BM110" s="897"/>
      <c r="BN110" s="897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5"/>
        <v/>
      </c>
      <c r="M111" s="816" t="str">
        <f t="shared" si="66"/>
        <v/>
      </c>
      <c r="N111" s="816" t="str">
        <f t="shared" si="67"/>
        <v/>
      </c>
      <c r="R111" s="816" t="str">
        <f t="shared" si="68"/>
        <v/>
      </c>
      <c r="T111" s="829" t="str">
        <f t="shared" si="69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3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3"/>
      <c r="BD111" s="893"/>
      <c r="BE111" s="893"/>
      <c r="BF111" s="893"/>
      <c r="BG111" s="897"/>
      <c r="BH111" s="897"/>
      <c r="BI111" s="897"/>
      <c r="BJ111" s="897"/>
      <c r="BK111" s="893"/>
      <c r="BL111" s="897"/>
      <c r="BM111" s="897"/>
      <c r="BN111" s="897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5"/>
        <v/>
      </c>
      <c r="M112" s="816" t="str">
        <f t="shared" si="66"/>
        <v/>
      </c>
      <c r="N112" s="816" t="str">
        <f t="shared" si="67"/>
        <v/>
      </c>
      <c r="R112" s="816" t="str">
        <f t="shared" si="68"/>
        <v/>
      </c>
      <c r="T112" s="829" t="str">
        <f t="shared" si="69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3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3"/>
      <c r="BD112" s="893"/>
      <c r="BE112" s="893"/>
      <c r="BF112" s="893"/>
      <c r="BG112" s="897"/>
      <c r="BH112" s="897"/>
      <c r="BI112" s="897"/>
      <c r="BJ112" s="897"/>
      <c r="BK112" s="893"/>
      <c r="BL112" s="897"/>
      <c r="BM112" s="897"/>
      <c r="BN112" s="897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5"/>
        <v/>
      </c>
      <c r="M113" s="816" t="str">
        <f t="shared" si="66"/>
        <v/>
      </c>
      <c r="N113" s="816" t="str">
        <f t="shared" si="67"/>
        <v/>
      </c>
      <c r="R113" s="816" t="str">
        <f t="shared" si="68"/>
        <v/>
      </c>
      <c r="T113" s="829" t="str">
        <f t="shared" si="69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3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3"/>
      <c r="BD113" s="893"/>
      <c r="BE113" s="893"/>
      <c r="BF113" s="893"/>
      <c r="BG113" s="897"/>
      <c r="BH113" s="897"/>
      <c r="BI113" s="897"/>
      <c r="BJ113" s="897"/>
      <c r="BK113" s="893"/>
      <c r="BL113" s="897"/>
      <c r="BM113" s="897"/>
      <c r="BN113" s="897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5"/>
        <v/>
      </c>
      <c r="M114" s="816" t="str">
        <f t="shared" si="66"/>
        <v/>
      </c>
      <c r="N114" s="816" t="str">
        <f t="shared" si="67"/>
        <v/>
      </c>
      <c r="R114" s="816" t="str">
        <f t="shared" si="68"/>
        <v/>
      </c>
      <c r="T114" s="829" t="str">
        <f t="shared" si="69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3"/>
      <c r="AJ114" s="897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3"/>
      <c r="BD114" s="893"/>
      <c r="BE114" s="893"/>
      <c r="BF114" s="893"/>
      <c r="BG114" s="897"/>
      <c r="BH114" s="897"/>
      <c r="BI114" s="897"/>
      <c r="BJ114" s="897"/>
      <c r="BK114" s="893"/>
      <c r="BL114" s="897"/>
      <c r="BM114" s="897"/>
      <c r="BN114" s="897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5"/>
        <v/>
      </c>
      <c r="M115" s="816" t="str">
        <f t="shared" si="66"/>
        <v/>
      </c>
      <c r="N115" s="816" t="str">
        <f t="shared" si="67"/>
        <v/>
      </c>
      <c r="R115" s="816" t="str">
        <f t="shared" si="68"/>
        <v/>
      </c>
      <c r="T115" s="829" t="str">
        <f t="shared" si="69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3"/>
      <c r="AJ115" s="897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3"/>
      <c r="BD115" s="893"/>
      <c r="BE115" s="893"/>
      <c r="BF115" s="893"/>
      <c r="BG115" s="897"/>
      <c r="BH115" s="897"/>
      <c r="BI115" s="897"/>
      <c r="BJ115" s="897"/>
      <c r="BK115" s="893"/>
      <c r="BL115" s="897"/>
      <c r="BM115" s="897"/>
      <c r="BN115" s="897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5"/>
        <v/>
      </c>
      <c r="M116" s="816" t="str">
        <f t="shared" si="66"/>
        <v/>
      </c>
      <c r="N116" s="816" t="str">
        <f t="shared" si="67"/>
        <v/>
      </c>
      <c r="R116" s="816" t="str">
        <f t="shared" si="68"/>
        <v/>
      </c>
      <c r="T116" s="829" t="str">
        <f t="shared" si="69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3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3"/>
      <c r="BD116" s="893"/>
      <c r="BE116" s="893"/>
      <c r="BF116" s="893"/>
      <c r="BG116" s="897"/>
      <c r="BH116" s="897"/>
      <c r="BI116" s="897"/>
      <c r="BJ116" s="897"/>
      <c r="BK116" s="893"/>
      <c r="BL116" s="897"/>
      <c r="BM116" s="897"/>
      <c r="BN116" s="897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5"/>
        <v/>
      </c>
      <c r="M117" s="816" t="str">
        <f t="shared" si="66"/>
        <v/>
      </c>
      <c r="N117" s="816" t="str">
        <f t="shared" si="67"/>
        <v/>
      </c>
      <c r="R117" s="816" t="str">
        <f t="shared" si="68"/>
        <v/>
      </c>
      <c r="T117" s="829" t="str">
        <f t="shared" si="69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3"/>
      <c r="AJ117" s="897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3"/>
      <c r="BD117" s="893"/>
      <c r="BE117" s="893"/>
      <c r="BF117" s="893"/>
      <c r="BG117" s="897"/>
      <c r="BH117" s="897"/>
      <c r="BI117" s="897"/>
      <c r="BJ117" s="897"/>
      <c r="BK117" s="893"/>
      <c r="BL117" s="897"/>
      <c r="BM117" s="897"/>
      <c r="BN117" s="897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5"/>
        <v/>
      </c>
      <c r="M118" s="816" t="str">
        <f t="shared" si="66"/>
        <v/>
      </c>
      <c r="N118" s="816" t="str">
        <f t="shared" si="67"/>
        <v/>
      </c>
      <c r="R118" s="816" t="str">
        <f t="shared" si="68"/>
        <v/>
      </c>
      <c r="T118" s="829" t="str">
        <f t="shared" si="69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3"/>
      <c r="AJ118" s="897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3"/>
      <c r="BD118" s="893"/>
      <c r="BE118" s="893"/>
      <c r="BF118" s="893"/>
      <c r="BG118" s="897"/>
      <c r="BH118" s="897"/>
      <c r="BI118" s="897"/>
      <c r="BJ118" s="897"/>
      <c r="BK118" s="893"/>
      <c r="BL118" s="897"/>
      <c r="BM118" s="897"/>
      <c r="BN118" s="897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5"/>
        <v/>
      </c>
      <c r="M119" s="816" t="str">
        <f t="shared" si="66"/>
        <v/>
      </c>
      <c r="N119" s="816" t="str">
        <f t="shared" si="67"/>
        <v/>
      </c>
      <c r="R119" s="816" t="str">
        <f t="shared" si="68"/>
        <v/>
      </c>
      <c r="T119" s="829" t="str">
        <f t="shared" si="69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3"/>
      <c r="AJ119" s="897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3"/>
      <c r="BD119" s="893"/>
      <c r="BE119" s="893"/>
      <c r="BF119" s="893"/>
      <c r="BG119" s="897"/>
      <c r="BH119" s="897"/>
      <c r="BI119" s="897"/>
      <c r="BJ119" s="897"/>
      <c r="BK119" s="893"/>
      <c r="BL119" s="897"/>
      <c r="BM119" s="897"/>
      <c r="BN119" s="897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5"/>
        <v/>
      </c>
      <c r="M120" s="816" t="str">
        <f t="shared" si="66"/>
        <v/>
      </c>
      <c r="N120" s="816" t="str">
        <f t="shared" si="67"/>
        <v/>
      </c>
      <c r="R120" s="816" t="str">
        <f t="shared" si="68"/>
        <v/>
      </c>
      <c r="T120" s="829" t="str">
        <f t="shared" si="69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3"/>
      <c r="AJ120" s="897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3"/>
      <c r="BD120" s="893"/>
      <c r="BE120" s="893"/>
      <c r="BF120" s="893"/>
      <c r="BG120" s="897"/>
      <c r="BH120" s="897"/>
      <c r="BI120" s="897"/>
      <c r="BJ120" s="897"/>
      <c r="BK120" s="893"/>
      <c r="BL120" s="897"/>
      <c r="BM120" s="897"/>
      <c r="BN120" s="897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5"/>
        <v/>
      </c>
      <c r="M121" s="816" t="str">
        <f t="shared" si="66"/>
        <v/>
      </c>
      <c r="N121" s="816" t="str">
        <f t="shared" si="67"/>
        <v/>
      </c>
      <c r="R121" s="816" t="str">
        <f t="shared" si="68"/>
        <v/>
      </c>
      <c r="T121" s="829" t="str">
        <f t="shared" si="69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3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3"/>
      <c r="BD121" s="893"/>
      <c r="BE121" s="893"/>
      <c r="BF121" s="893"/>
      <c r="BG121" s="897"/>
      <c r="BH121" s="897"/>
      <c r="BI121" s="897"/>
      <c r="BJ121" s="897"/>
      <c r="BK121" s="893"/>
      <c r="BL121" s="897"/>
      <c r="BM121" s="897"/>
      <c r="BN121" s="897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5"/>
        <v/>
      </c>
      <c r="M122" s="816" t="str">
        <f t="shared" si="66"/>
        <v/>
      </c>
      <c r="N122" s="816" t="str">
        <f t="shared" si="67"/>
        <v/>
      </c>
      <c r="R122" s="816" t="str">
        <f t="shared" si="68"/>
        <v/>
      </c>
      <c r="T122" s="829" t="str">
        <f t="shared" si="69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3"/>
      <c r="AJ122" s="897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3"/>
      <c r="BD122" s="893"/>
      <c r="BE122" s="893"/>
      <c r="BF122" s="893"/>
      <c r="BG122" s="897"/>
      <c r="BH122" s="897"/>
      <c r="BI122" s="897"/>
      <c r="BJ122" s="897"/>
      <c r="BK122" s="893"/>
      <c r="BL122" s="897"/>
      <c r="BM122" s="897"/>
      <c r="BN122" s="897"/>
      <c r="BO122" s="897"/>
      <c r="BP122" s="893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5"/>
        <v/>
      </c>
      <c r="M123" s="816" t="str">
        <f t="shared" si="66"/>
        <v/>
      </c>
      <c r="N123" s="816" t="str">
        <f t="shared" si="67"/>
        <v/>
      </c>
      <c r="R123" s="816" t="str">
        <f t="shared" si="68"/>
        <v/>
      </c>
      <c r="T123" s="829" t="str">
        <f t="shared" si="69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3"/>
      <c r="AJ123" s="897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3"/>
      <c r="BD123" s="893"/>
      <c r="BE123" s="893"/>
      <c r="BF123" s="893"/>
      <c r="BG123" s="897"/>
      <c r="BH123" s="897"/>
      <c r="BI123" s="897"/>
      <c r="BJ123" s="897"/>
      <c r="BK123" s="893"/>
      <c r="BL123" s="897"/>
      <c r="BM123" s="897"/>
      <c r="BN123" s="897"/>
      <c r="BO123" s="897"/>
      <c r="BP123" s="893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</row>
    <row r="124" spans="4:82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5"/>
        <v/>
      </c>
      <c r="M124" s="816" t="str">
        <f t="shared" si="66"/>
        <v/>
      </c>
      <c r="N124" s="816" t="str">
        <f t="shared" si="67"/>
        <v/>
      </c>
      <c r="R124" s="816" t="str">
        <f t="shared" si="68"/>
        <v/>
      </c>
      <c r="T124" s="829" t="str">
        <f t="shared" si="69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I124" s="866"/>
      <c r="BC124" s="866"/>
      <c r="BD124" s="866"/>
      <c r="BE124" s="866"/>
      <c r="BF124" s="866"/>
      <c r="BK124" s="866"/>
      <c r="BP124" s="866"/>
    </row>
    <row r="125" spans="4:82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5"/>
        <v/>
      </c>
      <c r="M125" s="816" t="str">
        <f t="shared" si="66"/>
        <v/>
      </c>
      <c r="N125" s="816" t="str">
        <f t="shared" si="67"/>
        <v/>
      </c>
      <c r="R125" s="816" t="str">
        <f t="shared" si="68"/>
        <v/>
      </c>
      <c r="T125" s="829" t="str">
        <f t="shared" si="69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</row>
    <row r="126" spans="4:82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5"/>
        <v/>
      </c>
      <c r="M126" s="816" t="str">
        <f t="shared" si="66"/>
        <v/>
      </c>
      <c r="N126" s="816" t="str">
        <f t="shared" si="67"/>
        <v/>
      </c>
      <c r="R126" s="816" t="str">
        <f t="shared" si="68"/>
        <v/>
      </c>
      <c r="T126" s="829" t="str">
        <f t="shared" si="69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5"/>
        <v/>
      </c>
      <c r="M127" s="816" t="str">
        <f t="shared" si="66"/>
        <v/>
      </c>
      <c r="N127" s="816" t="str">
        <f t="shared" si="67"/>
        <v/>
      </c>
      <c r="R127" s="816" t="str">
        <f t="shared" si="68"/>
        <v/>
      </c>
      <c r="T127" s="829" t="str">
        <f t="shared" si="69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5"/>
        <v/>
      </c>
      <c r="M128" s="816" t="str">
        <f t="shared" si="66"/>
        <v/>
      </c>
      <c r="N128" s="816" t="str">
        <f t="shared" si="67"/>
        <v/>
      </c>
      <c r="R128" s="816" t="str">
        <f t="shared" si="68"/>
        <v/>
      </c>
      <c r="T128" s="829" t="str">
        <f t="shared" si="69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5"/>
        <v/>
      </c>
      <c r="M129" s="816" t="str">
        <f t="shared" si="66"/>
        <v/>
      </c>
      <c r="N129" s="816" t="str">
        <f t="shared" si="67"/>
        <v/>
      </c>
      <c r="R129" s="816" t="str">
        <f t="shared" si="68"/>
        <v/>
      </c>
      <c r="T129" s="829" t="str">
        <f t="shared" si="69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5"/>
        <v/>
      </c>
      <c r="M130" s="816" t="str">
        <f t="shared" si="66"/>
        <v/>
      </c>
      <c r="N130" s="816" t="str">
        <f t="shared" si="67"/>
        <v/>
      </c>
      <c r="R130" s="816" t="str">
        <f t="shared" si="68"/>
        <v/>
      </c>
      <c r="T130" s="829" t="str">
        <f t="shared" si="69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65"/>
        <v/>
      </c>
      <c r="M131" s="816" t="str">
        <f t="shared" si="66"/>
        <v/>
      </c>
      <c r="N131" s="816" t="str">
        <f t="shared" si="67"/>
        <v/>
      </c>
      <c r="R131" s="816" t="str">
        <f t="shared" si="68"/>
        <v/>
      </c>
      <c r="T131" s="829" t="str">
        <f t="shared" si="69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IF($J131="","",IF(SUM(IF(ISNUMBER(VALUE(RIGHT($AG131:$CI131,1))),VALUE(RIGHT($AG131:$CI131,1)),0))=$J131,"T","F"))</f>
        <v/>
      </c>
      <c r="AE131" s="816" t="str">
        <f t="array" ref="AE131">IF($J131="","",SUM(IF(LEFT($AG131:$DU131,1)="s",1,0))-SUM(IF(RIGHT(LEFT($AG131:$DU131,2))="-",1,0)))</f>
        <v/>
      </c>
      <c r="AF131" s="816" t="str">
        <f t="array" ref="AF131">IF($J131="","",SUM(IF(LEFT($AG131:$DA131,1)="X",1,0)))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65"/>
        <v/>
      </c>
      <c r="M132" s="816" t="str">
        <f t="shared" si="66"/>
        <v/>
      </c>
      <c r="N132" s="816" t="str">
        <f t="shared" si="67"/>
        <v/>
      </c>
      <c r="R132" s="816" t="str">
        <f t="shared" si="68"/>
        <v/>
      </c>
      <c r="T132" s="829" t="str">
        <f t="shared" si="69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IF($J132="","",IF(SUM(IF(ISNUMBER(VALUE(RIGHT($AG132:$CI132,1))),VALUE(RIGHT($AG132:$CI132,1)),0))=$J132,"T","F"))</f>
        <v/>
      </c>
      <c r="AE132" s="816" t="str">
        <f t="array" ref="AE132">IF($J132="","",SUM(IF(LEFT($AG132:$DU132,1)="s",1,0))-SUM(IF(RIGHT(LEFT($AG132:$DU132,2))="-",1,0)))</f>
        <v/>
      </c>
      <c r="AF132" s="816" t="str">
        <f t="array" ref="AF132">IF($J132="","",SUM(IF(LEFT($AG132:$DA132,1)="X",1,0)))</f>
        <v/>
      </c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</sheetData>
  <autoFilter ref="A22:DG79"/>
  <mergeCells count="3">
    <mergeCell ref="W19:X19"/>
    <mergeCell ref="Y19:Z19"/>
    <mergeCell ref="AA19:AB19"/>
  </mergeCells>
  <phoneticPr fontId="21" type="noConversion"/>
  <conditionalFormatting sqref="AD23:AD309">
    <cfRule type="cellIs" dxfId="697" priority="67" operator="equal">
      <formula>"T"</formula>
    </cfRule>
  </conditionalFormatting>
  <conditionalFormatting sqref="N23:N309">
    <cfRule type="cellIs" dxfId="696" priority="74" stopIfTrue="1" operator="equal">
      <formula>"U"</formula>
    </cfRule>
    <cfRule type="cellIs" dxfId="695" priority="75" stopIfTrue="1" operator="equal">
      <formula>"O"</formula>
    </cfRule>
  </conditionalFormatting>
  <conditionalFormatting sqref="L23:L309">
    <cfRule type="cellIs" dxfId="694" priority="72" stopIfTrue="1" operator="equal">
      <formula>"W"</formula>
    </cfRule>
    <cfRule type="cellIs" dxfId="693" priority="73" stopIfTrue="1" operator="equal">
      <formula>"D"</formula>
    </cfRule>
  </conditionalFormatting>
  <conditionalFormatting sqref="AF23:AF309">
    <cfRule type="cellIs" dxfId="692" priority="70" stopIfTrue="1" operator="notEqual">
      <formula>11</formula>
    </cfRule>
    <cfRule type="cellIs" dxfId="691" priority="71" stopIfTrue="1" operator="between">
      <formula>0</formula>
      <formula>20</formula>
    </cfRule>
  </conditionalFormatting>
  <conditionalFormatting sqref="AE23:AE309">
    <cfRule type="cellIs" dxfId="690" priority="68" stopIfTrue="1" operator="notEqual">
      <formula>0</formula>
    </cfRule>
    <cfRule type="cellIs" dxfId="689" priority="69" stopIfTrue="1" operator="between">
      <formula>0</formula>
      <formula>20</formula>
    </cfRule>
  </conditionalFormatting>
  <conditionalFormatting sqref="CF19:CW19">
    <cfRule type="expression" dxfId="688" priority="63">
      <formula>CF19="G"</formula>
    </cfRule>
    <cfRule type="expression" dxfId="687" priority="64">
      <formula>CF19="M"</formula>
    </cfRule>
    <cfRule type="expression" dxfId="686" priority="65">
      <formula>CF19="D"</formula>
    </cfRule>
    <cfRule type="expression" dxfId="685" priority="66">
      <formula>CF19="A"</formula>
    </cfRule>
  </conditionalFormatting>
  <conditionalFormatting sqref="BS19:CE19 AJ19:AR19 BN19:BO19 AT19:BC19 BE19:BL19">
    <cfRule type="expression" dxfId="684" priority="59">
      <formula>AJ19="G"</formula>
    </cfRule>
    <cfRule type="expression" dxfId="683" priority="60">
      <formula>OR(AJ19="M",AJ19="CM",AJ19="LM",AJ19="RM",AJ19="DM",AJ19="AM")</formula>
    </cfRule>
    <cfRule type="expression" dxfId="682" priority="61">
      <formula>OR(AJ19="D",AJ19="CB",AJ19="LB",AJ19="RB")</formula>
    </cfRule>
    <cfRule type="expression" dxfId="681" priority="62">
      <formula>OR(AJ19="A",AJ19="CF",AJ19="SS",AJ19="ST",AJ19="RW",AJ19="LW")</formula>
    </cfRule>
  </conditionalFormatting>
  <conditionalFormatting sqref="BS23:BV25 BO67:BP70 AP29 AH29:AN29 AH23:AP28 BP26:BV66 AQ67:BN72 AG23:AG72 AH30:AP72 BE23:BO66 AQ23:BC66">
    <cfRule type="expression" dxfId="680" priority="58">
      <formula>IF(ISNUMBER(VALUE(RIGHT(AG23,1))),1,0)</formula>
    </cfRule>
  </conditionalFormatting>
  <conditionalFormatting sqref="BX16:CD16 AG16:BS16">
    <cfRule type="top10" dxfId="679" priority="76" stopIfTrue="1" rank="5"/>
  </conditionalFormatting>
  <conditionalFormatting sqref="BX15:CD15 AG15:BS15">
    <cfRule type="top10" dxfId="678" priority="77" rank="11"/>
  </conditionalFormatting>
  <conditionalFormatting sqref="BX17:CD17 AG17:BS17">
    <cfRule type="top10" dxfId="677" priority="78" stopIfTrue="1" rank="5"/>
  </conditionalFormatting>
  <conditionalFormatting sqref="BX14:CD14 AG14:BS14">
    <cfRule type="top10" dxfId="676" priority="79" rank="11"/>
  </conditionalFormatting>
  <conditionalFormatting sqref="AU64:AU66 AU68:AU69">
    <cfRule type="expression" dxfId="675" priority="49">
      <formula>IF(ISNUMBER(VALUE(RIGHT(AU64,1))),1,0)</formula>
    </cfRule>
  </conditionalFormatting>
  <conditionalFormatting sqref="BM69">
    <cfRule type="expression" dxfId="674" priority="46">
      <formula>IF(ISNUMBER(VALUE(RIGHT(BM69,1))),1,0)</formula>
    </cfRule>
  </conditionalFormatting>
  <conditionalFormatting sqref="AG19:AR19 BM19:BO19 AT19:BC19 BE19:BK19">
    <cfRule type="cellIs" dxfId="673" priority="44" operator="equal">
      <formula>"M"</formula>
    </cfRule>
  </conditionalFormatting>
  <conditionalFormatting sqref="AG19:AR19 BM19:BO19 AT19:BC19 BE19:BK19">
    <cfRule type="cellIs" dxfId="672" priority="43" operator="equal">
      <formula>"D"</formula>
    </cfRule>
  </conditionalFormatting>
  <conditionalFormatting sqref="AG19:AR19 BM19:BO19 AT19:BC19 BE19:BK19">
    <cfRule type="cellIs" dxfId="671" priority="41" operator="equal">
      <formula>"G"</formula>
    </cfRule>
    <cfRule type="cellIs" dxfId="670" priority="42" operator="equal">
      <formula>"A"</formula>
    </cfRule>
  </conditionalFormatting>
  <conditionalFormatting sqref="AG19:AR19 BM19:BO19 AT19:BC19 BE19:BK19">
    <cfRule type="containsText" dxfId="669" priority="38" operator="containsText" text="FW">
      <formula>NOT(ISERROR(SEARCH("FW",AG19)))</formula>
    </cfRule>
    <cfRule type="containsText" dxfId="668" priority="39" operator="containsText" text="MF">
      <formula>NOT(ISERROR(SEARCH("MF",AG19)))</formula>
    </cfRule>
    <cfRule type="containsText" dxfId="667" priority="40" operator="containsText" text="DF">
      <formula>NOT(ISERROR(SEARCH("DF",AG19)))</formula>
    </cfRule>
  </conditionalFormatting>
  <conditionalFormatting sqref="AS19">
    <cfRule type="expression" dxfId="666" priority="23">
      <formula>AS19="G"</formula>
    </cfRule>
    <cfRule type="expression" dxfId="665" priority="24">
      <formula>OR(AS19="M",AS19="CM",AS19="LM",AS19="RM",AS19="DM",AS19="AM")</formula>
    </cfRule>
    <cfRule type="expression" dxfId="664" priority="25">
      <formula>OR(AS19="D",AS19="CB",AS19="LB",AS19="RB")</formula>
    </cfRule>
    <cfRule type="expression" dxfId="663" priority="26">
      <formula>OR(AS19="A",AS19="CF",AS19="SS",AS19="ST",AS19="RW",AS19="LW")</formula>
    </cfRule>
  </conditionalFormatting>
  <conditionalFormatting sqref="AS19">
    <cfRule type="cellIs" dxfId="662" priority="22" operator="equal">
      <formula>"M"</formula>
    </cfRule>
  </conditionalFormatting>
  <conditionalFormatting sqref="AS19">
    <cfRule type="cellIs" dxfId="661" priority="21" operator="equal">
      <formula>"D"</formula>
    </cfRule>
  </conditionalFormatting>
  <conditionalFormatting sqref="AS19">
    <cfRule type="cellIs" dxfId="660" priority="19" operator="equal">
      <formula>"G"</formula>
    </cfRule>
    <cfRule type="cellIs" dxfId="659" priority="20" operator="equal">
      <formula>"A"</formula>
    </cfRule>
  </conditionalFormatting>
  <conditionalFormatting sqref="AS19">
    <cfRule type="containsText" dxfId="658" priority="16" operator="containsText" text="FW">
      <formula>NOT(ISERROR(SEARCH("FW",AS19)))</formula>
    </cfRule>
    <cfRule type="containsText" dxfId="657" priority="17" operator="containsText" text="MF">
      <formula>NOT(ISERROR(SEARCH("MF",AS19)))</formula>
    </cfRule>
    <cfRule type="containsText" dxfId="656" priority="18" operator="containsText" text="DF">
      <formula>NOT(ISERROR(SEARCH("DF",AS19)))</formula>
    </cfRule>
  </conditionalFormatting>
  <conditionalFormatting sqref="BD19">
    <cfRule type="expression" dxfId="655" priority="12">
      <formula>BD19="G"</formula>
    </cfRule>
    <cfRule type="expression" dxfId="654" priority="13">
      <formula>OR(BD19="M",BD19="CM",BD19="LM",BD19="RM",BD19="DM",BD19="AM")</formula>
    </cfRule>
    <cfRule type="expression" dxfId="653" priority="14">
      <formula>OR(BD19="D",BD19="CB",BD19="LB",BD19="RB")</formula>
    </cfRule>
    <cfRule type="expression" dxfId="652" priority="15">
      <formula>OR(BD19="A",BD19="CF",BD19="SS",BD19="ST",BD19="RW",BD19="LW")</formula>
    </cfRule>
  </conditionalFormatting>
  <conditionalFormatting sqref="BD19">
    <cfRule type="cellIs" dxfId="651" priority="11" operator="equal">
      <formula>"M"</formula>
    </cfRule>
  </conditionalFormatting>
  <conditionalFormatting sqref="BD19">
    <cfRule type="cellIs" dxfId="650" priority="10" operator="equal">
      <formula>"D"</formula>
    </cfRule>
  </conditionalFormatting>
  <conditionalFormatting sqref="BD19">
    <cfRule type="cellIs" dxfId="649" priority="8" operator="equal">
      <formula>"G"</formula>
    </cfRule>
    <cfRule type="cellIs" dxfId="648" priority="9" operator="equal">
      <formula>"A"</formula>
    </cfRule>
  </conditionalFormatting>
  <conditionalFormatting sqref="BD19">
    <cfRule type="containsText" dxfId="647" priority="5" operator="containsText" text="FW">
      <formula>NOT(ISERROR(SEARCH("FW",BD19)))</formula>
    </cfRule>
    <cfRule type="containsText" dxfId="646" priority="6" operator="containsText" text="MF">
      <formula>NOT(ISERROR(SEARCH("MF",BD19)))</formula>
    </cfRule>
    <cfRule type="containsText" dxfId="645" priority="7" operator="containsText" text="DF">
      <formula>NOT(ISERROR(SEARCH("DF",BD19)))</formula>
    </cfRule>
  </conditionalFormatting>
  <conditionalFormatting sqref="BD50">
    <cfRule type="expression" dxfId="644" priority="4">
      <formula>IF(ISNUMBER(VALUE(RIGHT(BD50,1))),1,0)</formula>
    </cfRule>
  </conditionalFormatting>
  <conditionalFormatting sqref="BD56">
    <cfRule type="expression" dxfId="643" priority="3">
      <formula>IF(ISNUMBER(VALUE(RIGHT(BD56,1))),1,0)</formula>
    </cfRule>
  </conditionalFormatting>
  <conditionalFormatting sqref="BD57">
    <cfRule type="expression" dxfId="642" priority="2">
      <formula>IF(ISNUMBER(VALUE(RIGHT(BD57,1))),1,0)</formula>
    </cfRule>
  </conditionalFormatting>
  <conditionalFormatting sqref="BD58:BD66">
    <cfRule type="expression" dxfId="641" priority="1">
      <formula>IF(ISNUMBER(VALUE(RIGHT(BD58,1))),1,0)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$I23:$I241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DN236"/>
  <sheetViews>
    <sheetView zoomScale="85" zoomScaleNormal="85" workbookViewId="0">
      <pane xSplit="32" ySplit="22" topLeftCell="AG55" activePane="bottomRight" state="frozen"/>
      <selection activeCell="AX21" sqref="AX21"/>
      <selection pane="topRight" activeCell="AX21" sqref="AX21"/>
      <selection pane="bottomLeft" activeCell="AX21" sqref="AX21"/>
      <selection pane="bottomRight" activeCell="AA65" sqref="AA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3.75" bestFit="1" customWidth="1"/>
    <col min="37" max="49" width="3.75" style="230" customWidth="1"/>
    <col min="50" max="50" width="3.75" bestFit="1" customWidth="1"/>
    <col min="51" max="52" width="3.75" style="230" customWidth="1"/>
    <col min="53" max="53" width="3.75" bestFit="1" customWidth="1"/>
    <col min="54" max="54" width="3.75" style="230" customWidth="1"/>
    <col min="55" max="55" width="3.75" bestFit="1" customWidth="1"/>
    <col min="56" max="57" width="3.75" customWidth="1"/>
    <col min="58" max="60" width="3.75" style="230" customWidth="1"/>
    <col min="61" max="61" width="3.75" bestFit="1" customWidth="1"/>
    <col min="62" max="64" width="3.75" style="230" customWidth="1"/>
    <col min="65" max="65" width="3.75" bestFit="1" customWidth="1"/>
    <col min="66" max="99" width="3.75" style="230" customWidth="1"/>
    <col min="100" max="16384" width="5.75" style="230"/>
  </cols>
  <sheetData>
    <row r="1" spans="1:87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str">
        <f>AG20</f>
        <v>Takashi Aizawa</v>
      </c>
      <c r="AK1" s="814" t="str">
        <f>AI20</f>
        <v>Koki Matsuzawa</v>
      </c>
      <c r="AL1" s="814" t="str">
        <f>AK20</f>
        <v>Nikola Vasiljevic</v>
      </c>
      <c r="AM1" s="814" t="str">
        <f>AT20</f>
        <v>Leo Osaki</v>
      </c>
      <c r="AN1" s="814"/>
      <c r="AO1" s="814" t="str">
        <f>AM20</f>
        <v>Hidenori Ishii</v>
      </c>
      <c r="AP1" s="814" t="str">
        <f>AN20</f>
        <v>Rikuya Izutsu</v>
      </c>
      <c r="AQ1" s="814" t="e">
        <f>#REF!</f>
        <v>#REF!</v>
      </c>
      <c r="AR1" s="814" t="str">
        <f>AP20</f>
        <v>Jong-Pil Kim</v>
      </c>
      <c r="AS1" s="814" t="str">
        <f>AY20</f>
        <v>Rikuto Hirose</v>
      </c>
      <c r="AT1" s="814"/>
      <c r="AU1" s="814"/>
      <c r="AV1" s="814" t="str">
        <f>AR20</f>
        <v>Kazuaki Mawatari</v>
      </c>
      <c r="AW1" s="814" t="str">
        <f>AU20</f>
        <v>Carlinhos</v>
      </c>
      <c r="AY1" s="814">
        <f>BQ20</f>
        <v>0</v>
      </c>
      <c r="AZ1" s="814" t="str">
        <f>AX20</f>
        <v>Junya Osaki</v>
      </c>
      <c r="BB1" s="814" t="str">
        <f>AZ20</f>
        <v>Ryo Matsumura</v>
      </c>
      <c r="BF1" s="814"/>
      <c r="BG1" s="814"/>
      <c r="BH1" s="814"/>
      <c r="BJ1" s="814" t="str">
        <f>AO20</f>
        <v>Yuto Uchida</v>
      </c>
      <c r="BK1" s="814" t="str">
        <f>BJ20</f>
        <v>Akihiro Sato</v>
      </c>
      <c r="BL1" s="814" t="str">
        <f>BK20</f>
        <v>Taiga Maekawa</v>
      </c>
      <c r="BN1" s="814" t="e">
        <f>#REF!</f>
        <v>#REF!</v>
      </c>
      <c r="BO1" s="814">
        <f>BO20</f>
        <v>0</v>
      </c>
      <c r="BP1" s="814"/>
      <c r="BQ1" s="814" t="e">
        <f>#REF!</f>
        <v>#REF!</v>
      </c>
      <c r="BR1" s="814"/>
      <c r="BS1" s="814"/>
      <c r="BT1" s="814"/>
      <c r="BU1" s="814"/>
      <c r="BV1" s="814">
        <f t="shared" ref="BV1:CB1" si="0">BV20</f>
        <v>0</v>
      </c>
      <c r="BW1" s="814">
        <f t="shared" si="0"/>
        <v>0</v>
      </c>
      <c r="BX1" s="814">
        <f t="shared" si="0"/>
        <v>0</v>
      </c>
      <c r="BY1" s="814">
        <f t="shared" si="0"/>
        <v>0</v>
      </c>
      <c r="BZ1" s="814">
        <f t="shared" si="0"/>
        <v>0</v>
      </c>
      <c r="CA1" s="814">
        <f t="shared" si="0"/>
        <v>0</v>
      </c>
      <c r="CB1" s="814">
        <f t="shared" si="0"/>
        <v>0</v>
      </c>
      <c r="CC1" s="814">
        <f t="shared" ref="CC1:CI1" si="1">CC20</f>
        <v>0</v>
      </c>
      <c r="CD1" s="814">
        <f t="shared" si="1"/>
        <v>0</v>
      </c>
      <c r="CE1" s="814">
        <f t="shared" si="1"/>
        <v>0</v>
      </c>
      <c r="CF1" s="814">
        <f t="shared" si="1"/>
        <v>0</v>
      </c>
      <c r="CG1" s="814">
        <f t="shared" si="1"/>
        <v>0</v>
      </c>
      <c r="CH1" s="814">
        <f t="shared" si="1"/>
        <v>0</v>
      </c>
      <c r="CI1" s="814">
        <f t="shared" si="1"/>
        <v>0</v>
      </c>
    </row>
    <row r="2" spans="1:87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SUM(IF(L$23:L$238="",0,1)*IF(ISBLANK($T$1),1,IF($I$23:$I$238=$T$1,1,0)))</f>
        <v>43</v>
      </c>
      <c r="AG2" s="874">
        <f t="array" ref="AG2">SUM(IF(ISBLANK(AG$23:AG$238),0,IF(AG$23:AG$238="susp",0,1))*IF(ISBLANK($T$1),1,IF($I$23:$I$238=$T$1,1,0)))</f>
        <v>35</v>
      </c>
      <c r="AH2" s="874">
        <f t="array" ref="AH2">SUM(IF(ISBLANK(AH$23:AH$238),0,IF(AH$23:AH$238="susp",0,1))*IF(ISBLANK($T$1),1,IF($I$23:$I$238=$T$1,1,0)))</f>
        <v>43</v>
      </c>
      <c r="AI2" s="874">
        <f t="array" ref="AI2">SUM(IF(ISBLANK(AI$23:AI$238),0,IF(AI$23:AI$238="susp",0,1))*IF(ISBLANK($T$1),1,IF($I$23:$I$238=$T$1,1,0)))</f>
        <v>42</v>
      </c>
      <c r="AK2" s="874">
        <f t="array" ref="AK2">SUM(IF(ISBLANK(AK$23:AK$238),0,IF(AK$23:AK$238="susp",0,1))*IF(ISBLANK($T$1),1,IF($I$23:$I$238=$T$1,1,0)))</f>
        <v>43</v>
      </c>
      <c r="AL2" s="874">
        <f t="array" ref="AL2">SUM(IF(ISBLANK(AL$23:AL$238),0,IF(AL$23:AL$238="susp",0,1))*IF(ISBLANK($T$1),1,IF($I$23:$I$238=$T$1,1,0)))</f>
        <v>43</v>
      </c>
      <c r="AM2" s="874">
        <f t="array" ref="AM2">SUM(IF(ISBLANK(AM$23:AM$238),0,IF(AM$23:AM$238="susp",0,1))*IF(ISBLANK($T$1),1,IF($I$23:$I$238=$T$1,1,0)))</f>
        <v>43</v>
      </c>
      <c r="AO2" s="874">
        <f t="array" ref="AO2">SUM(IF(ISBLANK(AO$23:AO$238),0,IF(AO$23:AO$238="susp",0,1))*IF(ISBLANK($T$1),1,IF($I$23:$I$238=$T$1,1,0)))</f>
        <v>43</v>
      </c>
      <c r="AP2" s="874">
        <f t="array" ref="AP2">SUM(IF(ISBLANK(AP$23:AP$238),0,IF(AP$23:AP$238="susp",0,1))*IF(ISBLANK($T$1),1,IF($I$23:$I$238=$T$1,1,0)))</f>
        <v>42</v>
      </c>
      <c r="AQ2" s="874">
        <f t="array" ref="AQ2">SUM(IF(ISBLANK(AQ$30:AQ$238),0,IF(AQ$30:AQ$238="susp",0,1))*IF(ISBLANK($T$1),1,IF($I$23:$I$238=$T$1,1,0)))</f>
        <v>35</v>
      </c>
      <c r="AR2" s="874">
        <f t="array" ref="AR2">SUM(IF(ISBLANK(AR$23:AR$238),0,IF(AR$23:AR$238="susp",0,1))*IF(ISBLANK($T$1),1,IF($I$23:$I$238=$T$1,1,0)))</f>
        <v>43</v>
      </c>
      <c r="AS2" s="874">
        <f t="array" ref="AS2">SUM(IF(ISBLANK(AS$23:AS$238),0,IF(AS$23:AS$238="susp",0,1))*IF(ISBLANK($T$1),1,IF($I$23:$I$238=$T$1,1,0)))</f>
        <v>42</v>
      </c>
      <c r="AV2" s="874">
        <f t="array" ref="AV2">SUM(IF(ISBLANK(AV$23:AV$238),0,IF(AV$23:AV$238="susp",0,1))*IF(ISBLANK($T$1),1,IF($I$23:$I$238=$T$1,1,0)))</f>
        <v>42</v>
      </c>
      <c r="AW2" s="874">
        <f t="array" ref="AW2">SUM(IF(ISBLANK(AW$23:AW$238),0,IF(AW$23:AW$238="susp",0,1))*IF(ISBLANK($T$1),1,IF($I$23:$I$238=$T$1,1,0)))</f>
        <v>43</v>
      </c>
      <c r="AY2" s="874">
        <f t="array" ref="AY2">SUM(IF(ISBLANK(AY$30:AY$238),0,IF(AY$30:AY$238="susp",0,1))*IF(ISBLANK($T$1),1,IF($I$23:$I$238=$T$1,1,0)))</f>
        <v>36</v>
      </c>
      <c r="AZ2" s="874">
        <f t="array" ref="AZ2">SUM(IF(ISBLANK(AZ$30:AZ$238),0,IF(AZ$30:AZ$238="susp",0,1))*IF(ISBLANK($T$1),1,IF($I$23:$I$238=$T$1,1,0)))</f>
        <v>35</v>
      </c>
      <c r="BB2" s="874">
        <f t="array" ref="BB2">SUM(IF(ISBLANK(BB$23:BB$238),0,IF(BB$23:BB$238="susp",0,1))*IF(ISBLANK($T$1),1,IF($I$23:$I$238=$T$1,1,0)))</f>
        <v>42</v>
      </c>
      <c r="BJ2" s="874">
        <f t="array" ref="BJ2">SUM(IF(ISBLANK(BJ$23:BJ$238),0,IF(BJ$23:BJ$238="susp",0,1))*IF(ISBLANK($T$1),1,IF($I$23:$I$238=$T$1,1,0)))</f>
        <v>40</v>
      </c>
      <c r="BK2" s="874">
        <f t="array" ref="BK2">SUM(IF(ISBLANK(BK$23:BK$238),0,IF(BK$23:BK$238="susp",0,1))*IF(ISBLANK($T$1),1,IF($I$23:$I$238=$T$1,1,0)))</f>
        <v>39</v>
      </c>
      <c r="BL2" s="874">
        <f t="array" ref="BL2">SUM(IF(ISBLANK(BL$23:BL$238),0,IF(BL$23:BL$238="susp",0,1))*IF(ISBLANK($T$1),1,IF($I$23:$I$238=$T$1,1,0)))</f>
        <v>28</v>
      </c>
      <c r="BN2" s="874">
        <f t="array" ref="BN2">SUM(IF(ISBLANK(BN$30:BN$238),0,IF(BN$30:BN$238="susp",0,1))*IF(ISBLANK($T$1),1,IF($I$23:$I$238=$T$1,1,0)))</f>
        <v>2</v>
      </c>
      <c r="BO2" s="874">
        <f t="array" ref="BO2">SUM(IF(ISBLANK(BO$23:BO$238),0,IF(BO$23:BO$238="susp",0,1))*IF(ISBLANK($T$1),1,IF($I$23:$I$238=$T$1,1,0)))</f>
        <v>2</v>
      </c>
      <c r="BQ2" s="874">
        <f t="array" ref="BQ2">SUM(IF(ISBLANK(BQ$41:BQ$238),0,IF(BQ$41:BQ$238="susp",0,1))*IF(ISBLANK($T$1),1,IF($I$23:$I$238=$T$1,1,0)))</f>
        <v>1</v>
      </c>
      <c r="BV2" s="874">
        <f t="array" ref="BV2">SUM(IF(ISBLANK(BV$23:BV$238),0,IF(BV$23:BV$238="susp",0,1))*IF(ISBLANK($T$1),1,IF($I$23:$I$238=$T$1,1,0)))</f>
        <v>1</v>
      </c>
      <c r="BW2" s="874">
        <f t="array" ref="BW2">SUM(IF(ISBLANK(BW$23:BW$238),0,IF(BW$23:BW$238="susp",0,1))*IF(ISBLANK($T$1),1,IF($I$23:$I$238=$T$1,1,0)))</f>
        <v>1</v>
      </c>
      <c r="BX2" s="874">
        <f t="array" ref="BX2">SUM(IF(ISBLANK(BX$23:BX$238),0,IF(BX$23:BX$238="susp",0,1))*IF(ISBLANK($T$1),1,IF($I$23:$I$238=$T$1,1,0)))</f>
        <v>1</v>
      </c>
      <c r="BY2" s="874">
        <f t="array" ref="BY2">SUM(IF(ISBLANK(BY$23:BY$238),0,IF(BY$23:BY$238="susp",0,1))*IF(ISBLANK($T$1),1,IF($I$23:$I$238=$T$1,1,0)))</f>
        <v>0</v>
      </c>
      <c r="BZ2" s="874">
        <f t="array" ref="BZ2">SUM(IF(ISBLANK(BZ$23:BZ$238),0,IF(BZ$23:BZ$238="susp",0,1))*IF(ISBLANK($T$1),1,IF($I$23:$I$238=$T$1,1,0)))</f>
        <v>0</v>
      </c>
      <c r="CA2" s="874">
        <f t="array" ref="CA2">SUM(IF(ISBLANK(CA$23:CA$238),0,IF(CA$23:CA$238="susp",0,1))*IF(ISBLANK($T$1),1,IF($I$23:$I$238=$T$1,1,0)))</f>
        <v>0</v>
      </c>
      <c r="CB2" s="874">
        <f t="array" ref="CB2">SUM(IF(ISBLANK(CB$23:CB$238),0,IF(CB$23:CB$238="susp",0,1))*IF(ISBLANK($T$1),1,IF($I$23:$I$238=$T$1,1,0)))</f>
        <v>0</v>
      </c>
      <c r="CC2" s="874">
        <f t="array" ref="CC2">SUM(IF(ISBLANK(CC$23:CC$238),0,IF(CC$23:CC$238="susp",0,1))*IF(ISBLANK($T$1),1,IF($I$23:$I$238=$T$1,1,0)))</f>
        <v>0</v>
      </c>
      <c r="CD2" s="874">
        <f t="array" ref="CD2">SUM(IF(ISBLANK(CD$23:CD$238),0,IF(CD$23:CD$238="susp",0,1))*IF(ISBLANK($T$1),1,IF($I$23:$I$238=$T$1,1,0)))</f>
        <v>0</v>
      </c>
      <c r="CE2" s="874">
        <f t="array" ref="CE2">SUM(IF(ISBLANK(CE$23:CE$238),0,IF(CE$23:CE$238="susp",0,1))*IF(ISBLANK($T$1),1,IF($I$23:$I$238=$T$1,1,0)))</f>
        <v>0</v>
      </c>
      <c r="CF2" s="874">
        <f t="array" ref="CF2">SUM(IF(ISBLANK(CF$23:CF$238),0,IF(CF$23:CF$238="susp",0,1))*IF(ISBLANK($T$1),1,IF($I$23:$I$238=$T$1,1,0)))</f>
        <v>0</v>
      </c>
      <c r="CG2" s="874">
        <f t="array" ref="CG2">SUM(IF(ISBLANK(CG$23:CG$238),0,IF(CG$23:CG$238="susp",0,1))*IF(ISBLANK($T$1),1,IF($I$23:$I$238=$T$1,1,0)))</f>
        <v>16</v>
      </c>
      <c r="CH2" s="874">
        <f t="array" ref="CH2">SUM(IF(ISBLANK(CH$23:CH$238),0,IF(CH$23:CH$238="susp",0,1))*IF(ISBLANK($T$1),1,IF($I$23:$I$238=$T$1,1,0)))</f>
        <v>16</v>
      </c>
      <c r="CI2" s="874">
        <f t="array" ref="CI2">SUM(IF(ISBLANK(CI$23:CI$238),0,IF(CI$23:CI$238="susp",0,1))*IF(ISBLANK($T$1),1,IF($I$23:$I$238=$T$1,1,0)))</f>
        <v>15</v>
      </c>
    </row>
    <row r="3" spans="1:87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SUM(IF(L$23:L$238="W",1,0)*IF(ISBLANK($T$1),1,IF($I$23:$I$238=$T$1,1,0)))</f>
        <v>18</v>
      </c>
      <c r="AG3" s="874">
        <f t="array" ref="AG3">SUM(IF(ISTEXT(AG$23:AG$238),1,0)*IF(($L$23:$L$238)="W",1,0)*IF(ISBLANK($T$1),1,IF($I$23:$I$238=$T$1,1,0)))</f>
        <v>15</v>
      </c>
      <c r="AH3" s="874">
        <f t="array" ref="AH3">SUM(IF(ISTEXT(AH$23:AH$238),1,0)*IF(($L$23:$L$238)="W",1,0)*IF(ISBLANK($T$1),1,IF($I$23:$I$238=$T$1,1,0)))</f>
        <v>18</v>
      </c>
      <c r="AI3" s="874">
        <f t="array" ref="AI3">SUM(IF(ISTEXT(AI$23:AI$238),1,0)*IF(($L$23:$L$238)="W",1,0)*IF(ISBLANK($T$1),1,IF($I$23:$I$238=$T$1,1,0)))</f>
        <v>18</v>
      </c>
      <c r="AK3" s="874">
        <f t="array" ref="AK3">SUM(IF(ISTEXT(AK$23:AK$238),1,0)*IF(($L$23:$L$238)="W",1,0)*IF(ISBLANK($T$1),1,IF($I$23:$I$238=$T$1,1,0)))</f>
        <v>18</v>
      </c>
      <c r="AL3" s="874">
        <f t="array" ref="AL3">SUM(IF(ISTEXT(AL$23:AL$238),1,0)*IF(($L$23:$L$238)="W",1,0)*IF(ISBLANK($T$1),1,IF($I$23:$I$238=$T$1,1,0)))</f>
        <v>18</v>
      </c>
      <c r="AM3" s="874">
        <f t="array" ref="AM3">SUM(IF(ISTEXT(AM$23:AM$238),1,0)*IF(($L$23:$L$238)="W",1,0)*IF(ISBLANK($T$1),1,IF($I$23:$I$238=$T$1,1,0)))</f>
        <v>18</v>
      </c>
      <c r="AO3" s="874">
        <f t="array" ref="AO3">SUM(IF(ISTEXT(AO$23:AO$238),1,0)*IF(($L$23:$L$238)="W",1,0)*IF(ISBLANK($T$1),1,IF($I$23:$I$238=$T$1,1,0)))</f>
        <v>18</v>
      </c>
      <c r="AP3" s="874">
        <f t="array" ref="AP3">SUM(IF(ISTEXT(AP$23:AP$238),1,0)*IF(($L$23:$L$238)="W",1,0)*IF(ISBLANK($T$1),1,IF($I$23:$I$238=$T$1,1,0)))</f>
        <v>18</v>
      </c>
      <c r="AQ3" s="874" t="e">
        <f t="array" ref="AQ3">SUM(IF(ISTEXT(AQ$30:AQ$238),1,0)*IF(($L$23:$L$238)="W",1,0)*IF(ISBLANK($T$1),1,IF($I$23:$I$238=$T$1,1,0)))</f>
        <v>#N/A</v>
      </c>
      <c r="AR3" s="874">
        <f t="array" ref="AR3">SUM(IF(ISTEXT(AR$23:AR$238),1,0)*IF(($L$23:$L$238)="W",1,0)*IF(ISBLANK($T$1),1,IF($I$23:$I$238=$T$1,1,0)))</f>
        <v>18</v>
      </c>
      <c r="AS3" s="874">
        <f t="array" ref="AS3">SUM(IF(ISTEXT(AS$23:AS$238),1,0)*IF(($L$23:$L$238)="W",1,0)*IF(ISBLANK($T$1),1,IF($I$23:$I$238=$T$1,1,0)))</f>
        <v>18</v>
      </c>
      <c r="AV3" s="874">
        <f t="array" ref="AV3">SUM(IF(ISTEXT(AV$23:AV$238),1,0)*IF(($L$23:$L$238)="W",1,0)*IF(ISBLANK($T$1),1,IF($I$23:$I$238=$T$1,1,0)))</f>
        <v>18</v>
      </c>
      <c r="AW3" s="874">
        <f t="array" ref="AW3">SUM(IF(ISTEXT(AW$23:AW$238),1,0)*IF(($L$23:$L$238)="W",1,0)*IF(ISBLANK($T$1),1,IF($I$23:$I$238=$T$1,1,0)))</f>
        <v>18</v>
      </c>
      <c r="AY3" s="874" t="e">
        <f t="array" ref="AY3">SUM(IF(ISTEXT(AY$30:AY$238),1,0)*IF(($L$23:$L$238)="W",1,0)*IF(ISBLANK($T$1),1,IF($I$23:$I$238=$T$1,1,0)))</f>
        <v>#N/A</v>
      </c>
      <c r="AZ3" s="874" t="e">
        <f t="array" ref="AZ3">SUM(IF(ISTEXT(AZ$30:AZ$238),1,0)*IF(($L$23:$L$238)="W",1,0)*IF(ISBLANK($T$1),1,IF($I$23:$I$238=$T$1,1,0)))</f>
        <v>#N/A</v>
      </c>
      <c r="BB3" s="874">
        <f t="array" ref="BB3">SUM(IF(ISTEXT(BB$23:BB$238),1,0)*IF(($L$23:$L$238)="W",1,0)*IF(ISBLANK($T$1),1,IF($I$23:$I$238=$T$1,1,0)))</f>
        <v>18</v>
      </c>
      <c r="BJ3" s="874">
        <f t="array" ref="BJ3">SUM(IF(ISTEXT(BJ$23:BJ$238),1,0)*IF(($L$23:$L$238)="W",1,0)*IF(ISBLANK($T$1),1,IF($I$23:$I$238=$T$1,1,0)))</f>
        <v>17</v>
      </c>
      <c r="BK3" s="874">
        <f t="array" ref="BK3">SUM(IF(ISTEXT(BK$23:BK$238),1,0)*IF(($L$23:$L$238)="W",1,0)*IF(ISBLANK($T$1),1,IF($I$23:$I$238=$T$1,1,0)))</f>
        <v>17</v>
      </c>
      <c r="BL3" s="874">
        <f t="array" ref="BL3">SUM(IF(ISTEXT(BL$23:BL$238),1,0)*IF(($L$23:$L$238)="W",1,0)*IF(ISBLANK($T$1),1,IF($I$23:$I$238=$T$1,1,0)))</f>
        <v>12</v>
      </c>
      <c r="BN3" s="874" t="e">
        <f t="array" ref="BN3">SUM(IF(ISTEXT(BN$30:BN$238),1,0)*IF(($L$23:$L$238)="W",1,0)*IF(ISBLANK($T$1),1,IF($I$23:$I$238=$T$1,1,0)))</f>
        <v>#N/A</v>
      </c>
      <c r="BO3" s="874">
        <f t="array" ref="BO3">SUM(IF(ISTEXT(BO$23:BO$238),1,0)*IF(($L$23:$L$238)="W",1,0)*IF(ISBLANK($T$1),1,IF($I$23:$I$238=$T$1,1,0)))</f>
        <v>0</v>
      </c>
      <c r="BQ3" s="874" t="e">
        <f t="array" ref="BQ3">SUM(IF(ISTEXT(BQ$41:BQ$238),1,0)*IF(($L$23:$L$238)="W",1,0)*IF(ISBLANK($T$1),1,IF($I$23:$I$238=$T$1,1,0)))</f>
        <v>#N/A</v>
      </c>
      <c r="BV3" s="874">
        <f t="array" ref="BV3">SUM(IF(ISTEXT(BV$23:BV$238),1,0)*IF(($L$23:$L$238)="W",1,0)*IF(ISBLANK($T$1),1,IF($I$23:$I$238=$T$1,1,0)))</f>
        <v>0</v>
      </c>
      <c r="BW3" s="874">
        <f t="array" ref="BW3">SUM(IF(ISTEXT(BW$23:BW$238),1,0)*IF(($L$23:$L$238)="W",1,0)*IF(ISBLANK($T$1),1,IF($I$23:$I$238=$T$1,1,0)))</f>
        <v>0</v>
      </c>
      <c r="BX3" s="874">
        <f t="array" ref="BX3">SUM(IF(ISTEXT(BX$23:BX$238),1,0)*IF(($L$23:$L$238)="W",1,0)*IF(ISBLANK($T$1),1,IF($I$23:$I$238=$T$1,1,0)))</f>
        <v>0</v>
      </c>
      <c r="BY3" s="874">
        <f t="array" ref="BY3">SUM(IF(ISTEXT(BY$23:BY$238),1,0)*IF(($L$23:$L$238)="W",1,0)*IF(ISBLANK($T$1),1,IF($I$23:$I$238=$T$1,1,0)))</f>
        <v>0</v>
      </c>
      <c r="BZ3" s="874">
        <f t="array" ref="BZ3">SUM(IF(ISTEXT(BZ$23:BZ$238),1,0)*IF(($L$23:$L$238)="W",1,0)*IF(ISBLANK($T$1),1,IF($I$23:$I$238=$T$1,1,0)))</f>
        <v>0</v>
      </c>
      <c r="CA3" s="874">
        <f t="array" ref="CA3">SUM(IF(ISTEXT(CA$23:CA$238),1,0)*IF(($L$23:$L$238)="W",1,0)*IF(ISBLANK($T$1),1,IF($I$23:$I$238=$T$1,1,0)))</f>
        <v>0</v>
      </c>
      <c r="CB3" s="874">
        <f t="array" ref="CB3">SUM(IF(ISTEXT(CB$23:CB$238),1,0)*IF(($L$23:$L$238)="W",1,0)*IF(ISBLANK($T$1),1,IF($I$23:$I$238=$T$1,1,0)))</f>
        <v>0</v>
      </c>
      <c r="CC3" s="874">
        <f t="array" ref="CC3">SUM(IF(ISTEXT(CC$23:CC$238),1,0)*IF(($L$23:$L$238)="W",1,0)*IF(ISBLANK($T$1),1,IF($I$23:$I$238=$T$1,1,0)))</f>
        <v>0</v>
      </c>
      <c r="CD3" s="874">
        <f t="array" ref="CD3">SUM(IF(ISTEXT(CD$23:CD$238),1,0)*IF(($L$23:$L$238)="W",1,0)*IF(ISBLANK($T$1),1,IF($I$23:$I$238=$T$1,1,0)))</f>
        <v>0</v>
      </c>
      <c r="CE3" s="874">
        <f t="array" ref="CE3">SUM(IF(ISTEXT(CE$23:CE$238),1,0)*IF(($L$23:$L$238)="W",1,0)*IF(ISBLANK($T$1),1,IF($I$23:$I$238=$T$1,1,0)))</f>
        <v>0</v>
      </c>
      <c r="CF3" s="874">
        <f t="array" ref="CF3">SUM(IF(ISTEXT(CF$23:CF$238),1,0)*IF(($L$23:$L$238)="W",1,0)*IF(ISBLANK($T$1),1,IF($I$23:$I$238=$T$1,1,0)))</f>
        <v>0</v>
      </c>
      <c r="CG3" s="874">
        <f t="array" ref="CG3">SUM(IF(ISTEXT(CG$23:CG$238),1,0)*IF(($L$23:$L$238)="W",1,0)*IF(ISBLANK($T$1),1,IF($I$23:$I$238=$T$1,1,0)))</f>
        <v>9</v>
      </c>
      <c r="CH3" s="874">
        <f t="array" ref="CH3">SUM(IF(ISTEXT(CH$23:CH$238),1,0)*IF(($L$23:$L$238)="W",1,0)*IF(ISBLANK($T$1),1,IF($I$23:$I$238=$T$1,1,0)))</f>
        <v>9</v>
      </c>
      <c r="CI3" s="874">
        <f t="array" ref="CI3">SUM(IF(ISTEXT(CI$23:CI$238),1,0)*IF(($L$23:$L$238)="W",1,0)*IF(ISBLANK($T$1),1,IF($I$23:$I$238=$T$1,1,0)))</f>
        <v>8</v>
      </c>
    </row>
    <row r="4" spans="1:87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SUM(IF(L$23:L$238="D",1,0)*IF(ISBLANK($T$1),1,IF($I$23:$I$238=$T$1,1,0)))</f>
        <v>13</v>
      </c>
      <c r="AG4" s="874">
        <f t="array" ref="AG4">SUM(IF(ISTEXT(AG$23:AG$238),1,0)*IF(($L$23:$L$238)="D",1,0)*IF(ISBLANK($T$1),1,IF($I$23:$I$238=$T$1,1,0)))</f>
        <v>9</v>
      </c>
      <c r="AH4" s="874">
        <f t="array" ref="AH4">SUM(IF(ISTEXT(AH$23:AH$238),1,0)*IF(($L$23:$L$238)="D",1,0)*IF(ISBLANK($T$1),1,IF($I$23:$I$238=$T$1,1,0)))</f>
        <v>13</v>
      </c>
      <c r="AI4" s="874">
        <f t="array" ref="AI4">SUM(IF(ISTEXT(AI$23:AI$238),1,0)*IF(($L$23:$L$238)="D",1,0)*IF(ISBLANK($T$1),1,IF($I$23:$I$238=$T$1,1,0)))</f>
        <v>13</v>
      </c>
      <c r="AK4" s="874">
        <f t="array" ref="AK4">SUM(IF(ISTEXT(AK$23:AK$238),1,0)*IF(($L$23:$L$238)="D",1,0)*IF(ISBLANK($T$1),1,IF($I$23:$I$238=$T$1,1,0)))</f>
        <v>13</v>
      </c>
      <c r="AL4" s="874">
        <f t="array" ref="AL4">SUM(IF(ISTEXT(AL$23:AL$238),1,0)*IF(($L$23:$L$238)="D",1,0)*IF(ISBLANK($T$1),1,IF($I$23:$I$238=$T$1,1,0)))</f>
        <v>13</v>
      </c>
      <c r="AM4" s="874">
        <f t="array" ref="AM4">SUM(IF(ISTEXT(AM$23:AM$238),1,0)*IF(($L$23:$L$238)="D",1,0)*IF(ISBLANK($T$1),1,IF($I$23:$I$238=$T$1,1,0)))</f>
        <v>13</v>
      </c>
      <c r="AO4" s="874">
        <f t="array" ref="AO4">SUM(IF(ISTEXT(AO$23:AO$238),1,0)*IF(($L$23:$L$238)="D",1,0)*IF(ISBLANK($T$1),1,IF($I$23:$I$238=$T$1,1,0)))</f>
        <v>13</v>
      </c>
      <c r="AP4" s="874">
        <f t="array" ref="AP4">SUM(IF(ISTEXT(AP$23:AP$238),1,0)*IF(($L$23:$L$238)="D",1,0)*IF(ISBLANK($T$1),1,IF($I$23:$I$238=$T$1,1,0)))</f>
        <v>13</v>
      </c>
      <c r="AQ4" s="874" t="e">
        <f t="array" ref="AQ4">SUM(IF(ISTEXT(AQ$30:AQ$238),1,0)*IF(($L$23:$L$238)="D",1,0)*IF(ISBLANK($T$1),1,IF($I$23:$I$238=$T$1,1,0)))</f>
        <v>#N/A</v>
      </c>
      <c r="AR4" s="874">
        <f t="array" ref="AR4">SUM(IF(ISTEXT(AR$23:AR$238),1,0)*IF(($L$23:$L$238)="D",1,0)*IF(ISBLANK($T$1),1,IF($I$23:$I$238=$T$1,1,0)))</f>
        <v>13</v>
      </c>
      <c r="AS4" s="874">
        <f t="array" ref="AS4">SUM(IF(ISTEXT(AS$23:AS$238),1,0)*IF(($L$23:$L$238)="D",1,0)*IF(ISBLANK($T$1),1,IF($I$23:$I$238=$T$1,1,0)))</f>
        <v>13</v>
      </c>
      <c r="AV4" s="874">
        <f t="array" ref="AV4">SUM(IF(ISTEXT(AV$23:AV$238),1,0)*IF(($L$23:$L$238)="D",1,0)*IF(ISBLANK($T$1),1,IF($I$23:$I$238=$T$1,1,0)))</f>
        <v>13</v>
      </c>
      <c r="AW4" s="874">
        <f t="array" ref="AW4">SUM(IF(ISTEXT(AW$23:AW$238),1,0)*IF(($L$23:$L$238)="D",1,0)*IF(ISBLANK($T$1),1,IF($I$23:$I$238=$T$1,1,0)))</f>
        <v>13</v>
      </c>
      <c r="AY4" s="874" t="e">
        <f t="array" ref="AY4">SUM(IF(ISTEXT(AY$30:AY$238),1,0)*IF(($L$23:$L$238)="D",1,0)*IF(ISBLANK($T$1),1,IF($I$23:$I$238=$T$1,1,0)))</f>
        <v>#N/A</v>
      </c>
      <c r="AZ4" s="874" t="e">
        <f t="array" ref="AZ4">SUM(IF(ISTEXT(AZ$30:AZ$238),1,0)*IF(($L$23:$L$238)="D",1,0)*IF(ISBLANK($T$1),1,IF($I$23:$I$238=$T$1,1,0)))</f>
        <v>#N/A</v>
      </c>
      <c r="BB4" s="874">
        <f t="array" ref="BB4">SUM(IF(ISTEXT(BB$23:BB$238),1,0)*IF(($L$23:$L$238)="D",1,0)*IF(ISBLANK($T$1),1,IF($I$23:$I$238=$T$1,1,0)))</f>
        <v>13</v>
      </c>
      <c r="BJ4" s="874">
        <f t="array" ref="BJ4">SUM(IF(ISTEXT(BJ$23:BJ$238),1,0)*IF(($L$23:$L$238)="D",1,0)*IF(ISBLANK($T$1),1,IF($I$23:$I$238=$T$1,1,0)))</f>
        <v>13</v>
      </c>
      <c r="BK4" s="874">
        <f t="array" ref="BK4">SUM(IF(ISTEXT(BK$23:BK$238),1,0)*IF(($L$23:$L$238)="D",1,0)*IF(ISBLANK($T$1),1,IF($I$23:$I$238=$T$1,1,0)))</f>
        <v>12</v>
      </c>
      <c r="BL4" s="874">
        <f t="array" ref="BL4">SUM(IF(ISTEXT(BL$23:BL$238),1,0)*IF(($L$23:$L$238)="D",1,0)*IF(ISBLANK($T$1),1,IF($I$23:$I$238=$T$1,1,0)))</f>
        <v>9</v>
      </c>
      <c r="BN4" s="874" t="e">
        <f t="array" ref="BN4">SUM(IF(ISTEXT(BN$30:BN$238),1,0)*IF(($L$23:$L$238)="D",1,0)*IF(ISBLANK($T$1),1,IF($I$23:$I$238=$T$1,1,0)))</f>
        <v>#N/A</v>
      </c>
      <c r="BO4" s="874">
        <f t="array" ref="BO4">SUM(IF(ISTEXT(BO$23:BO$238),1,0)*IF(($L$23:$L$238)="D",1,0)*IF(ISBLANK($T$1),1,IF($I$23:$I$238=$T$1,1,0)))</f>
        <v>0</v>
      </c>
      <c r="BQ4" s="874" t="e">
        <f t="array" ref="BQ4">SUM(IF(ISTEXT(BQ$41:BQ$238),1,0)*IF(($L$23:$L$238)="D",1,0)*IF(ISBLANK($T$1),1,IF($I$23:$I$238=$T$1,1,0)))</f>
        <v>#N/A</v>
      </c>
      <c r="BV4" s="874">
        <f t="array" ref="BV4">SUM(IF(ISTEXT(BV$23:BV$238),1,0)*IF(($L$23:$L$238)="D",1,0)*IF(ISBLANK($T$1),1,IF($I$23:$I$238=$T$1,1,0)))</f>
        <v>0</v>
      </c>
      <c r="BW4" s="874">
        <f t="array" ref="BW4">SUM(IF(ISTEXT(BW$23:BW$238),1,0)*IF(($L$23:$L$238)="D",1,0)*IF(ISBLANK($T$1),1,IF($I$23:$I$238=$T$1,1,0)))</f>
        <v>0</v>
      </c>
      <c r="BX4" s="874">
        <f t="array" ref="BX4">SUM(IF(ISTEXT(BX$23:BX$238),1,0)*IF(($L$23:$L$238)="D",1,0)*IF(ISBLANK($T$1),1,IF($I$23:$I$238=$T$1,1,0)))</f>
        <v>0</v>
      </c>
      <c r="BY4" s="874">
        <f t="array" ref="BY4">SUM(IF(ISTEXT(BY$23:BY$238),1,0)*IF(($L$23:$L$238)="D",1,0)*IF(ISBLANK($T$1),1,IF($I$23:$I$238=$T$1,1,0)))</f>
        <v>0</v>
      </c>
      <c r="BZ4" s="874">
        <f t="array" ref="BZ4">SUM(IF(ISTEXT(BZ$23:BZ$238),1,0)*IF(($L$23:$L$238)="D",1,0)*IF(ISBLANK($T$1),1,IF($I$23:$I$238=$T$1,1,0)))</f>
        <v>0</v>
      </c>
      <c r="CA4" s="874">
        <f t="array" ref="CA4">SUM(IF(ISTEXT(CA$23:CA$238),1,0)*IF(($L$23:$L$238)="D",1,0)*IF(ISBLANK($T$1),1,IF($I$23:$I$238=$T$1,1,0)))</f>
        <v>0</v>
      </c>
      <c r="CB4" s="874">
        <f t="array" ref="CB4">SUM(IF(ISTEXT(CB$23:CB$238),1,0)*IF(($L$23:$L$238)="D",1,0)*IF(ISBLANK($T$1),1,IF($I$23:$I$238=$T$1,1,0)))</f>
        <v>0</v>
      </c>
      <c r="CC4" s="874">
        <f t="array" ref="CC4">SUM(IF(ISTEXT(CC$23:CC$238),1,0)*IF(($L$23:$L$238)="D",1,0)*IF(ISBLANK($T$1),1,IF($I$23:$I$238=$T$1,1,0)))</f>
        <v>0</v>
      </c>
      <c r="CD4" s="874">
        <f t="array" ref="CD4">SUM(IF(ISTEXT(CD$23:CD$238),1,0)*IF(($L$23:$L$238)="D",1,0)*IF(ISBLANK($T$1),1,IF($I$23:$I$238=$T$1,1,0)))</f>
        <v>0</v>
      </c>
      <c r="CE4" s="874">
        <f t="array" ref="CE4">SUM(IF(ISTEXT(CE$23:CE$238),1,0)*IF(($L$23:$L$238)="D",1,0)*IF(ISBLANK($T$1),1,IF($I$23:$I$238=$T$1,1,0)))</f>
        <v>0</v>
      </c>
      <c r="CF4" s="874">
        <f t="array" ref="CF4">SUM(IF(ISTEXT(CF$23:CF$238),1,0)*IF(($L$23:$L$238)="D",1,0)*IF(ISBLANK($T$1),1,IF($I$23:$I$238=$T$1,1,0)))</f>
        <v>0</v>
      </c>
      <c r="CG4" s="874">
        <f t="array" ref="CG4">SUM(IF(ISTEXT(CG$23:CG$238),1,0)*IF(($L$23:$L$238)="D",1,0)*IF(ISBLANK($T$1),1,IF($I$23:$I$238=$T$1,1,0)))</f>
        <v>4</v>
      </c>
      <c r="CH4" s="874">
        <f t="array" ref="CH4">SUM(IF(ISTEXT(CH$23:CH$238),1,0)*IF(($L$23:$L$238)="D",1,0)*IF(ISBLANK($T$1),1,IF($I$23:$I$238=$T$1,1,0)))</f>
        <v>4</v>
      </c>
      <c r="CI4" s="874">
        <f t="array" ref="CI4">SUM(IF(ISTEXT(CI$23:CI$238),1,0)*IF(($L$23:$L$238)="D",1,0)*IF(ISBLANK($T$1),1,IF($I$23:$I$238=$T$1,1,0)))</f>
        <v>4</v>
      </c>
    </row>
    <row r="5" spans="1:87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SUM(IF(L$23:L$238="L",1,0)*IF(ISBLANK($T$1),1,IF($I$23:$I$238=$T$1,1,0)))</f>
        <v>12</v>
      </c>
      <c r="AG5" s="874">
        <f t="array" ref="AG5">SUM(IF(ISTEXT(AG$23:AG$238),1,0)*IF(($L$23:$L$238)="L",1,0)*IF(ISBLANK($T$1),1,IF($I$23:$I$238=$T$1,1,0)))</f>
        <v>11</v>
      </c>
      <c r="AH5" s="874">
        <f t="array" ref="AH5">SUM(IF(ISTEXT(AH$23:AH$238),1,0)*IF(($L$23:$L$238)="L",1,0)*IF(ISBLANK($T$1),1,IF($I$23:$I$238=$T$1,1,0)))</f>
        <v>12</v>
      </c>
      <c r="AI5" s="874">
        <f t="array" ref="AI5">SUM(IF(ISTEXT(AI$23:AI$238),1,0)*IF(($L$23:$L$238)="L",1,0)*IF(ISBLANK($T$1),1,IF($I$23:$I$238=$T$1,1,0)))</f>
        <v>11</v>
      </c>
      <c r="AK5" s="874">
        <f t="array" ref="AK5">SUM(IF(ISTEXT(AK$23:AK$238),1,0)*IF(($L$23:$L$238)="L",1,0)*IF(ISBLANK($T$1),1,IF($I$23:$I$238=$T$1,1,0)))</f>
        <v>12</v>
      </c>
      <c r="AL5" s="874">
        <f t="array" ref="AL5">SUM(IF(ISTEXT(AL$23:AL$238),1,0)*IF(($L$23:$L$238)="L",1,0)*IF(ISBLANK($T$1),1,IF($I$23:$I$238=$T$1,1,0)))</f>
        <v>12</v>
      </c>
      <c r="AM5" s="874">
        <f t="array" ref="AM5">SUM(IF(ISTEXT(AM$23:AM$238),1,0)*IF(($L$23:$L$238)="L",1,0)*IF(ISBLANK($T$1),1,IF($I$23:$I$238=$T$1,1,0)))</f>
        <v>12</v>
      </c>
      <c r="AO5" s="874">
        <f t="array" ref="AO5">SUM(IF(ISTEXT(AO$23:AO$238),1,0)*IF(($L$23:$L$238)="L",1,0)*IF(ISBLANK($T$1),1,IF($I$23:$I$238=$T$1,1,0)))</f>
        <v>12</v>
      </c>
      <c r="AP5" s="874">
        <f t="array" ref="AP5">SUM(IF(ISTEXT(AP$23:AP$238),1,0)*IF(($L$23:$L$238)="L",1,0)*IF(ISBLANK($T$1),1,IF($I$23:$I$238=$T$1,1,0)))</f>
        <v>11</v>
      </c>
      <c r="AQ5" s="874" t="e">
        <f t="array" ref="AQ5">SUM(IF(ISTEXT(AQ$30:AQ$238),1,0)*IF(($L$23:$L$238)="L",1,0)*IF(ISBLANK($T$1),1,IF($I$23:$I$238=$T$1,1,0)))</f>
        <v>#N/A</v>
      </c>
      <c r="AR5" s="874">
        <f t="array" ref="AR5">SUM(IF(ISTEXT(AR$23:AR$238),1,0)*IF(($L$23:$L$238)="L",1,0)*IF(ISBLANK($T$1),1,IF($I$23:$I$238=$T$1,1,0)))</f>
        <v>12</v>
      </c>
      <c r="AS5" s="874">
        <f t="array" ref="AS5">SUM(IF(ISTEXT(AS$23:AS$238),1,0)*IF(($L$23:$L$238)="L",1,0)*IF(ISBLANK($T$1),1,IF($I$23:$I$238=$T$1,1,0)))</f>
        <v>11</v>
      </c>
      <c r="AV5" s="874">
        <f t="array" ref="AV5">SUM(IF(ISTEXT(AV$23:AV$238),1,0)*IF(($L$23:$L$238)="L",1,0)*IF(ISBLANK($T$1),1,IF($I$23:$I$238=$T$1,1,0)))</f>
        <v>11</v>
      </c>
      <c r="AW5" s="874">
        <f t="array" ref="AW5">SUM(IF(ISTEXT(AW$23:AW$238),1,0)*IF(($L$23:$L$238)="L",1,0)*IF(ISBLANK($T$1),1,IF($I$23:$I$238=$T$1,1,0)))</f>
        <v>12</v>
      </c>
      <c r="AY5" s="874" t="e">
        <f t="array" ref="AY5">SUM(IF(ISTEXT(AY$30:AY$238),1,0)*IF(($L$23:$L$238)="L",1,0)*IF(ISBLANK($T$1),1,IF($I$23:$I$238=$T$1,1,0)))</f>
        <v>#N/A</v>
      </c>
      <c r="AZ5" s="874" t="e">
        <f t="array" ref="AZ5">SUM(IF(ISTEXT(AZ$30:AZ$238),1,0)*IF(($L$23:$L$238)="L",1,0)*IF(ISBLANK($T$1),1,IF($I$23:$I$238=$T$1,1,0)))</f>
        <v>#N/A</v>
      </c>
      <c r="BB5" s="874">
        <f t="array" ref="BB5">SUM(IF(ISTEXT(BB$23:BB$238),1,0)*IF(($L$23:$L$238)="L",1,0)*IF(ISBLANK($T$1),1,IF($I$23:$I$238=$T$1,1,0)))</f>
        <v>11</v>
      </c>
      <c r="BJ5" s="874">
        <f t="array" ref="BJ5">SUM(IF(ISTEXT(BJ$23:BJ$238),1,0)*IF(($L$23:$L$238)="L",1,0)*IF(ISBLANK($T$1),1,IF($I$23:$I$238=$T$1,1,0)))</f>
        <v>10</v>
      </c>
      <c r="BK5" s="874">
        <f t="array" ref="BK5">SUM(IF(ISTEXT(BK$23:BK$238),1,0)*IF(($L$23:$L$238)="L",1,0)*IF(ISBLANK($T$1),1,IF($I$23:$I$238=$T$1,1,0)))</f>
        <v>10</v>
      </c>
      <c r="BL5" s="874">
        <f t="array" ref="BL5">SUM(IF(ISTEXT(BL$23:BL$238),1,0)*IF(($L$23:$L$238)="L",1,0)*IF(ISBLANK($T$1),1,IF($I$23:$I$238=$T$1,1,0)))</f>
        <v>7</v>
      </c>
      <c r="BN5" s="874" t="e">
        <f t="array" ref="BN5">SUM(IF(ISTEXT(BN$30:BN$238),1,0)*IF(($L$23:$L$238)="L",1,0)*IF(ISBLANK($T$1),1,IF($I$23:$I$238=$T$1,1,0)))</f>
        <v>#N/A</v>
      </c>
      <c r="BO5" s="874">
        <f t="array" ref="BO5">SUM(IF(ISTEXT(BO$23:BO$238),1,0)*IF(($L$23:$L$238)="L",1,0)*IF(ISBLANK($T$1),1,IF($I$23:$I$238=$T$1,1,0)))</f>
        <v>2</v>
      </c>
      <c r="BQ5" s="874" t="e">
        <f t="array" ref="BQ5">SUM(IF(ISTEXT(BQ$41:BQ$238),1,0)*IF(($L$23:$L$238)="L",1,0)*IF(ISBLANK($T$1),1,IF($I$23:$I$238=$T$1,1,0)))</f>
        <v>#N/A</v>
      </c>
      <c r="BV5" s="874">
        <f t="array" ref="BV5">SUM(IF(ISTEXT(BV$23:BV$238),1,0)*IF(($L$23:$L$238)="L",1,0)*IF(ISBLANK($T$1),1,IF($I$23:$I$238=$T$1,1,0)))</f>
        <v>1</v>
      </c>
      <c r="BW5" s="874">
        <f t="array" ref="BW5">SUM(IF(ISTEXT(BW$23:BW$238),1,0)*IF(($L$23:$L$238)="L",1,0)*IF(ISBLANK($T$1),1,IF($I$23:$I$238=$T$1,1,0)))</f>
        <v>1</v>
      </c>
      <c r="BX5" s="874">
        <f t="array" ref="BX5">SUM(IF(ISTEXT(BX$23:BX$238),1,0)*IF(($L$23:$L$238)="L",1,0)*IF(ISBLANK($T$1),1,IF($I$23:$I$238=$T$1,1,0)))</f>
        <v>1</v>
      </c>
      <c r="BY5" s="874">
        <f t="array" ref="BY5">SUM(IF(ISTEXT(BY$23:BY$238),1,0)*IF(($L$23:$L$238)="L",1,0)*IF(ISBLANK($T$1),1,IF($I$23:$I$238=$T$1,1,0)))</f>
        <v>0</v>
      </c>
      <c r="BZ5" s="874">
        <f t="array" ref="BZ5">SUM(IF(ISTEXT(BZ$23:BZ$238),1,0)*IF(($L$23:$L$238)="L",1,0)*IF(ISBLANK($T$1),1,IF($I$23:$I$238=$T$1,1,0)))</f>
        <v>0</v>
      </c>
      <c r="CA5" s="874">
        <f t="array" ref="CA5">SUM(IF(ISTEXT(CA$23:CA$238),1,0)*IF(($L$23:$L$238)="L",1,0)*IF(ISBLANK($T$1),1,IF($I$23:$I$238=$T$1,1,0)))</f>
        <v>0</v>
      </c>
      <c r="CB5" s="874">
        <f t="array" ref="CB5">SUM(IF(ISTEXT(CB$23:CB$238),1,0)*IF(($L$23:$L$238)="L",1,0)*IF(ISBLANK($T$1),1,IF($I$23:$I$238=$T$1,1,0)))</f>
        <v>0</v>
      </c>
      <c r="CC5" s="874">
        <f t="array" ref="CC5">SUM(IF(ISTEXT(CC$23:CC$238),1,0)*IF(($L$23:$L$238)="L",1,0)*IF(ISBLANK($T$1),1,IF($I$23:$I$238=$T$1,1,0)))</f>
        <v>0</v>
      </c>
      <c r="CD5" s="874">
        <f t="array" ref="CD5">SUM(IF(ISTEXT(CD$23:CD$238),1,0)*IF(($L$23:$L$238)="L",1,0)*IF(ISBLANK($T$1),1,IF($I$23:$I$238=$T$1,1,0)))</f>
        <v>0</v>
      </c>
      <c r="CE5" s="874">
        <f t="array" ref="CE5">SUM(IF(ISTEXT(CE$23:CE$238),1,0)*IF(($L$23:$L$238)="L",1,0)*IF(ISBLANK($T$1),1,IF($I$23:$I$238=$T$1,1,0)))</f>
        <v>0</v>
      </c>
      <c r="CF5" s="874">
        <f t="array" ref="CF5">SUM(IF(ISTEXT(CF$23:CF$238),1,0)*IF(($L$23:$L$238)="L",1,0)*IF(ISBLANK($T$1),1,IF($I$23:$I$238=$T$1,1,0)))</f>
        <v>0</v>
      </c>
      <c r="CG5" s="874">
        <f t="array" ref="CG5">SUM(IF(ISTEXT(CG$23:CG$238),1,0)*IF(($L$23:$L$238)="L",1,0)*IF(ISBLANK($T$1),1,IF($I$23:$I$238=$T$1,1,0)))</f>
        <v>3</v>
      </c>
      <c r="CH5" s="874">
        <f t="array" ref="CH5">SUM(IF(ISTEXT(CH$23:CH$238),1,0)*IF(($L$23:$L$238)="L",1,0)*IF(ISBLANK($T$1),1,IF($I$23:$I$238=$T$1,1,0)))</f>
        <v>3</v>
      </c>
      <c r="CI5" s="874">
        <f t="array" ref="CI5">SUM(IF(ISTEXT(CI$23:CI$238),1,0)*IF(($L$23:$L$238)="L",1,0)*IF(ISBLANK($T$1),1,IF($I$23:$I$238=$T$1,1,0)))</f>
        <v>3</v>
      </c>
    </row>
    <row r="6" spans="1:87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67</v>
      </c>
      <c r="AG6" s="874">
        <f t="shared" ref="AG6:CI6" si="2">AG$3*3+AG$4</f>
        <v>54</v>
      </c>
      <c r="AH6" s="874">
        <f t="shared" si="2"/>
        <v>67</v>
      </c>
      <c r="AI6" s="874">
        <f t="shared" si="2"/>
        <v>67</v>
      </c>
      <c r="AK6" s="874">
        <f t="shared" si="2"/>
        <v>67</v>
      </c>
      <c r="AL6" s="874">
        <f>AL$3*3+AL$4</f>
        <v>67</v>
      </c>
      <c r="AM6" s="874">
        <f t="shared" si="2"/>
        <v>67</v>
      </c>
      <c r="AO6" s="874">
        <f>AO$3*3+AO$4</f>
        <v>67</v>
      </c>
      <c r="AP6" s="874">
        <f t="shared" si="2"/>
        <v>67</v>
      </c>
      <c r="AQ6" s="874" t="e">
        <f>AQ$3*3+AQ$4</f>
        <v>#N/A</v>
      </c>
      <c r="AR6" s="874">
        <f>AR$3*3+AR$4</f>
        <v>67</v>
      </c>
      <c r="AS6" s="874">
        <f>AS$3*3+AS$4</f>
        <v>67</v>
      </c>
      <c r="AV6" s="874">
        <f>AV$3*3+AV$4</f>
        <v>67</v>
      </c>
      <c r="AW6" s="874">
        <f>AW$3*3+AW$4</f>
        <v>67</v>
      </c>
      <c r="AY6" s="874" t="e">
        <f>AY$3*3+AY$4</f>
        <v>#N/A</v>
      </c>
      <c r="AZ6" s="874" t="e">
        <f>AZ$3*3+AZ$4</f>
        <v>#N/A</v>
      </c>
      <c r="BB6" s="874">
        <f>BB$3*3+BB$4</f>
        <v>67</v>
      </c>
      <c r="BJ6" s="874">
        <f>BJ$3*3+BJ$4</f>
        <v>64</v>
      </c>
      <c r="BK6" s="874">
        <f>BK$3*3+BK$4</f>
        <v>63</v>
      </c>
      <c r="BL6" s="874">
        <f>BL$3*3+BL$4</f>
        <v>45</v>
      </c>
      <c r="BN6" s="874" t="e">
        <f>BN$3*3+BN$4</f>
        <v>#N/A</v>
      </c>
      <c r="BO6" s="874">
        <f>BO$3*3+BO$4</f>
        <v>0</v>
      </c>
      <c r="BQ6" s="874" t="e">
        <f t="shared" si="2"/>
        <v>#N/A</v>
      </c>
      <c r="BV6" s="874">
        <f t="shared" ref="BV6:CB6" si="3">BV$3*3+BV$4</f>
        <v>0</v>
      </c>
      <c r="BW6" s="874">
        <f t="shared" si="3"/>
        <v>0</v>
      </c>
      <c r="BX6" s="874">
        <f t="shared" si="3"/>
        <v>0</v>
      </c>
      <c r="BY6" s="874">
        <f t="shared" si="3"/>
        <v>0</v>
      </c>
      <c r="BZ6" s="874">
        <f t="shared" si="3"/>
        <v>0</v>
      </c>
      <c r="CA6" s="874">
        <f t="shared" si="3"/>
        <v>0</v>
      </c>
      <c r="CB6" s="874">
        <f t="shared" si="3"/>
        <v>0</v>
      </c>
      <c r="CC6" s="874">
        <f t="shared" si="2"/>
        <v>0</v>
      </c>
      <c r="CD6" s="874">
        <f t="shared" si="2"/>
        <v>0</v>
      </c>
      <c r="CE6" s="874">
        <f t="shared" si="2"/>
        <v>0</v>
      </c>
      <c r="CF6" s="874">
        <f t="shared" si="2"/>
        <v>0</v>
      </c>
      <c r="CG6" s="874">
        <f t="shared" si="2"/>
        <v>31</v>
      </c>
      <c r="CH6" s="874">
        <f t="shared" si="2"/>
        <v>31</v>
      </c>
      <c r="CI6" s="874">
        <f t="shared" si="2"/>
        <v>28</v>
      </c>
    </row>
    <row r="7" spans="1:87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I7" si="4">AF6/AF2</f>
        <v>1.558139534883721</v>
      </c>
      <c r="AG7" s="874">
        <f t="shared" si="4"/>
        <v>1.5428571428571429</v>
      </c>
      <c r="AH7" s="874">
        <f t="shared" si="4"/>
        <v>1.558139534883721</v>
      </c>
      <c r="AI7" s="874">
        <f t="shared" si="4"/>
        <v>1.5952380952380953</v>
      </c>
      <c r="AK7" s="874">
        <f t="shared" si="4"/>
        <v>1.558139534883721</v>
      </c>
      <c r="AL7" s="874">
        <f>AL6/AL2</f>
        <v>1.558139534883721</v>
      </c>
      <c r="AM7" s="874">
        <f t="shared" si="4"/>
        <v>1.558139534883721</v>
      </c>
      <c r="AO7" s="874">
        <f>AO6/AO2</f>
        <v>1.558139534883721</v>
      </c>
      <c r="AP7" s="874">
        <f t="shared" ref="AP7" si="5">AP6/AP2</f>
        <v>1.5952380952380953</v>
      </c>
      <c r="AQ7" s="874" t="e">
        <f>AQ6/AQ2</f>
        <v>#N/A</v>
      </c>
      <c r="AR7" s="874">
        <f>AR6/AR2</f>
        <v>1.558139534883721</v>
      </c>
      <c r="AS7" s="874">
        <f>AS6/AS2</f>
        <v>1.5952380952380953</v>
      </c>
      <c r="AV7" s="874">
        <f>AV6/AV2</f>
        <v>1.5952380952380953</v>
      </c>
      <c r="AW7" s="874">
        <f>AW6/AW2</f>
        <v>1.558139534883721</v>
      </c>
      <c r="AY7" s="874" t="e">
        <f>AY6/AY2</f>
        <v>#N/A</v>
      </c>
      <c r="AZ7" s="874" t="e">
        <f>AZ6/AZ2</f>
        <v>#N/A</v>
      </c>
      <c r="BB7" s="874">
        <f>BB6/BB2</f>
        <v>1.5952380952380953</v>
      </c>
      <c r="BJ7" s="874">
        <f>BJ6/BJ2</f>
        <v>1.6</v>
      </c>
      <c r="BK7" s="874">
        <f>BK6/BK2</f>
        <v>1.6153846153846154</v>
      </c>
      <c r="BL7" s="874">
        <f>BL6/BL2</f>
        <v>1.6071428571428572</v>
      </c>
      <c r="BN7" s="874" t="e">
        <f>BN6/BN2</f>
        <v>#N/A</v>
      </c>
      <c r="BO7" s="874">
        <f>BO6/BO2</f>
        <v>0</v>
      </c>
      <c r="BQ7" s="874" t="e">
        <f t="shared" si="4"/>
        <v>#N/A</v>
      </c>
      <c r="BV7" s="874">
        <f t="shared" ref="BV7:CB7" si="6">BV6/BV2</f>
        <v>0</v>
      </c>
      <c r="BW7" s="874">
        <f t="shared" si="6"/>
        <v>0</v>
      </c>
      <c r="BX7" s="874">
        <f t="shared" si="6"/>
        <v>0</v>
      </c>
      <c r="BY7" s="874" t="e">
        <f t="shared" si="6"/>
        <v>#DIV/0!</v>
      </c>
      <c r="BZ7" s="874" t="e">
        <f t="shared" si="6"/>
        <v>#DIV/0!</v>
      </c>
      <c r="CA7" s="874" t="e">
        <f t="shared" si="6"/>
        <v>#DIV/0!</v>
      </c>
      <c r="CB7" s="874" t="e">
        <f t="shared" si="6"/>
        <v>#DIV/0!</v>
      </c>
      <c r="CC7" s="874" t="e">
        <f t="shared" si="4"/>
        <v>#DIV/0!</v>
      </c>
      <c r="CD7" s="874" t="e">
        <f t="shared" si="4"/>
        <v>#DIV/0!</v>
      </c>
      <c r="CE7" s="874" t="e">
        <f t="shared" si="4"/>
        <v>#DIV/0!</v>
      </c>
      <c r="CF7" s="874" t="e">
        <f t="shared" si="4"/>
        <v>#DIV/0!</v>
      </c>
      <c r="CG7" s="874">
        <f t="shared" si="4"/>
        <v>1.9375</v>
      </c>
      <c r="CH7" s="874">
        <f t="shared" si="4"/>
        <v>1.9375</v>
      </c>
      <c r="CI7" s="874">
        <f t="shared" si="4"/>
        <v>1.8666666666666667</v>
      </c>
    </row>
    <row r="8" spans="1:87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SUM(IF(($T$23:$T$238)="",0,$T$23:$T$238)*IF(ISBLANK($T$1),1,IF($I$23:$I$238=$T$1,1,0)))</f>
        <v>9.5200000000000014</v>
      </c>
      <c r="AG8" s="874">
        <f t="array" ref="AG8">SUM(IF(ISTEXT(AG$23:AG$238),1,0)*IF(($T$23:$T$238)="",0,$T$23:$T$238)*IF(ISBLANK($T$1),1,IF($I$23:$I$238=$T$1,1,0)))</f>
        <v>10.110000000000001</v>
      </c>
      <c r="AH8" s="874">
        <f t="array" ref="AH8">SUM(IF(ISTEXT(AH$23:AH$238),1,0)*IF(($T$23:$T$238)="",0,$T$23:$T$238)*IF(ISBLANK($T$1),1,IF($I$23:$I$238=$T$1,1,0)))</f>
        <v>9.5200000000000014</v>
      </c>
      <c r="AI8" s="874">
        <f t="array" ref="AI8">SUM(IF(ISTEXT(AI$23:AI$238),1,0)*IF(($T$23:$T$238)="",0,$T$23:$T$238)*IF(ISBLANK($T$1),1,IF($I$23:$I$238=$T$1,1,0)))</f>
        <v>10.020000000000005</v>
      </c>
      <c r="AK8" s="874">
        <f t="array" ref="AK8">SUM(IF(ISTEXT(AK$23:AK$238),1,0)*IF(($T$23:$T$238)="",0,$T$23:$T$238)*IF(ISBLANK($T$1),1,IF($I$23:$I$238=$T$1,1,0)))</f>
        <v>9.5200000000000014</v>
      </c>
      <c r="AL8" s="874">
        <f t="array" ref="AL8">SUM(IF(ISTEXT(AL$23:AL$238),1,0)*IF(($T$23:$T$238)="",0,$T$23:$T$238)*IF(ISBLANK($T$1),1,IF($I$23:$I$238=$T$1,1,0)))</f>
        <v>9.5200000000000014</v>
      </c>
      <c r="AM8" s="874">
        <f t="array" ref="AM8">SUM(IF(ISTEXT(AM$23:AM$238),1,0)*IF(($T$23:$T$238)="",0,$T$23:$T$238)*IF(ISBLANK($T$1),1,IF($I$23:$I$238=$T$1,1,0)))</f>
        <v>9.5200000000000014</v>
      </c>
      <c r="AO8" s="874">
        <f t="array" ref="AO8">SUM(IF(ISTEXT(AO$23:AO$238),1,0)*IF(($T$23:$T$238)="",0,$T$23:$T$238)*IF(ISBLANK($T$1),1,IF($I$23:$I$238=$T$1,1,0)))</f>
        <v>9.5200000000000014</v>
      </c>
      <c r="AP8" s="874">
        <f t="array" ref="AP8">SUM(IF(ISTEXT(AP$23:AP$238),1,0)*IF(($T$23:$T$238)="",0,$T$23:$T$238)*IF(ISBLANK($T$1),1,IF($I$23:$I$238=$T$1,1,0)))</f>
        <v>10.020000000000005</v>
      </c>
      <c r="AQ8" s="874" t="e">
        <f t="array" ref="AQ8">SUM(IF(ISTEXT(AQ$30:AQ$238),1,0)*IF(($T$23:$T$238)="",0,$T$23:$T$238)*IF(ISBLANK($T$1),1,IF($I$23:$I$238=$T$1,1,0)))</f>
        <v>#N/A</v>
      </c>
      <c r="AR8" s="874">
        <f t="array" ref="AR8">SUM(IF(ISTEXT(AR$23:AR$238),1,0)*IF(($T$23:$T$238)="",0,$T$23:$T$238)*IF(ISBLANK($T$1),1,IF($I$23:$I$238=$T$1,1,0)))</f>
        <v>9.5200000000000014</v>
      </c>
      <c r="AS8" s="874">
        <f t="array" ref="AS8">SUM(IF(ISTEXT(AS$23:AS$238),1,0)*IF(($T$23:$T$238)="",0,$T$23:$T$238)*IF(ISBLANK($T$1),1,IF($I$23:$I$238=$T$1,1,0)))</f>
        <v>10.020000000000005</v>
      </c>
      <c r="AV8" s="874">
        <f t="array" ref="AV8">SUM(IF(ISTEXT(AV$23:AV$238),1,0)*IF(($T$23:$T$238)="",0,$T$23:$T$238)*IF(ISBLANK($T$1),1,IF($I$23:$I$238=$T$1,1,0)))</f>
        <v>10.020000000000005</v>
      </c>
      <c r="AW8" s="874">
        <f t="array" ref="AW8">SUM(IF(ISTEXT(AW$23:AW$238),1,0)*IF(($T$23:$T$238)="",0,$T$23:$T$238)*IF(ISBLANK($T$1),1,IF($I$23:$I$238=$T$1,1,0)))</f>
        <v>9.5200000000000014</v>
      </c>
      <c r="AY8" s="874" t="e">
        <f t="array" ref="AY8">SUM(IF(ISTEXT(AY$30:AY$238),1,0)*IF(($T$23:$T$238)="",0,$T$23:$T$238)*IF(ISBLANK($T$1),1,IF($I$23:$I$238=$T$1,1,0)))</f>
        <v>#N/A</v>
      </c>
      <c r="AZ8" s="874" t="e">
        <f t="array" ref="AZ8">SUM(IF(ISTEXT(AZ$30:AZ$238),1,0)*IF(($T$23:$T$238)="",0,$T$23:$T$238)*IF(ISBLANK($T$1),1,IF($I$23:$I$238=$T$1,1,0)))</f>
        <v>#N/A</v>
      </c>
      <c r="BB8" s="874">
        <f t="array" ref="BB8">SUM(IF(ISTEXT(BB$23:BB$238),1,0)*IF(($T$23:$T$238)="",0,$T$23:$T$238)*IF(ISBLANK($T$1),1,IF($I$23:$I$238=$T$1,1,0)))</f>
        <v>10.020000000000005</v>
      </c>
      <c r="BJ8" s="874">
        <f t="array" ref="BJ8">SUM(IF(ISTEXT(BJ$23:BJ$238),1,0)*IF(($T$23:$T$238)="",0,$T$23:$T$238)*IF(ISBLANK($T$1),1,IF($I$23:$I$238=$T$1,1,0)))</f>
        <v>8.2900000000000009</v>
      </c>
      <c r="BK8" s="874">
        <f t="array" ref="BK8">SUM(IF(ISTEXT(BK$23:BK$238),1,0)*IF(($T$23:$T$238)="",0,$T$23:$T$238)*IF(ISBLANK($T$1),1,IF($I$23:$I$238=$T$1,1,0)))</f>
        <v>8.6</v>
      </c>
      <c r="BL8" s="874">
        <f t="array" ref="BL8">SUM(IF(ISTEXT(BL$23:BL$238),1,0)*IF(($T$23:$T$238)="",0,$T$23:$T$238)*IF(ISBLANK($T$1),1,IF($I$23:$I$238=$T$1,1,0)))</f>
        <v>9.9600000000000026</v>
      </c>
      <c r="BN8" s="874" t="e">
        <f t="array" ref="BN8">SUM(IF(ISTEXT(BN$30:BN$238),1,0)*IF(($T$23:$T$238)="",0,$T$23:$T$238)*IF(ISBLANK($T$1),1,IF($I$23:$I$238=$T$1,1,0)))</f>
        <v>#N/A</v>
      </c>
      <c r="BO8" s="874">
        <f t="array" ref="BO8">SUM(IF(ISTEXT(BO$23:BO$238),1,0)*IF(($T$23:$T$238)="",0,$T$23:$T$238)*IF(ISBLANK($T$1),1,IF($I$23:$I$238=$T$1,1,0)))</f>
        <v>-2.3199999999999998</v>
      </c>
      <c r="BQ8" s="874" t="e">
        <f t="array" ref="BQ8">SUM(IF(ISTEXT(BQ$41:BQ$238),1,0)*IF(($T$23:$T$238)="",0,$T$23:$T$238)*IF(ISBLANK($T$1),1,IF($I$23:$I$238=$T$1,1,0)))</f>
        <v>#N/A</v>
      </c>
      <c r="BV8" s="874">
        <f t="array" ref="BV8">SUM(IF(ISTEXT(BV$23:BV$238),1,0)*IF(($T$23:$T$238)="",0,$T$23:$T$238)*IF(ISBLANK($T$1),1,IF($I$23:$I$238=$T$1,1,0)))</f>
        <v>-0.43999999999999995</v>
      </c>
      <c r="BW8" s="874">
        <f t="array" ref="BW8">SUM(IF(ISTEXT(BW$23:BW$238),1,0)*IF(($T$23:$T$238)="",0,$T$23:$T$238)*IF(ISBLANK($T$1),1,IF($I$23:$I$238=$T$1,1,0)))</f>
        <v>-0.43999999999999995</v>
      </c>
      <c r="BX8" s="874">
        <f t="array" ref="BX8">SUM(IF(ISTEXT(BX$23:BX$238),1,0)*IF(($T$23:$T$238)="",0,$T$23:$T$238)*IF(ISBLANK($T$1),1,IF($I$23:$I$238=$T$1,1,0)))</f>
        <v>-0.43999999999999995</v>
      </c>
      <c r="BY8" s="874">
        <f t="array" ref="BY8">SUM(IF(ISTEXT(BY$23:BY$238),1,0)*IF(($T$23:$T$238)="",0,$T$23:$T$238)*IF(ISBLANK($T$1),1,IF($I$23:$I$238=$T$1,1,0)))</f>
        <v>0</v>
      </c>
      <c r="BZ8" s="874">
        <f t="array" ref="BZ8">SUM(IF(ISTEXT(BZ$23:BZ$238),1,0)*IF(($T$23:$T$238)="",0,$T$23:$T$238)*IF(ISBLANK($T$1),1,IF($I$23:$I$238=$T$1,1,0)))</f>
        <v>0</v>
      </c>
      <c r="CA8" s="874">
        <f t="array" ref="CA8">SUM(IF(ISTEXT(CA$23:CA$238),1,0)*IF(($T$23:$T$238)="",0,$T$23:$T$238)*IF(ISBLANK($T$1),1,IF($I$23:$I$238=$T$1,1,0)))</f>
        <v>0</v>
      </c>
      <c r="CB8" s="874">
        <f t="array" ref="CB8">SUM(IF(ISTEXT(CB$23:CB$238),1,0)*IF(($T$23:$T$238)="",0,$T$23:$T$238)*IF(ISBLANK($T$1),1,IF($I$23:$I$238=$T$1,1,0)))</f>
        <v>0</v>
      </c>
      <c r="CC8" s="874">
        <f t="array" ref="CC8">SUM(IF(ISTEXT(CC$23:CC$238),1,0)*IF(($T$23:$T$238)="",0,$T$23:$T$238)*IF(ISBLANK($T$1),1,IF($I$23:$I$238=$T$1,1,0)))</f>
        <v>0</v>
      </c>
      <c r="CD8" s="874">
        <f t="array" ref="CD8">SUM(IF(ISTEXT(CD$23:CD$238),1,0)*IF(($T$23:$T$238)="",0,$T$23:$T$238)*IF(ISBLANK($T$1),1,IF($I$23:$I$238=$T$1,1,0)))</f>
        <v>0</v>
      </c>
      <c r="CE8" s="874">
        <f t="array" ref="CE8">SUM(IF(ISTEXT(CE$23:CE$238),1,0)*IF(($T$23:$T$238)="",0,$T$23:$T$238)*IF(ISBLANK($T$1),1,IF($I$23:$I$238=$T$1,1,0)))</f>
        <v>0</v>
      </c>
      <c r="CF8" s="874">
        <f t="array" ref="CF8">SUM(IF(ISTEXT(CF$23:CF$238),1,0)*IF(($T$23:$T$238)="",0,$T$23:$T$238)*IF(ISBLANK($T$1),1,IF($I$23:$I$238=$T$1,1,0)))</f>
        <v>0</v>
      </c>
      <c r="CG8" s="874">
        <f t="array" ref="CG8">SUM(IF(ISTEXT(CG$23:CG$238),1,0)*IF(($T$23:$T$238)="",0,$T$23:$T$238)*IF(ISBLANK($T$1),1,IF($I$23:$I$238=$T$1,1,0)))</f>
        <v>0.63000000000000078</v>
      </c>
      <c r="CH8" s="874">
        <f t="array" ref="CH8">SUM(IF(ISTEXT(CH$23:CH$238),1,0)*IF(($T$23:$T$238)="",0,$T$23:$T$238)*IF(ISBLANK($T$1),1,IF($I$23:$I$238=$T$1,1,0)))</f>
        <v>0.63000000000000078</v>
      </c>
      <c r="CI8" s="874">
        <f t="array" ref="CI8">SUM(IF(ISTEXT(CI$23:CI$238),1,0)*IF(($T$23:$T$238)="",0,$T$23:$T$238)*IF(ISBLANK($T$1),1,IF($I$23:$I$238=$T$1,1,0)))</f>
        <v>0.24000000000000021</v>
      </c>
    </row>
    <row r="9" spans="1:87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I9" si="7">AF8/AF2</f>
        <v>0.22139534883720932</v>
      </c>
      <c r="AG9" s="874">
        <f t="shared" si="7"/>
        <v>0.28885714285714287</v>
      </c>
      <c r="AH9" s="874">
        <f t="shared" si="7"/>
        <v>0.22139534883720932</v>
      </c>
      <c r="AI9" s="874">
        <f t="shared" si="7"/>
        <v>0.23857142857142868</v>
      </c>
      <c r="AK9" s="874">
        <f t="shared" si="7"/>
        <v>0.22139534883720932</v>
      </c>
      <c r="AL9" s="874">
        <f>AL8/AL2</f>
        <v>0.22139534883720932</v>
      </c>
      <c r="AM9" s="874">
        <f t="shared" si="7"/>
        <v>0.22139534883720932</v>
      </c>
      <c r="AO9" s="874">
        <f>AO8/AO2</f>
        <v>0.22139534883720932</v>
      </c>
      <c r="AP9" s="874">
        <f t="shared" ref="AP9" si="8">AP8/AP2</f>
        <v>0.23857142857142868</v>
      </c>
      <c r="AQ9" s="874" t="e">
        <f>AQ8/AQ2</f>
        <v>#N/A</v>
      </c>
      <c r="AR9" s="874">
        <f>AR8/AR2</f>
        <v>0.22139534883720932</v>
      </c>
      <c r="AS9" s="874">
        <f>AS8/AS2</f>
        <v>0.23857142857142868</v>
      </c>
      <c r="AV9" s="874">
        <f>AV8/AV2</f>
        <v>0.23857142857142868</v>
      </c>
      <c r="AW9" s="874">
        <f>AW8/AW2</f>
        <v>0.22139534883720932</v>
      </c>
      <c r="AY9" s="874" t="e">
        <f>AY8/AY2</f>
        <v>#N/A</v>
      </c>
      <c r="AZ9" s="874" t="e">
        <f>AZ8/AZ2</f>
        <v>#N/A</v>
      </c>
      <c r="BB9" s="874">
        <f>BB8/BB2</f>
        <v>0.23857142857142868</v>
      </c>
      <c r="BJ9" s="874">
        <f>BJ8/BJ2</f>
        <v>0.20725000000000002</v>
      </c>
      <c r="BK9" s="874">
        <f>BK8/BK2</f>
        <v>0.22051282051282051</v>
      </c>
      <c r="BL9" s="874">
        <f>BL8/BL2</f>
        <v>0.35571428571428582</v>
      </c>
      <c r="BN9" s="874" t="e">
        <f>BN8/BN2</f>
        <v>#N/A</v>
      </c>
      <c r="BO9" s="874">
        <f>BO8/BO2</f>
        <v>-1.1599999999999999</v>
      </c>
      <c r="BQ9" s="874" t="e">
        <f t="shared" si="7"/>
        <v>#N/A</v>
      </c>
      <c r="BV9" s="874">
        <f t="shared" ref="BV9:CB9" si="9">BV8/BV2</f>
        <v>-0.43999999999999995</v>
      </c>
      <c r="BW9" s="874">
        <f t="shared" si="9"/>
        <v>-0.43999999999999995</v>
      </c>
      <c r="BX9" s="874">
        <f t="shared" si="9"/>
        <v>-0.43999999999999995</v>
      </c>
      <c r="BY9" s="874" t="e">
        <f t="shared" si="9"/>
        <v>#DIV/0!</v>
      </c>
      <c r="BZ9" s="874" t="e">
        <f t="shared" si="9"/>
        <v>#DIV/0!</v>
      </c>
      <c r="CA9" s="874" t="e">
        <f t="shared" si="9"/>
        <v>#DIV/0!</v>
      </c>
      <c r="CB9" s="874" t="e">
        <f t="shared" si="9"/>
        <v>#DIV/0!</v>
      </c>
      <c r="CC9" s="874" t="e">
        <f t="shared" si="7"/>
        <v>#DIV/0!</v>
      </c>
      <c r="CD9" s="874" t="e">
        <f t="shared" si="7"/>
        <v>#DIV/0!</v>
      </c>
      <c r="CE9" s="874" t="e">
        <f t="shared" si="7"/>
        <v>#DIV/0!</v>
      </c>
      <c r="CF9" s="874" t="e">
        <f t="shared" si="7"/>
        <v>#DIV/0!</v>
      </c>
      <c r="CG9" s="874">
        <f t="shared" si="7"/>
        <v>3.9375000000000049E-2</v>
      </c>
      <c r="CH9" s="874">
        <f t="shared" si="7"/>
        <v>3.9375000000000049E-2</v>
      </c>
      <c r="CI9" s="874">
        <f t="shared" si="7"/>
        <v>1.6000000000000014E-2</v>
      </c>
    </row>
    <row r="10" spans="1:87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SUM(IF(ISBLANK($T$1),$J$23:$J$238,IF($I$23:$I$238=$T$1,$J$23:$J$238,0)))</f>
        <v>71</v>
      </c>
      <c r="AG10" s="874">
        <f t="array" ref="AG10">SUM(IF(ISBLANK(AG$23:AG$238),0,IF(ISNUMBER(VALUE(RIGHT(AG$23:AG$238,1))),RIGHT(AG$23:AG$238,1),0)*IF(ISBLANK($T$1),1,IF($I$23:$I$238=$T$1,1,0))))</f>
        <v>0</v>
      </c>
      <c r="AH10" s="874">
        <f t="array" ref="AH10">SUM(IF(ISBLANK(AH$23:AH$238),0,IF(ISNUMBER(VALUE(RIGHT(AH$23:AH$238,1))),RIGHT(AH$23:AH$238,1),0)*IF(ISBLANK($T$1),1,IF($I$23:$I$238=$T$1,1,0))))</f>
        <v>0</v>
      </c>
      <c r="AI10" s="874">
        <f t="array" ref="AI10">SUM(IF(ISBLANK(AI$23:AI$238),0,IF(ISNUMBER(VALUE(RIGHT(AI$23:AI$238,1))),RIGHT(AI$23:AI$238,1),0)*IF(ISBLANK($T$1),1,IF($I$23:$I$238=$T$1,1,0))))</f>
        <v>0</v>
      </c>
      <c r="AK10" s="874">
        <f t="array" ref="AK10">SUM(IF(ISBLANK(AK$23:AK$238),0,IF(ISNUMBER(VALUE(RIGHT(AK$23:AK$238,1))),RIGHT(AK$23:AK$238,1),0)*IF(ISBLANK($T$1),1,IF($I$23:$I$238=$T$1,1,0))))</f>
        <v>0</v>
      </c>
      <c r="AL10" s="874">
        <f t="array" ref="AL10">SUM(IF(ISBLANK(AL$23:AL$238),0,IF(ISNUMBER(VALUE(RIGHT(AL$23:AL$238,1))),RIGHT(AL$23:AL$238,1),0)*IF(ISBLANK($T$1),1,IF($I$23:$I$238=$T$1,1,0))))</f>
        <v>0</v>
      </c>
      <c r="AM10" s="874">
        <f t="array" ref="AM10">SUM(IF(ISBLANK(AM$23:AM$238),0,IF(ISNUMBER(VALUE(RIGHT(AM$23:AM$238,1))),RIGHT(AM$23:AM$238,1),0)*IF(ISBLANK($T$1),1,IF($I$23:$I$238=$T$1,1,0))))</f>
        <v>0</v>
      </c>
      <c r="AO10" s="874">
        <f t="array" ref="AO10">SUM(IF(ISBLANK(AO$23:AO$238),0,IF(ISNUMBER(VALUE(RIGHT(AO$23:AO$238,1))),RIGHT(AO$23:AO$238,1),0)*IF(ISBLANK($T$1),1,IF($I$23:$I$238=$T$1,1,0))))</f>
        <v>3</v>
      </c>
      <c r="AP10" s="874">
        <f t="array" ref="AP10">SUM(IF(ISBLANK(AP$23:AP$238),0,IF(ISNUMBER(VALUE(RIGHT(AP$23:AP$238,1))),RIGHT(AP$23:AP$238,1),0)*IF(ISBLANK($T$1),1,IF($I$23:$I$238=$T$1,1,0))))</f>
        <v>0</v>
      </c>
      <c r="AQ10" s="874">
        <f t="array" ref="AQ10">SUM(IF(ISBLANK(AQ$30:AQ$238),0,IF(ISNUMBER(VALUE(RIGHT(AQ$30:AQ$238,1))),RIGHT(AQ$30:AQ$238,1),0)*IF(ISBLANK($T$1),1,IF($I$23:$I$238=$T$1,1,0))))</f>
        <v>0</v>
      </c>
      <c r="AR10" s="874">
        <f t="array" ref="AR10">SUM(IF(ISBLANK(AR$23:AR$238),0,IF(ISNUMBER(VALUE(RIGHT(AR$23:AR$238,1))),RIGHT(AR$23:AR$238,1),0)*IF(ISBLANK($T$1),1,IF($I$23:$I$238=$T$1,1,0))))</f>
        <v>4</v>
      </c>
      <c r="AS10" s="874">
        <f t="array" ref="AS10">SUM(IF(ISBLANK(AS$23:AS$238),0,IF(ISNUMBER(VALUE(RIGHT(AS$23:AS$238,1))),RIGHT(AS$23:AS$238,1),0)*IF(ISBLANK($T$1),1,IF($I$23:$I$238=$T$1,1,0))))</f>
        <v>0</v>
      </c>
      <c r="AV10" s="874">
        <f t="array" ref="AV10">SUM(IF(ISBLANK(AV$23:AV$238),0,IF(ISNUMBER(VALUE(RIGHT(AV$23:AV$238,1))),RIGHT(AV$23:AV$238,1),0)*IF(ISBLANK($T$1),1,IF($I$23:$I$238=$T$1,1,0))))</f>
        <v>0</v>
      </c>
      <c r="AW10" s="874">
        <f t="array" ref="AW10">SUM(IF(ISBLANK(AW$23:AW$238),0,IF(ISNUMBER(VALUE(RIGHT(AW$23:AW$238,1))),RIGHT(AW$23:AW$238,1),0)*IF(ISBLANK($T$1),1,IF($I$23:$I$238=$T$1,1,0))))</f>
        <v>4</v>
      </c>
      <c r="AY10" s="874">
        <f t="array" ref="AY10">SUM(IF(ISBLANK(AY$30:AY$238),0,IF(ISNUMBER(VALUE(RIGHT(AY$30:AY$238,1))),RIGHT(AY$30:AY$238,1),0)*IF(ISBLANK($T$1),1,IF($I$23:$I$238=$T$1,1,0))))</f>
        <v>0</v>
      </c>
      <c r="AZ10" s="874">
        <f t="array" ref="AZ10">SUM(IF(ISBLANK(AZ$30:AZ$238),0,IF(ISNUMBER(VALUE(RIGHT(AZ$30:AZ$238,1))),RIGHT(AZ$30:AZ$238,1),0)*IF(ISBLANK($T$1),1,IF($I$23:$I$238=$T$1,1,0))))</f>
        <v>0</v>
      </c>
      <c r="BB10" s="874">
        <f t="array" ref="BB10">SUM(IF(ISBLANK(BB$23:BB$238),0,IF(ISNUMBER(VALUE(RIGHT(BB$23:BB$238,1))),RIGHT(BB$23:BB$238,1),0)*IF(ISBLANK($T$1),1,IF($I$23:$I$238=$T$1,1,0))))</f>
        <v>0</v>
      </c>
      <c r="BJ10" s="874">
        <f t="array" ref="BJ10">SUM(IF(ISBLANK(BJ$23:BJ$238),0,IF(ISNUMBER(VALUE(RIGHT(BJ$23:BJ$238,1))),RIGHT(BJ$23:BJ$238,1),0)*IF(ISBLANK($T$1),1,IF($I$23:$I$238=$T$1,1,0))))</f>
        <v>0</v>
      </c>
      <c r="BK10" s="874">
        <f t="array" ref="BK10">SUM(IF(ISBLANK(BK$23:BK$238),0,IF(ISNUMBER(VALUE(RIGHT(BK$23:BK$238,1))),RIGHT(BK$23:BK$238,1),0)*IF(ISBLANK($T$1),1,IF($I$23:$I$238=$T$1,1,0))))</f>
        <v>2</v>
      </c>
      <c r="BL10" s="874">
        <f t="array" ref="BL10">SUM(IF(ISBLANK(BL$23:BL$238),0,IF(ISNUMBER(VALUE(RIGHT(BL$23:BL$238,1))),RIGHT(BL$23:BL$238,1),0)*IF(ISBLANK($T$1),1,IF($I$23:$I$238=$T$1,1,0))))</f>
        <v>0</v>
      </c>
      <c r="BN10" s="874">
        <f t="array" ref="BN10">SUM(IF(ISBLANK(BN$30:BN$238),0,IF(ISNUMBER(VALUE(RIGHT(BN$30:BN$238,1))),RIGHT(BN$30:BN$238,1),0)*IF(ISBLANK($T$1),1,IF($I$23:$I$238=$T$1,1,0))))</f>
        <v>1</v>
      </c>
      <c r="BO10" s="874">
        <f t="array" ref="BO10">SUM(IF(ISBLANK(BO$23:BO$238),0,IF(ISNUMBER(VALUE(RIGHT(BO$23:BO$238,1))),RIGHT(BO$23:BO$238,1),0)*IF(ISBLANK($T$1),1,IF($I$23:$I$238=$T$1,1,0))))</f>
        <v>0</v>
      </c>
      <c r="BQ10" s="874">
        <f t="array" ref="BQ10">SUM(IF(ISBLANK(BQ$41:BQ$238),0,IF(ISNUMBER(VALUE(RIGHT(BQ$41:BQ$238,1))),RIGHT(BQ$41:BQ$238,1),0)*IF(ISBLANK($T$1),1,IF($I$23:$I$238=$T$1,1,0))))</f>
        <v>0</v>
      </c>
      <c r="BV10" s="874">
        <f t="array" ref="BV10">SUM(IF(ISBLANK(BV$23:BV$238),0,IF(ISNUMBER(VALUE(RIGHT(BV$23:BV$238,1))),RIGHT(BV$23:BV$238,1),0)*IF(ISBLANK($T$1),1,IF($I$23:$I$238=$T$1,1,0))))</f>
        <v>0</v>
      </c>
      <c r="BW10" s="874">
        <f t="array" ref="BW10">SUM(IF(ISBLANK(BW$23:BW$238),0,IF(ISNUMBER(VALUE(RIGHT(BW$23:BW$238,1))),RIGHT(BW$23:BW$238,1),0)*IF(ISBLANK($T$1),1,IF($I$23:$I$238=$T$1,1,0))))</f>
        <v>0</v>
      </c>
      <c r="BX10" s="874">
        <f t="array" ref="BX10">SUM(IF(ISBLANK(BX$23:BX$238),0,IF(ISNUMBER(VALUE(RIGHT(BX$23:BX$238,1))),RIGHT(BX$23:BX$238,1),0)*IF(ISBLANK($T$1),1,IF($I$23:$I$238=$T$1,1,0))))</f>
        <v>0</v>
      </c>
      <c r="BY10" s="874">
        <f t="array" ref="BY10">SUM(IF(ISBLANK(BY$23:BY$238),0,IF(ISNUMBER(VALUE(RIGHT(BY$23:BY$238,1))),RIGHT(BY$23:BY$238,1),0)*IF(ISBLANK($T$1),1,IF($I$23:$I$238=$T$1,1,0))))</f>
        <v>0</v>
      </c>
      <c r="BZ10" s="874">
        <f t="array" ref="BZ10">SUM(IF(ISBLANK(BZ$23:BZ$238),0,IF(ISNUMBER(VALUE(RIGHT(BZ$23:BZ$238,1))),RIGHT(BZ$23:BZ$238,1),0)*IF(ISBLANK($T$1),1,IF($I$23:$I$238=$T$1,1,0))))</f>
        <v>0</v>
      </c>
      <c r="CA10" s="874">
        <f t="array" ref="CA10">SUM(IF(ISBLANK(CA$23:CA$238),0,IF(ISNUMBER(VALUE(RIGHT(CA$23:CA$238,1))),RIGHT(CA$23:CA$238,1),0)*IF(ISBLANK($T$1),1,IF($I$23:$I$238=$T$1,1,0))))</f>
        <v>0</v>
      </c>
      <c r="CB10" s="874">
        <f t="array" ref="CB10">SUM(IF(ISBLANK(CB$23:CB$238),0,IF(ISNUMBER(VALUE(RIGHT(CB$23:CB$238,1))),RIGHT(CB$23:CB$238,1),0)*IF(ISBLANK($T$1),1,IF($I$23:$I$238=$T$1,1,0))))</f>
        <v>0</v>
      </c>
      <c r="CC10" s="874">
        <f t="array" ref="CC10">SUM(IF(ISBLANK(CC$23:CC$238),0,IF(ISNUMBER(VALUE(RIGHT(CC$23:CC$238,1))),RIGHT(CC$23:CC$238,1),0)*IF(ISBLANK($T$1),1,IF($I$23:$I$238=$T$1,1,0))))</f>
        <v>0</v>
      </c>
      <c r="CD10" s="874">
        <f t="array" ref="CD10">SUM(IF(ISBLANK(CD$23:CD$238),0,IF(ISNUMBER(VALUE(RIGHT(CD$23:CD$238,1))),RIGHT(CD$23:CD$238,1),0)*IF(ISBLANK($T$1),1,IF($I$23:$I$238=$T$1,1,0))))</f>
        <v>0</v>
      </c>
      <c r="CE10" s="874">
        <f t="array" ref="CE10">SUM(IF(ISBLANK(CE$23:CE$238),0,IF(ISNUMBER(VALUE(RIGHT(CE$23:CE$238,1))),RIGHT(CE$23:CE$238,1),0)*IF(ISBLANK($T$1),1,IF($I$23:$I$238=$T$1,1,0))))</f>
        <v>0</v>
      </c>
      <c r="CF10" s="874">
        <f t="array" ref="CF10">SUM(IF(ISBLANK(CF$23:CF$238),0,IF(ISNUMBER(VALUE(RIGHT(CF$23:CF$238,1))),RIGHT(CF$23:CF$238,1),0)*IF(ISBLANK($T$1),1,IF($I$23:$I$238=$T$1,1,0))))</f>
        <v>0</v>
      </c>
      <c r="CG10" s="874">
        <f t="array" ref="CG10">SUM(IF(ISBLANK(CG$23:CG$238),0,IF(ISNUMBER(VALUE(RIGHT(CG$23:CG$238,1))),RIGHT(CG$23:CG$238,1),0)*IF(ISBLANK($T$1),1,IF($I$23:$I$238=$T$1,1,0))))</f>
        <v>0</v>
      </c>
      <c r="CH10" s="874">
        <f t="array" ref="CH10">SUM(IF(ISBLANK(CH$23:CH$238),0,IF(ISNUMBER(VALUE(RIGHT(CH$23:CH$238,1))),RIGHT(CH$23:CH$238,1),0)*IF(ISBLANK($T$1),1,IF($I$23:$I$238=$T$1,1,0))))</f>
        <v>0</v>
      </c>
      <c r="CI10" s="874">
        <f t="array" ref="CI10">SUM(IF(ISBLANK(CI$23:CI$238),0,IF(ISNUMBER(VALUE(RIGHT(CI$23:CI$238,1))),RIGHT(CI$23:CI$238,1),0)*IF(ISBLANK($T$1),1,IF($I$23:$I$238=$T$1,1,0))))</f>
        <v>0</v>
      </c>
    </row>
    <row r="11" spans="1:87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I11" si="10">AF10/AF2</f>
        <v>1.6511627906976745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K11" s="874">
        <f t="shared" si="10"/>
        <v>0</v>
      </c>
      <c r="AL11" s="874">
        <f>AL10/AL2</f>
        <v>0</v>
      </c>
      <c r="AM11" s="874">
        <f t="shared" si="10"/>
        <v>0</v>
      </c>
      <c r="AO11" s="874">
        <f>AO10/AO2</f>
        <v>6.9767441860465115E-2</v>
      </c>
      <c r="AP11" s="874">
        <f t="shared" ref="AP11" si="11">AP10/AP2</f>
        <v>0</v>
      </c>
      <c r="AQ11" s="874">
        <f>AQ10/AQ2</f>
        <v>0</v>
      </c>
      <c r="AR11" s="874">
        <f>AR10/AR2</f>
        <v>9.3023255813953487E-2</v>
      </c>
      <c r="AS11" s="874">
        <f>AS10/AS2</f>
        <v>0</v>
      </c>
      <c r="AV11" s="874">
        <f>AV10/AV2</f>
        <v>0</v>
      </c>
      <c r="AW11" s="874">
        <f>AW10/AW2</f>
        <v>9.3023255813953487E-2</v>
      </c>
      <c r="AY11" s="874">
        <f>AY10/AY2</f>
        <v>0</v>
      </c>
      <c r="AZ11" s="874">
        <f>AZ10/AZ2</f>
        <v>0</v>
      </c>
      <c r="BB11" s="874">
        <f>BB10/BB2</f>
        <v>0</v>
      </c>
      <c r="BJ11" s="874">
        <f>BJ10/BJ2</f>
        <v>0</v>
      </c>
      <c r="BK11" s="874">
        <f>BK10/BK2</f>
        <v>5.128205128205128E-2</v>
      </c>
      <c r="BL11" s="874">
        <f>BL10/BL2</f>
        <v>0</v>
      </c>
      <c r="BN11" s="874">
        <f>BN10/BN2</f>
        <v>0.5</v>
      </c>
      <c r="BO11" s="874">
        <f>BO10/BO2</f>
        <v>0</v>
      </c>
      <c r="BQ11" s="874">
        <f t="shared" si="10"/>
        <v>0</v>
      </c>
      <c r="BV11" s="874">
        <f t="shared" ref="BV11:CB11" si="12">BV10/BV2</f>
        <v>0</v>
      </c>
      <c r="BW11" s="874">
        <f t="shared" si="12"/>
        <v>0</v>
      </c>
      <c r="BX11" s="874">
        <f t="shared" si="12"/>
        <v>0</v>
      </c>
      <c r="BY11" s="874" t="e">
        <f t="shared" si="12"/>
        <v>#DIV/0!</v>
      </c>
      <c r="BZ11" s="874" t="e">
        <f t="shared" si="12"/>
        <v>#DIV/0!</v>
      </c>
      <c r="CA11" s="874" t="e">
        <f t="shared" si="12"/>
        <v>#DIV/0!</v>
      </c>
      <c r="CB11" s="874" t="e">
        <f t="shared" si="12"/>
        <v>#DIV/0!</v>
      </c>
      <c r="CC11" s="874" t="e">
        <f t="shared" si="10"/>
        <v>#DIV/0!</v>
      </c>
      <c r="CD11" s="874" t="e">
        <f t="shared" si="10"/>
        <v>#DIV/0!</v>
      </c>
      <c r="CE11" s="874" t="e">
        <f t="shared" si="10"/>
        <v>#DIV/0!</v>
      </c>
      <c r="CF11" s="874" t="e">
        <f t="shared" si="10"/>
        <v>#DIV/0!</v>
      </c>
      <c r="CG11" s="874">
        <f t="shared" si="10"/>
        <v>0</v>
      </c>
      <c r="CH11" s="874">
        <f t="shared" si="10"/>
        <v>0</v>
      </c>
      <c r="CI11" s="874">
        <f t="shared" si="10"/>
        <v>0</v>
      </c>
    </row>
    <row r="12" spans="1:87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SUM(IF(ISBLANK($T$1),$K$23:$K$238,IF($I$23:$I$238=$T$1,$K$23:$K$238,0)))</f>
        <v>48</v>
      </c>
      <c r="AG12" s="874">
        <f t="array" ref="AG12">SUM(IF(ISBLANK(AG$23:AG$238),0,$K23:$K238)*IF(ISBLANK($T$1),1,IF($I$23:$I$238=$T$1,1,0)))</f>
        <v>41</v>
      </c>
      <c r="AH12" s="874">
        <f t="array" ref="AH12">SUM(IF(ISBLANK(AH$23:AH$238),0,$K23:$K238)*IF(ISBLANK($T$1),1,IF($I$23:$I$238=$T$1,1,0)))</f>
        <v>48</v>
      </c>
      <c r="AI12" s="874">
        <f t="array" ref="AI12">SUM(IF(ISBLANK(AI$23:AI$238),0,$K23:$K238)*IF(ISBLANK($T$1),1,IF($I$23:$I$238=$T$1,1,0)))</f>
        <v>46</v>
      </c>
      <c r="AK12" s="874">
        <f t="array" ref="AK12">SUM(IF(ISBLANK(AK$23:AK$238),0,$K23:$K238)*IF(ISBLANK($T$1),1,IF($I$23:$I$238=$T$1,1,0)))</f>
        <v>48</v>
      </c>
      <c r="AL12" s="874">
        <f t="array" ref="AL12">SUM(IF(ISBLANK(AL$23:AL$238),0,$K23:$K238)*IF(ISBLANK($T$1),1,IF($I$23:$I$238=$T$1,1,0)))</f>
        <v>48</v>
      </c>
      <c r="AM12" s="874">
        <f t="array" ref="AM12">SUM(IF(ISBLANK(AM$23:AM$238),0,$K23:$K238)*IF(ISBLANK($T$1),1,IF($I$23:$I$238=$T$1,1,0)))</f>
        <v>48</v>
      </c>
      <c r="AO12" s="874">
        <f t="array" ref="AO12">SUM(IF(ISBLANK(AO$23:AO$238),0,$K23:$K238)*IF(ISBLANK($T$1),1,IF($I$23:$I$238=$T$1,1,0)))</f>
        <v>48</v>
      </c>
      <c r="AP12" s="874">
        <f t="array" ref="AP12">SUM(IF(ISBLANK(AP$23:AP$238),0,$K23:$K238)*IF(ISBLANK($T$1),1,IF($I$23:$I$238=$T$1,1,0)))</f>
        <v>46</v>
      </c>
      <c r="AQ12" s="874" t="e">
        <f t="array" ref="AQ12">SUM(IF(ISBLANK(AQ$30:AQ$238),0,$K23:$K238)*IF(ISBLANK($T$1),1,IF($I$23:$I$238=$T$1,1,0)))</f>
        <v>#N/A</v>
      </c>
      <c r="AR12" s="874">
        <f t="array" ref="AR12">SUM(IF(ISBLANK(AR$23:AR$238),0,$K23:$K238)*IF(ISBLANK($T$1),1,IF($I$23:$I$238=$T$1,1,0)))</f>
        <v>48</v>
      </c>
      <c r="AS12" s="874">
        <f t="array" ref="AS12">SUM(IF(ISBLANK(AS$23:AS$238),0,$K23:$K238)*IF(ISBLANK($T$1),1,IF($I$23:$I$238=$T$1,1,0)))</f>
        <v>46</v>
      </c>
      <c r="AV12" s="874">
        <f t="array" ref="AV12">SUM(IF(ISBLANK(AV$23:AV$238),0,$K23:$K238)*IF(ISBLANK($T$1),1,IF($I$23:$I$238=$T$1,1,0)))</f>
        <v>46</v>
      </c>
      <c r="AW12" s="874">
        <f t="array" ref="AW12">SUM(IF(ISBLANK(AW$23:AW$238),0,$K23:$K238)*IF(ISBLANK($T$1),1,IF($I$23:$I$238=$T$1,1,0)))</f>
        <v>48</v>
      </c>
      <c r="AY12" s="874" t="e">
        <f t="array" ref="AY12">SUM(IF(ISBLANK(AY$30:AY$238),0,$K23:$K238)*IF(ISBLANK($T$1),1,IF($I$23:$I$238=$T$1,1,0)))</f>
        <v>#N/A</v>
      </c>
      <c r="AZ12" s="874" t="e">
        <f t="array" ref="AZ12">SUM(IF(ISBLANK(AZ$30:AZ$238),0,$K23:$K238)*IF(ISBLANK($T$1),1,IF($I$23:$I$238=$T$1,1,0)))</f>
        <v>#N/A</v>
      </c>
      <c r="BB12" s="874">
        <f t="array" ref="BB12">SUM(IF(ISBLANK(BB$23:BB$238),0,$K23:$K238)*IF(ISBLANK($T$1),1,IF($I$23:$I$238=$T$1,1,0)))</f>
        <v>46</v>
      </c>
      <c r="BJ12" s="874">
        <f t="array" ref="BJ12">SUM(IF(ISBLANK(BJ$23:BJ$238),0,$K23:$K238)*IF(ISBLANK($T$1),1,IF($I$23:$I$238=$T$1,1,0)))</f>
        <v>43</v>
      </c>
      <c r="BK12" s="874">
        <f t="array" ref="BK12">SUM(IF(ISBLANK(BK$23:BK$238),0,$K23:$K238)*IF(ISBLANK($T$1),1,IF($I$23:$I$238=$T$1,1,0)))</f>
        <v>42</v>
      </c>
      <c r="BL12" s="874">
        <f t="array" ref="BL12">SUM(IF(ISBLANK(BL$23:BL$238),0,$K23:$K238)*IF(ISBLANK($T$1),1,IF($I$23:$I$238=$T$1,1,0)))</f>
        <v>31</v>
      </c>
      <c r="BN12" s="874" t="e">
        <f t="array" ref="BN12">SUM(IF(ISBLANK(BN$30:BN$238),0,$K23:$K238)*IF(ISBLANK($T$1),1,IF($I$23:$I$238=$T$1,1,0)))</f>
        <v>#N/A</v>
      </c>
      <c r="BO12" s="874">
        <f t="array" ref="BO12">SUM(IF(ISBLANK(BO$23:BO$238),0,$K23:$K238)*IF(ISBLANK($T$1),1,IF($I$23:$I$238=$T$1,1,0)))</f>
        <v>3</v>
      </c>
      <c r="BQ12" s="874" t="e">
        <f t="array" ref="BQ12">SUM(IF(ISBLANK(BQ$41:BQ$238),0,$K23:$K238)*IF(ISBLANK($T$1),1,IF($I$23:$I$238=$T$1,1,0)))</f>
        <v>#N/A</v>
      </c>
      <c r="BV12" s="874">
        <f t="array" ref="BV12">SUM(IF(ISBLANK(BV$23:BV$238),0,$K23:$K238)*IF(ISBLANK($T$1),1,IF($I$23:$I$238=$T$1,1,0)))</f>
        <v>2</v>
      </c>
      <c r="BW12" s="874">
        <f t="array" ref="BW12">SUM(IF(ISBLANK(BW$23:BW$238),0,$K23:$K238)*IF(ISBLANK($T$1),1,IF($I$23:$I$238=$T$1,1,0)))</f>
        <v>2</v>
      </c>
      <c r="BX12" s="874">
        <f t="array" ref="BX12">SUM(IF(ISBLANK(BX$23:BX$238),0,$K23:$K238)*IF(ISBLANK($T$1),1,IF($I$23:$I$238=$T$1,1,0)))</f>
        <v>2</v>
      </c>
      <c r="BY12" s="874">
        <f t="array" ref="BY12">SUM(IF(ISBLANK(BY$23:BY$238),0,$K23:$K238)*IF(ISBLANK($T$1),1,IF($I$23:$I$238=$T$1,1,0)))</f>
        <v>0</v>
      </c>
      <c r="BZ12" s="874">
        <f t="array" ref="BZ12">SUM(IF(ISBLANK(BZ$23:BZ$238),0,$K23:$K238)*IF(ISBLANK($T$1),1,IF($I$23:$I$238=$T$1,1,0)))</f>
        <v>0</v>
      </c>
      <c r="CA12" s="874">
        <f t="array" ref="CA12">SUM(IF(ISBLANK(CA$23:CA$238),0,$K23:$K238)*IF(ISBLANK($T$1),1,IF($I$23:$I$238=$T$1,1,0)))</f>
        <v>0</v>
      </c>
      <c r="CB12" s="874">
        <f t="array" ref="CB12">SUM(IF(ISBLANK(CB$23:CB$238),0,$K23:$K238)*IF(ISBLANK($T$1),1,IF($I$23:$I$238=$T$1,1,0)))</f>
        <v>0</v>
      </c>
      <c r="CC12" s="874">
        <f t="array" ref="CC12">SUM(IF(ISBLANK(CC$23:CC$238),0,$K23:$K238)*IF(ISBLANK($T$1),1,IF($I$23:$I$238=$T$1,1,0)))</f>
        <v>0</v>
      </c>
      <c r="CD12" s="874">
        <f t="array" ref="CD12">SUM(IF(ISBLANK(CD$23:CD$238),0,$K23:$K238)*IF(ISBLANK($T$1),1,IF($I$23:$I$238=$T$1,1,0)))</f>
        <v>0</v>
      </c>
      <c r="CE12" s="874">
        <f t="array" ref="CE12">SUM(IF(ISBLANK(CE$23:CE$238),0,$K23:$K238)*IF(ISBLANK($T$1),1,IF($I$23:$I$238=$T$1,1,0)))</f>
        <v>0</v>
      </c>
      <c r="CF12" s="874">
        <f t="array" ref="CF12">SUM(IF(ISBLANK(CF$23:CF$238),0,$K23:$K238)*IF(ISBLANK($T$1),1,IF($I$23:$I$238=$T$1,1,0)))</f>
        <v>0</v>
      </c>
      <c r="CG12" s="874">
        <f t="array" ref="CG12">SUM(IF(ISBLANK(CG$23:CG$238),0,$K23:$K238)*IF(ISBLANK($T$1),1,IF($I$23:$I$238=$T$1,1,0)))</f>
        <v>12</v>
      </c>
      <c r="CH12" s="874">
        <f t="array" ref="CH12">SUM(IF(ISBLANK(CH$23:CH$238),0,$K23:$K238)*IF(ISBLANK($T$1),1,IF($I$23:$I$238=$T$1,1,0)))</f>
        <v>12</v>
      </c>
      <c r="CI12" s="874">
        <f t="array" ref="CI12">SUM(IF(ISBLANK(CI$23:CI$238),0,$K23:$K238)*IF(ISBLANK($T$1),1,IF($I$23:$I$238=$T$1,1,0)))</f>
        <v>12</v>
      </c>
    </row>
    <row r="13" spans="1:87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I13" si="13">AF12/AF2</f>
        <v>1.1162790697674418</v>
      </c>
      <c r="AG13" s="874">
        <f t="shared" si="13"/>
        <v>1.1714285714285715</v>
      </c>
      <c r="AH13" s="874">
        <f t="shared" si="13"/>
        <v>1.1162790697674418</v>
      </c>
      <c r="AI13" s="874">
        <f t="shared" si="13"/>
        <v>1.0952380952380953</v>
      </c>
      <c r="AK13" s="874">
        <f t="shared" si="13"/>
        <v>1.1162790697674418</v>
      </c>
      <c r="AL13" s="874">
        <f>AL12/AL2</f>
        <v>1.1162790697674418</v>
      </c>
      <c r="AM13" s="874">
        <f t="shared" si="13"/>
        <v>1.1162790697674418</v>
      </c>
      <c r="AO13" s="874">
        <f>AO12/AO2</f>
        <v>1.1162790697674418</v>
      </c>
      <c r="AP13" s="874">
        <f t="shared" ref="AP13" si="14">AP12/AP2</f>
        <v>1.0952380952380953</v>
      </c>
      <c r="AQ13" s="874" t="e">
        <f>AQ12/AQ2</f>
        <v>#N/A</v>
      </c>
      <c r="AR13" s="874">
        <f>AR12/AR2</f>
        <v>1.1162790697674418</v>
      </c>
      <c r="AS13" s="874">
        <f>AS12/AS2</f>
        <v>1.0952380952380953</v>
      </c>
      <c r="AV13" s="874">
        <f>AV12/AV2</f>
        <v>1.0952380952380953</v>
      </c>
      <c r="AW13" s="874">
        <f>AW12/AW2</f>
        <v>1.1162790697674418</v>
      </c>
      <c r="AY13" s="874" t="e">
        <f>AY12/AY2</f>
        <v>#N/A</v>
      </c>
      <c r="AZ13" s="874" t="e">
        <f>AZ12/AZ2</f>
        <v>#N/A</v>
      </c>
      <c r="BB13" s="874">
        <f>BB12/BB2</f>
        <v>1.0952380952380953</v>
      </c>
      <c r="BJ13" s="874">
        <f>BJ12/BJ2</f>
        <v>1.075</v>
      </c>
      <c r="BK13" s="874">
        <f>BK12/BK2</f>
        <v>1.0769230769230769</v>
      </c>
      <c r="BL13" s="874">
        <f>BL12/BL2</f>
        <v>1.1071428571428572</v>
      </c>
      <c r="BN13" s="874" t="e">
        <f>BN12/BN2</f>
        <v>#N/A</v>
      </c>
      <c r="BO13" s="874">
        <f>BO12/BO2</f>
        <v>1.5</v>
      </c>
      <c r="BQ13" s="874" t="e">
        <f t="shared" si="13"/>
        <v>#N/A</v>
      </c>
      <c r="BV13" s="874">
        <f t="shared" ref="BV13:CB13" si="15">BV12/BV2</f>
        <v>2</v>
      </c>
      <c r="BW13" s="874">
        <f t="shared" si="15"/>
        <v>2</v>
      </c>
      <c r="BX13" s="874">
        <f t="shared" si="15"/>
        <v>2</v>
      </c>
      <c r="BY13" s="874" t="e">
        <f t="shared" si="15"/>
        <v>#DIV/0!</v>
      </c>
      <c r="BZ13" s="874" t="e">
        <f t="shared" si="15"/>
        <v>#DIV/0!</v>
      </c>
      <c r="CA13" s="874" t="e">
        <f t="shared" si="15"/>
        <v>#DIV/0!</v>
      </c>
      <c r="CB13" s="874" t="e">
        <f t="shared" si="15"/>
        <v>#DIV/0!</v>
      </c>
      <c r="CC13" s="874" t="e">
        <f t="shared" si="13"/>
        <v>#DIV/0!</v>
      </c>
      <c r="CD13" s="874" t="e">
        <f t="shared" si="13"/>
        <v>#DIV/0!</v>
      </c>
      <c r="CE13" s="874" t="e">
        <f t="shared" si="13"/>
        <v>#DIV/0!</v>
      </c>
      <c r="CF13" s="874" t="e">
        <f t="shared" si="13"/>
        <v>#DIV/0!</v>
      </c>
      <c r="CG13" s="874">
        <f t="shared" si="13"/>
        <v>0.75</v>
      </c>
      <c r="CH13" s="874">
        <f t="shared" si="13"/>
        <v>0.75</v>
      </c>
      <c r="CI13" s="874">
        <f t="shared" si="13"/>
        <v>0.8</v>
      </c>
    </row>
    <row r="14" spans="1:87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AJ14" si="16">AG15+AG16</f>
        <v>0</v>
      </c>
      <c r="AH14" s="902">
        <f t="shared" si="16"/>
        <v>15</v>
      </c>
      <c r="AI14" s="902">
        <f t="shared" si="16"/>
        <v>0</v>
      </c>
      <c r="AJ14" s="902">
        <f t="shared" si="16"/>
        <v>28</v>
      </c>
      <c r="AK14" s="902">
        <f t="shared" ref="AK14:BB14" si="17">AK15+AK16</f>
        <v>21</v>
      </c>
      <c r="AL14" s="902">
        <f t="shared" si="17"/>
        <v>37</v>
      </c>
      <c r="AM14" s="902">
        <f t="shared" si="17"/>
        <v>12</v>
      </c>
      <c r="AN14" s="902">
        <f t="shared" si="17"/>
        <v>21</v>
      </c>
      <c r="AO14" s="902">
        <f t="shared" si="17"/>
        <v>22</v>
      </c>
      <c r="AP14" s="902">
        <f t="shared" si="17"/>
        <v>14</v>
      </c>
      <c r="AQ14" s="902">
        <f t="shared" si="17"/>
        <v>1</v>
      </c>
      <c r="AR14" s="902">
        <f t="shared" si="17"/>
        <v>40</v>
      </c>
      <c r="AS14" s="902">
        <f t="shared" si="17"/>
        <v>0</v>
      </c>
      <c r="AT14" s="902">
        <f t="shared" si="17"/>
        <v>27</v>
      </c>
      <c r="AU14" s="902">
        <f t="shared" si="17"/>
        <v>26</v>
      </c>
      <c r="AV14" s="902">
        <f t="shared" si="17"/>
        <v>5</v>
      </c>
      <c r="AW14" s="902">
        <f t="shared" si="17"/>
        <v>41</v>
      </c>
      <c r="AX14" s="902">
        <f t="shared" si="17"/>
        <v>19</v>
      </c>
      <c r="AY14" s="902">
        <f t="shared" si="17"/>
        <v>13</v>
      </c>
      <c r="AZ14" s="902">
        <f t="shared" si="17"/>
        <v>4</v>
      </c>
      <c r="BA14" s="902">
        <f t="shared" si="17"/>
        <v>6</v>
      </c>
      <c r="BB14" s="902">
        <f t="shared" si="17"/>
        <v>2</v>
      </c>
      <c r="BC14" s="902">
        <f t="shared" ref="BC14:BD14" si="18">BC15+BC16</f>
        <v>41</v>
      </c>
      <c r="BD14" s="902">
        <f t="shared" si="18"/>
        <v>6</v>
      </c>
      <c r="BE14" s="902">
        <f t="shared" ref="BE14" si="19">BE15+BE16</f>
        <v>2</v>
      </c>
      <c r="BF14" s="902">
        <f t="shared" ref="BF14:BM14" si="20">BF15+BF16</f>
        <v>14</v>
      </c>
      <c r="BG14" s="902">
        <f t="shared" ref="BG14" si="21">BG15+BG16</f>
        <v>9</v>
      </c>
      <c r="BH14" s="902">
        <f t="shared" si="20"/>
        <v>43</v>
      </c>
      <c r="BI14" s="902">
        <f t="shared" si="20"/>
        <v>34</v>
      </c>
      <c r="BJ14" s="902">
        <f t="shared" si="20"/>
        <v>10</v>
      </c>
      <c r="BK14" s="902">
        <f t="shared" si="20"/>
        <v>37</v>
      </c>
      <c r="BL14" s="902">
        <f t="shared" si="20"/>
        <v>0</v>
      </c>
      <c r="BM14" s="902">
        <f t="shared" si="20"/>
        <v>32</v>
      </c>
      <c r="BN14" s="889"/>
      <c r="BO14" s="889"/>
      <c r="BP14" s="902">
        <f>BP15+BP16</f>
        <v>7</v>
      </c>
      <c r="BQ14" s="889"/>
      <c r="BR14" s="890"/>
      <c r="BS14" s="890"/>
      <c r="BT14" s="890"/>
      <c r="BU14" s="890"/>
      <c r="BV14" s="889"/>
      <c r="BW14" s="889"/>
      <c r="BX14" s="889"/>
      <c r="BY14" s="889"/>
      <c r="BZ14" s="889"/>
      <c r="CA14" s="889"/>
      <c r="CB14" s="889"/>
    </row>
    <row r="15" spans="1:87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AVERAGEIFS($Q$23:$Q$205,$H$23:$H$205,"H",$I$23:$I$205,Table!$C$1)</f>
        <v>0.49619047619047618</v>
      </c>
      <c r="S15" s="858">
        <f>AVERAGEIFS($Q$23:$Q$205,$H$23:$H$205,"A",$I$23:$I$205,Table!$C$1)</f>
        <v>0.16714285714285712</v>
      </c>
      <c r="AF15" s="848" t="s">
        <v>821</v>
      </c>
      <c r="AG15" s="903">
        <f t="array" ref="AG15">SUM(IF(LEFT(AG23:AG159,1)="X",1,0))</f>
        <v>0</v>
      </c>
      <c r="AH15" s="903">
        <f t="array" ref="AH15">SUM(IF(LEFT(AH23:AH159,1)="X",1,0))</f>
        <v>15</v>
      </c>
      <c r="AI15" s="903">
        <f t="array" ref="AI15">SUM(IF(LEFT(AI23:AI159,1)="X",1,0))</f>
        <v>0</v>
      </c>
      <c r="AJ15" s="903">
        <f t="array" ref="AJ15">SUM(IF(LEFT(AJ23:AJ159,1)="X",1,0))</f>
        <v>28</v>
      </c>
      <c r="AK15" s="903">
        <f t="array" ref="AK15">SUM(IF(LEFT(AK23:AK159,1)="X",1,0))</f>
        <v>20</v>
      </c>
      <c r="AL15" s="903">
        <f t="array" ref="AL15">SUM(IF(LEFT(AL23:AL159,1)="X",1,0))</f>
        <v>33</v>
      </c>
      <c r="AM15" s="903">
        <f t="array" ref="AM15">SUM(IF(LEFT(AM23:AM159,1)="X",1,0))</f>
        <v>8</v>
      </c>
      <c r="AN15" s="903">
        <f t="array" ref="AN15">SUM(IF(LEFT(AN23:AN159,1)="X",1,0))</f>
        <v>18</v>
      </c>
      <c r="AO15" s="903">
        <f t="array" ref="AO15">SUM(IF(LEFT(AO23:AO159,1)="X",1,0))</f>
        <v>13</v>
      </c>
      <c r="AP15" s="903">
        <f t="array" ref="AP15">SUM(IF(LEFT(AP23:AP159,1)="X",1,0))</f>
        <v>13</v>
      </c>
      <c r="AQ15" s="903">
        <f t="array" ref="AQ15">SUM(IF(LEFT(AQ23:AQ159,1)="X",1,0))</f>
        <v>1</v>
      </c>
      <c r="AR15" s="903">
        <f t="array" ref="AR15">SUM(IF(LEFT(AR23:AR159,1)="X",1,0))</f>
        <v>39</v>
      </c>
      <c r="AS15" s="903">
        <f t="array" ref="AS15">SUM(IF(LEFT(AS23:AS159,1)="X",1,0))</f>
        <v>0</v>
      </c>
      <c r="AT15" s="903">
        <f t="array" ref="AT15">SUM(IF(LEFT(AT23:AT159,1)="X",1,0))</f>
        <v>25</v>
      </c>
      <c r="AU15" s="903">
        <f t="array" ref="AU15">SUM(IF(LEFT(AU23:AU159,1)="X",1,0))</f>
        <v>17</v>
      </c>
      <c r="AV15" s="903">
        <f t="array" ref="AV15">SUM(IF(LEFT(AV23:AV159,1)="X",1,0))</f>
        <v>1</v>
      </c>
      <c r="AW15" s="903">
        <f t="array" ref="AW15">SUM(IF(LEFT(AW23:AW159,1)="X",1,0))</f>
        <v>41</v>
      </c>
      <c r="AX15" s="903">
        <f t="array" ref="AX15">SUM(IF(LEFT(AX23:AX159,1)="X",1,0))</f>
        <v>9</v>
      </c>
      <c r="AY15" s="903">
        <f t="array" ref="AY15">SUM(IF(LEFT(AY23:AY159,1)="X",1,0))</f>
        <v>12</v>
      </c>
      <c r="AZ15" s="903">
        <f t="array" ref="AZ15">SUM(IF(LEFT(AZ23:AZ159,1)="X",1,0))</f>
        <v>0</v>
      </c>
      <c r="BA15" s="903">
        <f t="array" ref="BA15">SUM(IF(LEFT(BA23:BA159,1)="X",1,0))</f>
        <v>3</v>
      </c>
      <c r="BB15" s="903">
        <f t="array" ref="BB15">SUM(IF(LEFT(BB23:BB159,1)="X",1,0))</f>
        <v>0</v>
      </c>
      <c r="BC15" s="903">
        <f t="array" ref="BC15">SUM(IF(LEFT(BC23:BC159,1)="X",1,0))</f>
        <v>38</v>
      </c>
      <c r="BD15" s="903">
        <f t="array" ref="BD15">SUM(IF(LEFT(BD23:BD159,1)="X",1,0))</f>
        <v>1</v>
      </c>
      <c r="BE15" s="903">
        <f t="array" ref="BE15">SUM(IF(LEFT(BE23:BE159,1)="X",1,0))</f>
        <v>0</v>
      </c>
      <c r="BF15" s="903">
        <f t="array" ref="BF15">SUM(IF(LEFT(BF23:BF159,1)="X",1,0))</f>
        <v>7</v>
      </c>
      <c r="BG15" s="903">
        <f t="array" ref="BG15">SUM(IF(LEFT(BG23:BG159,1)="X",1,0))</f>
        <v>1</v>
      </c>
      <c r="BH15" s="903">
        <f t="array" ref="BH15">SUM(IF(LEFT(BH23:BH159,1)="X",1,0))</f>
        <v>40</v>
      </c>
      <c r="BI15" s="903">
        <f t="array" ref="BI15">SUM(IF(LEFT(BI23:BI159,1)="X",1,0))</f>
        <v>28</v>
      </c>
      <c r="BJ15" s="903">
        <f t="array" ref="BJ15">SUM(IF(LEFT(BJ23:BJ159,1)="X",1,0))</f>
        <v>1</v>
      </c>
      <c r="BK15" s="903">
        <f t="array" ref="BK15">SUM(IF(LEFT(BK23:BK159,1)="X",1,0))</f>
        <v>33</v>
      </c>
      <c r="BL15" s="903">
        <f t="array" ref="BL15">SUM(IF(LEFT(BL23:BL159,1)="X",1,0))</f>
        <v>0</v>
      </c>
      <c r="BM15" s="903">
        <f t="array" ref="BM15">SUM(IF(LEFT(BM23:BM159,1)="X",1,0))</f>
        <v>27</v>
      </c>
      <c r="BN15" s="889"/>
      <c r="BO15" s="889"/>
      <c r="BP15" s="903">
        <f t="array" ref="BP15">SUM(IF(LEFT(BP23:BP159,1)="X",1,0))</f>
        <v>1</v>
      </c>
      <c r="BQ15" s="889"/>
      <c r="BR15" s="890"/>
      <c r="BS15" s="890"/>
      <c r="BT15" s="890"/>
      <c r="BU15" s="890"/>
      <c r="BV15" s="889"/>
      <c r="BW15" s="889"/>
      <c r="BX15" s="889"/>
      <c r="BY15" s="889"/>
      <c r="BZ15" s="889"/>
      <c r="CA15" s="889"/>
      <c r="CB15" s="889"/>
    </row>
    <row r="16" spans="1:87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AVERAGEIF($H$23:$H$202,"=H",$J$23:$J$202)</f>
        <v>1.7727272727272727</v>
      </c>
      <c r="J16" s="858">
        <f>AVERAGEIF($H$23:$H$206,"=H",$K$23:$K$206)</f>
        <v>1.2727272727272727</v>
      </c>
      <c r="K16" s="858">
        <f>I16-J16</f>
        <v>0.5</v>
      </c>
      <c r="L16" s="857">
        <f>COUNTIFS($L$23:$L$202,"=W",$H$23:$H$202,"=H")</f>
        <v>8</v>
      </c>
      <c r="M16" s="857">
        <f>COUNTIFS($L$23:$L$202,"=D",$H$23:$H$202,"=H")</f>
        <v>9</v>
      </c>
      <c r="N16" s="863">
        <f>COUNTIFS($L$23:$L$202,"=L",$H$23:$H$202,"=H")</f>
        <v>5</v>
      </c>
      <c r="O16" s="858">
        <f>SUM(I16:J16)</f>
        <v>3.0454545454545454</v>
      </c>
      <c r="Q16" s="861" t="s">
        <v>212</v>
      </c>
      <c r="R16" s="858">
        <f>AVERAGEIFS($S$23:$S$203,$H$23:$H$203,"H",$I$23:$I$203,Table!$C$1)</f>
        <v>2.5495238095238095</v>
      </c>
      <c r="S16" s="858">
        <f>AVERAGEIFS($S$23:$S$203,$H$23:$H$203,"A",$I$23:$I$203,Table!$C$1)</f>
        <v>2.5209523809523811</v>
      </c>
      <c r="AF16" s="848" t="s">
        <v>724</v>
      </c>
      <c r="AG16" s="903">
        <f t="array" ref="AG16">SUM(IF(LEFT(AG23:AG160,1)="s",1,0))</f>
        <v>0</v>
      </c>
      <c r="AH16" s="903">
        <f t="array" ref="AH16">SUM(IF(LEFT(AH23:AH160,1)="s",1,0))</f>
        <v>0</v>
      </c>
      <c r="AI16" s="903">
        <f t="array" ref="AI16">SUM(IF(LEFT(AI23:AI160,1)="s",1,0))</f>
        <v>0</v>
      </c>
      <c r="AJ16" s="903">
        <f t="array" ref="AJ16">SUM(IF(LEFT(AJ23:AJ160,1)="s",1,0))</f>
        <v>0</v>
      </c>
      <c r="AK16" s="903">
        <f t="array" ref="AK16">SUM(IF(LEFT(AK23:AK160,1)="s",1,0))</f>
        <v>1</v>
      </c>
      <c r="AL16" s="903">
        <f t="array" ref="AL16">SUM(IF(LEFT(AL23:AL160,1)="s",1,0))</f>
        <v>4</v>
      </c>
      <c r="AM16" s="903">
        <f t="array" ref="AM16">SUM(IF(LEFT(AM23:AM160,1)="s",1,0))</f>
        <v>4</v>
      </c>
      <c r="AN16" s="903">
        <f t="array" ref="AN16">SUM(IF(LEFT(AN23:AN160,1)="s",1,0))</f>
        <v>3</v>
      </c>
      <c r="AO16" s="903">
        <f t="array" ref="AO16">SUM(IF(LEFT(AO23:AO160,1)="s",1,0))</f>
        <v>9</v>
      </c>
      <c r="AP16" s="903">
        <f t="array" ref="AP16">SUM(IF(LEFT(AP23:AP160,1)="s",1,0))</f>
        <v>1</v>
      </c>
      <c r="AQ16" s="903">
        <f t="array" ref="AQ16">SUM(IF(LEFT(AQ23:AQ160,1)="s",1,0))</f>
        <v>0</v>
      </c>
      <c r="AR16" s="903">
        <f t="array" ref="AR16">SUM(IF(LEFT(AR23:AR160,1)="s",1,0))</f>
        <v>1</v>
      </c>
      <c r="AS16" s="903">
        <f t="array" ref="AS16">SUM(IF(LEFT(AS23:AS160,1)="s",1,0))</f>
        <v>0</v>
      </c>
      <c r="AT16" s="903">
        <f t="array" ref="AT16">SUM(IF(LEFT(AT23:AT160,1)="s",1,0))</f>
        <v>2</v>
      </c>
      <c r="AU16" s="903">
        <f t="array" ref="AU16">SUM(IF(LEFT(AU23:AU160,1)="s",1,0))</f>
        <v>9</v>
      </c>
      <c r="AV16" s="903">
        <f t="array" ref="AV16">SUM(IF(LEFT(AV23:AV160,1)="s",1,0))</f>
        <v>4</v>
      </c>
      <c r="AW16" s="903">
        <f t="array" ref="AW16">SUM(IF(LEFT(AW23:AW160,1)="s",1,0))</f>
        <v>0</v>
      </c>
      <c r="AX16" s="903">
        <f t="array" ref="AX16">SUM(IF(LEFT(AX23:AX160,1)="s",1,0))</f>
        <v>10</v>
      </c>
      <c r="AY16" s="903">
        <f t="array" ref="AY16">SUM(IF(LEFT(AY23:AY160,1)="s",1,0))</f>
        <v>1</v>
      </c>
      <c r="AZ16" s="903">
        <f t="array" ref="AZ16">SUM(IF(LEFT(AZ23:AZ160,1)="s",1,0))</f>
        <v>4</v>
      </c>
      <c r="BA16" s="903">
        <f t="array" ref="BA16">SUM(IF(LEFT(BA23:BA160,1)="s",1,0))</f>
        <v>3</v>
      </c>
      <c r="BB16" s="903">
        <f t="array" ref="BB16">SUM(IF(LEFT(BB23:BB160,1)="s",1,0))</f>
        <v>2</v>
      </c>
      <c r="BC16" s="903">
        <f t="array" ref="BC16">SUM(IF(LEFT(BC23:BC160,1)="s",1,0))</f>
        <v>3</v>
      </c>
      <c r="BD16" s="903">
        <f t="array" ref="BD16">SUM(IF(LEFT(BD23:BD160,1)="s",1,0))</f>
        <v>5</v>
      </c>
      <c r="BE16" s="903">
        <f t="array" ref="BE16">SUM(IF(LEFT(BE23:BE160,1)="s",1,0))</f>
        <v>2</v>
      </c>
      <c r="BF16" s="903">
        <f t="array" ref="BF16">SUM(IF(LEFT(BF23:BF160,1)="s",1,0))</f>
        <v>7</v>
      </c>
      <c r="BG16" s="903">
        <f t="array" ref="BG16">SUM(IF(LEFT(BG23:BG160,1)="s",1,0))</f>
        <v>8</v>
      </c>
      <c r="BH16" s="903">
        <f t="array" ref="BH16">SUM(IF(LEFT(BH23:BH160,1)="s",1,0))</f>
        <v>3</v>
      </c>
      <c r="BI16" s="903">
        <f t="array" ref="BI16">SUM(IF(LEFT(BI23:BI160,1)="s",1,0))</f>
        <v>6</v>
      </c>
      <c r="BJ16" s="903">
        <f t="array" ref="BJ16">SUM(IF(LEFT(BJ23:BJ160,1)="s",1,0))</f>
        <v>9</v>
      </c>
      <c r="BK16" s="903">
        <f t="array" ref="BK16">SUM(IF(LEFT(BK23:BK160,1)="s",1,0))</f>
        <v>4</v>
      </c>
      <c r="BL16" s="903">
        <f t="array" ref="BL16">SUM(IF(LEFT(BL23:BL160,1)="s",1,0))</f>
        <v>0</v>
      </c>
      <c r="BM16" s="903">
        <f t="array" ref="BM16">SUM(IF(LEFT(BM23:BM160,1)="s",1,0))</f>
        <v>5</v>
      </c>
      <c r="BN16" s="889"/>
      <c r="BO16" s="889"/>
      <c r="BP16" s="903">
        <f t="array" ref="BP16">SUM(IF(LEFT(BP23:BP160,1)="s",1,0))</f>
        <v>6</v>
      </c>
      <c r="BQ16" s="889"/>
      <c r="BR16" s="890"/>
      <c r="BS16" s="890"/>
      <c r="BT16" s="890"/>
      <c r="BU16" s="890"/>
      <c r="BV16" s="889"/>
      <c r="BW16" s="889"/>
      <c r="BX16" s="889"/>
      <c r="BY16" s="889"/>
      <c r="BZ16" s="889"/>
      <c r="CA16" s="889"/>
      <c r="CB16" s="889"/>
    </row>
    <row r="17" spans="1:113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AVERAGEIF($H$23:$H$202,"=A",$J$23:$J$202)</f>
        <v>1.5238095238095237</v>
      </c>
      <c r="J17" s="860">
        <f>AVERAGEIF($H$23:$H$206,"=A",$K$23:$K$206)</f>
        <v>0.95238095238095233</v>
      </c>
      <c r="K17" s="858">
        <f>I17-J17</f>
        <v>0.5714285714285714</v>
      </c>
      <c r="L17" s="857">
        <f>COUNTIFS($L$23:$L$202,"=W",$H$23:$H$202,"=A")</f>
        <v>10</v>
      </c>
      <c r="M17" s="857">
        <f>COUNTIFS($L$23:$L$202,"=D",$H$23:$H$202,"=A")</f>
        <v>4</v>
      </c>
      <c r="N17" s="863">
        <f>COUNTIFS($L$23:$L$202,"=L",$H$23:$H$202,"=A")</f>
        <v>7</v>
      </c>
      <c r="O17" s="858">
        <f>SUM(I17:J17)</f>
        <v>2.4761904761904763</v>
      </c>
      <c r="Q17" s="848"/>
      <c r="R17" s="859"/>
      <c r="S17" s="855"/>
      <c r="AF17" s="848" t="s">
        <v>718</v>
      </c>
      <c r="AG17" s="903">
        <f t="array" ref="AG17">SUM(IF(ISNUMBER(VALUE(RIGHT(AG23:AG168,1))),VALUE(RIGHT(AG23:AG168,1)),0))</f>
        <v>0</v>
      </c>
      <c r="AH17" s="903">
        <f t="array" ref="AH17">SUM(IF(ISNUMBER(VALUE(RIGHT(AH23:AH168,1))),VALUE(RIGHT(AH23:AH168,1)),0))</f>
        <v>0</v>
      </c>
      <c r="AI17" s="903">
        <f t="array" ref="AI17">SUM(IF(ISNUMBER(VALUE(RIGHT(AI23:AI168,1))),VALUE(RIGHT(AI23:AI168,1)),0))</f>
        <v>0</v>
      </c>
      <c r="AJ17" s="903">
        <f t="array" ref="AJ17">SUM(IF(ISNUMBER(VALUE(RIGHT(AJ23:AJ168,1))),VALUE(RIGHT(AJ23:AJ168,1)),0))</f>
        <v>0</v>
      </c>
      <c r="AK17" s="903">
        <f t="array" ref="AK17">SUM(IF(ISNUMBER(VALUE(RIGHT(AK23:AK168,1))),VALUE(RIGHT(AK23:AK168,1)),0))</f>
        <v>0</v>
      </c>
      <c r="AL17" s="903">
        <f t="array" ref="AL17">SUM(IF(ISNUMBER(VALUE(RIGHT(AL23:AL168,1))),VALUE(RIGHT(AL23:AL168,1)),0))</f>
        <v>0</v>
      </c>
      <c r="AM17" s="903">
        <f t="array" ref="AM17">SUM(IF(ISNUMBER(VALUE(RIGHT(AM23:AM168,1))),VALUE(RIGHT(AM23:AM168,1)),0))</f>
        <v>0</v>
      </c>
      <c r="AN17" s="903">
        <f t="array" ref="AN17">SUM(IF(ISNUMBER(VALUE(RIGHT(AN23:AN168,1))),VALUE(RIGHT(AN23:AN168,1)),0))</f>
        <v>1</v>
      </c>
      <c r="AO17" s="903">
        <f t="array" ref="AO17">SUM(IF(ISNUMBER(VALUE(RIGHT(AO23:AO168,1))),VALUE(RIGHT(AO23:AO168,1)),0))</f>
        <v>3</v>
      </c>
      <c r="AP17" s="903">
        <f t="array" ref="AP17">SUM(IF(ISNUMBER(VALUE(RIGHT(AP23:AP168,1))),VALUE(RIGHT(AP23:AP168,1)),0))</f>
        <v>0</v>
      </c>
      <c r="AQ17" s="903">
        <f t="array" ref="AQ17">SUM(IF(ISNUMBER(VALUE(RIGHT(AQ23:AQ168,1))),VALUE(RIGHT(AQ23:AQ168,1)),0))</f>
        <v>0</v>
      </c>
      <c r="AR17" s="903">
        <f t="array" ref="AR17">SUM(IF(ISNUMBER(VALUE(RIGHT(AR23:AR168,1))),VALUE(RIGHT(AR23:AR168,1)),0))</f>
        <v>4</v>
      </c>
      <c r="AS17" s="903">
        <f t="array" ref="AS17">SUM(IF(ISNUMBER(VALUE(RIGHT(AS23:AS168,1))),VALUE(RIGHT(AS23:AS168,1)),0))</f>
        <v>0</v>
      </c>
      <c r="AT17" s="903">
        <f t="array" ref="AT17">SUM(IF(ISNUMBER(VALUE(RIGHT(AT23:AT168,1))),VALUE(RIGHT(AT23:AT168,1)),0))</f>
        <v>0</v>
      </c>
      <c r="AU17" s="903">
        <f t="array" ref="AU17">SUM(IF(ISNUMBER(VALUE(RIGHT(AU23:AU168,1))),VALUE(RIGHT(AU23:AU168,1)),0))</f>
        <v>0</v>
      </c>
      <c r="AV17" s="903">
        <f t="array" ref="AV17">SUM(IF(ISNUMBER(VALUE(RIGHT(AV23:AV168,1))),VALUE(RIGHT(AV23:AV168,1)),0))</f>
        <v>0</v>
      </c>
      <c r="AW17" s="903">
        <f t="array" ref="AW17">SUM(IF(ISNUMBER(VALUE(RIGHT(AW23:AW168,1))),VALUE(RIGHT(AW23:AW168,1)),0))</f>
        <v>4</v>
      </c>
      <c r="AX17" s="903">
        <f t="array" ref="AX17">SUM(IF(ISNUMBER(VALUE(RIGHT(AX23:AX168,1))),VALUE(RIGHT(AX23:AX168,1)),0))</f>
        <v>6</v>
      </c>
      <c r="AY17" s="903">
        <f t="array" ref="AY17">SUM(IF(ISNUMBER(VALUE(RIGHT(AY23:AY168,1))),VALUE(RIGHT(AY23:AY168,1)),0))</f>
        <v>0</v>
      </c>
      <c r="AZ17" s="903">
        <f t="array" ref="AZ17">SUM(IF(ISNUMBER(VALUE(RIGHT(AZ23:AZ168,1))),VALUE(RIGHT(AZ23:AZ168,1)),0))</f>
        <v>0</v>
      </c>
      <c r="BA17" s="903">
        <f t="array" ref="BA17">SUM(IF(ISNUMBER(VALUE(RIGHT(BA23:BA168,1))),VALUE(RIGHT(BA23:BA168,1)),0))</f>
        <v>0</v>
      </c>
      <c r="BB17" s="903">
        <f t="array" ref="BB17">SUM(IF(ISNUMBER(VALUE(RIGHT(BB23:BB168,1))),VALUE(RIGHT(BB23:BB168,1)),0))</f>
        <v>0</v>
      </c>
      <c r="BC17" s="903">
        <f t="array" ref="BC17">SUM(IF(ISNUMBER(VALUE(RIGHT(BC23:BC168,1))),VALUE(RIGHT(BC23:BC168,1)),0))</f>
        <v>6</v>
      </c>
      <c r="BD17" s="903">
        <f t="array" ref="BD17">SUM(IF(ISNUMBER(VALUE(RIGHT(BD23:BD168,1))),VALUE(RIGHT(BD23:BD168,1)),0))</f>
        <v>0</v>
      </c>
      <c r="BE17" s="903">
        <f t="array" ref="BE17">SUM(IF(ISNUMBER(VALUE(RIGHT(BE23:BE168,1))),VALUE(RIGHT(BE23:BE168,1)),0))</f>
        <v>0</v>
      </c>
      <c r="BF17" s="903">
        <f t="array" ref="BF17">SUM(IF(ISNUMBER(VALUE(RIGHT(BF23:BF168,1))),VALUE(RIGHT(BF23:BF168,1)),0))</f>
        <v>0</v>
      </c>
      <c r="BG17" s="903">
        <f t="array" ref="BG17">SUM(IF(ISNUMBER(VALUE(RIGHT(BG23:BG168,1))),VALUE(RIGHT(BG23:BG168,1)),0))</f>
        <v>0</v>
      </c>
      <c r="BH17" s="903">
        <f t="array" ref="BH17">SUM(IF(ISNUMBER(VALUE(RIGHT(BH23:BH168,1))),VALUE(RIGHT(BH23:BH168,1)),0))</f>
        <v>23</v>
      </c>
      <c r="BI17" s="903">
        <f t="array" ref="BI17">SUM(IF(ISNUMBER(VALUE(RIGHT(BI23:BI168,1))),VALUE(RIGHT(BI23:BI168,1)),0))</f>
        <v>14</v>
      </c>
      <c r="BJ17" s="903">
        <f t="array" ref="BJ17">SUM(IF(ISNUMBER(VALUE(RIGHT(BJ23:BJ168,1))),VALUE(RIGHT(BJ23:BJ168,1)),0))</f>
        <v>0</v>
      </c>
      <c r="BK17" s="903">
        <f t="array" ref="BK17">SUM(IF(ISNUMBER(VALUE(RIGHT(BK23:BK168,1))),VALUE(RIGHT(BK23:BK168,1)),0))</f>
        <v>2</v>
      </c>
      <c r="BL17" s="903">
        <f t="array" ref="BL17">SUM(IF(ISNUMBER(VALUE(RIGHT(BL23:BL168,1))),VALUE(RIGHT(BL23:BL168,1)),0))</f>
        <v>0</v>
      </c>
      <c r="BM17" s="903">
        <f t="array" ref="BM17">SUM(IF(ISNUMBER(VALUE(RIGHT(BM23:BM168,1))),VALUE(RIGHT(BM23:BM168,1)),0))</f>
        <v>7</v>
      </c>
      <c r="BN17" s="889"/>
      <c r="BO17" s="889"/>
      <c r="BP17" s="903">
        <f t="array" ref="BP17">SUM(IF(ISNUMBER(VALUE(RIGHT(BP23:BP168,1))),VALUE(RIGHT(BP23:BP168,1)),0))</f>
        <v>0</v>
      </c>
      <c r="BQ17" s="889"/>
      <c r="BR17" s="890"/>
      <c r="BS17" s="890"/>
      <c r="BT17" s="890"/>
      <c r="BU17" s="890"/>
      <c r="BV17" s="889"/>
      <c r="BW17" s="889"/>
      <c r="BX17" s="889"/>
      <c r="BY17" s="889"/>
      <c r="BZ17" s="889"/>
      <c r="CA17" s="889"/>
      <c r="CB17" s="889"/>
    </row>
    <row r="18" spans="1:113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AVERAGEIFS($Y$23:$Y$205,$H$23:$H$205,"H",$I$23:$I$205,Table!$C$1)</f>
        <v>5.5714285714285712</v>
      </c>
      <c r="S18" s="858">
        <f>AVERAGEIFS($Y$23:$Y$205,$H$23:$H$205,"A",$I$23:$I$205,Table!$C$1)</f>
        <v>4.8095238095238093</v>
      </c>
      <c r="AG18" s="876">
        <v>1</v>
      </c>
      <c r="AH18" s="876">
        <v>21</v>
      </c>
      <c r="AI18" s="876">
        <v>29</v>
      </c>
      <c r="AJ18" s="876">
        <v>31</v>
      </c>
      <c r="AK18" s="876">
        <v>2</v>
      </c>
      <c r="AL18" s="876">
        <v>4</v>
      </c>
      <c r="AM18" s="876">
        <v>5</v>
      </c>
      <c r="AN18" s="876">
        <v>15</v>
      </c>
      <c r="AO18" s="876">
        <v>19</v>
      </c>
      <c r="AP18" s="876">
        <v>20</v>
      </c>
      <c r="AQ18" s="876">
        <v>25</v>
      </c>
      <c r="AR18" s="876">
        <v>27</v>
      </c>
      <c r="AS18" s="876"/>
      <c r="AT18" s="876">
        <v>3</v>
      </c>
      <c r="AU18" s="876">
        <v>6</v>
      </c>
      <c r="AV18" s="876">
        <v>7</v>
      </c>
      <c r="AW18" s="876">
        <v>8</v>
      </c>
      <c r="AX18" s="876">
        <v>10</v>
      </c>
      <c r="AY18" s="876">
        <v>22</v>
      </c>
      <c r="AZ18" s="876">
        <v>13</v>
      </c>
      <c r="BA18" s="876">
        <v>14</v>
      </c>
      <c r="BB18" s="876">
        <v>24</v>
      </c>
      <c r="BC18" s="876">
        <v>26</v>
      </c>
      <c r="BD18" s="876">
        <v>28</v>
      </c>
      <c r="BE18" s="876">
        <v>30</v>
      </c>
      <c r="BF18" s="876">
        <v>29</v>
      </c>
      <c r="BG18" s="876">
        <v>34</v>
      </c>
      <c r="BH18" s="876">
        <v>16</v>
      </c>
      <c r="BI18" s="876">
        <v>17</v>
      </c>
      <c r="BJ18" s="876">
        <v>33</v>
      </c>
      <c r="BK18" s="876">
        <v>23</v>
      </c>
      <c r="BL18" s="876">
        <v>35</v>
      </c>
      <c r="BM18" s="876">
        <v>11</v>
      </c>
      <c r="BO18" s="876"/>
      <c r="BP18" s="876">
        <v>30</v>
      </c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</row>
    <row r="19" spans="1:113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AVERAGEIFS($Z$23:$Z$203,$H$23:$H$203,"H",$I$23:$I$203,Table!$C$1)</f>
        <v>3.5714285714285716</v>
      </c>
      <c r="S19" s="858">
        <f>AVERAGEIFS($Z$23:$Z$203,$H$23:$H$203,"A",$I$23:$I$203,Table!$C$1)</f>
        <v>3.8571428571428572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2072</v>
      </c>
      <c r="AL19" s="901" t="s">
        <v>2072</v>
      </c>
      <c r="AM19" s="901" t="s">
        <v>2207</v>
      </c>
      <c r="AN19" s="901" t="s">
        <v>2090</v>
      </c>
      <c r="AO19" s="901" t="s">
        <v>2208</v>
      </c>
      <c r="AP19" s="901" t="s">
        <v>2207</v>
      </c>
      <c r="AQ19" s="901" t="s">
        <v>2207</v>
      </c>
      <c r="AR19" s="901" t="s">
        <v>2090</v>
      </c>
      <c r="AS19" s="901" t="s">
        <v>2090</v>
      </c>
      <c r="AT19" s="901" t="s">
        <v>2073</v>
      </c>
      <c r="AU19" s="901" t="s">
        <v>2210</v>
      </c>
      <c r="AV19" s="901" t="s">
        <v>2210</v>
      </c>
      <c r="AW19" s="901" t="s">
        <v>2210</v>
      </c>
      <c r="AX19" s="901" t="s">
        <v>2211</v>
      </c>
      <c r="AY19" s="901" t="s">
        <v>2209</v>
      </c>
      <c r="AZ19" s="901" t="s">
        <v>2211</v>
      </c>
      <c r="BA19" s="901" t="s">
        <v>2210</v>
      </c>
      <c r="BB19" s="901" t="s">
        <v>2091</v>
      </c>
      <c r="BC19" s="901" t="s">
        <v>2213</v>
      </c>
      <c r="BD19" s="901" t="s">
        <v>2210</v>
      </c>
      <c r="BE19" s="901" t="s">
        <v>3313</v>
      </c>
      <c r="BF19" s="901" t="s">
        <v>2091</v>
      </c>
      <c r="BG19" s="901" t="s">
        <v>1999</v>
      </c>
      <c r="BH19" s="901" t="s">
        <v>2214</v>
      </c>
      <c r="BI19" s="901" t="s">
        <v>2214</v>
      </c>
      <c r="BJ19" s="901" t="s">
        <v>2214</v>
      </c>
      <c r="BK19" s="901" t="s">
        <v>2215</v>
      </c>
      <c r="BL19" s="901" t="s">
        <v>2092</v>
      </c>
      <c r="BM19" s="901" t="s">
        <v>2212</v>
      </c>
      <c r="BO19" s="877"/>
      <c r="BP19" s="901" t="s">
        <v>2214</v>
      </c>
      <c r="BQ19" s="877"/>
      <c r="BR19" s="428"/>
      <c r="BS19" s="428"/>
      <c r="BT19" s="428"/>
      <c r="BU19" s="428"/>
      <c r="BV19" s="877"/>
      <c r="BW19" s="877"/>
      <c r="BX19" s="877"/>
      <c r="BY19" s="877"/>
      <c r="BZ19" s="877"/>
      <c r="CA19" s="877"/>
      <c r="CB19" s="877"/>
      <c r="CC19" s="428"/>
      <c r="CD19" s="876"/>
      <c r="CE19" s="876"/>
      <c r="CF19" s="876"/>
    </row>
    <row r="20" spans="1:113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7</v>
      </c>
      <c r="G20" s="822" t="str">
        <f ca="1">MID(CELL("filename",A1),FIND("]",CELL("filename",A1))+1,LEN(CELL("filename",A1))-FIND("]",CELL("filename",A1)))</f>
        <v>Tokushima Vortis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1789</v>
      </c>
      <c r="AH20" s="887" t="s">
        <v>1790</v>
      </c>
      <c r="AI20" s="887" t="s">
        <v>1791</v>
      </c>
      <c r="AJ20" s="887" t="s">
        <v>1788</v>
      </c>
      <c r="AK20" s="887" t="s">
        <v>1792</v>
      </c>
      <c r="AL20" s="887" t="s">
        <v>3211</v>
      </c>
      <c r="AM20" s="887" t="s">
        <v>1794</v>
      </c>
      <c r="AN20" s="887" t="s">
        <v>1795</v>
      </c>
      <c r="AO20" s="887" t="s">
        <v>1796</v>
      </c>
      <c r="AP20" s="887" t="s">
        <v>1797</v>
      </c>
      <c r="AQ20" s="887" t="s">
        <v>1799</v>
      </c>
      <c r="AR20" s="887" t="s">
        <v>3511</v>
      </c>
      <c r="AS20" s="887" t="s">
        <v>1933</v>
      </c>
      <c r="AT20" s="887" t="s">
        <v>1793</v>
      </c>
      <c r="AU20" s="887" t="s">
        <v>3216</v>
      </c>
      <c r="AV20" s="887" t="s">
        <v>1800</v>
      </c>
      <c r="AW20" s="887" t="s">
        <v>1801</v>
      </c>
      <c r="AX20" s="887" t="s">
        <v>1802</v>
      </c>
      <c r="AY20" s="887" t="s">
        <v>1798</v>
      </c>
      <c r="AZ20" s="887" t="s">
        <v>1804</v>
      </c>
      <c r="BA20" s="887" t="s">
        <v>1805</v>
      </c>
      <c r="BB20" s="887" t="s">
        <v>1934</v>
      </c>
      <c r="BC20" s="887" t="s">
        <v>3382</v>
      </c>
      <c r="BD20" s="887" t="s">
        <v>1806</v>
      </c>
      <c r="BE20" s="887" t="s">
        <v>3315</v>
      </c>
      <c r="BF20" s="887" t="s">
        <v>1807</v>
      </c>
      <c r="BG20" s="887" t="s">
        <v>2931</v>
      </c>
      <c r="BH20" s="887" t="s">
        <v>1809</v>
      </c>
      <c r="BI20" s="887" t="s">
        <v>1810</v>
      </c>
      <c r="BJ20" s="887" t="s">
        <v>2266</v>
      </c>
      <c r="BK20" s="887" t="s">
        <v>1811</v>
      </c>
      <c r="BL20" s="887" t="s">
        <v>1935</v>
      </c>
      <c r="BM20" s="887" t="s">
        <v>1803</v>
      </c>
      <c r="BN20" s="887" t="s">
        <v>2811</v>
      </c>
      <c r="BO20" s="864"/>
      <c r="BP20" s="887" t="s">
        <v>1808</v>
      </c>
      <c r="BQ20" s="864"/>
      <c r="BR20" s="847"/>
      <c r="BS20" s="847"/>
      <c r="BT20" s="847"/>
      <c r="BU20" s="847"/>
      <c r="BV20" s="864"/>
      <c r="BW20" s="864"/>
      <c r="BX20" s="864"/>
      <c r="BY20" s="864"/>
      <c r="BZ20" s="864"/>
      <c r="CA20" s="864"/>
      <c r="CB20" s="864"/>
      <c r="CC20" s="824"/>
      <c r="CD20" s="82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</row>
    <row r="21" spans="1:113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1023</v>
      </c>
      <c r="AH21" s="886" t="s">
        <v>1281</v>
      </c>
      <c r="AI21" s="886" t="s">
        <v>1282</v>
      </c>
      <c r="AJ21" s="886" t="s">
        <v>1725</v>
      </c>
      <c r="AK21" s="886" t="s">
        <v>1726</v>
      </c>
      <c r="AL21" s="886" t="s">
        <v>1727</v>
      </c>
      <c r="AM21" s="886" t="s">
        <v>1728</v>
      </c>
      <c r="AN21" s="886" t="s">
        <v>1024</v>
      </c>
      <c r="AO21" s="886" t="s">
        <v>1025</v>
      </c>
      <c r="AP21" s="886" t="s">
        <v>1729</v>
      </c>
      <c r="AQ21" s="886" t="s">
        <v>1284</v>
      </c>
      <c r="AR21" s="886" t="s">
        <v>1071</v>
      </c>
      <c r="AS21" s="886" t="s">
        <v>1730</v>
      </c>
      <c r="AT21" s="886" t="s">
        <v>1283</v>
      </c>
      <c r="AU21" s="886" t="s">
        <v>1731</v>
      </c>
      <c r="AV21" s="886" t="s">
        <v>1028</v>
      </c>
      <c r="AW21" s="886" t="s">
        <v>1732</v>
      </c>
      <c r="AX21" s="886" t="s">
        <v>1029</v>
      </c>
      <c r="AY21" s="886" t="s">
        <v>1026</v>
      </c>
      <c r="AZ21" s="886" t="s">
        <v>1733</v>
      </c>
      <c r="BA21" s="886" t="s">
        <v>1734</v>
      </c>
      <c r="BB21" s="886" t="s">
        <v>1285</v>
      </c>
      <c r="BC21" s="886" t="s">
        <v>1286</v>
      </c>
      <c r="BD21" s="886" t="s">
        <v>1735</v>
      </c>
      <c r="BE21" s="886" t="s">
        <v>3314</v>
      </c>
      <c r="BF21" s="886" t="s">
        <v>1287</v>
      </c>
      <c r="BG21" s="886" t="s">
        <v>2932</v>
      </c>
      <c r="BH21" s="886" t="s">
        <v>1031</v>
      </c>
      <c r="BI21" s="886" t="s">
        <v>1288</v>
      </c>
      <c r="BJ21" s="886" t="s">
        <v>2267</v>
      </c>
      <c r="BK21" s="886" t="s">
        <v>1030</v>
      </c>
      <c r="BL21" s="886" t="s">
        <v>1737</v>
      </c>
      <c r="BM21" s="886" t="s">
        <v>1000</v>
      </c>
      <c r="BO21" s="864"/>
      <c r="BP21" s="886" t="s">
        <v>1736</v>
      </c>
      <c r="BQ21" s="864"/>
      <c r="BR21" s="847"/>
      <c r="BS21" s="847"/>
      <c r="BT21" s="847"/>
      <c r="BU21" s="847"/>
      <c r="BV21" s="864"/>
      <c r="BW21" s="864"/>
      <c r="BX21" s="864"/>
      <c r="BY21" s="864"/>
      <c r="BZ21" s="864"/>
      <c r="CA21" s="864"/>
      <c r="CB21" s="864"/>
      <c r="CC21" s="824"/>
      <c r="CD21" s="82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</row>
    <row r="22" spans="1:113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</row>
    <row r="23" spans="1:113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5</v>
      </c>
      <c r="G23" s="879" t="s">
        <v>889</v>
      </c>
      <c r="H23" s="879" t="s">
        <v>22</v>
      </c>
      <c r="I23" s="879" t="s">
        <v>891</v>
      </c>
      <c r="J23" s="846">
        <v>1</v>
      </c>
      <c r="K23" s="846">
        <v>0</v>
      </c>
      <c r="L23" s="816" t="str">
        <f>IF(J23="","",IF(J23&gt;K23,"W",IF(J23=K23,"D",IF(J23&lt;K23,"L"))))</f>
        <v>W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7" si="22">IF(Q23="","",IF(SIGN(Q23)&lt;&gt;1,VLOOKUP(ABS(Q23),SUP_HDC,3,TRUE),-VLOOKUP(ABS(Q23),SUP_HDC,3,TRUE)))</f>
        <v>-0.25</v>
      </c>
      <c r="P23" s="829">
        <f>IF(O23="","",IF((J23-K23+O23)&gt;=0.5,1,IF((J23-K23+O23)=0.25,0.5,IF((J23-K23+O23)&lt;=-0.5,-1,IF((J23-K23+O23)=-0.25,-0.5,0)))))</f>
        <v>1</v>
      </c>
      <c r="Q23" s="830">
        <v>0.22</v>
      </c>
      <c r="R23" s="871">
        <f>IF(ISBLANK(Q23),"",J23-K23-Q23)</f>
        <v>0.78</v>
      </c>
      <c r="S23" s="830">
        <v>2.27</v>
      </c>
      <c r="T23" s="871">
        <f>IF(ISBLANK(S23),"",J23+K23-S23)</f>
        <v>-1.27</v>
      </c>
      <c r="U23" s="868">
        <f>IF(Q23="","",(Q23+S23)/2)</f>
        <v>1.2450000000000001</v>
      </c>
      <c r="V23" s="868">
        <f>IF(Q23="","",S23-U23)</f>
        <v>1.0249999999999999</v>
      </c>
      <c r="W23" s="829">
        <v>9</v>
      </c>
      <c r="X23" s="829">
        <v>9</v>
      </c>
      <c r="Y23" s="829">
        <v>6</v>
      </c>
      <c r="Z23" s="829">
        <v>2</v>
      </c>
      <c r="AA23" s="829">
        <v>52</v>
      </c>
      <c r="AB23" s="829">
        <v>48</v>
      </c>
      <c r="AC23" s="829"/>
      <c r="AD23" s="816" t="str">
        <f t="array" ref="AD23">IF($J23="","",IF(SUM(IF(ISNUMBER(VALUE(RIGHT($AG23:$DU23,1))),VALUE(RIGHT($AG23:$DU23,1)),0))=$J23,"T","F"))</f>
        <v>T</v>
      </c>
      <c r="AE23" s="831">
        <f t="array" ref="AE23">IF($J23="","",SUM(IF(LEFT($AG23:$DU23,1)="s",1,0))-SUM(IF(RIGHT(LEFT($AG23:$DU23,2))="-",1,0)))</f>
        <v>0</v>
      </c>
      <c r="AF23" s="816">
        <f t="array" ref="AF23">IF($J23="","",SUM(IF(LEFT($AG23:$DU23,1)="X",1,0)))</f>
        <v>11</v>
      </c>
      <c r="AG23" s="891" t="s">
        <v>1877</v>
      </c>
      <c r="AH23" s="891" t="s">
        <v>34</v>
      </c>
      <c r="AI23" s="891" t="s">
        <v>32</v>
      </c>
      <c r="AJ23" s="891" t="s">
        <v>32</v>
      </c>
      <c r="AK23" s="891" t="s">
        <v>34</v>
      </c>
      <c r="AL23" s="891" t="s">
        <v>34</v>
      </c>
      <c r="AM23" s="891" t="s">
        <v>34</v>
      </c>
      <c r="AN23" s="891" t="s">
        <v>32</v>
      </c>
      <c r="AO23" s="891" t="s">
        <v>32</v>
      </c>
      <c r="AP23" s="891" t="s">
        <v>1877</v>
      </c>
      <c r="AQ23" s="891" t="s">
        <v>32</v>
      </c>
      <c r="AR23" s="891" t="s">
        <v>34</v>
      </c>
      <c r="AS23" s="891" t="s">
        <v>32</v>
      </c>
      <c r="AT23" s="891" t="s">
        <v>32</v>
      </c>
      <c r="AU23" s="891" t="s">
        <v>34</v>
      </c>
      <c r="AV23" s="891" t="s">
        <v>32</v>
      </c>
      <c r="AW23" s="891" t="s">
        <v>34</v>
      </c>
      <c r="AX23" s="891" t="s">
        <v>36</v>
      </c>
      <c r="AY23" s="891" t="s">
        <v>34</v>
      </c>
      <c r="AZ23" s="891" t="s">
        <v>32</v>
      </c>
      <c r="BA23" s="891" t="s">
        <v>32</v>
      </c>
      <c r="BB23" s="891" t="s">
        <v>32</v>
      </c>
      <c r="BC23" s="891" t="s">
        <v>1878</v>
      </c>
      <c r="BD23" s="891" t="s">
        <v>1877</v>
      </c>
      <c r="BE23" s="891"/>
      <c r="BF23" s="891" t="s">
        <v>32</v>
      </c>
      <c r="BG23" s="910"/>
      <c r="BH23" s="891" t="s">
        <v>35</v>
      </c>
      <c r="BI23" s="891" t="s">
        <v>36</v>
      </c>
      <c r="BJ23" s="891" t="s">
        <v>36</v>
      </c>
      <c r="BK23" s="891" t="s">
        <v>35</v>
      </c>
      <c r="BL23" s="891"/>
      <c r="BM23" s="891" t="s">
        <v>1877</v>
      </c>
      <c r="BO23" s="891"/>
      <c r="BP23" s="891" t="s">
        <v>32</v>
      </c>
      <c r="BQ23" s="891"/>
      <c r="BR23" s="896"/>
      <c r="BS23" s="896"/>
      <c r="BT23" s="896"/>
      <c r="BU23" s="896"/>
      <c r="BV23" s="896"/>
      <c r="BW23" s="896"/>
      <c r="BX23" s="896"/>
      <c r="BY23" s="896"/>
      <c r="BZ23" s="896"/>
      <c r="CA23" s="896"/>
      <c r="CB23" s="896"/>
      <c r="CC23" s="428"/>
      <c r="CD23" s="428"/>
      <c r="CE23" s="428"/>
      <c r="CF23" s="428"/>
      <c r="CG23" s="230" t="s">
        <v>32</v>
      </c>
      <c r="CH23" s="230" t="s">
        <v>32</v>
      </c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</row>
    <row r="24" spans="1:113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12</v>
      </c>
      <c r="G24" s="879" t="s">
        <v>879</v>
      </c>
      <c r="H24" s="879" t="s">
        <v>18</v>
      </c>
      <c r="I24" s="879" t="s">
        <v>891</v>
      </c>
      <c r="J24" s="846">
        <v>0</v>
      </c>
      <c r="K24" s="846">
        <v>1</v>
      </c>
      <c r="L24" s="816" t="str">
        <f>IF(J24="","",IF(J24&gt;K24,"W",IF(J24=K24,"D",IF(J24&lt;K24,"L"))))</f>
        <v>L</v>
      </c>
      <c r="M24" s="816">
        <f>IF(J24="","",J24+K24)</f>
        <v>1</v>
      </c>
      <c r="N24" s="816" t="str">
        <f t="shared" ref="N24:N30" si="23">IF($J24="","",IF($M24&gt;N$19,"O",IF($M24&lt;N$19,"U",IF($M24=N$19,"-"))))</f>
        <v>U</v>
      </c>
      <c r="O24" s="816">
        <f t="shared" si="22"/>
        <v>0.25</v>
      </c>
      <c r="P24" s="829">
        <f t="shared" ref="P24:P57" si="24">IF(O24="","",IF((J24-K24+O24)&gt;=0.5,1,IF((J24-K24+O24)=0.25,0.5,IF((J24-K24+O24)&lt;=-0.5,-1,IF((J24-K24+O24)=-0.25,-0.5,0)))))</f>
        <v>-1</v>
      </c>
      <c r="Q24" s="830">
        <v>-0.26</v>
      </c>
      <c r="R24" s="871">
        <f t="shared" ref="R24:R30" si="25">IF(ISBLANK(Q24),"",J24-K24-Q24)</f>
        <v>-0.74</v>
      </c>
      <c r="S24" s="830">
        <v>2.1</v>
      </c>
      <c r="T24" s="871">
        <f t="shared" ref="T24:T68" si="26">IF(ISBLANK(S24),"",J24+K24-S24)</f>
        <v>-1.1000000000000001</v>
      </c>
      <c r="U24" s="868">
        <f t="shared" ref="U24:U57" si="27">IF(Q24="","",(Q24+S24)/2)</f>
        <v>0.92</v>
      </c>
      <c r="V24" s="868">
        <f t="shared" ref="V24:V57" si="28">IF(Q24="","",S24-U24)</f>
        <v>1.1800000000000002</v>
      </c>
      <c r="W24" s="829">
        <v>11</v>
      </c>
      <c r="X24" s="829">
        <v>8</v>
      </c>
      <c r="Y24" s="829">
        <v>3</v>
      </c>
      <c r="Z24" s="829">
        <v>2</v>
      </c>
      <c r="AA24" s="829">
        <v>63</v>
      </c>
      <c r="AB24" s="829">
        <v>37</v>
      </c>
      <c r="AD24" s="816" t="str">
        <f t="array" ref="AD24">IF($J24="","",IF(SUM(IF(ISNUMBER(VALUE(RIGHT($AG24:$DU24,1))),VALUE(RIGHT($AG24:$DU24,1)),0))=$J24,"T","F"))</f>
        <v>T</v>
      </c>
      <c r="AE24" s="831">
        <f t="array" ref="AE24">IF($J24="","",SUM(IF(LEFT($AG24:$DU24,1)="s",1,0))-SUM(IF(RIGHT(LEFT($AG24:$DU24,2))="-",1,0)))</f>
        <v>0</v>
      </c>
      <c r="AF24" s="816">
        <f t="array" ref="AF24">IF($J24="","",SUM(IF(LEFT($AG24:$DU24,1)="X",1,0)))</f>
        <v>11</v>
      </c>
      <c r="AG24" s="891" t="s">
        <v>32</v>
      </c>
      <c r="AH24" s="904" t="s">
        <v>34</v>
      </c>
      <c r="AI24" s="891" t="s">
        <v>32</v>
      </c>
      <c r="AJ24" s="891" t="s">
        <v>1877</v>
      </c>
      <c r="AK24" s="891" t="s">
        <v>34</v>
      </c>
      <c r="AL24" s="891" t="s">
        <v>34</v>
      </c>
      <c r="AM24" s="891" t="s">
        <v>34</v>
      </c>
      <c r="AN24" s="891" t="s">
        <v>32</v>
      </c>
      <c r="AO24" s="891" t="s">
        <v>1877</v>
      </c>
      <c r="AP24" s="891" t="s">
        <v>34</v>
      </c>
      <c r="AQ24" s="891" t="s">
        <v>32</v>
      </c>
      <c r="AR24" s="891" t="s">
        <v>34</v>
      </c>
      <c r="AS24" s="891" t="s">
        <v>32</v>
      </c>
      <c r="AT24" s="891" t="s">
        <v>1877</v>
      </c>
      <c r="AU24" s="891" t="s">
        <v>35</v>
      </c>
      <c r="AV24" s="891" t="s">
        <v>32</v>
      </c>
      <c r="AW24" s="891" t="s">
        <v>34</v>
      </c>
      <c r="AX24" s="891" t="s">
        <v>1877</v>
      </c>
      <c r="AY24" s="904" t="s">
        <v>34</v>
      </c>
      <c r="AZ24" s="891" t="s">
        <v>32</v>
      </c>
      <c r="BA24" s="891" t="s">
        <v>32</v>
      </c>
      <c r="BB24" s="891" t="s">
        <v>32</v>
      </c>
      <c r="BC24" s="891" t="s">
        <v>35</v>
      </c>
      <c r="BD24" s="891" t="s">
        <v>32</v>
      </c>
      <c r="BE24" s="891"/>
      <c r="BF24" s="891" t="s">
        <v>32</v>
      </c>
      <c r="BG24" s="910"/>
      <c r="BH24" s="891" t="s">
        <v>36</v>
      </c>
      <c r="BI24" s="891" t="s">
        <v>35</v>
      </c>
      <c r="BJ24" s="891" t="s">
        <v>36</v>
      </c>
      <c r="BK24" s="891" t="s">
        <v>36</v>
      </c>
      <c r="BL24" s="891"/>
      <c r="BM24" s="891" t="s">
        <v>32</v>
      </c>
      <c r="BO24" s="891"/>
      <c r="BP24" s="891" t="s">
        <v>32</v>
      </c>
      <c r="BQ24" s="891"/>
      <c r="BR24" s="896"/>
      <c r="BS24" s="896"/>
      <c r="BT24" s="896"/>
      <c r="BU24" s="896"/>
      <c r="BV24" s="896"/>
      <c r="BW24" s="896"/>
      <c r="BX24" s="896"/>
      <c r="BY24" s="896"/>
      <c r="BZ24" s="896"/>
      <c r="CA24" s="896"/>
      <c r="CB24" s="896"/>
      <c r="CC24" s="428"/>
      <c r="CD24" s="428"/>
      <c r="CE24" s="428"/>
      <c r="CF24" s="428"/>
      <c r="CG24" s="230" t="s">
        <v>32</v>
      </c>
      <c r="CH24" s="230" t="s">
        <v>32</v>
      </c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</row>
    <row r="25" spans="1:113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2</v>
      </c>
      <c r="G25" s="879" t="s">
        <v>886</v>
      </c>
      <c r="H25" s="879" t="s">
        <v>22</v>
      </c>
      <c r="I25" s="879" t="s">
        <v>891</v>
      </c>
      <c r="J25" s="846">
        <v>3</v>
      </c>
      <c r="K25" s="908">
        <v>1</v>
      </c>
      <c r="L25" s="816" t="str">
        <f>IF(J25="","",IF(J25&gt;K25,"W",IF(J25=K25,"D",IF(J25&lt;K25,"L"))))</f>
        <v>W</v>
      </c>
      <c r="M25" s="816">
        <f>IF(J25="","",J25+K25)</f>
        <v>4</v>
      </c>
      <c r="N25" s="816" t="str">
        <f t="shared" si="23"/>
        <v>O</v>
      </c>
      <c r="O25" s="816">
        <f t="shared" si="22"/>
        <v>-0.25</v>
      </c>
      <c r="P25" s="829">
        <f t="shared" si="24"/>
        <v>1</v>
      </c>
      <c r="Q25" s="830">
        <v>0.3</v>
      </c>
      <c r="R25" s="871">
        <f t="shared" si="25"/>
        <v>1.7</v>
      </c>
      <c r="S25" s="830">
        <v>1.98</v>
      </c>
      <c r="T25" s="871">
        <f t="shared" si="26"/>
        <v>2.02</v>
      </c>
      <c r="U25" s="868">
        <f t="shared" si="27"/>
        <v>1.1399999999999999</v>
      </c>
      <c r="V25" s="868">
        <f t="shared" si="28"/>
        <v>0.84000000000000008</v>
      </c>
      <c r="W25" s="829">
        <v>13</v>
      </c>
      <c r="X25" s="829">
        <v>6</v>
      </c>
      <c r="Y25" s="829">
        <v>3</v>
      </c>
      <c r="Z25" s="829">
        <v>3</v>
      </c>
      <c r="AA25" s="829">
        <v>61</v>
      </c>
      <c r="AB25" s="829">
        <v>39</v>
      </c>
      <c r="AC25" s="829"/>
      <c r="AD25" s="816" t="str">
        <f t="array" ref="AD25">IF($J25="","",IF(SUM(IF(ISNUMBER(VALUE(RIGHT($AG25:$DU25,1))),VALUE(RIGHT($AG25:$DU25,1)),0))=$J25,"T","F"))</f>
        <v>T</v>
      </c>
      <c r="AE25" s="831">
        <f t="array" ref="AE25">IF($J25="","",SUM(IF(LEFT($AG25:$DU25,1)="s",1,0))-SUM(IF(RIGHT(LEFT($AG25:$DU25,2))="-",1,0)))</f>
        <v>0</v>
      </c>
      <c r="AF25" s="816">
        <f t="array" ref="AF25">IF($J25="","",SUM(IF(LEFT($AG25:$DU25,1)="X",1,0)))</f>
        <v>11</v>
      </c>
      <c r="AG25" s="891" t="s">
        <v>32</v>
      </c>
      <c r="AH25" s="891" t="s">
        <v>34</v>
      </c>
      <c r="AI25" s="891" t="s">
        <v>32</v>
      </c>
      <c r="AJ25" s="891" t="s">
        <v>1877</v>
      </c>
      <c r="AK25" s="891" t="s">
        <v>34</v>
      </c>
      <c r="AL25" s="891" t="s">
        <v>34</v>
      </c>
      <c r="AM25" s="891" t="s">
        <v>35</v>
      </c>
      <c r="AN25" s="891" t="s">
        <v>32</v>
      </c>
      <c r="AO25" s="891" t="s">
        <v>1877</v>
      </c>
      <c r="AP25" s="891" t="s">
        <v>32</v>
      </c>
      <c r="AQ25" s="891" t="s">
        <v>32</v>
      </c>
      <c r="AR25" s="891" t="s">
        <v>34</v>
      </c>
      <c r="AS25" s="891" t="s">
        <v>32</v>
      </c>
      <c r="AT25" s="891" t="s">
        <v>32</v>
      </c>
      <c r="AU25" s="906" t="s">
        <v>1976</v>
      </c>
      <c r="AV25" s="891" t="s">
        <v>32</v>
      </c>
      <c r="AW25" s="891" t="s">
        <v>34</v>
      </c>
      <c r="AX25" s="891" t="s">
        <v>35</v>
      </c>
      <c r="AY25" s="891" t="s">
        <v>34</v>
      </c>
      <c r="AZ25" s="891" t="s">
        <v>1877</v>
      </c>
      <c r="BA25" s="891" t="s">
        <v>32</v>
      </c>
      <c r="BB25" s="891" t="s">
        <v>32</v>
      </c>
      <c r="BC25" s="891" t="s">
        <v>34</v>
      </c>
      <c r="BD25" s="891" t="s">
        <v>36</v>
      </c>
      <c r="BE25" s="891"/>
      <c r="BF25" s="891" t="s">
        <v>32</v>
      </c>
      <c r="BG25" s="910"/>
      <c r="BH25" s="891" t="s">
        <v>1977</v>
      </c>
      <c r="BI25" s="891" t="s">
        <v>32</v>
      </c>
      <c r="BJ25" s="891" t="s">
        <v>32</v>
      </c>
      <c r="BK25" s="891" t="s">
        <v>34</v>
      </c>
      <c r="BL25" s="891"/>
      <c r="BM25" s="891" t="s">
        <v>1966</v>
      </c>
      <c r="BO25" s="891"/>
      <c r="BP25" s="891" t="s">
        <v>32</v>
      </c>
      <c r="BQ25" s="891"/>
      <c r="BR25" s="896"/>
      <c r="BS25" s="896"/>
      <c r="BT25" s="896"/>
      <c r="BU25" s="896"/>
      <c r="BV25" s="896"/>
      <c r="BW25" s="896"/>
      <c r="BX25" s="896"/>
      <c r="BY25" s="896"/>
      <c r="BZ25" s="896"/>
      <c r="CA25" s="896"/>
      <c r="CB25" s="896"/>
      <c r="CC25" s="428"/>
      <c r="CD25" s="428"/>
      <c r="CE25" s="428"/>
      <c r="CF25" s="428"/>
      <c r="CG25" s="230" t="s">
        <v>32</v>
      </c>
      <c r="CH25" s="230" t="s">
        <v>32</v>
      </c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</row>
    <row r="26" spans="1:113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9</v>
      </c>
      <c r="G26" s="879" t="s">
        <v>1083</v>
      </c>
      <c r="H26" s="879" t="s">
        <v>18</v>
      </c>
      <c r="I26" s="879" t="s">
        <v>891</v>
      </c>
      <c r="J26" s="846">
        <v>1</v>
      </c>
      <c r="K26" s="846">
        <v>0</v>
      </c>
      <c r="L26" s="816" t="str">
        <f t="shared" ref="L26:L30" si="29">IF(J26="","",IF(J26&gt;K26,"W",IF(J26=K26,"D",IF(J26&lt;K26,"L"))))</f>
        <v>W</v>
      </c>
      <c r="M26" s="816">
        <f t="shared" ref="M26:M30" si="30">IF(J26="","",J26+K26)</f>
        <v>1</v>
      </c>
      <c r="N26" s="816" t="str">
        <f t="shared" si="23"/>
        <v>U</v>
      </c>
      <c r="O26" s="816">
        <f t="shared" si="22"/>
        <v>0</v>
      </c>
      <c r="P26" s="829">
        <f t="shared" si="24"/>
        <v>1</v>
      </c>
      <c r="Q26" s="830">
        <v>-0.12</v>
      </c>
      <c r="R26" s="871">
        <f t="shared" si="25"/>
        <v>1.1200000000000001</v>
      </c>
      <c r="S26" s="830">
        <v>2.16</v>
      </c>
      <c r="T26" s="871">
        <f t="shared" si="26"/>
        <v>-1.1600000000000001</v>
      </c>
      <c r="U26" s="868">
        <f t="shared" si="27"/>
        <v>1.02</v>
      </c>
      <c r="V26" s="868">
        <f t="shared" si="28"/>
        <v>1.1400000000000001</v>
      </c>
      <c r="W26" s="829">
        <v>25</v>
      </c>
      <c r="X26" s="829">
        <v>8</v>
      </c>
      <c r="Y26" s="829">
        <v>8</v>
      </c>
      <c r="Z26" s="829">
        <v>1</v>
      </c>
      <c r="AA26" s="829">
        <v>53</v>
      </c>
      <c r="AB26" s="829">
        <v>47</v>
      </c>
      <c r="AC26" s="829"/>
      <c r="AD26" s="816" t="str">
        <f t="array" ref="AD26">IF($J26="","",IF(SUM(IF(ISNUMBER(VALUE(RIGHT($AG26:$DU26,1))),VALUE(RIGHT($AG26:$DU26,1)),0))=$J26,"T","F"))</f>
        <v>T</v>
      </c>
      <c r="AE26" s="831">
        <f t="array" ref="AE26">IF($J26="","",SUM(IF(LEFT($AG26:$DU26,1)="s",1,0))-SUM(IF(RIGHT(LEFT($AG26:$DU26,2))="-",1,0)))</f>
        <v>0</v>
      </c>
      <c r="AF26" s="816">
        <f t="array" ref="AF26">IF($J26="","",SUM(IF(LEFT($AG26:$DU26,1)="X",1,0)))</f>
        <v>11</v>
      </c>
      <c r="AG26" s="891" t="s">
        <v>32</v>
      </c>
      <c r="AH26" s="891" t="s">
        <v>34</v>
      </c>
      <c r="AI26" s="891" t="s">
        <v>32</v>
      </c>
      <c r="AJ26" s="891" t="s">
        <v>1877</v>
      </c>
      <c r="AK26" s="904" t="s">
        <v>34</v>
      </c>
      <c r="AL26" s="891" t="s">
        <v>34</v>
      </c>
      <c r="AM26" s="891" t="s">
        <v>36</v>
      </c>
      <c r="AN26" s="891" t="s">
        <v>32</v>
      </c>
      <c r="AO26" s="891" t="s">
        <v>36</v>
      </c>
      <c r="AP26" s="891" t="s">
        <v>32</v>
      </c>
      <c r="AQ26" s="891" t="s">
        <v>32</v>
      </c>
      <c r="AR26" s="891" t="s">
        <v>34</v>
      </c>
      <c r="AS26" s="891" t="s">
        <v>32</v>
      </c>
      <c r="AT26" s="891" t="s">
        <v>32</v>
      </c>
      <c r="AU26" s="891" t="s">
        <v>2183</v>
      </c>
      <c r="AV26" s="891" t="s">
        <v>32</v>
      </c>
      <c r="AW26" s="891" t="s">
        <v>34</v>
      </c>
      <c r="AX26" s="891" t="s">
        <v>1877</v>
      </c>
      <c r="AY26" s="891" t="s">
        <v>34</v>
      </c>
      <c r="AZ26" s="891" t="s">
        <v>1877</v>
      </c>
      <c r="BA26" s="891" t="s">
        <v>32</v>
      </c>
      <c r="BB26" s="891" t="s">
        <v>32</v>
      </c>
      <c r="BC26" s="891" t="s">
        <v>35</v>
      </c>
      <c r="BD26" s="891" t="s">
        <v>1877</v>
      </c>
      <c r="BE26" s="891"/>
      <c r="BF26" s="904" t="s">
        <v>34</v>
      </c>
      <c r="BG26" s="910"/>
      <c r="BH26" s="891" t="s">
        <v>2098</v>
      </c>
      <c r="BI26" s="891" t="s">
        <v>32</v>
      </c>
      <c r="BJ26" s="891" t="s">
        <v>32</v>
      </c>
      <c r="BK26" s="891" t="s">
        <v>35</v>
      </c>
      <c r="BL26" s="891"/>
      <c r="BM26" s="891" t="s">
        <v>34</v>
      </c>
      <c r="BO26" s="891"/>
      <c r="BP26" s="891" t="s">
        <v>36</v>
      </c>
      <c r="BQ26" s="891"/>
      <c r="BR26" s="896"/>
      <c r="BS26" s="896"/>
      <c r="BT26" s="896"/>
      <c r="BU26" s="896"/>
      <c r="BV26" s="896"/>
      <c r="BW26" s="896"/>
      <c r="BX26" s="896"/>
      <c r="BY26" s="896"/>
      <c r="BZ26" s="896"/>
      <c r="CA26" s="896"/>
      <c r="CB26" s="896"/>
      <c r="CC26" s="4"/>
      <c r="CD26" s="4"/>
      <c r="CE26" s="4"/>
      <c r="CF26" s="4"/>
      <c r="CG26" s="4" t="s">
        <v>32</v>
      </c>
      <c r="CH26" s="4" t="s">
        <v>32</v>
      </c>
      <c r="CI26" s="4" t="s">
        <v>32</v>
      </c>
      <c r="CJ26" s="6" t="s">
        <v>32</v>
      </c>
      <c r="CK26" s="6" t="s">
        <v>32</v>
      </c>
      <c r="CL26" s="6" t="s">
        <v>32</v>
      </c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20"/>
    </row>
    <row r="27" spans="1:113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10</v>
      </c>
      <c r="G27" s="879" t="s">
        <v>883</v>
      </c>
      <c r="H27" s="879" t="s">
        <v>18</v>
      </c>
      <c r="I27" s="879" t="s">
        <v>891</v>
      </c>
      <c r="J27" s="846">
        <v>2</v>
      </c>
      <c r="K27" s="846">
        <v>0</v>
      </c>
      <c r="L27" s="816" t="str">
        <f t="shared" si="29"/>
        <v>W</v>
      </c>
      <c r="M27" s="816">
        <f t="shared" si="30"/>
        <v>2</v>
      </c>
      <c r="N27" s="816" t="str">
        <f t="shared" si="23"/>
        <v>U</v>
      </c>
      <c r="O27" s="816">
        <f t="shared" si="22"/>
        <v>0</v>
      </c>
      <c r="P27" s="829">
        <f t="shared" si="24"/>
        <v>1</v>
      </c>
      <c r="Q27" s="830">
        <v>0.08</v>
      </c>
      <c r="R27" s="871">
        <f t="shared" si="25"/>
        <v>1.92</v>
      </c>
      <c r="S27" s="830">
        <v>2.13</v>
      </c>
      <c r="T27" s="871">
        <f t="shared" si="26"/>
        <v>-0.12999999999999989</v>
      </c>
      <c r="U27" s="868">
        <f t="shared" si="27"/>
        <v>1.105</v>
      </c>
      <c r="V27" s="868">
        <f t="shared" si="28"/>
        <v>1.0249999999999999</v>
      </c>
      <c r="W27" s="829">
        <v>18</v>
      </c>
      <c r="X27" s="829">
        <v>16</v>
      </c>
      <c r="Y27" s="829">
        <v>6</v>
      </c>
      <c r="Z27" s="829">
        <v>3</v>
      </c>
      <c r="AA27" s="829">
        <v>56</v>
      </c>
      <c r="AB27" s="829">
        <v>44</v>
      </c>
      <c r="AC27" s="829"/>
      <c r="AD27" s="816" t="str">
        <f t="array" ref="AD27">IF($J27="","",IF(SUM(IF(ISNUMBER(VALUE(RIGHT($AG27:$DU27,1))),VALUE(RIGHT($AG27:$DU27,1)),0))=$J27,"T","F"))</f>
        <v>T</v>
      </c>
      <c r="AE27" s="831">
        <f t="array" ref="AE27">IF($J27="","",SUM(IF(LEFT($AG27:$DU27,1)="s",1,0))-SUM(IF(RIGHT(LEFT($AG27:$DU27,2))="-",1,0)))</f>
        <v>0</v>
      </c>
      <c r="AF27" s="816">
        <f t="array" ref="AF27">IF($J27="","",SUM(IF(LEFT($AG27:$DU27,1)="X",1,0)))</f>
        <v>11</v>
      </c>
      <c r="AG27" s="891"/>
      <c r="AH27" s="891" t="s">
        <v>34</v>
      </c>
      <c r="AI27" s="891" t="s">
        <v>32</v>
      </c>
      <c r="AJ27" s="891" t="s">
        <v>1877</v>
      </c>
      <c r="AK27" s="891" t="s">
        <v>34</v>
      </c>
      <c r="AL27" s="891" t="s">
        <v>34</v>
      </c>
      <c r="AM27" s="891" t="s">
        <v>36</v>
      </c>
      <c r="AN27" s="891" t="s">
        <v>32</v>
      </c>
      <c r="AO27" s="904" t="s">
        <v>35</v>
      </c>
      <c r="AP27" s="891" t="s">
        <v>32</v>
      </c>
      <c r="AQ27" s="891" t="s">
        <v>32</v>
      </c>
      <c r="AR27" s="891" t="s">
        <v>34</v>
      </c>
      <c r="AS27" s="891" t="s">
        <v>32</v>
      </c>
      <c r="AT27" s="891" t="s">
        <v>32</v>
      </c>
      <c r="AU27" s="891" t="s">
        <v>2183</v>
      </c>
      <c r="AV27" s="891" t="s">
        <v>32</v>
      </c>
      <c r="AW27" s="891" t="s">
        <v>34</v>
      </c>
      <c r="AX27" s="891" t="s">
        <v>1877</v>
      </c>
      <c r="AY27" s="891" t="s">
        <v>34</v>
      </c>
      <c r="AZ27" s="891" t="s">
        <v>1877</v>
      </c>
      <c r="BA27" s="891" t="s">
        <v>32</v>
      </c>
      <c r="BB27" s="891" t="s">
        <v>32</v>
      </c>
      <c r="BC27" s="891" t="s">
        <v>34</v>
      </c>
      <c r="BD27" s="891" t="s">
        <v>1877</v>
      </c>
      <c r="BE27" s="891"/>
      <c r="BF27" s="891" t="s">
        <v>36</v>
      </c>
      <c r="BG27" s="910"/>
      <c r="BH27" s="891" t="s">
        <v>2133</v>
      </c>
      <c r="BI27" s="891" t="s">
        <v>32</v>
      </c>
      <c r="BJ27" s="891" t="s">
        <v>32</v>
      </c>
      <c r="BK27" s="891" t="s">
        <v>35</v>
      </c>
      <c r="BL27" s="891"/>
      <c r="BM27" s="891" t="s">
        <v>2146</v>
      </c>
      <c r="BO27" s="891"/>
      <c r="BP27" s="891" t="s">
        <v>36</v>
      </c>
      <c r="BQ27" s="891"/>
      <c r="BR27" s="896"/>
      <c r="BS27" s="896"/>
      <c r="BT27" s="896"/>
      <c r="BU27" s="896"/>
      <c r="BV27" s="896"/>
      <c r="BW27" s="896"/>
      <c r="BX27" s="896"/>
      <c r="BY27" s="896"/>
      <c r="BZ27" s="896"/>
      <c r="CA27" s="896"/>
      <c r="CB27" s="896"/>
      <c r="CC27" s="865"/>
      <c r="CD27" s="865"/>
      <c r="CE27" s="865"/>
      <c r="CF27" s="865"/>
      <c r="CG27" s="865" t="s">
        <v>32</v>
      </c>
      <c r="CH27" s="865" t="s">
        <v>32</v>
      </c>
      <c r="CI27" s="865" t="s">
        <v>32</v>
      </c>
      <c r="CJ27" s="4" t="s">
        <v>32</v>
      </c>
      <c r="CK27" s="6" t="s">
        <v>32</v>
      </c>
      <c r="CL27" s="6" t="s">
        <v>32</v>
      </c>
      <c r="CM27" s="6" t="s">
        <v>32</v>
      </c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3" ht="15">
      <c r="A28" s="882">
        <v>6301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8</v>
      </c>
      <c r="G28" s="879" t="s">
        <v>880</v>
      </c>
      <c r="H28" s="879" t="s">
        <v>22</v>
      </c>
      <c r="I28" s="879" t="s">
        <v>891</v>
      </c>
      <c r="J28" s="846">
        <v>0</v>
      </c>
      <c r="K28" s="846">
        <v>2</v>
      </c>
      <c r="L28" s="816" t="str">
        <f t="shared" si="29"/>
        <v>L</v>
      </c>
      <c r="M28" s="816">
        <f t="shared" si="30"/>
        <v>2</v>
      </c>
      <c r="N28" s="816" t="str">
        <f t="shared" si="23"/>
        <v>U</v>
      </c>
      <c r="O28" s="816">
        <f t="shared" si="22"/>
        <v>0</v>
      </c>
      <c r="P28" s="829">
        <f t="shared" si="24"/>
        <v>-1</v>
      </c>
      <c r="Q28" s="830">
        <v>-0.1</v>
      </c>
      <c r="R28" s="871">
        <f t="shared" si="25"/>
        <v>-1.9</v>
      </c>
      <c r="S28" s="830">
        <v>2.12</v>
      </c>
      <c r="T28" s="871">
        <f t="shared" si="26"/>
        <v>-0.12000000000000011</v>
      </c>
      <c r="U28" s="868">
        <f t="shared" si="27"/>
        <v>1.01</v>
      </c>
      <c r="V28" s="868">
        <f t="shared" si="28"/>
        <v>1.1100000000000001</v>
      </c>
      <c r="W28" s="829">
        <v>10</v>
      </c>
      <c r="X28" s="829">
        <v>17</v>
      </c>
      <c r="Y28" s="829">
        <v>3</v>
      </c>
      <c r="Z28" s="829">
        <v>3</v>
      </c>
      <c r="AA28" s="829">
        <v>62</v>
      </c>
      <c r="AB28" s="829">
        <v>38</v>
      </c>
      <c r="AC28" s="829"/>
      <c r="AD28" s="816" t="str">
        <f t="array" ref="AD28">IF($J28="","",IF(SUM(IF(ISNUMBER(VALUE(RIGHT($AG28:$DU28,1))),VALUE(RIGHT($AG28:$DU28,1)),0))=$J28,"T","F"))</f>
        <v>T</v>
      </c>
      <c r="AE28" s="831">
        <f t="array" ref="AE28">IF($J28="","",SUM(IF(LEFT($AG28:$DU28,1)="s",1,0))-SUM(IF(RIGHT(LEFT($AG28:$DU28,2))="-",1,0)))</f>
        <v>0</v>
      </c>
      <c r="AF28" s="816">
        <f t="array" ref="AF28">IF($J28="","",SUM(IF(LEFT($AG28:$DU28,1)="X",1,0)))</f>
        <v>11</v>
      </c>
      <c r="AG28" s="891" t="s">
        <v>32</v>
      </c>
      <c r="AH28" s="891" t="s">
        <v>34</v>
      </c>
      <c r="AI28" s="891" t="s">
        <v>32</v>
      </c>
      <c r="AJ28" s="891" t="s">
        <v>1877</v>
      </c>
      <c r="AK28" s="891" t="s">
        <v>32</v>
      </c>
      <c r="AL28" s="891" t="s">
        <v>34</v>
      </c>
      <c r="AM28" s="891" t="s">
        <v>34</v>
      </c>
      <c r="AN28" s="891" t="s">
        <v>32</v>
      </c>
      <c r="AO28" s="891" t="s">
        <v>35</v>
      </c>
      <c r="AP28" s="891" t="s">
        <v>1877</v>
      </c>
      <c r="AQ28" s="891" t="s">
        <v>32</v>
      </c>
      <c r="AR28" s="891" t="s">
        <v>34</v>
      </c>
      <c r="AS28" s="891" t="s">
        <v>32</v>
      </c>
      <c r="AT28" s="891" t="s">
        <v>1877</v>
      </c>
      <c r="AU28" s="891" t="s">
        <v>2183</v>
      </c>
      <c r="AV28" s="891" t="s">
        <v>32</v>
      </c>
      <c r="AW28" s="891" t="s">
        <v>34</v>
      </c>
      <c r="AX28" s="891" t="s">
        <v>36</v>
      </c>
      <c r="AY28" s="891" t="s">
        <v>34</v>
      </c>
      <c r="AZ28" s="891" t="s">
        <v>36</v>
      </c>
      <c r="BA28" s="891" t="s">
        <v>32</v>
      </c>
      <c r="BB28" s="891" t="s">
        <v>32</v>
      </c>
      <c r="BC28" s="891" t="s">
        <v>34</v>
      </c>
      <c r="BD28" s="891" t="s">
        <v>1877</v>
      </c>
      <c r="BE28" s="891"/>
      <c r="BF28" s="891" t="s">
        <v>35</v>
      </c>
      <c r="BG28" s="910"/>
      <c r="BH28" s="891" t="s">
        <v>34</v>
      </c>
      <c r="BI28" s="891"/>
      <c r="BJ28" s="891"/>
      <c r="BK28" s="891"/>
      <c r="BL28" s="891"/>
      <c r="BM28" s="891" t="s">
        <v>34</v>
      </c>
      <c r="BO28" s="891"/>
      <c r="BP28" s="891" t="s">
        <v>1877</v>
      </c>
      <c r="BQ28" s="891"/>
      <c r="BR28" s="896"/>
      <c r="BS28" s="896"/>
      <c r="BT28" s="896"/>
      <c r="BU28" s="896"/>
      <c r="BV28" s="896"/>
      <c r="BW28" s="896"/>
      <c r="BX28" s="896"/>
      <c r="BY28" s="896"/>
      <c r="BZ28" s="896"/>
      <c r="CA28" s="896"/>
      <c r="CB28" s="896"/>
      <c r="CC28" s="4"/>
      <c r="CD28" s="4"/>
      <c r="CE28" s="4"/>
      <c r="CF28" s="4"/>
      <c r="CG28" s="4" t="s">
        <v>32</v>
      </c>
      <c r="CH28" s="4" t="s">
        <v>32</v>
      </c>
      <c r="CI28" s="4" t="s">
        <v>32</v>
      </c>
      <c r="CJ28" s="4" t="s">
        <v>32</v>
      </c>
      <c r="CK28" s="6" t="s">
        <v>32</v>
      </c>
      <c r="CL28" s="6" t="s">
        <v>32</v>
      </c>
      <c r="CM28" s="6" t="s">
        <v>32</v>
      </c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</row>
    <row r="29" spans="1:113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20</v>
      </c>
      <c r="G29" s="879" t="s">
        <v>882</v>
      </c>
      <c r="H29" s="879" t="s">
        <v>18</v>
      </c>
      <c r="I29" s="879" t="s">
        <v>891</v>
      </c>
      <c r="J29" s="846">
        <v>1</v>
      </c>
      <c r="K29" s="846">
        <v>1</v>
      </c>
      <c r="L29" s="816" t="str">
        <f t="shared" si="29"/>
        <v>D</v>
      </c>
      <c r="M29" s="816">
        <f t="shared" si="30"/>
        <v>2</v>
      </c>
      <c r="N29" s="816" t="str">
        <f t="shared" si="23"/>
        <v>U</v>
      </c>
      <c r="O29" s="816">
        <f t="shared" si="22"/>
        <v>-0.25</v>
      </c>
      <c r="P29" s="829">
        <f t="shared" si="24"/>
        <v>-0.5</v>
      </c>
      <c r="Q29" s="830">
        <v>0.24</v>
      </c>
      <c r="R29" s="871">
        <f t="shared" si="25"/>
        <v>-0.24</v>
      </c>
      <c r="S29" s="830">
        <v>2.31</v>
      </c>
      <c r="T29" s="871">
        <f t="shared" si="26"/>
        <v>-0.31000000000000005</v>
      </c>
      <c r="U29" s="868">
        <f t="shared" si="27"/>
        <v>1.2749999999999999</v>
      </c>
      <c r="V29" s="868">
        <f t="shared" si="28"/>
        <v>1.0350000000000001</v>
      </c>
      <c r="W29" s="829">
        <v>16</v>
      </c>
      <c r="X29" s="829">
        <v>22</v>
      </c>
      <c r="Y29" s="829">
        <v>4</v>
      </c>
      <c r="Z29" s="829">
        <v>7</v>
      </c>
      <c r="AA29" s="829">
        <v>53</v>
      </c>
      <c r="AB29" s="829">
        <v>47</v>
      </c>
      <c r="AC29" s="829"/>
      <c r="AD29" s="816" t="str">
        <f t="array" ref="AD29">IF($J29="","",IF(SUM(IF(ISNUMBER(VALUE(RIGHT($AG29:$DU29,1))),VALUE(RIGHT($AG29:$DU29,1)),0))=$J29,"T","F"))</f>
        <v>T</v>
      </c>
      <c r="AE29" s="831">
        <f t="array" ref="AE29">IF($J29="","",SUM(IF(LEFT($AG29:$DU29,1)="s",1,0))-SUM(IF(RIGHT(LEFT($AG29:$DU29,2))="-",1,0)))</f>
        <v>0</v>
      </c>
      <c r="AF29" s="816">
        <f t="array" ref="AF29">IF($J29="","",SUM(IF(LEFT($AG29:$DU29,1)="X",1,0)))</f>
        <v>11</v>
      </c>
      <c r="AG29" s="891" t="s">
        <v>32</v>
      </c>
      <c r="AH29" s="891" t="s">
        <v>34</v>
      </c>
      <c r="AI29" s="891" t="s">
        <v>32</v>
      </c>
      <c r="AJ29" s="891" t="s">
        <v>1877</v>
      </c>
      <c r="AK29" s="904" t="s">
        <v>34</v>
      </c>
      <c r="AL29" s="891" t="s">
        <v>34</v>
      </c>
      <c r="AM29" s="891" t="s">
        <v>35</v>
      </c>
      <c r="AN29" s="891" t="s">
        <v>32</v>
      </c>
      <c r="AO29" s="891" t="s">
        <v>1877</v>
      </c>
      <c r="AP29" s="891" t="s">
        <v>1877</v>
      </c>
      <c r="AQ29" s="891" t="s">
        <v>32</v>
      </c>
      <c r="AR29" s="891" t="s">
        <v>34</v>
      </c>
      <c r="AS29" s="891" t="s">
        <v>32</v>
      </c>
      <c r="AT29" s="891" t="s">
        <v>32</v>
      </c>
      <c r="AU29" s="891" t="s">
        <v>36</v>
      </c>
      <c r="AV29" s="891" t="s">
        <v>32</v>
      </c>
      <c r="AW29" s="891" t="s">
        <v>34</v>
      </c>
      <c r="AX29" s="891" t="s">
        <v>32</v>
      </c>
      <c r="AY29" s="891" t="s">
        <v>34</v>
      </c>
      <c r="AZ29" s="891" t="s">
        <v>36</v>
      </c>
      <c r="BA29" s="891" t="s">
        <v>32</v>
      </c>
      <c r="BB29" s="891" t="s">
        <v>36</v>
      </c>
      <c r="BC29" s="891" t="s">
        <v>35</v>
      </c>
      <c r="BD29" s="891" t="s">
        <v>1877</v>
      </c>
      <c r="BE29" s="891"/>
      <c r="BF29" s="891" t="s">
        <v>35</v>
      </c>
      <c r="BG29" s="910"/>
      <c r="BH29" s="891" t="s">
        <v>2188</v>
      </c>
      <c r="BI29" s="891"/>
      <c r="BJ29" s="891" t="s">
        <v>2228</v>
      </c>
      <c r="BK29" s="891"/>
      <c r="BL29" s="891"/>
      <c r="BM29" s="891" t="s">
        <v>34</v>
      </c>
      <c r="BO29" s="891"/>
      <c r="BP29" s="891" t="s">
        <v>32</v>
      </c>
      <c r="BQ29" s="891"/>
      <c r="BR29" s="896"/>
      <c r="BS29" s="896"/>
      <c r="BT29" s="896"/>
      <c r="BU29" s="896"/>
      <c r="BV29" s="896"/>
      <c r="BW29" s="896"/>
      <c r="BX29" s="896"/>
      <c r="BY29" s="896"/>
      <c r="BZ29" s="896"/>
      <c r="CA29" s="896"/>
      <c r="CB29" s="891"/>
      <c r="CC29" s="4"/>
      <c r="CD29" s="4"/>
      <c r="CE29" s="4"/>
      <c r="CF29" s="4"/>
      <c r="CG29" s="4" t="s">
        <v>32</v>
      </c>
      <c r="CH29" s="4" t="s">
        <v>32</v>
      </c>
      <c r="CI29" s="4" t="s">
        <v>32</v>
      </c>
      <c r="CJ29" s="4" t="s">
        <v>32</v>
      </c>
      <c r="CK29" s="6" t="s">
        <v>32</v>
      </c>
      <c r="CL29" s="6" t="s">
        <v>32</v>
      </c>
      <c r="CM29" s="6" t="s">
        <v>32</v>
      </c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3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3</v>
      </c>
      <c r="G30" s="879" t="s">
        <v>1085</v>
      </c>
      <c r="H30" s="879" t="s">
        <v>22</v>
      </c>
      <c r="I30" s="879" t="s">
        <v>891</v>
      </c>
      <c r="J30" s="846">
        <v>2</v>
      </c>
      <c r="K30" s="846">
        <v>2</v>
      </c>
      <c r="L30" s="816" t="str">
        <f t="shared" si="29"/>
        <v>D</v>
      </c>
      <c r="M30" s="816">
        <f t="shared" si="30"/>
        <v>4</v>
      </c>
      <c r="N30" s="816" t="str">
        <f t="shared" si="23"/>
        <v>O</v>
      </c>
      <c r="O30" s="816">
        <f t="shared" si="22"/>
        <v>0</v>
      </c>
      <c r="P30" s="829">
        <f t="shared" si="24"/>
        <v>0</v>
      </c>
      <c r="Q30" s="830">
        <v>0.03</v>
      </c>
      <c r="R30" s="871">
        <f t="shared" si="25"/>
        <v>-0.03</v>
      </c>
      <c r="S30" s="830">
        <v>2.41</v>
      </c>
      <c r="T30" s="871">
        <f t="shared" si="26"/>
        <v>1.5899999999999999</v>
      </c>
      <c r="U30" s="868">
        <f t="shared" si="27"/>
        <v>1.22</v>
      </c>
      <c r="V30" s="868">
        <f t="shared" si="28"/>
        <v>1.1900000000000002</v>
      </c>
      <c r="W30" s="829">
        <v>18</v>
      </c>
      <c r="X30" s="829">
        <v>9</v>
      </c>
      <c r="Y30" s="829">
        <v>7</v>
      </c>
      <c r="Z30" s="829">
        <v>3</v>
      </c>
      <c r="AA30" s="829">
        <v>50</v>
      </c>
      <c r="AB30" s="829">
        <v>50</v>
      </c>
      <c r="AC30" s="829"/>
      <c r="AD30" s="816" t="str">
        <f t="array" ref="AD30">IF($J30="","",IF(SUM(IF(ISNUMBER(VALUE(RIGHT($AG30:$DU30,1))),VALUE(RIGHT($AG30:$DU30,1)),0))=$J30,"T","F"))</f>
        <v>T</v>
      </c>
      <c r="AE30" s="831">
        <f t="array" ref="AE30">IF($J30="","",SUM(IF(LEFT($AG30:$DU30,1)="s",1,0))-SUM(IF(RIGHT(LEFT($AG30:$DU30,2))="-",1,0)))</f>
        <v>0</v>
      </c>
      <c r="AF30" s="816">
        <f t="array" ref="AF30">IF($J30="","",SUM(IF(LEFT($AG30:$DU30,1)="X",1,0)))</f>
        <v>11</v>
      </c>
      <c r="AG30" s="891" t="s">
        <v>32</v>
      </c>
      <c r="AH30" s="891" t="s">
        <v>34</v>
      </c>
      <c r="AI30" s="891" t="s">
        <v>32</v>
      </c>
      <c r="AJ30" s="891" t="s">
        <v>1877</v>
      </c>
      <c r="AK30" s="891" t="s">
        <v>34</v>
      </c>
      <c r="AL30" s="891" t="s">
        <v>34</v>
      </c>
      <c r="AM30" s="891" t="s">
        <v>1877</v>
      </c>
      <c r="AN30" s="891" t="s">
        <v>32</v>
      </c>
      <c r="AO30" s="891" t="s">
        <v>1877</v>
      </c>
      <c r="AP30" s="891" t="s">
        <v>32</v>
      </c>
      <c r="AQ30" s="891" t="s">
        <v>32</v>
      </c>
      <c r="AR30" s="891" t="s">
        <v>2233</v>
      </c>
      <c r="AS30" s="891" t="s">
        <v>32</v>
      </c>
      <c r="AT30" s="891" t="s">
        <v>32</v>
      </c>
      <c r="AU30" s="904" t="s">
        <v>34</v>
      </c>
      <c r="AV30" s="891" t="s">
        <v>32</v>
      </c>
      <c r="AW30" s="891" t="s">
        <v>34</v>
      </c>
      <c r="AX30" s="891" t="s">
        <v>32</v>
      </c>
      <c r="AY30" s="891" t="s">
        <v>34</v>
      </c>
      <c r="AZ30" s="891" t="s">
        <v>36</v>
      </c>
      <c r="BA30" s="891" t="s">
        <v>32</v>
      </c>
      <c r="BB30" s="891" t="s">
        <v>32</v>
      </c>
      <c r="BC30" s="891" t="s">
        <v>35</v>
      </c>
      <c r="BD30" s="891" t="s">
        <v>32</v>
      </c>
      <c r="BE30" s="891"/>
      <c r="BF30" s="891" t="s">
        <v>1877</v>
      </c>
      <c r="BG30" s="910"/>
      <c r="BH30" s="904" t="s">
        <v>2232</v>
      </c>
      <c r="BI30" s="891" t="s">
        <v>36</v>
      </c>
      <c r="BJ30" s="891" t="s">
        <v>1886</v>
      </c>
      <c r="BK30" s="891" t="s">
        <v>35</v>
      </c>
      <c r="BL30" s="891" t="s">
        <v>32</v>
      </c>
      <c r="BM30" s="891" t="s">
        <v>34</v>
      </c>
      <c r="BN30" s="891"/>
      <c r="BO30" s="891"/>
      <c r="BP30" s="891" t="s">
        <v>36</v>
      </c>
      <c r="BQ30" s="891"/>
      <c r="BR30" s="896"/>
      <c r="BS30" s="896"/>
      <c r="BT30" s="896"/>
      <c r="BU30" s="896"/>
      <c r="BV30" s="891"/>
      <c r="BW30" s="891"/>
      <c r="BX30" s="891"/>
      <c r="BY30" s="891"/>
      <c r="BZ30" s="891"/>
      <c r="CA30" s="891"/>
      <c r="CB30" s="891"/>
      <c r="CC30" s="428"/>
      <c r="CD30" s="428"/>
      <c r="CE30" s="428"/>
      <c r="CF30" s="428"/>
      <c r="CG30" s="230" t="s">
        <v>32</v>
      </c>
      <c r="CH30" s="230" t="s">
        <v>32</v>
      </c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</row>
    <row r="31" spans="1:113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16</v>
      </c>
      <c r="G31" s="879" t="s">
        <v>872</v>
      </c>
      <c r="H31" s="879" t="s">
        <v>18</v>
      </c>
      <c r="I31" s="879" t="s">
        <v>891</v>
      </c>
      <c r="J31" s="846">
        <v>1</v>
      </c>
      <c r="K31" s="846">
        <v>0</v>
      </c>
      <c r="L31" s="816" t="str">
        <f>IF(J31="","",IF(J31&gt;K31,"W",IF(J31=K31,"D",IF(J31&lt;K31,"L"))))</f>
        <v>W</v>
      </c>
      <c r="M31" s="816">
        <f>IF(J31="","",J31+K31)</f>
        <v>1</v>
      </c>
      <c r="N31" s="816" t="str">
        <f>IF($J31="","",IF($M31&gt;N$19,"O",IF($M31&lt;N$19,"U",IF($M31=N$19,"-"))))</f>
        <v>U</v>
      </c>
      <c r="O31" s="816">
        <f t="shared" si="22"/>
        <v>0</v>
      </c>
      <c r="P31" s="829">
        <f t="shared" si="24"/>
        <v>1</v>
      </c>
      <c r="Q31" s="830">
        <v>-0.04</v>
      </c>
      <c r="R31" s="871">
        <f>IF(ISBLANK(Q31),"",J31-K31-Q31)</f>
        <v>1.04</v>
      </c>
      <c r="S31" s="830">
        <v>2.4</v>
      </c>
      <c r="T31" s="871">
        <f t="shared" si="26"/>
        <v>-1.4</v>
      </c>
      <c r="U31" s="868">
        <f t="shared" si="27"/>
        <v>1.18</v>
      </c>
      <c r="V31" s="868">
        <f t="shared" si="28"/>
        <v>1.22</v>
      </c>
      <c r="W31" s="829">
        <v>10</v>
      </c>
      <c r="X31" s="829">
        <v>20</v>
      </c>
      <c r="Y31" s="829">
        <v>3</v>
      </c>
      <c r="Z31" s="829">
        <v>3</v>
      </c>
      <c r="AA31" s="829">
        <v>56</v>
      </c>
      <c r="AB31" s="829">
        <v>44</v>
      </c>
      <c r="AC31" s="829"/>
      <c r="AD31" s="816" t="str">
        <f t="array" ref="AD31">IF($J31="","",IF(SUM(IF(ISNUMBER(VALUE(RIGHT($AG31:$DU31,1))),VALUE(RIGHT($AG31:$DU31,1)),0))=$J31,"T","F"))</f>
        <v>T</v>
      </c>
      <c r="AE31" s="831">
        <f t="array" ref="AE31">IF($J31="","",SUM(IF(LEFT($AG31:$DU31,1)="s",1,0))-SUM(IF(RIGHT(LEFT($AG31:$DU31,2))="-",1,0)))</f>
        <v>0</v>
      </c>
      <c r="AF31" s="816">
        <f t="array" ref="AF31">IF($J31="","",SUM(IF(LEFT($AG31:$DU31,1)="X",1,0)))</f>
        <v>11</v>
      </c>
      <c r="AG31" s="891" t="s">
        <v>1877</v>
      </c>
      <c r="AH31" s="904" t="s">
        <v>34</v>
      </c>
      <c r="AI31" s="891" t="s">
        <v>32</v>
      </c>
      <c r="AJ31" s="891" t="s">
        <v>32</v>
      </c>
      <c r="AK31" s="904" t="s">
        <v>34</v>
      </c>
      <c r="AL31" s="891" t="s">
        <v>34</v>
      </c>
      <c r="AM31" s="891" t="s">
        <v>36</v>
      </c>
      <c r="AN31" s="891" t="s">
        <v>32</v>
      </c>
      <c r="AO31" s="891" t="s">
        <v>36</v>
      </c>
      <c r="AP31" s="891" t="s">
        <v>32</v>
      </c>
      <c r="AQ31" s="891" t="s">
        <v>32</v>
      </c>
      <c r="AR31" s="891" t="s">
        <v>34</v>
      </c>
      <c r="AS31" s="891" t="s">
        <v>32</v>
      </c>
      <c r="AT31" s="891" t="s">
        <v>32</v>
      </c>
      <c r="AU31" s="891" t="s">
        <v>34</v>
      </c>
      <c r="AV31" s="891" t="s">
        <v>1877</v>
      </c>
      <c r="AW31" s="891" t="s">
        <v>34</v>
      </c>
      <c r="AX31" s="891" t="s">
        <v>1877</v>
      </c>
      <c r="AY31" s="891" t="s">
        <v>34</v>
      </c>
      <c r="AZ31" s="891" t="s">
        <v>32</v>
      </c>
      <c r="BA31" s="891" t="s">
        <v>32</v>
      </c>
      <c r="BB31" s="891" t="s">
        <v>32</v>
      </c>
      <c r="BC31" s="891" t="s">
        <v>35</v>
      </c>
      <c r="BD31" s="891" t="s">
        <v>32</v>
      </c>
      <c r="BE31" s="891"/>
      <c r="BF31" s="891" t="s">
        <v>32</v>
      </c>
      <c r="BG31" s="910"/>
      <c r="BH31" s="891" t="s">
        <v>34</v>
      </c>
      <c r="BI31" s="891" t="s">
        <v>36</v>
      </c>
      <c r="BJ31" s="891" t="s">
        <v>1886</v>
      </c>
      <c r="BK31" s="891" t="s">
        <v>2313</v>
      </c>
      <c r="BL31" s="891" t="s">
        <v>32</v>
      </c>
      <c r="BM31" s="891" t="s">
        <v>35</v>
      </c>
      <c r="BN31" s="891"/>
      <c r="BO31" s="891"/>
      <c r="BP31" s="891" t="s">
        <v>1877</v>
      </c>
      <c r="BQ31" s="891"/>
      <c r="BR31" s="896"/>
      <c r="BS31" s="896"/>
      <c r="BT31" s="896"/>
      <c r="BU31" s="896"/>
      <c r="BV31" s="896"/>
      <c r="BW31" s="896"/>
      <c r="BX31" s="896"/>
      <c r="BY31" s="896"/>
      <c r="BZ31" s="896"/>
      <c r="CA31" s="896"/>
      <c r="CB31" s="896"/>
      <c r="CC31" s="428"/>
      <c r="CD31" s="428"/>
      <c r="CE31" s="428"/>
      <c r="CF31" s="428"/>
      <c r="CG31" s="230" t="s">
        <v>32</v>
      </c>
      <c r="CH31" s="230" t="s">
        <v>32</v>
      </c>
      <c r="CI31" s="230" t="s">
        <v>32</v>
      </c>
      <c r="CJ31" s="230" t="s">
        <v>32</v>
      </c>
      <c r="CK31" s="230" t="s">
        <v>32</v>
      </c>
      <c r="CL31" s="230" t="s">
        <v>32</v>
      </c>
      <c r="CM31" s="230" t="s">
        <v>32</v>
      </c>
    </row>
    <row r="32" spans="1:113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6</v>
      </c>
      <c r="G32" s="879" t="s">
        <v>876</v>
      </c>
      <c r="H32" s="879" t="s">
        <v>18</v>
      </c>
      <c r="I32" s="879" t="s">
        <v>891</v>
      </c>
      <c r="J32" s="908">
        <v>0</v>
      </c>
      <c r="K32" s="846">
        <v>2</v>
      </c>
      <c r="L32" s="816" t="str">
        <f>IF(J32="","",IF(J32&gt;K32,"W",IF(J32=K32,"D",IF(J32&lt;K32,"L"))))</f>
        <v>L</v>
      </c>
      <c r="M32" s="816">
        <f>IF(J32="","",J32+K32)</f>
        <v>2</v>
      </c>
      <c r="N32" s="816" t="str">
        <f>IF($J32="","",IF($M32&gt;N$19,"O",IF($M32&lt;N$19,"U",IF($M32=N$19,"-"))))</f>
        <v>U</v>
      </c>
      <c r="O32" s="816">
        <f t="shared" si="22"/>
        <v>0</v>
      </c>
      <c r="P32" s="829">
        <f t="shared" si="24"/>
        <v>-1</v>
      </c>
      <c r="Q32" s="830">
        <v>-0.08</v>
      </c>
      <c r="R32" s="871">
        <f>IF(ISBLANK(Q32),"",J32-K32-Q32)</f>
        <v>-1.92</v>
      </c>
      <c r="S32" s="830">
        <v>2.5</v>
      </c>
      <c r="T32" s="871">
        <f t="shared" si="26"/>
        <v>-0.5</v>
      </c>
      <c r="U32" s="868">
        <f t="shared" si="27"/>
        <v>1.21</v>
      </c>
      <c r="V32" s="868">
        <f t="shared" si="28"/>
        <v>1.29</v>
      </c>
      <c r="W32" s="829">
        <v>5</v>
      </c>
      <c r="X32" s="829">
        <v>20</v>
      </c>
      <c r="Y32" s="829">
        <v>1</v>
      </c>
      <c r="Z32" s="829">
        <v>8</v>
      </c>
      <c r="AA32" s="829">
        <v>41</v>
      </c>
      <c r="AB32" s="829">
        <v>59</v>
      </c>
      <c r="AC32" s="829"/>
      <c r="AD32" s="816" t="str">
        <f t="array" ref="AD32">IF($J32="","",IF(SUM(IF(ISNUMBER(VALUE(RIGHT($AG32:$DU32,1))),VALUE(RIGHT($AG32:$DU32,1)),0))=$J32,"T","F"))</f>
        <v>T</v>
      </c>
      <c r="AE32" s="831">
        <f t="array" ref="AE32">IF($J32="","",SUM(IF(LEFT($AG32:$DU32,1)="s",1,0))-SUM(IF(RIGHT(LEFT($AG32:$DU32,2))="-",1,0)))</f>
        <v>0</v>
      </c>
      <c r="AF32" s="816">
        <f t="array" ref="AF32">IF($J32="","",SUM(IF(LEFT($AG32:$DU32,1)="X",1,0)))</f>
        <v>11</v>
      </c>
      <c r="AG32" s="891" t="s">
        <v>2351</v>
      </c>
      <c r="AH32" s="891" t="s">
        <v>2340</v>
      </c>
      <c r="AI32" s="891"/>
      <c r="AJ32" s="891"/>
      <c r="AK32" s="891" t="s">
        <v>2340</v>
      </c>
      <c r="AL32" s="891" t="s">
        <v>2340</v>
      </c>
      <c r="AM32" s="891" t="s">
        <v>2350</v>
      </c>
      <c r="AN32" s="891"/>
      <c r="AO32" s="891" t="s">
        <v>2350</v>
      </c>
      <c r="AP32" s="891"/>
      <c r="AQ32" s="891"/>
      <c r="AR32" s="909" t="s">
        <v>2340</v>
      </c>
      <c r="AS32" s="891"/>
      <c r="AT32" s="891"/>
      <c r="AU32" s="891" t="s">
        <v>2340</v>
      </c>
      <c r="AV32" s="891"/>
      <c r="AW32" s="891" t="s">
        <v>2340</v>
      </c>
      <c r="AX32" s="891" t="s">
        <v>2351</v>
      </c>
      <c r="AY32" s="891" t="s">
        <v>2340</v>
      </c>
      <c r="AZ32" s="891"/>
      <c r="BA32" s="891"/>
      <c r="BB32" s="891"/>
      <c r="BC32" s="891" t="s">
        <v>2379</v>
      </c>
      <c r="BD32" s="891"/>
      <c r="BE32" s="891"/>
      <c r="BF32" s="891" t="s">
        <v>2351</v>
      </c>
      <c r="BG32" s="910"/>
      <c r="BH32" s="891" t="s">
        <v>2340</v>
      </c>
      <c r="BI32" s="891" t="s">
        <v>2350</v>
      </c>
      <c r="BJ32" s="891" t="s">
        <v>2228</v>
      </c>
      <c r="BK32" s="891" t="s">
        <v>871</v>
      </c>
      <c r="BL32" s="891"/>
      <c r="BM32" s="891" t="s">
        <v>2379</v>
      </c>
      <c r="BN32" s="896"/>
      <c r="BO32" s="896"/>
      <c r="BP32" s="891" t="s">
        <v>2351</v>
      </c>
      <c r="BQ32" s="891"/>
      <c r="BR32" s="896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428"/>
      <c r="CD32" s="428"/>
      <c r="CE32" s="428"/>
      <c r="CF32" s="428"/>
    </row>
    <row r="33" spans="1:118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4</v>
      </c>
      <c r="G33" s="879" t="s">
        <v>1084</v>
      </c>
      <c r="H33" s="879" t="s">
        <v>22</v>
      </c>
      <c r="I33" s="879" t="s">
        <v>891</v>
      </c>
      <c r="J33" s="846">
        <v>2</v>
      </c>
      <c r="K33" s="846">
        <v>1</v>
      </c>
      <c r="L33" s="816" t="str">
        <f t="shared" ref="L33:L65" si="31">IF(J33="","",IF(J33&gt;K33,"W",IF(J33=K33,"D",IF(J33&lt;K33,"L"))))</f>
        <v>W</v>
      </c>
      <c r="M33" s="816">
        <f t="shared" ref="M33:M65" si="32">IF(J33="","",J33+K33)</f>
        <v>3</v>
      </c>
      <c r="N33" s="816" t="str">
        <f t="shared" ref="N33:N65" si="33">IF($J33="","",IF($M33&gt;N$19,"O",IF($M33&lt;N$19,"U",IF($M33=N$19,"-"))))</f>
        <v>O</v>
      </c>
      <c r="O33" s="816">
        <f t="shared" si="22"/>
        <v>-0.25</v>
      </c>
      <c r="P33" s="829">
        <f t="shared" si="24"/>
        <v>1</v>
      </c>
      <c r="Q33" s="830">
        <v>0.18</v>
      </c>
      <c r="R33" s="871">
        <f t="shared" ref="R33:R47" si="34">IF(ISBLANK(Q33),"",J33-K33-Q33)</f>
        <v>0.82000000000000006</v>
      </c>
      <c r="S33" s="830">
        <v>2.2799999999999998</v>
      </c>
      <c r="T33" s="871">
        <f t="shared" si="26"/>
        <v>0.7200000000000002</v>
      </c>
      <c r="U33" s="868">
        <f t="shared" si="27"/>
        <v>1.23</v>
      </c>
      <c r="V33" s="868">
        <f t="shared" si="28"/>
        <v>1.0499999999999998</v>
      </c>
      <c r="W33" s="829">
        <v>11</v>
      </c>
      <c r="X33" s="829">
        <v>20</v>
      </c>
      <c r="Y33" s="829">
        <v>4</v>
      </c>
      <c r="Z33" s="829">
        <v>6</v>
      </c>
      <c r="AA33" s="829">
        <v>52</v>
      </c>
      <c r="AB33" s="829">
        <v>48</v>
      </c>
      <c r="AC33" s="829"/>
      <c r="AD33" s="816" t="str">
        <f t="array" ref="AD33">IF($J33="","",IF(SUM(IF(ISNUMBER(VALUE(RIGHT($AG33:$DU33,1))),VALUE(RIGHT($AG33:$DU33,1)),0))=$J33,"T","F"))</f>
        <v>T</v>
      </c>
      <c r="AE33" s="831">
        <f t="array" ref="AE33">IF($J33="","",SUM(IF(LEFT($AG33:$DU33,1)="s",1,0))-SUM(IF(RIGHT(LEFT($AG33:$DU33,2))="-",1,0)))</f>
        <v>0</v>
      </c>
      <c r="AF33" s="816">
        <f t="array" ref="AF33">IF($J33="","",SUM(IF(LEFT($AG33:$DU33,1)="X",1,0)))</f>
        <v>11</v>
      </c>
      <c r="AG33" s="891" t="s">
        <v>1877</v>
      </c>
      <c r="AH33" s="891" t="s">
        <v>34</v>
      </c>
      <c r="AI33" s="891" t="s">
        <v>32</v>
      </c>
      <c r="AJ33" s="891" t="s">
        <v>32</v>
      </c>
      <c r="AK33" s="891" t="s">
        <v>34</v>
      </c>
      <c r="AL33" s="891" t="s">
        <v>34</v>
      </c>
      <c r="AM33" s="891" t="s">
        <v>32</v>
      </c>
      <c r="AN33" s="891" t="s">
        <v>1877</v>
      </c>
      <c r="AO33" s="891" t="s">
        <v>2426</v>
      </c>
      <c r="AP33" s="891" t="s">
        <v>32</v>
      </c>
      <c r="AQ33" s="891" t="s">
        <v>32</v>
      </c>
      <c r="AR33" s="891" t="s">
        <v>2096</v>
      </c>
      <c r="AS33" s="891" t="s">
        <v>32</v>
      </c>
      <c r="AT33" s="891" t="s">
        <v>36</v>
      </c>
      <c r="AU33" s="891" t="s">
        <v>34</v>
      </c>
      <c r="AV33" s="891" t="s">
        <v>32</v>
      </c>
      <c r="AW33" s="891" t="s">
        <v>34</v>
      </c>
      <c r="AX33" s="891" t="s">
        <v>1877</v>
      </c>
      <c r="AY33" s="891" t="s">
        <v>35</v>
      </c>
      <c r="AZ33" s="891" t="s">
        <v>32</v>
      </c>
      <c r="BA33" s="891" t="s">
        <v>32</v>
      </c>
      <c r="BB33" s="891" t="s">
        <v>32</v>
      </c>
      <c r="BC33" s="891" t="s">
        <v>36</v>
      </c>
      <c r="BD33" s="891" t="s">
        <v>1877</v>
      </c>
      <c r="BE33" s="891"/>
      <c r="BF33" s="891" t="s">
        <v>32</v>
      </c>
      <c r="BG33" s="910"/>
      <c r="BH33" s="891" t="s">
        <v>35</v>
      </c>
      <c r="BI33" s="904" t="s">
        <v>34</v>
      </c>
      <c r="BJ33" s="891" t="s">
        <v>1886</v>
      </c>
      <c r="BK33" s="904" t="s">
        <v>34</v>
      </c>
      <c r="BL33" s="891" t="s">
        <v>32</v>
      </c>
      <c r="BM33" s="904" t="s">
        <v>2410</v>
      </c>
      <c r="BN33" s="896"/>
      <c r="BO33" s="896"/>
      <c r="BP33" s="891" t="s">
        <v>36</v>
      </c>
      <c r="BQ33" s="896"/>
      <c r="BR33" s="896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428"/>
      <c r="CD33" s="428"/>
      <c r="CE33" s="428"/>
      <c r="CF33" s="428"/>
      <c r="CG33" s="230" t="s">
        <v>32</v>
      </c>
      <c r="CH33" s="230" t="s">
        <v>32</v>
      </c>
      <c r="CI33" s="230" t="s">
        <v>32</v>
      </c>
      <c r="CJ33" s="230" t="s">
        <v>32</v>
      </c>
      <c r="CK33" s="230" t="s">
        <v>32</v>
      </c>
      <c r="CL33" s="230" t="s">
        <v>32</v>
      </c>
      <c r="CM33" s="230" t="s">
        <v>32</v>
      </c>
    </row>
    <row r="34" spans="1:118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13</v>
      </c>
      <c r="G34" s="879" t="s">
        <v>884</v>
      </c>
      <c r="H34" s="879" t="s">
        <v>18</v>
      </c>
      <c r="I34" s="879" t="s">
        <v>891</v>
      </c>
      <c r="J34" s="846">
        <v>2</v>
      </c>
      <c r="K34" s="846">
        <v>3</v>
      </c>
      <c r="L34" s="816" t="str">
        <f t="shared" si="31"/>
        <v>L</v>
      </c>
      <c r="M34" s="816">
        <f t="shared" si="32"/>
        <v>5</v>
      </c>
      <c r="N34" s="816" t="str">
        <f t="shared" si="33"/>
        <v>O</v>
      </c>
      <c r="O34" s="816">
        <f t="shared" si="22"/>
        <v>-0.25</v>
      </c>
      <c r="P34" s="829">
        <f t="shared" si="24"/>
        <v>-1</v>
      </c>
      <c r="Q34" s="830">
        <v>0.14000000000000001</v>
      </c>
      <c r="R34" s="871">
        <f t="shared" si="34"/>
        <v>-1.1400000000000001</v>
      </c>
      <c r="S34" s="830">
        <v>2.2999999999999998</v>
      </c>
      <c r="T34" s="871">
        <f t="shared" si="26"/>
        <v>2.7</v>
      </c>
      <c r="U34" s="868">
        <f t="shared" si="27"/>
        <v>1.22</v>
      </c>
      <c r="V34" s="868">
        <f t="shared" si="28"/>
        <v>1.0799999999999998</v>
      </c>
      <c r="W34" s="829">
        <v>18</v>
      </c>
      <c r="X34" s="829">
        <v>13</v>
      </c>
      <c r="Y34" s="829">
        <v>3</v>
      </c>
      <c r="Z34" s="829">
        <v>4</v>
      </c>
      <c r="AA34" s="829">
        <v>62</v>
      </c>
      <c r="AB34" s="829">
        <v>38</v>
      </c>
      <c r="AC34" s="829"/>
      <c r="AD34" s="816" t="str">
        <f t="array" ref="AD34">IF($J34="","",IF(SUM(IF(ISNUMBER(VALUE(RIGHT($AG34:$DU34,1))),VALUE(RIGHT($AG34:$DU34,1)),0))=$J34,"T","F"))</f>
        <v>T</v>
      </c>
      <c r="AE34" s="831">
        <f t="array" ref="AE34">IF($J34="","",SUM(IF(LEFT($AG34:$DU34,1)="s",1,0))-SUM(IF(RIGHT(LEFT($AG34:$DU34,2))="-",1,0)))</f>
        <v>0</v>
      </c>
      <c r="AF34" s="816">
        <f t="array" ref="AF34">IF($J34="","",SUM(IF(LEFT($AG34:$DU34,1)="X",1,0)))</f>
        <v>11</v>
      </c>
      <c r="AG34" s="891" t="s">
        <v>1877</v>
      </c>
      <c r="AH34" s="891" t="s">
        <v>34</v>
      </c>
      <c r="AI34" s="891" t="s">
        <v>32</v>
      </c>
      <c r="AJ34" s="891" t="s">
        <v>32</v>
      </c>
      <c r="AK34" s="891" t="s">
        <v>34</v>
      </c>
      <c r="AL34" s="891" t="s">
        <v>34</v>
      </c>
      <c r="AM34" s="891" t="s">
        <v>32</v>
      </c>
      <c r="AN34" s="891" t="s">
        <v>1877</v>
      </c>
      <c r="AO34" s="891" t="s">
        <v>34</v>
      </c>
      <c r="AP34" s="891" t="s">
        <v>32</v>
      </c>
      <c r="AQ34" s="891" t="s">
        <v>32</v>
      </c>
      <c r="AR34" s="891" t="s">
        <v>2096</v>
      </c>
      <c r="AS34" s="891" t="s">
        <v>32</v>
      </c>
      <c r="AT34" s="891" t="s">
        <v>1877</v>
      </c>
      <c r="AU34" s="891" t="s">
        <v>34</v>
      </c>
      <c r="AV34" s="891" t="s">
        <v>36</v>
      </c>
      <c r="AW34" s="891" t="s">
        <v>34</v>
      </c>
      <c r="AX34" s="891" t="s">
        <v>32</v>
      </c>
      <c r="AY34" s="891" t="s">
        <v>2456</v>
      </c>
      <c r="AZ34" s="891" t="s">
        <v>1877</v>
      </c>
      <c r="BA34" s="891" t="s">
        <v>32</v>
      </c>
      <c r="BB34" s="891" t="s">
        <v>32</v>
      </c>
      <c r="BC34" s="891" t="s">
        <v>35</v>
      </c>
      <c r="BD34" s="891" t="s">
        <v>32</v>
      </c>
      <c r="BE34" s="891"/>
      <c r="BF34" s="891" t="s">
        <v>35</v>
      </c>
      <c r="BG34" s="910"/>
      <c r="BH34" s="891" t="s">
        <v>2444</v>
      </c>
      <c r="BI34" s="891" t="s">
        <v>36</v>
      </c>
      <c r="BJ34" s="891" t="s">
        <v>1886</v>
      </c>
      <c r="BK34" s="891" t="s">
        <v>2443</v>
      </c>
      <c r="BL34" s="891" t="s">
        <v>32</v>
      </c>
      <c r="BM34" s="891" t="s">
        <v>34</v>
      </c>
      <c r="BN34" s="896"/>
      <c r="BO34" s="896"/>
      <c r="BP34" s="891" t="s">
        <v>36</v>
      </c>
      <c r="BQ34" s="896"/>
      <c r="BR34" s="896"/>
      <c r="BS34" s="896"/>
      <c r="BT34" s="896"/>
      <c r="BU34" s="896"/>
      <c r="BV34" s="896"/>
      <c r="BW34" s="896"/>
      <c r="BX34" s="896"/>
      <c r="BY34" s="896"/>
      <c r="BZ34" s="896"/>
      <c r="CA34" s="896"/>
      <c r="CB34" s="896"/>
      <c r="CC34" s="428"/>
      <c r="CD34" s="428"/>
      <c r="CE34" s="428"/>
      <c r="CF34" s="428"/>
    </row>
    <row r="35" spans="1:118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18</v>
      </c>
      <c r="G35" s="879" t="s">
        <v>887</v>
      </c>
      <c r="H35" s="879" t="s">
        <v>22</v>
      </c>
      <c r="I35" s="879" t="s">
        <v>891</v>
      </c>
      <c r="J35" s="846">
        <v>1</v>
      </c>
      <c r="K35" s="846">
        <v>1</v>
      </c>
      <c r="L35" s="816" t="str">
        <f t="shared" si="31"/>
        <v>D</v>
      </c>
      <c r="M35" s="816">
        <f t="shared" si="32"/>
        <v>2</v>
      </c>
      <c r="N35" s="816" t="str">
        <f t="shared" si="33"/>
        <v>U</v>
      </c>
      <c r="O35" s="816">
        <f t="shared" si="22"/>
        <v>-0.25</v>
      </c>
      <c r="P35" s="829">
        <f t="shared" si="24"/>
        <v>-0.5</v>
      </c>
      <c r="Q35" s="830">
        <v>0.31</v>
      </c>
      <c r="R35" s="871">
        <f t="shared" si="34"/>
        <v>-0.31</v>
      </c>
      <c r="S35" s="830">
        <v>2.46</v>
      </c>
      <c r="T35" s="871">
        <f t="shared" si="26"/>
        <v>-0.45999999999999996</v>
      </c>
      <c r="U35" s="868">
        <f t="shared" si="27"/>
        <v>1.385</v>
      </c>
      <c r="V35" s="868">
        <f t="shared" si="28"/>
        <v>1.075</v>
      </c>
      <c r="W35" s="829">
        <v>22</v>
      </c>
      <c r="X35" s="829">
        <v>14</v>
      </c>
      <c r="Y35" s="829">
        <v>9</v>
      </c>
      <c r="Z35" s="829">
        <v>2</v>
      </c>
      <c r="AA35" s="829">
        <v>44</v>
      </c>
      <c r="AB35" s="829">
        <v>56</v>
      </c>
      <c r="AC35" s="829"/>
      <c r="AD35" s="816" t="str">
        <f t="array" ref="AD35">IF($J35="","",IF(SUM(IF(ISNUMBER(VALUE(RIGHT($AG35:$DU35,1))),VALUE(RIGHT($AG35:$DU35,1)),0))=$J35,"T","F"))</f>
        <v>T</v>
      </c>
      <c r="AE35" s="831">
        <f t="array" ref="AE35">IF($J35="","",SUM(IF(LEFT($AG35:$DU35,1)="s",1,0))-SUM(IF(RIGHT(LEFT($AG35:$DU35,2))="-",1,0)))</f>
        <v>0</v>
      </c>
      <c r="AF35" s="816">
        <f t="array" ref="AF35">IF($J35="","",SUM(IF(LEFT($AG35:$DU35,1)="X",1,0)))</f>
        <v>11</v>
      </c>
      <c r="AG35" s="891" t="s">
        <v>1877</v>
      </c>
      <c r="AH35" s="891" t="s">
        <v>34</v>
      </c>
      <c r="AI35" s="891" t="s">
        <v>32</v>
      </c>
      <c r="AJ35" s="891" t="s">
        <v>32</v>
      </c>
      <c r="AK35" s="904" t="s">
        <v>35</v>
      </c>
      <c r="AL35" s="891" t="s">
        <v>34</v>
      </c>
      <c r="AM35" s="891" t="s">
        <v>34</v>
      </c>
      <c r="AN35" s="891" t="s">
        <v>1877</v>
      </c>
      <c r="AO35" s="891" t="s">
        <v>36</v>
      </c>
      <c r="AP35" s="891" t="s">
        <v>32</v>
      </c>
      <c r="AQ35" s="891" t="s">
        <v>32</v>
      </c>
      <c r="AR35" s="891" t="s">
        <v>34</v>
      </c>
      <c r="AS35" s="891" t="s">
        <v>32</v>
      </c>
      <c r="AT35" s="891" t="s">
        <v>32</v>
      </c>
      <c r="AU35" s="891" t="s">
        <v>34</v>
      </c>
      <c r="AV35" s="891" t="s">
        <v>32</v>
      </c>
      <c r="AW35" s="891" t="s">
        <v>2479</v>
      </c>
      <c r="AX35" s="891" t="s">
        <v>36</v>
      </c>
      <c r="AY35" s="891" t="s">
        <v>1886</v>
      </c>
      <c r="AZ35" s="891" t="s">
        <v>32</v>
      </c>
      <c r="BA35" s="891" t="s">
        <v>32</v>
      </c>
      <c r="BB35" s="891" t="s">
        <v>32</v>
      </c>
      <c r="BC35" s="891" t="s">
        <v>34</v>
      </c>
      <c r="BD35" s="891" t="s">
        <v>1877</v>
      </c>
      <c r="BE35" s="891"/>
      <c r="BF35" s="891" t="s">
        <v>32</v>
      </c>
      <c r="BG35" s="910"/>
      <c r="BH35" s="891" t="s">
        <v>34</v>
      </c>
      <c r="BI35" s="904" t="s">
        <v>35</v>
      </c>
      <c r="BJ35" s="891" t="s">
        <v>1886</v>
      </c>
      <c r="BK35" s="904" t="s">
        <v>35</v>
      </c>
      <c r="BL35" s="891" t="s">
        <v>32</v>
      </c>
      <c r="BM35" s="891" t="s">
        <v>36</v>
      </c>
      <c r="BN35" s="891"/>
      <c r="BO35" s="891"/>
      <c r="BP35" s="891" t="s">
        <v>1877</v>
      </c>
      <c r="BQ35" s="891"/>
      <c r="BR35" s="896"/>
      <c r="BS35" s="896"/>
      <c r="BT35" s="896"/>
      <c r="BU35" s="896"/>
      <c r="BV35" s="896"/>
      <c r="BW35" s="896"/>
      <c r="BX35" s="896"/>
      <c r="BY35" s="896"/>
      <c r="BZ35" s="896"/>
      <c r="CA35" s="896"/>
      <c r="CB35" s="896"/>
      <c r="CC35" s="428"/>
      <c r="CD35" s="428"/>
      <c r="CE35" s="428"/>
      <c r="CF35" s="428"/>
      <c r="CJ35" s="4" t="s">
        <v>32</v>
      </c>
      <c r="CK35" s="6" t="s">
        <v>32</v>
      </c>
      <c r="CL35" s="6" t="s">
        <v>32</v>
      </c>
      <c r="CM35" s="6" t="s">
        <v>32</v>
      </c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</row>
    <row r="36" spans="1:118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17</v>
      </c>
      <c r="G36" s="879" t="s">
        <v>875</v>
      </c>
      <c r="H36" s="879" t="s">
        <v>22</v>
      </c>
      <c r="I36" s="879" t="s">
        <v>891</v>
      </c>
      <c r="J36" s="846">
        <v>1</v>
      </c>
      <c r="K36" s="846">
        <v>1</v>
      </c>
      <c r="L36" s="816" t="str">
        <f t="shared" si="31"/>
        <v>D</v>
      </c>
      <c r="M36" s="816">
        <f t="shared" si="32"/>
        <v>2</v>
      </c>
      <c r="N36" s="816" t="str">
        <f t="shared" si="33"/>
        <v>U</v>
      </c>
      <c r="O36" s="816">
        <f t="shared" si="22"/>
        <v>-0.5</v>
      </c>
      <c r="P36" s="829">
        <f t="shared" si="24"/>
        <v>-1</v>
      </c>
      <c r="Q36" s="830">
        <v>0.59</v>
      </c>
      <c r="R36" s="871">
        <f t="shared" si="34"/>
        <v>-0.59</v>
      </c>
      <c r="S36" s="830">
        <v>2.38</v>
      </c>
      <c r="T36" s="871">
        <f t="shared" si="26"/>
        <v>-0.37999999999999989</v>
      </c>
      <c r="U36" s="868">
        <f t="shared" si="27"/>
        <v>1.4849999999999999</v>
      </c>
      <c r="V36" s="868">
        <f t="shared" si="28"/>
        <v>0.89500000000000002</v>
      </c>
      <c r="W36" s="829">
        <v>33</v>
      </c>
      <c r="X36" s="829">
        <v>9</v>
      </c>
      <c r="Y36" s="829">
        <v>5</v>
      </c>
      <c r="Z36" s="829">
        <v>1</v>
      </c>
      <c r="AA36" s="829">
        <v>64</v>
      </c>
      <c r="AB36" s="829">
        <v>36</v>
      </c>
      <c r="AC36" s="829"/>
      <c r="AD36" s="816" t="str">
        <f t="array" ref="AD36">IF($J36="","",IF(SUM(IF(ISNUMBER(VALUE(RIGHT($AG36:$DU36,1))),VALUE(RIGHT($AG36:$DU36,1)),0))=$J36,"T","F"))</f>
        <v>T</v>
      </c>
      <c r="AE36" s="831">
        <f t="array" ref="AE36">IF($J36="","",SUM(IF(LEFT($AG36:$DU36,1)="s",1,0))-SUM(IF(RIGHT(LEFT($AG36:$DU36,2))="-",1,0)))</f>
        <v>0</v>
      </c>
      <c r="AF36" s="816">
        <f t="array" ref="AF36">IF($J36="","",SUM(IF(LEFT($AG36:$DU36,1)="X",1,0)))</f>
        <v>11</v>
      </c>
      <c r="AG36" s="891"/>
      <c r="AH36" s="891" t="s">
        <v>34</v>
      </c>
      <c r="AI36" s="891" t="s">
        <v>32</v>
      </c>
      <c r="AJ36" s="891" t="s">
        <v>1877</v>
      </c>
      <c r="AK36" s="891" t="s">
        <v>2492</v>
      </c>
      <c r="AL36" s="891" t="s">
        <v>34</v>
      </c>
      <c r="AM36" s="891" t="s">
        <v>35</v>
      </c>
      <c r="AN36" s="891" t="s">
        <v>34</v>
      </c>
      <c r="AO36" s="891" t="s">
        <v>1877</v>
      </c>
      <c r="AP36" s="891" t="s">
        <v>32</v>
      </c>
      <c r="AQ36" s="891" t="s">
        <v>32</v>
      </c>
      <c r="AR36" s="891" t="s">
        <v>34</v>
      </c>
      <c r="AS36" s="891" t="s">
        <v>32</v>
      </c>
      <c r="AT36" s="891" t="s">
        <v>36</v>
      </c>
      <c r="AU36" s="891" t="s">
        <v>36</v>
      </c>
      <c r="AV36" s="891" t="s">
        <v>32</v>
      </c>
      <c r="AW36" s="904" t="s">
        <v>34</v>
      </c>
      <c r="AX36" s="891" t="s">
        <v>1877</v>
      </c>
      <c r="AY36" s="891" t="s">
        <v>1886</v>
      </c>
      <c r="AZ36" s="891" t="s">
        <v>36</v>
      </c>
      <c r="BA36" s="891" t="s">
        <v>32</v>
      </c>
      <c r="BB36" s="891" t="s">
        <v>32</v>
      </c>
      <c r="BC36" s="891" t="s">
        <v>35</v>
      </c>
      <c r="BD36" s="891" t="s">
        <v>1877</v>
      </c>
      <c r="BE36" s="891"/>
      <c r="BF36" s="891" t="s">
        <v>32</v>
      </c>
      <c r="BG36" s="910"/>
      <c r="BH36" s="891" t="s">
        <v>34</v>
      </c>
      <c r="BI36" s="891" t="s">
        <v>2497</v>
      </c>
      <c r="BJ36" s="891" t="s">
        <v>32</v>
      </c>
      <c r="BK36" s="891" t="s">
        <v>34</v>
      </c>
      <c r="BL36" s="891" t="s">
        <v>32</v>
      </c>
      <c r="BM36" s="891" t="s">
        <v>34</v>
      </c>
      <c r="BN36" s="891"/>
      <c r="BO36" s="891"/>
      <c r="BP36" s="891" t="s">
        <v>32</v>
      </c>
      <c r="BQ36" s="891"/>
      <c r="BR36" s="891"/>
      <c r="BS36" s="891"/>
      <c r="BT36" s="891"/>
      <c r="BU36" s="891"/>
      <c r="BV36" s="891"/>
      <c r="BW36" s="891"/>
      <c r="BX36" s="891"/>
      <c r="BY36" s="891"/>
      <c r="BZ36" s="896"/>
      <c r="CA36" s="896"/>
      <c r="CB36" s="896"/>
      <c r="CC36" s="428"/>
      <c r="CD36" s="428"/>
      <c r="CE36" s="428"/>
      <c r="CF36" s="428"/>
      <c r="CG36" s="230" t="s">
        <v>32</v>
      </c>
      <c r="CH36" s="230" t="s">
        <v>32</v>
      </c>
      <c r="CI36" s="230" t="s">
        <v>32</v>
      </c>
      <c r="CJ36" s="230" t="s">
        <v>32</v>
      </c>
      <c r="CK36" s="230" t="s">
        <v>32</v>
      </c>
      <c r="CL36" s="230" t="s">
        <v>32</v>
      </c>
      <c r="CM36" s="230" t="s">
        <v>32</v>
      </c>
    </row>
    <row r="37" spans="1:118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14</v>
      </c>
      <c r="G37" s="879" t="s">
        <v>873</v>
      </c>
      <c r="H37" s="879" t="s">
        <v>18</v>
      </c>
      <c r="I37" s="879" t="s">
        <v>891</v>
      </c>
      <c r="J37" s="846">
        <v>1</v>
      </c>
      <c r="K37" s="846">
        <v>1</v>
      </c>
      <c r="L37" s="816" t="str">
        <f t="shared" si="31"/>
        <v>D</v>
      </c>
      <c r="M37" s="816">
        <f t="shared" si="32"/>
        <v>2</v>
      </c>
      <c r="N37" s="816" t="str">
        <f t="shared" si="33"/>
        <v>U</v>
      </c>
      <c r="O37" s="816">
        <f t="shared" si="22"/>
        <v>0</v>
      </c>
      <c r="P37" s="829">
        <f t="shared" si="24"/>
        <v>0</v>
      </c>
      <c r="Q37" s="830">
        <v>0.1</v>
      </c>
      <c r="R37" s="871">
        <f t="shared" si="34"/>
        <v>-0.1</v>
      </c>
      <c r="S37" s="830">
        <v>2.39</v>
      </c>
      <c r="T37" s="871">
        <f t="shared" si="26"/>
        <v>-0.39000000000000012</v>
      </c>
      <c r="U37" s="868">
        <f t="shared" si="27"/>
        <v>1.2450000000000001</v>
      </c>
      <c r="V37" s="868">
        <f t="shared" si="28"/>
        <v>1.145</v>
      </c>
      <c r="W37" s="829">
        <v>14</v>
      </c>
      <c r="X37" s="829">
        <v>17</v>
      </c>
      <c r="Y37" s="829">
        <v>5</v>
      </c>
      <c r="Z37" s="829">
        <v>5</v>
      </c>
      <c r="AA37" s="829">
        <v>55</v>
      </c>
      <c r="AB37" s="829">
        <v>45</v>
      </c>
      <c r="AC37" s="829"/>
      <c r="AD37" s="816" t="str">
        <f t="array" ref="AD37">IF($J37="","",IF(SUM(IF(ISNUMBER(VALUE(RIGHT($AG37:$DU37,1))),VALUE(RIGHT($AG37:$DU37,1)),0))=$J37,"T","F"))</f>
        <v>T</v>
      </c>
      <c r="AE37" s="831">
        <f t="array" ref="AE37">IF($J37="","",SUM(IF(LEFT($AG37:$DU37,1)="s",1,0))-SUM(IF(RIGHT(LEFT($AG37:$DU37,2))="-",1,0)))</f>
        <v>0</v>
      </c>
      <c r="AF37" s="816">
        <f t="array" ref="AF37">IF($J37="","",SUM(IF(LEFT($AG37:$DU37,1)="X",1,0)))</f>
        <v>11</v>
      </c>
      <c r="AG37" s="891" t="s">
        <v>32</v>
      </c>
      <c r="AH37" s="891" t="s">
        <v>1877</v>
      </c>
      <c r="AI37" s="891" t="s">
        <v>32</v>
      </c>
      <c r="AJ37" s="891" t="s">
        <v>34</v>
      </c>
      <c r="AK37" s="891" t="s">
        <v>34</v>
      </c>
      <c r="AL37" s="891" t="s">
        <v>34</v>
      </c>
      <c r="AM37" s="891" t="s">
        <v>32</v>
      </c>
      <c r="AN37" s="891" t="s">
        <v>34</v>
      </c>
      <c r="AO37" s="891" t="s">
        <v>34</v>
      </c>
      <c r="AP37" s="891" t="s">
        <v>1877</v>
      </c>
      <c r="AQ37" s="891" t="s">
        <v>32</v>
      </c>
      <c r="AR37" s="904" t="s">
        <v>34</v>
      </c>
      <c r="AS37" s="891" t="s">
        <v>32</v>
      </c>
      <c r="AT37" s="891" t="s">
        <v>32</v>
      </c>
      <c r="AU37" s="891" t="s">
        <v>34</v>
      </c>
      <c r="AV37" s="891" t="s">
        <v>32</v>
      </c>
      <c r="AW37" s="891" t="s">
        <v>34</v>
      </c>
      <c r="AX37" s="891" t="s">
        <v>2514</v>
      </c>
      <c r="AY37" s="891" t="s">
        <v>1886</v>
      </c>
      <c r="AZ37" s="891" t="s">
        <v>32</v>
      </c>
      <c r="BA37" s="891" t="s">
        <v>32</v>
      </c>
      <c r="BB37" s="891" t="s">
        <v>32</v>
      </c>
      <c r="BC37" s="891" t="s">
        <v>35</v>
      </c>
      <c r="BD37" s="891" t="s">
        <v>1877</v>
      </c>
      <c r="BE37" s="891"/>
      <c r="BF37" s="891" t="s">
        <v>1877</v>
      </c>
      <c r="BG37" s="910"/>
      <c r="BH37" s="891" t="s">
        <v>36</v>
      </c>
      <c r="BI37" s="904" t="s">
        <v>35</v>
      </c>
      <c r="BJ37" s="891" t="s">
        <v>32</v>
      </c>
      <c r="BK37" s="891" t="s">
        <v>36</v>
      </c>
      <c r="BL37" s="891"/>
      <c r="BM37" s="891"/>
      <c r="BN37" s="891"/>
      <c r="BO37" s="891"/>
      <c r="BP37" s="891" t="s">
        <v>36</v>
      </c>
      <c r="BQ37" s="896"/>
      <c r="BR37" s="896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428"/>
      <c r="CD37" s="428"/>
      <c r="CE37" s="428"/>
      <c r="CF37" s="428"/>
      <c r="CK37" s="4" t="s">
        <v>32</v>
      </c>
      <c r="CL37" s="4" t="s">
        <v>32</v>
      </c>
      <c r="CM37" s="4" t="s">
        <v>32</v>
      </c>
      <c r="CN37" s="4" t="s">
        <v>32</v>
      </c>
      <c r="CO37" s="4" t="s">
        <v>32</v>
      </c>
      <c r="CP37" s="4" t="s">
        <v>32</v>
      </c>
      <c r="CQ37" s="6" t="s">
        <v>32</v>
      </c>
      <c r="CR37" s="6" t="s">
        <v>32</v>
      </c>
      <c r="CS37" s="6" t="s">
        <v>32</v>
      </c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</row>
    <row r="38" spans="1:118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19</v>
      </c>
      <c r="G38" s="879" t="s">
        <v>885</v>
      </c>
      <c r="H38" s="879" t="s">
        <v>22</v>
      </c>
      <c r="I38" s="879" t="s">
        <v>891</v>
      </c>
      <c r="J38" s="846">
        <v>1</v>
      </c>
      <c r="K38" s="846">
        <v>1</v>
      </c>
      <c r="L38" s="816" t="str">
        <f t="shared" si="31"/>
        <v>D</v>
      </c>
      <c r="M38" s="816">
        <f t="shared" si="32"/>
        <v>2</v>
      </c>
      <c r="N38" s="816" t="str">
        <f t="shared" si="33"/>
        <v>U</v>
      </c>
      <c r="O38" s="816">
        <f t="shared" si="22"/>
        <v>-0.75</v>
      </c>
      <c r="P38" s="829">
        <f t="shared" si="24"/>
        <v>-1</v>
      </c>
      <c r="Q38" s="830">
        <v>0.89</v>
      </c>
      <c r="R38" s="871">
        <f t="shared" si="34"/>
        <v>-0.89</v>
      </c>
      <c r="S38" s="830">
        <v>2.56</v>
      </c>
      <c r="T38" s="871">
        <f t="shared" si="26"/>
        <v>-0.56000000000000005</v>
      </c>
      <c r="U38" s="868">
        <f t="shared" si="27"/>
        <v>1.7250000000000001</v>
      </c>
      <c r="V38" s="868">
        <f t="shared" si="28"/>
        <v>0.83499999999999996</v>
      </c>
      <c r="W38" s="829">
        <v>15</v>
      </c>
      <c r="X38" s="829">
        <v>9</v>
      </c>
      <c r="Y38" s="829">
        <v>4</v>
      </c>
      <c r="Z38" s="829">
        <v>2</v>
      </c>
      <c r="AA38" s="829">
        <v>60</v>
      </c>
      <c r="AB38" s="829">
        <v>40</v>
      </c>
      <c r="AC38" s="829"/>
      <c r="AD38" s="816" t="str">
        <f t="array" ref="AD38">IF($J38="","",IF(SUM(IF(ISNUMBER(VALUE(RIGHT($AG38:$DU38,1))),VALUE(RIGHT($AG38:$DU38,1)),0))=$J38,"T","F"))</f>
        <v>T</v>
      </c>
      <c r="AE38" s="831">
        <f t="array" ref="AE38">IF($J38="","",SUM(IF(LEFT($AG38:$DU38,1)="s",1,0))-SUM(IF(RIGHT(LEFT($AG38:$DU38,2))="-",1,0)))</f>
        <v>0</v>
      </c>
      <c r="AF38" s="816">
        <f t="array" ref="AF38">IF($J38="","",SUM(IF(LEFT($AG38:$DU38,1)="X",1,0)))</f>
        <v>11</v>
      </c>
      <c r="AG38" s="891" t="s">
        <v>32</v>
      </c>
      <c r="AH38" s="891" t="s">
        <v>1877</v>
      </c>
      <c r="AI38" s="891" t="s">
        <v>32</v>
      </c>
      <c r="AJ38" s="891" t="s">
        <v>34</v>
      </c>
      <c r="AK38" s="891" t="s">
        <v>34</v>
      </c>
      <c r="AL38" s="891" t="s">
        <v>34</v>
      </c>
      <c r="AM38" s="891" t="s">
        <v>32</v>
      </c>
      <c r="AN38" s="891" t="s">
        <v>35</v>
      </c>
      <c r="AO38" s="891" t="s">
        <v>36</v>
      </c>
      <c r="AP38" s="891" t="s">
        <v>1877</v>
      </c>
      <c r="AQ38" s="891" t="s">
        <v>32</v>
      </c>
      <c r="AR38" s="891" t="s">
        <v>34</v>
      </c>
      <c r="AS38" s="891" t="s">
        <v>32</v>
      </c>
      <c r="AT38" s="891" t="s">
        <v>32</v>
      </c>
      <c r="AU38" s="891" t="s">
        <v>35</v>
      </c>
      <c r="AV38" s="891" t="s">
        <v>36</v>
      </c>
      <c r="AW38" s="891" t="s">
        <v>34</v>
      </c>
      <c r="AX38" s="891" t="s">
        <v>1877</v>
      </c>
      <c r="AY38" s="891" t="s">
        <v>1886</v>
      </c>
      <c r="AZ38" s="891" t="s">
        <v>32</v>
      </c>
      <c r="BA38" s="891" t="s">
        <v>32</v>
      </c>
      <c r="BB38" s="891" t="s">
        <v>32</v>
      </c>
      <c r="BC38" s="891" t="s">
        <v>35</v>
      </c>
      <c r="BD38" s="891" t="s">
        <v>1877</v>
      </c>
      <c r="BE38" s="891"/>
      <c r="BF38" s="891" t="s">
        <v>32</v>
      </c>
      <c r="BG38" s="910"/>
      <c r="BH38" s="891" t="s">
        <v>2538</v>
      </c>
      <c r="BI38" s="891" t="s">
        <v>34</v>
      </c>
      <c r="BJ38" s="891" t="s">
        <v>36</v>
      </c>
      <c r="BK38" s="891" t="s">
        <v>34</v>
      </c>
      <c r="BL38" s="891"/>
      <c r="BM38" s="891"/>
      <c r="BN38" s="891"/>
      <c r="BO38" s="891"/>
      <c r="BP38" s="891" t="s">
        <v>32</v>
      </c>
      <c r="BQ38" s="891"/>
      <c r="BR38" s="896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428"/>
      <c r="CD38" s="428"/>
      <c r="CE38" s="428"/>
      <c r="CF38" s="428"/>
      <c r="CG38" s="230" t="s">
        <v>32</v>
      </c>
      <c r="CH38" s="230" t="s">
        <v>32</v>
      </c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</row>
    <row r="39" spans="1:118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22</v>
      </c>
      <c r="G39" s="879" t="s">
        <v>1087</v>
      </c>
      <c r="H39" s="879" t="s">
        <v>18</v>
      </c>
      <c r="I39" s="879" t="s">
        <v>891</v>
      </c>
      <c r="J39" s="846">
        <v>2</v>
      </c>
      <c r="K39" s="846">
        <v>0</v>
      </c>
      <c r="L39" s="816" t="str">
        <f t="shared" si="31"/>
        <v>W</v>
      </c>
      <c r="M39" s="816">
        <f t="shared" si="32"/>
        <v>2</v>
      </c>
      <c r="N39" s="816" t="str">
        <f t="shared" si="33"/>
        <v>U</v>
      </c>
      <c r="O39" s="816">
        <f t="shared" ref="O39:O48" si="35">IF(Q39="","",IF(SIGN(Q39)&lt;&gt;1,VLOOKUP(ABS(Q39),SUP_HDC,3,TRUE),-VLOOKUP(ABS(Q39),SUP_HDC,3,TRUE)))</f>
        <v>-0.5</v>
      </c>
      <c r="P39" s="829">
        <f t="shared" ref="P39:P48" si="36">IF(O39="","",IF((J39-K39+O39)&gt;=0.5,1,IF((J39-K39+O39)=0.25,0.5,IF((J39-K39+O39)&lt;=-0.5,-1,IF((J39-K39+O39)=-0.25,-0.5,0)))))</f>
        <v>1</v>
      </c>
      <c r="Q39" s="830">
        <v>0.57999999999999996</v>
      </c>
      <c r="R39" s="871">
        <f t="shared" si="34"/>
        <v>1.42</v>
      </c>
      <c r="S39" s="830">
        <v>2.86</v>
      </c>
      <c r="T39" s="871">
        <f t="shared" si="26"/>
        <v>-0.85999999999999988</v>
      </c>
      <c r="U39" s="868">
        <f t="shared" si="27"/>
        <v>1.72</v>
      </c>
      <c r="V39" s="868">
        <f t="shared" si="28"/>
        <v>1.1399999999999999</v>
      </c>
      <c r="W39" s="829">
        <v>12</v>
      </c>
      <c r="X39" s="829">
        <v>10</v>
      </c>
      <c r="Y39" s="829">
        <v>4</v>
      </c>
      <c r="Z39" s="829">
        <v>1</v>
      </c>
      <c r="AA39" s="829">
        <v>51</v>
      </c>
      <c r="AB39" s="829">
        <v>49</v>
      </c>
      <c r="AC39" s="829"/>
      <c r="AD39" s="816" t="str">
        <f t="array" ref="AD39">IF($J39="","",IF(SUM(IF(ISNUMBER(VALUE(RIGHT($AG39:$DU39,1))),VALUE(RIGHT($AG39:$DU39,1)),0))=$J39,"T","F"))</f>
        <v>T</v>
      </c>
      <c r="AE39" s="831">
        <f t="array" ref="AE39">IF($J39="","",SUM(IF(LEFT($AG39:$DU39,1)="s",1,0))-SUM(IF(RIGHT(LEFT($AG39:$DU39,2))="-",1,0)))</f>
        <v>0</v>
      </c>
      <c r="AF39" s="816">
        <f t="array" ref="AF39">IF($J39="","",SUM(IF(LEFT($AG39:$DU39,1)="X",1,0)))</f>
        <v>11</v>
      </c>
      <c r="AG39" s="891" t="s">
        <v>32</v>
      </c>
      <c r="AH39" s="891" t="s">
        <v>1877</v>
      </c>
      <c r="AI39" s="891" t="s">
        <v>32</v>
      </c>
      <c r="AJ39" s="891" t="s">
        <v>34</v>
      </c>
      <c r="AK39" s="891" t="s">
        <v>34</v>
      </c>
      <c r="AL39" s="891" t="s">
        <v>1877</v>
      </c>
      <c r="AM39" s="891" t="s">
        <v>32</v>
      </c>
      <c r="AN39" s="891" t="s">
        <v>32</v>
      </c>
      <c r="AO39" s="891" t="s">
        <v>34</v>
      </c>
      <c r="AP39" s="891" t="s">
        <v>32</v>
      </c>
      <c r="AQ39" s="891" t="s">
        <v>32</v>
      </c>
      <c r="AR39" s="891" t="s">
        <v>34</v>
      </c>
      <c r="AS39" s="891" t="s">
        <v>32</v>
      </c>
      <c r="AT39" s="891" t="s">
        <v>34</v>
      </c>
      <c r="AU39" s="891" t="s">
        <v>35</v>
      </c>
      <c r="AV39" s="891" t="s">
        <v>1877</v>
      </c>
      <c r="AW39" s="891" t="s">
        <v>34</v>
      </c>
      <c r="AX39" s="891" t="s">
        <v>35</v>
      </c>
      <c r="AY39" s="891" t="s">
        <v>1886</v>
      </c>
      <c r="AZ39" s="891" t="s">
        <v>32</v>
      </c>
      <c r="BA39" s="891" t="s">
        <v>1877</v>
      </c>
      <c r="BB39" s="891" t="s">
        <v>32</v>
      </c>
      <c r="BC39" s="891" t="s">
        <v>36</v>
      </c>
      <c r="BD39" s="891" t="s">
        <v>36</v>
      </c>
      <c r="BE39" s="891"/>
      <c r="BF39" s="891" t="s">
        <v>32</v>
      </c>
      <c r="BG39" s="910"/>
      <c r="BH39" s="891" t="s">
        <v>2568</v>
      </c>
      <c r="BI39" s="891" t="s">
        <v>2555</v>
      </c>
      <c r="BJ39" s="891" t="s">
        <v>36</v>
      </c>
      <c r="BK39" s="891" t="s">
        <v>34</v>
      </c>
      <c r="BL39" s="891"/>
      <c r="BM39" s="891"/>
      <c r="BN39" s="896"/>
      <c r="BO39" s="896"/>
      <c r="BP39" s="891" t="s">
        <v>32</v>
      </c>
      <c r="BQ39" s="896"/>
      <c r="BR39" s="896"/>
      <c r="BS39" s="896"/>
      <c r="BT39" s="896"/>
      <c r="BU39" s="896"/>
      <c r="BV39" s="896"/>
      <c r="BW39" s="896"/>
      <c r="BX39" s="896"/>
      <c r="BY39" s="896"/>
      <c r="BZ39" s="896"/>
      <c r="CA39" s="896"/>
      <c r="CB39" s="896"/>
      <c r="CC39" s="428"/>
      <c r="CD39" s="428"/>
      <c r="CE39" s="428"/>
      <c r="CF39" s="428"/>
      <c r="CG39" s="230" t="s">
        <v>32</v>
      </c>
      <c r="CH39" s="230" t="s">
        <v>32</v>
      </c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</row>
    <row r="40" spans="1:118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</v>
      </c>
      <c r="G40" s="879" t="s">
        <v>1086</v>
      </c>
      <c r="H40" s="879" t="s">
        <v>22</v>
      </c>
      <c r="I40" s="879" t="s">
        <v>891</v>
      </c>
      <c r="J40" s="846">
        <v>0</v>
      </c>
      <c r="K40" s="846">
        <v>1</v>
      </c>
      <c r="L40" s="816" t="str">
        <f t="shared" si="31"/>
        <v>L</v>
      </c>
      <c r="M40" s="816">
        <f t="shared" si="32"/>
        <v>1</v>
      </c>
      <c r="N40" s="816" t="str">
        <f t="shared" si="33"/>
        <v>U</v>
      </c>
      <c r="O40" s="816">
        <f t="shared" si="35"/>
        <v>0</v>
      </c>
      <c r="P40" s="829">
        <f t="shared" si="36"/>
        <v>-1</v>
      </c>
      <c r="Q40" s="830">
        <v>-0.05</v>
      </c>
      <c r="R40" s="871">
        <f t="shared" si="34"/>
        <v>-0.95</v>
      </c>
      <c r="S40" s="830">
        <v>2.4500000000000002</v>
      </c>
      <c r="T40" s="871">
        <f t="shared" si="26"/>
        <v>-1.4500000000000002</v>
      </c>
      <c r="U40" s="868">
        <f t="shared" si="27"/>
        <v>1.2000000000000002</v>
      </c>
      <c r="V40" s="868">
        <f t="shared" si="28"/>
        <v>1.25</v>
      </c>
      <c r="W40" s="829">
        <v>14</v>
      </c>
      <c r="X40" s="829">
        <v>8</v>
      </c>
      <c r="Y40" s="829">
        <v>3</v>
      </c>
      <c r="Z40" s="829">
        <v>3</v>
      </c>
      <c r="AA40" s="829">
        <v>61</v>
      </c>
      <c r="AB40" s="829">
        <v>39</v>
      </c>
      <c r="AC40" s="829"/>
      <c r="AD40" s="816" t="str">
        <f t="array" ref="AD40">IF($J40="","",IF(SUM(IF(ISNUMBER(VALUE(RIGHT($AG40:$DU40,1))),VALUE(RIGHT($AG40:$DU40,1)),0))=$J40,"T","F"))</f>
        <v>T</v>
      </c>
      <c r="AE40" s="831">
        <f t="array" ref="AE40">IF($J40="","",SUM(IF(LEFT($AG40:$DU40,1)="s",1,0))-SUM(IF(RIGHT(LEFT($AG40:$DU40,2))="-",1,0)))</f>
        <v>0</v>
      </c>
      <c r="AF40" s="816">
        <f t="array" ref="AF40">IF($J40="","",SUM(IF(LEFT($AG40:$DU40,1)="X",1,0)))</f>
        <v>11</v>
      </c>
      <c r="AG40" s="891" t="s">
        <v>1877</v>
      </c>
      <c r="AH40" s="891" t="s">
        <v>32</v>
      </c>
      <c r="AI40" s="891" t="s">
        <v>32</v>
      </c>
      <c r="AJ40" s="891" t="s">
        <v>34</v>
      </c>
      <c r="AK40" s="891" t="s">
        <v>34</v>
      </c>
      <c r="AL40" s="891" t="s">
        <v>1877</v>
      </c>
      <c r="AM40" s="891" t="s">
        <v>32</v>
      </c>
      <c r="AN40" s="891" t="s">
        <v>32</v>
      </c>
      <c r="AO40" s="891" t="s">
        <v>35</v>
      </c>
      <c r="AP40" s="891" t="s">
        <v>1877</v>
      </c>
      <c r="AQ40" s="891" t="s">
        <v>32</v>
      </c>
      <c r="AR40" s="891" t="s">
        <v>34</v>
      </c>
      <c r="AS40" s="891" t="s">
        <v>32</v>
      </c>
      <c r="AT40" s="891" t="s">
        <v>34</v>
      </c>
      <c r="AU40" s="891" t="s">
        <v>35</v>
      </c>
      <c r="AV40" s="891" t="s">
        <v>32</v>
      </c>
      <c r="AW40" s="891" t="s">
        <v>34</v>
      </c>
      <c r="AX40" s="891" t="s">
        <v>1877</v>
      </c>
      <c r="AY40" s="891" t="s">
        <v>1886</v>
      </c>
      <c r="AZ40" s="891" t="s">
        <v>32</v>
      </c>
      <c r="BA40" s="891" t="s">
        <v>32</v>
      </c>
      <c r="BB40" s="891" t="s">
        <v>32</v>
      </c>
      <c r="BC40" s="891" t="s">
        <v>35</v>
      </c>
      <c r="BD40" s="891" t="s">
        <v>36</v>
      </c>
      <c r="BE40" s="891"/>
      <c r="BF40" s="891" t="s">
        <v>32</v>
      </c>
      <c r="BG40" s="910"/>
      <c r="BH40" s="891" t="s">
        <v>34</v>
      </c>
      <c r="BI40" s="891" t="s">
        <v>34</v>
      </c>
      <c r="BJ40" s="891" t="s">
        <v>36</v>
      </c>
      <c r="BK40" s="891" t="s">
        <v>34</v>
      </c>
      <c r="BL40" s="891" t="s">
        <v>32</v>
      </c>
      <c r="BM40" s="891" t="s">
        <v>36</v>
      </c>
      <c r="BN40" s="896"/>
      <c r="BO40" s="891"/>
      <c r="BP40" s="891" t="s">
        <v>32</v>
      </c>
      <c r="BQ40" s="891"/>
      <c r="BR40" s="896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428"/>
      <c r="CD40" s="428"/>
      <c r="CE40" s="428"/>
      <c r="CF40" s="428"/>
      <c r="CG40" s="230" t="s">
        <v>32</v>
      </c>
      <c r="CH40" s="230" t="s">
        <v>32</v>
      </c>
      <c r="CI40" s="230" t="s">
        <v>32</v>
      </c>
      <c r="CJ40" s="230" t="s">
        <v>32</v>
      </c>
      <c r="CK40" s="230" t="s">
        <v>32</v>
      </c>
      <c r="CL40" s="230" t="s">
        <v>32</v>
      </c>
      <c r="CM40" s="230" t="s">
        <v>32</v>
      </c>
    </row>
    <row r="41" spans="1:118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21</v>
      </c>
      <c r="G41" s="879" t="s">
        <v>890</v>
      </c>
      <c r="H41" s="879" t="s">
        <v>22</v>
      </c>
      <c r="I41" s="879" t="s">
        <v>891</v>
      </c>
      <c r="J41" s="846">
        <v>3</v>
      </c>
      <c r="K41" s="846">
        <v>0</v>
      </c>
      <c r="L41" s="816" t="str">
        <f t="shared" si="31"/>
        <v>W</v>
      </c>
      <c r="M41" s="816">
        <f t="shared" si="32"/>
        <v>3</v>
      </c>
      <c r="N41" s="816" t="str">
        <f t="shared" si="33"/>
        <v>O</v>
      </c>
      <c r="O41" s="816">
        <f t="shared" si="35"/>
        <v>-0.75</v>
      </c>
      <c r="P41" s="829">
        <f t="shared" si="36"/>
        <v>1</v>
      </c>
      <c r="Q41" s="830">
        <v>0.87</v>
      </c>
      <c r="R41" s="871">
        <f t="shared" si="34"/>
        <v>2.13</v>
      </c>
      <c r="S41" s="830">
        <v>2.61</v>
      </c>
      <c r="T41" s="871">
        <f t="shared" si="26"/>
        <v>0.39000000000000012</v>
      </c>
      <c r="U41" s="868">
        <f t="shared" si="27"/>
        <v>1.74</v>
      </c>
      <c r="V41" s="868">
        <f t="shared" si="28"/>
        <v>0.86999999999999988</v>
      </c>
      <c r="W41" s="829">
        <v>18</v>
      </c>
      <c r="X41" s="829">
        <v>11</v>
      </c>
      <c r="Y41" s="829">
        <v>9</v>
      </c>
      <c r="Z41" s="829">
        <v>3</v>
      </c>
      <c r="AA41" s="829">
        <v>54</v>
      </c>
      <c r="AB41" s="829">
        <v>46</v>
      </c>
      <c r="AC41" s="829"/>
      <c r="AD41" s="816" t="str">
        <f t="array" ref="AD41">IF($J41="","",IF(SUM(IF(ISNUMBER(VALUE(RIGHT($AG41:$DU41,1))),VALUE(RIGHT($AG41:$DU41,1)),0))=$J41,"T","F"))</f>
        <v>T</v>
      </c>
      <c r="AE41" s="831">
        <f t="array" ref="AE41">IF($J41="","",SUM(IF(LEFT($AG41:$DU41,1)="s",1,0))-SUM(IF(RIGHT(LEFT($AG41:$DU41,2))="-",1,0)))</f>
        <v>0</v>
      </c>
      <c r="AF41" s="816">
        <f t="array" ref="AF41">IF($J41="","",SUM(IF(LEFT($AG41:$DU41,1)="X",1,0)))</f>
        <v>11</v>
      </c>
      <c r="AG41" s="891" t="s">
        <v>32</v>
      </c>
      <c r="AH41" s="891" t="s">
        <v>1877</v>
      </c>
      <c r="AI41" s="891" t="s">
        <v>32</v>
      </c>
      <c r="AJ41" s="891" t="s">
        <v>34</v>
      </c>
      <c r="AK41" s="891" t="s">
        <v>32</v>
      </c>
      <c r="AL41" s="891" t="s">
        <v>34</v>
      </c>
      <c r="AM41" s="891" t="s">
        <v>1877</v>
      </c>
      <c r="AN41" s="891" t="s">
        <v>34</v>
      </c>
      <c r="AO41" s="891" t="s">
        <v>1877</v>
      </c>
      <c r="AP41" s="891" t="s">
        <v>32</v>
      </c>
      <c r="AQ41" s="891" t="s">
        <v>32</v>
      </c>
      <c r="AR41" s="891" t="s">
        <v>2672</v>
      </c>
      <c r="AS41" s="891" t="s">
        <v>32</v>
      </c>
      <c r="AT41" s="904" t="s">
        <v>34</v>
      </c>
      <c r="AU41" s="891" t="s">
        <v>1877</v>
      </c>
      <c r="AV41" s="891" t="s">
        <v>1877</v>
      </c>
      <c r="AW41" s="891" t="s">
        <v>34</v>
      </c>
      <c r="AX41" s="891" t="s">
        <v>1877</v>
      </c>
      <c r="AY41" s="891" t="s">
        <v>1886</v>
      </c>
      <c r="AZ41" s="891" t="s">
        <v>32</v>
      </c>
      <c r="BA41" s="891" t="s">
        <v>32</v>
      </c>
      <c r="BB41" s="891" t="s">
        <v>32</v>
      </c>
      <c r="BC41" s="891" t="s">
        <v>34</v>
      </c>
      <c r="BD41" s="891" t="s">
        <v>36</v>
      </c>
      <c r="BE41" s="891"/>
      <c r="BF41" s="891" t="s">
        <v>32</v>
      </c>
      <c r="BG41" s="910"/>
      <c r="BH41" s="891" t="s">
        <v>2683</v>
      </c>
      <c r="BI41" s="891" t="s">
        <v>2672</v>
      </c>
      <c r="BJ41" s="891" t="s">
        <v>32</v>
      </c>
      <c r="BK41" s="891" t="s">
        <v>35</v>
      </c>
      <c r="BL41" s="891" t="s">
        <v>32</v>
      </c>
      <c r="BM41" s="891" t="s">
        <v>34</v>
      </c>
      <c r="BN41" s="896"/>
      <c r="BO41" s="891"/>
      <c r="BP41" s="891" t="s">
        <v>32</v>
      </c>
      <c r="BQ41" s="896"/>
      <c r="BR41" s="896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4"/>
      <c r="CD41" s="4"/>
      <c r="CE41" s="4"/>
      <c r="CF41" s="4"/>
      <c r="CG41" s="6" t="s">
        <v>32</v>
      </c>
      <c r="CH41" s="6" t="s">
        <v>32</v>
      </c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</row>
    <row r="42" spans="1:118" ht="15">
      <c r="A42" s="912">
        <v>6382</v>
      </c>
      <c r="B42" s="884"/>
      <c r="C42" s="884"/>
      <c r="D42" s="884"/>
      <c r="E42" s="884"/>
      <c r="F42" s="894"/>
      <c r="G42" s="828" t="s">
        <v>887</v>
      </c>
      <c r="H42" s="828" t="s">
        <v>22</v>
      </c>
      <c r="I42" s="828" t="s">
        <v>2649</v>
      </c>
      <c r="J42" s="895">
        <v>0</v>
      </c>
      <c r="K42" s="895">
        <v>3</v>
      </c>
      <c r="L42" s="816" t="str">
        <f t="shared" ref="L42" si="37">IF(J42="","",IF(J42&gt;K42,"W",IF(J42=K42,"D",IF(J42&lt;K42,"L"))))</f>
        <v>L</v>
      </c>
      <c r="M42" s="816">
        <f t="shared" ref="M42" si="38">IF(J42="","",J42+K42)</f>
        <v>3</v>
      </c>
      <c r="N42" s="816" t="str">
        <f t="shared" si="33"/>
        <v>O</v>
      </c>
      <c r="O42" s="816" t="str">
        <f t="shared" ref="O42" si="39">IF(Q42="","",IF(SIGN(Q42)&lt;&gt;1,VLOOKUP(ABS(Q42),SUP_HDC,3,TRUE),-VLOOKUP(ABS(Q42),SUP_HDC,3,TRUE)))</f>
        <v/>
      </c>
      <c r="P42" s="829" t="str">
        <f t="shared" ref="P42" si="40">IF(O42="","",IF((J42-K42+O42)&gt;=0.5,1,IF((J42-K42+O42)=0.25,0.5,IF((J42-K42+O42)&lt;=-0.5,-1,IF((J42-K42+O42)=-0.25,-0.5,0)))))</f>
        <v/>
      </c>
      <c r="Q42" s="830"/>
      <c r="R42" s="871" t="str">
        <f t="shared" ref="R42" si="41">IF(ISBLANK(Q42),"",J42-K42-Q42)</f>
        <v/>
      </c>
      <c r="S42" s="830"/>
      <c r="T42" s="871" t="str">
        <f t="shared" ref="T42" si="42">IF(ISBLANK(S42),"",J42+K42-S42)</f>
        <v/>
      </c>
      <c r="U42" s="868" t="str">
        <f t="shared" ref="U42" si="43">IF(Q42="","",(Q42+S42)/2)</f>
        <v/>
      </c>
      <c r="V42" s="868" t="str">
        <f t="shared" ref="V42" si="44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IF($J42="","",IF(SUM(IF(ISNUMBER(VALUE(RIGHT($AG42:$DU42,1))),VALUE(RIGHT($AG42:$DU42,1)),0))=$J42,"T","F"))</f>
        <v>T</v>
      </c>
      <c r="AE42" s="831">
        <f t="array" ref="AE42">IF($J42="","",SUM(IF(LEFT($AG42:$DU42,1)="s",1,0))-SUM(IF(RIGHT(LEFT($AG42:$DU42,2))="-",1,0)))</f>
        <v>0</v>
      </c>
      <c r="AF42" s="816">
        <f t="array" ref="AF42">IF($J42="","",SUM(IF(LEFT($AG42:$DU42,1)="X",1,0)))</f>
        <v>11</v>
      </c>
      <c r="AG42" s="891" t="s">
        <v>32</v>
      </c>
      <c r="AH42" s="891" t="s">
        <v>34</v>
      </c>
      <c r="AI42" s="891" t="s">
        <v>1877</v>
      </c>
      <c r="AJ42" s="891" t="s">
        <v>32</v>
      </c>
      <c r="AK42" s="891" t="s">
        <v>32</v>
      </c>
      <c r="AL42" s="906" t="s">
        <v>2708</v>
      </c>
      <c r="AM42" s="891" t="s">
        <v>34</v>
      </c>
      <c r="AN42" s="891" t="s">
        <v>32</v>
      </c>
      <c r="AO42" s="904" t="s">
        <v>34</v>
      </c>
      <c r="AP42" s="891" t="s">
        <v>32</v>
      </c>
      <c r="AQ42" s="891" t="s">
        <v>35</v>
      </c>
      <c r="AR42" s="907" t="s">
        <v>2708</v>
      </c>
      <c r="AS42" s="891" t="s">
        <v>32</v>
      </c>
      <c r="AT42" s="891" t="s">
        <v>1877</v>
      </c>
      <c r="AU42" s="891" t="s">
        <v>34</v>
      </c>
      <c r="AV42" s="891" t="s">
        <v>34</v>
      </c>
      <c r="AW42" s="891" t="s">
        <v>32</v>
      </c>
      <c r="AX42" s="891" t="s">
        <v>34</v>
      </c>
      <c r="AY42" s="891" t="s">
        <v>1886</v>
      </c>
      <c r="AZ42" s="891" t="s">
        <v>1877</v>
      </c>
      <c r="BA42" s="891" t="s">
        <v>35</v>
      </c>
      <c r="BB42" s="891" t="s">
        <v>1877</v>
      </c>
      <c r="BC42" s="891" t="s">
        <v>32</v>
      </c>
      <c r="BD42" s="891" t="s">
        <v>34</v>
      </c>
      <c r="BE42" s="891"/>
      <c r="BF42" s="891" t="s">
        <v>34</v>
      </c>
      <c r="BG42" s="910"/>
      <c r="BH42" s="891" t="s">
        <v>36</v>
      </c>
      <c r="BI42" s="891"/>
      <c r="BJ42" s="891"/>
      <c r="BK42" s="891"/>
      <c r="BL42" s="891"/>
      <c r="BM42" s="891"/>
      <c r="BN42" s="896"/>
      <c r="BO42" s="891"/>
      <c r="BP42" s="891" t="s">
        <v>35</v>
      </c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4"/>
      <c r="CD42" s="4"/>
      <c r="CE42" s="4"/>
      <c r="CF42" s="4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</row>
    <row r="43" spans="1:118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11</v>
      </c>
      <c r="G43" s="879" t="s">
        <v>874</v>
      </c>
      <c r="H43" s="879" t="s">
        <v>18</v>
      </c>
      <c r="I43" s="879" t="s">
        <v>891</v>
      </c>
      <c r="J43" s="846">
        <v>6</v>
      </c>
      <c r="K43" s="846">
        <v>1</v>
      </c>
      <c r="L43" s="816" t="str">
        <f t="shared" si="31"/>
        <v>W</v>
      </c>
      <c r="M43" s="816">
        <f t="shared" si="32"/>
        <v>7</v>
      </c>
      <c r="N43" s="816" t="str">
        <f t="shared" si="33"/>
        <v>O</v>
      </c>
      <c r="O43" s="816">
        <f t="shared" si="35"/>
        <v>0</v>
      </c>
      <c r="P43" s="829">
        <f t="shared" si="36"/>
        <v>1</v>
      </c>
      <c r="Q43" s="830">
        <v>-0.05</v>
      </c>
      <c r="R43" s="871">
        <f t="shared" si="34"/>
        <v>5.05</v>
      </c>
      <c r="S43" s="830">
        <v>2.35</v>
      </c>
      <c r="T43" s="871">
        <f t="shared" si="26"/>
        <v>4.6500000000000004</v>
      </c>
      <c r="U43" s="868">
        <f t="shared" si="27"/>
        <v>1.1500000000000001</v>
      </c>
      <c r="V43" s="868">
        <f t="shared" si="28"/>
        <v>1.2</v>
      </c>
      <c r="W43" s="829">
        <v>17</v>
      </c>
      <c r="X43" s="829">
        <v>14</v>
      </c>
      <c r="Y43" s="829">
        <v>8</v>
      </c>
      <c r="Z43" s="829">
        <v>4</v>
      </c>
      <c r="AA43" s="829">
        <v>48</v>
      </c>
      <c r="AB43" s="829">
        <v>52</v>
      </c>
      <c r="AC43" s="829"/>
      <c r="AD43" s="816" t="str">
        <f t="array" ref="AD43">IF($J43="","",IF(SUM(IF(ISNUMBER(VALUE(RIGHT($AG43:$DU43,1))),VALUE(RIGHT($AG43:$DU43,1)),0))=$J43,"T","F"))</f>
        <v>T</v>
      </c>
      <c r="AE43" s="831">
        <f t="array" ref="AE43">IF($J43="","",SUM(IF(LEFT($AG43:$DU43,1)="s",1,0))-SUM(IF(RIGHT(LEFT($AG43:$DU43,2))="-",1,0)))</f>
        <v>0</v>
      </c>
      <c r="AF43" s="816">
        <f t="array" ref="AF43">IF($J43="","",SUM(IF(LEFT($AG43:$DU43,1)="X",1,0)))</f>
        <v>11</v>
      </c>
      <c r="AG43" s="891" t="s">
        <v>32</v>
      </c>
      <c r="AH43" s="891" t="s">
        <v>1877</v>
      </c>
      <c r="AI43" s="891" t="s">
        <v>32</v>
      </c>
      <c r="AJ43" s="891" t="s">
        <v>34</v>
      </c>
      <c r="AK43" s="891" t="s">
        <v>32</v>
      </c>
      <c r="AL43" s="891" t="s">
        <v>34</v>
      </c>
      <c r="AM43" s="891" t="s">
        <v>1877</v>
      </c>
      <c r="AN43" s="891" t="s">
        <v>34</v>
      </c>
      <c r="AO43" s="891" t="s">
        <v>1877</v>
      </c>
      <c r="AP43" s="891" t="s">
        <v>32</v>
      </c>
      <c r="AQ43" s="891" t="s">
        <v>32</v>
      </c>
      <c r="AR43" s="891" t="s">
        <v>34</v>
      </c>
      <c r="AS43" s="891" t="s">
        <v>32</v>
      </c>
      <c r="AT43" s="891" t="s">
        <v>34</v>
      </c>
      <c r="AU43" s="891" t="s">
        <v>32</v>
      </c>
      <c r="AV43" s="891" t="s">
        <v>1877</v>
      </c>
      <c r="AW43" s="891" t="s">
        <v>2734</v>
      </c>
      <c r="AX43" s="891" t="s">
        <v>36</v>
      </c>
      <c r="AY43" s="891" t="s">
        <v>1886</v>
      </c>
      <c r="AZ43" s="891" t="s">
        <v>32</v>
      </c>
      <c r="BA43" s="891" t="s">
        <v>32</v>
      </c>
      <c r="BB43" s="891" t="s">
        <v>36</v>
      </c>
      <c r="BC43" s="904" t="s">
        <v>2734</v>
      </c>
      <c r="BD43" s="891" t="s">
        <v>36</v>
      </c>
      <c r="BE43" s="891"/>
      <c r="BF43" s="891" t="s">
        <v>32</v>
      </c>
      <c r="BG43" s="910"/>
      <c r="BH43" s="891" t="s">
        <v>2736</v>
      </c>
      <c r="BI43" s="891" t="s">
        <v>2735</v>
      </c>
      <c r="BJ43" s="891" t="s">
        <v>32</v>
      </c>
      <c r="BK43" s="891" t="s">
        <v>35</v>
      </c>
      <c r="BL43" s="891" t="s">
        <v>32</v>
      </c>
      <c r="BM43" s="891" t="s">
        <v>35</v>
      </c>
      <c r="BN43" s="896"/>
      <c r="BO43" s="896"/>
      <c r="BP43" s="891" t="s">
        <v>32</v>
      </c>
      <c r="BQ43" s="896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428"/>
      <c r="CD43" s="428"/>
      <c r="CE43" s="428"/>
      <c r="CF43" s="428"/>
      <c r="CG43" s="230" t="s">
        <v>32</v>
      </c>
      <c r="CH43" s="230" t="s">
        <v>32</v>
      </c>
      <c r="CI43" s="230" t="s">
        <v>32</v>
      </c>
      <c r="CJ43" s="230" t="s">
        <v>32</v>
      </c>
      <c r="CK43" s="230" t="s">
        <v>32</v>
      </c>
      <c r="CL43" s="230" t="s">
        <v>32</v>
      </c>
      <c r="CM43" s="230" t="s">
        <v>32</v>
      </c>
    </row>
    <row r="44" spans="1:118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15</v>
      </c>
      <c r="G44" s="879" t="s">
        <v>881</v>
      </c>
      <c r="H44" s="879" t="s">
        <v>22</v>
      </c>
      <c r="I44" s="879" t="s">
        <v>891</v>
      </c>
      <c r="J44" s="846">
        <v>4</v>
      </c>
      <c r="K44" s="846">
        <v>1</v>
      </c>
      <c r="L44" s="816" t="str">
        <f t="shared" si="31"/>
        <v>W</v>
      </c>
      <c r="M44" s="816">
        <f t="shared" si="32"/>
        <v>5</v>
      </c>
      <c r="N44" s="816" t="str">
        <f t="shared" si="33"/>
        <v>O</v>
      </c>
      <c r="O44" s="816">
        <f t="shared" si="35"/>
        <v>-0.5</v>
      </c>
      <c r="P44" s="829">
        <f t="shared" si="36"/>
        <v>1</v>
      </c>
      <c r="Q44" s="830">
        <v>0.63</v>
      </c>
      <c r="R44" s="871">
        <f t="shared" si="34"/>
        <v>2.37</v>
      </c>
      <c r="S44" s="830">
        <v>2.5299999999999998</v>
      </c>
      <c r="T44" s="871">
        <f t="shared" si="26"/>
        <v>2.4700000000000002</v>
      </c>
      <c r="U44" s="868">
        <f t="shared" si="27"/>
        <v>1.5799999999999998</v>
      </c>
      <c r="V44" s="868">
        <f t="shared" si="28"/>
        <v>0.95</v>
      </c>
      <c r="W44" s="829">
        <v>28</v>
      </c>
      <c r="X44" s="829">
        <v>9</v>
      </c>
      <c r="Y44" s="829">
        <v>12</v>
      </c>
      <c r="Z44" s="829">
        <v>5</v>
      </c>
      <c r="AA44" s="829">
        <v>58</v>
      </c>
      <c r="AB44" s="829">
        <v>42</v>
      </c>
      <c r="AC44" s="829"/>
      <c r="AD44" s="816" t="str">
        <f t="array" ref="AD44">IF($J44="","",IF(SUM(IF(ISNUMBER(VALUE(RIGHT($AG44:$DU44,1))),VALUE(RIGHT($AG44:$DU44,1)),0))=$J44,"T","F"))</f>
        <v>T</v>
      </c>
      <c r="AE44" s="831">
        <f t="array" ref="AE44">IF($J44="","",SUM(IF(LEFT($AG44:$DU44,1)="s",1,0))-SUM(IF(RIGHT(LEFT($AG44:$DU44,2))="-",1,0)))</f>
        <v>0</v>
      </c>
      <c r="AF44" s="816">
        <f t="array" ref="AF44">IF($J44="","",SUM(IF(LEFT($AG44:$DU44,1)="X",1,0)))</f>
        <v>11</v>
      </c>
      <c r="AG44" s="891" t="s">
        <v>32</v>
      </c>
      <c r="AH44" s="891" t="s">
        <v>1877</v>
      </c>
      <c r="AI44" s="891" t="s">
        <v>32</v>
      </c>
      <c r="AJ44" s="891" t="s">
        <v>34</v>
      </c>
      <c r="AK44" s="891" t="s">
        <v>1877</v>
      </c>
      <c r="AL44" s="891" t="s">
        <v>34</v>
      </c>
      <c r="AM44" s="891" t="s">
        <v>32</v>
      </c>
      <c r="AN44" s="904" t="s">
        <v>34</v>
      </c>
      <c r="AO44" s="891" t="s">
        <v>1877</v>
      </c>
      <c r="AP44" s="891" t="s">
        <v>32</v>
      </c>
      <c r="AQ44" s="891" t="s">
        <v>32</v>
      </c>
      <c r="AR44" s="891" t="s">
        <v>34</v>
      </c>
      <c r="AS44" s="891" t="s">
        <v>32</v>
      </c>
      <c r="AT44" s="891" t="s">
        <v>34</v>
      </c>
      <c r="AU44" s="891" t="s">
        <v>36</v>
      </c>
      <c r="AV44" s="891" t="s">
        <v>32</v>
      </c>
      <c r="AW44" s="891" t="s">
        <v>34</v>
      </c>
      <c r="AX44" s="891" t="s">
        <v>1877</v>
      </c>
      <c r="AY44" s="891" t="s">
        <v>1886</v>
      </c>
      <c r="AZ44" s="891" t="s">
        <v>32</v>
      </c>
      <c r="BA44" s="891" t="s">
        <v>32</v>
      </c>
      <c r="BB44" s="891" t="s">
        <v>32</v>
      </c>
      <c r="BC44" s="891" t="s">
        <v>34</v>
      </c>
      <c r="BD44" s="891" t="s">
        <v>1877</v>
      </c>
      <c r="BE44" s="891"/>
      <c r="BF44" s="891" t="s">
        <v>32</v>
      </c>
      <c r="BG44" s="910"/>
      <c r="BH44" s="891" t="s">
        <v>2812</v>
      </c>
      <c r="BI44" s="891" t="s">
        <v>34</v>
      </c>
      <c r="BJ44" s="891" t="s">
        <v>36</v>
      </c>
      <c r="BK44" s="891" t="s">
        <v>35</v>
      </c>
      <c r="BL44" s="891" t="s">
        <v>32</v>
      </c>
      <c r="BM44" s="904" t="s">
        <v>2795</v>
      </c>
      <c r="BN44" s="896">
        <v>1</v>
      </c>
      <c r="BO44" s="896"/>
      <c r="BP44" s="891" t="s">
        <v>32</v>
      </c>
      <c r="BQ44" s="896"/>
      <c r="BR44" s="896"/>
      <c r="BS44" s="896"/>
      <c r="BT44" s="896"/>
      <c r="BU44" s="896"/>
      <c r="BV44" s="896"/>
      <c r="BW44" s="896"/>
      <c r="BX44" s="896"/>
      <c r="BY44" s="896"/>
      <c r="BZ44" s="896"/>
      <c r="CA44" s="896"/>
      <c r="CB44" s="896"/>
      <c r="CC44" s="428"/>
      <c r="CD44" s="428"/>
      <c r="CE44" s="428"/>
      <c r="CF44" s="428"/>
    </row>
    <row r="45" spans="1:118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3</v>
      </c>
      <c r="G45" s="879" t="s">
        <v>1085</v>
      </c>
      <c r="H45" s="879" t="s">
        <v>18</v>
      </c>
      <c r="I45" s="879" t="s">
        <v>891</v>
      </c>
      <c r="J45" s="846">
        <v>2</v>
      </c>
      <c r="K45" s="846">
        <v>0</v>
      </c>
      <c r="L45" s="816" t="str">
        <f t="shared" si="31"/>
        <v>W</v>
      </c>
      <c r="M45" s="816">
        <f t="shared" si="32"/>
        <v>2</v>
      </c>
      <c r="N45" s="816" t="str">
        <f t="shared" si="33"/>
        <v>U</v>
      </c>
      <c r="O45" s="816">
        <f t="shared" si="35"/>
        <v>-0.25</v>
      </c>
      <c r="P45" s="829">
        <f t="shared" si="36"/>
        <v>1</v>
      </c>
      <c r="Q45" s="830">
        <v>0.21</v>
      </c>
      <c r="R45" s="871">
        <f t="shared" si="34"/>
        <v>1.79</v>
      </c>
      <c r="S45" s="830">
        <v>2.94</v>
      </c>
      <c r="T45" s="871">
        <f t="shared" si="26"/>
        <v>-0.94</v>
      </c>
      <c r="U45" s="868">
        <f t="shared" si="27"/>
        <v>1.575</v>
      </c>
      <c r="V45" s="868">
        <f t="shared" si="28"/>
        <v>1.365</v>
      </c>
      <c r="W45" s="829">
        <v>20</v>
      </c>
      <c r="X45" s="829">
        <v>18</v>
      </c>
      <c r="Y45" s="829">
        <v>7</v>
      </c>
      <c r="Z45" s="829">
        <v>8</v>
      </c>
      <c r="AA45" s="829">
        <v>50</v>
      </c>
      <c r="AB45" s="829">
        <v>50</v>
      </c>
      <c r="AC45" s="829"/>
      <c r="AD45" s="816" t="str">
        <f t="array" ref="AD45">IF($J45="","",IF(SUM(IF(ISNUMBER(VALUE(RIGHT($AG45:$DU45,1))),VALUE(RIGHT($AG45:$DU45,1)),0))=$J45,"T","F"))</f>
        <v>T</v>
      </c>
      <c r="AE45" s="831">
        <f t="array" ref="AE45">IF($J45="","",SUM(IF(LEFT($AG45:$DU45,1)="s",1,0))-SUM(IF(RIGHT(LEFT($AG45:$DU45,2))="-",1,0)))</f>
        <v>0</v>
      </c>
      <c r="AF45" s="816">
        <f t="array" ref="AF45">IF($J45="","",SUM(IF(LEFT($AG45:$DU45,1)="X",1,0)))</f>
        <v>11</v>
      </c>
      <c r="AG45" s="891" t="s">
        <v>32</v>
      </c>
      <c r="AH45" s="891" t="s">
        <v>1877</v>
      </c>
      <c r="AI45" s="891" t="s">
        <v>32</v>
      </c>
      <c r="AJ45" s="891" t="s">
        <v>34</v>
      </c>
      <c r="AK45" s="891" t="s">
        <v>1877</v>
      </c>
      <c r="AL45" s="904" t="s">
        <v>34</v>
      </c>
      <c r="AM45" s="891" t="s">
        <v>32</v>
      </c>
      <c r="AN45" s="891" t="s">
        <v>2832</v>
      </c>
      <c r="AO45" s="891" t="s">
        <v>36</v>
      </c>
      <c r="AP45" s="891" t="s">
        <v>32</v>
      </c>
      <c r="AQ45" s="891" t="s">
        <v>32</v>
      </c>
      <c r="AR45" s="891" t="s">
        <v>34</v>
      </c>
      <c r="AS45" s="891" t="s">
        <v>32</v>
      </c>
      <c r="AT45" s="904" t="s">
        <v>34</v>
      </c>
      <c r="AU45" s="891" t="s">
        <v>36</v>
      </c>
      <c r="AV45" s="891" t="s">
        <v>36</v>
      </c>
      <c r="AW45" s="891" t="s">
        <v>34</v>
      </c>
      <c r="AX45" s="891" t="s">
        <v>1877</v>
      </c>
      <c r="AY45" s="891" t="s">
        <v>1886</v>
      </c>
      <c r="AZ45" s="891" t="s">
        <v>32</v>
      </c>
      <c r="BA45" s="891" t="s">
        <v>32</v>
      </c>
      <c r="BB45" s="891" t="s">
        <v>32</v>
      </c>
      <c r="BC45" s="891" t="s">
        <v>2840</v>
      </c>
      <c r="BD45" s="891" t="s">
        <v>32</v>
      </c>
      <c r="BE45" s="891"/>
      <c r="BF45" s="891" t="s">
        <v>32</v>
      </c>
      <c r="BG45" s="910"/>
      <c r="BH45" s="891" t="s">
        <v>35</v>
      </c>
      <c r="BI45" s="891" t="s">
        <v>34</v>
      </c>
      <c r="BJ45" s="891" t="s">
        <v>1877</v>
      </c>
      <c r="BK45" s="891" t="s">
        <v>35</v>
      </c>
      <c r="BL45" s="891" t="s">
        <v>32</v>
      </c>
      <c r="BM45" s="891" t="s">
        <v>34</v>
      </c>
      <c r="BN45" s="896"/>
      <c r="BO45" s="891"/>
      <c r="BP45" s="891" t="s">
        <v>32</v>
      </c>
      <c r="BQ45" s="896"/>
      <c r="BR45" s="896"/>
      <c r="BS45" s="896"/>
      <c r="BT45" s="896"/>
      <c r="BU45" s="896"/>
      <c r="BV45" s="891"/>
      <c r="BW45" s="891"/>
      <c r="BX45" s="891"/>
      <c r="BY45" s="891"/>
      <c r="BZ45" s="891"/>
      <c r="CA45" s="891"/>
      <c r="CB45" s="891"/>
      <c r="CC45" s="428"/>
      <c r="CD45" s="428"/>
      <c r="CE45" s="428"/>
      <c r="CF45" s="428"/>
    </row>
    <row r="46" spans="1:118" ht="15">
      <c r="A46" s="882">
        <v>6407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12</v>
      </c>
      <c r="G46" s="879" t="s">
        <v>879</v>
      </c>
      <c r="H46" s="879" t="s">
        <v>22</v>
      </c>
      <c r="I46" s="879" t="s">
        <v>891</v>
      </c>
      <c r="J46" s="846">
        <v>1</v>
      </c>
      <c r="K46" s="846">
        <v>1</v>
      </c>
      <c r="L46" s="816" t="str">
        <f t="shared" si="31"/>
        <v>D</v>
      </c>
      <c r="M46" s="816">
        <f t="shared" si="32"/>
        <v>2</v>
      </c>
      <c r="N46" s="816" t="str">
        <f t="shared" si="33"/>
        <v>U</v>
      </c>
      <c r="O46" s="816">
        <f t="shared" si="35"/>
        <v>-0.5</v>
      </c>
      <c r="P46" s="829">
        <f t="shared" si="36"/>
        <v>-1</v>
      </c>
      <c r="Q46" s="830">
        <v>0.45</v>
      </c>
      <c r="R46" s="871">
        <f t="shared" si="34"/>
        <v>-0.45</v>
      </c>
      <c r="S46" s="830">
        <v>2.74</v>
      </c>
      <c r="T46" s="871">
        <f t="shared" si="26"/>
        <v>-0.74000000000000021</v>
      </c>
      <c r="U46" s="868">
        <f t="shared" si="27"/>
        <v>1.5950000000000002</v>
      </c>
      <c r="V46" s="868">
        <f t="shared" si="28"/>
        <v>1.145</v>
      </c>
      <c r="W46" s="829">
        <v>14</v>
      </c>
      <c r="X46" s="829">
        <v>22</v>
      </c>
      <c r="Y46" s="829">
        <v>3</v>
      </c>
      <c r="Z46" s="829">
        <v>7</v>
      </c>
      <c r="AA46" s="829">
        <v>52</v>
      </c>
      <c r="AB46" s="829">
        <v>48</v>
      </c>
      <c r="AC46" s="829"/>
      <c r="AD46" s="816" t="str">
        <f t="array" ref="AD46">IF($J46="","",IF(SUM(IF(ISNUMBER(VALUE(RIGHT($AG46:$DU46,1))),VALUE(RIGHT($AG46:$DU46,1)),0))=$J46,"T","F"))</f>
        <v>T</v>
      </c>
      <c r="AE46" s="831">
        <f t="array" ref="AE46">IF($J46="","",SUM(IF(LEFT($AG46:$DU46,1)="s",1,0))-SUM(IF(RIGHT(LEFT($AG46:$DU46,2))="-",1,0)))</f>
        <v>0</v>
      </c>
      <c r="AF46" s="816">
        <f t="array" ref="AF46">IF($J46="","",SUM(IF(LEFT($AG46:$DU46,1)="X",1,0)))</f>
        <v>11</v>
      </c>
      <c r="AG46" s="891"/>
      <c r="AH46" s="891" t="s">
        <v>1877</v>
      </c>
      <c r="AI46" s="891" t="s">
        <v>32</v>
      </c>
      <c r="AJ46" s="891" t="s">
        <v>34</v>
      </c>
      <c r="AK46" s="891" t="s">
        <v>1877</v>
      </c>
      <c r="AL46" s="891" t="s">
        <v>34</v>
      </c>
      <c r="AM46" s="891" t="s">
        <v>32</v>
      </c>
      <c r="AN46" s="891" t="s">
        <v>34</v>
      </c>
      <c r="AO46" s="891" t="s">
        <v>1877</v>
      </c>
      <c r="AP46" s="891" t="s">
        <v>32</v>
      </c>
      <c r="AQ46" s="891" t="s">
        <v>32</v>
      </c>
      <c r="AR46" s="891" t="s">
        <v>34</v>
      </c>
      <c r="AS46" s="891" t="s">
        <v>32</v>
      </c>
      <c r="AT46" s="891" t="s">
        <v>34</v>
      </c>
      <c r="AU46" s="891" t="s">
        <v>32</v>
      </c>
      <c r="AV46" s="891" t="s">
        <v>36</v>
      </c>
      <c r="AW46" s="904" t="s">
        <v>34</v>
      </c>
      <c r="AX46" s="891" t="s">
        <v>1877</v>
      </c>
      <c r="AY46" s="891" t="s">
        <v>1886</v>
      </c>
      <c r="AZ46" s="891" t="s">
        <v>32</v>
      </c>
      <c r="BA46" s="891" t="s">
        <v>1877</v>
      </c>
      <c r="BB46" s="891" t="s">
        <v>32</v>
      </c>
      <c r="BC46" s="891" t="s">
        <v>2883</v>
      </c>
      <c r="BD46" s="891" t="s">
        <v>32</v>
      </c>
      <c r="BE46" s="891"/>
      <c r="BF46" s="891" t="s">
        <v>32</v>
      </c>
      <c r="BG46" s="910"/>
      <c r="BH46" s="891" t="s">
        <v>34</v>
      </c>
      <c r="BI46" s="891" t="s">
        <v>34</v>
      </c>
      <c r="BJ46" s="891" t="s">
        <v>1877</v>
      </c>
      <c r="BK46" s="891" t="s">
        <v>35</v>
      </c>
      <c r="BL46" s="891" t="s">
        <v>32</v>
      </c>
      <c r="BM46" s="891" t="s">
        <v>34</v>
      </c>
      <c r="BN46" s="896"/>
      <c r="BO46" s="896"/>
      <c r="BP46" s="891" t="s">
        <v>32</v>
      </c>
      <c r="BQ46" s="896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428"/>
      <c r="CD46" s="428"/>
      <c r="CE46" s="428"/>
      <c r="CF46" s="428"/>
    </row>
    <row r="47" spans="1:118" ht="15">
      <c r="A47" s="882">
        <v>6414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4</v>
      </c>
      <c r="G47" s="879" t="s">
        <v>1084</v>
      </c>
      <c r="H47" s="879" t="s">
        <v>18</v>
      </c>
      <c r="I47" s="879" t="s">
        <v>891</v>
      </c>
      <c r="J47" s="846">
        <v>1</v>
      </c>
      <c r="K47" s="846">
        <v>0</v>
      </c>
      <c r="L47" s="816" t="str">
        <f t="shared" si="31"/>
        <v>W</v>
      </c>
      <c r="M47" s="816">
        <f t="shared" si="32"/>
        <v>1</v>
      </c>
      <c r="N47" s="816" t="str">
        <f t="shared" si="33"/>
        <v>U</v>
      </c>
      <c r="O47" s="816">
        <f t="shared" si="35"/>
        <v>0.25</v>
      </c>
      <c r="P47" s="829">
        <f t="shared" si="36"/>
        <v>1</v>
      </c>
      <c r="Q47" s="830">
        <v>-0.4</v>
      </c>
      <c r="R47" s="871">
        <f t="shared" si="34"/>
        <v>1.4</v>
      </c>
      <c r="S47" s="830">
        <v>2.64</v>
      </c>
      <c r="T47" s="871">
        <f t="shared" si="26"/>
        <v>-1.6400000000000001</v>
      </c>
      <c r="U47" s="868">
        <f t="shared" si="27"/>
        <v>1.1200000000000001</v>
      </c>
      <c r="V47" s="868">
        <f t="shared" si="28"/>
        <v>1.52</v>
      </c>
      <c r="W47" s="829">
        <v>11</v>
      </c>
      <c r="X47" s="829">
        <v>13</v>
      </c>
      <c r="Y47" s="829">
        <v>2</v>
      </c>
      <c r="Z47" s="829">
        <v>4</v>
      </c>
      <c r="AA47" s="829">
        <v>59</v>
      </c>
      <c r="AB47" s="829">
        <v>41</v>
      </c>
      <c r="AC47" s="829"/>
      <c r="AD47" s="816" t="str">
        <f t="array" ref="AD47">IF($J47="","",IF(SUM(IF(ISNUMBER(VALUE(RIGHT($AG47:$DU47,1))),VALUE(RIGHT($AG47:$DU47,1)),0))=$J47,"T","F"))</f>
        <v>T</v>
      </c>
      <c r="AE47" s="831">
        <f t="array" ref="AE47">IF($J47="","",SUM(IF(LEFT($AG47:$DU47,1)="s",1,0))-SUM(IF(RIGHT(LEFT($AG47:$DU47,2))="-",1,0)))</f>
        <v>0</v>
      </c>
      <c r="AF47" s="816">
        <f t="array" ref="AF47">IF($J47="","",SUM(IF(LEFT($AG47:$DU47,1)="X",1,0)))</f>
        <v>11</v>
      </c>
      <c r="AG47" s="891" t="s">
        <v>32</v>
      </c>
      <c r="AH47" s="891" t="s">
        <v>1877</v>
      </c>
      <c r="AI47" s="891" t="s">
        <v>32</v>
      </c>
      <c r="AJ47" s="891" t="s">
        <v>34</v>
      </c>
      <c r="AK47" s="891" t="s">
        <v>34</v>
      </c>
      <c r="AL47" s="891" t="s">
        <v>36</v>
      </c>
      <c r="AM47" s="891" t="s">
        <v>32</v>
      </c>
      <c r="AN47" s="904" t="s">
        <v>34</v>
      </c>
      <c r="AO47" s="891" t="s">
        <v>1877</v>
      </c>
      <c r="AP47" s="891" t="s">
        <v>1877</v>
      </c>
      <c r="AQ47" s="891" t="s">
        <v>32</v>
      </c>
      <c r="AR47" s="904" t="s">
        <v>34</v>
      </c>
      <c r="AS47" s="891" t="s">
        <v>32</v>
      </c>
      <c r="AT47" s="891" t="s">
        <v>34</v>
      </c>
      <c r="AU47" s="891" t="s">
        <v>32</v>
      </c>
      <c r="AV47" s="891" t="s">
        <v>32</v>
      </c>
      <c r="AW47" s="891" t="s">
        <v>34</v>
      </c>
      <c r="AX47" s="891" t="s">
        <v>1877</v>
      </c>
      <c r="AY47" s="891" t="s">
        <v>1886</v>
      </c>
      <c r="AZ47" s="891" t="s">
        <v>32</v>
      </c>
      <c r="BA47" s="891" t="s">
        <v>32</v>
      </c>
      <c r="BB47" s="891" t="s">
        <v>32</v>
      </c>
      <c r="BC47" s="904" t="s">
        <v>35</v>
      </c>
      <c r="BD47" s="891" t="s">
        <v>32</v>
      </c>
      <c r="BE47" s="891"/>
      <c r="BF47" s="891" t="s">
        <v>36</v>
      </c>
      <c r="BG47" s="891"/>
      <c r="BH47" s="891" t="s">
        <v>34</v>
      </c>
      <c r="BI47" s="891" t="s">
        <v>34</v>
      </c>
      <c r="BJ47" s="891" t="s">
        <v>36</v>
      </c>
      <c r="BK47" s="891" t="s">
        <v>35</v>
      </c>
      <c r="BL47" s="891" t="s">
        <v>32</v>
      </c>
      <c r="BM47" s="891" t="s">
        <v>2918</v>
      </c>
      <c r="BN47" s="896"/>
      <c r="BO47" s="896"/>
      <c r="BP47" s="891" t="s">
        <v>32</v>
      </c>
      <c r="BQ47" s="896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428"/>
      <c r="CD47" s="428"/>
      <c r="CE47" s="428"/>
      <c r="CF47" s="428"/>
    </row>
    <row r="48" spans="1:118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</v>
      </c>
      <c r="G48" s="879" t="s">
        <v>1086</v>
      </c>
      <c r="H48" s="879" t="s">
        <v>18</v>
      </c>
      <c r="I48" s="879" t="s">
        <v>891</v>
      </c>
      <c r="J48" s="846">
        <v>0</v>
      </c>
      <c r="K48" s="846">
        <v>2</v>
      </c>
      <c r="L48" s="816" t="str">
        <f t="shared" si="31"/>
        <v>L</v>
      </c>
      <c r="M48" s="816">
        <f t="shared" si="32"/>
        <v>2</v>
      </c>
      <c r="N48" s="816" t="str">
        <f t="shared" si="33"/>
        <v>U</v>
      </c>
      <c r="O48" s="816">
        <f t="shared" si="35"/>
        <v>0</v>
      </c>
      <c r="P48" s="829">
        <f t="shared" si="36"/>
        <v>-1</v>
      </c>
      <c r="Q48" s="830">
        <v>-0.08</v>
      </c>
      <c r="R48" s="871">
        <f t="shared" ref="R48:R65" si="45">IF(ISBLANK(Q48),"",J48-K48-Q48)</f>
        <v>-1.92</v>
      </c>
      <c r="S48" s="830">
        <v>2.44</v>
      </c>
      <c r="T48" s="871">
        <f t="shared" si="26"/>
        <v>-0.43999999999999995</v>
      </c>
      <c r="U48" s="868">
        <f t="shared" si="27"/>
        <v>1.18</v>
      </c>
      <c r="V48" s="868">
        <f t="shared" si="28"/>
        <v>1.26</v>
      </c>
      <c r="W48" s="829">
        <v>14</v>
      </c>
      <c r="X48" s="829">
        <v>19</v>
      </c>
      <c r="Y48" s="829">
        <v>4</v>
      </c>
      <c r="Z48" s="829">
        <v>6</v>
      </c>
      <c r="AA48" s="829">
        <v>58</v>
      </c>
      <c r="AB48" s="829">
        <v>42</v>
      </c>
      <c r="AC48" s="829"/>
      <c r="AD48" s="816" t="str">
        <f t="array" ref="AD48">IF($J48="","",IF(SUM(IF(ISNUMBER(VALUE(RIGHT($AG48:$DU48,1))),VALUE(RIGHT($AG48:$DU48,1)),0))=$J48,"T","F"))</f>
        <v>T</v>
      </c>
      <c r="AE48" s="831">
        <f t="array" ref="AE48">IF($J48="","",SUM(IF(LEFT($AG48:$DU48,1)="s",1,0))-SUM(IF(RIGHT(LEFT($AG48:$DU48,2))="-",1,0)))</f>
        <v>0</v>
      </c>
      <c r="AF48" s="816">
        <f t="array" ref="AF48">IF($J48="","",SUM(IF(LEFT($AG48:$DU48,1)="X",1,0)))</f>
        <v>11</v>
      </c>
      <c r="AG48" s="891" t="s">
        <v>32</v>
      </c>
      <c r="AH48" s="891" t="s">
        <v>32</v>
      </c>
      <c r="AI48" s="891" t="s">
        <v>1877</v>
      </c>
      <c r="AJ48" s="891" t="s">
        <v>34</v>
      </c>
      <c r="AK48" s="891" t="s">
        <v>1877</v>
      </c>
      <c r="AL48" s="891" t="s">
        <v>34</v>
      </c>
      <c r="AM48" s="891" t="s">
        <v>32</v>
      </c>
      <c r="AN48" s="891" t="s">
        <v>35</v>
      </c>
      <c r="AO48" s="891" t="s">
        <v>1877</v>
      </c>
      <c r="AP48" s="891" t="s">
        <v>32</v>
      </c>
      <c r="AQ48" s="891" t="s">
        <v>32</v>
      </c>
      <c r="AR48" s="891" t="s">
        <v>34</v>
      </c>
      <c r="AS48" s="891" t="s">
        <v>32</v>
      </c>
      <c r="AT48" s="891" t="s">
        <v>34</v>
      </c>
      <c r="AU48" s="891" t="s">
        <v>36</v>
      </c>
      <c r="AV48" s="891" t="s">
        <v>32</v>
      </c>
      <c r="AW48" s="891" t="s">
        <v>34</v>
      </c>
      <c r="AX48" s="891" t="s">
        <v>36</v>
      </c>
      <c r="AY48" s="891" t="s">
        <v>1886</v>
      </c>
      <c r="AZ48" s="891" t="s">
        <v>32</v>
      </c>
      <c r="BA48" s="891" t="s">
        <v>32</v>
      </c>
      <c r="BB48" s="891" t="s">
        <v>32</v>
      </c>
      <c r="BC48" s="891" t="s">
        <v>34</v>
      </c>
      <c r="BD48" s="891" t="s">
        <v>32</v>
      </c>
      <c r="BE48" s="891"/>
      <c r="BF48" s="891" t="s">
        <v>32</v>
      </c>
      <c r="BG48" s="891" t="s">
        <v>36</v>
      </c>
      <c r="BH48" s="891" t="s">
        <v>35</v>
      </c>
      <c r="BI48" s="904" t="s">
        <v>34</v>
      </c>
      <c r="BJ48" s="891" t="s">
        <v>1877</v>
      </c>
      <c r="BK48" s="891" t="s">
        <v>35</v>
      </c>
      <c r="BL48" s="891" t="s">
        <v>32</v>
      </c>
      <c r="BM48" s="891" t="s">
        <v>34</v>
      </c>
      <c r="BN48" s="896"/>
      <c r="BO48" s="896" t="s">
        <v>32</v>
      </c>
      <c r="BP48" s="891" t="s">
        <v>32</v>
      </c>
      <c r="BQ48" s="896" t="s">
        <v>32</v>
      </c>
      <c r="BR48" s="896" t="s">
        <v>32</v>
      </c>
      <c r="BS48" s="896" t="s">
        <v>32</v>
      </c>
      <c r="BT48" s="896" t="s">
        <v>32</v>
      </c>
      <c r="BU48" s="896" t="s">
        <v>32</v>
      </c>
      <c r="BV48" s="896" t="s">
        <v>32</v>
      </c>
      <c r="BW48" s="896" t="s">
        <v>32</v>
      </c>
      <c r="BX48" s="896" t="s">
        <v>32</v>
      </c>
      <c r="BY48" s="896"/>
      <c r="BZ48" s="896"/>
      <c r="CA48" s="896"/>
      <c r="CB48" s="896"/>
      <c r="CC48" s="428"/>
      <c r="CD48" s="428"/>
      <c r="CE48" s="428"/>
      <c r="CF48" s="428"/>
    </row>
    <row r="49" spans="1:84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6</v>
      </c>
      <c r="G49" s="879" t="s">
        <v>876</v>
      </c>
      <c r="H49" s="879" t="s">
        <v>22</v>
      </c>
      <c r="I49" s="879" t="s">
        <v>891</v>
      </c>
      <c r="J49" s="846">
        <v>0</v>
      </c>
      <c r="K49" s="846">
        <v>1</v>
      </c>
      <c r="L49" s="816" t="str">
        <f t="shared" si="31"/>
        <v>L</v>
      </c>
      <c r="M49" s="816">
        <f t="shared" si="32"/>
        <v>1</v>
      </c>
      <c r="N49" s="816" t="str">
        <f t="shared" si="33"/>
        <v>U</v>
      </c>
      <c r="O49" s="816">
        <f t="shared" si="22"/>
        <v>-0.25</v>
      </c>
      <c r="P49" s="829">
        <f t="shared" si="24"/>
        <v>-1</v>
      </c>
      <c r="Q49" s="830">
        <v>0.35</v>
      </c>
      <c r="R49" s="871">
        <f t="shared" si="45"/>
        <v>-1.35</v>
      </c>
      <c r="S49" s="830">
        <v>2.88</v>
      </c>
      <c r="T49" s="871">
        <f t="shared" si="26"/>
        <v>-1.88</v>
      </c>
      <c r="U49" s="868">
        <f t="shared" si="27"/>
        <v>1.615</v>
      </c>
      <c r="V49" s="868">
        <f t="shared" si="28"/>
        <v>1.2649999999999999</v>
      </c>
      <c r="W49" s="829">
        <v>12</v>
      </c>
      <c r="X49" s="829">
        <v>14</v>
      </c>
      <c r="Y49" s="829">
        <v>2</v>
      </c>
      <c r="Z49" s="829">
        <v>3</v>
      </c>
      <c r="AA49" s="829">
        <v>58</v>
      </c>
      <c r="AB49" s="829">
        <v>42</v>
      </c>
      <c r="AC49" s="829"/>
      <c r="AD49" s="816" t="str">
        <f t="array" ref="AD49">IF($J49="","",IF(SUM(IF(ISNUMBER(VALUE(RIGHT($AG49:$DU49,1))),VALUE(RIGHT($AG49:$DU49,1)),0))=$J49,"T","F"))</f>
        <v>T</v>
      </c>
      <c r="AE49" s="831">
        <f t="array" ref="AE49">IF($J49="","",SUM(IF(LEFT($AG49:$DU49,1)="s",1,0))-SUM(IF(RIGHT(LEFT($AG49:$DU49,2))="-",1,0)))</f>
        <v>0</v>
      </c>
      <c r="AF49" s="816">
        <f t="array" ref="AF49">IF($J49="","",SUM(IF(LEFT($AG49:$DU49,1)="X",1,0)))</f>
        <v>11</v>
      </c>
      <c r="AG49" s="891" t="s">
        <v>32</v>
      </c>
      <c r="AH49" s="891" t="s">
        <v>1877</v>
      </c>
      <c r="AI49" s="891" t="s">
        <v>32</v>
      </c>
      <c r="AJ49" s="891" t="s">
        <v>34</v>
      </c>
      <c r="AK49" s="891" t="s">
        <v>35</v>
      </c>
      <c r="AL49" s="891" t="s">
        <v>1877</v>
      </c>
      <c r="AM49" s="891" t="s">
        <v>32</v>
      </c>
      <c r="AN49" s="891" t="s">
        <v>36</v>
      </c>
      <c r="AO49" s="891" t="s">
        <v>1877</v>
      </c>
      <c r="AP49" s="904" t="s">
        <v>34</v>
      </c>
      <c r="AQ49" s="891" t="s">
        <v>3019</v>
      </c>
      <c r="AR49" s="891" t="s">
        <v>34</v>
      </c>
      <c r="AS49" s="891" t="s">
        <v>32</v>
      </c>
      <c r="AT49" s="891" t="s">
        <v>34</v>
      </c>
      <c r="AU49" s="891" t="s">
        <v>32</v>
      </c>
      <c r="AV49" s="891" t="s">
        <v>32</v>
      </c>
      <c r="AW49" s="891" t="s">
        <v>34</v>
      </c>
      <c r="AX49" s="891" t="s">
        <v>1877</v>
      </c>
      <c r="AY49" s="891" t="s">
        <v>3043</v>
      </c>
      <c r="AZ49" s="891" t="s">
        <v>32</v>
      </c>
      <c r="BA49" s="891" t="s">
        <v>32</v>
      </c>
      <c r="BB49" s="891" t="s">
        <v>32</v>
      </c>
      <c r="BC49" s="891" t="s">
        <v>34</v>
      </c>
      <c r="BD49" s="891" t="s">
        <v>32</v>
      </c>
      <c r="BE49" s="891"/>
      <c r="BF49" s="891" t="s">
        <v>1877</v>
      </c>
      <c r="BG49" s="891" t="s">
        <v>36</v>
      </c>
      <c r="BH49" s="891" t="s">
        <v>34</v>
      </c>
      <c r="BI49" s="891" t="s">
        <v>3044</v>
      </c>
      <c r="BJ49" s="891" t="s">
        <v>35</v>
      </c>
      <c r="BK49" s="891" t="s">
        <v>34</v>
      </c>
      <c r="BL49" s="891" t="s">
        <v>32</v>
      </c>
      <c r="BM49" s="891" t="s">
        <v>34</v>
      </c>
      <c r="BN49" s="896" t="s">
        <v>32</v>
      </c>
      <c r="BO49" s="896" t="s">
        <v>32</v>
      </c>
      <c r="BP49" s="910" t="s">
        <v>32</v>
      </c>
      <c r="BQ49" s="896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428"/>
      <c r="CD49" s="428"/>
      <c r="CE49" s="428"/>
      <c r="CF49" s="428"/>
    </row>
    <row r="50" spans="1:84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10</v>
      </c>
      <c r="G50" s="879" t="s">
        <v>3080</v>
      </c>
      <c r="H50" s="879" t="s">
        <v>22</v>
      </c>
      <c r="I50" s="879" t="s">
        <v>891</v>
      </c>
      <c r="J50" s="846">
        <v>2</v>
      </c>
      <c r="K50" s="846">
        <v>2</v>
      </c>
      <c r="L50" s="816" t="str">
        <f t="shared" si="31"/>
        <v>D</v>
      </c>
      <c r="M50" s="816">
        <f t="shared" si="32"/>
        <v>4</v>
      </c>
      <c r="N50" s="816" t="str">
        <f t="shared" si="33"/>
        <v>O</v>
      </c>
      <c r="O50" s="816">
        <f t="shared" si="22"/>
        <v>-0.5</v>
      </c>
      <c r="P50" s="829">
        <f t="shared" si="24"/>
        <v>-1</v>
      </c>
      <c r="Q50" s="830">
        <v>0.48</v>
      </c>
      <c r="R50" s="871">
        <f t="shared" si="45"/>
        <v>-0.48</v>
      </c>
      <c r="S50" s="830">
        <v>2.5499999999999998</v>
      </c>
      <c r="T50" s="871">
        <f t="shared" si="26"/>
        <v>1.4500000000000002</v>
      </c>
      <c r="U50" s="868">
        <f t="shared" si="27"/>
        <v>1.5149999999999999</v>
      </c>
      <c r="V50" s="868">
        <f t="shared" si="28"/>
        <v>1.0349999999999999</v>
      </c>
      <c r="W50" s="829">
        <v>11</v>
      </c>
      <c r="X50" s="829">
        <v>16</v>
      </c>
      <c r="Y50" s="829">
        <v>3</v>
      </c>
      <c r="Z50" s="829">
        <v>7</v>
      </c>
      <c r="AA50" s="829">
        <v>58</v>
      </c>
      <c r="AB50" s="829">
        <v>42</v>
      </c>
      <c r="AC50" s="829"/>
      <c r="AD50" s="816" t="str">
        <f t="array" ref="AD50">IF($J50="","",IF(SUM(IF(ISNUMBER(VALUE(RIGHT($AG50:$DU50,1))),VALUE(RIGHT($AG50:$DU50,1)),0))=$J50,"T","F"))</f>
        <v>T</v>
      </c>
      <c r="AE50" s="831">
        <f t="array" ref="AE50">IF($J50="","",SUM(IF(LEFT($AG50:$DU50,1)="s",1,0))-SUM(IF(RIGHT(LEFT($AG50:$DU50,2))="-",1,0)))</f>
        <v>0</v>
      </c>
      <c r="AF50" s="816">
        <f t="array" ref="AF50">IF($J50="","",SUM(IF(LEFT($AG50:$DU50,1)="X",1,0)))</f>
        <v>11</v>
      </c>
      <c r="AG50" s="891"/>
      <c r="AH50" s="891" t="s">
        <v>1877</v>
      </c>
      <c r="AI50" s="891" t="s">
        <v>32</v>
      </c>
      <c r="AJ50" s="891" t="s">
        <v>34</v>
      </c>
      <c r="AK50" s="891" t="s">
        <v>1877</v>
      </c>
      <c r="AL50" s="891" t="s">
        <v>36</v>
      </c>
      <c r="AM50" s="891" t="s">
        <v>32</v>
      </c>
      <c r="AN50" s="891" t="s">
        <v>34</v>
      </c>
      <c r="AO50" s="891" t="s">
        <v>1877</v>
      </c>
      <c r="AP50" s="904" t="s">
        <v>34</v>
      </c>
      <c r="AQ50" s="891" t="s">
        <v>1886</v>
      </c>
      <c r="AR50" s="891" t="s">
        <v>3065</v>
      </c>
      <c r="AS50" s="891" t="s">
        <v>32</v>
      </c>
      <c r="AT50" s="891" t="s">
        <v>34</v>
      </c>
      <c r="AU50" s="891" t="s">
        <v>32</v>
      </c>
      <c r="AV50" s="891" t="s">
        <v>32</v>
      </c>
      <c r="AW50" s="891" t="s">
        <v>34</v>
      </c>
      <c r="AX50" s="891" t="s">
        <v>36</v>
      </c>
      <c r="AY50" s="891" t="s">
        <v>32</v>
      </c>
      <c r="AZ50" s="891" t="s">
        <v>32</v>
      </c>
      <c r="BA50" s="891" t="s">
        <v>35</v>
      </c>
      <c r="BB50" s="891" t="s">
        <v>32</v>
      </c>
      <c r="BC50" s="904" t="s">
        <v>35</v>
      </c>
      <c r="BD50" s="891" t="s">
        <v>32</v>
      </c>
      <c r="BE50" s="891"/>
      <c r="BF50" s="891" t="s">
        <v>1877</v>
      </c>
      <c r="BG50" s="891" t="s">
        <v>36</v>
      </c>
      <c r="BH50" s="891" t="s">
        <v>34</v>
      </c>
      <c r="BI50" s="891" t="s">
        <v>3065</v>
      </c>
      <c r="BJ50" s="891" t="s">
        <v>32</v>
      </c>
      <c r="BK50" s="891" t="s">
        <v>32</v>
      </c>
      <c r="BL50" s="891" t="s">
        <v>32</v>
      </c>
      <c r="BM50" s="891" t="s">
        <v>35</v>
      </c>
      <c r="BN50" s="896"/>
      <c r="BO50" s="896"/>
      <c r="BP50" s="910"/>
      <c r="BQ50" s="896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428"/>
      <c r="CD50" s="428"/>
      <c r="CE50" s="428"/>
      <c r="CF50" s="428"/>
    </row>
    <row r="51" spans="1:84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17</v>
      </c>
      <c r="G51" s="879" t="s">
        <v>875</v>
      </c>
      <c r="H51" s="879" t="s">
        <v>18</v>
      </c>
      <c r="I51" s="879" t="s">
        <v>891</v>
      </c>
      <c r="J51" s="846">
        <v>4</v>
      </c>
      <c r="K51" s="846">
        <v>0</v>
      </c>
      <c r="L51" s="816" t="str">
        <f t="shared" si="31"/>
        <v>W</v>
      </c>
      <c r="M51" s="816">
        <f t="shared" si="32"/>
        <v>4</v>
      </c>
      <c r="N51" s="816" t="str">
        <f t="shared" si="33"/>
        <v>O</v>
      </c>
      <c r="O51" s="816">
        <f t="shared" si="22"/>
        <v>-0.5</v>
      </c>
      <c r="P51" s="829">
        <f t="shared" si="24"/>
        <v>1</v>
      </c>
      <c r="Q51" s="830">
        <v>0.6</v>
      </c>
      <c r="R51" s="871">
        <f t="shared" si="45"/>
        <v>3.4</v>
      </c>
      <c r="S51" s="830">
        <v>2.65</v>
      </c>
      <c r="T51" s="871">
        <f t="shared" si="26"/>
        <v>1.35</v>
      </c>
      <c r="U51" s="868">
        <f t="shared" si="27"/>
        <v>1.625</v>
      </c>
      <c r="V51" s="868">
        <f t="shared" si="28"/>
        <v>1.0249999999999999</v>
      </c>
      <c r="W51" s="829">
        <v>15</v>
      </c>
      <c r="X51" s="829">
        <v>11</v>
      </c>
      <c r="Y51" s="829">
        <v>9</v>
      </c>
      <c r="Z51" s="829">
        <v>0</v>
      </c>
      <c r="AA51" s="829">
        <v>60</v>
      </c>
      <c r="AB51" s="829">
        <v>40</v>
      </c>
      <c r="AC51" s="829"/>
      <c r="AD51" s="816" t="str">
        <f t="array" ref="AD51">IF($J51="","",IF(SUM(IF(ISNUMBER(VALUE(RIGHT($AG51:$DU51,1))),VALUE(RIGHT($AG51:$DU51,1)),0))=$J51,"T","F"))</f>
        <v>T</v>
      </c>
      <c r="AE51" s="831">
        <f t="array" ref="AE51">IF($J51="","",SUM(IF(LEFT($AG51:$DU51,1)="s",1,0))-SUM(IF(RIGHT(LEFT($AG51:$DU51,2))="-",1,0)))</f>
        <v>0</v>
      </c>
      <c r="AF51" s="816">
        <f t="array" ref="AF51">IF($J51="","",SUM(IF(LEFT($AG51:$DU51,1)="X",1,0)))</f>
        <v>11</v>
      </c>
      <c r="AG51" s="891"/>
      <c r="AH51" s="891" t="s">
        <v>1877</v>
      </c>
      <c r="AI51" s="891" t="s">
        <v>32</v>
      </c>
      <c r="AJ51" s="904" t="s">
        <v>34</v>
      </c>
      <c r="AK51" s="891" t="s">
        <v>36</v>
      </c>
      <c r="AL51" s="891" t="s">
        <v>1877</v>
      </c>
      <c r="AM51" s="891" t="s">
        <v>32</v>
      </c>
      <c r="AN51" s="891" t="s">
        <v>34</v>
      </c>
      <c r="AO51" s="891" t="s">
        <v>1877</v>
      </c>
      <c r="AP51" s="904" t="s">
        <v>3111</v>
      </c>
      <c r="AQ51" s="891" t="s">
        <v>1886</v>
      </c>
      <c r="AR51" s="904" t="s">
        <v>34</v>
      </c>
      <c r="AS51" s="891" t="s">
        <v>32</v>
      </c>
      <c r="AT51" s="904" t="s">
        <v>34</v>
      </c>
      <c r="AU51" s="891" t="s">
        <v>34</v>
      </c>
      <c r="AV51" s="891" t="s">
        <v>32</v>
      </c>
      <c r="AW51" s="904" t="s">
        <v>34</v>
      </c>
      <c r="AX51" s="891" t="s">
        <v>3088</v>
      </c>
      <c r="AY51" s="891" t="s">
        <v>32</v>
      </c>
      <c r="AZ51" s="891" t="s">
        <v>32</v>
      </c>
      <c r="BA51" s="891" t="s">
        <v>36</v>
      </c>
      <c r="BB51" s="891" t="s">
        <v>32</v>
      </c>
      <c r="BC51" s="891" t="s">
        <v>3082</v>
      </c>
      <c r="BD51" s="891" t="s">
        <v>32</v>
      </c>
      <c r="BE51" s="891"/>
      <c r="BF51" s="891" t="s">
        <v>1877</v>
      </c>
      <c r="BG51" s="891" t="s">
        <v>36</v>
      </c>
      <c r="BH51" s="891" t="s">
        <v>3091</v>
      </c>
      <c r="BI51" s="891" t="s">
        <v>1879</v>
      </c>
      <c r="BJ51" s="891"/>
      <c r="BK51" s="891"/>
      <c r="BL51" s="891"/>
      <c r="BM51" s="891"/>
      <c r="BN51" s="896"/>
      <c r="BO51" s="896"/>
      <c r="BP51" s="910"/>
      <c r="BQ51" s="896"/>
      <c r="BR51" s="896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428"/>
      <c r="CD51" s="428"/>
      <c r="CE51" s="428"/>
      <c r="CF51" s="428"/>
    </row>
    <row r="52" spans="1:84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20</v>
      </c>
      <c r="G52" s="879" t="s">
        <v>882</v>
      </c>
      <c r="H52" s="879" t="s">
        <v>22</v>
      </c>
      <c r="I52" s="879" t="s">
        <v>891</v>
      </c>
      <c r="J52" s="846">
        <v>5</v>
      </c>
      <c r="K52" s="846">
        <v>0</v>
      </c>
      <c r="L52" s="816" t="str">
        <f t="shared" si="31"/>
        <v>W</v>
      </c>
      <c r="M52" s="816">
        <f t="shared" si="32"/>
        <v>5</v>
      </c>
      <c r="N52" s="816" t="str">
        <f t="shared" si="33"/>
        <v>O</v>
      </c>
      <c r="O52" s="816">
        <f t="shared" si="22"/>
        <v>-0.75</v>
      </c>
      <c r="P52" s="829">
        <f t="shared" si="24"/>
        <v>1</v>
      </c>
      <c r="Q52" s="830">
        <v>0.78</v>
      </c>
      <c r="R52" s="871">
        <f t="shared" si="45"/>
        <v>4.22</v>
      </c>
      <c r="S52" s="830">
        <v>2.83</v>
      </c>
      <c r="T52" s="871">
        <f t="shared" si="26"/>
        <v>2.17</v>
      </c>
      <c r="U52" s="868">
        <f t="shared" si="27"/>
        <v>1.8050000000000002</v>
      </c>
      <c r="V52" s="868">
        <f t="shared" si="28"/>
        <v>1.0249999999999999</v>
      </c>
      <c r="W52" s="829">
        <v>19</v>
      </c>
      <c r="X52" s="829">
        <v>6</v>
      </c>
      <c r="Y52" s="829">
        <v>8</v>
      </c>
      <c r="Z52" s="829">
        <v>1</v>
      </c>
      <c r="AA52" s="829">
        <v>60</v>
      </c>
      <c r="AB52" s="829">
        <v>40</v>
      </c>
      <c r="AC52" s="829"/>
      <c r="AD52" s="816" t="str">
        <f t="array" ref="AD52">IF($J52="","",IF(SUM(IF(ISNUMBER(VALUE(RIGHT($AG52:$DU52,1))),VALUE(RIGHT($AG52:$DU52,1)),0))=$J52,"T","F"))</f>
        <v>T</v>
      </c>
      <c r="AE52" s="831">
        <f t="array" ref="AE52">IF($J52="","",SUM(IF(LEFT($AG52:$DU52,1)="s",1,0))-SUM(IF(RIGHT(LEFT($AG52:$DU52,2))="-",1,0)))</f>
        <v>0</v>
      </c>
      <c r="AF52" s="816">
        <f t="array" ref="AF52">IF($J52="","",SUM(IF(LEFT($AG52:$DU52,1)="X",1,0)))</f>
        <v>11</v>
      </c>
      <c r="AG52" s="891" t="s">
        <v>32</v>
      </c>
      <c r="AH52" s="891" t="s">
        <v>1877</v>
      </c>
      <c r="AI52" s="891" t="s">
        <v>32</v>
      </c>
      <c r="AJ52" s="891" t="s">
        <v>34</v>
      </c>
      <c r="AK52" s="891" t="s">
        <v>1877</v>
      </c>
      <c r="AL52" s="891" t="s">
        <v>1877</v>
      </c>
      <c r="AM52" s="891" t="s">
        <v>32</v>
      </c>
      <c r="AN52" s="891" t="s">
        <v>34</v>
      </c>
      <c r="AO52" s="891" t="s">
        <v>1877</v>
      </c>
      <c r="AP52" s="891" t="s">
        <v>34</v>
      </c>
      <c r="AQ52" s="891" t="s">
        <v>3135</v>
      </c>
      <c r="AR52" s="891" t="s">
        <v>34</v>
      </c>
      <c r="AS52" s="891" t="s">
        <v>32</v>
      </c>
      <c r="AT52" s="891" t="s">
        <v>34</v>
      </c>
      <c r="AU52" s="891" t="s">
        <v>35</v>
      </c>
      <c r="AV52" s="891" t="s">
        <v>32</v>
      </c>
      <c r="AW52" s="891" t="s">
        <v>34</v>
      </c>
      <c r="AX52" s="891" t="s">
        <v>3137</v>
      </c>
      <c r="AY52" s="891" t="s">
        <v>3136</v>
      </c>
      <c r="AZ52" s="891" t="s">
        <v>32</v>
      </c>
      <c r="BA52" s="891" t="s">
        <v>36</v>
      </c>
      <c r="BB52" s="891" t="s">
        <v>32</v>
      </c>
      <c r="BC52" s="891" t="s">
        <v>35</v>
      </c>
      <c r="BD52" s="891" t="s">
        <v>32</v>
      </c>
      <c r="BE52" s="891"/>
      <c r="BF52" s="891" t="s">
        <v>32</v>
      </c>
      <c r="BG52" s="904" t="s">
        <v>36</v>
      </c>
      <c r="BH52" s="891" t="s">
        <v>3114</v>
      </c>
      <c r="BI52" s="891" t="s">
        <v>3121</v>
      </c>
      <c r="BJ52" s="891" t="s">
        <v>32</v>
      </c>
      <c r="BK52" s="891" t="s">
        <v>36</v>
      </c>
      <c r="BL52" s="891" t="s">
        <v>32</v>
      </c>
      <c r="BM52" s="891" t="s">
        <v>32</v>
      </c>
      <c r="BN52" s="896"/>
      <c r="BO52" s="896"/>
      <c r="BP52" s="910"/>
      <c r="BQ52" s="896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428"/>
      <c r="CD52" s="428"/>
      <c r="CE52" s="428"/>
      <c r="CF52" s="428"/>
    </row>
    <row r="53" spans="1:84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11</v>
      </c>
      <c r="G53" s="879" t="s">
        <v>874</v>
      </c>
      <c r="H53" s="879" t="s">
        <v>22</v>
      </c>
      <c r="I53" s="879" t="s">
        <v>891</v>
      </c>
      <c r="J53" s="846">
        <v>1</v>
      </c>
      <c r="K53" s="846">
        <v>1</v>
      </c>
      <c r="L53" s="816" t="str">
        <f t="shared" si="31"/>
        <v>D</v>
      </c>
      <c r="M53" s="816">
        <f t="shared" si="32"/>
        <v>2</v>
      </c>
      <c r="N53" s="816" t="str">
        <f t="shared" si="33"/>
        <v>U</v>
      </c>
      <c r="O53" s="816">
        <f t="shared" si="22"/>
        <v>-0.75</v>
      </c>
      <c r="P53" s="829">
        <f t="shared" si="24"/>
        <v>-1</v>
      </c>
      <c r="Q53" s="830">
        <v>0.71</v>
      </c>
      <c r="R53" s="871">
        <f t="shared" si="45"/>
        <v>-0.71</v>
      </c>
      <c r="S53" s="830">
        <v>2.5499999999999998</v>
      </c>
      <c r="T53" s="871">
        <f t="shared" si="26"/>
        <v>-0.54999999999999982</v>
      </c>
      <c r="U53" s="868">
        <f t="shared" si="27"/>
        <v>1.63</v>
      </c>
      <c r="V53" s="868">
        <f t="shared" si="28"/>
        <v>0.91999999999999993</v>
      </c>
      <c r="W53" s="829">
        <v>10</v>
      </c>
      <c r="X53" s="829">
        <v>16</v>
      </c>
      <c r="Y53" s="829">
        <v>4</v>
      </c>
      <c r="Z53" s="829">
        <v>2</v>
      </c>
      <c r="AA53" s="829">
        <v>56</v>
      </c>
      <c r="AB53" s="829">
        <v>44</v>
      </c>
      <c r="AC53" s="829"/>
      <c r="AD53" s="816" t="str">
        <f t="array" ref="AD53">IF($J53="","",IF(SUM(IF(ISNUMBER(VALUE(RIGHT($AG53:$DU53,1))),VALUE(RIGHT($AG53:$DU53,1)),0))=$J53,"T","F"))</f>
        <v>T</v>
      </c>
      <c r="AE53" s="831">
        <f t="array" ref="AE53">IF($J53="","",SUM(IF(LEFT($AG53:$DU53,1)="s",1,0))-SUM(IF(RIGHT(LEFT($AG53:$DU53,2))="-",1,0)))</f>
        <v>0</v>
      </c>
      <c r="AF53" s="816">
        <f t="array" ref="AF53">IF($J53="","",SUM(IF(LEFT($AG53:$DU53,1)="X",1,0)))</f>
        <v>11</v>
      </c>
      <c r="AG53" s="891" t="s">
        <v>32</v>
      </c>
      <c r="AH53" s="891" t="s">
        <v>1877</v>
      </c>
      <c r="AI53" s="891" t="s">
        <v>32</v>
      </c>
      <c r="AJ53" s="891" t="s">
        <v>34</v>
      </c>
      <c r="AK53" s="891" t="s">
        <v>1877</v>
      </c>
      <c r="AL53" s="891" t="s">
        <v>36</v>
      </c>
      <c r="AM53" s="891" t="s">
        <v>32</v>
      </c>
      <c r="AN53" s="891" t="s">
        <v>35</v>
      </c>
      <c r="AO53" s="891" t="s">
        <v>1877</v>
      </c>
      <c r="AP53" s="891" t="s">
        <v>34</v>
      </c>
      <c r="AQ53" s="891" t="s">
        <v>1886</v>
      </c>
      <c r="AR53" s="891" t="s">
        <v>34</v>
      </c>
      <c r="AS53" s="891" t="s">
        <v>32</v>
      </c>
      <c r="AT53" s="891" t="s">
        <v>34</v>
      </c>
      <c r="AU53" s="891" t="s">
        <v>32</v>
      </c>
      <c r="AV53" s="891" t="s">
        <v>32</v>
      </c>
      <c r="AW53" s="904" t="s">
        <v>34</v>
      </c>
      <c r="AX53" s="891" t="s">
        <v>35</v>
      </c>
      <c r="AY53" s="891" t="s">
        <v>32</v>
      </c>
      <c r="AZ53" s="891" t="s">
        <v>32</v>
      </c>
      <c r="BA53" s="891" t="s">
        <v>36</v>
      </c>
      <c r="BB53" s="891" t="s">
        <v>32</v>
      </c>
      <c r="BC53" s="891" t="s">
        <v>34</v>
      </c>
      <c r="BD53" s="891" t="s">
        <v>32</v>
      </c>
      <c r="BE53" s="891"/>
      <c r="BF53" s="891" t="s">
        <v>1877</v>
      </c>
      <c r="BG53" s="904" t="s">
        <v>36</v>
      </c>
      <c r="BH53" s="891" t="s">
        <v>3147</v>
      </c>
      <c r="BI53" s="904" t="s">
        <v>34</v>
      </c>
      <c r="BJ53" s="891" t="s">
        <v>32</v>
      </c>
      <c r="BK53" s="891" t="s">
        <v>35</v>
      </c>
      <c r="BL53" s="891" t="s">
        <v>32</v>
      </c>
      <c r="BM53" s="891" t="s">
        <v>32</v>
      </c>
      <c r="BN53" s="896"/>
      <c r="BO53" s="896"/>
      <c r="BP53" s="910"/>
      <c r="BQ53" s="896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428"/>
      <c r="CD53" s="428"/>
      <c r="CE53" s="428"/>
      <c r="CF53" s="428"/>
    </row>
    <row r="54" spans="1:84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8</v>
      </c>
      <c r="G54" s="879" t="s">
        <v>880</v>
      </c>
      <c r="H54" s="879" t="s">
        <v>18</v>
      </c>
      <c r="I54" s="879" t="s">
        <v>891</v>
      </c>
      <c r="J54" s="908">
        <v>1</v>
      </c>
      <c r="K54" s="846">
        <v>3</v>
      </c>
      <c r="L54" s="816" t="str">
        <f t="shared" si="31"/>
        <v>L</v>
      </c>
      <c r="M54" s="816">
        <f t="shared" si="32"/>
        <v>4</v>
      </c>
      <c r="N54" s="816" t="str">
        <f t="shared" si="33"/>
        <v>O</v>
      </c>
      <c r="O54" s="816">
        <f t="shared" ref="O54" si="46">IF(Q54="","",IF(SIGN(Q54)&lt;&gt;1,VLOOKUP(ABS(Q54),SUP_HDC,3,TRUE),-VLOOKUP(ABS(Q54),SUP_HDC,3,TRUE)))</f>
        <v>0.25</v>
      </c>
      <c r="P54" s="829">
        <f t="shared" ref="P54" si="47">IF(O54="","",IF((J54-K54+O54)&gt;=0.5,1,IF((J54-K54+O54)=0.25,0.5,IF((J54-K54+O54)&lt;=-0.5,-1,IF((J54-K54+O54)=-0.25,-0.5,0)))))</f>
        <v>-1</v>
      </c>
      <c r="Q54" s="830">
        <v>-0.15</v>
      </c>
      <c r="R54" s="871">
        <f t="shared" ref="R54" si="48">IF(ISBLANK(Q54),"",J54-K54-Q54)</f>
        <v>-1.85</v>
      </c>
      <c r="S54" s="830">
        <v>2.65</v>
      </c>
      <c r="T54" s="871">
        <f t="shared" ref="T54" si="49">IF(ISBLANK(S54),"",J54+K54-S54)</f>
        <v>1.35</v>
      </c>
      <c r="U54" s="868">
        <f t="shared" ref="U54" si="50">IF(Q54="","",(Q54+S54)/2)</f>
        <v>1.25</v>
      </c>
      <c r="V54" s="868">
        <f t="shared" ref="V54" si="51">IF(Q54="","",S54-U54)</f>
        <v>1.4</v>
      </c>
      <c r="W54" s="829">
        <v>10</v>
      </c>
      <c r="X54" s="829">
        <v>15</v>
      </c>
      <c r="Y54" s="829">
        <v>1</v>
      </c>
      <c r="Z54" s="829">
        <v>7</v>
      </c>
      <c r="AA54" s="829">
        <v>58</v>
      </c>
      <c r="AB54" s="829">
        <v>42</v>
      </c>
      <c r="AC54" s="829"/>
      <c r="AD54" s="816" t="str">
        <f t="array" ref="AD54">IF($J54="","",IF(SUM(IF(ISNUMBER(VALUE(RIGHT($AG54:$DU54,1))),VALUE(RIGHT($AG54:$DU54,1)),0))=$J54,"T","F"))</f>
        <v>T</v>
      </c>
      <c r="AE54" s="831">
        <f t="array" ref="AE54">IF($J54="","",SUM(IF(LEFT($AG54:$DU54,1)="s",1,0))-SUM(IF(RIGHT(LEFT($AG54:$DU54,2))="-",1,0)))</f>
        <v>0</v>
      </c>
      <c r="AF54" s="816">
        <f t="array" ref="AF54">IF($J54="","",SUM(IF(LEFT($AG54:$DU54,1)="X",1,0)))</f>
        <v>11</v>
      </c>
      <c r="AG54" s="891"/>
      <c r="AH54" s="891" t="s">
        <v>1877</v>
      </c>
      <c r="AI54" s="891" t="s">
        <v>32</v>
      </c>
      <c r="AJ54" s="891" t="s">
        <v>34</v>
      </c>
      <c r="AK54" s="891" t="s">
        <v>35</v>
      </c>
      <c r="AL54" s="909" t="s">
        <v>34</v>
      </c>
      <c r="AM54" s="891" t="s">
        <v>1877</v>
      </c>
      <c r="AN54" s="891" t="s">
        <v>35</v>
      </c>
      <c r="AO54" s="891" t="s">
        <v>36</v>
      </c>
      <c r="AP54" s="891" t="s">
        <v>32</v>
      </c>
      <c r="AQ54" s="891" t="s">
        <v>1886</v>
      </c>
      <c r="AR54" s="891" t="s">
        <v>34</v>
      </c>
      <c r="AS54" s="891" t="s">
        <v>32</v>
      </c>
      <c r="AT54" s="891" t="s">
        <v>34</v>
      </c>
      <c r="AU54" s="891" t="s">
        <v>3215</v>
      </c>
      <c r="AV54" s="891" t="s">
        <v>32</v>
      </c>
      <c r="AW54" s="891" t="s">
        <v>32</v>
      </c>
      <c r="AX54" s="891" t="s">
        <v>36</v>
      </c>
      <c r="AY54" s="891" t="s">
        <v>32</v>
      </c>
      <c r="AZ54" s="891" t="s">
        <v>1877</v>
      </c>
      <c r="BA54" s="891" t="s">
        <v>35</v>
      </c>
      <c r="BB54" s="891" t="s">
        <v>32</v>
      </c>
      <c r="BC54" s="891" t="s">
        <v>34</v>
      </c>
      <c r="BD54" s="891" t="s">
        <v>32</v>
      </c>
      <c r="BE54" s="891"/>
      <c r="BF54" s="891" t="s">
        <v>36</v>
      </c>
      <c r="BG54" s="891" t="s">
        <v>1877</v>
      </c>
      <c r="BH54" s="904" t="s">
        <v>34</v>
      </c>
      <c r="BI54" s="891" t="s">
        <v>3174</v>
      </c>
      <c r="BJ54" s="891" t="s">
        <v>32</v>
      </c>
      <c r="BK54" s="891" t="s">
        <v>34</v>
      </c>
      <c r="BL54" s="891"/>
      <c r="BM54" s="891"/>
      <c r="BN54" s="896"/>
      <c r="BO54" s="896"/>
      <c r="BP54" s="910"/>
      <c r="BQ54" s="896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428"/>
      <c r="CD54" s="428"/>
      <c r="CE54" s="428"/>
      <c r="CF54" s="428"/>
    </row>
    <row r="55" spans="1:84" ht="15">
      <c r="A55" s="882">
        <v>6462</v>
      </c>
      <c r="B55" s="884"/>
      <c r="C55" s="884"/>
      <c r="D55" s="884"/>
      <c r="E55" s="884"/>
      <c r="F55" s="884">
        <f ca="1">IF(I55="","",IF(I55=Table!$C$1,VLOOKUP(G55,Table!$B$9:$AE$32,Table!$AE$6-1,FALSE),""))</f>
        <v>2</v>
      </c>
      <c r="G55" s="879" t="s">
        <v>886</v>
      </c>
      <c r="H55" s="879" t="s">
        <v>18</v>
      </c>
      <c r="I55" s="879" t="s">
        <v>891</v>
      </c>
      <c r="J55" s="905">
        <v>1</v>
      </c>
      <c r="K55" s="905">
        <v>2</v>
      </c>
      <c r="L55" s="816" t="str">
        <f t="shared" si="31"/>
        <v>L</v>
      </c>
      <c r="M55" s="816">
        <f t="shared" si="32"/>
        <v>3</v>
      </c>
      <c r="N55" s="816" t="str">
        <f t="shared" si="33"/>
        <v>O</v>
      </c>
      <c r="O55" s="816">
        <f t="shared" ref="O55" si="52">IF(Q55="","",IF(SIGN(Q55)&lt;&gt;1,VLOOKUP(ABS(Q55),SUP_HDC,3,TRUE),-VLOOKUP(ABS(Q55),SUP_HDC,3,TRUE)))</f>
        <v>-0.25</v>
      </c>
      <c r="P55" s="829">
        <f t="shared" ref="P55" si="53">IF(O55="","",IF((J55-K55+O55)&gt;=0.5,1,IF((J55-K55+O55)=0.25,0.5,IF((J55-K55+O55)&lt;=-0.5,-1,IF((J55-K55+O55)=-0.25,-0.5,0)))))</f>
        <v>-1</v>
      </c>
      <c r="Q55" s="830">
        <v>0.3</v>
      </c>
      <c r="R55" s="871">
        <v>2.25</v>
      </c>
      <c r="S55" s="830">
        <v>2.25</v>
      </c>
      <c r="T55" s="871">
        <f t="shared" ref="T55" si="54">IF(ISBLANK(S55),"",J55+K55-S55)</f>
        <v>0.75</v>
      </c>
      <c r="U55" s="868">
        <f t="shared" ref="U55" si="55">IF(Q55="","",(Q55+S55)/2)</f>
        <v>1.2749999999999999</v>
      </c>
      <c r="V55" s="868">
        <f t="shared" ref="V55" si="56">IF(Q55="","",S55-U55)</f>
        <v>0.97500000000000009</v>
      </c>
      <c r="W55" s="829">
        <v>14</v>
      </c>
      <c r="X55" s="829">
        <v>11</v>
      </c>
      <c r="Y55" s="829">
        <v>2</v>
      </c>
      <c r="Z55" s="829">
        <v>5</v>
      </c>
      <c r="AA55" s="829">
        <v>65</v>
      </c>
      <c r="AB55" s="829">
        <v>35</v>
      </c>
      <c r="AC55" s="829"/>
      <c r="AD55" s="816" t="str">
        <f t="array" ref="AD55">IF($J55="","",IF(SUM(IF(ISNUMBER(VALUE(RIGHT($AG55:$DU55,1))),VALUE(RIGHT($AG55:$DU55,1)),0))=$J55,"T","F"))</f>
        <v>T</v>
      </c>
      <c r="AE55" s="831">
        <f t="array" ref="AE55">IF($J55="","",SUM(IF(LEFT($AG55:$DU55,1)="s",1,0))-SUM(IF(RIGHT(LEFT($AG55:$DU55,2))="-",1,0)))</f>
        <v>0</v>
      </c>
      <c r="AF55" s="816">
        <f t="array" ref="AF55">IF($J55="","",SUM(IF(LEFT($AG55:$DU55,1)="X",1,0)))</f>
        <v>11</v>
      </c>
      <c r="AG55" s="891" t="s">
        <v>32</v>
      </c>
      <c r="AH55" s="891" t="s">
        <v>1877</v>
      </c>
      <c r="AI55" s="891" t="s">
        <v>32</v>
      </c>
      <c r="AJ55" s="891" t="s">
        <v>34</v>
      </c>
      <c r="AK55" s="891" t="s">
        <v>1877</v>
      </c>
      <c r="AL55" s="891" t="s">
        <v>3224</v>
      </c>
      <c r="AM55" s="891" t="s">
        <v>32</v>
      </c>
      <c r="AN55" s="891" t="s">
        <v>34</v>
      </c>
      <c r="AO55" s="891" t="s">
        <v>1877</v>
      </c>
      <c r="AP55" s="904" t="s">
        <v>34</v>
      </c>
      <c r="AQ55" s="891" t="s">
        <v>1886</v>
      </c>
      <c r="AR55" s="891" t="s">
        <v>34</v>
      </c>
      <c r="AS55" s="891" t="s">
        <v>32</v>
      </c>
      <c r="AT55" s="904" t="s">
        <v>34</v>
      </c>
      <c r="AU55" s="891" t="s">
        <v>1886</v>
      </c>
      <c r="AV55" s="891" t="s">
        <v>32</v>
      </c>
      <c r="AW55" s="891" t="s">
        <v>34</v>
      </c>
      <c r="AX55" s="891" t="s">
        <v>35</v>
      </c>
      <c r="AY55" s="891" t="s">
        <v>32</v>
      </c>
      <c r="AZ55" s="891" t="s">
        <v>32</v>
      </c>
      <c r="BA55" s="891" t="s">
        <v>32</v>
      </c>
      <c r="BB55" s="891" t="s">
        <v>32</v>
      </c>
      <c r="BC55" s="891" t="s">
        <v>36</v>
      </c>
      <c r="BD55" s="891" t="s">
        <v>32</v>
      </c>
      <c r="BE55" s="891"/>
      <c r="BF55" s="891" t="s">
        <v>1877</v>
      </c>
      <c r="BG55" s="891" t="s">
        <v>1877</v>
      </c>
      <c r="BH55" s="891" t="s">
        <v>34</v>
      </c>
      <c r="BI55" s="891" t="s">
        <v>3245</v>
      </c>
      <c r="BJ55" s="891" t="s">
        <v>36</v>
      </c>
      <c r="BK55" s="891" t="s">
        <v>35</v>
      </c>
      <c r="BL55" s="891" t="s">
        <v>32</v>
      </c>
      <c r="BM55" s="891" t="s">
        <v>34</v>
      </c>
      <c r="BN55" s="896"/>
      <c r="BO55" s="896"/>
      <c r="BP55" s="910"/>
      <c r="BQ55" s="896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428"/>
      <c r="CD55" s="428"/>
      <c r="CE55" s="428"/>
      <c r="CF55" s="428"/>
    </row>
    <row r="56" spans="1:84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13</v>
      </c>
      <c r="G56" s="879" t="s">
        <v>884</v>
      </c>
      <c r="H56" s="879" t="s">
        <v>22</v>
      </c>
      <c r="I56" s="879" t="s">
        <v>891</v>
      </c>
      <c r="J56" s="846">
        <v>3</v>
      </c>
      <c r="K56" s="846">
        <v>3</v>
      </c>
      <c r="L56" s="816" t="str">
        <f t="shared" si="31"/>
        <v>D</v>
      </c>
      <c r="M56" s="816">
        <f t="shared" si="32"/>
        <v>6</v>
      </c>
      <c r="N56" s="816" t="str">
        <f t="shared" si="33"/>
        <v>O</v>
      </c>
      <c r="O56" s="816">
        <f t="shared" si="22"/>
        <v>-0.25</v>
      </c>
      <c r="P56" s="829">
        <f t="shared" si="24"/>
        <v>-0.5</v>
      </c>
      <c r="Q56" s="830">
        <v>0.33</v>
      </c>
      <c r="R56" s="871">
        <f t="shared" si="45"/>
        <v>-0.33</v>
      </c>
      <c r="S56" s="830">
        <v>2.4300000000000002</v>
      </c>
      <c r="T56" s="871">
        <f t="shared" si="26"/>
        <v>3.57</v>
      </c>
      <c r="U56" s="868">
        <f t="shared" si="27"/>
        <v>1.3800000000000001</v>
      </c>
      <c r="V56" s="868">
        <f t="shared" si="28"/>
        <v>1.05</v>
      </c>
      <c r="W56" s="829">
        <v>24</v>
      </c>
      <c r="X56" s="829">
        <v>10</v>
      </c>
      <c r="Y56" s="829">
        <v>9</v>
      </c>
      <c r="Z56" s="829">
        <v>7</v>
      </c>
      <c r="AA56" s="829">
        <v>55</v>
      </c>
      <c r="AB56" s="829">
        <v>45</v>
      </c>
      <c r="AC56" s="829"/>
      <c r="AD56" s="816" t="str">
        <f t="array" ref="AD56">IF($J56="","",IF(SUM(IF(ISNUMBER(VALUE(RIGHT($AG56:$DU56,1))),VALUE(RIGHT($AG56:$DU56,1)),0))=$J56,"T","F"))</f>
        <v>T</v>
      </c>
      <c r="AE56" s="831">
        <f t="array" ref="AE56">IF($J56="","",SUM(IF(LEFT($AG56:$DU56,1)="s",1,0))-SUM(IF(RIGHT(LEFT($AG56:$DU56,2))="-",1,0)))</f>
        <v>0</v>
      </c>
      <c r="AF56" s="816">
        <f t="array" ref="AF56">IF($J56="","",SUM(IF(LEFT($AG56:$DU56,1)="X",1,0)))</f>
        <v>11</v>
      </c>
      <c r="AG56" s="891" t="s">
        <v>32</v>
      </c>
      <c r="AH56" s="891" t="s">
        <v>1877</v>
      </c>
      <c r="AI56" s="891" t="s">
        <v>32</v>
      </c>
      <c r="AJ56" s="891" t="s">
        <v>34</v>
      </c>
      <c r="AK56" s="891" t="s">
        <v>34</v>
      </c>
      <c r="AL56" s="891" t="s">
        <v>34</v>
      </c>
      <c r="AM56" s="891" t="s">
        <v>1877</v>
      </c>
      <c r="AN56" s="904" t="s">
        <v>34</v>
      </c>
      <c r="AO56" s="891" t="s">
        <v>36</v>
      </c>
      <c r="AP56" s="891" t="s">
        <v>3256</v>
      </c>
      <c r="AQ56" s="891" t="s">
        <v>1886</v>
      </c>
      <c r="AR56" s="891" t="s">
        <v>34</v>
      </c>
      <c r="AS56" s="891" t="s">
        <v>32</v>
      </c>
      <c r="AT56" s="891" t="s">
        <v>3256</v>
      </c>
      <c r="AU56" s="891" t="s">
        <v>3251</v>
      </c>
      <c r="AV56" s="891" t="s">
        <v>32</v>
      </c>
      <c r="AW56" s="891" t="s">
        <v>3252</v>
      </c>
      <c r="AX56" s="891" t="s">
        <v>1877</v>
      </c>
      <c r="AY56" s="891" t="s">
        <v>32</v>
      </c>
      <c r="AZ56" s="891" t="s">
        <v>32</v>
      </c>
      <c r="BA56" s="891" t="s">
        <v>32</v>
      </c>
      <c r="BB56" s="891" t="s">
        <v>32</v>
      </c>
      <c r="BC56" s="891" t="s">
        <v>35</v>
      </c>
      <c r="BD56" s="891" t="s">
        <v>32</v>
      </c>
      <c r="BE56" s="891"/>
      <c r="BF56" s="904" t="s">
        <v>34</v>
      </c>
      <c r="BG56" s="891" t="s">
        <v>32</v>
      </c>
      <c r="BH56" s="891" t="s">
        <v>35</v>
      </c>
      <c r="BI56" s="891" t="s">
        <v>3252</v>
      </c>
      <c r="BJ56" s="891" t="s">
        <v>36</v>
      </c>
      <c r="BK56" s="891" t="s">
        <v>1877</v>
      </c>
      <c r="BL56" s="891" t="s">
        <v>32</v>
      </c>
      <c r="BM56" s="904" t="s">
        <v>3252</v>
      </c>
      <c r="BN56" s="896"/>
      <c r="BO56" s="896"/>
      <c r="BP56" s="910"/>
      <c r="BQ56" s="896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428"/>
      <c r="CD56" s="428"/>
      <c r="CE56" s="428"/>
      <c r="CF56" s="428"/>
    </row>
    <row r="57" spans="1:84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16</v>
      </c>
      <c r="G57" s="879" t="s">
        <v>872</v>
      </c>
      <c r="H57" s="879" t="s">
        <v>22</v>
      </c>
      <c r="I57" s="879" t="s">
        <v>891</v>
      </c>
      <c r="J57" s="846">
        <v>2</v>
      </c>
      <c r="K57" s="846">
        <v>2</v>
      </c>
      <c r="L57" s="816" t="str">
        <f t="shared" si="31"/>
        <v>D</v>
      </c>
      <c r="M57" s="816">
        <f t="shared" si="32"/>
        <v>4</v>
      </c>
      <c r="N57" s="816" t="str">
        <f t="shared" si="33"/>
        <v>O</v>
      </c>
      <c r="O57" s="816">
        <f t="shared" si="22"/>
        <v>-0.5</v>
      </c>
      <c r="P57" s="829">
        <f t="shared" si="24"/>
        <v>-1</v>
      </c>
      <c r="Q57" s="830">
        <v>0.5</v>
      </c>
      <c r="R57" s="871">
        <f t="shared" si="45"/>
        <v>-0.5</v>
      </c>
      <c r="S57" s="830">
        <v>2.76</v>
      </c>
      <c r="T57" s="871">
        <f t="shared" si="26"/>
        <v>1.2400000000000002</v>
      </c>
      <c r="U57" s="868">
        <f t="shared" si="27"/>
        <v>1.63</v>
      </c>
      <c r="V57" s="868">
        <f t="shared" si="28"/>
        <v>1.1299999999999999</v>
      </c>
      <c r="W57" s="829">
        <v>12</v>
      </c>
      <c r="X57" s="829">
        <v>8</v>
      </c>
      <c r="Y57" s="829">
        <v>3</v>
      </c>
      <c r="Z57" s="829">
        <v>4</v>
      </c>
      <c r="AA57" s="829">
        <v>58</v>
      </c>
      <c r="AB57" s="829">
        <v>42</v>
      </c>
      <c r="AC57" s="829"/>
      <c r="AD57" s="816" t="str">
        <f t="array" ref="AD57">IF($J57="","",IF(SUM(IF(ISNUMBER(VALUE(RIGHT($AG57:$DU57,1))),VALUE(RIGHT($AG57:$DU57,1)),0))=$J57,"T","F"))</f>
        <v>T</v>
      </c>
      <c r="AE57" s="831">
        <f t="array" ref="AE57">IF($J57="","",SUM(IF(LEFT($AG57:$DU57,1)="s",1,0))-SUM(IF(RIGHT(LEFT($AG57:$DU57,2))="-",1,0)))</f>
        <v>0</v>
      </c>
      <c r="AF57" s="816">
        <f t="array" ref="AF57">IF($J57="","",SUM(IF(LEFT($AG57:$DU57,1)="X",1,0)))</f>
        <v>11</v>
      </c>
      <c r="AG57" s="891" t="s">
        <v>32</v>
      </c>
      <c r="AH57" s="891" t="s">
        <v>1877</v>
      </c>
      <c r="AI57" s="891" t="s">
        <v>32</v>
      </c>
      <c r="AJ57" s="891" t="s">
        <v>34</v>
      </c>
      <c r="AK57" s="891" t="s">
        <v>1877</v>
      </c>
      <c r="AL57" s="891" t="s">
        <v>34</v>
      </c>
      <c r="AM57" s="891" t="s">
        <v>32</v>
      </c>
      <c r="AN57" s="891" t="s">
        <v>32</v>
      </c>
      <c r="AO57" s="891" t="s">
        <v>1877</v>
      </c>
      <c r="AP57" s="891" t="s">
        <v>34</v>
      </c>
      <c r="AQ57" s="891" t="s">
        <v>32</v>
      </c>
      <c r="AR57" s="891" t="s">
        <v>34</v>
      </c>
      <c r="AS57" s="891" t="s">
        <v>32</v>
      </c>
      <c r="AT57" s="891" t="s">
        <v>34</v>
      </c>
      <c r="AU57" s="891" t="s">
        <v>1886</v>
      </c>
      <c r="AV57" s="891" t="s">
        <v>32</v>
      </c>
      <c r="AW57" s="891" t="s">
        <v>34</v>
      </c>
      <c r="AX57" s="891" t="s">
        <v>1877</v>
      </c>
      <c r="AY57" s="891" t="s">
        <v>32</v>
      </c>
      <c r="AZ57" s="891" t="s">
        <v>32</v>
      </c>
      <c r="BA57" s="891" t="s">
        <v>32</v>
      </c>
      <c r="BB57" s="891" t="s">
        <v>32</v>
      </c>
      <c r="BC57" s="891" t="s">
        <v>34</v>
      </c>
      <c r="BD57" s="891" t="s">
        <v>32</v>
      </c>
      <c r="BE57" s="891" t="s">
        <v>3316</v>
      </c>
      <c r="BF57" s="891" t="s">
        <v>35</v>
      </c>
      <c r="BG57" s="891" t="s">
        <v>35</v>
      </c>
      <c r="BH57" s="891" t="s">
        <v>3317</v>
      </c>
      <c r="BI57" s="891" t="s">
        <v>34</v>
      </c>
      <c r="BJ57" s="891" t="s">
        <v>1877</v>
      </c>
      <c r="BK57" s="904" t="s">
        <v>36</v>
      </c>
      <c r="BL57" s="891"/>
      <c r="BM57" s="891"/>
      <c r="BN57" s="896"/>
      <c r="BO57" s="896"/>
      <c r="BP57" s="910"/>
      <c r="BQ57" s="896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428"/>
      <c r="CD57" s="428"/>
      <c r="CE57" s="428"/>
      <c r="CF57" s="428"/>
    </row>
    <row r="58" spans="1:84" ht="15">
      <c r="A58" s="882">
        <v>6483</v>
      </c>
      <c r="B58" s="884"/>
      <c r="C58" s="884"/>
      <c r="D58" s="884"/>
      <c r="E58" s="884"/>
      <c r="F58" s="884">
        <f ca="1">IF(I58="","",IF(I58=Table!$C$1,VLOOKUP(G58,Table!$B$9:$AE$32,Table!$AE$6-1,FALSE),""))</f>
        <v>19</v>
      </c>
      <c r="G58" s="879" t="s">
        <v>885</v>
      </c>
      <c r="H58" s="879" t="s">
        <v>18</v>
      </c>
      <c r="I58" s="879" t="s">
        <v>891</v>
      </c>
      <c r="J58" s="846">
        <v>0</v>
      </c>
      <c r="K58" s="846">
        <v>0</v>
      </c>
      <c r="L58" s="816" t="str">
        <f t="shared" ref="L58" si="57">IF(J58="","",IF(J58&gt;K58,"W",IF(J58=K58,"D",IF(J58&lt;K58,"L"))))</f>
        <v>D</v>
      </c>
      <c r="M58" s="816">
        <f t="shared" ref="M58" si="58">IF(J58="","",J58+K58)</f>
        <v>0</v>
      </c>
      <c r="N58" s="816" t="str">
        <f t="shared" si="33"/>
        <v>U</v>
      </c>
      <c r="O58" s="816">
        <f t="shared" ref="O58:O65" si="59">IF(Q58="","",IF(SIGN(Q58)&lt;&gt;1,VLOOKUP(ABS(Q58),SUP_HDC,3,TRUE),-VLOOKUP(ABS(Q58),SUP_HDC,3,TRUE)))</f>
        <v>-0.5</v>
      </c>
      <c r="P58" s="829">
        <f t="shared" ref="P58:P65" si="60">IF(O58="","",IF((J58-K58+O58)&gt;=0.5,1,IF((J58-K58+O58)=0.25,0.5,IF((J58-K58+O58)&lt;=-0.5,-1,IF((J58-K58+O58)=-0.25,-0.5,0)))))</f>
        <v>-1</v>
      </c>
      <c r="Q58" s="830">
        <v>0.5</v>
      </c>
      <c r="R58" s="871">
        <f t="shared" ref="R58" si="61">IF(ISBLANK(Q58),"",J58-K58-Q58)</f>
        <v>-0.5</v>
      </c>
      <c r="S58" s="830">
        <v>2.5499999999999998</v>
      </c>
      <c r="T58" s="871">
        <f t="shared" ref="T58" si="62">IF(ISBLANK(S58),"",J58+K58-S58)</f>
        <v>-2.5499999999999998</v>
      </c>
      <c r="U58" s="868">
        <f t="shared" ref="U58:U68" si="63">IF(Q58="","",(Q58+S58)/2)</f>
        <v>1.5249999999999999</v>
      </c>
      <c r="V58" s="868">
        <f t="shared" ref="V58:V68" si="64">IF(Q58="","",S58-U58)</f>
        <v>1.0249999999999999</v>
      </c>
      <c r="W58" s="829">
        <v>25</v>
      </c>
      <c r="X58" s="829">
        <v>9</v>
      </c>
      <c r="Y58" s="829">
        <v>3</v>
      </c>
      <c r="Z58" s="829">
        <v>0</v>
      </c>
      <c r="AA58" s="829">
        <v>58</v>
      </c>
      <c r="AB58" s="829">
        <v>42</v>
      </c>
      <c r="AC58" s="829"/>
      <c r="AD58" s="816" t="str">
        <f t="array" ref="AD58">IF($J58="","",IF(SUM(IF(ISNUMBER(VALUE(RIGHT($AG58:$CG58,1))),VALUE(RIGHT($AG58:$CG58,1)),0))=$J58,"T","F"))</f>
        <v>T</v>
      </c>
      <c r="AE58" s="831">
        <f t="array" ref="AE58">IF($J58="","",SUM(IF(LEFT($AG58:$DS58,1)="s",1,0))-SUM(IF(RIGHT(LEFT($AG58:$DS58,2))="-",1,0)))</f>
        <v>0</v>
      </c>
      <c r="AF58" s="816">
        <f t="array" ref="AF58">IF($J58="","",SUM(IF(LEFT($AG58:$CY58,1)="X",1,0)))</f>
        <v>11</v>
      </c>
      <c r="AG58" s="891"/>
      <c r="AH58" s="891" t="s">
        <v>1877</v>
      </c>
      <c r="AI58" s="891" t="s">
        <v>32</v>
      </c>
      <c r="AJ58" s="891" t="s">
        <v>34</v>
      </c>
      <c r="AK58" s="891" t="s">
        <v>32</v>
      </c>
      <c r="AL58" s="891" t="s">
        <v>34</v>
      </c>
      <c r="AM58" s="891" t="s">
        <v>32</v>
      </c>
      <c r="AN58" s="891" t="s">
        <v>34</v>
      </c>
      <c r="AO58" s="891" t="s">
        <v>1877</v>
      </c>
      <c r="AP58" s="891" t="s">
        <v>1877</v>
      </c>
      <c r="AQ58" s="891" t="s">
        <v>32</v>
      </c>
      <c r="AR58" s="891" t="s">
        <v>34</v>
      </c>
      <c r="AS58" s="891" t="s">
        <v>32</v>
      </c>
      <c r="AT58" s="904" t="s">
        <v>34</v>
      </c>
      <c r="AU58" s="891" t="s">
        <v>36</v>
      </c>
      <c r="AV58" s="891" t="s">
        <v>32</v>
      </c>
      <c r="AW58" s="891" t="s">
        <v>34</v>
      </c>
      <c r="AX58" s="891" t="s">
        <v>35</v>
      </c>
      <c r="AY58" s="891" t="s">
        <v>32</v>
      </c>
      <c r="AZ58" s="891" t="s">
        <v>32</v>
      </c>
      <c r="BA58" s="891" t="s">
        <v>32</v>
      </c>
      <c r="BB58" s="891" t="s">
        <v>32</v>
      </c>
      <c r="BC58" s="904" t="s">
        <v>35</v>
      </c>
      <c r="BD58" s="891" t="s">
        <v>32</v>
      </c>
      <c r="BE58" s="891" t="s">
        <v>36</v>
      </c>
      <c r="BF58" s="891" t="s">
        <v>1877</v>
      </c>
      <c r="BG58" s="891" t="s">
        <v>32</v>
      </c>
      <c r="BH58" s="891" t="s">
        <v>34</v>
      </c>
      <c r="BI58" s="891" t="s">
        <v>34</v>
      </c>
      <c r="BJ58" s="891" t="s">
        <v>32</v>
      </c>
      <c r="BK58" s="891" t="s">
        <v>35</v>
      </c>
      <c r="BL58" s="891" t="s">
        <v>32</v>
      </c>
      <c r="BM58" s="891" t="s">
        <v>36</v>
      </c>
      <c r="BN58" s="896"/>
      <c r="BO58" s="896"/>
      <c r="BP58" s="910"/>
      <c r="BQ58" s="896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428"/>
      <c r="CD58" s="428"/>
      <c r="CE58" s="428"/>
      <c r="CF58" s="428"/>
    </row>
    <row r="59" spans="1:84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22</v>
      </c>
      <c r="G59" s="879" t="s">
        <v>1087</v>
      </c>
      <c r="H59" s="879" t="s">
        <v>22</v>
      </c>
      <c r="I59" s="879" t="s">
        <v>891</v>
      </c>
      <c r="J59" s="846">
        <v>4</v>
      </c>
      <c r="K59" s="846">
        <v>1</v>
      </c>
      <c r="L59" s="816" t="str">
        <f t="shared" si="31"/>
        <v>W</v>
      </c>
      <c r="M59" s="816">
        <f t="shared" si="32"/>
        <v>5</v>
      </c>
      <c r="N59" s="816" t="str">
        <f t="shared" si="33"/>
        <v>O</v>
      </c>
      <c r="O59" s="816">
        <f t="shared" si="59"/>
        <v>-1.25</v>
      </c>
      <c r="P59" s="829">
        <f t="shared" si="60"/>
        <v>1</v>
      </c>
      <c r="Q59" s="830">
        <v>1.42</v>
      </c>
      <c r="R59" s="871">
        <f t="shared" si="45"/>
        <v>1.58</v>
      </c>
      <c r="S59" s="830">
        <v>3.17</v>
      </c>
      <c r="T59" s="871">
        <f t="shared" si="26"/>
        <v>1.83</v>
      </c>
      <c r="U59" s="868">
        <f t="shared" si="63"/>
        <v>2.2949999999999999</v>
      </c>
      <c r="V59" s="868">
        <f t="shared" si="64"/>
        <v>0.875</v>
      </c>
      <c r="W59" s="829">
        <v>14</v>
      </c>
      <c r="X59" s="829">
        <v>16</v>
      </c>
      <c r="Y59" s="829">
        <v>8</v>
      </c>
      <c r="Z59" s="829">
        <v>2</v>
      </c>
      <c r="AA59" s="829">
        <v>54</v>
      </c>
      <c r="AB59" s="829">
        <v>46</v>
      </c>
      <c r="AC59" s="829"/>
      <c r="AD59" s="816" t="str">
        <f t="array" ref="AD59">IF($J59="","",IF(SUM(IF(ISNUMBER(VALUE(RIGHT($AG59:$CG59,1))),VALUE(RIGHT($AG59:$CG59,1)),0))=$J59,"T","F"))</f>
        <v>T</v>
      </c>
      <c r="AE59" s="831">
        <f t="array" ref="AE59">IF($J59="","",SUM(IF(LEFT($AG59:$DS59,1)="s",1,0))-SUM(IF(RIGHT(LEFT($AG59:$DS59,2))="-",1,0)))</f>
        <v>0</v>
      </c>
      <c r="AF59" s="816">
        <f t="array" ref="AF59">IF($J59="","",SUM(IF(LEFT($AG59:$CY59,1)="X",1,0)))</f>
        <v>11</v>
      </c>
      <c r="AG59" s="891" t="s">
        <v>32</v>
      </c>
      <c r="AH59" s="891" t="s">
        <v>1877</v>
      </c>
      <c r="AI59" s="891" t="s">
        <v>32</v>
      </c>
      <c r="AJ59" s="891" t="s">
        <v>34</v>
      </c>
      <c r="AK59" s="891" t="s">
        <v>32</v>
      </c>
      <c r="AL59" s="904" t="s">
        <v>34</v>
      </c>
      <c r="AM59" s="891" t="s">
        <v>32</v>
      </c>
      <c r="AN59" s="891" t="s">
        <v>32</v>
      </c>
      <c r="AO59" s="891" t="s">
        <v>34</v>
      </c>
      <c r="AP59" s="891" t="s">
        <v>36</v>
      </c>
      <c r="AQ59" s="891" t="s">
        <v>32</v>
      </c>
      <c r="AR59" s="891" t="s">
        <v>34</v>
      </c>
      <c r="AS59" s="891" t="s">
        <v>32</v>
      </c>
      <c r="AT59" s="904" t="s">
        <v>34</v>
      </c>
      <c r="AU59" s="891" t="s">
        <v>35</v>
      </c>
      <c r="AV59" s="891" t="s">
        <v>32</v>
      </c>
      <c r="AW59" s="891" t="s">
        <v>34</v>
      </c>
      <c r="AX59" s="891" t="s">
        <v>3407</v>
      </c>
      <c r="AY59" s="891" t="s">
        <v>32</v>
      </c>
      <c r="AZ59" s="891" t="s">
        <v>1877</v>
      </c>
      <c r="BA59" s="891" t="s">
        <v>32</v>
      </c>
      <c r="BB59" s="891" t="s">
        <v>32</v>
      </c>
      <c r="BC59" s="891" t="s">
        <v>3396</v>
      </c>
      <c r="BD59" s="891" t="s">
        <v>32</v>
      </c>
      <c r="BE59" s="891" t="s">
        <v>1877</v>
      </c>
      <c r="BF59" s="891" t="s">
        <v>36</v>
      </c>
      <c r="BG59" s="891" t="s">
        <v>1877</v>
      </c>
      <c r="BH59" s="891" t="s">
        <v>3400</v>
      </c>
      <c r="BI59" s="891" t="s">
        <v>3406</v>
      </c>
      <c r="BJ59" s="891" t="s">
        <v>32</v>
      </c>
      <c r="BK59" s="891" t="s">
        <v>34</v>
      </c>
      <c r="BL59" s="891" t="s">
        <v>32</v>
      </c>
      <c r="BM59" s="891" t="s">
        <v>35</v>
      </c>
      <c r="BN59" s="896"/>
      <c r="BO59" s="896"/>
      <c r="BP59" s="910"/>
      <c r="BQ59" s="896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428"/>
      <c r="CD59" s="428"/>
      <c r="CE59" s="428"/>
      <c r="CF59" s="428"/>
    </row>
    <row r="60" spans="1:84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18</v>
      </c>
      <c r="G60" s="879" t="s">
        <v>887</v>
      </c>
      <c r="H60" s="879" t="s">
        <v>18</v>
      </c>
      <c r="I60" s="879" t="s">
        <v>891</v>
      </c>
      <c r="J60" s="846">
        <v>2</v>
      </c>
      <c r="K60" s="846">
        <v>0</v>
      </c>
      <c r="L60" s="816" t="str">
        <f t="shared" si="31"/>
        <v>W</v>
      </c>
      <c r="M60" s="816">
        <f t="shared" si="32"/>
        <v>2</v>
      </c>
      <c r="N60" s="816" t="str">
        <f t="shared" si="33"/>
        <v>U</v>
      </c>
      <c r="O60" s="816">
        <f t="shared" si="59"/>
        <v>-0.25</v>
      </c>
      <c r="P60" s="829">
        <f t="shared" si="60"/>
        <v>1</v>
      </c>
      <c r="Q60" s="830">
        <v>0.31</v>
      </c>
      <c r="R60" s="871">
        <f t="shared" si="45"/>
        <v>1.69</v>
      </c>
      <c r="S60" s="830">
        <v>2.94</v>
      </c>
      <c r="T60" s="871">
        <f t="shared" si="26"/>
        <v>-0.94</v>
      </c>
      <c r="U60" s="868">
        <f t="shared" si="63"/>
        <v>1.625</v>
      </c>
      <c r="V60" s="868">
        <f t="shared" si="64"/>
        <v>1.3149999999999999</v>
      </c>
      <c r="W60" s="829">
        <v>25</v>
      </c>
      <c r="X60" s="829">
        <v>5</v>
      </c>
      <c r="Y60" s="829">
        <v>8</v>
      </c>
      <c r="Z60" s="829">
        <v>2</v>
      </c>
      <c r="AA60" s="829">
        <v>49</v>
      </c>
      <c r="AB60" s="829">
        <v>51</v>
      </c>
      <c r="AC60" s="829"/>
      <c r="AD60" s="816" t="str">
        <f t="array" ref="AD60">IF($J60="","",IF(SUM(IF(ISNUMBER(VALUE(RIGHT($AG60:$CG60,1))),VALUE(RIGHT($AG60:$CG60,1)),0))=$J60,"T","F"))</f>
        <v>T</v>
      </c>
      <c r="AE60" s="831">
        <f t="array" ref="AE60">IF($J60="","",SUM(IF(LEFT($AG60:$DS60,1)="s",1,0))-SUM(IF(RIGHT(LEFT($AG60:$DS60,2))="-",1,0)))</f>
        <v>0</v>
      </c>
      <c r="AF60" s="816">
        <f t="array" ref="AF60">IF($J60="","",SUM(IF(LEFT($AG60:$CY60,1)="X",1,0)))</f>
        <v>11</v>
      </c>
      <c r="AG60" s="891"/>
      <c r="AH60" s="891" t="s">
        <v>1877</v>
      </c>
      <c r="AI60" s="891" t="s">
        <v>32</v>
      </c>
      <c r="AJ60" s="891" t="s">
        <v>34</v>
      </c>
      <c r="AK60" s="891" t="s">
        <v>1877</v>
      </c>
      <c r="AL60" s="891" t="s">
        <v>34</v>
      </c>
      <c r="AM60" s="891" t="s">
        <v>32</v>
      </c>
      <c r="AN60" s="891" t="s">
        <v>1877</v>
      </c>
      <c r="AO60" s="904" t="s">
        <v>3429</v>
      </c>
      <c r="AP60" s="891" t="s">
        <v>34</v>
      </c>
      <c r="AQ60" s="891" t="s">
        <v>32</v>
      </c>
      <c r="AR60" s="891" t="s">
        <v>34</v>
      </c>
      <c r="AS60" s="891" t="s">
        <v>32</v>
      </c>
      <c r="AT60" s="904" t="s">
        <v>34</v>
      </c>
      <c r="AU60" s="891" t="s">
        <v>32</v>
      </c>
      <c r="AV60" s="891" t="s">
        <v>32</v>
      </c>
      <c r="AW60" s="891" t="s">
        <v>3429</v>
      </c>
      <c r="AX60" s="891" t="s">
        <v>36</v>
      </c>
      <c r="AY60" s="891" t="s">
        <v>36</v>
      </c>
      <c r="AZ60" s="891" t="s">
        <v>32</v>
      </c>
      <c r="BA60" s="891" t="s">
        <v>32</v>
      </c>
      <c r="BB60" s="891" t="s">
        <v>32</v>
      </c>
      <c r="BC60" s="891" t="s">
        <v>35</v>
      </c>
      <c r="BD60" s="891" t="s">
        <v>32</v>
      </c>
      <c r="BE60" s="891" t="s">
        <v>32</v>
      </c>
      <c r="BF60" s="891" t="s">
        <v>36</v>
      </c>
      <c r="BG60" s="891" t="s">
        <v>1877</v>
      </c>
      <c r="BH60" s="891" t="s">
        <v>34</v>
      </c>
      <c r="BI60" s="891" t="s">
        <v>32</v>
      </c>
      <c r="BJ60" s="891" t="s">
        <v>32</v>
      </c>
      <c r="BK60" s="891" t="s">
        <v>35</v>
      </c>
      <c r="BL60" s="891" t="s">
        <v>32</v>
      </c>
      <c r="BM60" s="891" t="s">
        <v>35</v>
      </c>
      <c r="BN60" s="896"/>
      <c r="BO60" s="896"/>
      <c r="BP60" s="910"/>
      <c r="BQ60" s="896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</row>
    <row r="61" spans="1:84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21</v>
      </c>
      <c r="G61" s="879" t="s">
        <v>890</v>
      </c>
      <c r="H61" s="879" t="s">
        <v>18</v>
      </c>
      <c r="I61" s="879" t="s">
        <v>891</v>
      </c>
      <c r="J61" s="846">
        <v>1</v>
      </c>
      <c r="K61" s="846">
        <v>1</v>
      </c>
      <c r="L61" s="816" t="str">
        <f t="shared" si="31"/>
        <v>D</v>
      </c>
      <c r="M61" s="816">
        <f t="shared" si="32"/>
        <v>2</v>
      </c>
      <c r="N61" s="816" t="str">
        <f t="shared" si="33"/>
        <v>U</v>
      </c>
      <c r="O61" s="816">
        <f t="shared" si="59"/>
        <v>-0.75</v>
      </c>
      <c r="P61" s="829">
        <f t="shared" si="60"/>
        <v>-1</v>
      </c>
      <c r="Q61" s="830">
        <v>0.8</v>
      </c>
      <c r="R61" s="871">
        <f t="shared" si="45"/>
        <v>-0.8</v>
      </c>
      <c r="S61" s="830">
        <v>2.7</v>
      </c>
      <c r="T61" s="871">
        <f t="shared" si="26"/>
        <v>-0.70000000000000018</v>
      </c>
      <c r="U61" s="868">
        <f t="shared" si="63"/>
        <v>1.75</v>
      </c>
      <c r="V61" s="868">
        <f t="shared" si="64"/>
        <v>0.95000000000000018</v>
      </c>
      <c r="W61" s="829">
        <v>17</v>
      </c>
      <c r="X61" s="829">
        <v>9</v>
      </c>
      <c r="Y61" s="829">
        <v>4</v>
      </c>
      <c r="Z61" s="829">
        <v>3</v>
      </c>
      <c r="AA61" s="829">
        <v>66</v>
      </c>
      <c r="AB61" s="829">
        <v>34</v>
      </c>
      <c r="AC61" s="829"/>
      <c r="AD61" s="816" t="str">
        <f t="array" ref="AD61">IF($J61="","",IF(SUM(IF(ISNUMBER(VALUE(RIGHT($AG61:$CG61,1))),VALUE(RIGHT($AG61:$CG61,1)),0))=$J61,"T","F"))</f>
        <v>T</v>
      </c>
      <c r="AE61" s="831">
        <f t="array" ref="AE61">IF($J61="","",SUM(IF(LEFT($AG61:$DS61,1)="s",1,0))-SUM(IF(RIGHT(LEFT($AG61:$DS61,2))="-",1,0)))</f>
        <v>0</v>
      </c>
      <c r="AF61" s="816">
        <f t="array" ref="AF61">IF($J61="","",SUM(IF(LEFT($AG61:$CY61,1)="X",1,0)))</f>
        <v>11</v>
      </c>
      <c r="AG61" s="891" t="s">
        <v>32</v>
      </c>
      <c r="AH61" s="891" t="s">
        <v>1877</v>
      </c>
      <c r="AI61" s="891" t="s">
        <v>32</v>
      </c>
      <c r="AJ61" s="891" t="s">
        <v>34</v>
      </c>
      <c r="AK61" s="891" t="s">
        <v>32</v>
      </c>
      <c r="AL61" s="891" t="s">
        <v>34</v>
      </c>
      <c r="AM61" s="891" t="s">
        <v>32</v>
      </c>
      <c r="AN61" s="891" t="s">
        <v>36</v>
      </c>
      <c r="AO61" s="891" t="s">
        <v>1877</v>
      </c>
      <c r="AP61" s="891" t="s">
        <v>1877</v>
      </c>
      <c r="AQ61" s="891" t="s">
        <v>32</v>
      </c>
      <c r="AR61" s="891" t="s">
        <v>3472</v>
      </c>
      <c r="AS61" s="891" t="s">
        <v>32</v>
      </c>
      <c r="AT61" s="891" t="s">
        <v>34</v>
      </c>
      <c r="AU61" s="891" t="s">
        <v>34</v>
      </c>
      <c r="AV61" s="891" t="s">
        <v>32</v>
      </c>
      <c r="AW61" s="891" t="s">
        <v>34</v>
      </c>
      <c r="AX61" s="891" t="s">
        <v>36</v>
      </c>
      <c r="AY61" s="891" t="s">
        <v>34</v>
      </c>
      <c r="AZ61" s="891" t="s">
        <v>32</v>
      </c>
      <c r="BA61" s="891" t="s">
        <v>32</v>
      </c>
      <c r="BB61" s="891" t="s">
        <v>32</v>
      </c>
      <c r="BC61" s="891" t="s">
        <v>35</v>
      </c>
      <c r="BD61" s="891" t="s">
        <v>32</v>
      </c>
      <c r="BE61" s="891" t="s">
        <v>32</v>
      </c>
      <c r="BF61" s="891" t="s">
        <v>1877</v>
      </c>
      <c r="BG61" s="891" t="s">
        <v>1877</v>
      </c>
      <c r="BH61" s="891" t="s">
        <v>34</v>
      </c>
      <c r="BI61" s="891" t="s">
        <v>3469</v>
      </c>
      <c r="BJ61" s="891" t="s">
        <v>32</v>
      </c>
      <c r="BK61" s="891" t="s">
        <v>34</v>
      </c>
      <c r="BL61" s="891" t="s">
        <v>32</v>
      </c>
      <c r="BM61" s="891" t="s">
        <v>35</v>
      </c>
      <c r="BN61" s="896"/>
      <c r="BO61" s="896"/>
      <c r="BP61" s="910"/>
      <c r="BQ61" s="896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</row>
    <row r="62" spans="1:84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14</v>
      </c>
      <c r="G62" s="879" t="s">
        <v>873</v>
      </c>
      <c r="H62" s="879" t="s">
        <v>22</v>
      </c>
      <c r="I62" s="879" t="s">
        <v>891</v>
      </c>
      <c r="J62" s="846">
        <v>2</v>
      </c>
      <c r="K62" s="846">
        <v>3</v>
      </c>
      <c r="L62" s="816" t="str">
        <f t="shared" si="31"/>
        <v>L</v>
      </c>
      <c r="M62" s="816">
        <f t="shared" si="32"/>
        <v>5</v>
      </c>
      <c r="N62" s="816" t="str">
        <f t="shared" si="33"/>
        <v>O</v>
      </c>
      <c r="O62" s="816">
        <f t="shared" si="59"/>
        <v>-0.75</v>
      </c>
      <c r="P62" s="829">
        <f t="shared" si="60"/>
        <v>-1</v>
      </c>
      <c r="Q62" s="830">
        <v>0.85</v>
      </c>
      <c r="R62" s="871">
        <f t="shared" si="45"/>
        <v>-1.85</v>
      </c>
      <c r="S62" s="830">
        <v>2.7</v>
      </c>
      <c r="T62" s="871">
        <f t="shared" si="26"/>
        <v>2.2999999999999998</v>
      </c>
      <c r="U62" s="868">
        <f t="shared" si="63"/>
        <v>1.7750000000000001</v>
      </c>
      <c r="V62" s="868">
        <f t="shared" si="64"/>
        <v>0.92500000000000004</v>
      </c>
      <c r="W62" s="829">
        <v>21</v>
      </c>
      <c r="X62" s="829">
        <v>8</v>
      </c>
      <c r="Y62" s="829">
        <v>8</v>
      </c>
      <c r="Z62" s="829">
        <v>5</v>
      </c>
      <c r="AA62" s="829">
        <v>66</v>
      </c>
      <c r="AB62" s="829">
        <v>34</v>
      </c>
      <c r="AC62" s="829"/>
      <c r="AD62" s="816" t="str">
        <f t="array" ref="AD62">IF($J62="","",IF(SUM(IF(ISNUMBER(VALUE(RIGHT($AG62:$CG62,1))),VALUE(RIGHT($AG62:$CG62,1)),0))=$J62,"T","F"))</f>
        <v>T</v>
      </c>
      <c r="AE62" s="831">
        <f t="array" ref="AE62">IF($J62="","",SUM(IF(LEFT($AG62:$DS62,1)="s",1,0))-SUM(IF(RIGHT(LEFT($AG62:$DS62,2))="-",1,0)))</f>
        <v>0</v>
      </c>
      <c r="AF62" s="816">
        <f t="array" ref="AF62">IF($J62="","",SUM(IF(LEFT($AG62:$CY62,1)="X",1,0)))</f>
        <v>11</v>
      </c>
      <c r="AG62" s="891" t="s">
        <v>32</v>
      </c>
      <c r="AH62" s="891" t="s">
        <v>1877</v>
      </c>
      <c r="AI62" s="891" t="s">
        <v>32</v>
      </c>
      <c r="AJ62" s="891" t="s">
        <v>34</v>
      </c>
      <c r="AK62" s="891" t="s">
        <v>1877</v>
      </c>
      <c r="AL62" s="891" t="s">
        <v>34</v>
      </c>
      <c r="AM62" s="891" t="s">
        <v>32</v>
      </c>
      <c r="AN62" s="891" t="s">
        <v>1877</v>
      </c>
      <c r="AO62" s="891" t="s">
        <v>3482</v>
      </c>
      <c r="AP62" s="891" t="s">
        <v>34</v>
      </c>
      <c r="AQ62" s="891" t="s">
        <v>32</v>
      </c>
      <c r="AR62" s="904" t="s">
        <v>34</v>
      </c>
      <c r="AS62" s="891" t="s">
        <v>32</v>
      </c>
      <c r="AT62" s="891" t="s">
        <v>34</v>
      </c>
      <c r="AU62" s="891" t="s">
        <v>36</v>
      </c>
      <c r="AV62" s="891" t="s">
        <v>32</v>
      </c>
      <c r="AW62" s="891" t="s">
        <v>34</v>
      </c>
      <c r="AX62" s="891" t="s">
        <v>1877</v>
      </c>
      <c r="AY62" s="891" t="s">
        <v>32</v>
      </c>
      <c r="AZ62" s="891" t="s">
        <v>32</v>
      </c>
      <c r="BA62" s="891" t="s">
        <v>32</v>
      </c>
      <c r="BB62" s="891" t="s">
        <v>32</v>
      </c>
      <c r="BC62" s="891" t="s">
        <v>34</v>
      </c>
      <c r="BD62" s="891" t="s">
        <v>32</v>
      </c>
      <c r="BE62" s="891" t="s">
        <v>32</v>
      </c>
      <c r="BF62" s="891" t="s">
        <v>1877</v>
      </c>
      <c r="BG62" s="891" t="s">
        <v>32</v>
      </c>
      <c r="BH62" s="891" t="s">
        <v>34</v>
      </c>
      <c r="BI62" s="891" t="s">
        <v>34</v>
      </c>
      <c r="BJ62" s="891" t="s">
        <v>32</v>
      </c>
      <c r="BK62" s="891" t="s">
        <v>35</v>
      </c>
      <c r="BL62" s="891" t="s">
        <v>32</v>
      </c>
      <c r="BM62" s="891" t="s">
        <v>3483</v>
      </c>
      <c r="BN62" s="896"/>
      <c r="BO62" s="896"/>
      <c r="BP62" s="910"/>
      <c r="BQ62" s="896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</row>
    <row r="63" spans="1:84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15</v>
      </c>
      <c r="G63" s="879" t="s">
        <v>881</v>
      </c>
      <c r="H63" s="879" t="s">
        <v>18</v>
      </c>
      <c r="I63" s="879" t="s">
        <v>891</v>
      </c>
      <c r="J63" s="846">
        <v>3</v>
      </c>
      <c r="K63" s="846">
        <v>1</v>
      </c>
      <c r="L63" s="816" t="str">
        <f t="shared" si="31"/>
        <v>W</v>
      </c>
      <c r="M63" s="816">
        <f t="shared" si="32"/>
        <v>4</v>
      </c>
      <c r="N63" s="816" t="str">
        <f t="shared" si="33"/>
        <v>O</v>
      </c>
      <c r="O63" s="816">
        <f t="shared" si="59"/>
        <v>-0.75</v>
      </c>
      <c r="P63" s="829">
        <f t="shared" si="60"/>
        <v>1</v>
      </c>
      <c r="Q63" s="830">
        <v>0.73</v>
      </c>
      <c r="R63" s="871">
        <f t="shared" si="45"/>
        <v>1.27</v>
      </c>
      <c r="S63" s="830">
        <v>2.83</v>
      </c>
      <c r="T63" s="871">
        <f t="shared" si="26"/>
        <v>1.17</v>
      </c>
      <c r="U63" s="868">
        <f t="shared" si="63"/>
        <v>1.78</v>
      </c>
      <c r="V63" s="868">
        <f t="shared" si="64"/>
        <v>1.05</v>
      </c>
      <c r="W63" s="829">
        <v>20</v>
      </c>
      <c r="X63" s="829">
        <v>10</v>
      </c>
      <c r="Y63" s="829">
        <v>10</v>
      </c>
      <c r="Z63" s="829">
        <v>4</v>
      </c>
      <c r="AA63" s="829">
        <v>63</v>
      </c>
      <c r="AB63" s="829">
        <v>37</v>
      </c>
      <c r="AC63" s="829"/>
      <c r="AD63" s="816" t="str">
        <f t="array" ref="AD63">IF($J63="","",IF(SUM(IF(ISNUMBER(VALUE(RIGHT($AG63:$CG63,1))),VALUE(RIGHT($AG63:$CG63,1)),0))=$J63,"T","F"))</f>
        <v>T</v>
      </c>
      <c r="AE63" s="831">
        <f t="array" ref="AE63">IF($J63="","",SUM(IF(LEFT($AG63:$DS63,1)="s",1,0))-SUM(IF(RIGHT(LEFT($AG63:$DS63,2))="-",1,0)))</f>
        <v>0</v>
      </c>
      <c r="AF63" s="816">
        <f t="array" ref="AF63">IF($J63="","",SUM(IF(LEFT($AG63:$CY63,1)="X",1,0)))</f>
        <v>11</v>
      </c>
      <c r="AG63" s="891" t="s">
        <v>32</v>
      </c>
      <c r="AH63" s="891" t="s">
        <v>1877</v>
      </c>
      <c r="AI63" s="891" t="s">
        <v>32</v>
      </c>
      <c r="AJ63" s="891" t="s">
        <v>34</v>
      </c>
      <c r="AK63" s="891" t="s">
        <v>1877</v>
      </c>
      <c r="AL63" s="891" t="s">
        <v>34</v>
      </c>
      <c r="AM63" s="891" t="s">
        <v>32</v>
      </c>
      <c r="AN63" s="891" t="s">
        <v>1877</v>
      </c>
      <c r="AO63" s="891" t="s">
        <v>34</v>
      </c>
      <c r="AP63" s="891" t="s">
        <v>34</v>
      </c>
      <c r="AQ63" s="891" t="s">
        <v>32</v>
      </c>
      <c r="AR63" s="891" t="s">
        <v>3518</v>
      </c>
      <c r="AS63" s="891" t="s">
        <v>32</v>
      </c>
      <c r="AT63" s="891" t="s">
        <v>34</v>
      </c>
      <c r="AU63" s="891" t="s">
        <v>36</v>
      </c>
      <c r="AV63" s="891" t="s">
        <v>32</v>
      </c>
      <c r="AW63" s="891" t="s">
        <v>34</v>
      </c>
      <c r="AX63" s="891" t="s">
        <v>32</v>
      </c>
      <c r="AY63" s="891" t="s">
        <v>32</v>
      </c>
      <c r="AZ63" s="891" t="s">
        <v>32</v>
      </c>
      <c r="BA63" s="891" t="s">
        <v>32</v>
      </c>
      <c r="BB63" s="891" t="s">
        <v>32</v>
      </c>
      <c r="BC63" s="904" t="s">
        <v>3528</v>
      </c>
      <c r="BD63" s="891" t="s">
        <v>32</v>
      </c>
      <c r="BE63" s="891" t="s">
        <v>1877</v>
      </c>
      <c r="BF63" s="891" t="s">
        <v>36</v>
      </c>
      <c r="BG63" s="891" t="s">
        <v>36</v>
      </c>
      <c r="BH63" s="891" t="s">
        <v>3527</v>
      </c>
      <c r="BI63" s="891" t="s">
        <v>3528</v>
      </c>
      <c r="BJ63" s="891" t="s">
        <v>32</v>
      </c>
      <c r="BK63" s="891" t="s">
        <v>34</v>
      </c>
      <c r="BL63" s="891" t="s">
        <v>32</v>
      </c>
      <c r="BM63" s="891" t="s">
        <v>35</v>
      </c>
      <c r="BN63" s="896"/>
      <c r="BO63" s="896"/>
      <c r="BP63" s="910"/>
      <c r="BQ63" s="896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</row>
    <row r="64" spans="1:84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9</v>
      </c>
      <c r="G64" s="879" t="s">
        <v>1083</v>
      </c>
      <c r="H64" s="879" t="s">
        <v>22</v>
      </c>
      <c r="I64" s="879" t="s">
        <v>891</v>
      </c>
      <c r="J64" s="846">
        <v>1</v>
      </c>
      <c r="K64" s="846">
        <v>0</v>
      </c>
      <c r="L64" s="816" t="str">
        <f t="shared" si="31"/>
        <v>W</v>
      </c>
      <c r="M64" s="816">
        <f t="shared" si="32"/>
        <v>1</v>
      </c>
      <c r="N64" s="816" t="str">
        <f t="shared" si="33"/>
        <v>U</v>
      </c>
      <c r="O64" s="816">
        <f t="shared" si="59"/>
        <v>-0.5</v>
      </c>
      <c r="P64" s="829">
        <f t="shared" si="60"/>
        <v>1</v>
      </c>
      <c r="Q64" s="830">
        <v>0.68</v>
      </c>
      <c r="R64" s="871">
        <f t="shared" si="45"/>
        <v>0.31999999999999995</v>
      </c>
      <c r="S64" s="830">
        <v>2.88</v>
      </c>
      <c r="T64" s="871">
        <f t="shared" si="26"/>
        <v>-1.88</v>
      </c>
      <c r="U64" s="868">
        <f t="shared" si="63"/>
        <v>1.78</v>
      </c>
      <c r="V64" s="868">
        <f t="shared" si="64"/>
        <v>1.0999999999999999</v>
      </c>
      <c r="W64" s="829">
        <v>16</v>
      </c>
      <c r="X64" s="829">
        <v>16</v>
      </c>
      <c r="Y64" s="829">
        <v>4</v>
      </c>
      <c r="Z64" s="829">
        <v>4</v>
      </c>
      <c r="AA64" s="829">
        <v>51</v>
      </c>
      <c r="AB64" s="829">
        <v>49</v>
      </c>
      <c r="AC64" s="829"/>
      <c r="AD64" s="816" t="str">
        <f t="array" ref="AD64">IF($J64="","",IF(SUM(IF(ISNUMBER(VALUE(RIGHT($AG64:$CG64,1))),VALUE(RIGHT($AG64:$CG64,1)),0))=$J64,"T","F"))</f>
        <v>T</v>
      </c>
      <c r="AE64" s="831">
        <f t="array" ref="AE64">IF($J64="","",SUM(IF(LEFT($AG64:$DS64,1)="s",1,0))-SUM(IF(RIGHT(LEFT($AG64:$DS64,2))="-",1,0)))</f>
        <v>0</v>
      </c>
      <c r="AF64" s="816">
        <f t="array" ref="AF64">IF($J64="","",SUM(IF(LEFT($AG64:$CY64,1)="X",1,0)))</f>
        <v>11</v>
      </c>
      <c r="AG64" s="891" t="s">
        <v>32</v>
      </c>
      <c r="AH64" s="891" t="s">
        <v>1877</v>
      </c>
      <c r="AI64" s="891" t="s">
        <v>32</v>
      </c>
      <c r="AJ64" s="891" t="s">
        <v>34</v>
      </c>
      <c r="AK64" s="891" t="s">
        <v>1877</v>
      </c>
      <c r="AL64" s="891" t="s">
        <v>34</v>
      </c>
      <c r="AM64" s="891" t="s">
        <v>32</v>
      </c>
      <c r="AN64" s="891" t="s">
        <v>1877</v>
      </c>
      <c r="AO64" s="891" t="s">
        <v>36</v>
      </c>
      <c r="AP64" s="904" t="s">
        <v>34</v>
      </c>
      <c r="AQ64" s="891" t="s">
        <v>32</v>
      </c>
      <c r="AR64" s="891" t="s">
        <v>34</v>
      </c>
      <c r="AS64" s="891" t="s">
        <v>32</v>
      </c>
      <c r="AT64" s="891" t="s">
        <v>34</v>
      </c>
      <c r="AU64" s="891" t="s">
        <v>1877</v>
      </c>
      <c r="AV64" s="891" t="s">
        <v>32</v>
      </c>
      <c r="AW64" s="891" t="s">
        <v>34</v>
      </c>
      <c r="AX64" s="891" t="s">
        <v>32</v>
      </c>
      <c r="AY64" s="891" t="s">
        <v>32</v>
      </c>
      <c r="AZ64" s="891" t="s">
        <v>32</v>
      </c>
      <c r="BA64" s="891" t="s">
        <v>32</v>
      </c>
      <c r="BB64" s="891" t="s">
        <v>32</v>
      </c>
      <c r="BC64" s="891" t="s">
        <v>35</v>
      </c>
      <c r="BD64" s="891" t="s">
        <v>32</v>
      </c>
      <c r="BE64" s="891" t="s">
        <v>32</v>
      </c>
      <c r="BF64" s="891" t="s">
        <v>36</v>
      </c>
      <c r="BG64" s="891" t="s">
        <v>36</v>
      </c>
      <c r="BH64" s="891" t="s">
        <v>3545</v>
      </c>
      <c r="BI64" s="891" t="s">
        <v>35</v>
      </c>
      <c r="BJ64" s="891" t="s">
        <v>32</v>
      </c>
      <c r="BK64" s="891" t="s">
        <v>35</v>
      </c>
      <c r="BL64" s="891" t="s">
        <v>32</v>
      </c>
      <c r="BM64" s="891" t="s">
        <v>34</v>
      </c>
      <c r="BN64" s="896"/>
      <c r="BO64" s="896"/>
      <c r="BP64" s="910"/>
      <c r="BQ64" s="897"/>
      <c r="BR64" s="897"/>
      <c r="BS64" s="897"/>
      <c r="BT64" s="897"/>
      <c r="BU64" s="897"/>
      <c r="BV64" s="896"/>
      <c r="BW64" s="896"/>
      <c r="BX64" s="896"/>
      <c r="BY64" s="896"/>
      <c r="BZ64" s="896"/>
      <c r="CA64" s="896"/>
      <c r="CB64" s="896"/>
    </row>
    <row r="65" spans="1:80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5</v>
      </c>
      <c r="G65" s="879" t="s">
        <v>889</v>
      </c>
      <c r="H65" s="879" t="s">
        <v>18</v>
      </c>
      <c r="I65" s="879" t="s">
        <v>891</v>
      </c>
      <c r="J65" s="846">
        <v>1</v>
      </c>
      <c r="K65" s="846">
        <v>2</v>
      </c>
      <c r="L65" s="816" t="str">
        <f t="shared" si="31"/>
        <v>L</v>
      </c>
      <c r="M65" s="816">
        <f t="shared" si="32"/>
        <v>3</v>
      </c>
      <c r="N65" s="816" t="str">
        <f t="shared" si="33"/>
        <v>O</v>
      </c>
      <c r="O65" s="816">
        <f t="shared" si="59"/>
        <v>0</v>
      </c>
      <c r="P65" s="829">
        <f t="shared" si="60"/>
        <v>-1</v>
      </c>
      <c r="Q65" s="830">
        <v>0.1</v>
      </c>
      <c r="R65" s="871">
        <f t="shared" si="45"/>
        <v>-1.1000000000000001</v>
      </c>
      <c r="S65" s="830">
        <v>2.85</v>
      </c>
      <c r="T65" s="871">
        <f t="shared" si="26"/>
        <v>0.14999999999999991</v>
      </c>
      <c r="U65" s="868">
        <f t="shared" si="63"/>
        <v>1.4750000000000001</v>
      </c>
      <c r="V65" s="868">
        <f t="shared" si="64"/>
        <v>1.375</v>
      </c>
      <c r="W65" s="829">
        <v>15</v>
      </c>
      <c r="X65" s="829">
        <v>14</v>
      </c>
      <c r="Y65" s="829">
        <v>6</v>
      </c>
      <c r="Z65" s="829">
        <v>4</v>
      </c>
      <c r="AA65" s="829">
        <v>63</v>
      </c>
      <c r="AB65" s="829">
        <v>37</v>
      </c>
      <c r="AC65" s="829"/>
      <c r="AD65" s="816" t="str">
        <f t="array" ref="AD65">IF($J65="","",IF(SUM(IF(ISNUMBER(VALUE(RIGHT($AG65:$CG65,1))),VALUE(RIGHT($AG65:$CG65,1)),0))=$J65,"T","F"))</f>
        <v>T</v>
      </c>
      <c r="AE65" s="831">
        <f t="array" ref="AE65">IF($J65="","",SUM(IF(LEFT($AG65:$DS65,1)="s",1,0))-SUM(IF(RIGHT(LEFT($AG65:$DS65,2))="-",1,0)))</f>
        <v>0</v>
      </c>
      <c r="AF65" s="816">
        <f t="array" ref="AF65">IF($J65="","",SUM(IF(LEFT($AG65:$CY65,1)="X",1,0)))</f>
        <v>11</v>
      </c>
      <c r="AG65" s="891" t="s">
        <v>32</v>
      </c>
      <c r="AH65" s="891" t="s">
        <v>1877</v>
      </c>
      <c r="AI65" s="891" t="s">
        <v>32</v>
      </c>
      <c r="AJ65" s="891" t="s">
        <v>34</v>
      </c>
      <c r="AK65" s="891" t="s">
        <v>32</v>
      </c>
      <c r="AL65" s="904" t="s">
        <v>34</v>
      </c>
      <c r="AM65" s="891" t="s">
        <v>1877</v>
      </c>
      <c r="AN65" s="904" t="s">
        <v>36</v>
      </c>
      <c r="AO65" s="891" t="s">
        <v>34</v>
      </c>
      <c r="AP65" s="891" t="s">
        <v>35</v>
      </c>
      <c r="AQ65" s="891" t="s">
        <v>32</v>
      </c>
      <c r="AR65" s="904" t="s">
        <v>34</v>
      </c>
      <c r="AS65" s="891" t="s">
        <v>32</v>
      </c>
      <c r="AT65" s="904" t="s">
        <v>34</v>
      </c>
      <c r="AU65" s="891" t="s">
        <v>1877</v>
      </c>
      <c r="AV65" s="891" t="s">
        <v>32</v>
      </c>
      <c r="AW65" s="891" t="s">
        <v>34</v>
      </c>
      <c r="AX65" s="891" t="s">
        <v>32</v>
      </c>
      <c r="AY65" s="891" t="s">
        <v>32</v>
      </c>
      <c r="AZ65" s="891" t="s">
        <v>32</v>
      </c>
      <c r="BA65" s="891" t="s">
        <v>32</v>
      </c>
      <c r="BB65" s="891" t="s">
        <v>32</v>
      </c>
      <c r="BC65" s="891" t="s">
        <v>34</v>
      </c>
      <c r="BD65" s="891" t="s">
        <v>32</v>
      </c>
      <c r="BE65" s="891" t="s">
        <v>32</v>
      </c>
      <c r="BF65" s="891" t="s">
        <v>1877</v>
      </c>
      <c r="BG65" s="891" t="s">
        <v>1877</v>
      </c>
      <c r="BH65" s="891" t="s">
        <v>3571</v>
      </c>
      <c r="BI65" s="906" t="s">
        <v>3576</v>
      </c>
      <c r="BJ65" s="891" t="s">
        <v>32</v>
      </c>
      <c r="BK65" s="891" t="s">
        <v>35</v>
      </c>
      <c r="BL65" s="891" t="s">
        <v>32</v>
      </c>
      <c r="BM65" s="891" t="s">
        <v>34</v>
      </c>
      <c r="BN65" s="896"/>
      <c r="BO65" s="896"/>
      <c r="BP65" s="910"/>
      <c r="BQ65" s="897"/>
      <c r="BR65" s="897"/>
      <c r="BS65" s="897"/>
      <c r="BT65" s="897"/>
      <c r="BU65" s="897"/>
      <c r="BV65" s="896"/>
      <c r="BW65" s="896"/>
      <c r="BX65" s="896"/>
      <c r="BY65" s="896"/>
      <c r="BZ65" s="896"/>
      <c r="CA65" s="896"/>
      <c r="CB65" s="896"/>
    </row>
    <row r="66" spans="1:80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26"/>
        <v/>
      </c>
      <c r="U66" s="868" t="str">
        <f t="shared" si="63"/>
        <v/>
      </c>
      <c r="V66" s="868" t="str">
        <f t="shared" si="64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IF($J66="","",IF(SUM(IF(ISNUMBER(VALUE(RIGHT($AG66:$CG66,1))),VALUE(RIGHT($AG66:$CG66,1)),0))=$J66,"T","F"))</f>
        <v/>
      </c>
      <c r="AE66" s="831" t="str">
        <f t="array" ref="AE66">IF($J66="","",SUM(IF(LEFT($AG66:$DS66,1)="s",1,0))-SUM(IF(RIGHT(LEFT($AG66:$DS66,2))="-",1,0)))</f>
        <v/>
      </c>
      <c r="AF66" s="816" t="str">
        <f t="array" ref="AF66">IF($J66="","",SUM(IF(LEFT($AG66:$CY66,1)="X",1,0)))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6"/>
      <c r="BO66" s="896"/>
      <c r="BP66" s="891"/>
      <c r="BQ66" s="897"/>
      <c r="BR66" s="897"/>
      <c r="BS66" s="897"/>
      <c r="BT66" s="897"/>
      <c r="BU66" s="897"/>
      <c r="BV66" s="896"/>
      <c r="BW66" s="896"/>
      <c r="BX66" s="896"/>
      <c r="BY66" s="896"/>
      <c r="BZ66" s="896"/>
      <c r="CA66" s="896"/>
      <c r="CB66" s="896"/>
    </row>
    <row r="67" spans="1:80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6"/>
        <v/>
      </c>
      <c r="U67" s="868" t="str">
        <f t="shared" si="63"/>
        <v/>
      </c>
      <c r="V67" s="868" t="str">
        <f t="shared" si="64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IF($J67="","",IF(SUM(IF(ISNUMBER(VALUE(RIGHT($AG67:$CG67,1))),VALUE(RIGHT($AG67:$CG67,1)),0))=$J67,"T","F"))</f>
        <v/>
      </c>
      <c r="AE67" s="831" t="str">
        <f t="array" ref="AE67">IF($J67="","",SUM(IF(LEFT($AG67:$DS67,1)="s",1,0))-SUM(IF(RIGHT(LEFT($AG67:$DS67,2))="-",1,0)))</f>
        <v/>
      </c>
      <c r="AF67" s="816" t="str">
        <f t="array" ref="AF67">IF($J67="","",SUM(IF(LEFT($AG67:$CY67,1)="X",1,0)))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6"/>
      <c r="BO67" s="896"/>
      <c r="BP67" s="891"/>
      <c r="BQ67" s="897"/>
      <c r="BR67" s="897"/>
      <c r="BS67" s="897"/>
      <c r="BT67" s="897"/>
      <c r="BU67" s="897"/>
      <c r="BV67" s="896"/>
      <c r="BW67" s="896"/>
      <c r="BX67" s="896"/>
      <c r="BY67" s="896"/>
      <c r="BZ67" s="896"/>
      <c r="CA67" s="896"/>
      <c r="CB67" s="896"/>
    </row>
    <row r="68" spans="1:80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6"/>
        <v/>
      </c>
      <c r="U68" s="868" t="str">
        <f t="shared" si="63"/>
        <v/>
      </c>
      <c r="V68" s="868" t="str">
        <f t="shared" si="64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IF($J68="","",IF(SUM(IF(ISNUMBER(VALUE(RIGHT($AG68:$CG68,1))),VALUE(RIGHT($AG68:$CG68,1)),0))=$J68,"T","F"))</f>
        <v/>
      </c>
      <c r="AE68" s="831" t="str">
        <f t="array" ref="AE68">IF($J68="","",SUM(IF(LEFT($AG68:$DS68,1)="s",1,0))-SUM(IF(RIGHT(LEFT($AG68:$DS68,2))="-",1,0)))</f>
        <v/>
      </c>
      <c r="AF68" s="816" t="str">
        <f t="array" ref="AF68">IF($J68="","",SUM(IF(LEFT($AG68:$CY68,1)="X",1,0)))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6"/>
      <c r="BO68" s="896"/>
      <c r="BP68" s="891"/>
      <c r="BQ68" s="897"/>
      <c r="BR68" s="897"/>
      <c r="BS68" s="897"/>
      <c r="BT68" s="897"/>
      <c r="BU68" s="897"/>
      <c r="BV68" s="896"/>
      <c r="BW68" s="896"/>
      <c r="BX68" s="896"/>
      <c r="BY68" s="896"/>
      <c r="BZ68" s="896"/>
      <c r="CA68" s="896"/>
      <c r="CB68" s="896"/>
    </row>
    <row r="69" spans="1:80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6"/>
      <c r="BO69" s="896"/>
      <c r="BP69" s="891"/>
      <c r="BQ69" s="897"/>
      <c r="BR69" s="897"/>
      <c r="BS69" s="897"/>
      <c r="BT69" s="897"/>
      <c r="BU69" s="897"/>
      <c r="BV69" s="896"/>
      <c r="BW69" s="896"/>
      <c r="BX69" s="896"/>
      <c r="BY69" s="896"/>
      <c r="BZ69" s="896"/>
      <c r="CA69" s="896"/>
      <c r="CB69" s="896"/>
    </row>
    <row r="70" spans="1:80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6"/>
      <c r="AH70" s="896"/>
      <c r="AI70" s="896"/>
      <c r="AJ70" s="893"/>
      <c r="AK70" s="896"/>
      <c r="AL70" s="896"/>
      <c r="AM70" s="896"/>
      <c r="AN70" s="896"/>
      <c r="AO70" s="896"/>
      <c r="AP70" s="896"/>
      <c r="AQ70" s="896"/>
      <c r="AR70" s="896"/>
      <c r="AS70" s="896"/>
      <c r="AT70" s="896"/>
      <c r="AU70" s="896"/>
      <c r="AV70" s="896"/>
      <c r="AW70" s="896"/>
      <c r="AX70" s="896"/>
      <c r="AY70" s="896"/>
      <c r="AZ70" s="896"/>
      <c r="BA70" s="896"/>
      <c r="BB70" s="893"/>
      <c r="BC70" s="893"/>
      <c r="BD70" s="893"/>
      <c r="BE70" s="893"/>
      <c r="BF70" s="896"/>
      <c r="BG70" s="896"/>
      <c r="BH70" s="896"/>
      <c r="BI70" s="893"/>
      <c r="BJ70" s="896"/>
      <c r="BK70" s="893"/>
      <c r="BL70" s="896"/>
      <c r="BM70" s="893"/>
      <c r="BN70" s="896"/>
      <c r="BO70" s="896"/>
      <c r="BP70" s="896"/>
      <c r="BQ70" s="897"/>
      <c r="BR70" s="897"/>
      <c r="BS70" s="897"/>
      <c r="BT70" s="897"/>
      <c r="BU70" s="897"/>
      <c r="BV70" s="896"/>
      <c r="BW70" s="896"/>
      <c r="BX70" s="896"/>
      <c r="BY70" s="896"/>
      <c r="BZ70" s="896"/>
      <c r="CA70" s="896"/>
      <c r="CB70" s="896"/>
    </row>
    <row r="71" spans="1:80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3"/>
      <c r="AK71" s="896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3"/>
      <c r="BC71" s="893"/>
      <c r="BD71" s="893"/>
      <c r="BE71" s="893"/>
      <c r="BF71" s="896"/>
      <c r="BG71" s="896"/>
      <c r="BH71" s="896"/>
      <c r="BI71" s="893"/>
      <c r="BJ71" s="896"/>
      <c r="BK71" s="893"/>
      <c r="BL71" s="896"/>
      <c r="BM71" s="893"/>
      <c r="BN71" s="896"/>
      <c r="BO71" s="896"/>
      <c r="BP71" s="896"/>
      <c r="BQ71" s="897"/>
      <c r="BR71" s="897"/>
      <c r="BS71" s="897"/>
      <c r="BT71" s="897"/>
      <c r="BU71" s="897"/>
      <c r="BV71" s="896"/>
      <c r="BW71" s="896"/>
      <c r="BX71" s="896"/>
      <c r="BY71" s="896"/>
      <c r="BZ71" s="896"/>
      <c r="CA71" s="896"/>
      <c r="CB71" s="896"/>
    </row>
    <row r="72" spans="1:80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ref="L72:L129" si="65">IF(J72="","",IF(J72&gt;K72,"W",IF(J72=K72,"D",IF(J72&lt;K72,"L"))))</f>
        <v/>
      </c>
      <c r="M72" s="816" t="str">
        <f t="shared" ref="M72:M129" si="66">IF(J72="","",J72+K72)</f>
        <v/>
      </c>
      <c r="N72" s="816" t="str">
        <f t="shared" ref="N72:N129" si="67">IF($J72="","",IF($M72&gt;N$19,"O",IF($M72&lt;N$19,"U",IF($M72=N$19,"-"))))</f>
        <v/>
      </c>
      <c r="R72" s="816" t="str">
        <f t="shared" ref="R72:R129" si="68">IF(ISBLANK(Q72),"",J72-K72-Q72)</f>
        <v/>
      </c>
      <c r="T72" s="829" t="str">
        <f t="shared" ref="T72:T129" si="69">IF(ISBLANK(S72),"",J72+K72-S72)</f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IF($J72="","",IF(SUM(IF(ISNUMBER(VALUE(RIGHT($AG72:$CG72,1))),VALUE(RIGHT($AG72:$CG72,1)),0))=$J72,"T","F"))</f>
        <v/>
      </c>
      <c r="AE72" s="831" t="str">
        <f t="array" ref="AE72">IF($J72="","",SUM(IF(LEFT($AG72:$DS72,1)="s",1,0))-SUM(IF(RIGHT(LEFT($AG72:$DS72,2))="-",1,0)))</f>
        <v/>
      </c>
      <c r="AF72" s="816" t="str">
        <f t="array" ref="AF72">IF($J72="","",SUM(IF(LEFT($AG72:$CY72,1)="X",1,0)))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3"/>
      <c r="BC72" s="893"/>
      <c r="BD72" s="893"/>
      <c r="BE72" s="893"/>
      <c r="BF72" s="897"/>
      <c r="BG72" s="897"/>
      <c r="BH72" s="897"/>
      <c r="BI72" s="893"/>
      <c r="BJ72" s="897"/>
      <c r="BK72" s="893"/>
      <c r="BL72" s="897"/>
      <c r="BM72" s="893"/>
      <c r="BN72" s="897"/>
      <c r="BO72" s="897"/>
      <c r="BP72" s="897"/>
      <c r="BQ72" s="897"/>
      <c r="BR72" s="897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</row>
    <row r="73" spans="1:80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65"/>
        <v/>
      </c>
      <c r="M73" s="816" t="str">
        <f t="shared" si="66"/>
        <v/>
      </c>
      <c r="N73" s="816" t="str">
        <f t="shared" si="67"/>
        <v/>
      </c>
      <c r="R73" s="816" t="str">
        <f t="shared" si="68"/>
        <v/>
      </c>
      <c r="T73" s="829" t="str">
        <f t="shared" si="69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IF($J73="","",IF(SUM(IF(ISNUMBER(VALUE(RIGHT($AG73:$CG73,1))),VALUE(RIGHT($AG73:$CG73,1)),0))=$J73,"T","F"))</f>
        <v/>
      </c>
      <c r="AE73" s="831" t="str">
        <f t="array" ref="AE73">IF($J73="","",SUM(IF(LEFT($AG73:$DS73,1)="s",1,0))-SUM(IF(RIGHT(LEFT($AG73:$DS73,2))="-",1,0)))</f>
        <v/>
      </c>
      <c r="AF73" s="816" t="str">
        <f t="array" ref="AF73">IF($J73="","",SUM(IF(LEFT($AG73:$CY73,1)="X",1,0)))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3"/>
      <c r="BC73" s="893"/>
      <c r="BD73" s="893"/>
      <c r="BE73" s="893"/>
      <c r="BF73" s="897"/>
      <c r="BG73" s="897"/>
      <c r="BH73" s="897"/>
      <c r="BI73" s="893"/>
      <c r="BJ73" s="897"/>
      <c r="BK73" s="893"/>
      <c r="BL73" s="897"/>
      <c r="BM73" s="893"/>
      <c r="BN73" s="897"/>
      <c r="BO73" s="897"/>
      <c r="BP73" s="897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</row>
    <row r="74" spans="1:80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65"/>
        <v/>
      </c>
      <c r="M74" s="816" t="str">
        <f t="shared" si="66"/>
        <v/>
      </c>
      <c r="N74" s="816" t="str">
        <f t="shared" si="67"/>
        <v/>
      </c>
      <c r="R74" s="816" t="str">
        <f t="shared" si="68"/>
        <v/>
      </c>
      <c r="T74" s="829" t="str">
        <f t="shared" si="69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IF($J74="","",IF(SUM(IF(ISNUMBER(VALUE(RIGHT($AG74:$CG74,1))),VALUE(RIGHT($AG74:$CG74,1)),0))=$J74,"T","F"))</f>
        <v/>
      </c>
      <c r="AE74" s="831" t="str">
        <f t="array" ref="AE74">IF($J74="","",SUM(IF(LEFT($AG74:$DS74,1)="s",1,0))-SUM(IF(RIGHT(LEFT($AG74:$DS74,2))="-",1,0)))</f>
        <v/>
      </c>
      <c r="AF74" s="816" t="str">
        <f t="array" ref="AF74">IF($J74="","",SUM(IF(LEFT($AG74:$CY74,1)="X",1,0)))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3"/>
      <c r="BC74" s="893"/>
      <c r="BD74" s="893"/>
      <c r="BE74" s="893"/>
      <c r="BF74" s="897"/>
      <c r="BG74" s="897"/>
      <c r="BH74" s="897"/>
      <c r="BI74" s="893"/>
      <c r="BJ74" s="897"/>
      <c r="BK74" s="893"/>
      <c r="BL74" s="897"/>
      <c r="BM74" s="893"/>
      <c r="BN74" s="897"/>
      <c r="BO74" s="897"/>
      <c r="BP74" s="897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</row>
    <row r="75" spans="1:80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65"/>
        <v/>
      </c>
      <c r="M75" s="816" t="str">
        <f t="shared" si="66"/>
        <v/>
      </c>
      <c r="N75" s="816" t="str">
        <f t="shared" si="67"/>
        <v/>
      </c>
      <c r="R75" s="816" t="str">
        <f t="shared" si="68"/>
        <v/>
      </c>
      <c r="T75" s="829" t="str">
        <f t="shared" si="69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IF($J75="","",IF(SUM(IF(ISNUMBER(VALUE(RIGHT($AG75:$CG75,1))),VALUE(RIGHT($AG75:$CG75,1)),0))=$J75,"T","F"))</f>
        <v/>
      </c>
      <c r="AE75" s="831" t="str">
        <f t="array" ref="AE75">IF($J75="","",SUM(IF(LEFT($AG75:$DS75,1)="s",1,0))-SUM(IF(RIGHT(LEFT($AG75:$DS75,2))="-",1,0)))</f>
        <v/>
      </c>
      <c r="AF75" s="816" t="str">
        <f t="array" ref="AF75">IF($J75="","",SUM(IF(LEFT($AG75:$CY75,1)="X",1,0)))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3"/>
      <c r="BC75" s="893"/>
      <c r="BD75" s="893"/>
      <c r="BE75" s="893"/>
      <c r="BF75" s="897"/>
      <c r="BG75" s="897"/>
      <c r="BH75" s="897"/>
      <c r="BI75" s="893"/>
      <c r="BJ75" s="897"/>
      <c r="BK75" s="893"/>
      <c r="BL75" s="897"/>
      <c r="BM75" s="893"/>
      <c r="BN75" s="897"/>
      <c r="BO75" s="897"/>
      <c r="BP75" s="897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</row>
    <row r="76" spans="1:80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65"/>
        <v/>
      </c>
      <c r="M76" s="816" t="str">
        <f t="shared" si="66"/>
        <v/>
      </c>
      <c r="N76" s="816" t="str">
        <f t="shared" si="67"/>
        <v/>
      </c>
      <c r="R76" s="816" t="str">
        <f t="shared" si="68"/>
        <v/>
      </c>
      <c r="T76" s="829" t="str">
        <f t="shared" si="69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IF($J76="","",IF(SUM(IF(ISNUMBER(VALUE(RIGHT($AG76:$CG76,1))),VALUE(RIGHT($AG76:$CG76,1)),0))=$J76,"T","F"))</f>
        <v/>
      </c>
      <c r="AE76" s="831" t="str">
        <f t="array" ref="AE76">IF($J76="","",SUM(IF(LEFT($AG76:$DS76,1)="s",1,0))-SUM(IF(RIGHT(LEFT($AG76:$DS76,2))="-",1,0)))</f>
        <v/>
      </c>
      <c r="AF76" s="816" t="str">
        <f t="array" ref="AF76">IF($J76="","",SUM(IF(LEFT($AG76:$CY76,1)="X",1,0)))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3"/>
      <c r="BC76" s="893"/>
      <c r="BD76" s="893"/>
      <c r="BE76" s="893"/>
      <c r="BF76" s="897"/>
      <c r="BG76" s="897"/>
      <c r="BH76" s="897"/>
      <c r="BI76" s="893"/>
      <c r="BJ76" s="897"/>
      <c r="BK76" s="893"/>
      <c r="BL76" s="897"/>
      <c r="BM76" s="893"/>
      <c r="BN76" s="897"/>
      <c r="BO76" s="897"/>
      <c r="BP76" s="897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</row>
    <row r="77" spans="1:80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65"/>
        <v/>
      </c>
      <c r="M77" s="816" t="str">
        <f t="shared" si="66"/>
        <v/>
      </c>
      <c r="N77" s="816" t="str">
        <f t="shared" si="67"/>
        <v/>
      </c>
      <c r="R77" s="816" t="str">
        <f t="shared" si="68"/>
        <v/>
      </c>
      <c r="T77" s="829" t="str">
        <f t="shared" si="69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IF($J77="","",IF(SUM(IF(ISNUMBER(VALUE(RIGHT($AG77:$CG77,1))),VALUE(RIGHT($AG77:$CG77,1)),0))=$J77,"T","F"))</f>
        <v/>
      </c>
      <c r="AE77" s="831" t="str">
        <f t="array" ref="AE77">IF($J77="","",SUM(IF(LEFT($AG77:$DS77,1)="s",1,0))-SUM(IF(RIGHT(LEFT($AG77:$DS77,2))="-",1,0)))</f>
        <v/>
      </c>
      <c r="AF77" s="816" t="str">
        <f t="array" ref="AF77">IF($J77="","",SUM(IF(LEFT($AG77:$CY77,1)="X",1,0)))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3"/>
      <c r="BC77" s="893"/>
      <c r="BD77" s="893"/>
      <c r="BE77" s="893"/>
      <c r="BF77" s="897"/>
      <c r="BG77" s="897"/>
      <c r="BH77" s="897"/>
      <c r="BI77" s="893"/>
      <c r="BJ77" s="897"/>
      <c r="BK77" s="893"/>
      <c r="BL77" s="897"/>
      <c r="BM77" s="893"/>
      <c r="BN77" s="897"/>
      <c r="BO77" s="897"/>
      <c r="BP77" s="897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</row>
    <row r="78" spans="1:80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65"/>
        <v/>
      </c>
      <c r="M78" s="816" t="str">
        <f t="shared" si="66"/>
        <v/>
      </c>
      <c r="N78" s="816" t="str">
        <f t="shared" si="67"/>
        <v/>
      </c>
      <c r="R78" s="816" t="str">
        <f t="shared" si="68"/>
        <v/>
      </c>
      <c r="T78" s="829" t="str">
        <f t="shared" si="69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IF($J78="","",IF(SUM(IF(ISNUMBER(VALUE(RIGHT($AG78:$CG78,1))),VALUE(RIGHT($AG78:$CG78,1)),0))=$J78,"T","F"))</f>
        <v/>
      </c>
      <c r="AE78" s="831" t="str">
        <f t="array" ref="AE78">IF($J78="","",SUM(IF(LEFT($AG78:$DS78,1)="s",1,0))-SUM(IF(RIGHT(LEFT($AG78:$DS78,2))="-",1,0)))</f>
        <v/>
      </c>
      <c r="AF78" s="816" t="str">
        <f t="array" ref="AF78">IF($J78="","",SUM(IF(LEFT($AG78:$CY78,1)="X",1,0)))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3"/>
      <c r="BC78" s="893"/>
      <c r="BD78" s="893"/>
      <c r="BE78" s="893"/>
      <c r="BF78" s="897"/>
      <c r="BG78" s="897"/>
      <c r="BH78" s="897"/>
      <c r="BI78" s="893"/>
      <c r="BJ78" s="897"/>
      <c r="BK78" s="893"/>
      <c r="BL78" s="897"/>
      <c r="BM78" s="893"/>
      <c r="BN78" s="897"/>
      <c r="BO78" s="897"/>
      <c r="BP78" s="897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</row>
    <row r="79" spans="1:80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5"/>
        <v/>
      </c>
      <c r="M79" s="816" t="str">
        <f t="shared" si="66"/>
        <v/>
      </c>
      <c r="N79" s="816" t="str">
        <f t="shared" si="67"/>
        <v/>
      </c>
      <c r="R79" s="816" t="str">
        <f t="shared" si="68"/>
        <v/>
      </c>
      <c r="T79" s="829" t="str">
        <f t="shared" si="69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IF($J79="","",IF(SUM(IF(ISNUMBER(VALUE(RIGHT($AG79:$CG79,1))),VALUE(RIGHT($AG79:$CG79,1)),0))=$J79,"T","F"))</f>
        <v/>
      </c>
      <c r="AE79" s="831" t="str">
        <f t="array" ref="AE79">IF($J79="","",SUM(IF(LEFT($AG79:$DS79,1)="s",1,0))-SUM(IF(RIGHT(LEFT($AG79:$DS79,2))="-",1,0)))</f>
        <v/>
      </c>
      <c r="AF79" s="816" t="str">
        <f t="array" ref="AF79">IF($J79="","",SUM(IF(LEFT($AG79:$CY79,1)="X",1,0)))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3"/>
      <c r="BC79" s="893"/>
      <c r="BD79" s="893"/>
      <c r="BE79" s="893"/>
      <c r="BF79" s="897"/>
      <c r="BG79" s="897"/>
      <c r="BH79" s="897"/>
      <c r="BI79" s="893"/>
      <c r="BJ79" s="897"/>
      <c r="BK79" s="893"/>
      <c r="BL79" s="897"/>
      <c r="BM79" s="893"/>
      <c r="BN79" s="897"/>
      <c r="BO79" s="897"/>
      <c r="BP79" s="897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</row>
    <row r="80" spans="1:80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5"/>
        <v/>
      </c>
      <c r="M80" s="816" t="str">
        <f t="shared" si="66"/>
        <v/>
      </c>
      <c r="N80" s="816" t="str">
        <f t="shared" si="67"/>
        <v/>
      </c>
      <c r="R80" s="816" t="str">
        <f t="shared" si="68"/>
        <v/>
      </c>
      <c r="T80" s="829" t="str">
        <f t="shared" si="69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IF($J80="","",IF(SUM(IF(ISNUMBER(VALUE(RIGHT($AG80:$CG80,1))),VALUE(RIGHT($AG80:$CG80,1)),0))=$J80,"T","F"))</f>
        <v/>
      </c>
      <c r="AE80" s="831" t="str">
        <f t="array" ref="AE80">IF($J80="","",SUM(IF(LEFT($AG80:$DS80,1)="s",1,0))-SUM(IF(RIGHT(LEFT($AG80:$DS80,2))="-",1,0)))</f>
        <v/>
      </c>
      <c r="AF80" s="816" t="str">
        <f t="array" ref="AF80">IF($J80="","",SUM(IF(LEFT($AG80:$CY80,1)="X",1,0)))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3"/>
      <c r="BC80" s="893"/>
      <c r="BD80" s="893"/>
      <c r="BE80" s="893"/>
      <c r="BF80" s="897"/>
      <c r="BG80" s="897"/>
      <c r="BH80" s="897"/>
      <c r="BI80" s="893"/>
      <c r="BJ80" s="897"/>
      <c r="BK80" s="893"/>
      <c r="BL80" s="897"/>
      <c r="BM80" s="893"/>
      <c r="BN80" s="897"/>
      <c r="BO80" s="897"/>
      <c r="BP80" s="897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</row>
    <row r="81" spans="1:80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5"/>
        <v/>
      </c>
      <c r="M81" s="816" t="str">
        <f t="shared" si="66"/>
        <v/>
      </c>
      <c r="N81" s="816" t="str">
        <f t="shared" si="67"/>
        <v/>
      </c>
      <c r="R81" s="816" t="str">
        <f t="shared" si="68"/>
        <v/>
      </c>
      <c r="T81" s="829" t="str">
        <f t="shared" si="69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IF($J81="","",IF(SUM(IF(ISNUMBER(VALUE(RIGHT($AG81:$CG81,1))),VALUE(RIGHT($AG81:$CG81,1)),0))=$J81,"T","F"))</f>
        <v/>
      </c>
      <c r="AE81" s="831" t="str">
        <f t="array" ref="AE81">IF($J81="","",SUM(IF(LEFT($AG81:$DS81,1)="s",1,0))-SUM(IF(RIGHT(LEFT($AG81:$DS81,2))="-",1,0)))</f>
        <v/>
      </c>
      <c r="AF81" s="816" t="str">
        <f t="array" ref="AF81">IF($J81="","",SUM(IF(LEFT($AG81:$CY81,1)="X",1,0)))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3"/>
      <c r="BC81" s="893"/>
      <c r="BD81" s="893"/>
      <c r="BE81" s="893"/>
      <c r="BF81" s="897"/>
      <c r="BG81" s="897"/>
      <c r="BH81" s="897"/>
      <c r="BI81" s="893"/>
      <c r="BJ81" s="897"/>
      <c r="BK81" s="893"/>
      <c r="BL81" s="897"/>
      <c r="BM81" s="893"/>
      <c r="BN81" s="897"/>
      <c r="BO81" s="897"/>
      <c r="BP81" s="897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</row>
    <row r="82" spans="1:80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5"/>
        <v/>
      </c>
      <c r="M82" s="816" t="str">
        <f t="shared" si="66"/>
        <v/>
      </c>
      <c r="N82" s="816" t="str">
        <f t="shared" si="67"/>
        <v/>
      </c>
      <c r="R82" s="816" t="str">
        <f t="shared" si="68"/>
        <v/>
      </c>
      <c r="T82" s="829" t="str">
        <f t="shared" si="69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IF($J82="","",IF(SUM(IF(ISNUMBER(VALUE(RIGHT($AG82:$CG82,1))),VALUE(RIGHT($AG82:$CG82,1)),0))=$J82,"T","F"))</f>
        <v/>
      </c>
      <c r="AE82" s="831" t="str">
        <f t="array" ref="AE82">IF($J82="","",SUM(IF(LEFT($AG82:$DS82,1)="s",1,0))-SUM(IF(RIGHT(LEFT($AG82:$DS82,2))="-",1,0)))</f>
        <v/>
      </c>
      <c r="AF82" s="816" t="str">
        <f t="array" ref="AF82">IF($J82="","",SUM(IF(LEFT($AG82:$CY82,1)="X",1,0)))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3"/>
      <c r="BC82" s="893"/>
      <c r="BD82" s="893"/>
      <c r="BE82" s="893"/>
      <c r="BF82" s="897"/>
      <c r="BG82" s="897"/>
      <c r="BH82" s="897"/>
      <c r="BI82" s="893"/>
      <c r="BJ82" s="897"/>
      <c r="BK82" s="893"/>
      <c r="BL82" s="897"/>
      <c r="BM82" s="893"/>
      <c r="BN82" s="897"/>
      <c r="BO82" s="897"/>
      <c r="BP82" s="897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</row>
    <row r="83" spans="1:80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5"/>
        <v/>
      </c>
      <c r="M83" s="816" t="str">
        <f t="shared" si="66"/>
        <v/>
      </c>
      <c r="N83" s="816" t="str">
        <f t="shared" si="67"/>
        <v/>
      </c>
      <c r="R83" s="816" t="str">
        <f t="shared" si="68"/>
        <v/>
      </c>
      <c r="T83" s="829" t="str">
        <f t="shared" si="69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IF($J83="","",IF(SUM(IF(ISNUMBER(VALUE(RIGHT($AG83:$CG83,1))),VALUE(RIGHT($AG83:$CG83,1)),0))=$J83,"T","F"))</f>
        <v/>
      </c>
      <c r="AE83" s="831" t="str">
        <f t="array" ref="AE83">IF($J83="","",SUM(IF(LEFT($AG83:$DS83,1)="s",1,0))-SUM(IF(RIGHT(LEFT($AG83:$DS83,2))="-",1,0)))</f>
        <v/>
      </c>
      <c r="AF83" s="816" t="str">
        <f t="array" ref="AF83">IF($J83="","",SUM(IF(LEFT($AG83:$CY83,1)="X",1,0)))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3"/>
      <c r="BC83" s="893"/>
      <c r="BD83" s="893"/>
      <c r="BE83" s="893"/>
      <c r="BF83" s="897"/>
      <c r="BG83" s="897"/>
      <c r="BH83" s="897"/>
      <c r="BI83" s="893"/>
      <c r="BJ83" s="897"/>
      <c r="BK83" s="893"/>
      <c r="BL83" s="897"/>
      <c r="BM83" s="893"/>
      <c r="BN83" s="897"/>
      <c r="BO83" s="897"/>
      <c r="BP83" s="897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</row>
    <row r="84" spans="1:80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5"/>
        <v/>
      </c>
      <c r="M84" s="816" t="str">
        <f t="shared" si="66"/>
        <v/>
      </c>
      <c r="N84" s="816" t="str">
        <f t="shared" si="67"/>
        <v/>
      </c>
      <c r="R84" s="816" t="str">
        <f t="shared" si="68"/>
        <v/>
      </c>
      <c r="T84" s="829" t="str">
        <f t="shared" si="69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IF($J84="","",IF(SUM(IF(ISNUMBER(VALUE(RIGHT($AG84:$CG84,1))),VALUE(RIGHT($AG84:$CG84,1)),0))=$J84,"T","F"))</f>
        <v/>
      </c>
      <c r="AE84" s="831" t="str">
        <f t="array" ref="AE84">IF($J84="","",SUM(IF(LEFT($AG84:$DS84,1)="s",1,0))-SUM(IF(RIGHT(LEFT($AG84:$DS84,2))="-",1,0)))</f>
        <v/>
      </c>
      <c r="AF84" s="816" t="str">
        <f t="array" ref="AF84">IF($J84="","",SUM(IF(LEFT($AG84:$CY84,1)="X",1,0)))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3"/>
      <c r="BC84" s="893"/>
      <c r="BD84" s="893"/>
      <c r="BE84" s="893"/>
      <c r="BF84" s="897"/>
      <c r="BG84" s="897"/>
      <c r="BH84" s="897"/>
      <c r="BI84" s="893"/>
      <c r="BJ84" s="897"/>
      <c r="BK84" s="893"/>
      <c r="BL84" s="897"/>
      <c r="BM84" s="893"/>
      <c r="BN84" s="897"/>
      <c r="BO84" s="897"/>
      <c r="BP84" s="897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</row>
    <row r="85" spans="1:80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787"/>
      <c r="H85" s="833"/>
      <c r="I85" s="833"/>
      <c r="J85" s="833"/>
      <c r="K85" s="833"/>
      <c r="L85" s="816" t="str">
        <f t="shared" si="65"/>
        <v/>
      </c>
      <c r="M85" s="816" t="str">
        <f t="shared" si="66"/>
        <v/>
      </c>
      <c r="N85" s="816" t="str">
        <f t="shared" si="67"/>
        <v/>
      </c>
      <c r="R85" s="816" t="str">
        <f t="shared" si="68"/>
        <v/>
      </c>
      <c r="T85" s="829" t="str">
        <f t="shared" si="69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IF($J85="","",IF(SUM(IF(ISNUMBER(VALUE(RIGHT($AG85:$CG85,1))),VALUE(RIGHT($AG85:$CG85,1)),0))=$J85,"T","F"))</f>
        <v/>
      </c>
      <c r="AE85" s="831" t="str">
        <f t="array" ref="AE85">IF($J85="","",SUM(IF(LEFT($AG85:$DS85,1)="s",1,0))-SUM(IF(RIGHT(LEFT($AG85:$DS85,2))="-",1,0)))</f>
        <v/>
      </c>
      <c r="AF85" s="816" t="str">
        <f t="array" ref="AF85">IF($J85="","",SUM(IF(LEFT($AG85:$CY85,1)="X",1,0)))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3"/>
      <c r="BC85" s="893"/>
      <c r="BD85" s="893"/>
      <c r="BE85" s="893"/>
      <c r="BF85" s="897"/>
      <c r="BG85" s="897"/>
      <c r="BH85" s="897"/>
      <c r="BI85" s="893"/>
      <c r="BJ85" s="897"/>
      <c r="BK85" s="893"/>
      <c r="BL85" s="897"/>
      <c r="BM85" s="893"/>
      <c r="BN85" s="897"/>
      <c r="BO85" s="897"/>
      <c r="BP85" s="897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</row>
    <row r="86" spans="1:80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65"/>
        <v/>
      </c>
      <c r="M86" s="816" t="str">
        <f t="shared" si="66"/>
        <v/>
      </c>
      <c r="N86" s="816" t="str">
        <f t="shared" si="67"/>
        <v/>
      </c>
      <c r="R86" s="816" t="str">
        <f t="shared" si="68"/>
        <v/>
      </c>
      <c r="T86" s="829" t="str">
        <f t="shared" si="69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IF($J86="","",IF(SUM(IF(ISNUMBER(VALUE(RIGHT($AG86:$CG86,1))),VALUE(RIGHT($AG86:$CG86,1)),0))=$J86,"T","F"))</f>
        <v/>
      </c>
      <c r="AE86" s="831" t="str">
        <f t="array" ref="AE86">IF($J86="","",SUM(IF(LEFT($AG86:$DS86,1)="s",1,0))-SUM(IF(RIGHT(LEFT($AG86:$DS86,2))="-",1,0)))</f>
        <v/>
      </c>
      <c r="AF86" s="816" t="str">
        <f t="array" ref="AF86">IF($J86="","",SUM(IF(LEFT($AG86:$CY86,1)="X",1,0)))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3"/>
      <c r="BC86" s="893"/>
      <c r="BD86" s="893"/>
      <c r="BE86" s="893"/>
      <c r="BF86" s="897"/>
      <c r="BG86" s="897"/>
      <c r="BH86" s="897"/>
      <c r="BI86" s="893"/>
      <c r="BJ86" s="897"/>
      <c r="BK86" s="893"/>
      <c r="BL86" s="897"/>
      <c r="BM86" s="893"/>
      <c r="BN86" s="897"/>
      <c r="BO86" s="897"/>
      <c r="BP86" s="897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</row>
    <row r="87" spans="1:80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65"/>
        <v/>
      </c>
      <c r="M87" s="816" t="str">
        <f t="shared" si="66"/>
        <v/>
      </c>
      <c r="N87" s="816" t="str">
        <f t="shared" si="67"/>
        <v/>
      </c>
      <c r="R87" s="816" t="str">
        <f t="shared" si="68"/>
        <v/>
      </c>
      <c r="T87" s="829" t="str">
        <f t="shared" si="69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IF($J87="","",IF(SUM(IF(ISNUMBER(VALUE(RIGHT($AG87:$CG87,1))),VALUE(RIGHT($AG87:$CG87,1)),0))=$J87,"T","F"))</f>
        <v/>
      </c>
      <c r="AE87" s="831" t="str">
        <f t="array" ref="AE87">IF($J87="","",SUM(IF(LEFT($AG87:$DS87,1)="s",1,0))-SUM(IF(RIGHT(LEFT($AG87:$DS87,2))="-",1,0)))</f>
        <v/>
      </c>
      <c r="AF87" s="816" t="str">
        <f t="array" ref="AF87">IF($J87="","",SUM(IF(LEFT($AG87:$CY87,1)="X",1,0)))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3"/>
      <c r="BC87" s="893"/>
      <c r="BD87" s="893"/>
      <c r="BE87" s="893"/>
      <c r="BF87" s="897"/>
      <c r="BG87" s="897"/>
      <c r="BH87" s="897"/>
      <c r="BI87" s="893"/>
      <c r="BJ87" s="897"/>
      <c r="BK87" s="893"/>
      <c r="BL87" s="897"/>
      <c r="BM87" s="893"/>
      <c r="BN87" s="897"/>
      <c r="BO87" s="897"/>
      <c r="BP87" s="897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</row>
    <row r="88" spans="1:80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5"/>
        <v/>
      </c>
      <c r="M88" s="816" t="str">
        <f t="shared" si="66"/>
        <v/>
      </c>
      <c r="N88" s="816" t="str">
        <f t="shared" si="67"/>
        <v/>
      </c>
      <c r="R88" s="816" t="str">
        <f t="shared" si="68"/>
        <v/>
      </c>
      <c r="T88" s="829" t="str">
        <f t="shared" si="69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IF($J88="","",IF(SUM(IF(ISNUMBER(VALUE(RIGHT($AG88:$CG88,1))),VALUE(RIGHT($AG88:$CG88,1)),0))=$J88,"T","F"))</f>
        <v/>
      </c>
      <c r="AE88" s="831" t="str">
        <f t="array" ref="AE88">IF($J88="","",SUM(IF(LEFT($AG88:$DS88,1)="s",1,0))-SUM(IF(RIGHT(LEFT($AG88:$DS88,2))="-",1,0)))</f>
        <v/>
      </c>
      <c r="AF88" s="816" t="str">
        <f t="array" ref="AF88">IF($J88="","",SUM(IF(LEFT($AG88:$CY88,1)="X",1,0)))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3"/>
      <c r="BC88" s="893"/>
      <c r="BD88" s="893"/>
      <c r="BE88" s="893"/>
      <c r="BF88" s="897"/>
      <c r="BG88" s="897"/>
      <c r="BH88" s="897"/>
      <c r="BI88" s="893"/>
      <c r="BJ88" s="897"/>
      <c r="BK88" s="893"/>
      <c r="BL88" s="897"/>
      <c r="BM88" s="893"/>
      <c r="BN88" s="897"/>
      <c r="BO88" s="897"/>
      <c r="BP88" s="897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</row>
    <row r="89" spans="1:80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5"/>
        <v/>
      </c>
      <c r="M89" s="816" t="str">
        <f t="shared" si="66"/>
        <v/>
      </c>
      <c r="N89" s="816" t="str">
        <f t="shared" si="67"/>
        <v/>
      </c>
      <c r="R89" s="816" t="str">
        <f t="shared" si="68"/>
        <v/>
      </c>
      <c r="T89" s="829" t="str">
        <f t="shared" si="69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IF($J89="","",IF(SUM(IF(ISNUMBER(VALUE(RIGHT($AG89:$CG89,1))),VALUE(RIGHT($AG89:$CG89,1)),0))=$J89,"T","F"))</f>
        <v/>
      </c>
      <c r="AE89" s="831" t="str">
        <f t="array" ref="AE89">IF($J89="","",SUM(IF(LEFT($AG89:$DS89,1)="s",1,0))-SUM(IF(RIGHT(LEFT($AG89:$DS89,2))="-",1,0)))</f>
        <v/>
      </c>
      <c r="AF89" s="816" t="str">
        <f t="array" ref="AF89">IF($J89="","",SUM(IF(LEFT($AG89:$CY89,1)="X",1,0)))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3"/>
      <c r="BC89" s="893"/>
      <c r="BD89" s="893"/>
      <c r="BE89" s="893"/>
      <c r="BF89" s="897"/>
      <c r="BG89" s="897"/>
      <c r="BH89" s="897"/>
      <c r="BI89" s="893"/>
      <c r="BJ89" s="897"/>
      <c r="BK89" s="893"/>
      <c r="BL89" s="897"/>
      <c r="BM89" s="893"/>
      <c r="BN89" s="897"/>
      <c r="BO89" s="897"/>
      <c r="BP89" s="897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</row>
    <row r="90" spans="1:80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5"/>
        <v/>
      </c>
      <c r="M90" s="816" t="str">
        <f t="shared" si="66"/>
        <v/>
      </c>
      <c r="N90" s="816" t="str">
        <f t="shared" si="67"/>
        <v/>
      </c>
      <c r="R90" s="816" t="str">
        <f t="shared" si="68"/>
        <v/>
      </c>
      <c r="T90" s="829" t="str">
        <f t="shared" si="69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IF($J90="","",IF(SUM(IF(ISNUMBER(VALUE(RIGHT($AG90:$CG90,1))),VALUE(RIGHT($AG90:$CG90,1)),0))=$J90,"T","F"))</f>
        <v/>
      </c>
      <c r="AE90" s="831" t="str">
        <f t="array" ref="AE90">IF($J90="","",SUM(IF(LEFT($AG90:$DS90,1)="s",1,0))-SUM(IF(RIGHT(LEFT($AG90:$DS90,2))="-",1,0)))</f>
        <v/>
      </c>
      <c r="AF90" s="816" t="str">
        <f t="array" ref="AF90">IF($J90="","",SUM(IF(LEFT($AG90:$CY90,1)="X",1,0)))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3"/>
      <c r="BC90" s="893"/>
      <c r="BD90" s="893"/>
      <c r="BE90" s="893"/>
      <c r="BF90" s="897"/>
      <c r="BG90" s="897"/>
      <c r="BH90" s="897"/>
      <c r="BI90" s="893"/>
      <c r="BJ90" s="897"/>
      <c r="BK90" s="893"/>
      <c r="BL90" s="897"/>
      <c r="BM90" s="893"/>
      <c r="BN90" s="897"/>
      <c r="BO90" s="897"/>
      <c r="BP90" s="897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</row>
    <row r="91" spans="1:80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5"/>
        <v/>
      </c>
      <c r="M91" s="816" t="str">
        <f t="shared" si="66"/>
        <v/>
      </c>
      <c r="N91" s="816" t="str">
        <f t="shared" si="67"/>
        <v/>
      </c>
      <c r="R91" s="816" t="str">
        <f t="shared" si="68"/>
        <v/>
      </c>
      <c r="T91" s="829" t="str">
        <f t="shared" si="69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IF($J91="","",IF(SUM(IF(ISNUMBER(VALUE(RIGHT($AG91:$CG91,1))),VALUE(RIGHT($AG91:$CG91,1)),0))=$J91,"T","F"))</f>
        <v/>
      </c>
      <c r="AE91" s="831" t="str">
        <f t="array" ref="AE91">IF($J91="","",SUM(IF(LEFT($AG91:$DS91,1)="s",1,0))-SUM(IF(RIGHT(LEFT($AG91:$DS91,2))="-",1,0)))</f>
        <v/>
      </c>
      <c r="AF91" s="816" t="str">
        <f t="array" ref="AF91">IF($J91="","",SUM(IF(LEFT($AG91:$CY91,1)="X",1,0)))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3"/>
      <c r="BC91" s="893"/>
      <c r="BD91" s="893"/>
      <c r="BE91" s="893"/>
      <c r="BF91" s="897"/>
      <c r="BG91" s="897"/>
      <c r="BH91" s="897"/>
      <c r="BI91" s="893"/>
      <c r="BJ91" s="897"/>
      <c r="BK91" s="893"/>
      <c r="BL91" s="897"/>
      <c r="BM91" s="893"/>
      <c r="BN91" s="897"/>
      <c r="BO91" s="897"/>
      <c r="BP91" s="897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</row>
    <row r="92" spans="1:80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5"/>
        <v/>
      </c>
      <c r="M92" s="816" t="str">
        <f t="shared" si="66"/>
        <v/>
      </c>
      <c r="N92" s="816" t="str">
        <f t="shared" si="67"/>
        <v/>
      </c>
      <c r="R92" s="816" t="str">
        <f t="shared" si="68"/>
        <v/>
      </c>
      <c r="T92" s="829" t="str">
        <f t="shared" si="69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IF($J92="","",IF(SUM(IF(ISNUMBER(VALUE(RIGHT($AG92:$CG92,1))),VALUE(RIGHT($AG92:$CG92,1)),0))=$J92,"T","F"))</f>
        <v/>
      </c>
      <c r="AE92" s="831" t="str">
        <f t="array" ref="AE92">IF($J92="","",SUM(IF(LEFT($AG92:$DS92,1)="s",1,0))-SUM(IF(RIGHT(LEFT($AG92:$DS92,2))="-",1,0)))</f>
        <v/>
      </c>
      <c r="AF92" s="816" t="str">
        <f t="array" ref="AF92">IF($J92="","",SUM(IF(LEFT($AG92:$CY92,1)="X",1,0)))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3"/>
      <c r="BC92" s="893"/>
      <c r="BD92" s="893"/>
      <c r="BE92" s="893"/>
      <c r="BF92" s="897"/>
      <c r="BG92" s="897"/>
      <c r="BH92" s="897"/>
      <c r="BI92" s="893"/>
      <c r="BJ92" s="897"/>
      <c r="BK92" s="893"/>
      <c r="BL92" s="897"/>
      <c r="BM92" s="893"/>
      <c r="BN92" s="897"/>
      <c r="BO92" s="897"/>
      <c r="BP92" s="897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</row>
    <row r="93" spans="1:80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5"/>
        <v/>
      </c>
      <c r="M93" s="816" t="str">
        <f t="shared" si="66"/>
        <v/>
      </c>
      <c r="N93" s="816" t="str">
        <f t="shared" si="67"/>
        <v/>
      </c>
      <c r="R93" s="816" t="str">
        <f t="shared" si="68"/>
        <v/>
      </c>
      <c r="T93" s="829" t="str">
        <f t="shared" si="69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IF($J93="","",IF(SUM(IF(ISNUMBER(VALUE(RIGHT($AG93:$CG93,1))),VALUE(RIGHT($AG93:$CG93,1)),0))=$J93,"T","F"))</f>
        <v/>
      </c>
      <c r="AE93" s="831" t="str">
        <f t="array" ref="AE93">IF($J93="","",SUM(IF(LEFT($AG93:$DS93,1)="s",1,0))-SUM(IF(RIGHT(LEFT($AG93:$DS93,2))="-",1,0)))</f>
        <v/>
      </c>
      <c r="AF93" s="816" t="str">
        <f t="array" ref="AF93">IF($J93="","",SUM(IF(LEFT($AG93:$CY93,1)="X",1,0)))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3"/>
      <c r="BC93" s="893"/>
      <c r="BD93" s="893"/>
      <c r="BE93" s="893"/>
      <c r="BF93" s="897"/>
      <c r="BG93" s="897"/>
      <c r="BH93" s="897"/>
      <c r="BI93" s="893"/>
      <c r="BJ93" s="897"/>
      <c r="BK93" s="893"/>
      <c r="BL93" s="897"/>
      <c r="BM93" s="893"/>
      <c r="BN93" s="897"/>
      <c r="BO93" s="897"/>
      <c r="BP93" s="897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</row>
    <row r="94" spans="1:80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5"/>
        <v/>
      </c>
      <c r="M94" s="816" t="str">
        <f t="shared" si="66"/>
        <v/>
      </c>
      <c r="N94" s="816" t="str">
        <f t="shared" si="67"/>
        <v/>
      </c>
      <c r="R94" s="816" t="str">
        <f t="shared" si="68"/>
        <v/>
      </c>
      <c r="T94" s="829" t="str">
        <f t="shared" si="69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IF($J94="","",IF(SUM(IF(ISNUMBER(VALUE(RIGHT($AG94:$CG94,1))),VALUE(RIGHT($AG94:$CG94,1)),0))=$J94,"T","F"))</f>
        <v/>
      </c>
      <c r="AE94" s="831" t="str">
        <f t="array" ref="AE94">IF($J94="","",SUM(IF(LEFT($AG94:$DS94,1)="s",1,0))-SUM(IF(RIGHT(LEFT($AG94:$DS94,2))="-",1,0)))</f>
        <v/>
      </c>
      <c r="AF94" s="816" t="str">
        <f t="array" ref="AF94">IF($J94="","",SUM(IF(LEFT($AG94:$CY94,1)="X",1,0)))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3"/>
      <c r="BC94" s="893"/>
      <c r="BD94" s="893"/>
      <c r="BE94" s="893"/>
      <c r="BF94" s="897"/>
      <c r="BG94" s="897"/>
      <c r="BH94" s="897"/>
      <c r="BI94" s="893"/>
      <c r="BJ94" s="897"/>
      <c r="BK94" s="893"/>
      <c r="BL94" s="897"/>
      <c r="BM94" s="893"/>
      <c r="BN94" s="897"/>
      <c r="BO94" s="897"/>
      <c r="BP94" s="897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</row>
    <row r="95" spans="1:80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5"/>
        <v/>
      </c>
      <c r="M95" s="816" t="str">
        <f t="shared" si="66"/>
        <v/>
      </c>
      <c r="N95" s="816" t="str">
        <f t="shared" si="67"/>
        <v/>
      </c>
      <c r="R95" s="816" t="str">
        <f t="shared" si="68"/>
        <v/>
      </c>
      <c r="T95" s="829" t="str">
        <f t="shared" si="69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IF($J95="","",IF(SUM(IF(ISNUMBER(VALUE(RIGHT($AG95:$CG95,1))),VALUE(RIGHT($AG95:$CG95,1)),0))=$J95,"T","F"))</f>
        <v/>
      </c>
      <c r="AE95" s="831" t="str">
        <f t="array" ref="AE95">IF($J95="","",SUM(IF(LEFT($AG95:$DS95,1)="s",1,0))-SUM(IF(RIGHT(LEFT($AG95:$DS95,2))="-",1,0)))</f>
        <v/>
      </c>
      <c r="AF95" s="816" t="str">
        <f t="array" ref="AF95">IF($J95="","",SUM(IF(LEFT($AG95:$CY95,1)="X",1,0)))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3"/>
      <c r="BC95" s="893"/>
      <c r="BD95" s="893"/>
      <c r="BE95" s="893"/>
      <c r="BF95" s="897"/>
      <c r="BG95" s="897"/>
      <c r="BH95" s="897"/>
      <c r="BI95" s="893"/>
      <c r="BJ95" s="897"/>
      <c r="BK95" s="893"/>
      <c r="BL95" s="897"/>
      <c r="BM95" s="893"/>
      <c r="BN95" s="897"/>
      <c r="BO95" s="897"/>
      <c r="BP95" s="897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</row>
    <row r="96" spans="1:80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5"/>
        <v/>
      </c>
      <c r="M96" s="816" t="str">
        <f t="shared" si="66"/>
        <v/>
      </c>
      <c r="N96" s="816" t="str">
        <f t="shared" si="67"/>
        <v/>
      </c>
      <c r="R96" s="816" t="str">
        <f t="shared" si="68"/>
        <v/>
      </c>
      <c r="T96" s="829" t="str">
        <f t="shared" si="69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IF($J96="","",IF(SUM(IF(ISNUMBER(VALUE(RIGHT($AG96:$CG96,1))),VALUE(RIGHT($AG96:$CG96,1)),0))=$J96,"T","F"))</f>
        <v/>
      </c>
      <c r="AE96" s="831" t="str">
        <f t="array" ref="AE96">IF($J96="","",SUM(IF(LEFT($AG96:$DS96,1)="s",1,0))-SUM(IF(RIGHT(LEFT($AG96:$DS96,2))="-",1,0)))</f>
        <v/>
      </c>
      <c r="AF96" s="816" t="str">
        <f t="array" ref="AF96">IF($J96="","",SUM(IF(LEFT($AG96:$CY96,1)="X",1,0)))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3"/>
      <c r="BC96" s="893"/>
      <c r="BD96" s="893"/>
      <c r="BE96" s="893"/>
      <c r="BF96" s="897"/>
      <c r="BG96" s="897"/>
      <c r="BH96" s="897"/>
      <c r="BI96" s="893"/>
      <c r="BJ96" s="897"/>
      <c r="BK96" s="893"/>
      <c r="BL96" s="897"/>
      <c r="BM96" s="893"/>
      <c r="BN96" s="897"/>
      <c r="BO96" s="897"/>
      <c r="BP96" s="897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</row>
    <row r="97" spans="1:80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5"/>
        <v/>
      </c>
      <c r="M97" s="816" t="str">
        <f t="shared" si="66"/>
        <v/>
      </c>
      <c r="N97" s="816" t="str">
        <f t="shared" si="67"/>
        <v/>
      </c>
      <c r="R97" s="816" t="str">
        <f t="shared" si="68"/>
        <v/>
      </c>
      <c r="T97" s="829" t="str">
        <f t="shared" si="69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IF($J97="","",IF(SUM(IF(ISNUMBER(VALUE(RIGHT($AG97:$CG97,1))),VALUE(RIGHT($AG97:$CG97,1)),0))=$J97,"T","F"))</f>
        <v/>
      </c>
      <c r="AE97" s="831" t="str">
        <f t="array" ref="AE97">IF($J97="","",SUM(IF(LEFT($AG97:$DS97,1)="s",1,0))-SUM(IF(RIGHT(LEFT($AG97:$DS97,2))="-",1,0)))</f>
        <v/>
      </c>
      <c r="AF97" s="816" t="str">
        <f t="array" ref="AF97">IF($J97="","",SUM(IF(LEFT($AG97:$CY97,1)="X",1,0)))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3"/>
      <c r="BC97" s="893"/>
      <c r="BD97" s="893"/>
      <c r="BE97" s="893"/>
      <c r="BF97" s="897"/>
      <c r="BG97" s="897"/>
      <c r="BH97" s="897"/>
      <c r="BI97" s="893"/>
      <c r="BJ97" s="897"/>
      <c r="BK97" s="893"/>
      <c r="BL97" s="897"/>
      <c r="BM97" s="893"/>
      <c r="BN97" s="897"/>
      <c r="BO97" s="897"/>
      <c r="BP97" s="897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</row>
    <row r="98" spans="1:80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5"/>
        <v/>
      </c>
      <c r="M98" s="816" t="str">
        <f t="shared" si="66"/>
        <v/>
      </c>
      <c r="N98" s="816" t="str">
        <f t="shared" si="67"/>
        <v/>
      </c>
      <c r="R98" s="816" t="str">
        <f t="shared" si="68"/>
        <v/>
      </c>
      <c r="T98" s="829" t="str">
        <f t="shared" si="69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IF($J98="","",IF(SUM(IF(ISNUMBER(VALUE(RIGHT($AG98:$CG98,1))),VALUE(RIGHT($AG98:$CG98,1)),0))=$J98,"T","F"))</f>
        <v/>
      </c>
      <c r="AE98" s="831" t="str">
        <f t="array" ref="AE98">IF($J98="","",SUM(IF(LEFT($AG98:$DS98,1)="s",1,0))-SUM(IF(RIGHT(LEFT($AG98:$DS98,2))="-",1,0)))</f>
        <v/>
      </c>
      <c r="AF98" s="816" t="str">
        <f t="array" ref="AF98">IF($J98="","",SUM(IF(LEFT($AG98:$CY98,1)="X",1,0)))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3"/>
      <c r="BC98" s="893"/>
      <c r="BD98" s="893"/>
      <c r="BE98" s="893"/>
      <c r="BF98" s="897"/>
      <c r="BG98" s="897"/>
      <c r="BH98" s="897"/>
      <c r="BI98" s="893"/>
      <c r="BJ98" s="897"/>
      <c r="BK98" s="893"/>
      <c r="BL98" s="897"/>
      <c r="BM98" s="893"/>
      <c r="BN98" s="897"/>
      <c r="BO98" s="897"/>
      <c r="BP98" s="897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</row>
    <row r="99" spans="1:80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5"/>
        <v/>
      </c>
      <c r="M99" s="816" t="str">
        <f t="shared" si="66"/>
        <v/>
      </c>
      <c r="N99" s="816" t="str">
        <f t="shared" si="67"/>
        <v/>
      </c>
      <c r="R99" s="816" t="str">
        <f t="shared" si="68"/>
        <v/>
      </c>
      <c r="T99" s="829" t="str">
        <f t="shared" si="69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IF($J99="","",IF(SUM(IF(ISNUMBER(VALUE(RIGHT($AG99:$CG99,1))),VALUE(RIGHT($AG99:$CG99,1)),0))=$J99,"T","F"))</f>
        <v/>
      </c>
      <c r="AE99" s="831" t="str">
        <f t="array" ref="AE99">IF($J99="","",SUM(IF(LEFT($AG99:$DS99,1)="s",1,0))-SUM(IF(RIGHT(LEFT($AG99:$DS99,2))="-",1,0)))</f>
        <v/>
      </c>
      <c r="AF99" s="816" t="str">
        <f t="array" ref="AF99">IF($J99="","",SUM(IF(LEFT($AG99:$CY99,1)="X",1,0)))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3"/>
      <c r="BC99" s="893"/>
      <c r="BD99" s="893"/>
      <c r="BE99" s="893"/>
      <c r="BF99" s="897"/>
      <c r="BG99" s="897"/>
      <c r="BH99" s="897"/>
      <c r="BI99" s="893"/>
      <c r="BJ99" s="897"/>
      <c r="BK99" s="893"/>
      <c r="BL99" s="897"/>
      <c r="BM99" s="893"/>
      <c r="BN99" s="897"/>
      <c r="BO99" s="897"/>
      <c r="BP99" s="897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</row>
    <row r="100" spans="1:80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5"/>
        <v/>
      </c>
      <c r="M100" s="816" t="str">
        <f t="shared" si="66"/>
        <v/>
      </c>
      <c r="N100" s="816" t="str">
        <f t="shared" si="67"/>
        <v/>
      </c>
      <c r="R100" s="816" t="str">
        <f t="shared" si="68"/>
        <v/>
      </c>
      <c r="T100" s="829" t="str">
        <f t="shared" si="69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IF($J100="","",IF(SUM(IF(ISNUMBER(VALUE(RIGHT($AG100:$CG100,1))),VALUE(RIGHT($AG100:$CG100,1)),0))=$J100,"T","F"))</f>
        <v/>
      </c>
      <c r="AE100" s="831" t="str">
        <f t="array" ref="AE100">IF($J100="","",SUM(IF(LEFT($AG100:$DS100,1)="s",1,0))-SUM(IF(RIGHT(LEFT($AG100:$DS100,2))="-",1,0)))</f>
        <v/>
      </c>
      <c r="AF100" s="816" t="str">
        <f t="array" ref="AF100">IF($J100="","",SUM(IF(LEFT($AG100:$CY100,1)="X",1,0)))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3"/>
      <c r="BC100" s="893"/>
      <c r="BD100" s="893"/>
      <c r="BE100" s="893"/>
      <c r="BF100" s="897"/>
      <c r="BG100" s="897"/>
      <c r="BH100" s="897"/>
      <c r="BI100" s="893"/>
      <c r="BJ100" s="897"/>
      <c r="BK100" s="893"/>
      <c r="BL100" s="897"/>
      <c r="BM100" s="893"/>
      <c r="BN100" s="897"/>
      <c r="BO100" s="897"/>
      <c r="BP100" s="897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</row>
    <row r="101" spans="1:80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5"/>
        <v/>
      </c>
      <c r="M101" s="816" t="str">
        <f t="shared" si="66"/>
        <v/>
      </c>
      <c r="N101" s="816" t="str">
        <f t="shared" si="67"/>
        <v/>
      </c>
      <c r="R101" s="816" t="str">
        <f t="shared" si="68"/>
        <v/>
      </c>
      <c r="T101" s="829" t="str">
        <f t="shared" si="69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IF($J101="","",IF(SUM(IF(ISNUMBER(VALUE(RIGHT($AG101:$CG101,1))),VALUE(RIGHT($AG101:$CG101,1)),0))=$J101,"T","F"))</f>
        <v/>
      </c>
      <c r="AE101" s="831" t="str">
        <f t="array" ref="AE101">IF($J101="","",SUM(IF(LEFT($AG101:$DS101,1)="s",1,0))-SUM(IF(RIGHT(LEFT($AG101:$DS101,2))="-",1,0)))</f>
        <v/>
      </c>
      <c r="AF101" s="816" t="str">
        <f t="array" ref="AF101">IF($J101="","",SUM(IF(LEFT($AG101:$CY101,1)="X",1,0)))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3"/>
      <c r="BC101" s="893"/>
      <c r="BD101" s="893"/>
      <c r="BE101" s="893"/>
      <c r="BF101" s="897"/>
      <c r="BG101" s="897"/>
      <c r="BH101" s="897"/>
      <c r="BI101" s="893"/>
      <c r="BJ101" s="897"/>
      <c r="BK101" s="893"/>
      <c r="BL101" s="897"/>
      <c r="BM101" s="893"/>
      <c r="BN101" s="897"/>
      <c r="BO101" s="897"/>
      <c r="BP101" s="897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</row>
    <row r="102" spans="1:80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5"/>
        <v/>
      </c>
      <c r="M102" s="816" t="str">
        <f t="shared" si="66"/>
        <v/>
      </c>
      <c r="N102" s="816" t="str">
        <f t="shared" si="67"/>
        <v/>
      </c>
      <c r="R102" s="816" t="str">
        <f t="shared" si="68"/>
        <v/>
      </c>
      <c r="T102" s="829" t="str">
        <f t="shared" si="69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IF($J102="","",IF(SUM(IF(ISNUMBER(VALUE(RIGHT($AG102:$CG102,1))),VALUE(RIGHT($AG102:$CG102,1)),0))=$J102,"T","F"))</f>
        <v/>
      </c>
      <c r="AE102" s="831" t="str">
        <f t="array" ref="AE102">IF($J102="","",SUM(IF(LEFT($AG102:$DS102,1)="s",1,0))-SUM(IF(RIGHT(LEFT($AG102:$DS102,2))="-",1,0)))</f>
        <v/>
      </c>
      <c r="AF102" s="816" t="str">
        <f t="array" ref="AF102">IF($J102="","",SUM(IF(LEFT($AG102:$CY102,1)="X",1,0)))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3"/>
      <c r="BC102" s="893"/>
      <c r="BD102" s="893"/>
      <c r="BE102" s="893"/>
      <c r="BF102" s="897"/>
      <c r="BG102" s="897"/>
      <c r="BH102" s="897"/>
      <c r="BI102" s="893"/>
      <c r="BJ102" s="897"/>
      <c r="BK102" s="893"/>
      <c r="BL102" s="897"/>
      <c r="BM102" s="893"/>
      <c r="BN102" s="897"/>
      <c r="BO102" s="897"/>
      <c r="BP102" s="897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</row>
    <row r="103" spans="1:80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5"/>
        <v/>
      </c>
      <c r="M103" s="816" t="str">
        <f t="shared" si="66"/>
        <v/>
      </c>
      <c r="N103" s="816" t="str">
        <f t="shared" si="67"/>
        <v/>
      </c>
      <c r="R103" s="816" t="str">
        <f t="shared" si="68"/>
        <v/>
      </c>
      <c r="T103" s="829" t="str">
        <f t="shared" si="69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IF($J103="","",IF(SUM(IF(ISNUMBER(VALUE(RIGHT($AG103:$CG103,1))),VALUE(RIGHT($AG103:$CG103,1)),0))=$J103,"T","F"))</f>
        <v/>
      </c>
      <c r="AE103" s="831" t="str">
        <f t="array" ref="AE103">IF($J103="","",SUM(IF(LEFT($AG103:$DS103,1)="s",1,0))-SUM(IF(RIGHT(LEFT($AG103:$DS103,2))="-",1,0)))</f>
        <v/>
      </c>
      <c r="AF103" s="816" t="str">
        <f t="array" ref="AF103">IF($J103="","",SUM(IF(LEFT($AG103:$CY103,1)="X",1,0)))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3"/>
      <c r="BC103" s="893"/>
      <c r="BD103" s="893"/>
      <c r="BE103" s="893"/>
      <c r="BF103" s="897"/>
      <c r="BG103" s="897"/>
      <c r="BH103" s="897"/>
      <c r="BI103" s="893"/>
      <c r="BJ103" s="897"/>
      <c r="BK103" s="893"/>
      <c r="BL103" s="897"/>
      <c r="BM103" s="893"/>
      <c r="BN103" s="897"/>
      <c r="BO103" s="897"/>
      <c r="BP103" s="897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</row>
    <row r="104" spans="1:80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5"/>
        <v/>
      </c>
      <c r="M104" s="816" t="str">
        <f t="shared" si="66"/>
        <v/>
      </c>
      <c r="N104" s="816" t="str">
        <f t="shared" si="67"/>
        <v/>
      </c>
      <c r="R104" s="816" t="str">
        <f t="shared" si="68"/>
        <v/>
      </c>
      <c r="T104" s="829" t="str">
        <f t="shared" si="69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IF($J104="","",IF(SUM(IF(ISNUMBER(VALUE(RIGHT($AG104:$CG104,1))),VALUE(RIGHT($AG104:$CG104,1)),0))=$J104,"T","F"))</f>
        <v/>
      </c>
      <c r="AE104" s="816" t="str">
        <f t="array" ref="AE104">IF($J104="","",SUM(IF(LEFT($AG104:$DS104,1)="s",1,0))-SUM(IF(RIGHT(LEFT($AG104:$DS104,2))="-",1,0)))</f>
        <v/>
      </c>
      <c r="AF104" s="816" t="str">
        <f t="array" ref="AF104">IF($J104="","",SUM(IF(LEFT($AG104:$CY104,1)="X",1,0)))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3"/>
      <c r="BC104" s="893"/>
      <c r="BD104" s="893"/>
      <c r="BE104" s="893"/>
      <c r="BF104" s="897"/>
      <c r="BG104" s="897"/>
      <c r="BH104" s="897"/>
      <c r="BI104" s="893"/>
      <c r="BJ104" s="897"/>
      <c r="BK104" s="893"/>
      <c r="BL104" s="897"/>
      <c r="BM104" s="893"/>
      <c r="BN104" s="897"/>
      <c r="BO104" s="897"/>
      <c r="BP104" s="897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</row>
    <row r="105" spans="1:80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5"/>
        <v/>
      </c>
      <c r="M105" s="816" t="str">
        <f t="shared" si="66"/>
        <v/>
      </c>
      <c r="N105" s="816" t="str">
        <f t="shared" si="67"/>
        <v/>
      </c>
      <c r="R105" s="816" t="str">
        <f t="shared" si="68"/>
        <v/>
      </c>
      <c r="T105" s="829" t="str">
        <f t="shared" si="69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IF($J105="","",IF(SUM(IF(ISNUMBER(VALUE(RIGHT($AG105:$CG105,1))),VALUE(RIGHT($AG105:$CG105,1)),0))=$J105,"T","F"))</f>
        <v/>
      </c>
      <c r="AE105" s="816" t="str">
        <f t="array" ref="AE105">IF($J105="","",SUM(IF(LEFT($AG105:$DS105,1)="s",1,0))-SUM(IF(RIGHT(LEFT($AG105:$DS105,2))="-",1,0)))</f>
        <v/>
      </c>
      <c r="AF105" s="816" t="str">
        <f t="array" ref="AF105">IF($J105="","",SUM(IF(LEFT($AG105:$CY105,1)="X",1,0)))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3"/>
      <c r="BC105" s="893"/>
      <c r="BD105" s="893"/>
      <c r="BE105" s="893"/>
      <c r="BF105" s="897"/>
      <c r="BG105" s="897"/>
      <c r="BH105" s="897"/>
      <c r="BI105" s="893"/>
      <c r="BJ105" s="897"/>
      <c r="BK105" s="893"/>
      <c r="BL105" s="897"/>
      <c r="BM105" s="893"/>
      <c r="BN105" s="897"/>
      <c r="BO105" s="897"/>
      <c r="BP105" s="897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</row>
    <row r="106" spans="1:80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5"/>
        <v/>
      </c>
      <c r="M106" s="816" t="str">
        <f t="shared" si="66"/>
        <v/>
      </c>
      <c r="N106" s="816" t="str">
        <f t="shared" si="67"/>
        <v/>
      </c>
      <c r="R106" s="816" t="str">
        <f t="shared" si="68"/>
        <v/>
      </c>
      <c r="T106" s="829" t="str">
        <f t="shared" si="69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IF($J106="","",IF(SUM(IF(ISNUMBER(VALUE(RIGHT($AG106:$CG106,1))),VALUE(RIGHT($AG106:$CG106,1)),0))=$J106,"T","F"))</f>
        <v/>
      </c>
      <c r="AE106" s="816" t="str">
        <f t="array" ref="AE106">IF($J106="","",SUM(IF(LEFT($AG106:$DS106,1)="s",1,0))-SUM(IF(RIGHT(LEFT($AG106:$DS106,2))="-",1,0)))</f>
        <v/>
      </c>
      <c r="AF106" s="816" t="str">
        <f t="array" ref="AF106">IF($J106="","",SUM(IF(LEFT($AG106:$CY106,1)="X",1,0)))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3"/>
      <c r="BC106" s="893"/>
      <c r="BD106" s="893"/>
      <c r="BE106" s="893"/>
      <c r="BF106" s="897"/>
      <c r="BG106" s="897"/>
      <c r="BH106" s="897"/>
      <c r="BI106" s="893"/>
      <c r="BJ106" s="897"/>
      <c r="BK106" s="893"/>
      <c r="BL106" s="897"/>
      <c r="BM106" s="893"/>
      <c r="BN106" s="897"/>
      <c r="BO106" s="897"/>
      <c r="BP106" s="897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</row>
    <row r="107" spans="1:80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5"/>
        <v/>
      </c>
      <c r="M107" s="816" t="str">
        <f t="shared" si="66"/>
        <v/>
      </c>
      <c r="N107" s="816" t="str">
        <f t="shared" si="67"/>
        <v/>
      </c>
      <c r="R107" s="816" t="str">
        <f t="shared" si="68"/>
        <v/>
      </c>
      <c r="T107" s="829" t="str">
        <f t="shared" si="69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IF($J107="","",IF(SUM(IF(ISNUMBER(VALUE(RIGHT($AG107:$CG107,1))),VALUE(RIGHT($AG107:$CG107,1)),0))=$J107,"T","F"))</f>
        <v/>
      </c>
      <c r="AE107" s="816" t="str">
        <f t="array" ref="AE107">IF($J107="","",SUM(IF(LEFT($AG107:$DS107,1)="s",1,0))-SUM(IF(RIGHT(LEFT($AG107:$DS107,2))="-",1,0)))</f>
        <v/>
      </c>
      <c r="AF107" s="816" t="str">
        <f t="array" ref="AF107">IF($J107="","",SUM(IF(LEFT($AG107:$CY107,1)="X",1,0)))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3"/>
      <c r="BC107" s="893"/>
      <c r="BD107" s="893"/>
      <c r="BE107" s="893"/>
      <c r="BF107" s="897"/>
      <c r="BG107" s="897"/>
      <c r="BH107" s="897"/>
      <c r="BI107" s="893"/>
      <c r="BJ107" s="897"/>
      <c r="BK107" s="893"/>
      <c r="BL107" s="897"/>
      <c r="BM107" s="893"/>
      <c r="BN107" s="897"/>
      <c r="BO107" s="897"/>
      <c r="BP107" s="897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</row>
    <row r="108" spans="1:80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5"/>
        <v/>
      </c>
      <c r="M108" s="816" t="str">
        <f t="shared" si="66"/>
        <v/>
      </c>
      <c r="N108" s="816" t="str">
        <f t="shared" si="67"/>
        <v/>
      </c>
      <c r="R108" s="816" t="str">
        <f t="shared" si="68"/>
        <v/>
      </c>
      <c r="T108" s="829" t="str">
        <f t="shared" si="69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IF($J108="","",IF(SUM(IF(ISNUMBER(VALUE(RIGHT($AG108:$CG108,1))),VALUE(RIGHT($AG108:$CG108,1)),0))=$J108,"T","F"))</f>
        <v/>
      </c>
      <c r="AE108" s="816" t="str">
        <f t="array" ref="AE108">IF($J108="","",SUM(IF(LEFT($AG108:$DS108,1)="s",1,0))-SUM(IF(RIGHT(LEFT($AG108:$DS108,2))="-",1,0)))</f>
        <v/>
      </c>
      <c r="AF108" s="816" t="str">
        <f t="array" ref="AF108">IF($J108="","",SUM(IF(LEFT($AG108:$CY108,1)="X",1,0)))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3"/>
      <c r="BC108" s="893"/>
      <c r="BD108" s="893"/>
      <c r="BE108" s="893"/>
      <c r="BF108" s="897"/>
      <c r="BG108" s="897"/>
      <c r="BH108" s="897"/>
      <c r="BI108" s="893"/>
      <c r="BJ108" s="897"/>
      <c r="BK108" s="893"/>
      <c r="BL108" s="897"/>
      <c r="BM108" s="893"/>
      <c r="BN108" s="897"/>
      <c r="BO108" s="897"/>
      <c r="BP108" s="897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</row>
    <row r="109" spans="1:80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5"/>
        <v/>
      </c>
      <c r="M109" s="816" t="str">
        <f t="shared" si="66"/>
        <v/>
      </c>
      <c r="N109" s="816" t="str">
        <f t="shared" si="67"/>
        <v/>
      </c>
      <c r="R109" s="816" t="str">
        <f t="shared" si="68"/>
        <v/>
      </c>
      <c r="T109" s="829" t="str">
        <f t="shared" si="69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IF($J109="","",IF(SUM(IF(ISNUMBER(VALUE(RIGHT($AG109:$CG109,1))),VALUE(RIGHT($AG109:$CG109,1)),0))=$J109,"T","F"))</f>
        <v/>
      </c>
      <c r="AE109" s="816" t="str">
        <f t="array" ref="AE109">IF($J109="","",SUM(IF(LEFT($AG109:$DS109,1)="s",1,0))-SUM(IF(RIGHT(LEFT($AG109:$DS109,2))="-",1,0)))</f>
        <v/>
      </c>
      <c r="AF109" s="816" t="str">
        <f t="array" ref="AF109">IF($J109="","",SUM(IF(LEFT($AG109:$CY109,1)="X",1,0)))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3"/>
      <c r="BC109" s="893"/>
      <c r="BD109" s="893"/>
      <c r="BE109" s="893"/>
      <c r="BF109" s="897"/>
      <c r="BG109" s="897"/>
      <c r="BH109" s="897"/>
      <c r="BI109" s="893"/>
      <c r="BJ109" s="897"/>
      <c r="BK109" s="893"/>
      <c r="BL109" s="897"/>
      <c r="BM109" s="893"/>
      <c r="BN109" s="897"/>
      <c r="BO109" s="897"/>
      <c r="BP109" s="897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</row>
    <row r="110" spans="1:80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5"/>
        <v/>
      </c>
      <c r="M110" s="816" t="str">
        <f t="shared" si="66"/>
        <v/>
      </c>
      <c r="N110" s="816" t="str">
        <f t="shared" si="67"/>
        <v/>
      </c>
      <c r="R110" s="816" t="str">
        <f t="shared" si="68"/>
        <v/>
      </c>
      <c r="T110" s="829" t="str">
        <f t="shared" si="69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IF($J110="","",IF(SUM(IF(ISNUMBER(VALUE(RIGHT($AG110:$CG110,1))),VALUE(RIGHT($AG110:$CG110,1)),0))=$J110,"T","F"))</f>
        <v/>
      </c>
      <c r="AE110" s="816" t="str">
        <f t="array" ref="AE110">IF($J110="","",SUM(IF(LEFT($AG110:$DS110,1)="s",1,0))-SUM(IF(RIGHT(LEFT($AG110:$DS110,2))="-",1,0)))</f>
        <v/>
      </c>
      <c r="AF110" s="816" t="str">
        <f t="array" ref="AF110">IF($J110="","",SUM(IF(LEFT($AG110:$CY110,1)="X",1,0)))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3"/>
      <c r="BC110" s="893"/>
      <c r="BD110" s="893"/>
      <c r="BE110" s="893"/>
      <c r="BF110" s="897"/>
      <c r="BG110" s="897"/>
      <c r="BH110" s="897"/>
      <c r="BI110" s="893"/>
      <c r="BJ110" s="897"/>
      <c r="BK110" s="893"/>
      <c r="BL110" s="897"/>
      <c r="BM110" s="893"/>
      <c r="BN110" s="897"/>
      <c r="BO110" s="897"/>
      <c r="BP110" s="897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</row>
    <row r="111" spans="1:80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5"/>
        <v/>
      </c>
      <c r="M111" s="816" t="str">
        <f t="shared" si="66"/>
        <v/>
      </c>
      <c r="N111" s="816" t="str">
        <f t="shared" si="67"/>
        <v/>
      </c>
      <c r="R111" s="816" t="str">
        <f t="shared" si="68"/>
        <v/>
      </c>
      <c r="T111" s="829" t="str">
        <f t="shared" si="69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IF($J111="","",IF(SUM(IF(ISNUMBER(VALUE(RIGHT($AG111:$CG111,1))),VALUE(RIGHT($AG111:$CG111,1)),0))=$J111,"T","F"))</f>
        <v/>
      </c>
      <c r="AE111" s="816" t="str">
        <f t="array" ref="AE111">IF($J111="","",SUM(IF(LEFT($AG111:$DS111,1)="s",1,0))-SUM(IF(RIGHT(LEFT($AG111:$DS111,2))="-",1,0)))</f>
        <v/>
      </c>
      <c r="AF111" s="816" t="str">
        <f t="array" ref="AF111">IF($J111="","",SUM(IF(LEFT($AG111:$CY111,1)="X",1,0)))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3"/>
      <c r="BC111" s="893"/>
      <c r="BD111" s="893"/>
      <c r="BE111" s="893"/>
      <c r="BF111" s="897"/>
      <c r="BG111" s="897"/>
      <c r="BH111" s="897"/>
      <c r="BI111" s="893"/>
      <c r="BJ111" s="897"/>
      <c r="BK111" s="893"/>
      <c r="BL111" s="897"/>
      <c r="BM111" s="893"/>
      <c r="BN111" s="897"/>
      <c r="BO111" s="897"/>
      <c r="BP111" s="897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</row>
    <row r="112" spans="1:80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5"/>
        <v/>
      </c>
      <c r="M112" s="816" t="str">
        <f t="shared" si="66"/>
        <v/>
      </c>
      <c r="N112" s="816" t="str">
        <f t="shared" si="67"/>
        <v/>
      </c>
      <c r="R112" s="816" t="str">
        <f t="shared" si="68"/>
        <v/>
      </c>
      <c r="T112" s="829" t="str">
        <f t="shared" si="69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IF($J112="","",IF(SUM(IF(ISNUMBER(VALUE(RIGHT($AG112:$CG112,1))),VALUE(RIGHT($AG112:$CG112,1)),0))=$J112,"T","F"))</f>
        <v/>
      </c>
      <c r="AE112" s="816" t="str">
        <f t="array" ref="AE112">IF($J112="","",SUM(IF(LEFT($AG112:$DS112,1)="s",1,0))-SUM(IF(RIGHT(LEFT($AG112:$DS112,2))="-",1,0)))</f>
        <v/>
      </c>
      <c r="AF112" s="816" t="str">
        <f t="array" ref="AF112">IF($J112="","",SUM(IF(LEFT($AG112:$CY112,1)="X",1,0)))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3"/>
      <c r="BC112" s="893"/>
      <c r="BD112" s="893"/>
      <c r="BE112" s="893"/>
      <c r="BF112" s="897"/>
      <c r="BG112" s="897"/>
      <c r="BH112" s="897"/>
      <c r="BI112" s="893"/>
      <c r="BJ112" s="897"/>
      <c r="BK112" s="893"/>
      <c r="BL112" s="897"/>
      <c r="BM112" s="893"/>
      <c r="BN112" s="897"/>
      <c r="BO112" s="897"/>
      <c r="BP112" s="897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</row>
    <row r="113" spans="4:80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5"/>
        <v/>
      </c>
      <c r="M113" s="816" t="str">
        <f t="shared" si="66"/>
        <v/>
      </c>
      <c r="N113" s="816" t="str">
        <f t="shared" si="67"/>
        <v/>
      </c>
      <c r="R113" s="816" t="str">
        <f t="shared" si="68"/>
        <v/>
      </c>
      <c r="T113" s="829" t="str">
        <f t="shared" si="69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IF($J113="","",IF(SUM(IF(ISNUMBER(VALUE(RIGHT($AG113:$CG113,1))),VALUE(RIGHT($AG113:$CG113,1)),0))=$J113,"T","F"))</f>
        <v/>
      </c>
      <c r="AE113" s="816" t="str">
        <f t="array" ref="AE113">IF($J113="","",SUM(IF(LEFT($AG113:$DS113,1)="s",1,0))-SUM(IF(RIGHT(LEFT($AG113:$DS113,2))="-",1,0)))</f>
        <v/>
      </c>
      <c r="AF113" s="816" t="str">
        <f t="array" ref="AF113">IF($J113="","",SUM(IF(LEFT($AG113:$CY113,1)="X",1,0)))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3"/>
      <c r="BC113" s="893"/>
      <c r="BD113" s="893"/>
      <c r="BE113" s="893"/>
      <c r="BF113" s="897"/>
      <c r="BG113" s="897"/>
      <c r="BH113" s="897"/>
      <c r="BI113" s="893"/>
      <c r="BJ113" s="897"/>
      <c r="BK113" s="893"/>
      <c r="BL113" s="897"/>
      <c r="BM113" s="893"/>
      <c r="BN113" s="897"/>
      <c r="BO113" s="897"/>
      <c r="BP113" s="897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</row>
    <row r="114" spans="4:80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5"/>
        <v/>
      </c>
      <c r="M114" s="816" t="str">
        <f t="shared" si="66"/>
        <v/>
      </c>
      <c r="N114" s="816" t="str">
        <f t="shared" si="67"/>
        <v/>
      </c>
      <c r="R114" s="816" t="str">
        <f t="shared" si="68"/>
        <v/>
      </c>
      <c r="T114" s="829" t="str">
        <f t="shared" si="69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IF($J114="","",IF(SUM(IF(ISNUMBER(VALUE(RIGHT($AG114:$CG114,1))),VALUE(RIGHT($AG114:$CG114,1)),0))=$J114,"T","F"))</f>
        <v/>
      </c>
      <c r="AE114" s="816" t="str">
        <f t="array" ref="AE114">IF($J114="","",SUM(IF(LEFT($AG114:$DS114,1)="s",1,0))-SUM(IF(RIGHT(LEFT($AG114:$DS114,2))="-",1,0)))</f>
        <v/>
      </c>
      <c r="AF114" s="816" t="str">
        <f t="array" ref="AF114">IF($J114="","",SUM(IF(LEFT($AG114:$CY114,1)="X",1,0)))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3"/>
      <c r="BC114" s="893"/>
      <c r="BD114" s="893"/>
      <c r="BE114" s="893"/>
      <c r="BF114" s="897"/>
      <c r="BG114" s="897"/>
      <c r="BH114" s="897"/>
      <c r="BI114" s="893"/>
      <c r="BJ114" s="897"/>
      <c r="BK114" s="893"/>
      <c r="BL114" s="897"/>
      <c r="BM114" s="893"/>
      <c r="BN114" s="897"/>
      <c r="BO114" s="897"/>
      <c r="BP114" s="897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</row>
    <row r="115" spans="4:80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5"/>
        <v/>
      </c>
      <c r="M115" s="816" t="str">
        <f t="shared" si="66"/>
        <v/>
      </c>
      <c r="N115" s="816" t="str">
        <f t="shared" si="67"/>
        <v/>
      </c>
      <c r="R115" s="816" t="str">
        <f t="shared" si="68"/>
        <v/>
      </c>
      <c r="T115" s="829" t="str">
        <f t="shared" si="69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IF($J115="","",IF(SUM(IF(ISNUMBER(VALUE(RIGHT($AG115:$CG115,1))),VALUE(RIGHT($AG115:$CG115,1)),0))=$J115,"T","F"))</f>
        <v/>
      </c>
      <c r="AE115" s="816" t="str">
        <f t="array" ref="AE115">IF($J115="","",SUM(IF(LEFT($AG115:$DS115,1)="s",1,0))-SUM(IF(RIGHT(LEFT($AG115:$DS115,2))="-",1,0)))</f>
        <v/>
      </c>
      <c r="AF115" s="816" t="str">
        <f t="array" ref="AF115">IF($J115="","",SUM(IF(LEFT($AG115:$CY115,1)="X",1,0)))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3"/>
      <c r="BC115" s="893"/>
      <c r="BD115" s="893"/>
      <c r="BE115" s="893"/>
      <c r="BF115" s="897"/>
      <c r="BG115" s="897"/>
      <c r="BH115" s="897"/>
      <c r="BI115" s="893"/>
      <c r="BJ115" s="897"/>
      <c r="BK115" s="893"/>
      <c r="BL115" s="897"/>
      <c r="BM115" s="893"/>
      <c r="BN115" s="897"/>
      <c r="BO115" s="897"/>
      <c r="BP115" s="897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</row>
    <row r="116" spans="4:80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5"/>
        <v/>
      </c>
      <c r="M116" s="816" t="str">
        <f t="shared" si="66"/>
        <v/>
      </c>
      <c r="N116" s="816" t="str">
        <f t="shared" si="67"/>
        <v/>
      </c>
      <c r="R116" s="816" t="str">
        <f t="shared" si="68"/>
        <v/>
      </c>
      <c r="T116" s="829" t="str">
        <f t="shared" si="69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IF($J116="","",IF(SUM(IF(ISNUMBER(VALUE(RIGHT($AG116:$CG116,1))),VALUE(RIGHT($AG116:$CG116,1)),0))=$J116,"T","F"))</f>
        <v/>
      </c>
      <c r="AE116" s="816" t="str">
        <f t="array" ref="AE116">IF($J116="","",SUM(IF(LEFT($AG116:$DS116,1)="s",1,0))-SUM(IF(RIGHT(LEFT($AG116:$DS116,2))="-",1,0)))</f>
        <v/>
      </c>
      <c r="AF116" s="816" t="str">
        <f t="array" ref="AF116">IF($J116="","",SUM(IF(LEFT($AG116:$CY116,1)="X",1,0)))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3"/>
      <c r="BC116" s="893"/>
      <c r="BD116" s="893"/>
      <c r="BE116" s="893"/>
      <c r="BF116" s="897"/>
      <c r="BG116" s="897"/>
      <c r="BH116" s="897"/>
      <c r="BI116" s="893"/>
      <c r="BJ116" s="897"/>
      <c r="BK116" s="893"/>
      <c r="BL116" s="897"/>
      <c r="BM116" s="893"/>
      <c r="BN116" s="897"/>
      <c r="BO116" s="897"/>
      <c r="BP116" s="897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</row>
    <row r="117" spans="4:80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5"/>
        <v/>
      </c>
      <c r="M117" s="816" t="str">
        <f t="shared" si="66"/>
        <v/>
      </c>
      <c r="N117" s="816" t="str">
        <f t="shared" si="67"/>
        <v/>
      </c>
      <c r="R117" s="816" t="str">
        <f t="shared" si="68"/>
        <v/>
      </c>
      <c r="T117" s="829" t="str">
        <f t="shared" si="69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IF($J117="","",IF(SUM(IF(ISNUMBER(VALUE(RIGHT($AG117:$CG117,1))),VALUE(RIGHT($AG117:$CG117,1)),0))=$J117,"T","F"))</f>
        <v/>
      </c>
      <c r="AE117" s="816" t="str">
        <f t="array" ref="AE117">IF($J117="","",SUM(IF(LEFT($AG117:$DS117,1)="s",1,0))-SUM(IF(RIGHT(LEFT($AG117:$DS117,2))="-",1,0)))</f>
        <v/>
      </c>
      <c r="AF117" s="816" t="str">
        <f t="array" ref="AF117">IF($J117="","",SUM(IF(LEFT($AG117:$CY117,1)="X",1,0)))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3"/>
      <c r="BC117" s="893"/>
      <c r="BD117" s="893"/>
      <c r="BE117" s="893"/>
      <c r="BF117" s="897"/>
      <c r="BG117" s="897"/>
      <c r="BH117" s="897"/>
      <c r="BI117" s="893"/>
      <c r="BJ117" s="897"/>
      <c r="BK117" s="893"/>
      <c r="BL117" s="897"/>
      <c r="BM117" s="893"/>
      <c r="BN117" s="897"/>
      <c r="BO117" s="897"/>
      <c r="BP117" s="897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</row>
    <row r="118" spans="4:80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5"/>
        <v/>
      </c>
      <c r="M118" s="816" t="str">
        <f t="shared" si="66"/>
        <v/>
      </c>
      <c r="N118" s="816" t="str">
        <f t="shared" si="67"/>
        <v/>
      </c>
      <c r="R118" s="816" t="str">
        <f t="shared" si="68"/>
        <v/>
      </c>
      <c r="T118" s="829" t="str">
        <f t="shared" si="69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IF($J118="","",IF(SUM(IF(ISNUMBER(VALUE(RIGHT($AG118:$CG118,1))),VALUE(RIGHT($AG118:$CG118,1)),0))=$J118,"T","F"))</f>
        <v/>
      </c>
      <c r="AE118" s="816" t="str">
        <f t="array" ref="AE118">IF($J118="","",SUM(IF(LEFT($AG118:$DS118,1)="s",1,0))-SUM(IF(RIGHT(LEFT($AG118:$DS118,2))="-",1,0)))</f>
        <v/>
      </c>
      <c r="AF118" s="816" t="str">
        <f t="array" ref="AF118">IF($J118="","",SUM(IF(LEFT($AG118:$CY118,1)="X",1,0)))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3"/>
      <c r="BC118" s="893"/>
      <c r="BD118" s="893"/>
      <c r="BE118" s="893"/>
      <c r="BF118" s="897"/>
      <c r="BG118" s="897"/>
      <c r="BH118" s="897"/>
      <c r="BI118" s="893"/>
      <c r="BJ118" s="897"/>
      <c r="BK118" s="893"/>
      <c r="BL118" s="897"/>
      <c r="BM118" s="893"/>
      <c r="BN118" s="897"/>
      <c r="BO118" s="897"/>
      <c r="BP118" s="897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</row>
    <row r="119" spans="4:80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5"/>
        <v/>
      </c>
      <c r="M119" s="816" t="str">
        <f t="shared" si="66"/>
        <v/>
      </c>
      <c r="N119" s="816" t="str">
        <f t="shared" si="67"/>
        <v/>
      </c>
      <c r="R119" s="816" t="str">
        <f t="shared" si="68"/>
        <v/>
      </c>
      <c r="T119" s="829" t="str">
        <f t="shared" si="69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IF($J119="","",IF(SUM(IF(ISNUMBER(VALUE(RIGHT($AG119:$CG119,1))),VALUE(RIGHT($AG119:$CG119,1)),0))=$J119,"T","F"))</f>
        <v/>
      </c>
      <c r="AE119" s="816" t="str">
        <f t="array" ref="AE119">IF($J119="","",SUM(IF(LEFT($AG119:$DS119,1)="s",1,0))-SUM(IF(RIGHT(LEFT($AG119:$DS119,2))="-",1,0)))</f>
        <v/>
      </c>
      <c r="AF119" s="816" t="str">
        <f t="array" ref="AF119">IF($J119="","",SUM(IF(LEFT($AG119:$CY119,1)="X",1,0)))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3"/>
      <c r="BC119" s="893"/>
      <c r="BD119" s="893"/>
      <c r="BE119" s="893"/>
      <c r="BF119" s="897"/>
      <c r="BG119" s="897"/>
      <c r="BH119" s="897"/>
      <c r="BI119" s="893"/>
      <c r="BJ119" s="897"/>
      <c r="BK119" s="893"/>
      <c r="BL119" s="897"/>
      <c r="BM119" s="893"/>
      <c r="BN119" s="897"/>
      <c r="BO119" s="897"/>
      <c r="BP119" s="897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</row>
    <row r="120" spans="4:80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5"/>
        <v/>
      </c>
      <c r="M120" s="816" t="str">
        <f t="shared" si="66"/>
        <v/>
      </c>
      <c r="N120" s="816" t="str">
        <f t="shared" si="67"/>
        <v/>
      </c>
      <c r="R120" s="816" t="str">
        <f t="shared" si="68"/>
        <v/>
      </c>
      <c r="T120" s="829" t="str">
        <f t="shared" si="69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IF($J120="","",IF(SUM(IF(ISNUMBER(VALUE(RIGHT($AG120:$CG120,1))),VALUE(RIGHT($AG120:$CG120,1)),0))=$J120,"T","F"))</f>
        <v/>
      </c>
      <c r="AE120" s="816" t="str">
        <f t="array" ref="AE120">IF($J120="","",SUM(IF(LEFT($AG120:$DS120,1)="s",1,0))-SUM(IF(RIGHT(LEFT($AG120:$DS120,2))="-",1,0)))</f>
        <v/>
      </c>
      <c r="AF120" s="816" t="str">
        <f t="array" ref="AF120">IF($J120="","",SUM(IF(LEFT($AG120:$CY120,1)="X",1,0)))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3"/>
      <c r="BC120" s="893"/>
      <c r="BD120" s="893"/>
      <c r="BE120" s="893"/>
      <c r="BF120" s="897"/>
      <c r="BG120" s="897"/>
      <c r="BH120" s="897"/>
      <c r="BI120" s="893"/>
      <c r="BJ120" s="897"/>
      <c r="BK120" s="893"/>
      <c r="BL120" s="897"/>
      <c r="BM120" s="893"/>
      <c r="BN120" s="897"/>
      <c r="BO120" s="897"/>
      <c r="BP120" s="897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</row>
    <row r="121" spans="4:80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5"/>
        <v/>
      </c>
      <c r="M121" s="816" t="str">
        <f t="shared" si="66"/>
        <v/>
      </c>
      <c r="N121" s="816" t="str">
        <f t="shared" si="67"/>
        <v/>
      </c>
      <c r="R121" s="816" t="str">
        <f t="shared" si="68"/>
        <v/>
      </c>
      <c r="T121" s="829" t="str">
        <f t="shared" si="69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IF($J121="","",IF(SUM(IF(ISNUMBER(VALUE(RIGHT($AG121:$CG121,1))),VALUE(RIGHT($AG121:$CG121,1)),0))=$J121,"T","F"))</f>
        <v/>
      </c>
      <c r="AE121" s="816" t="str">
        <f t="array" ref="AE121">IF($J121="","",SUM(IF(LEFT($AG121:$DS121,1)="s",1,0))-SUM(IF(RIGHT(LEFT($AG121:$DS121,2))="-",1,0)))</f>
        <v/>
      </c>
      <c r="AF121" s="816" t="str">
        <f t="array" ref="AF121">IF($J121="","",SUM(IF(LEFT($AG121:$CY121,1)="X",1,0)))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3"/>
      <c r="BC121" s="893"/>
      <c r="BD121" s="893"/>
      <c r="BE121" s="893"/>
      <c r="BF121" s="897"/>
      <c r="BG121" s="897"/>
      <c r="BH121" s="897"/>
      <c r="BI121" s="893"/>
      <c r="BJ121" s="897"/>
      <c r="BK121" s="893"/>
      <c r="BL121" s="897"/>
      <c r="BM121" s="893"/>
      <c r="BN121" s="897"/>
      <c r="BO121" s="897"/>
      <c r="BP121" s="897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</row>
    <row r="122" spans="4:80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5"/>
        <v/>
      </c>
      <c r="M122" s="816" t="str">
        <f t="shared" si="66"/>
        <v/>
      </c>
      <c r="N122" s="816" t="str">
        <f t="shared" si="67"/>
        <v/>
      </c>
      <c r="R122" s="816" t="str">
        <f t="shared" si="68"/>
        <v/>
      </c>
      <c r="T122" s="829" t="str">
        <f t="shared" si="69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IF($J122="","",IF(SUM(IF(ISNUMBER(VALUE(RIGHT($AG122:$CG122,1))),VALUE(RIGHT($AG122:$CG122,1)),0))=$J122,"T","F"))</f>
        <v/>
      </c>
      <c r="AE122" s="816" t="str">
        <f t="array" ref="AE122">IF($J122="","",SUM(IF(LEFT($AG122:$DS122,1)="s",1,0))-SUM(IF(RIGHT(LEFT($AG122:$DS122,2))="-",1,0)))</f>
        <v/>
      </c>
      <c r="AF122" s="816" t="str">
        <f t="array" ref="AF122">IF($J122="","",SUM(IF(LEFT($AG122:$CY122,1)="X",1,0)))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3"/>
      <c r="BC122" s="893"/>
      <c r="BD122" s="893"/>
      <c r="BE122" s="893"/>
      <c r="BF122" s="897"/>
      <c r="BG122" s="897"/>
      <c r="BH122" s="897"/>
      <c r="BI122" s="893"/>
      <c r="BJ122" s="897"/>
      <c r="BK122" s="893"/>
      <c r="BL122" s="897"/>
      <c r="BM122" s="893"/>
      <c r="BN122" s="897"/>
      <c r="BO122" s="897"/>
      <c r="BP122" s="897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</row>
    <row r="123" spans="4:80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5"/>
        <v/>
      </c>
      <c r="M123" s="816" t="str">
        <f t="shared" si="66"/>
        <v/>
      </c>
      <c r="N123" s="816" t="str">
        <f t="shared" si="67"/>
        <v/>
      </c>
      <c r="R123" s="816" t="str">
        <f t="shared" si="68"/>
        <v/>
      </c>
      <c r="T123" s="829" t="str">
        <f t="shared" si="69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IF($J123="","",IF(SUM(IF(ISNUMBER(VALUE(RIGHT($AG123:$CG123,1))),VALUE(RIGHT($AG123:$CG123,1)),0))=$J123,"T","F"))</f>
        <v/>
      </c>
      <c r="AE123" s="816" t="str">
        <f t="array" ref="AE123">IF($J123="","",SUM(IF(LEFT($AG123:$DS123,1)="s",1,0))-SUM(IF(RIGHT(LEFT($AG123:$DS123,2))="-",1,0)))</f>
        <v/>
      </c>
      <c r="AF123" s="816" t="str">
        <f t="array" ref="AF123">IF($J123="","",SUM(IF(LEFT($AG123:$CY123,1)="X",1,0)))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3"/>
      <c r="BC123" s="893"/>
      <c r="BD123" s="893"/>
      <c r="BE123" s="893"/>
      <c r="BF123" s="897"/>
      <c r="BG123" s="897"/>
      <c r="BH123" s="897"/>
      <c r="BI123" s="893"/>
      <c r="BJ123" s="897"/>
      <c r="BK123" s="893"/>
      <c r="BL123" s="897"/>
      <c r="BM123" s="893"/>
      <c r="BN123" s="897"/>
      <c r="BO123" s="897"/>
      <c r="BP123" s="897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</row>
    <row r="124" spans="4:80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5"/>
        <v/>
      </c>
      <c r="M124" s="816" t="str">
        <f t="shared" si="66"/>
        <v/>
      </c>
      <c r="N124" s="816" t="str">
        <f t="shared" si="67"/>
        <v/>
      </c>
      <c r="R124" s="816" t="str">
        <f t="shared" si="68"/>
        <v/>
      </c>
      <c r="T124" s="829" t="str">
        <f t="shared" si="69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IF($J124="","",IF(SUM(IF(ISNUMBER(VALUE(RIGHT($AG124:$CG124,1))),VALUE(RIGHT($AG124:$CG124,1)),0))=$J124,"T","F"))</f>
        <v/>
      </c>
      <c r="AE124" s="816" t="str">
        <f t="array" ref="AE124">IF($J124="","",SUM(IF(LEFT($AG124:$DS124,1)="s",1,0))-SUM(IF(RIGHT(LEFT($AG124:$DS124,2))="-",1,0)))</f>
        <v/>
      </c>
      <c r="AF124" s="816" t="str">
        <f t="array" ref="AF124">IF($J124="","",SUM(IF(LEFT($AG124:$CY124,1)="X",1,0)))</f>
        <v/>
      </c>
    </row>
    <row r="125" spans="4:80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5"/>
        <v/>
      </c>
      <c r="M125" s="816" t="str">
        <f t="shared" si="66"/>
        <v/>
      </c>
      <c r="N125" s="816" t="str">
        <f t="shared" si="67"/>
        <v/>
      </c>
      <c r="R125" s="816" t="str">
        <f t="shared" si="68"/>
        <v/>
      </c>
      <c r="T125" s="829" t="str">
        <f t="shared" si="69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IF($J125="","",IF(SUM(IF(ISNUMBER(VALUE(RIGHT($AG125:$CG125,1))),VALUE(RIGHT($AG125:$CG125,1)),0))=$J125,"T","F"))</f>
        <v/>
      </c>
      <c r="AE125" s="816" t="str">
        <f t="array" ref="AE125">IF($J125="","",SUM(IF(LEFT($AG125:$DS125,1)="s",1,0))-SUM(IF(RIGHT(LEFT($AG125:$DS125,2))="-",1,0)))</f>
        <v/>
      </c>
      <c r="AF125" s="816" t="str">
        <f t="array" ref="AF125">IF($J125="","",SUM(IF(LEFT($AG125:$CY125,1)="X",1,0)))</f>
        <v/>
      </c>
    </row>
    <row r="126" spans="4:80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5"/>
        <v/>
      </c>
      <c r="M126" s="816" t="str">
        <f t="shared" si="66"/>
        <v/>
      </c>
      <c r="N126" s="816" t="str">
        <f t="shared" si="67"/>
        <v/>
      </c>
      <c r="R126" s="816" t="str">
        <f t="shared" si="68"/>
        <v/>
      </c>
      <c r="T126" s="829" t="str">
        <f t="shared" si="69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IF($J126="","",IF(SUM(IF(ISNUMBER(VALUE(RIGHT($AG126:$CG126,1))),VALUE(RIGHT($AG126:$CG126,1)),0))=$J126,"T","F"))</f>
        <v/>
      </c>
      <c r="AE126" s="816" t="str">
        <f t="array" ref="AE126">IF($J126="","",SUM(IF(LEFT($AG126:$DS126,1)="s",1,0))-SUM(IF(RIGHT(LEFT($AG126:$DS126,2))="-",1,0)))</f>
        <v/>
      </c>
      <c r="AF126" s="816" t="str">
        <f t="array" ref="AF126">IF($J126="","",SUM(IF(LEFT($AG126:$CY126,1)="X",1,0)))</f>
        <v/>
      </c>
    </row>
    <row r="127" spans="4:80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5"/>
        <v/>
      </c>
      <c r="M127" s="816" t="str">
        <f t="shared" si="66"/>
        <v/>
      </c>
      <c r="N127" s="816" t="str">
        <f t="shared" si="67"/>
        <v/>
      </c>
      <c r="R127" s="816" t="str">
        <f t="shared" si="68"/>
        <v/>
      </c>
      <c r="T127" s="829" t="str">
        <f t="shared" si="69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IF($J127="","",IF(SUM(IF(ISNUMBER(VALUE(RIGHT($AG127:$CG127,1))),VALUE(RIGHT($AG127:$CG127,1)),0))=$J127,"T","F"))</f>
        <v/>
      </c>
      <c r="AE127" s="816" t="str">
        <f t="array" ref="AE127">IF($J127="","",SUM(IF(LEFT($AG127:$DS127,1)="s",1,0))-SUM(IF(RIGHT(LEFT($AG127:$DS127,2))="-",1,0)))</f>
        <v/>
      </c>
      <c r="AF127" s="816" t="str">
        <f t="array" ref="AF127">IF($J127="","",SUM(IF(LEFT($AG127:$CY127,1)="X",1,0)))</f>
        <v/>
      </c>
    </row>
    <row r="128" spans="4:80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5"/>
        <v/>
      </c>
      <c r="M128" s="816" t="str">
        <f t="shared" si="66"/>
        <v/>
      </c>
      <c r="N128" s="816" t="str">
        <f t="shared" si="67"/>
        <v/>
      </c>
      <c r="R128" s="816" t="str">
        <f t="shared" si="68"/>
        <v/>
      </c>
      <c r="T128" s="829" t="str">
        <f t="shared" si="69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IF($J128="","",IF(SUM(IF(ISNUMBER(VALUE(RIGHT($AG128:$CG128,1))),VALUE(RIGHT($AG128:$CG128,1)),0))=$J128,"T","F"))</f>
        <v/>
      </c>
      <c r="AE128" s="816" t="str">
        <f t="array" ref="AE128">IF($J128="","",SUM(IF(LEFT($AG128:$DS128,1)="s",1,0))-SUM(IF(RIGHT(LEFT($AG128:$DS128,2))="-",1,0)))</f>
        <v/>
      </c>
      <c r="AF128" s="816" t="str">
        <f t="array" ref="AF128">IF($J128="","",SUM(IF(LEFT($AG128:$CY128,1)="X",1,0)))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5"/>
        <v/>
      </c>
      <c r="M129" s="816" t="str">
        <f t="shared" si="66"/>
        <v/>
      </c>
      <c r="N129" s="816" t="str">
        <f t="shared" si="67"/>
        <v/>
      </c>
      <c r="R129" s="816" t="str">
        <f t="shared" si="68"/>
        <v/>
      </c>
      <c r="T129" s="829" t="str">
        <f t="shared" si="69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IF($J129="","",IF(SUM(IF(ISNUMBER(VALUE(RIGHT($AG129:$CG129,1))),VALUE(RIGHT($AG129:$CG129,1)),0))=$J129,"T","F"))</f>
        <v/>
      </c>
      <c r="AE129" s="816" t="str">
        <f t="array" ref="AE129">IF($J129="","",SUM(IF(LEFT($AG129:$DS129,1)="s",1,0))-SUM(IF(RIGHT(LEFT($AG129:$DS129,2))="-",1,0)))</f>
        <v/>
      </c>
      <c r="AF129" s="816" t="str">
        <f t="array" ref="AF129">IF($J129="","",SUM(IF(LEFT($AG129:$CY129,1)="X",1,0)))</f>
        <v/>
      </c>
    </row>
    <row r="130" spans="4:32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</sheetData>
  <autoFilter ref="A22:DE76"/>
  <mergeCells count="3">
    <mergeCell ref="W19:X19"/>
    <mergeCell ref="Y19:Z19"/>
    <mergeCell ref="AA19:AB19"/>
  </mergeCells>
  <phoneticPr fontId="21" type="noConversion"/>
  <conditionalFormatting sqref="AD23:AD306">
    <cfRule type="cellIs" dxfId="640" priority="58" operator="equal">
      <formula>"T"</formula>
    </cfRule>
  </conditionalFormatting>
  <conditionalFormatting sqref="N23:N306">
    <cfRule type="cellIs" dxfId="639" priority="65" stopIfTrue="1" operator="equal">
      <formula>"U"</formula>
    </cfRule>
    <cfRule type="cellIs" dxfId="638" priority="66" stopIfTrue="1" operator="equal">
      <formula>"O"</formula>
    </cfRule>
  </conditionalFormatting>
  <conditionalFormatting sqref="L23:L306">
    <cfRule type="cellIs" dxfId="637" priority="63" stopIfTrue="1" operator="equal">
      <formula>"W"</formula>
    </cfRule>
    <cfRule type="cellIs" dxfId="636" priority="64" stopIfTrue="1" operator="equal">
      <formula>"D"</formula>
    </cfRule>
  </conditionalFormatting>
  <conditionalFormatting sqref="AF23:AF306">
    <cfRule type="cellIs" dxfId="635" priority="61" stopIfTrue="1" operator="notEqual">
      <formula>11</formula>
    </cfRule>
    <cfRule type="cellIs" dxfId="634" priority="62" stopIfTrue="1" operator="between">
      <formula>0</formula>
      <formula>20</formula>
    </cfRule>
  </conditionalFormatting>
  <conditionalFormatting sqref="AE23:AE306">
    <cfRule type="cellIs" dxfId="633" priority="59" stopIfTrue="1" operator="notEqual">
      <formula>0</formula>
    </cfRule>
    <cfRule type="cellIs" dxfId="632" priority="60" stopIfTrue="1" operator="between">
      <formula>0</formula>
      <formula>20</formula>
    </cfRule>
  </conditionalFormatting>
  <conditionalFormatting sqref="CD19:CU19">
    <cfRule type="expression" dxfId="631" priority="54">
      <formula>CD19="G"</formula>
    </cfRule>
    <cfRule type="expression" dxfId="630" priority="55">
      <formula>CD19="M"</formula>
    </cfRule>
    <cfRule type="expression" dxfId="629" priority="56">
      <formula>CD19="D"</formula>
    </cfRule>
    <cfRule type="expression" dxfId="628" priority="57">
      <formula>CD19="A"</formula>
    </cfRule>
  </conditionalFormatting>
  <conditionalFormatting sqref="AK19:BM19 BO19:CC19">
    <cfRule type="expression" dxfId="627" priority="50">
      <formula>AK19="G"</formula>
    </cfRule>
    <cfRule type="expression" dxfId="626" priority="51">
      <formula>OR(AK19="M",AK19="CM",AK19="LM",AK19="RM",AK19="DM",AK19="AM")</formula>
    </cfRule>
    <cfRule type="expression" dxfId="625" priority="52">
      <formula>OR(AK19="D",AK19="CB",AK19="LB",AK19="RB")</formula>
    </cfRule>
    <cfRule type="expression" dxfId="624" priority="53">
      <formula>OR(AK19="A",AK19="CF",AK19="SS",AK19="ST",AK19="RW",AK19="LW")</formula>
    </cfRule>
  </conditionalFormatting>
  <conditionalFormatting sqref="BO23:BO29 BN30:BO37 BQ23:BT66 BH23:BM37 BP23:BP37 BH67:BM69 BP67:BP69 BH38:BP66 AG23:BG69">
    <cfRule type="expression" dxfId="623" priority="48">
      <formula>IF(ISNUMBER(VALUE(RIGHT(AG23,1))),1,0)</formula>
    </cfRule>
  </conditionalFormatting>
  <conditionalFormatting sqref="BV16:CB16 AG16:BQ16">
    <cfRule type="top10" dxfId="622" priority="67" stopIfTrue="1" rank="5"/>
  </conditionalFormatting>
  <conditionalFormatting sqref="BV15:CB15 AG15:BQ15">
    <cfRule type="top10" dxfId="621" priority="68" rank="11"/>
  </conditionalFormatting>
  <conditionalFormatting sqref="BV17:CB17 AG17:BQ17">
    <cfRule type="top10" dxfId="620" priority="69" stopIfTrue="1" rank="5"/>
  </conditionalFormatting>
  <conditionalFormatting sqref="BV14:CB14 AG14:BQ14">
    <cfRule type="top10" dxfId="619" priority="70" rank="11"/>
  </conditionalFormatting>
  <conditionalFormatting sqref="AV67:BG67">
    <cfRule type="expression" dxfId="618" priority="47">
      <formula>IF(ISNUMBER(VALUE(RIGHT(AV67,1))),1,0)</formula>
    </cfRule>
  </conditionalFormatting>
  <conditionalFormatting sqref="AG19:BM19 BP19">
    <cfRule type="cellIs" dxfId="617" priority="45" operator="equal">
      <formula>"M"</formula>
    </cfRule>
  </conditionalFormatting>
  <conditionalFormatting sqref="AG19:BM19 BP19">
    <cfRule type="cellIs" dxfId="616" priority="44" operator="equal">
      <formula>"D"</formula>
    </cfRule>
  </conditionalFormatting>
  <conditionalFormatting sqref="AG19:BM19 BP19">
    <cfRule type="cellIs" dxfId="615" priority="42" operator="equal">
      <formula>"G"</formula>
    </cfRule>
    <cfRule type="cellIs" dxfId="614" priority="43" operator="equal">
      <formula>"A"</formula>
    </cfRule>
  </conditionalFormatting>
  <conditionalFormatting sqref="AG19:BM19 BP19">
    <cfRule type="containsText" dxfId="613" priority="39" operator="containsText" text="FW">
      <formula>NOT(ISERROR(SEARCH("FW",AG19)))</formula>
    </cfRule>
    <cfRule type="containsText" dxfId="612" priority="40" operator="containsText" text="MF">
      <formula>NOT(ISERROR(SEARCH("MF",AG19)))</formula>
    </cfRule>
    <cfRule type="containsText" dxfId="611" priority="41" operator="containsText" text="DF">
      <formula>NOT(ISERROR(SEARCH("DF",AG19)))</formula>
    </cfRule>
  </conditionalFormatting>
  <dataValidations disablePrompts="1" count="2">
    <dataValidation type="list" errorStyle="information" allowBlank="1" showInputMessage="1" showErrorMessage="1" errorTitle="Error" error="Invalid League Code" sqref="T1:AC1">
      <formula1>$I23:$I238</formula1>
    </dataValidation>
    <dataValidation allowBlank="1" showInputMessage="1" showErrorMessage="1" errorTitle="Invalid Code" error="Invalid Code" sqref="K2"/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DR236"/>
  <sheetViews>
    <sheetView zoomScale="90" zoomScaleNormal="90" workbookViewId="0">
      <pane xSplit="32" ySplit="22" topLeftCell="AG55" activePane="bottomRight" state="frozen"/>
      <selection activeCell="AX21" sqref="AX21"/>
      <selection pane="topRight" activeCell="AX21" sqref="AX21"/>
      <selection pane="bottomLeft" activeCell="AX21" sqref="AX21"/>
      <selection pane="bottomRight" activeCell="AB66" sqref="AB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40" width="3.75" style="230" customWidth="1"/>
    <col min="41" max="41" width="3.75" customWidth="1"/>
    <col min="42" max="43" width="3.75" style="230" customWidth="1"/>
    <col min="44" max="44" width="3.75" bestFit="1" customWidth="1"/>
    <col min="45" max="47" width="3.75" style="230" customWidth="1"/>
    <col min="48" max="49" width="3.75" bestFit="1" customWidth="1"/>
    <col min="50" max="55" width="3.75" style="230" customWidth="1"/>
    <col min="56" max="56" width="3.75" customWidth="1"/>
    <col min="57" max="61" width="3.75" style="230" customWidth="1"/>
    <col min="62" max="62" width="3.75" bestFit="1" customWidth="1"/>
    <col min="63" max="63" width="3.75" style="230" customWidth="1"/>
    <col min="64" max="64" width="3.75" customWidth="1"/>
    <col min="65" max="66" width="3.75" style="230" customWidth="1"/>
    <col min="67" max="67" width="3.75" bestFit="1" customWidth="1"/>
    <col min="68" max="73" width="3.75" style="230" customWidth="1"/>
    <col min="74" max="74" width="3.75" customWidth="1"/>
    <col min="75" max="103" width="3.75" style="230" customWidth="1"/>
    <col min="104" max="16384" width="5.75" style="230"/>
  </cols>
  <sheetData>
    <row r="1" spans="1:91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J1" s="814" t="e">
        <f>#REF!</f>
        <v>#REF!</v>
      </c>
      <c r="AK1" s="814"/>
      <c r="AL1" s="814" t="e">
        <f>#REF!</f>
        <v>#REF!</v>
      </c>
      <c r="AM1" s="814" t="e">
        <f>#REF!</f>
        <v>#REF!</v>
      </c>
      <c r="AN1" s="814" t="str">
        <f>AG20</f>
        <v>Keiki Shimizu</v>
      </c>
      <c r="AP1" s="814" t="str">
        <f>AI20</f>
        <v>Seung-Ri Park</v>
      </c>
      <c r="AQ1" s="814" t="str">
        <f>AK20</f>
        <v>Tetsuya Funatsu</v>
      </c>
      <c r="AS1" s="814" t="e">
        <f>#REF!</f>
        <v>#REF!</v>
      </c>
      <c r="AT1" s="814"/>
      <c r="AU1" s="814" t="str">
        <f>AM20</f>
        <v>Shusuke Tsubouchi</v>
      </c>
      <c r="AX1" s="814" t="str">
        <f>AP20</f>
        <v>Masato FUJIWARA</v>
      </c>
      <c r="AY1" s="814" t="str">
        <f>BK20</f>
        <v>Shohei Okada</v>
      </c>
      <c r="AZ1" s="814" t="str">
        <f>AR20</f>
        <v>Yuko Takase</v>
      </c>
      <c r="BA1" s="814" t="str">
        <f>AS20</f>
        <v>Toshiki Nakamura</v>
      </c>
      <c r="BB1" s="814" t="str">
        <f>AV20</f>
        <v>Tatsuki Kobayashi</v>
      </c>
      <c r="BC1" s="814"/>
      <c r="BE1" s="814"/>
      <c r="BF1" s="814"/>
      <c r="BG1" s="814"/>
      <c r="BH1" s="814"/>
      <c r="BI1" s="814"/>
      <c r="BK1" s="814" t="str">
        <f>BR20</f>
        <v>Junki Sato</v>
      </c>
      <c r="BM1" s="814" t="str">
        <f>BG20</f>
        <v>Ryunosuke HAYASAKA</v>
      </c>
      <c r="BN1" s="814"/>
      <c r="BP1" s="814"/>
      <c r="BQ1" s="814" t="e">
        <f>#REF!</f>
        <v>#REF!</v>
      </c>
      <c r="BR1" s="814" t="str">
        <f>BJ20</f>
        <v>Masatoshi Ishida</v>
      </c>
      <c r="BS1" s="814" t="e">
        <f>#REF!</f>
        <v>#REF!</v>
      </c>
      <c r="BT1" s="814"/>
      <c r="BU1" s="814" t="e">
        <f>#REF!</f>
        <v>#REF!</v>
      </c>
      <c r="BW1" s="814"/>
      <c r="BX1" s="814"/>
      <c r="BY1" s="814"/>
      <c r="BZ1" s="814" t="str">
        <f>BP20</f>
        <v>Kohei Morita</v>
      </c>
      <c r="CA1" s="814">
        <f t="shared" ref="CA1:CF1" si="0">CA20</f>
        <v>0</v>
      </c>
      <c r="CB1" s="814">
        <f t="shared" si="0"/>
        <v>0</v>
      </c>
      <c r="CC1" s="814">
        <f t="shared" si="0"/>
        <v>0</v>
      </c>
      <c r="CD1" s="814">
        <f t="shared" si="0"/>
        <v>0</v>
      </c>
      <c r="CE1" s="814">
        <f t="shared" si="0"/>
        <v>0</v>
      </c>
      <c r="CF1" s="814">
        <f t="shared" si="0"/>
        <v>0</v>
      </c>
      <c r="CG1" s="814">
        <f t="shared" ref="CG1:CM1" si="1">CG20</f>
        <v>0</v>
      </c>
      <c r="CH1" s="814">
        <f t="shared" si="1"/>
        <v>0</v>
      </c>
      <c r="CI1" s="814">
        <f t="shared" si="1"/>
        <v>0</v>
      </c>
      <c r="CJ1" s="814">
        <f t="shared" si="1"/>
        <v>0</v>
      </c>
      <c r="CK1" s="814">
        <f t="shared" si="1"/>
        <v>0</v>
      </c>
      <c r="CL1" s="814">
        <f t="shared" si="1"/>
        <v>0</v>
      </c>
      <c r="CM1" s="814">
        <f t="shared" si="1"/>
        <v>0</v>
      </c>
    </row>
    <row r="2" spans="1:91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SUM(IF(L$23:L$238="",0,1)*IF(ISBLANK($T$1),1,IF($I$23:$I$238=$T$1,1,0)))</f>
        <v>44</v>
      </c>
      <c r="AG2" s="874">
        <f t="array" ref="AG2">SUM(IF(ISBLANK(AG$23:AG$238),0,IF(AG$23:AG$238="susp",0,1))*IF(ISBLANK($T$1),1,IF($I$23:$I$238=$T$1,1,0)))</f>
        <v>43</v>
      </c>
      <c r="AH2" s="874">
        <f t="array" ref="AH2">SUM(IF(ISBLANK(AH$23:AH$238),0,IF(AH$23:AH$238="susp",0,1))*IF(ISBLANK($T$1),1,IF($I$23:$I$238=$T$1,1,0)))</f>
        <v>42</v>
      </c>
      <c r="AI2" s="874">
        <f t="array" ref="AI2">SUM(IF(ISBLANK(AI$23:AI$238),0,IF(AI$23:AI$238="susp",0,1))*IF(ISBLANK($T$1),1,IF($I$23:$I$238=$T$1,1,0)))</f>
        <v>42</v>
      </c>
      <c r="AJ2" s="874">
        <f t="array" ref="AJ2">SUM(IF(ISBLANK(AJ$23:AJ$238),0,IF(AJ$23:AJ$238="susp",0,1))*IF(ISBLANK($T$1),1,IF($I$23:$I$238=$T$1,1,0)))</f>
        <v>43</v>
      </c>
      <c r="AL2" s="874">
        <f t="array" ref="AL2">SUM(IF(ISBLANK(AL$23:AL$238),0,IF(AL$23:AL$238="susp",0,1))*IF(ISBLANK($T$1),1,IF($I$23:$I$238=$T$1,1,0)))</f>
        <v>43</v>
      </c>
      <c r="AM2" s="874">
        <f t="array" ref="AM2">SUM(IF(ISBLANK(AM$23:AM$238),0,IF(AM$23:AM$238="susp",0,1))*IF(ISBLANK($T$1),1,IF($I$23:$I$238=$T$1,1,0)))</f>
        <v>44</v>
      </c>
      <c r="AN2" s="874">
        <f t="array" ref="AN2">SUM(IF(ISBLANK(AN$23:AN$238),0,IF(AN$23:AN$238="susp",0,1))*IF(ISBLANK($T$1),1,IF($I$23:$I$238=$T$1,1,0)))</f>
        <v>44</v>
      </c>
      <c r="AP2" s="874">
        <f t="array" ref="AP2">SUM(IF(ISBLANK(AP$23:AP$238),0,IF(AP$23:AP$238="susp",0,1))*IF(ISBLANK($T$1),1,IF($I$23:$I$238=$T$1,1,0)))</f>
        <v>42</v>
      </c>
      <c r="AQ2" s="874">
        <f t="array" ref="AQ2">SUM(IF(ISBLANK(AQ$23:AQ$238),0,IF(AQ$23:AQ$238="susp",0,1))*IF(ISBLANK($T$1),1,IF($I$23:$I$238=$T$1,1,0)))</f>
        <v>44</v>
      </c>
      <c r="AS2" s="874">
        <f t="array" ref="AS2">SUM(IF(ISBLANK(AS$23:AS$238),0,IF(AS$23:AS$238="susp",0,1))*IF(ISBLANK($T$1),1,IF($I$23:$I$238=$T$1,1,0)))</f>
        <v>42</v>
      </c>
      <c r="AU2" s="874">
        <f t="array" ref="AU2">SUM(IF(ISBLANK(AU$23:AU$238),0,IF(AU$23:AU$238="susp",0,1))*IF(ISBLANK($T$1),1,IF($I$23:$I$238=$T$1,1,0)))</f>
        <v>19</v>
      </c>
      <c r="AX2" s="874">
        <f t="array" ref="AX2">SUM(IF(ISBLANK(AX$23:AX$238),0,IF(AX$23:AX$238="susp",0,1))*IF(ISBLANK($T$1),1,IF($I$23:$I$238=$T$1,1,0)))</f>
        <v>43</v>
      </c>
      <c r="AY2" s="874">
        <f t="array" ref="AY2">SUM(IF(ISBLANK(AY$23:AY$238),0,IF(AY$23:AY$238="susp",0,1))*IF(ISBLANK($T$1),1,IF($I$23:$I$238=$T$1,1,0)))</f>
        <v>44</v>
      </c>
      <c r="AZ2" s="874">
        <f t="array" ref="AZ2">SUM(IF(ISBLANK(AZ$23:AZ$238),0,IF(AZ$23:AZ$238="susp",0,1))*IF(ISBLANK($T$1),1,IF($I$23:$I$238=$T$1,1,0)))</f>
        <v>43</v>
      </c>
      <c r="BA2" s="874">
        <f t="array" ref="BA2">SUM(IF(ISBLANK(BA$23:BA$238),0,IF(BA$23:BA$238="susp",0,1))*IF(ISBLANK($T$1),1,IF($I$23:$I$238=$T$1,1,0)))</f>
        <v>43</v>
      </c>
      <c r="BB2" s="874">
        <f t="array" ref="BB2">SUM(IF(ISBLANK(BB$26:BB$238),0,IF(BB$26:BB$238="susp",0,1))*IF(ISBLANK($T$1),1,IF($I$23:$I$238=$T$1,1,0)))</f>
        <v>40</v>
      </c>
      <c r="BK2" s="874">
        <f t="array" ref="BK2">SUM(IF(ISBLANK(BK$23:BK$238),0,IF(BK$23:BK$238="susp",0,1))*IF(ISBLANK($T$1),1,IF($I$23:$I$238=$T$1,1,0)))</f>
        <v>44</v>
      </c>
      <c r="BM2" s="874">
        <f t="array" ref="BM2">SUM(IF(ISBLANK(BM$23:BM$238),0,IF(BM$23:BM$238="susp",0,1))*IF(ISBLANK($T$1),1,IF($I$23:$I$238=$T$1,1,0)))</f>
        <v>34</v>
      </c>
      <c r="BQ2" s="874">
        <f t="array" ref="BQ2">SUM(IF(ISBLANK(BQ$69:BQ$238),0,IF(BQ$69:BQ$238="susp",0,1))*IF(ISBLANK($T$1),1,IF($I$23:$I$238=$T$1,1,0)))</f>
        <v>0</v>
      </c>
      <c r="BR2" s="874">
        <f t="array" ref="BR2">SUM(IF(ISBLANK(BR$23:BR$238),0,IF(BR$23:BR$238="susp",0,1))*IF(ISBLANK($T$1),1,IF($I$23:$I$238=$T$1,1,0)))</f>
        <v>20</v>
      </c>
      <c r="BS2" s="874">
        <f t="array" ref="BS2">SUM(IF(ISBLANK(BS$49:BS$238),0,IF(BS$49:BS$238="susp",0,1))*IF(ISBLANK($T$1),1,IF($I$23:$I$238=$T$1,1,0)))</f>
        <v>16</v>
      </c>
      <c r="BU2" s="874">
        <f t="array" ref="BU2">SUM(IF(ISBLANK(BU$23:BU$238),0,IF(BU$23:BU$238="susp",0,1))*IF(ISBLANK($T$1),1,IF($I$23:$I$238=$T$1,1,0)))</f>
        <v>28</v>
      </c>
      <c r="BZ2" s="874">
        <f t="array" ref="BZ2">SUM(IF(ISBLANK(BZ$23:BZ$238),0,IF(BZ$23:BZ$238="susp",0,1))*IF(ISBLANK($T$1),1,IF($I$23:$I$238=$T$1,1,0)))</f>
        <v>1</v>
      </c>
      <c r="CA2" s="874">
        <f t="array" ref="CA2">SUM(IF(ISBLANK(CA$23:CA$238),0,IF(CA$23:CA$238="susp",0,1))*IF(ISBLANK($T$1),1,IF($I$23:$I$238=$T$1,1,0)))</f>
        <v>0</v>
      </c>
      <c r="CB2" s="874">
        <f t="array" ref="CB2">SUM(IF(ISBLANK(CB$23:CB$238),0,IF(CB$23:CB$238="susp",0,1))*IF(ISBLANK($T$1),1,IF($I$23:$I$238=$T$1,1,0)))</f>
        <v>0</v>
      </c>
      <c r="CC2" s="874">
        <f t="array" ref="CC2">SUM(IF(ISBLANK(CC$23:CC$238),0,IF(CC$23:CC$238="susp",0,1))*IF(ISBLANK($T$1),1,IF($I$23:$I$238=$T$1,1,0)))</f>
        <v>0</v>
      </c>
      <c r="CD2" s="874">
        <f t="array" ref="CD2">SUM(IF(ISBLANK(CD$23:CD$238),0,IF(CD$23:CD$238="susp",0,1))*IF(ISBLANK($T$1),1,IF($I$23:$I$238=$T$1,1,0)))</f>
        <v>0</v>
      </c>
      <c r="CE2" s="874">
        <f t="array" ref="CE2">SUM(IF(ISBLANK(CE$23:CE$238),0,IF(CE$23:CE$238="susp",0,1))*IF(ISBLANK($T$1),1,IF($I$23:$I$238=$T$1,1,0)))</f>
        <v>0</v>
      </c>
      <c r="CF2" s="874">
        <f t="array" ref="CF2">SUM(IF(ISBLANK(CF$23:CF$238),0,IF(CF$23:CF$238="susp",0,1))*IF(ISBLANK($T$1),1,IF($I$23:$I$238=$T$1,1,0)))</f>
        <v>0</v>
      </c>
      <c r="CG2" s="874">
        <f t="array" ref="CG2">SUM(IF(ISBLANK(CG$23:CG$238),0,IF(CG$23:CG$238="susp",0,1))*IF(ISBLANK($T$1),1,IF($I$23:$I$238=$T$1,1,0)))</f>
        <v>0</v>
      </c>
      <c r="CH2" s="874">
        <f t="array" ref="CH2">SUM(IF(ISBLANK(CH$23:CH$238),0,IF(CH$23:CH$238="susp",0,1))*IF(ISBLANK($T$1),1,IF($I$23:$I$238=$T$1,1,0)))</f>
        <v>0</v>
      </c>
      <c r="CI2" s="874">
        <f t="array" ref="CI2">SUM(IF(ISBLANK(CI$23:CI$238),0,IF(CI$23:CI$238="susp",0,1))*IF(ISBLANK($T$1),1,IF($I$23:$I$238=$T$1,1,0)))</f>
        <v>0</v>
      </c>
      <c r="CJ2" s="874">
        <f t="array" ref="CJ2">SUM(IF(ISBLANK(CJ$23:CJ$238),0,IF(CJ$23:CJ$238="susp",0,1))*IF(ISBLANK($T$1),1,IF($I$23:$I$238=$T$1,1,0)))</f>
        <v>0</v>
      </c>
      <c r="CK2" s="874">
        <f t="array" ref="CK2">SUM(IF(ISBLANK(CK$23:CK$238),0,IF(CK$23:CK$238="susp",0,1))*IF(ISBLANK($T$1),1,IF($I$23:$I$238=$T$1,1,0)))</f>
        <v>16</v>
      </c>
      <c r="CL2" s="874">
        <f t="array" ref="CL2">SUM(IF(ISBLANK(CL$23:CL$238),0,IF(CL$23:CL$238="susp",0,1))*IF(ISBLANK($T$1),1,IF($I$23:$I$238=$T$1,1,0)))</f>
        <v>16</v>
      </c>
      <c r="CM2" s="874">
        <f t="array" ref="CM2">SUM(IF(ISBLANK(CM$23:CM$238),0,IF(CM$23:CM$238="susp",0,1))*IF(ISBLANK($T$1),1,IF($I$23:$I$238=$T$1,1,0)))</f>
        <v>15</v>
      </c>
    </row>
    <row r="3" spans="1:91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SUM(IF(L$23:L$238="W",1,0)*IF(ISBLANK($T$1),1,IF($I$23:$I$238=$T$1,1,0)))</f>
        <v>6</v>
      </c>
      <c r="AG3" s="874">
        <f t="array" ref="AG3">SUM(IF(ISTEXT(AG$23:AG$238),1,0)*IF(($L$23:$L$238)="W",1,0)*IF(ISBLANK($T$1),1,IF($I$23:$I$238=$T$1,1,0)))</f>
        <v>5</v>
      </c>
      <c r="AH3" s="874">
        <f t="array" ref="AH3">SUM(IF(ISTEXT(AH$23:AH$238),1,0)*IF(($L$23:$L$238)="W",1,0)*IF(ISBLANK($T$1),1,IF($I$23:$I$238=$T$1,1,0)))</f>
        <v>5</v>
      </c>
      <c r="AI3" s="874">
        <f t="array" ref="AI3">SUM(IF(ISTEXT(AI$23:AI$238),1,0)*IF(($L$23:$L$238)="W",1,0)*IF(ISBLANK($T$1),1,IF($I$23:$I$238=$T$1,1,0)))</f>
        <v>6</v>
      </c>
      <c r="AJ3" s="874">
        <f t="array" ref="AJ3">SUM(IF(ISTEXT(AJ$23:AJ$238),1,0)*IF(($L$23:$L$238)="W",1,0)*IF(ISBLANK($T$1),1,IF($I$23:$I$238=$T$1,1,0)))</f>
        <v>6</v>
      </c>
      <c r="AL3" s="874">
        <f t="array" ref="AL3">SUM(IF(ISTEXT(AL$23:AL$238),1,0)*IF(($L$23:$L$238)="W",1,0)*IF(ISBLANK($T$1),1,IF($I$23:$I$238=$T$1,1,0)))</f>
        <v>6</v>
      </c>
      <c r="AM3" s="874">
        <f t="array" ref="AM3">SUM(IF(ISTEXT(AM$23:AM$238),1,0)*IF(($L$23:$L$238)="W",1,0)*IF(ISBLANK($T$1),1,IF($I$23:$I$238=$T$1,1,0)))</f>
        <v>6</v>
      </c>
      <c r="AN3" s="874">
        <f t="array" ref="AN3">SUM(IF(ISTEXT(AN$23:AN$238),1,0)*IF(($L$23:$L$238)="W",1,0)*IF(ISBLANK($T$1),1,IF($I$23:$I$238=$T$1,1,0)))</f>
        <v>6</v>
      </c>
      <c r="AP3" s="874">
        <f t="array" ref="AP3">SUM(IF(ISTEXT(AP$23:AP$238),1,0)*IF(($L$23:$L$238)="W",1,0)*IF(ISBLANK($T$1),1,IF($I$23:$I$238=$T$1,1,0)))</f>
        <v>6</v>
      </c>
      <c r="AQ3" s="874">
        <f t="array" ref="AQ3">SUM(IF(ISTEXT(AQ$23:AQ$238),1,0)*IF(($L$23:$L$238)="W",1,0)*IF(ISBLANK($T$1),1,IF($I$23:$I$238=$T$1,1,0)))</f>
        <v>6</v>
      </c>
      <c r="AS3" s="874">
        <f t="array" ref="AS3">SUM(IF(ISTEXT(AS$23:AS$238),1,0)*IF(($L$23:$L$238)="W",1,0)*IF(ISBLANK($T$1),1,IF($I$23:$I$238=$T$1,1,0)))</f>
        <v>6</v>
      </c>
      <c r="AU3" s="874">
        <f t="array" ref="AU3">SUM(IF(ISTEXT(AU$23:AU$238),1,0)*IF(($L$23:$L$238)="W",1,0)*IF(ISBLANK($T$1),1,IF($I$23:$I$238=$T$1,1,0)))</f>
        <v>1</v>
      </c>
      <c r="AX3" s="874">
        <f t="array" ref="AX3">SUM(IF(ISTEXT(AX$23:AX$238),1,0)*IF(($L$23:$L$238)="W",1,0)*IF(ISBLANK($T$1),1,IF($I$23:$I$238=$T$1,1,0)))</f>
        <v>6</v>
      </c>
      <c r="AY3" s="874">
        <f t="array" ref="AY3">SUM(IF(ISTEXT(AY$23:AY$238),1,0)*IF(($L$23:$L$238)="W",1,0)*IF(ISBLANK($T$1),1,IF($I$23:$I$238=$T$1,1,0)))</f>
        <v>6</v>
      </c>
      <c r="AZ3" s="874">
        <f t="array" ref="AZ3">SUM(IF(ISTEXT(AZ$23:AZ$238),1,0)*IF(($L$23:$L$238)="W",1,0)*IF(ISBLANK($T$1),1,IF($I$23:$I$238=$T$1,1,0)))</f>
        <v>6</v>
      </c>
      <c r="BA3" s="874">
        <f t="array" ref="BA3">SUM(IF(ISTEXT(BA$23:BA$238),1,0)*IF(($L$23:$L$238)="W",1,0)*IF(ISBLANK($T$1),1,IF($I$23:$I$238=$T$1,1,0)))</f>
        <v>6</v>
      </c>
      <c r="BB3" s="874" t="e">
        <f t="array" ref="BB3">SUM(IF(ISTEXT(BB$26:BB$238),1,0)*IF(($L$23:$L$238)="W",1,0)*IF(ISBLANK($T$1),1,IF($I$23:$I$238=$T$1,1,0)))</f>
        <v>#N/A</v>
      </c>
      <c r="BK3" s="874">
        <f t="array" ref="BK3">SUM(IF(ISTEXT(BK$23:BK$238),1,0)*IF(($L$23:$L$238)="W",1,0)*IF(ISBLANK($T$1),1,IF($I$23:$I$238=$T$1,1,0)))</f>
        <v>6</v>
      </c>
      <c r="BM3" s="874">
        <f t="array" ref="BM3">SUM(IF(ISTEXT(BM$23:BM$238),1,0)*IF(($L$23:$L$238)="W",1,0)*IF(ISBLANK($T$1),1,IF($I$23:$I$238=$T$1,1,0)))</f>
        <v>6</v>
      </c>
      <c r="BQ3" s="874" t="e">
        <f t="array" ref="BQ3">SUM(IF(ISTEXT(BQ$69:BQ$238),1,0)*IF(($L$23:$L$238)="W",1,0)*IF(ISBLANK($T$1),1,IF($I$23:$I$238=$T$1,1,0)))</f>
        <v>#N/A</v>
      </c>
      <c r="BR3" s="874">
        <f t="array" ref="BR3">SUM(IF(ISTEXT(BR$23:BR$238),1,0)*IF(($L$23:$L$238)="W",1,0)*IF(ISBLANK($T$1),1,IF($I$23:$I$238=$T$1,1,0)))</f>
        <v>4</v>
      </c>
      <c r="BS3" s="874" t="e">
        <f t="array" ref="BS3">SUM(IF(ISTEXT(BS$49:BS$238),1,0)*IF(($L$23:$L$238)="W",1,0)*IF(ISBLANK($T$1),1,IF($I$23:$I$238=$T$1,1,0)))</f>
        <v>#N/A</v>
      </c>
      <c r="BU3" s="874">
        <f t="array" ref="BU3">SUM(IF(ISTEXT(BU$23:BU$238),1,0)*IF(($L$23:$L$238)="W",1,0)*IF(ISBLANK($T$1),1,IF($I$23:$I$238=$T$1,1,0)))</f>
        <v>5</v>
      </c>
      <c r="BZ3" s="874">
        <f t="array" ref="BZ3">SUM(IF(ISTEXT(BZ$23:BZ$238),1,0)*IF(($L$23:$L$238)="W",1,0)*IF(ISBLANK($T$1),1,IF($I$23:$I$238=$T$1,1,0)))</f>
        <v>0</v>
      </c>
      <c r="CA3" s="874">
        <f t="array" ref="CA3">SUM(IF(ISTEXT(CA$23:CA$238),1,0)*IF(($L$23:$L$238)="W",1,0)*IF(ISBLANK($T$1),1,IF($I$23:$I$238=$T$1,1,0)))</f>
        <v>0</v>
      </c>
      <c r="CB3" s="874">
        <f t="array" ref="CB3">SUM(IF(ISTEXT(CB$23:CB$238),1,0)*IF(($L$23:$L$238)="W",1,0)*IF(ISBLANK($T$1),1,IF($I$23:$I$238=$T$1,1,0)))</f>
        <v>0</v>
      </c>
      <c r="CC3" s="874">
        <f t="array" ref="CC3">SUM(IF(ISTEXT(CC$23:CC$238),1,0)*IF(($L$23:$L$238)="W",1,0)*IF(ISBLANK($T$1),1,IF($I$23:$I$238=$T$1,1,0)))</f>
        <v>0</v>
      </c>
      <c r="CD3" s="874">
        <f t="array" ref="CD3">SUM(IF(ISTEXT(CD$23:CD$238),1,0)*IF(($L$23:$L$238)="W",1,0)*IF(ISBLANK($T$1),1,IF($I$23:$I$238=$T$1,1,0)))</f>
        <v>0</v>
      </c>
      <c r="CE3" s="874">
        <f t="array" ref="CE3">SUM(IF(ISTEXT(CE$23:CE$238),1,0)*IF(($L$23:$L$238)="W",1,0)*IF(ISBLANK($T$1),1,IF($I$23:$I$238=$T$1,1,0)))</f>
        <v>0</v>
      </c>
      <c r="CF3" s="874">
        <f t="array" ref="CF3">SUM(IF(ISTEXT(CF$23:CF$238),1,0)*IF(($L$23:$L$238)="W",1,0)*IF(ISBLANK($T$1),1,IF($I$23:$I$238=$T$1,1,0)))</f>
        <v>0</v>
      </c>
      <c r="CG3" s="874">
        <f t="array" ref="CG3">SUM(IF(ISTEXT(CG$23:CG$238),1,0)*IF(($L$23:$L$238)="W",1,0)*IF(ISBLANK($T$1),1,IF($I$23:$I$238=$T$1,1,0)))</f>
        <v>0</v>
      </c>
      <c r="CH3" s="874">
        <f t="array" ref="CH3">SUM(IF(ISTEXT(CH$23:CH$238),1,0)*IF(($L$23:$L$238)="W",1,0)*IF(ISBLANK($T$1),1,IF($I$23:$I$238=$T$1,1,0)))</f>
        <v>0</v>
      </c>
      <c r="CI3" s="874">
        <f t="array" ref="CI3">SUM(IF(ISTEXT(CI$23:CI$238),1,0)*IF(($L$23:$L$238)="W",1,0)*IF(ISBLANK($T$1),1,IF($I$23:$I$238=$T$1,1,0)))</f>
        <v>0</v>
      </c>
      <c r="CJ3" s="874">
        <f t="array" ref="CJ3">SUM(IF(ISTEXT(CJ$23:CJ$238),1,0)*IF(($L$23:$L$238)="W",1,0)*IF(ISBLANK($T$1),1,IF($I$23:$I$238=$T$1,1,0)))</f>
        <v>0</v>
      </c>
      <c r="CK3" s="874">
        <f t="array" ref="CK3">SUM(IF(ISTEXT(CK$23:CK$238),1,0)*IF(($L$23:$L$238)="W",1,0)*IF(ISBLANK($T$1),1,IF($I$23:$I$238=$T$1,1,0)))</f>
        <v>2</v>
      </c>
      <c r="CL3" s="874">
        <f t="array" ref="CL3">SUM(IF(ISTEXT(CL$23:CL$238),1,0)*IF(($L$23:$L$238)="W",1,0)*IF(ISBLANK($T$1),1,IF($I$23:$I$238=$T$1,1,0)))</f>
        <v>2</v>
      </c>
      <c r="CM3" s="874">
        <f t="array" ref="CM3">SUM(IF(ISTEXT(CM$23:CM$238),1,0)*IF(($L$23:$L$238)="W",1,0)*IF(ISBLANK($T$1),1,IF($I$23:$I$238=$T$1,1,0)))</f>
        <v>2</v>
      </c>
    </row>
    <row r="4" spans="1:91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SUM(IF(L$23:L$238="D",1,0)*IF(ISBLANK($T$1),1,IF($I$23:$I$238=$T$1,1,0)))</f>
        <v>5</v>
      </c>
      <c r="AG4" s="874">
        <f t="array" ref="AG4">SUM(IF(ISTEXT(AG$23:AG$238),1,0)*IF(($L$23:$L$238)="D",1,0)*IF(ISBLANK($T$1),1,IF($I$23:$I$238=$T$1,1,0)))</f>
        <v>5</v>
      </c>
      <c r="AH4" s="874">
        <f t="array" ref="AH4">SUM(IF(ISTEXT(AH$23:AH$238),1,0)*IF(($L$23:$L$238)="D",1,0)*IF(ISBLANK($T$1),1,IF($I$23:$I$238=$T$1,1,0)))</f>
        <v>5</v>
      </c>
      <c r="AI4" s="874">
        <f t="array" ref="AI4">SUM(IF(ISTEXT(AI$23:AI$238),1,0)*IF(($L$23:$L$238)="D",1,0)*IF(ISBLANK($T$1),1,IF($I$23:$I$238=$T$1,1,0)))</f>
        <v>5</v>
      </c>
      <c r="AJ4" s="874">
        <f t="array" ref="AJ4">SUM(IF(ISTEXT(AJ$23:AJ$238),1,0)*IF(($L$23:$L$238)="D",1,0)*IF(ISBLANK($T$1),1,IF($I$23:$I$238=$T$1,1,0)))</f>
        <v>5</v>
      </c>
      <c r="AL4" s="874">
        <f t="array" ref="AL4">SUM(IF(ISTEXT(AL$23:AL$238),1,0)*IF(($L$23:$L$238)="D",1,0)*IF(ISBLANK($T$1),1,IF($I$23:$I$238=$T$1,1,0)))</f>
        <v>5</v>
      </c>
      <c r="AM4" s="874">
        <f t="array" ref="AM4">SUM(IF(ISTEXT(AM$23:AM$238),1,0)*IF(($L$23:$L$238)="D",1,0)*IF(ISBLANK($T$1),1,IF($I$23:$I$238=$T$1,1,0)))</f>
        <v>5</v>
      </c>
      <c r="AN4" s="874">
        <f t="array" ref="AN4">SUM(IF(ISTEXT(AN$23:AN$238),1,0)*IF(($L$23:$L$238)="D",1,0)*IF(ISBLANK($T$1),1,IF($I$23:$I$238=$T$1,1,0)))</f>
        <v>5</v>
      </c>
      <c r="AP4" s="874">
        <f t="array" ref="AP4">SUM(IF(ISTEXT(AP$23:AP$238),1,0)*IF(($L$23:$L$238)="D",1,0)*IF(ISBLANK($T$1),1,IF($I$23:$I$238=$T$1,1,0)))</f>
        <v>5</v>
      </c>
      <c r="AQ4" s="874">
        <f t="array" ref="AQ4">SUM(IF(ISTEXT(AQ$23:AQ$238),1,0)*IF(($L$23:$L$238)="D",1,0)*IF(ISBLANK($T$1),1,IF($I$23:$I$238=$T$1,1,0)))</f>
        <v>5</v>
      </c>
      <c r="AS4" s="874">
        <f t="array" ref="AS4">SUM(IF(ISTEXT(AS$23:AS$238),1,0)*IF(($L$23:$L$238)="D",1,0)*IF(ISBLANK($T$1),1,IF($I$23:$I$238=$T$1,1,0)))</f>
        <v>5</v>
      </c>
      <c r="AU4" s="874">
        <f t="array" ref="AU4">SUM(IF(ISTEXT(AU$23:AU$238),1,0)*IF(($L$23:$L$238)="D",1,0)*IF(ISBLANK($T$1),1,IF($I$23:$I$238=$T$1,1,0)))</f>
        <v>4</v>
      </c>
      <c r="AX4" s="874">
        <f t="array" ref="AX4">SUM(IF(ISTEXT(AX$23:AX$238),1,0)*IF(($L$23:$L$238)="D",1,0)*IF(ISBLANK($T$1),1,IF($I$23:$I$238=$T$1,1,0)))</f>
        <v>5</v>
      </c>
      <c r="AY4" s="874">
        <f t="array" ref="AY4">SUM(IF(ISTEXT(AY$23:AY$238),1,0)*IF(($L$23:$L$238)="D",1,0)*IF(ISBLANK($T$1),1,IF($I$23:$I$238=$T$1,1,0)))</f>
        <v>5</v>
      </c>
      <c r="AZ4" s="874">
        <f t="array" ref="AZ4">SUM(IF(ISTEXT(AZ$23:AZ$238),1,0)*IF(($L$23:$L$238)="D",1,0)*IF(ISBLANK($T$1),1,IF($I$23:$I$238=$T$1,1,0)))</f>
        <v>5</v>
      </c>
      <c r="BA4" s="874">
        <f t="array" ref="BA4">SUM(IF(ISTEXT(BA$23:BA$238),1,0)*IF(($L$23:$L$238)="D",1,0)*IF(ISBLANK($T$1),1,IF($I$23:$I$238=$T$1,1,0)))</f>
        <v>5</v>
      </c>
      <c r="BB4" s="874" t="e">
        <f t="array" ref="BB4">SUM(IF(ISTEXT(BB$26:BB$238),1,0)*IF(($L$23:$L$238)="D",1,0)*IF(ISBLANK($T$1),1,IF($I$23:$I$238=$T$1,1,0)))</f>
        <v>#N/A</v>
      </c>
      <c r="BK4" s="874">
        <f t="array" ref="BK4">SUM(IF(ISTEXT(BK$23:BK$238),1,0)*IF(($L$23:$L$238)="D",1,0)*IF(ISBLANK($T$1),1,IF($I$23:$I$238=$T$1,1,0)))</f>
        <v>5</v>
      </c>
      <c r="BM4" s="874">
        <f t="array" ref="BM4">SUM(IF(ISTEXT(BM$23:BM$238),1,0)*IF(($L$23:$L$238)="D",1,0)*IF(ISBLANK($T$1),1,IF($I$23:$I$238=$T$1,1,0)))</f>
        <v>3</v>
      </c>
      <c r="BQ4" s="874" t="e">
        <f t="array" ref="BQ4">SUM(IF(ISTEXT(BQ$69:BQ$238),1,0)*IF(($L$23:$L$238)="D",1,0)*IF(ISBLANK($T$1),1,IF($I$23:$I$238=$T$1,1,0)))</f>
        <v>#N/A</v>
      </c>
      <c r="BR4" s="874">
        <f t="array" ref="BR4">SUM(IF(ISTEXT(BR$23:BR$238),1,0)*IF(($L$23:$L$238)="D",1,0)*IF(ISBLANK($T$1),1,IF($I$23:$I$238=$T$1,1,0)))</f>
        <v>3</v>
      </c>
      <c r="BS4" s="874" t="e">
        <f t="array" ref="BS4">SUM(IF(ISTEXT(BS$49:BS$238),1,0)*IF(($L$23:$L$238)="D",1,0)*IF(ISBLANK($T$1),1,IF($I$23:$I$238=$T$1,1,0)))</f>
        <v>#N/A</v>
      </c>
      <c r="BU4" s="874">
        <f t="array" ref="BU4">SUM(IF(ISTEXT(BU$23:BU$238),1,0)*IF(($L$23:$L$238)="D",1,0)*IF(ISBLANK($T$1),1,IF($I$23:$I$238=$T$1,1,0)))</f>
        <v>3</v>
      </c>
      <c r="BZ4" s="874">
        <f t="array" ref="BZ4">SUM(IF(ISTEXT(BZ$23:BZ$238),1,0)*IF(($L$23:$L$238)="D",1,0)*IF(ISBLANK($T$1),1,IF($I$23:$I$238=$T$1,1,0)))</f>
        <v>0</v>
      </c>
      <c r="CA4" s="874">
        <f t="array" ref="CA4">SUM(IF(ISTEXT(CA$23:CA$238),1,0)*IF(($L$23:$L$238)="D",1,0)*IF(ISBLANK($T$1),1,IF($I$23:$I$238=$T$1,1,0)))</f>
        <v>0</v>
      </c>
      <c r="CB4" s="874">
        <f t="array" ref="CB4">SUM(IF(ISTEXT(CB$23:CB$238),1,0)*IF(($L$23:$L$238)="D",1,0)*IF(ISBLANK($T$1),1,IF($I$23:$I$238=$T$1,1,0)))</f>
        <v>0</v>
      </c>
      <c r="CC4" s="874">
        <f t="array" ref="CC4">SUM(IF(ISTEXT(CC$23:CC$238),1,0)*IF(($L$23:$L$238)="D",1,0)*IF(ISBLANK($T$1),1,IF($I$23:$I$238=$T$1,1,0)))</f>
        <v>0</v>
      </c>
      <c r="CD4" s="874">
        <f t="array" ref="CD4">SUM(IF(ISTEXT(CD$23:CD$238),1,0)*IF(($L$23:$L$238)="D",1,0)*IF(ISBLANK($T$1),1,IF($I$23:$I$238=$T$1,1,0)))</f>
        <v>0</v>
      </c>
      <c r="CE4" s="874">
        <f t="array" ref="CE4">SUM(IF(ISTEXT(CE$23:CE$238),1,0)*IF(($L$23:$L$238)="D",1,0)*IF(ISBLANK($T$1),1,IF($I$23:$I$238=$T$1,1,0)))</f>
        <v>0</v>
      </c>
      <c r="CF4" s="874">
        <f t="array" ref="CF4">SUM(IF(ISTEXT(CF$23:CF$238),1,0)*IF(($L$23:$L$238)="D",1,0)*IF(ISBLANK($T$1),1,IF($I$23:$I$238=$T$1,1,0)))</f>
        <v>0</v>
      </c>
      <c r="CG4" s="874">
        <f t="array" ref="CG4">SUM(IF(ISTEXT(CG$23:CG$238),1,0)*IF(($L$23:$L$238)="D",1,0)*IF(ISBLANK($T$1),1,IF($I$23:$I$238=$T$1,1,0)))</f>
        <v>0</v>
      </c>
      <c r="CH4" s="874">
        <f t="array" ref="CH4">SUM(IF(ISTEXT(CH$23:CH$238),1,0)*IF(($L$23:$L$238)="D",1,0)*IF(ISBLANK($T$1),1,IF($I$23:$I$238=$T$1,1,0)))</f>
        <v>0</v>
      </c>
      <c r="CI4" s="874">
        <f t="array" ref="CI4">SUM(IF(ISTEXT(CI$23:CI$238),1,0)*IF(($L$23:$L$238)="D",1,0)*IF(ISBLANK($T$1),1,IF($I$23:$I$238=$T$1,1,0)))</f>
        <v>0</v>
      </c>
      <c r="CJ4" s="874">
        <f t="array" ref="CJ4">SUM(IF(ISTEXT(CJ$23:CJ$238),1,0)*IF(($L$23:$L$238)="D",1,0)*IF(ISBLANK($T$1),1,IF($I$23:$I$238=$T$1,1,0)))</f>
        <v>0</v>
      </c>
      <c r="CK4" s="874">
        <f t="array" ref="CK4">SUM(IF(ISTEXT(CK$23:CK$238),1,0)*IF(($L$23:$L$238)="D",1,0)*IF(ISBLANK($T$1),1,IF($I$23:$I$238=$T$1,1,0)))</f>
        <v>1</v>
      </c>
      <c r="CL4" s="874">
        <f t="array" ref="CL4">SUM(IF(ISTEXT(CL$23:CL$238),1,0)*IF(($L$23:$L$238)="D",1,0)*IF(ISBLANK($T$1),1,IF($I$23:$I$238=$T$1,1,0)))</f>
        <v>1</v>
      </c>
      <c r="CM4" s="874">
        <f t="array" ref="CM4">SUM(IF(ISTEXT(CM$23:CM$238),1,0)*IF(($L$23:$L$238)="D",1,0)*IF(ISBLANK($T$1),1,IF($I$23:$I$238=$T$1,1,0)))</f>
        <v>1</v>
      </c>
    </row>
    <row r="5" spans="1:91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SUM(IF(L$23:L$238="L",1,0)*IF(ISBLANK($T$1),1,IF($I$23:$I$238=$T$1,1,0)))</f>
        <v>33</v>
      </c>
      <c r="AG5" s="874">
        <f t="array" ref="AG5">SUM(IF(ISTEXT(AG$23:AG$238),1,0)*IF(($L$23:$L$238)="L",1,0)*IF(ISBLANK($T$1),1,IF($I$23:$I$238=$T$1,1,0)))</f>
        <v>33</v>
      </c>
      <c r="AH5" s="874">
        <f t="array" ref="AH5">SUM(IF(ISTEXT(AH$23:AH$238),1,0)*IF(($L$23:$L$238)="L",1,0)*IF(ISBLANK($T$1),1,IF($I$23:$I$238=$T$1,1,0)))</f>
        <v>32</v>
      </c>
      <c r="AI5" s="874">
        <f t="array" ref="AI5">SUM(IF(ISTEXT(AI$23:AI$238),1,0)*IF(($L$23:$L$238)="L",1,0)*IF(ISBLANK($T$1),1,IF($I$23:$I$238=$T$1,1,0)))</f>
        <v>31</v>
      </c>
      <c r="AJ5" s="874">
        <f t="array" ref="AJ5">SUM(IF(ISTEXT(AJ$23:AJ$238),1,0)*IF(($L$23:$L$238)="L",1,0)*IF(ISBLANK($T$1),1,IF($I$23:$I$238=$T$1,1,0)))</f>
        <v>32</v>
      </c>
      <c r="AL5" s="874">
        <f t="array" ref="AL5">SUM(IF(ISTEXT(AL$23:AL$238),1,0)*IF(($L$23:$L$238)="L",1,0)*IF(ISBLANK($T$1),1,IF($I$23:$I$238=$T$1,1,0)))</f>
        <v>32</v>
      </c>
      <c r="AM5" s="874">
        <f t="array" ref="AM5">SUM(IF(ISTEXT(AM$23:AM$238),1,0)*IF(($L$23:$L$238)="L",1,0)*IF(ISBLANK($T$1),1,IF($I$23:$I$238=$T$1,1,0)))</f>
        <v>33</v>
      </c>
      <c r="AN5" s="874">
        <f t="array" ref="AN5">SUM(IF(ISTEXT(AN$23:AN$238),1,0)*IF(($L$23:$L$238)="L",1,0)*IF(ISBLANK($T$1),1,IF($I$23:$I$238=$T$1,1,0)))</f>
        <v>33</v>
      </c>
      <c r="AP5" s="874">
        <f t="array" ref="AP5">SUM(IF(ISTEXT(AP$23:AP$238),1,0)*IF(($L$23:$L$238)="L",1,0)*IF(ISBLANK($T$1),1,IF($I$23:$I$238=$T$1,1,0)))</f>
        <v>31</v>
      </c>
      <c r="AQ5" s="874">
        <f t="array" ref="AQ5">SUM(IF(ISTEXT(AQ$23:AQ$238),1,0)*IF(($L$23:$L$238)="L",1,0)*IF(ISBLANK($T$1),1,IF($I$23:$I$238=$T$1,1,0)))</f>
        <v>33</v>
      </c>
      <c r="AS5" s="874">
        <f t="array" ref="AS5">SUM(IF(ISTEXT(AS$23:AS$238),1,0)*IF(($L$23:$L$238)="L",1,0)*IF(ISBLANK($T$1),1,IF($I$23:$I$238=$T$1,1,0)))</f>
        <v>31</v>
      </c>
      <c r="AU5" s="874">
        <f t="array" ref="AU5">SUM(IF(ISTEXT(AU$23:AU$238),1,0)*IF(($L$23:$L$238)="L",1,0)*IF(ISBLANK($T$1),1,IF($I$23:$I$238=$T$1,1,0)))</f>
        <v>14</v>
      </c>
      <c r="AX5" s="874">
        <f t="array" ref="AX5">SUM(IF(ISTEXT(AX$23:AX$238),1,0)*IF(($L$23:$L$238)="L",1,0)*IF(ISBLANK($T$1),1,IF($I$23:$I$238=$T$1,1,0)))</f>
        <v>32</v>
      </c>
      <c r="AY5" s="874">
        <f t="array" ref="AY5">SUM(IF(ISTEXT(AY$23:AY$238),1,0)*IF(($L$23:$L$238)="L",1,0)*IF(ISBLANK($T$1),1,IF($I$23:$I$238=$T$1,1,0)))</f>
        <v>33</v>
      </c>
      <c r="AZ5" s="874">
        <f t="array" ref="AZ5">SUM(IF(ISTEXT(AZ$23:AZ$238),1,0)*IF(($L$23:$L$238)="L",1,0)*IF(ISBLANK($T$1),1,IF($I$23:$I$238=$T$1,1,0)))</f>
        <v>32</v>
      </c>
      <c r="BA5" s="874">
        <f t="array" ref="BA5">SUM(IF(ISTEXT(BA$23:BA$238),1,0)*IF(($L$23:$L$238)="L",1,0)*IF(ISBLANK($T$1),1,IF($I$23:$I$238=$T$1,1,0)))</f>
        <v>32</v>
      </c>
      <c r="BB5" s="874" t="e">
        <f t="array" ref="BB5">SUM(IF(ISTEXT(BB$26:BB$238),1,0)*IF(($L$23:$L$238)="L",1,0)*IF(ISBLANK($T$1),1,IF($I$23:$I$238=$T$1,1,0)))</f>
        <v>#N/A</v>
      </c>
      <c r="BK5" s="874">
        <f t="array" ref="BK5">SUM(IF(ISTEXT(BK$23:BK$238),1,0)*IF(($L$23:$L$238)="L",1,0)*IF(ISBLANK($T$1),1,IF($I$23:$I$238=$T$1,1,0)))</f>
        <v>33</v>
      </c>
      <c r="BM5" s="874">
        <f t="array" ref="BM5">SUM(IF(ISTEXT(BM$23:BM$238),1,0)*IF(($L$23:$L$238)="L",1,0)*IF(ISBLANK($T$1),1,IF($I$23:$I$238=$T$1,1,0)))</f>
        <v>25</v>
      </c>
      <c r="BQ5" s="874" t="e">
        <f t="array" ref="BQ5">SUM(IF(ISTEXT(BQ$69:BQ$238),1,0)*IF(($L$23:$L$238)="L",1,0)*IF(ISBLANK($T$1),1,IF($I$23:$I$238=$T$1,1,0)))</f>
        <v>#N/A</v>
      </c>
      <c r="BR5" s="874">
        <f t="array" ref="BR5">SUM(IF(ISTEXT(BR$23:BR$238),1,0)*IF(($L$23:$L$238)="L",1,0)*IF(ISBLANK($T$1),1,IF($I$23:$I$238=$T$1,1,0)))</f>
        <v>13</v>
      </c>
      <c r="BS5" s="874" t="e">
        <f t="array" ref="BS5">SUM(IF(ISTEXT(BS$49:BS$238),1,0)*IF(($L$23:$L$238)="L",1,0)*IF(ISBLANK($T$1),1,IF($I$23:$I$238=$T$1,1,0)))</f>
        <v>#N/A</v>
      </c>
      <c r="BU5" s="874">
        <f t="array" ref="BU5">SUM(IF(ISTEXT(BU$23:BU$238),1,0)*IF(($L$23:$L$238)="L",1,0)*IF(ISBLANK($T$1),1,IF($I$23:$I$238=$T$1,1,0)))</f>
        <v>20</v>
      </c>
      <c r="BZ5" s="874">
        <f t="array" ref="BZ5">SUM(IF(ISTEXT(BZ$23:BZ$238),1,0)*IF(($L$23:$L$238)="L",1,0)*IF(ISBLANK($T$1),1,IF($I$23:$I$238=$T$1,1,0)))</f>
        <v>1</v>
      </c>
      <c r="CA5" s="874">
        <f t="array" ref="CA5">SUM(IF(ISTEXT(CA$23:CA$238),1,0)*IF(($L$23:$L$238)="L",1,0)*IF(ISBLANK($T$1),1,IF($I$23:$I$238=$T$1,1,0)))</f>
        <v>0</v>
      </c>
      <c r="CB5" s="874">
        <f t="array" ref="CB5">SUM(IF(ISTEXT(CB$23:CB$238),1,0)*IF(($L$23:$L$238)="L",1,0)*IF(ISBLANK($T$1),1,IF($I$23:$I$238=$T$1,1,0)))</f>
        <v>0</v>
      </c>
      <c r="CC5" s="874">
        <f t="array" ref="CC5">SUM(IF(ISTEXT(CC$23:CC$238),1,0)*IF(($L$23:$L$238)="L",1,0)*IF(ISBLANK($T$1),1,IF($I$23:$I$238=$T$1,1,0)))</f>
        <v>0</v>
      </c>
      <c r="CD5" s="874">
        <f t="array" ref="CD5">SUM(IF(ISTEXT(CD$23:CD$238),1,0)*IF(($L$23:$L$238)="L",1,0)*IF(ISBLANK($T$1),1,IF($I$23:$I$238=$T$1,1,0)))</f>
        <v>0</v>
      </c>
      <c r="CE5" s="874">
        <f t="array" ref="CE5">SUM(IF(ISTEXT(CE$23:CE$238),1,0)*IF(($L$23:$L$238)="L",1,0)*IF(ISBLANK($T$1),1,IF($I$23:$I$238=$T$1,1,0)))</f>
        <v>0</v>
      </c>
      <c r="CF5" s="874">
        <f t="array" ref="CF5">SUM(IF(ISTEXT(CF$23:CF$238),1,0)*IF(($L$23:$L$238)="L",1,0)*IF(ISBLANK($T$1),1,IF($I$23:$I$238=$T$1,1,0)))</f>
        <v>0</v>
      </c>
      <c r="CG5" s="874">
        <f t="array" ref="CG5">SUM(IF(ISTEXT(CG$23:CG$238),1,0)*IF(($L$23:$L$238)="L",1,0)*IF(ISBLANK($T$1),1,IF($I$23:$I$238=$T$1,1,0)))</f>
        <v>0</v>
      </c>
      <c r="CH5" s="874">
        <f t="array" ref="CH5">SUM(IF(ISTEXT(CH$23:CH$238),1,0)*IF(($L$23:$L$238)="L",1,0)*IF(ISBLANK($T$1),1,IF($I$23:$I$238=$T$1,1,0)))</f>
        <v>0</v>
      </c>
      <c r="CI5" s="874">
        <f t="array" ref="CI5">SUM(IF(ISTEXT(CI$23:CI$238),1,0)*IF(($L$23:$L$238)="L",1,0)*IF(ISBLANK($T$1),1,IF($I$23:$I$238=$T$1,1,0)))</f>
        <v>0</v>
      </c>
      <c r="CJ5" s="874">
        <f t="array" ref="CJ5">SUM(IF(ISTEXT(CJ$23:CJ$238),1,0)*IF(($L$23:$L$238)="L",1,0)*IF(ISBLANK($T$1),1,IF($I$23:$I$238=$T$1,1,0)))</f>
        <v>0</v>
      </c>
      <c r="CK5" s="874">
        <f t="array" ref="CK5">SUM(IF(ISTEXT(CK$23:CK$238),1,0)*IF(($L$23:$L$238)="L",1,0)*IF(ISBLANK($T$1),1,IF($I$23:$I$238=$T$1,1,0)))</f>
        <v>13</v>
      </c>
      <c r="CL5" s="874">
        <f t="array" ref="CL5">SUM(IF(ISTEXT(CL$23:CL$238),1,0)*IF(($L$23:$L$238)="L",1,0)*IF(ISBLANK($T$1),1,IF($I$23:$I$238=$T$1,1,0)))</f>
        <v>13</v>
      </c>
      <c r="CM5" s="874">
        <f t="array" ref="CM5">SUM(IF(ISTEXT(CM$23:CM$238),1,0)*IF(($L$23:$L$238)="L",1,0)*IF(ISBLANK($T$1),1,IF($I$23:$I$238=$T$1,1,0)))</f>
        <v>12</v>
      </c>
    </row>
    <row r="6" spans="1:91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23</v>
      </c>
      <c r="AG6" s="874">
        <f t="shared" ref="AG6:CM6" si="2">AG$3*3+AG$4</f>
        <v>20</v>
      </c>
      <c r="AH6" s="874">
        <f t="shared" si="2"/>
        <v>20</v>
      </c>
      <c r="AI6" s="874">
        <f t="shared" si="2"/>
        <v>23</v>
      </c>
      <c r="AJ6" s="874">
        <f t="shared" si="2"/>
        <v>23</v>
      </c>
      <c r="AL6" s="874">
        <f>AL$3*3+AL$4</f>
        <v>23</v>
      </c>
      <c r="AM6" s="874">
        <f t="shared" si="2"/>
        <v>23</v>
      </c>
      <c r="AN6" s="874">
        <f>AN$3*3+AN$4</f>
        <v>23</v>
      </c>
      <c r="AP6" s="874">
        <f>AP$3*3+AP$4</f>
        <v>23</v>
      </c>
      <c r="AQ6" s="874">
        <f t="shared" si="2"/>
        <v>23</v>
      </c>
      <c r="AS6" s="874">
        <f>AS$3*3+AS$4</f>
        <v>23</v>
      </c>
      <c r="AU6" s="874">
        <f>AU$3*3+AU$4</f>
        <v>7</v>
      </c>
      <c r="AX6" s="874">
        <f>AX$3*3+AX$4</f>
        <v>23</v>
      </c>
      <c r="AY6" s="874">
        <f>AY$3*3+AY$4</f>
        <v>23</v>
      </c>
      <c r="AZ6" s="874">
        <f>AZ$3*3+AZ$4</f>
        <v>23</v>
      </c>
      <c r="BA6" s="874">
        <f>BA$3*3+BA$4</f>
        <v>23</v>
      </c>
      <c r="BB6" s="874" t="e">
        <f>BB$3*3+BB$4</f>
        <v>#N/A</v>
      </c>
      <c r="BK6" s="874">
        <f>BK$3*3+BK$4</f>
        <v>23</v>
      </c>
      <c r="BM6" s="874">
        <f>BM$3*3+BM$4</f>
        <v>21</v>
      </c>
      <c r="BQ6" s="874" t="e">
        <f>BQ$3*3+BQ$4</f>
        <v>#N/A</v>
      </c>
      <c r="BR6" s="874">
        <f>BR$3*3+BR$4</f>
        <v>15</v>
      </c>
      <c r="BS6" s="874" t="e">
        <f t="shared" si="2"/>
        <v>#N/A</v>
      </c>
      <c r="BU6" s="874">
        <f>BU$3*3+BU$4</f>
        <v>18</v>
      </c>
      <c r="BZ6" s="874">
        <f t="shared" ref="BZ6:CF6" si="3">BZ$3*3+BZ$4</f>
        <v>0</v>
      </c>
      <c r="CA6" s="874">
        <f t="shared" si="3"/>
        <v>0</v>
      </c>
      <c r="CB6" s="874">
        <f t="shared" si="3"/>
        <v>0</v>
      </c>
      <c r="CC6" s="874">
        <f t="shared" si="3"/>
        <v>0</v>
      </c>
      <c r="CD6" s="874">
        <f t="shared" si="3"/>
        <v>0</v>
      </c>
      <c r="CE6" s="874">
        <f t="shared" si="3"/>
        <v>0</v>
      </c>
      <c r="CF6" s="874">
        <f t="shared" si="3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0</v>
      </c>
      <c r="CK6" s="874">
        <f t="shared" si="2"/>
        <v>7</v>
      </c>
      <c r="CL6" s="874">
        <f t="shared" si="2"/>
        <v>7</v>
      </c>
      <c r="CM6" s="874">
        <f t="shared" si="2"/>
        <v>7</v>
      </c>
    </row>
    <row r="7" spans="1:91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M7" si="4">AF6/AF2</f>
        <v>0.52272727272727271</v>
      </c>
      <c r="AG7" s="874">
        <f t="shared" si="4"/>
        <v>0.46511627906976744</v>
      </c>
      <c r="AH7" s="874">
        <f t="shared" si="4"/>
        <v>0.47619047619047616</v>
      </c>
      <c r="AI7" s="874">
        <f t="shared" si="4"/>
        <v>0.54761904761904767</v>
      </c>
      <c r="AJ7" s="874">
        <f t="shared" si="4"/>
        <v>0.53488372093023251</v>
      </c>
      <c r="AL7" s="874">
        <f>AL6/AL2</f>
        <v>0.53488372093023251</v>
      </c>
      <c r="AM7" s="874">
        <f t="shared" si="4"/>
        <v>0.52272727272727271</v>
      </c>
      <c r="AN7" s="874">
        <f>AN6/AN2</f>
        <v>0.52272727272727271</v>
      </c>
      <c r="AP7" s="874">
        <f>AP6/AP2</f>
        <v>0.54761904761904767</v>
      </c>
      <c r="AQ7" s="874">
        <f t="shared" si="4"/>
        <v>0.52272727272727271</v>
      </c>
      <c r="AS7" s="874">
        <f>AS6/AS2</f>
        <v>0.54761904761904767</v>
      </c>
      <c r="AU7" s="874">
        <f>AU6/AU2</f>
        <v>0.36842105263157893</v>
      </c>
      <c r="AX7" s="874">
        <f>AX6/AX2</f>
        <v>0.53488372093023251</v>
      </c>
      <c r="AY7" s="874">
        <f>AY6/AY2</f>
        <v>0.52272727272727271</v>
      </c>
      <c r="AZ7" s="874">
        <f>AZ6/AZ2</f>
        <v>0.53488372093023251</v>
      </c>
      <c r="BA7" s="874">
        <f>BA6/BA2</f>
        <v>0.53488372093023251</v>
      </c>
      <c r="BB7" s="874" t="e">
        <f>BB6/BB2</f>
        <v>#N/A</v>
      </c>
      <c r="BK7" s="874">
        <f>BK6/BK2</f>
        <v>0.52272727272727271</v>
      </c>
      <c r="BM7" s="874">
        <f t="shared" ref="BM7" si="5">BM6/BM2</f>
        <v>0.61764705882352944</v>
      </c>
      <c r="BQ7" s="874" t="e">
        <f>BQ6/BQ2</f>
        <v>#N/A</v>
      </c>
      <c r="BR7" s="874">
        <f>BR6/BR2</f>
        <v>0.75</v>
      </c>
      <c r="BS7" s="874" t="e">
        <f t="shared" si="4"/>
        <v>#N/A</v>
      </c>
      <c r="BU7" s="874">
        <f>BU6/BU2</f>
        <v>0.6428571428571429</v>
      </c>
      <c r="BZ7" s="874">
        <f t="shared" ref="BZ7:CF7" si="6">BZ6/BZ2</f>
        <v>0</v>
      </c>
      <c r="CA7" s="874" t="e">
        <f t="shared" si="6"/>
        <v>#DIV/0!</v>
      </c>
      <c r="CB7" s="874" t="e">
        <f t="shared" si="6"/>
        <v>#DIV/0!</v>
      </c>
      <c r="CC7" s="874" t="e">
        <f t="shared" si="6"/>
        <v>#DIV/0!</v>
      </c>
      <c r="CD7" s="874" t="e">
        <f t="shared" si="6"/>
        <v>#DIV/0!</v>
      </c>
      <c r="CE7" s="874" t="e">
        <f t="shared" si="6"/>
        <v>#DIV/0!</v>
      </c>
      <c r="CF7" s="874" t="e">
        <f t="shared" si="6"/>
        <v>#DIV/0!</v>
      </c>
      <c r="CG7" s="874" t="e">
        <f t="shared" si="4"/>
        <v>#DIV/0!</v>
      </c>
      <c r="CH7" s="874" t="e">
        <f t="shared" si="4"/>
        <v>#DIV/0!</v>
      </c>
      <c r="CI7" s="874" t="e">
        <f t="shared" si="4"/>
        <v>#DIV/0!</v>
      </c>
      <c r="CJ7" s="874" t="e">
        <f t="shared" si="4"/>
        <v>#DIV/0!</v>
      </c>
      <c r="CK7" s="874">
        <f t="shared" si="4"/>
        <v>0.4375</v>
      </c>
      <c r="CL7" s="874">
        <f t="shared" si="4"/>
        <v>0.4375</v>
      </c>
      <c r="CM7" s="874">
        <f t="shared" si="4"/>
        <v>0.46666666666666667</v>
      </c>
    </row>
    <row r="8" spans="1:91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SUM(IF(($T$23:$T$238)="",0,$T$23:$T$238)*IF(ISBLANK($T$1),1,IF($I$23:$I$238=$T$1,1,0)))</f>
        <v>9.7900000000000027</v>
      </c>
      <c r="AG8" s="874">
        <f t="array" ref="AG8">SUM(IF(ISTEXT(AG$23:AG$238),1,0)*IF(($T$23:$T$238)="",0,$T$23:$T$238)*IF(ISBLANK($T$1),1,IF($I$23:$I$238=$T$1,1,0)))</f>
        <v>9.7900000000000027</v>
      </c>
      <c r="AH8" s="874">
        <f t="array" ref="AH8">SUM(IF(ISTEXT(AH$23:AH$238),1,0)*IF(($T$23:$T$238)="",0,$T$23:$T$238)*IF(ISBLANK($T$1),1,IF($I$23:$I$238=$T$1,1,0)))</f>
        <v>7.5400000000000009</v>
      </c>
      <c r="AI8" s="874">
        <f t="array" ref="AI8">SUM(IF(ISTEXT(AI$23:AI$238),1,0)*IF(($T$23:$T$238)="",0,$T$23:$T$238)*IF(ISBLANK($T$1),1,IF($I$23:$I$238=$T$1,1,0)))</f>
        <v>5.1700000000000008</v>
      </c>
      <c r="AJ8" s="874">
        <f t="array" ref="AJ8">SUM(IF(ISTEXT(AJ$23:AJ$238),1,0)*IF(($T$23:$T$238)="",0,$T$23:$T$238)*IF(ISBLANK($T$1),1,IF($I$23:$I$238=$T$1,1,0)))</f>
        <v>7.4200000000000017</v>
      </c>
      <c r="AL8" s="874">
        <f t="array" ref="AL8">SUM(IF(ISTEXT(AL$23:AL$238),1,0)*IF(($T$23:$T$238)="",0,$T$23:$T$238)*IF(ISBLANK($T$1),1,IF($I$23:$I$238=$T$1,1,0)))</f>
        <v>7.4200000000000017</v>
      </c>
      <c r="AM8" s="874">
        <f t="array" ref="AM8">SUM(IF(ISTEXT(AM$23:AM$238),1,0)*IF(($T$23:$T$238)="",0,$T$23:$T$238)*IF(ISBLANK($T$1),1,IF($I$23:$I$238=$T$1,1,0)))</f>
        <v>9.7900000000000027</v>
      </c>
      <c r="AN8" s="874">
        <f t="array" ref="AN8">SUM(IF(ISTEXT(AN$23:AN$238),1,0)*IF(($T$23:$T$238)="",0,$T$23:$T$238)*IF(ISBLANK($T$1),1,IF($I$23:$I$238=$T$1,1,0)))</f>
        <v>9.7900000000000027</v>
      </c>
      <c r="AP8" s="874">
        <f t="array" ref="AP8">SUM(IF(ISTEXT(AP$23:AP$238),1,0)*IF(($T$23:$T$238)="",0,$T$23:$T$238)*IF(ISBLANK($T$1),1,IF($I$23:$I$238=$T$1,1,0)))</f>
        <v>5.1700000000000008</v>
      </c>
      <c r="AQ8" s="874">
        <f t="array" ref="AQ8">SUM(IF(ISTEXT(AQ$23:AQ$238),1,0)*IF(($T$23:$T$238)="",0,$T$23:$T$238)*IF(ISBLANK($T$1),1,IF($I$23:$I$238=$T$1,1,0)))</f>
        <v>9.7900000000000027</v>
      </c>
      <c r="AS8" s="874">
        <f t="array" ref="AS8">SUM(IF(ISTEXT(AS$23:AS$238),1,0)*IF(($T$23:$T$238)="",0,$T$23:$T$238)*IF(ISBLANK($T$1),1,IF($I$23:$I$238=$T$1,1,0)))</f>
        <v>5.1700000000000008</v>
      </c>
      <c r="AU8" s="874">
        <f t="array" ref="AU8">SUM(IF(ISTEXT(AU$23:AU$238),1,0)*IF(($T$23:$T$238)="",0,$T$23:$T$238)*IF(ISBLANK($T$1),1,IF($I$23:$I$238=$T$1,1,0)))</f>
        <v>6.72</v>
      </c>
      <c r="AX8" s="874">
        <f t="array" ref="AX8">SUM(IF(ISTEXT(AX$23:AX$238),1,0)*IF(($T$23:$T$238)="",0,$T$23:$T$238)*IF(ISBLANK($T$1),1,IF($I$23:$I$238=$T$1,1,0)))</f>
        <v>7.4200000000000017</v>
      </c>
      <c r="AY8" s="874">
        <f t="array" ref="AY8">SUM(IF(ISTEXT(AY$23:AY$238),1,0)*IF(($T$23:$T$238)="",0,$T$23:$T$238)*IF(ISBLANK($T$1),1,IF($I$23:$I$238=$T$1,1,0)))</f>
        <v>9.7900000000000027</v>
      </c>
      <c r="AZ8" s="874">
        <f t="array" ref="AZ8">SUM(IF(ISTEXT(AZ$23:AZ$238),1,0)*IF(($T$23:$T$238)="",0,$T$23:$T$238)*IF(ISBLANK($T$1),1,IF($I$23:$I$238=$T$1,1,0)))</f>
        <v>7.5400000000000009</v>
      </c>
      <c r="BA8" s="874">
        <f t="array" ref="BA8">SUM(IF(ISTEXT(BA$23:BA$238),1,0)*IF(($T$23:$T$238)="",0,$T$23:$T$238)*IF(ISBLANK($T$1),1,IF($I$23:$I$238=$T$1,1,0)))</f>
        <v>7.4200000000000017</v>
      </c>
      <c r="BB8" s="874" t="e">
        <f t="array" ref="BB8">SUM(IF(ISTEXT(BB$26:BB$238),1,0)*IF(($T$23:$T$238)="",0,$T$23:$T$238)*IF(ISBLANK($T$1),1,IF($I$23:$I$238=$T$1,1,0)))</f>
        <v>#N/A</v>
      </c>
      <c r="BK8" s="874">
        <f t="array" ref="BK8">SUM(IF(ISTEXT(BK$23:BK$238),1,0)*IF(($T$23:$T$238)="",0,$T$23:$T$238)*IF(ISBLANK($T$1),1,IF($I$23:$I$238=$T$1,1,0)))</f>
        <v>9.7900000000000027</v>
      </c>
      <c r="BM8" s="874">
        <f t="array" ref="BM8">SUM(IF(ISTEXT(BM$23:BM$238),1,0)*IF(($T$23:$T$238)="",0,$T$23:$T$238)*IF(ISBLANK($T$1),1,IF($I$23:$I$238=$T$1,1,0)))</f>
        <v>5.5600000000000005</v>
      </c>
      <c r="BQ8" s="874" t="e">
        <f t="array" ref="BQ8">SUM(IF(ISTEXT(BQ$69:BQ$238),1,0)*IF(($T$23:$T$238)="",0,$T$23:$T$238)*IF(ISBLANK($T$1),1,IF($I$23:$I$238=$T$1,1,0)))</f>
        <v>#N/A</v>
      </c>
      <c r="BR8" s="874">
        <f t="array" ref="BR8">SUM(IF(ISTEXT(BR$23:BR$238),1,0)*IF(($T$23:$T$238)="",0,$T$23:$T$238)*IF(ISBLANK($T$1),1,IF($I$23:$I$238=$T$1,1,0)))</f>
        <v>2.7199999999999993</v>
      </c>
      <c r="BS8" s="874" t="e">
        <f t="array" ref="BS8">SUM(IF(ISTEXT(BS$49:BS$238),1,0)*IF(($T$23:$T$238)="",0,$T$23:$T$238)*IF(ISBLANK($T$1),1,IF($I$23:$I$238=$T$1,1,0)))</f>
        <v>#N/A</v>
      </c>
      <c r="BU8" s="874">
        <f t="array" ref="BU8">SUM(IF(ISTEXT(BU$23:BU$238),1,0)*IF(($T$23:$T$238)="",0,$T$23:$T$238)*IF(ISBLANK($T$1),1,IF($I$23:$I$238=$T$1,1,0)))</f>
        <v>-2.0699999999999994</v>
      </c>
      <c r="BZ8" s="874">
        <f t="array" ref="BZ8">SUM(IF(ISTEXT(BZ$23:BZ$238),1,0)*IF(($T$23:$T$238)="",0,$T$23:$T$238)*IF(ISBLANK($T$1),1,IF($I$23:$I$238=$T$1,1,0)))</f>
        <v>1.83</v>
      </c>
      <c r="CA8" s="874">
        <f t="array" ref="CA8">SUM(IF(ISTEXT(CA$23:CA$238),1,0)*IF(($T$23:$T$238)="",0,$T$23:$T$238)*IF(ISBLANK($T$1),1,IF($I$23:$I$238=$T$1,1,0)))</f>
        <v>0</v>
      </c>
      <c r="CB8" s="874">
        <f t="array" ref="CB8">SUM(IF(ISTEXT(CB$23:CB$238),1,0)*IF(($T$23:$T$238)="",0,$T$23:$T$238)*IF(ISBLANK($T$1),1,IF($I$23:$I$238=$T$1,1,0)))</f>
        <v>0</v>
      </c>
      <c r="CC8" s="874">
        <f t="array" ref="CC8">SUM(IF(ISTEXT(CC$23:CC$238),1,0)*IF(($T$23:$T$238)="",0,$T$23:$T$238)*IF(ISBLANK($T$1),1,IF($I$23:$I$238=$T$1,1,0)))</f>
        <v>0</v>
      </c>
      <c r="CD8" s="874">
        <f t="array" ref="CD8">SUM(IF(ISTEXT(CD$23:CD$238),1,0)*IF(($T$23:$T$238)="",0,$T$23:$T$238)*IF(ISBLANK($T$1),1,IF($I$23:$I$238=$T$1,1,0)))</f>
        <v>0</v>
      </c>
      <c r="CE8" s="874">
        <f t="array" ref="CE8">SUM(IF(ISTEXT(CE$23:CE$238),1,0)*IF(($T$23:$T$238)="",0,$T$23:$T$238)*IF(ISBLANK($T$1),1,IF($I$23:$I$238=$T$1,1,0)))</f>
        <v>0</v>
      </c>
      <c r="CF8" s="874">
        <f t="array" ref="CF8">SUM(IF(ISTEXT(CF$23:CF$238),1,0)*IF(($T$23:$T$238)="",0,$T$23:$T$238)*IF(ISBLANK($T$1),1,IF($I$23:$I$238=$T$1,1,0)))</f>
        <v>0</v>
      </c>
      <c r="CG8" s="874">
        <f t="array" ref="CG8">SUM(IF(ISTEXT(CG$23:CG$238),1,0)*IF(($T$23:$T$238)="",0,$T$23:$T$238)*IF(ISBLANK($T$1),1,IF($I$23:$I$238=$T$1,1,0)))</f>
        <v>0</v>
      </c>
      <c r="CH8" s="874">
        <f t="array" ref="CH8">SUM(IF(ISTEXT(CH$23:CH$238),1,0)*IF(($T$23:$T$238)="",0,$T$23:$T$238)*IF(ISBLANK($T$1),1,IF($I$23:$I$238=$T$1,1,0)))</f>
        <v>0</v>
      </c>
      <c r="CI8" s="874">
        <f t="array" ref="CI8">SUM(IF(ISTEXT(CI$23:CI$238),1,0)*IF(($T$23:$T$238)="",0,$T$23:$T$238)*IF(ISBLANK($T$1),1,IF($I$23:$I$238=$T$1,1,0)))</f>
        <v>0</v>
      </c>
      <c r="CJ8" s="874">
        <f t="array" ref="CJ8">SUM(IF(ISTEXT(CJ$23:CJ$238),1,0)*IF(($T$23:$T$238)="",0,$T$23:$T$238)*IF(ISBLANK($T$1),1,IF($I$23:$I$238=$T$1,1,0)))</f>
        <v>0</v>
      </c>
      <c r="CK8" s="874">
        <f t="array" ref="CK8">SUM(IF(ISTEXT(CK$23:CK$238),1,0)*IF(($T$23:$T$238)="",0,$T$23:$T$238)*IF(ISBLANK($T$1),1,IF($I$23:$I$238=$T$1,1,0)))</f>
        <v>0.1800000000000006</v>
      </c>
      <c r="CL8" s="874">
        <f t="array" ref="CL8">SUM(IF(ISTEXT(CL$23:CL$238),1,0)*IF(($T$23:$T$238)="",0,$T$23:$T$238)*IF(ISBLANK($T$1),1,IF($I$23:$I$238=$T$1,1,0)))</f>
        <v>0.1800000000000006</v>
      </c>
      <c r="CM8" s="874">
        <f t="array" ref="CM8">SUM(IF(ISTEXT(CM$23:CM$238),1,0)*IF(($T$23:$T$238)="",0,$T$23:$T$238)*IF(ISBLANK($T$1),1,IF($I$23:$I$238=$T$1,1,0)))</f>
        <v>0.79000000000000048</v>
      </c>
    </row>
    <row r="9" spans="1:91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M9" si="7">AF8/AF2</f>
        <v>0.22250000000000006</v>
      </c>
      <c r="AG9" s="874">
        <f t="shared" si="7"/>
        <v>0.22767441860465124</v>
      </c>
      <c r="AH9" s="874">
        <f t="shared" si="7"/>
        <v>0.17952380952380956</v>
      </c>
      <c r="AI9" s="874">
        <f t="shared" si="7"/>
        <v>0.12309523809523812</v>
      </c>
      <c r="AJ9" s="874">
        <f t="shared" si="7"/>
        <v>0.17255813953488375</v>
      </c>
      <c r="AL9" s="874">
        <f>AL8/AL2</f>
        <v>0.17255813953488375</v>
      </c>
      <c r="AM9" s="874">
        <f t="shared" si="7"/>
        <v>0.22250000000000006</v>
      </c>
      <c r="AN9" s="874">
        <f>AN8/AN2</f>
        <v>0.22250000000000006</v>
      </c>
      <c r="AP9" s="874">
        <f>AP8/AP2</f>
        <v>0.12309523809523812</v>
      </c>
      <c r="AQ9" s="874">
        <f t="shared" si="7"/>
        <v>0.22250000000000006</v>
      </c>
      <c r="AS9" s="874">
        <f>AS8/AS2</f>
        <v>0.12309523809523812</v>
      </c>
      <c r="AU9" s="874">
        <f>AU8/AU2</f>
        <v>0.35368421052631577</v>
      </c>
      <c r="AX9" s="874">
        <f>AX8/AX2</f>
        <v>0.17255813953488375</v>
      </c>
      <c r="AY9" s="874">
        <f>AY8/AY2</f>
        <v>0.22250000000000006</v>
      </c>
      <c r="AZ9" s="874">
        <f>AZ8/AZ2</f>
        <v>0.17534883720930236</v>
      </c>
      <c r="BA9" s="874">
        <f>BA8/BA2</f>
        <v>0.17255813953488375</v>
      </c>
      <c r="BB9" s="874" t="e">
        <f>BB8/BB2</f>
        <v>#N/A</v>
      </c>
      <c r="BK9" s="874">
        <f>BK8/BK2</f>
        <v>0.22250000000000006</v>
      </c>
      <c r="BM9" s="874">
        <f t="shared" ref="BM9" si="8">BM8/BM2</f>
        <v>0.1635294117647059</v>
      </c>
      <c r="BQ9" s="874" t="e">
        <f>BQ8/BQ2</f>
        <v>#N/A</v>
      </c>
      <c r="BR9" s="874">
        <f>BR8/BR2</f>
        <v>0.13599999999999995</v>
      </c>
      <c r="BS9" s="874" t="e">
        <f t="shared" si="7"/>
        <v>#N/A</v>
      </c>
      <c r="BU9" s="874">
        <f>BU8/BU2</f>
        <v>-7.3928571428571413E-2</v>
      </c>
      <c r="BZ9" s="874">
        <f t="shared" ref="BZ9:CF9" si="9">BZ8/BZ2</f>
        <v>1.83</v>
      </c>
      <c r="CA9" s="874" t="e">
        <f t="shared" si="9"/>
        <v>#DIV/0!</v>
      </c>
      <c r="CB9" s="874" t="e">
        <f t="shared" si="9"/>
        <v>#DIV/0!</v>
      </c>
      <c r="CC9" s="874" t="e">
        <f t="shared" si="9"/>
        <v>#DIV/0!</v>
      </c>
      <c r="CD9" s="874" t="e">
        <f t="shared" si="9"/>
        <v>#DIV/0!</v>
      </c>
      <c r="CE9" s="874" t="e">
        <f t="shared" si="9"/>
        <v>#DIV/0!</v>
      </c>
      <c r="CF9" s="874" t="e">
        <f t="shared" si="9"/>
        <v>#DIV/0!</v>
      </c>
      <c r="CG9" s="874" t="e">
        <f t="shared" si="7"/>
        <v>#DIV/0!</v>
      </c>
      <c r="CH9" s="874" t="e">
        <f t="shared" si="7"/>
        <v>#DIV/0!</v>
      </c>
      <c r="CI9" s="874" t="e">
        <f t="shared" si="7"/>
        <v>#DIV/0!</v>
      </c>
      <c r="CJ9" s="874" t="e">
        <f t="shared" si="7"/>
        <v>#DIV/0!</v>
      </c>
      <c r="CK9" s="874">
        <f t="shared" si="7"/>
        <v>1.1250000000000038E-2</v>
      </c>
      <c r="CL9" s="874">
        <f t="shared" si="7"/>
        <v>1.1250000000000038E-2</v>
      </c>
      <c r="CM9" s="874">
        <f t="shared" si="7"/>
        <v>5.2666666666666702E-2</v>
      </c>
    </row>
    <row r="10" spans="1:91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SUM(IF(ISBLANK($T$1),$J$23:$J$238,IF($I$23:$I$238=$T$1,$J$23:$J$238,0)))</f>
        <v>34</v>
      </c>
      <c r="AG10" s="874">
        <f t="array" ref="AG10">SUM(IF(ISBLANK(AG$23:AG$238),0,IF(ISNUMBER(VALUE(RIGHT(AG$23:AG$238,1))),RIGHT(AG$23:AG$238,1),0)*IF(ISBLANK($T$1),1,IF($I$23:$I$238=$T$1,1,0))))</f>
        <v>0</v>
      </c>
      <c r="AH10" s="874">
        <f t="array" ref="AH10">SUM(IF(ISBLANK(AH$23:AH$238),0,IF(ISNUMBER(VALUE(RIGHT(AH$23:AH$238,1))),RIGHT(AH$23:AH$238,1),0)*IF(ISBLANK($T$1),1,IF($I$23:$I$238=$T$1,1,0))))</f>
        <v>0</v>
      </c>
      <c r="AI10" s="874">
        <f t="array" ref="AI10">SUM(IF(ISBLANK(AI$23:AI$238),0,IF(ISNUMBER(VALUE(RIGHT(AI$23:AI$238,1))),RIGHT(AI$23:AI$238,1),0)*IF(ISBLANK($T$1),1,IF($I$23:$I$238=$T$1,1,0))))</f>
        <v>0</v>
      </c>
      <c r="AJ10" s="874">
        <f t="array" ref="AJ10">SUM(IF(ISBLANK(AJ$23:AJ$238),0,IF(ISNUMBER(VALUE(RIGHT(AJ$23:AJ$238,1))),RIGHT(AJ$23:AJ$238,1),0)*IF(ISBLANK($T$1),1,IF($I$23:$I$238=$T$1,1,0))))</f>
        <v>0</v>
      </c>
      <c r="AL10" s="874">
        <f t="array" ref="AL10">SUM(IF(ISBLANK(AL$23:AL$238),0,IF(ISNUMBER(VALUE(RIGHT(AL$23:AL$238,1))),RIGHT(AL$23:AL$238,1),0)*IF(ISBLANK($T$1),1,IF($I$23:$I$238=$T$1,1,0))))</f>
        <v>0</v>
      </c>
      <c r="AM10" s="874">
        <f t="array" ref="AM10">SUM(IF(ISBLANK(AM$23:AM$238),0,IF(ISNUMBER(VALUE(RIGHT(AM$23:AM$238,1))),RIGHT(AM$23:AM$238,1),0)*IF(ISBLANK($T$1),1,IF($I$23:$I$238=$T$1,1,0))))</f>
        <v>0</v>
      </c>
      <c r="AN10" s="874">
        <f t="array" ref="AN10">SUM(IF(ISBLANK(AN$23:AN$238),0,IF(ISNUMBER(VALUE(RIGHT(AN$23:AN$238,1))),RIGHT(AN$23:AN$238,1),0)*IF(ISBLANK($T$1),1,IF($I$23:$I$238=$T$1,1,0))))</f>
        <v>0</v>
      </c>
      <c r="AP10" s="874">
        <f t="array" ref="AP10">SUM(IF(ISBLANK(AP$23:AP$238),0,IF(ISNUMBER(VALUE(RIGHT(AP$23:AP$238,1))),RIGHT(AP$23:AP$238,1),0)*IF(ISBLANK($T$1),1,IF($I$23:$I$238=$T$1,1,0))))</f>
        <v>0</v>
      </c>
      <c r="AQ10" s="874">
        <f t="array" ref="AQ10">SUM(IF(ISBLANK(AQ$23:AQ$238),0,IF(ISNUMBER(VALUE(RIGHT(AQ$23:AQ$238,1))),RIGHT(AQ$23:AQ$238,1),0)*IF(ISBLANK($T$1),1,IF($I$23:$I$238=$T$1,1,0))))</f>
        <v>0</v>
      </c>
      <c r="AS10" s="874">
        <f t="array" ref="AS10">SUM(IF(ISBLANK(AS$23:AS$238),0,IF(ISNUMBER(VALUE(RIGHT(AS$23:AS$238,1))),RIGHT(AS$23:AS$238,1),0)*IF(ISBLANK($T$1),1,IF($I$23:$I$238=$T$1,1,0))))</f>
        <v>0</v>
      </c>
      <c r="AU10" s="874">
        <f t="array" ref="AU10">SUM(IF(ISBLANK(AU$23:AU$238),0,IF(ISNUMBER(VALUE(RIGHT(AU$23:AU$238,1))),RIGHT(AU$23:AU$238,1),0)*IF(ISBLANK($T$1),1,IF($I$23:$I$238=$T$1,1,0))))</f>
        <v>0</v>
      </c>
      <c r="AX10" s="874">
        <f t="array" ref="AX10">SUM(IF(ISBLANK(AX$23:AX$238),0,IF(ISNUMBER(VALUE(RIGHT(AX$23:AX$238,1))),RIGHT(AX$23:AX$238,1),0)*IF(ISBLANK($T$1),1,IF($I$23:$I$238=$T$1,1,0))))</f>
        <v>4</v>
      </c>
      <c r="AY10" s="874">
        <f t="array" ref="AY10">SUM(IF(ISBLANK(AY$23:AY$238),0,IF(ISNUMBER(VALUE(RIGHT(AY$23:AY$238,1))),RIGHT(AY$23:AY$238,1),0)*IF(ISBLANK($T$1),1,IF($I$23:$I$238=$T$1,1,0))))</f>
        <v>0</v>
      </c>
      <c r="AZ10" s="874">
        <f t="array" ref="AZ10">SUM(IF(ISBLANK(AZ$23:AZ$238),0,IF(ISNUMBER(VALUE(RIGHT(AZ$23:AZ$238,1))),RIGHT(AZ$23:AZ$238,1),0)*IF(ISBLANK($T$1),1,IF($I$23:$I$238=$T$1,1,0))))</f>
        <v>0</v>
      </c>
      <c r="BA10" s="874">
        <f t="array" ref="BA10">SUM(IF(ISBLANK(BA$23:BA$238),0,IF(ISNUMBER(VALUE(RIGHT(BA$23:BA$238,1))),RIGHT(BA$23:BA$238,1),0)*IF(ISBLANK($T$1),1,IF($I$23:$I$238=$T$1,1,0))))</f>
        <v>10</v>
      </c>
      <c r="BB10" s="874">
        <f t="array" ref="BB10">SUM(IF(ISBLANK(BB$26:BB$238),0,IF(ISNUMBER(VALUE(RIGHT(BB$26:BB$238,1))),RIGHT(BB$26:BB$238,1),0)*IF(ISBLANK($T$1),1,IF($I$23:$I$238=$T$1,1,0))))</f>
        <v>0</v>
      </c>
      <c r="BK10" s="874">
        <f t="array" ref="BK10">SUM(IF(ISBLANK(BK$23:BK$238),0,IF(ISNUMBER(VALUE(RIGHT(BK$23:BK$238,1))),RIGHT(BK$23:BK$238,1),0)*IF(ISBLANK($T$1),1,IF($I$23:$I$238=$T$1,1,0))))</f>
        <v>4</v>
      </c>
      <c r="BM10" s="874">
        <f t="array" ref="BM10">SUM(IF(ISBLANK(BM$23:BM$238),0,IF(ISNUMBER(VALUE(RIGHT(BM$23:BM$238,1))),RIGHT(BM$23:BM$238,1),0)*IF(ISBLANK($T$1),1,IF($I$23:$I$238=$T$1,1,0))))</f>
        <v>0</v>
      </c>
      <c r="BQ10" s="874">
        <f t="array" ref="BQ10">SUM(IF(ISBLANK(BQ$69:BQ$238),0,IF(ISNUMBER(VALUE(RIGHT(BQ$69:BQ$238,1))),RIGHT(BQ$69:BQ$238,1),0)*IF(ISBLANK($T$1),1,IF($I$23:$I$238=$T$1,1,0))))</f>
        <v>0</v>
      </c>
      <c r="BR10" s="874">
        <f t="array" ref="BR10">SUM(IF(ISBLANK(BR$23:BR$238),0,IF(ISNUMBER(VALUE(RIGHT(BR$23:BR$238,1))),RIGHT(BR$23:BR$238,1),0)*IF(ISBLANK($T$1),1,IF($I$23:$I$238=$T$1,1,0))))</f>
        <v>0</v>
      </c>
      <c r="BS10" s="874">
        <f t="array" ref="BS10">SUM(IF(ISBLANK(BS$49:BS$238),0,IF(ISNUMBER(VALUE(RIGHT(BS$49:BS$238,1))),RIGHT(BS$49:BS$238,1),0)*IF(ISBLANK($T$1),1,IF($I$23:$I$238=$T$1,1,0))))</f>
        <v>8</v>
      </c>
      <c r="BU10" s="874">
        <f t="array" ref="BU10">SUM(IF(ISBLANK(BU$23:BU$238),0,IF(ISNUMBER(VALUE(RIGHT(BU$23:BU$238,1))),RIGHT(BU$23:BU$238,1),0)*IF(ISBLANK($T$1),1,IF($I$23:$I$238=$T$1,1,0))))</f>
        <v>0</v>
      </c>
      <c r="BZ10" s="874">
        <f t="array" ref="BZ10">SUM(IF(ISBLANK(BZ$23:BZ$238),0,IF(ISNUMBER(VALUE(RIGHT(BZ$23:BZ$238,1))),RIGHT(BZ$23:BZ$238,1),0)*IF(ISBLANK($T$1),1,IF($I$23:$I$238=$T$1,1,0))))</f>
        <v>0</v>
      </c>
      <c r="CA10" s="874">
        <f t="array" ref="CA10">SUM(IF(ISBLANK(CA$23:CA$238),0,IF(ISNUMBER(VALUE(RIGHT(CA$23:CA$238,1))),RIGHT(CA$23:CA$238,1),0)*IF(ISBLANK($T$1),1,IF($I$23:$I$238=$T$1,1,0))))</f>
        <v>0</v>
      </c>
      <c r="CB10" s="874">
        <f t="array" ref="CB10">SUM(IF(ISBLANK(CB$23:CB$238),0,IF(ISNUMBER(VALUE(RIGHT(CB$23:CB$238,1))),RIGHT(CB$23:CB$238,1),0)*IF(ISBLANK($T$1),1,IF($I$23:$I$238=$T$1,1,0))))</f>
        <v>0</v>
      </c>
      <c r="CC10" s="874">
        <f t="array" ref="CC10">SUM(IF(ISBLANK(CC$23:CC$238),0,IF(ISNUMBER(VALUE(RIGHT(CC$23:CC$238,1))),RIGHT(CC$23:CC$238,1),0)*IF(ISBLANK($T$1),1,IF($I$23:$I$238=$T$1,1,0))))</f>
        <v>0</v>
      </c>
      <c r="CD10" s="874">
        <f t="array" ref="CD10">SUM(IF(ISBLANK(CD$23:CD$238),0,IF(ISNUMBER(VALUE(RIGHT(CD$23:CD$238,1))),RIGHT(CD$23:CD$238,1),0)*IF(ISBLANK($T$1),1,IF($I$23:$I$238=$T$1,1,0))))</f>
        <v>0</v>
      </c>
      <c r="CE10" s="874">
        <f t="array" ref="CE10">SUM(IF(ISBLANK(CE$23:CE$238),0,IF(ISNUMBER(VALUE(RIGHT(CE$23:CE$238,1))),RIGHT(CE$23:CE$238,1),0)*IF(ISBLANK($T$1),1,IF($I$23:$I$238=$T$1,1,0))))</f>
        <v>0</v>
      </c>
      <c r="CF10" s="874">
        <f t="array" ref="CF10">SUM(IF(ISBLANK(CF$23:CF$238),0,IF(ISNUMBER(VALUE(RIGHT(CF$23:CF$238,1))),RIGHT(CF$23:CF$238,1),0)*IF(ISBLANK($T$1),1,IF($I$23:$I$238=$T$1,1,0))))</f>
        <v>0</v>
      </c>
      <c r="CG10" s="874">
        <f t="array" ref="CG10">SUM(IF(ISBLANK(CG$23:CG$238),0,IF(ISNUMBER(VALUE(RIGHT(CG$23:CG$238,1))),RIGHT(CG$23:CG$238,1),0)*IF(ISBLANK($T$1),1,IF($I$23:$I$238=$T$1,1,0))))</f>
        <v>0</v>
      </c>
      <c r="CH10" s="874">
        <f t="array" ref="CH10">SUM(IF(ISBLANK(CH$23:CH$238),0,IF(ISNUMBER(VALUE(RIGHT(CH$23:CH$238,1))),RIGHT(CH$23:CH$238,1),0)*IF(ISBLANK($T$1),1,IF($I$23:$I$238=$T$1,1,0))))</f>
        <v>0</v>
      </c>
      <c r="CI10" s="874">
        <f t="array" ref="CI10">SUM(IF(ISBLANK(CI$23:CI$238),0,IF(ISNUMBER(VALUE(RIGHT(CI$23:CI$238,1))),RIGHT(CI$23:CI$238,1),0)*IF(ISBLANK($T$1),1,IF($I$23:$I$238=$T$1,1,0))))</f>
        <v>0</v>
      </c>
      <c r="CJ10" s="874">
        <f t="array" ref="CJ10">SUM(IF(ISBLANK(CJ$23:CJ$238),0,IF(ISNUMBER(VALUE(RIGHT(CJ$23:CJ$238,1))),RIGHT(CJ$23:CJ$238,1),0)*IF(ISBLANK($T$1),1,IF($I$23:$I$238=$T$1,1,0))))</f>
        <v>0</v>
      </c>
      <c r="CK10" s="874">
        <f t="array" ref="CK10">SUM(IF(ISBLANK(CK$23:CK$238),0,IF(ISNUMBER(VALUE(RIGHT(CK$23:CK$238,1))),RIGHT(CK$23:CK$238,1),0)*IF(ISBLANK($T$1),1,IF($I$23:$I$238=$T$1,1,0))))</f>
        <v>0</v>
      </c>
      <c r="CL10" s="874">
        <f t="array" ref="CL10">SUM(IF(ISBLANK(CL$23:CL$238),0,IF(ISNUMBER(VALUE(RIGHT(CL$23:CL$238,1))),RIGHT(CL$23:CL$238,1),0)*IF(ISBLANK($T$1),1,IF($I$23:$I$238=$T$1,1,0))))</f>
        <v>0</v>
      </c>
      <c r="CM10" s="874">
        <f t="array" ref="CM10">SUM(IF(ISBLANK(CM$23:CM$238),0,IF(ISNUMBER(VALUE(RIGHT(CM$23:CM$238,1))),RIGHT(CM$23:CM$238,1),0)*IF(ISBLANK($T$1),1,IF($I$23:$I$238=$T$1,1,0))))</f>
        <v>0</v>
      </c>
    </row>
    <row r="11" spans="1:91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M11" si="10">AF10/AF2</f>
        <v>0.77272727272727271</v>
      </c>
      <c r="AG11" s="874">
        <f t="shared" si="10"/>
        <v>0</v>
      </c>
      <c r="AH11" s="874">
        <f t="shared" si="10"/>
        <v>0</v>
      </c>
      <c r="AI11" s="874">
        <f t="shared" si="10"/>
        <v>0</v>
      </c>
      <c r="AJ11" s="874">
        <f t="shared" si="10"/>
        <v>0</v>
      </c>
      <c r="AL11" s="874">
        <f>AL10/AL2</f>
        <v>0</v>
      </c>
      <c r="AM11" s="874">
        <f t="shared" si="10"/>
        <v>0</v>
      </c>
      <c r="AN11" s="874">
        <f>AN10/AN2</f>
        <v>0</v>
      </c>
      <c r="AP11" s="874">
        <f>AP10/AP2</f>
        <v>0</v>
      </c>
      <c r="AQ11" s="874">
        <f t="shared" si="10"/>
        <v>0</v>
      </c>
      <c r="AS11" s="874">
        <f>AS10/AS2</f>
        <v>0</v>
      </c>
      <c r="AU11" s="874">
        <f>AU10/AU2</f>
        <v>0</v>
      </c>
      <c r="AX11" s="874">
        <f>AX10/AX2</f>
        <v>9.3023255813953487E-2</v>
      </c>
      <c r="AY11" s="874">
        <f>AY10/AY2</f>
        <v>0</v>
      </c>
      <c r="AZ11" s="874">
        <f>AZ10/AZ2</f>
        <v>0</v>
      </c>
      <c r="BA11" s="874">
        <f>BA10/BA2</f>
        <v>0.23255813953488372</v>
      </c>
      <c r="BB11" s="874">
        <f>BB10/BB2</f>
        <v>0</v>
      </c>
      <c r="BK11" s="874">
        <f>BK10/BK2</f>
        <v>9.0909090909090912E-2</v>
      </c>
      <c r="BM11" s="874">
        <f t="shared" ref="BM11" si="11">BM10/BM2</f>
        <v>0</v>
      </c>
      <c r="BQ11" s="874" t="e">
        <f>BQ10/BQ2</f>
        <v>#DIV/0!</v>
      </c>
      <c r="BR11" s="874">
        <f>BR10/BR2</f>
        <v>0</v>
      </c>
      <c r="BS11" s="874">
        <f t="shared" si="10"/>
        <v>0.5</v>
      </c>
      <c r="BU11" s="874">
        <f>BU10/BU2</f>
        <v>0</v>
      </c>
      <c r="BZ11" s="874">
        <f t="shared" ref="BZ11:CF11" si="12">BZ10/BZ2</f>
        <v>0</v>
      </c>
      <c r="CA11" s="874" t="e">
        <f t="shared" si="12"/>
        <v>#DIV/0!</v>
      </c>
      <c r="CB11" s="874" t="e">
        <f t="shared" si="12"/>
        <v>#DIV/0!</v>
      </c>
      <c r="CC11" s="874" t="e">
        <f t="shared" si="12"/>
        <v>#DIV/0!</v>
      </c>
      <c r="CD11" s="874" t="e">
        <f t="shared" si="12"/>
        <v>#DIV/0!</v>
      </c>
      <c r="CE11" s="874" t="e">
        <f t="shared" si="12"/>
        <v>#DIV/0!</v>
      </c>
      <c r="CF11" s="874" t="e">
        <f t="shared" si="12"/>
        <v>#DIV/0!</v>
      </c>
      <c r="CG11" s="874" t="e">
        <f t="shared" si="10"/>
        <v>#DIV/0!</v>
      </c>
      <c r="CH11" s="874" t="e">
        <f t="shared" si="10"/>
        <v>#DIV/0!</v>
      </c>
      <c r="CI11" s="874" t="e">
        <f t="shared" si="10"/>
        <v>#DIV/0!</v>
      </c>
      <c r="CJ11" s="874" t="e">
        <f t="shared" si="10"/>
        <v>#DIV/0!</v>
      </c>
      <c r="CK11" s="874">
        <f t="shared" si="10"/>
        <v>0</v>
      </c>
      <c r="CL11" s="874">
        <f t="shared" si="10"/>
        <v>0</v>
      </c>
      <c r="CM11" s="874">
        <f t="shared" si="10"/>
        <v>0</v>
      </c>
    </row>
    <row r="12" spans="1:91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SUM(IF(ISBLANK($T$1),$K$23:$K$238,IF($I$23:$I$238=$T$1,$K$23:$K$238,0)))</f>
        <v>93</v>
      </c>
      <c r="AG12" s="874">
        <f t="array" ref="AG12">SUM(IF(ISBLANK(AG$23:AG$238),0,$K23:$K238)*IF(ISBLANK($T$1),1,IF($I$23:$I$238=$T$1,1,0)))</f>
        <v>92</v>
      </c>
      <c r="AH12" s="874">
        <f t="array" ref="AH12">SUM(IF(ISBLANK(AH$23:AH$238),0,$K23:$K238)*IF(ISBLANK($T$1),1,IF($I$23:$I$238=$T$1,1,0)))</f>
        <v>88</v>
      </c>
      <c r="AI12" s="874">
        <f t="array" ref="AI12">SUM(IF(ISBLANK(AI$23:AI$238),0,$K23:$K238)*IF(ISBLANK($T$1),1,IF($I$23:$I$238=$T$1,1,0)))</f>
        <v>85</v>
      </c>
      <c r="AJ12" s="874">
        <f t="array" ref="AJ12">SUM(IF(ISBLANK(AJ$23:AJ$238),0,$K23:$K238)*IF(ISBLANK($T$1),1,IF($I$23:$I$238=$T$1,1,0)))</f>
        <v>89</v>
      </c>
      <c r="AL12" s="874">
        <f t="array" ref="AL12">SUM(IF(ISBLANK(AL$23:AL$238),0,$K23:$K238)*IF(ISBLANK($T$1),1,IF($I$23:$I$238=$T$1,1,0)))</f>
        <v>89</v>
      </c>
      <c r="AM12" s="874">
        <f t="array" ref="AM12">SUM(IF(ISBLANK(AM$23:AM$238),0,$K23:$K238)*IF(ISBLANK($T$1),1,IF($I$23:$I$238=$T$1,1,0)))</f>
        <v>93</v>
      </c>
      <c r="AN12" s="874">
        <f t="array" ref="AN12">SUM(IF(ISBLANK(AN$23:AN$238),0,$K23:$K238)*IF(ISBLANK($T$1),1,IF($I$23:$I$238=$T$1,1,0)))</f>
        <v>93</v>
      </c>
      <c r="AP12" s="874">
        <f t="array" ref="AP12">SUM(IF(ISBLANK(AP$23:AP$238),0,$K23:$K238)*IF(ISBLANK($T$1),1,IF($I$23:$I$238=$T$1,1,0)))</f>
        <v>85</v>
      </c>
      <c r="AQ12" s="874">
        <f t="array" ref="AQ12">SUM(IF(ISBLANK(AQ$23:AQ$238),0,$K23:$K238)*IF(ISBLANK($T$1),1,IF($I$23:$I$238=$T$1,1,0)))</f>
        <v>93</v>
      </c>
      <c r="AS12" s="874">
        <f t="array" ref="AS12">SUM(IF(ISBLANK(AS$23:AS$238),0,$K23:$K238)*IF(ISBLANK($T$1),1,IF($I$23:$I$238=$T$1,1,0)))</f>
        <v>85</v>
      </c>
      <c r="AU12" s="874">
        <f t="array" ref="AU12">SUM(IF(ISBLANK(AU$23:AU$238),0,$K23:$K238)*IF(ISBLANK($T$1),1,IF($I$23:$I$238=$T$1,1,0)))</f>
        <v>42</v>
      </c>
      <c r="AX12" s="874">
        <f t="array" ref="AX12">SUM(IF(ISBLANK(AX$23:AX$238),0,$K23:$K238)*IF(ISBLANK($T$1),1,IF($I$23:$I$238=$T$1,1,0)))</f>
        <v>89</v>
      </c>
      <c r="AY12" s="874">
        <f t="array" ref="AY12">SUM(IF(ISBLANK(AY$23:AY$238),0,$K23:$K238)*IF(ISBLANK($T$1),1,IF($I$23:$I$238=$T$1,1,0)))</f>
        <v>93</v>
      </c>
      <c r="AZ12" s="874">
        <f t="array" ref="AZ12">SUM(IF(ISBLANK(AZ$23:AZ$238),0,$K23:$K238)*IF(ISBLANK($T$1),1,IF($I$23:$I$238=$T$1,1,0)))</f>
        <v>89</v>
      </c>
      <c r="BA12" s="874">
        <f t="array" ref="BA12">SUM(IF(ISBLANK(BA$23:BA$238),0,$K23:$K238)*IF(ISBLANK($T$1),1,IF($I$23:$I$238=$T$1,1,0)))</f>
        <v>89</v>
      </c>
      <c r="BB12" s="874" t="e">
        <f t="array" ref="BB12">SUM(IF(ISBLANK(BB$26:BB$238),0,$K23:$K238)*IF(ISBLANK($T$1),1,IF($I$23:$I$238=$T$1,1,0)))</f>
        <v>#N/A</v>
      </c>
      <c r="BK12" s="874">
        <f t="array" ref="BK12">SUM(IF(ISBLANK(BK$23:BK$238),0,$K23:$K238)*IF(ISBLANK($T$1),1,IF($I$23:$I$238=$T$1,1,0)))</f>
        <v>93</v>
      </c>
      <c r="BM12" s="874">
        <f t="array" ref="BM12">SUM(IF(ISBLANK(BM$23:BM$238),0,$K23:$K238)*IF(ISBLANK($T$1),1,IF($I$23:$I$238=$T$1,1,0)))</f>
        <v>68</v>
      </c>
      <c r="BQ12" s="874" t="e">
        <f t="array" ref="BQ12">SUM(IF(ISBLANK(BQ$69:BQ$238),0,$K23:$K238)*IF(ISBLANK($T$1),1,IF($I$23:$I$238=$T$1,1,0)))</f>
        <v>#N/A</v>
      </c>
      <c r="BR12" s="874">
        <f t="array" ref="BR12">SUM(IF(ISBLANK(BR$23:BR$238),0,$K23:$K238)*IF(ISBLANK($T$1),1,IF($I$23:$I$238=$T$1,1,0)))</f>
        <v>35</v>
      </c>
      <c r="BS12" s="874" t="e">
        <f t="array" ref="BS12">SUM(IF(ISBLANK(BS$49:BS$238),0,$K23:$K238)*IF(ISBLANK($T$1),1,IF($I$23:$I$238=$T$1,1,0)))</f>
        <v>#N/A</v>
      </c>
      <c r="BU12" s="874">
        <f t="array" ref="BU12">SUM(IF(ISBLANK(BU$23:BU$238),0,$K23:$K238)*IF(ISBLANK($T$1),1,IF($I$23:$I$238=$T$1,1,0)))</f>
        <v>52</v>
      </c>
      <c r="BZ12" s="874">
        <f t="array" ref="BZ12">SUM(IF(ISBLANK(BZ$23:BZ$238),0,$K23:$K238)*IF(ISBLANK($T$1),1,IF($I$23:$I$238=$T$1,1,0)))</f>
        <v>4</v>
      </c>
      <c r="CA12" s="874">
        <f t="array" ref="CA12">SUM(IF(ISBLANK(CA$23:CA$238),0,$K23:$K238)*IF(ISBLANK($T$1),1,IF($I$23:$I$238=$T$1,1,0)))</f>
        <v>0</v>
      </c>
      <c r="CB12" s="874">
        <f t="array" ref="CB12">SUM(IF(ISBLANK(CB$23:CB$238),0,$K23:$K238)*IF(ISBLANK($T$1),1,IF($I$23:$I$238=$T$1,1,0)))</f>
        <v>0</v>
      </c>
      <c r="CC12" s="874">
        <f t="array" ref="CC12">SUM(IF(ISBLANK(CC$23:CC$238),0,$K23:$K238)*IF(ISBLANK($T$1),1,IF($I$23:$I$238=$T$1,1,0)))</f>
        <v>0</v>
      </c>
      <c r="CD12" s="874">
        <f t="array" ref="CD12">SUM(IF(ISBLANK(CD$23:CD$238),0,$K23:$K238)*IF(ISBLANK($T$1),1,IF($I$23:$I$238=$T$1,1,0)))</f>
        <v>0</v>
      </c>
      <c r="CE12" s="874">
        <f t="array" ref="CE12">SUM(IF(ISBLANK(CE$23:CE$238),0,$K23:$K238)*IF(ISBLANK($T$1),1,IF($I$23:$I$238=$T$1,1,0)))</f>
        <v>0</v>
      </c>
      <c r="CF12" s="874">
        <f t="array" ref="CF12">SUM(IF(ISBLANK(CF$23:CF$238),0,$K23:$K238)*IF(ISBLANK($T$1),1,IF($I$23:$I$238=$T$1,1,0)))</f>
        <v>0</v>
      </c>
      <c r="CG12" s="874">
        <f t="array" ref="CG12">SUM(IF(ISBLANK(CG$23:CG$238),0,$K23:$K238)*IF(ISBLANK($T$1),1,IF($I$23:$I$238=$T$1,1,0)))</f>
        <v>0</v>
      </c>
      <c r="CH12" s="874">
        <f t="array" ref="CH12">SUM(IF(ISBLANK(CH$23:CH$238),0,$K23:$K238)*IF(ISBLANK($T$1),1,IF($I$23:$I$238=$T$1,1,0)))</f>
        <v>0</v>
      </c>
      <c r="CI12" s="874">
        <f t="array" ref="CI12">SUM(IF(ISBLANK(CI$23:CI$238),0,$K23:$K238)*IF(ISBLANK($T$1),1,IF($I$23:$I$238=$T$1,1,0)))</f>
        <v>0</v>
      </c>
      <c r="CJ12" s="874">
        <f t="array" ref="CJ12">SUM(IF(ISBLANK(CJ$23:CJ$238),0,$K23:$K238)*IF(ISBLANK($T$1),1,IF($I$23:$I$238=$T$1,1,0)))</f>
        <v>0</v>
      </c>
      <c r="CK12" s="874">
        <f t="array" ref="CK12">SUM(IF(ISBLANK(CK$23:CK$238),0,$K23:$K238)*IF(ISBLANK($T$1),1,IF($I$23:$I$238=$T$1,1,0)))</f>
        <v>31</v>
      </c>
      <c r="CL12" s="874">
        <f t="array" ref="CL12">SUM(IF(ISBLANK(CL$23:CL$238),0,$K23:$K238)*IF(ISBLANK($T$1),1,IF($I$23:$I$238=$T$1,1,0)))</f>
        <v>31</v>
      </c>
      <c r="CM12" s="874">
        <f t="array" ref="CM12">SUM(IF(ISBLANK(CM$23:CM$238),0,$K23:$K238)*IF(ISBLANK($T$1),1,IF($I$23:$I$238=$T$1,1,0)))</f>
        <v>29</v>
      </c>
    </row>
    <row r="13" spans="1:91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M13" si="13">AF12/AF2</f>
        <v>2.1136363636363638</v>
      </c>
      <c r="AG13" s="874">
        <f t="shared" si="13"/>
        <v>2.13953488372093</v>
      </c>
      <c r="AH13" s="874">
        <f t="shared" si="13"/>
        <v>2.0952380952380953</v>
      </c>
      <c r="AI13" s="874">
        <f t="shared" si="13"/>
        <v>2.0238095238095237</v>
      </c>
      <c r="AJ13" s="874">
        <f t="shared" si="13"/>
        <v>2.0697674418604652</v>
      </c>
      <c r="AL13" s="874">
        <f>AL12/AL2</f>
        <v>2.0697674418604652</v>
      </c>
      <c r="AM13" s="874">
        <f t="shared" si="13"/>
        <v>2.1136363636363638</v>
      </c>
      <c r="AN13" s="874">
        <f>AN12/AN2</f>
        <v>2.1136363636363638</v>
      </c>
      <c r="AP13" s="874">
        <f>AP12/AP2</f>
        <v>2.0238095238095237</v>
      </c>
      <c r="AQ13" s="874">
        <f t="shared" si="13"/>
        <v>2.1136363636363638</v>
      </c>
      <c r="AS13" s="874">
        <f>AS12/AS2</f>
        <v>2.0238095238095237</v>
      </c>
      <c r="AU13" s="874">
        <f>AU12/AU2</f>
        <v>2.2105263157894739</v>
      </c>
      <c r="AX13" s="874">
        <f>AX12/AX2</f>
        <v>2.0697674418604652</v>
      </c>
      <c r="AY13" s="874">
        <f>AY12/AY2</f>
        <v>2.1136363636363638</v>
      </c>
      <c r="AZ13" s="874">
        <f>AZ12/AZ2</f>
        <v>2.0697674418604652</v>
      </c>
      <c r="BA13" s="874">
        <f>BA12/BA2</f>
        <v>2.0697674418604652</v>
      </c>
      <c r="BB13" s="874" t="e">
        <f>BB12/BB2</f>
        <v>#N/A</v>
      </c>
      <c r="BK13" s="874">
        <f>BK12/BK2</f>
        <v>2.1136363636363638</v>
      </c>
      <c r="BM13" s="874">
        <f t="shared" ref="BM13" si="14">BM12/BM2</f>
        <v>2</v>
      </c>
      <c r="BQ13" s="874" t="e">
        <f>BQ12/BQ2</f>
        <v>#N/A</v>
      </c>
      <c r="BR13" s="874">
        <f>BR12/BR2</f>
        <v>1.75</v>
      </c>
      <c r="BS13" s="874" t="e">
        <f t="shared" si="13"/>
        <v>#N/A</v>
      </c>
      <c r="BU13" s="874">
        <f>BU12/BU2</f>
        <v>1.8571428571428572</v>
      </c>
      <c r="BZ13" s="874">
        <f t="shared" ref="BZ13:CF13" si="15">BZ12/BZ2</f>
        <v>4</v>
      </c>
      <c r="CA13" s="874" t="e">
        <f t="shared" si="15"/>
        <v>#DIV/0!</v>
      </c>
      <c r="CB13" s="874" t="e">
        <f t="shared" si="15"/>
        <v>#DIV/0!</v>
      </c>
      <c r="CC13" s="874" t="e">
        <f t="shared" si="15"/>
        <v>#DIV/0!</v>
      </c>
      <c r="CD13" s="874" t="e">
        <f t="shared" si="15"/>
        <v>#DIV/0!</v>
      </c>
      <c r="CE13" s="874" t="e">
        <f t="shared" si="15"/>
        <v>#DIV/0!</v>
      </c>
      <c r="CF13" s="874" t="e">
        <f t="shared" si="15"/>
        <v>#DIV/0!</v>
      </c>
      <c r="CG13" s="874" t="e">
        <f t="shared" si="13"/>
        <v>#DIV/0!</v>
      </c>
      <c r="CH13" s="874" t="e">
        <f t="shared" si="13"/>
        <v>#DIV/0!</v>
      </c>
      <c r="CI13" s="874" t="e">
        <f t="shared" si="13"/>
        <v>#DIV/0!</v>
      </c>
      <c r="CJ13" s="874" t="e">
        <f t="shared" si="13"/>
        <v>#DIV/0!</v>
      </c>
      <c r="CK13" s="874">
        <f t="shared" si="13"/>
        <v>1.9375</v>
      </c>
      <c r="CL13" s="874">
        <f t="shared" si="13"/>
        <v>1.9375</v>
      </c>
      <c r="CM13" s="874">
        <f t="shared" si="13"/>
        <v>1.9333333333333333</v>
      </c>
    </row>
    <row r="14" spans="1:91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16">AG15+AG16</f>
        <v>31</v>
      </c>
      <c r="AH14" s="902">
        <f t="shared" ref="AH14:AK14" si="17">AH15+AH16</f>
        <v>0</v>
      </c>
      <c r="AI14" s="902">
        <f t="shared" si="17"/>
        <v>0</v>
      </c>
      <c r="AJ14" s="902">
        <f t="shared" si="17"/>
        <v>13</v>
      </c>
      <c r="AK14" s="902">
        <f t="shared" si="17"/>
        <v>29</v>
      </c>
      <c r="AL14" s="902">
        <f t="shared" ref="AL14:AP14" si="18">AL15+AL16</f>
        <v>16</v>
      </c>
      <c r="AM14" s="902">
        <f t="shared" si="18"/>
        <v>9</v>
      </c>
      <c r="AN14" s="902">
        <f t="shared" si="18"/>
        <v>36</v>
      </c>
      <c r="AO14" s="902">
        <f t="shared" si="18"/>
        <v>9</v>
      </c>
      <c r="AP14" s="902">
        <f t="shared" si="18"/>
        <v>0</v>
      </c>
      <c r="AQ14" s="902">
        <f t="shared" ref="AQ14:BS14" si="19">AQ15+AQ16</f>
        <v>16</v>
      </c>
      <c r="AR14" s="902">
        <f t="shared" si="19"/>
        <v>6</v>
      </c>
      <c r="AS14" s="902">
        <f t="shared" si="19"/>
        <v>0</v>
      </c>
      <c r="AT14" s="902">
        <f t="shared" si="19"/>
        <v>21</v>
      </c>
      <c r="AU14" s="902">
        <f t="shared" si="19"/>
        <v>16</v>
      </c>
      <c r="AV14" s="902">
        <f t="shared" si="19"/>
        <v>26</v>
      </c>
      <c r="AW14" s="902">
        <f t="shared" si="19"/>
        <v>28</v>
      </c>
      <c r="AX14" s="902">
        <f t="shared" si="19"/>
        <v>38</v>
      </c>
      <c r="AY14" s="902">
        <f t="shared" si="19"/>
        <v>36</v>
      </c>
      <c r="AZ14" s="902">
        <f t="shared" si="19"/>
        <v>2</v>
      </c>
      <c r="BA14" s="902">
        <f t="shared" si="19"/>
        <v>41</v>
      </c>
      <c r="BB14" s="902">
        <f t="shared" si="19"/>
        <v>16</v>
      </c>
      <c r="BC14" s="902">
        <f t="shared" ref="BC14" si="20">BC15+BC16</f>
        <v>3</v>
      </c>
      <c r="BD14" s="902">
        <f t="shared" si="19"/>
        <v>38</v>
      </c>
      <c r="BE14" s="902">
        <f t="shared" si="19"/>
        <v>32</v>
      </c>
      <c r="BF14" s="902">
        <f t="shared" si="19"/>
        <v>0</v>
      </c>
      <c r="BG14" s="902">
        <f t="shared" si="19"/>
        <v>0</v>
      </c>
      <c r="BH14" s="902">
        <f t="shared" si="19"/>
        <v>37</v>
      </c>
      <c r="BI14" s="902">
        <f t="shared" si="19"/>
        <v>2</v>
      </c>
      <c r="BJ14" s="902">
        <f t="shared" si="19"/>
        <v>28</v>
      </c>
      <c r="BK14" s="902">
        <f t="shared" si="19"/>
        <v>32</v>
      </c>
      <c r="BL14" s="902">
        <f t="shared" si="19"/>
        <v>6</v>
      </c>
      <c r="BM14" s="902">
        <f t="shared" si="19"/>
        <v>0</v>
      </c>
      <c r="BN14" s="902">
        <f t="shared" si="19"/>
        <v>0</v>
      </c>
      <c r="BO14" s="902">
        <f t="shared" si="19"/>
        <v>1</v>
      </c>
      <c r="BP14" s="902">
        <f t="shared" si="19"/>
        <v>11</v>
      </c>
      <c r="BQ14" s="902">
        <f t="shared" si="19"/>
        <v>13</v>
      </c>
      <c r="BR14" s="902">
        <f t="shared" si="19"/>
        <v>0</v>
      </c>
      <c r="BS14" s="902">
        <f t="shared" si="19"/>
        <v>22</v>
      </c>
      <c r="BT14" s="902"/>
      <c r="BU14" s="902">
        <f>BU15+BU16</f>
        <v>0</v>
      </c>
      <c r="BV14" s="902">
        <f>BV15+BV16</f>
        <v>0</v>
      </c>
      <c r="BW14" s="902"/>
      <c r="BX14" s="902"/>
      <c r="BY14" s="902"/>
      <c r="BZ14" s="902"/>
      <c r="CA14" s="889"/>
      <c r="CB14" s="889"/>
      <c r="CC14" s="889"/>
      <c r="CD14" s="889"/>
      <c r="CE14" s="889"/>
      <c r="CF14" s="889"/>
    </row>
    <row r="15" spans="1:91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AVERAGEIFS($Q$23:$Q$205,$H$23:$H$205,"H",$I$23:$I$205,Table!$C$1)</f>
        <v>-0.52095238095238094</v>
      </c>
      <c r="S15" s="858">
        <f>AVERAGEIFS($Q$23:$Q$205,$H$23:$H$205,"A",$I$23:$I$205,Table!$C$1)</f>
        <v>-0.81571428571428561</v>
      </c>
      <c r="AF15" s="848" t="s">
        <v>821</v>
      </c>
      <c r="AG15" s="850">
        <f t="array" ref="AG15">SUM(IF(LEFT(AG23:AG159,1)="X",1,0))</f>
        <v>31</v>
      </c>
      <c r="AH15" s="903">
        <f t="array" ref="AH15">SUM(IF(LEFT(AH23:AH159,1)="X",1,0))</f>
        <v>0</v>
      </c>
      <c r="AI15" s="903">
        <f t="array" ref="AI15">SUM(IF(LEFT(AI23:AI159,1)="X",1,0))</f>
        <v>0</v>
      </c>
      <c r="AJ15" s="903">
        <f t="array" ref="AJ15">SUM(IF(LEFT(AJ23:AJ159,1)="X",1,0))</f>
        <v>13</v>
      </c>
      <c r="AK15" s="903">
        <f t="array" ref="AK15">SUM(IF(LEFT(AK23:AK159,1)="X",1,0))</f>
        <v>28</v>
      </c>
      <c r="AL15" s="903">
        <f t="array" ref="AL15">SUM(IF(LEFT(AL23:AL159,1)="X",1,0))</f>
        <v>15</v>
      </c>
      <c r="AM15" s="903">
        <f t="array" ref="AM15">SUM(IF(LEFT(AM23:AM159,1)="X",1,0))</f>
        <v>8</v>
      </c>
      <c r="AN15" s="903">
        <f t="array" ref="AN15">SUM(IF(LEFT(AN23:AN159,1)="X",1,0))</f>
        <v>34</v>
      </c>
      <c r="AO15" s="903">
        <f t="array" ref="AO15">SUM(IF(LEFT(AO23:AO159,1)="X",1,0))</f>
        <v>8</v>
      </c>
      <c r="AP15" s="903">
        <f t="array" ref="AP15">SUM(IF(LEFT(AP23:AP159,1)="X",1,0))</f>
        <v>0</v>
      </c>
      <c r="AQ15" s="903">
        <f t="array" ref="AQ15">SUM(IF(LEFT(AQ23:AQ159,1)="X",1,0))</f>
        <v>16</v>
      </c>
      <c r="AR15" s="903">
        <f t="array" ref="AR15">SUM(IF(LEFT(AR23:AR159,1)="X",1,0))</f>
        <v>4</v>
      </c>
      <c r="AS15" s="903">
        <f t="array" ref="AS15">SUM(IF(LEFT(AS23:AS159,1)="X",1,0))</f>
        <v>0</v>
      </c>
      <c r="AT15" s="903">
        <f t="array" ref="AT15">SUM(IF(LEFT(AT23:AT159,1)="X",1,0))</f>
        <v>21</v>
      </c>
      <c r="AU15" s="903">
        <f t="array" ref="AU15">SUM(IF(LEFT(AU23:AU159,1)="X",1,0))</f>
        <v>16</v>
      </c>
      <c r="AV15" s="903">
        <f t="array" ref="AV15">SUM(IF(LEFT(AV23:AV159,1)="X",1,0))</f>
        <v>15</v>
      </c>
      <c r="AW15" s="903">
        <f t="array" ref="AW15">SUM(IF(LEFT(AW23:AW159,1)="X",1,0))</f>
        <v>14</v>
      </c>
      <c r="AX15" s="903">
        <f t="array" ref="AX15">SUM(IF(LEFT(AX23:AX159,1)="X",1,0))</f>
        <v>37</v>
      </c>
      <c r="AY15" s="903">
        <f t="array" ref="AY15">SUM(IF(LEFT(AY23:AY159,1)="X",1,0))</f>
        <v>33</v>
      </c>
      <c r="AZ15" s="903">
        <f t="array" ref="AZ15">SUM(IF(LEFT(AZ23:AZ159,1)="X",1,0))</f>
        <v>1</v>
      </c>
      <c r="BA15" s="903">
        <f t="array" ref="BA15">SUM(IF(LEFT(BA23:BA159,1)="X",1,0))</f>
        <v>27</v>
      </c>
      <c r="BB15" s="903">
        <f t="array" ref="BB15">SUM(IF(LEFT(BB23:BB159,1)="X",1,0))</f>
        <v>6</v>
      </c>
      <c r="BC15" s="903">
        <f t="array" ref="BC15">SUM(IF(LEFT(BC23:BC159,1)="X",1,0))</f>
        <v>3</v>
      </c>
      <c r="BD15" s="903">
        <f t="array" ref="BD15">SUM(IF(LEFT(BD23:BD159,1)="X",1,0))</f>
        <v>32</v>
      </c>
      <c r="BE15" s="903">
        <f t="array" ref="BE15">SUM(IF(LEFT(BE23:BE159,1)="X",1,0))</f>
        <v>27</v>
      </c>
      <c r="BF15" s="903">
        <f t="array" ref="BF15">SUM(IF(LEFT(BF23:BF159,1)="X",1,0))</f>
        <v>0</v>
      </c>
      <c r="BG15" s="903">
        <f t="array" ref="BG15">SUM(IF(LEFT(BG23:BG159,1)="X",1,0))</f>
        <v>0</v>
      </c>
      <c r="BH15" s="903">
        <f t="array" ref="BH15">SUM(IF(LEFT(BH23:BH159,1)="X",1,0))</f>
        <v>28</v>
      </c>
      <c r="BI15" s="903">
        <f t="array" ref="BI15">SUM(IF(LEFT(BI23:BI159,1)="X",1,0))</f>
        <v>0</v>
      </c>
      <c r="BJ15" s="903">
        <f t="array" ref="BJ15">SUM(IF(LEFT(BJ23:BJ159,1)="X",1,0))</f>
        <v>9</v>
      </c>
      <c r="BK15" s="903">
        <f t="array" ref="BK15">SUM(IF(LEFT(BK23:BK159,1)="X",1,0))</f>
        <v>28</v>
      </c>
      <c r="BL15" s="903">
        <f t="array" ref="BL15">SUM(IF(LEFT(BL23:BL159,1)="X",1,0))</f>
        <v>5</v>
      </c>
      <c r="BM15" s="903">
        <f t="array" ref="BM15">SUM(IF(LEFT(BM23:BM159,1)="X",1,0))</f>
        <v>0</v>
      </c>
      <c r="BN15" s="903">
        <f t="array" ref="BN15">SUM(IF(LEFT(BN23:BN159,1)="X",1,0))</f>
        <v>0</v>
      </c>
      <c r="BO15" s="903">
        <f t="array" ref="BO15">SUM(IF(LEFT(BO23:BO159,1)="X",1,0))</f>
        <v>0</v>
      </c>
      <c r="BP15" s="903">
        <f t="array" ref="BP15">SUM(IF(LEFT(BP23:BP159,1)="X",1,0))</f>
        <v>0</v>
      </c>
      <c r="BQ15" s="903">
        <f t="array" ref="BQ15">SUM(IF(LEFT(BQ23:BQ159,1)="X",1,0))</f>
        <v>4</v>
      </c>
      <c r="BR15" s="903">
        <f t="array" ref="BR15">SUM(IF(LEFT(BR23:BR159,1)="X",1,0))</f>
        <v>0</v>
      </c>
      <c r="BS15" s="903">
        <f t="array" ref="BS15">SUM(IF(LEFT(BS23:BS159,1)="X",1,0))</f>
        <v>21</v>
      </c>
      <c r="BT15" s="903"/>
      <c r="BU15" s="903">
        <f t="array" ref="BU15">SUM(IF(LEFT(BU23:BU159,1)="X",1,0))</f>
        <v>0</v>
      </c>
      <c r="BV15" s="903">
        <f t="array" ref="BV15">SUM(IF(LEFT(BV23:BV159,1)="X",1,0))</f>
        <v>0</v>
      </c>
      <c r="BW15" s="903"/>
      <c r="BX15" s="903"/>
      <c r="BY15" s="903"/>
      <c r="BZ15" s="903"/>
      <c r="CA15" s="889"/>
      <c r="CB15" s="889"/>
      <c r="CC15" s="889"/>
      <c r="CD15" s="889"/>
      <c r="CE15" s="889"/>
      <c r="CF15" s="889"/>
    </row>
    <row r="16" spans="1:91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AVERAGEIF($H$23:$H$202,"=H",$J$23:$J$202)</f>
        <v>0.66666666666666663</v>
      </c>
      <c r="J16" s="858">
        <f>AVERAGEIF($H$23:$H$206,"=H",$K$23:$K$206)</f>
        <v>1.9047619047619047</v>
      </c>
      <c r="K16" s="858">
        <f>I16-J16</f>
        <v>-1.2380952380952381</v>
      </c>
      <c r="L16" s="857">
        <f>COUNTIFS($L$23:$L$202,"=W",$H$23:$H$202,"=H")</f>
        <v>2</v>
      </c>
      <c r="M16" s="857">
        <f>COUNTIFS($L$23:$L$202,"=D",$H$23:$H$202,"=H")</f>
        <v>4</v>
      </c>
      <c r="N16" s="863">
        <f>COUNTIFS($L$23:$L$202,"=L",$H$23:$H$202,"=H")</f>
        <v>15</v>
      </c>
      <c r="O16" s="858">
        <f>SUM(I16:J16)</f>
        <v>2.5714285714285712</v>
      </c>
      <c r="Q16" s="861" t="s">
        <v>212</v>
      </c>
      <c r="R16" s="858">
        <f>AVERAGEIFS($S$23:$S$203,$H$23:$H$203,"H",$I$23:$I$203,Table!$C$1)</f>
        <v>2.5900000000000003</v>
      </c>
      <c r="S16" s="858">
        <f>AVERAGEIFS($S$23:$S$203,$H$23:$H$203,"A",$I$23:$I$203,Table!$C$1)</f>
        <v>2.6580952380952381</v>
      </c>
      <c r="AF16" s="848" t="s">
        <v>724</v>
      </c>
      <c r="AG16" s="850">
        <f t="array" ref="AG16">SUM(IF(LEFT(AG23:AG160,1)="s",1,0))</f>
        <v>0</v>
      </c>
      <c r="AH16" s="903">
        <f t="array" ref="AH16">SUM(IF(LEFT(AH23:AH160,1)="s",1,0))</f>
        <v>0</v>
      </c>
      <c r="AI16" s="903">
        <f t="array" ref="AI16">SUM(IF(LEFT(AI23:AI160,1)="s",1,0))</f>
        <v>0</v>
      </c>
      <c r="AJ16" s="903">
        <f t="array" ref="AJ16">SUM(IF(LEFT(AJ23:AJ160,1)="s",1,0))</f>
        <v>0</v>
      </c>
      <c r="AK16" s="903">
        <f t="array" ref="AK16">SUM(IF(LEFT(AK23:AK160,1)="s",1,0))</f>
        <v>1</v>
      </c>
      <c r="AL16" s="903">
        <f t="array" ref="AL16">SUM(IF(LEFT(AL23:AL160,1)="s",1,0))</f>
        <v>1</v>
      </c>
      <c r="AM16" s="903">
        <f t="array" ref="AM16">SUM(IF(LEFT(AM23:AM160,1)="s",1,0))</f>
        <v>1</v>
      </c>
      <c r="AN16" s="903">
        <f t="array" ref="AN16">SUM(IF(LEFT(AN23:AN160,1)="s",1,0))</f>
        <v>2</v>
      </c>
      <c r="AO16" s="903">
        <f t="array" ref="AO16">SUM(IF(LEFT(AO23:AO160,1)="s",1,0))</f>
        <v>1</v>
      </c>
      <c r="AP16" s="903">
        <f t="array" ref="AP16">SUM(IF(LEFT(AP23:AP160,1)="s",1,0))</f>
        <v>0</v>
      </c>
      <c r="AQ16" s="903">
        <f t="array" ref="AQ16">SUM(IF(LEFT(AQ23:AQ160,1)="s",1,0))</f>
        <v>0</v>
      </c>
      <c r="AR16" s="903">
        <f t="array" ref="AR16">SUM(IF(LEFT(AR23:AR160,1)="s",1,0))</f>
        <v>2</v>
      </c>
      <c r="AS16" s="903">
        <f t="array" ref="AS16">SUM(IF(LEFT(AS23:AS160,1)="s",1,0))</f>
        <v>0</v>
      </c>
      <c r="AT16" s="903">
        <f t="array" ref="AT16">SUM(IF(LEFT(AT23:AT160,1)="s",1,0))</f>
        <v>0</v>
      </c>
      <c r="AU16" s="903">
        <f t="array" ref="AU16">SUM(IF(LEFT(AU23:AU160,1)="s",1,0))</f>
        <v>0</v>
      </c>
      <c r="AV16" s="903">
        <f t="array" ref="AV16">SUM(IF(LEFT(AV23:AV160,1)="s",1,0))</f>
        <v>11</v>
      </c>
      <c r="AW16" s="903">
        <f t="array" ref="AW16">SUM(IF(LEFT(AW23:AW160,1)="s",1,0))</f>
        <v>14</v>
      </c>
      <c r="AX16" s="903">
        <f t="array" ref="AX16">SUM(IF(LEFT(AX23:AX160,1)="s",1,0))</f>
        <v>1</v>
      </c>
      <c r="AY16" s="903">
        <f t="array" ref="AY16">SUM(IF(LEFT(AY23:AY160,1)="s",1,0))</f>
        <v>3</v>
      </c>
      <c r="AZ16" s="903">
        <f t="array" ref="AZ16">SUM(IF(LEFT(AZ23:AZ160,1)="s",1,0))</f>
        <v>1</v>
      </c>
      <c r="BA16" s="903">
        <f t="array" ref="BA16">SUM(IF(LEFT(BA23:BA160,1)="s",1,0))</f>
        <v>14</v>
      </c>
      <c r="BB16" s="903">
        <f t="array" ref="BB16">SUM(IF(LEFT(BB23:BB160,1)="s",1,0))</f>
        <v>10</v>
      </c>
      <c r="BC16" s="903">
        <f t="array" ref="BC16">SUM(IF(LEFT(BC23:BC160,1)="s",1,0))</f>
        <v>0</v>
      </c>
      <c r="BD16" s="903">
        <f t="array" ref="BD16">SUM(IF(LEFT(BD23:BD160,1)="s",1,0))</f>
        <v>6</v>
      </c>
      <c r="BE16" s="903">
        <f t="array" ref="BE16">SUM(IF(LEFT(BE23:BE160,1)="s",1,0))</f>
        <v>5</v>
      </c>
      <c r="BF16" s="903">
        <f t="array" ref="BF16">SUM(IF(LEFT(BF23:BF160,1)="s",1,0))</f>
        <v>0</v>
      </c>
      <c r="BG16" s="903">
        <f t="array" ref="BG16">SUM(IF(LEFT(BG23:BG160,1)="s",1,0))</f>
        <v>0</v>
      </c>
      <c r="BH16" s="903">
        <f t="array" ref="BH16">SUM(IF(LEFT(BH23:BH160,1)="s",1,0))</f>
        <v>9</v>
      </c>
      <c r="BI16" s="903">
        <f t="array" ref="BI16">SUM(IF(LEFT(BI23:BI160,1)="s",1,0))</f>
        <v>2</v>
      </c>
      <c r="BJ16" s="903">
        <f t="array" ref="BJ16">SUM(IF(LEFT(BJ23:BJ160,1)="s",1,0))</f>
        <v>19</v>
      </c>
      <c r="BK16" s="903">
        <f t="array" ref="BK16">SUM(IF(LEFT(BK23:BK160,1)="s",1,0))</f>
        <v>4</v>
      </c>
      <c r="BL16" s="903">
        <f t="array" ref="BL16">SUM(IF(LEFT(BL23:BL160,1)="s",1,0))</f>
        <v>1</v>
      </c>
      <c r="BM16" s="903">
        <f t="array" ref="BM16">SUM(IF(LEFT(BM23:BM160,1)="s",1,0))</f>
        <v>0</v>
      </c>
      <c r="BN16" s="903">
        <f t="array" ref="BN16">SUM(IF(LEFT(BN23:BN160,1)="s",1,0))</f>
        <v>0</v>
      </c>
      <c r="BO16" s="903">
        <f t="array" ref="BO16">SUM(IF(LEFT(BO23:BO160,1)="s",1,0))</f>
        <v>1</v>
      </c>
      <c r="BP16" s="903">
        <f t="array" ref="BP16">SUM(IF(LEFT(BP23:BP160,1)="s",1,0))</f>
        <v>11</v>
      </c>
      <c r="BQ16" s="903">
        <f t="array" ref="BQ16">SUM(IF(LEFT(BQ23:BQ160,1)="s",1,0))</f>
        <v>9</v>
      </c>
      <c r="BR16" s="903">
        <f t="array" ref="BR16">SUM(IF(LEFT(BR23:BR160,1)="s",1,0))</f>
        <v>0</v>
      </c>
      <c r="BS16" s="903">
        <f t="array" ref="BS16">SUM(IF(LEFT(BS23:BS160,1)="s",1,0))</f>
        <v>1</v>
      </c>
      <c r="BT16" s="903"/>
      <c r="BU16" s="903">
        <f t="array" ref="BU16">SUM(IF(LEFT(BU23:BU160,1)="s",1,0))</f>
        <v>0</v>
      </c>
      <c r="BV16" s="903">
        <f t="array" ref="BV16">SUM(IF(LEFT(BV23:BV160,1)="s",1,0))</f>
        <v>0</v>
      </c>
      <c r="BW16" s="903"/>
      <c r="BX16" s="903"/>
      <c r="BY16" s="903"/>
      <c r="BZ16" s="903"/>
      <c r="CA16" s="889"/>
      <c r="CB16" s="889"/>
      <c r="CC16" s="889"/>
      <c r="CD16" s="889"/>
      <c r="CE16" s="889"/>
      <c r="CF16" s="889"/>
    </row>
    <row r="17" spans="1:117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23</v>
      </c>
      <c r="I17" s="860">
        <f>AVERAGEIF($H$23:$H$202,"=A",$J$23:$J$202)</f>
        <v>0.86956521739130432</v>
      </c>
      <c r="J17" s="860">
        <f>AVERAGEIF($H$23:$H$206,"=A",$K$23:$K$206)</f>
        <v>2.3043478260869565</v>
      </c>
      <c r="K17" s="858">
        <f>I17-J17</f>
        <v>-1.4347826086956523</v>
      </c>
      <c r="L17" s="857">
        <f>COUNTIFS($L$23:$L$202,"=W",$H$23:$H$202,"=A")</f>
        <v>4</v>
      </c>
      <c r="M17" s="857">
        <f>COUNTIFS($L$23:$L$202,"=D",$H$23:$H$202,"=A")</f>
        <v>1</v>
      </c>
      <c r="N17" s="863">
        <f>COUNTIFS($L$23:$L$202,"=L",$H$23:$H$202,"=A")</f>
        <v>18</v>
      </c>
      <c r="O17" s="858">
        <f>SUM(I17:J17)</f>
        <v>3.1739130434782608</v>
      </c>
      <c r="Q17" s="848"/>
      <c r="R17" s="859"/>
      <c r="S17" s="855"/>
      <c r="AF17" s="848" t="s">
        <v>718</v>
      </c>
      <c r="AG17" s="850">
        <f t="array" ref="AG17">SUM(IF(ISNUMBER(VALUE(RIGHT(AG23:AG168,1))),VALUE(RIGHT(AG23:AG168,1)),0))</f>
        <v>0</v>
      </c>
      <c r="AH17" s="903">
        <f t="array" ref="AH17">SUM(IF(ISNUMBER(VALUE(RIGHT(AH23:AH168,1))),VALUE(RIGHT(AH23:AH168,1)),0))</f>
        <v>0</v>
      </c>
      <c r="AI17" s="903">
        <f t="array" ref="AI17">SUM(IF(ISNUMBER(VALUE(RIGHT(AI23:AI168,1))),VALUE(RIGHT(AI23:AI168,1)),0))</f>
        <v>0</v>
      </c>
      <c r="AJ17" s="903">
        <f t="array" ref="AJ17">SUM(IF(ISNUMBER(VALUE(RIGHT(AJ23:AJ168,1))),VALUE(RIGHT(AJ23:AJ168,1)),0))</f>
        <v>0</v>
      </c>
      <c r="AK17" s="903">
        <f t="array" ref="AK17">SUM(IF(ISNUMBER(VALUE(RIGHT(AK23:AK168,1))),VALUE(RIGHT(AK23:AK168,1)),0))</f>
        <v>1</v>
      </c>
      <c r="AL17" s="903">
        <f t="array" ref="AL17">SUM(IF(ISNUMBER(VALUE(RIGHT(AL23:AL168,1))),VALUE(RIGHT(AL23:AL168,1)),0))</f>
        <v>0</v>
      </c>
      <c r="AM17" s="903">
        <f t="array" ref="AM17">SUM(IF(ISNUMBER(VALUE(RIGHT(AM23:AM168,1))),VALUE(RIGHT(AM23:AM168,1)),0))</f>
        <v>0</v>
      </c>
      <c r="AN17" s="903">
        <f t="array" ref="AN17">SUM(IF(ISNUMBER(VALUE(RIGHT(AN23:AN168,1))),VALUE(RIGHT(AN23:AN168,1)),0))</f>
        <v>0</v>
      </c>
      <c r="AO17" s="903">
        <f t="array" ref="AO17">SUM(IF(ISNUMBER(VALUE(RIGHT(AO23:AO168,1))),VALUE(RIGHT(AO23:AO168,1)),0))</f>
        <v>0</v>
      </c>
      <c r="AP17" s="903">
        <f t="array" ref="AP17">SUM(IF(ISNUMBER(VALUE(RIGHT(AP23:AP168,1))),VALUE(RIGHT(AP23:AP168,1)),0))</f>
        <v>0</v>
      </c>
      <c r="AQ17" s="903">
        <f t="array" ref="AQ17">SUM(IF(ISNUMBER(VALUE(RIGHT(AQ23:AQ168,1))),VALUE(RIGHT(AQ23:AQ168,1)),0))</f>
        <v>0</v>
      </c>
      <c r="AR17" s="903">
        <f t="array" ref="AR17">SUM(IF(ISNUMBER(VALUE(RIGHT(AR23:AR168,1))),VALUE(RIGHT(AR23:AR168,1)),0))</f>
        <v>0</v>
      </c>
      <c r="AS17" s="903">
        <f t="array" ref="AS17">SUM(IF(ISNUMBER(VALUE(RIGHT(AS23:AS168,1))),VALUE(RIGHT(AS23:AS168,1)),0))</f>
        <v>0</v>
      </c>
      <c r="AT17" s="903">
        <f t="array" ref="AT17">SUM(IF(ISNUMBER(VALUE(RIGHT(AT23:AT168,1))),VALUE(RIGHT(AT23:AT168,1)),0))</f>
        <v>1</v>
      </c>
      <c r="AU17" s="903">
        <f t="array" ref="AU17">SUM(IF(ISNUMBER(VALUE(RIGHT(AU23:AU168,1))),VALUE(RIGHT(AU23:AU168,1)),0))</f>
        <v>0</v>
      </c>
      <c r="AV17" s="903">
        <f t="array" ref="AV17">SUM(IF(ISNUMBER(VALUE(RIGHT(AV23:AV168,1))),VALUE(RIGHT(AV23:AV168,1)),0))</f>
        <v>0</v>
      </c>
      <c r="AW17" s="903">
        <f t="array" ref="AW17">SUM(IF(ISNUMBER(VALUE(RIGHT(AW23:AW168,1))),VALUE(RIGHT(AW23:AW168,1)),0))</f>
        <v>1</v>
      </c>
      <c r="AX17" s="903">
        <f t="array" ref="AX17">SUM(IF(ISNUMBER(VALUE(RIGHT(AX23:AX168,1))),VALUE(RIGHT(AX23:AX168,1)),0))</f>
        <v>4</v>
      </c>
      <c r="AY17" s="903">
        <f t="array" ref="AY17">SUM(IF(ISNUMBER(VALUE(RIGHT(AY23:AY168,1))),VALUE(RIGHT(AY23:AY168,1)),0))</f>
        <v>0</v>
      </c>
      <c r="AZ17" s="903">
        <f t="array" ref="AZ17">SUM(IF(ISNUMBER(VALUE(RIGHT(AZ23:AZ168,1))),VALUE(RIGHT(AZ23:AZ168,1)),0))</f>
        <v>0</v>
      </c>
      <c r="BA17" s="903">
        <f t="array" ref="BA17">SUM(IF(ISNUMBER(VALUE(RIGHT(BA23:BA168,1))),VALUE(RIGHT(BA23:BA168,1)),0))</f>
        <v>10</v>
      </c>
      <c r="BB17" s="903">
        <f t="array" ref="BB17">SUM(IF(ISNUMBER(VALUE(RIGHT(BB23:BB168,1))),VALUE(RIGHT(BB23:BB168,1)),0))</f>
        <v>0</v>
      </c>
      <c r="BC17" s="903">
        <f t="array" ref="BC17">SUM(IF(ISNUMBER(VALUE(RIGHT(BC23:BC168,1))),VALUE(RIGHT(BC23:BC168,1)),0))</f>
        <v>0</v>
      </c>
      <c r="BD17" s="903">
        <f t="array" ref="BD17">SUM(IF(ISNUMBER(VALUE(RIGHT(BD23:BD168,1))),VALUE(RIGHT(BD23:BD168,1)),0))</f>
        <v>1</v>
      </c>
      <c r="BE17" s="903">
        <f t="array" ref="BE17">SUM(IF(ISNUMBER(VALUE(RIGHT(BE23:BE168,1))),VALUE(RIGHT(BE23:BE168,1)),0))</f>
        <v>0</v>
      </c>
      <c r="BF17" s="903">
        <f t="array" ref="BF17">SUM(IF(ISNUMBER(VALUE(RIGHT(BF23:BF168,1))),VALUE(RIGHT(BF23:BF168,1)),0))</f>
        <v>0</v>
      </c>
      <c r="BG17" s="903">
        <f t="array" ref="BG17">SUM(IF(ISNUMBER(VALUE(RIGHT(BG23:BG168,1))),VALUE(RIGHT(BG23:BG168,1)),0))</f>
        <v>0</v>
      </c>
      <c r="BH17" s="903">
        <f t="array" ref="BH17">SUM(IF(ISNUMBER(VALUE(RIGHT(BH23:BH168,1))),VALUE(RIGHT(BH23:BH168,1)),0))</f>
        <v>1</v>
      </c>
      <c r="BI17" s="903">
        <f t="array" ref="BI17">SUM(IF(ISNUMBER(VALUE(RIGHT(BI23:BI168,1))),VALUE(RIGHT(BI23:BI168,1)),0))</f>
        <v>0</v>
      </c>
      <c r="BJ17" s="903">
        <f t="array" ref="BJ17">SUM(IF(ISNUMBER(VALUE(RIGHT(BJ23:BJ168,1))),VALUE(RIGHT(BJ23:BJ168,1)),0))</f>
        <v>1</v>
      </c>
      <c r="BK17" s="903">
        <f t="array" ref="BK17">SUM(IF(ISNUMBER(VALUE(RIGHT(BK23:BK168,1))),VALUE(RIGHT(BK23:BK168,1)),0))</f>
        <v>4</v>
      </c>
      <c r="BL17" s="903">
        <f t="array" ref="BL17">SUM(IF(ISNUMBER(VALUE(RIGHT(BL23:BL168,1))),VALUE(RIGHT(BL23:BL168,1)),0))</f>
        <v>0</v>
      </c>
      <c r="BM17" s="903">
        <f t="array" ref="BM17">SUM(IF(ISNUMBER(VALUE(RIGHT(BM23:BM168,1))),VALUE(RIGHT(BM23:BM168,1)),0))</f>
        <v>0</v>
      </c>
      <c r="BN17" s="903">
        <f t="array" ref="BN17">SUM(IF(ISNUMBER(VALUE(RIGHT(BN23:BN168,1))),VALUE(RIGHT(BN23:BN168,1)),0))</f>
        <v>0</v>
      </c>
      <c r="BO17" s="903">
        <f t="array" ref="BO17">SUM(IF(ISNUMBER(VALUE(RIGHT(BO23:BO168,1))),VALUE(RIGHT(BO23:BO168,1)),0))</f>
        <v>0</v>
      </c>
      <c r="BP17" s="903">
        <f t="array" ref="BP17">SUM(IF(ISNUMBER(VALUE(RIGHT(BP23:BP168,1))),VALUE(RIGHT(BP23:BP168,1)),0))</f>
        <v>0</v>
      </c>
      <c r="BQ17" s="903">
        <f t="array" ref="BQ17">SUM(IF(ISNUMBER(VALUE(RIGHT(BQ23:BQ168,1))),VALUE(RIGHT(BQ23:BQ168,1)),0))</f>
        <v>0</v>
      </c>
      <c r="BR17" s="903">
        <f t="array" ref="BR17">SUM(IF(ISNUMBER(VALUE(RIGHT(BR23:BR168,1))),VALUE(RIGHT(BR23:BR168,1)),0))</f>
        <v>0</v>
      </c>
      <c r="BS17" s="903">
        <f t="array" ref="BS17">SUM(IF(ISNUMBER(VALUE(RIGHT(BS23:BS168,1))),VALUE(RIGHT(BS23:BS168,1)),0))</f>
        <v>10</v>
      </c>
      <c r="BT17" s="903"/>
      <c r="BU17" s="903">
        <f t="array" ref="BU17">SUM(IF(ISNUMBER(VALUE(RIGHT(BU23:BU168,1))),VALUE(RIGHT(BU23:BU168,1)),0))</f>
        <v>0</v>
      </c>
      <c r="BV17" s="903">
        <f t="array" ref="BV17">SUM(IF(ISNUMBER(VALUE(RIGHT(BV23:BV168,1))),VALUE(RIGHT(BV23:BV168,1)),0))</f>
        <v>0</v>
      </c>
      <c r="BW17" s="903"/>
      <c r="BX17" s="903"/>
      <c r="BY17" s="903"/>
      <c r="BZ17" s="903"/>
      <c r="CA17" s="889"/>
      <c r="CB17" s="889"/>
      <c r="CC17" s="889"/>
      <c r="CD17" s="889"/>
      <c r="CE17" s="889"/>
      <c r="CF17" s="889"/>
    </row>
    <row r="18" spans="1:117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AVERAGEIFS($Y$23:$Y$205,$H$23:$H$205,"H",$I$23:$I$205,Table!$C$1)</f>
        <v>2.3333333333333335</v>
      </c>
      <c r="S18" s="858">
        <f>AVERAGEIFS($Y$23:$Y$205,$H$23:$H$205,"A",$I$23:$I$205,Table!$C$1)</f>
        <v>3.1428571428571428</v>
      </c>
      <c r="AG18" s="876">
        <v>1</v>
      </c>
      <c r="AH18" s="876">
        <v>21</v>
      </c>
      <c r="AI18" s="876">
        <v>23</v>
      </c>
      <c r="AJ18" s="876">
        <v>41</v>
      </c>
      <c r="AK18" s="876">
        <v>2</v>
      </c>
      <c r="AL18" s="876">
        <v>3</v>
      </c>
      <c r="AM18" s="876">
        <v>4</v>
      </c>
      <c r="AN18" s="876">
        <v>5</v>
      </c>
      <c r="AO18" s="876">
        <v>16</v>
      </c>
      <c r="AP18" s="876">
        <v>17</v>
      </c>
      <c r="AQ18" s="876">
        <v>19</v>
      </c>
      <c r="AR18" s="876">
        <v>24</v>
      </c>
      <c r="AS18" s="876">
        <v>32</v>
      </c>
      <c r="AT18" s="876">
        <v>36</v>
      </c>
      <c r="AU18" s="876">
        <v>43</v>
      </c>
      <c r="AV18" s="876">
        <v>6</v>
      </c>
      <c r="AW18" s="876">
        <v>8</v>
      </c>
      <c r="AX18" s="876">
        <v>9</v>
      </c>
      <c r="AY18" s="876">
        <v>20</v>
      </c>
      <c r="AZ18" s="900">
        <v>22</v>
      </c>
      <c r="BA18" s="900">
        <v>26</v>
      </c>
      <c r="BB18" s="876">
        <v>27</v>
      </c>
      <c r="BC18" s="876">
        <v>37</v>
      </c>
      <c r="BD18" s="876">
        <v>28</v>
      </c>
      <c r="BE18" s="876">
        <v>30</v>
      </c>
      <c r="BF18" s="874">
        <v>34</v>
      </c>
      <c r="BG18" s="876">
        <v>39</v>
      </c>
      <c r="BH18" s="876">
        <v>7</v>
      </c>
      <c r="BI18" s="876">
        <v>11</v>
      </c>
      <c r="BJ18" s="876">
        <v>14</v>
      </c>
      <c r="BK18" s="876">
        <v>15</v>
      </c>
      <c r="BL18" s="876">
        <v>18</v>
      </c>
      <c r="BM18" s="876">
        <v>25</v>
      </c>
      <c r="BN18" s="876">
        <v>35</v>
      </c>
      <c r="BO18" s="876">
        <v>38</v>
      </c>
      <c r="BP18" s="876">
        <v>40</v>
      </c>
      <c r="BQ18" s="876">
        <v>10</v>
      </c>
      <c r="BR18" s="876">
        <v>29</v>
      </c>
      <c r="BS18" s="876">
        <v>33</v>
      </c>
      <c r="BU18" s="876">
        <v>42</v>
      </c>
      <c r="BV18" s="876">
        <v>13</v>
      </c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</row>
    <row r="19" spans="1:117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AVERAGEIFS($Z$23:$Z$203,$H$23:$H$203,"H",$I$23:$I$203,Table!$C$1)</f>
        <v>4.6190476190476186</v>
      </c>
      <c r="S19" s="858">
        <f>AVERAGEIFS($Z$23:$Z$203,$H$23:$H$203,"A",$I$23:$I$203,Table!$C$1)</f>
        <v>5.666666666666667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896</v>
      </c>
      <c r="AH19" s="901" t="s">
        <v>896</v>
      </c>
      <c r="AI19" s="901" t="s">
        <v>896</v>
      </c>
      <c r="AJ19" s="901" t="s">
        <v>896</v>
      </c>
      <c r="AK19" s="901" t="s">
        <v>2072</v>
      </c>
      <c r="AL19" s="901" t="s">
        <v>2085</v>
      </c>
      <c r="AM19" s="901" t="s">
        <v>2074</v>
      </c>
      <c r="AN19" s="901" t="s">
        <v>2074</v>
      </c>
      <c r="AO19" s="901" t="s">
        <v>2072</v>
      </c>
      <c r="AP19" s="901" t="s">
        <v>2085</v>
      </c>
      <c r="AQ19" s="901" t="s">
        <v>2072</v>
      </c>
      <c r="AR19" s="901" t="s">
        <v>2074</v>
      </c>
      <c r="AS19" s="901" t="s">
        <v>2085</v>
      </c>
      <c r="AT19" s="901" t="s">
        <v>2312</v>
      </c>
      <c r="AU19" s="901" t="s">
        <v>2914</v>
      </c>
      <c r="AV19" s="901" t="s">
        <v>2078</v>
      </c>
      <c r="AW19" s="901" t="s">
        <v>2088</v>
      </c>
      <c r="AX19" s="901" t="s">
        <v>2086</v>
      </c>
      <c r="AY19" s="901" t="s">
        <v>1989</v>
      </c>
      <c r="AZ19" s="901" t="s">
        <v>2073</v>
      </c>
      <c r="BA19" s="901" t="s">
        <v>2086</v>
      </c>
      <c r="BB19" s="901" t="s">
        <v>2086</v>
      </c>
      <c r="BC19" s="901" t="s">
        <v>3452</v>
      </c>
      <c r="BD19" s="901" t="s">
        <v>2086</v>
      </c>
      <c r="BE19" s="901" t="s">
        <v>2073</v>
      </c>
      <c r="BF19" s="901" t="s">
        <v>2086</v>
      </c>
      <c r="BG19" s="901" t="s">
        <v>2086</v>
      </c>
      <c r="BH19" s="901" t="s">
        <v>2089</v>
      </c>
      <c r="BI19" s="901" t="s">
        <v>2080</v>
      </c>
      <c r="BJ19" s="901" t="s">
        <v>2089</v>
      </c>
      <c r="BK19" s="901" t="s">
        <v>2077</v>
      </c>
      <c r="BL19" s="901" t="s">
        <v>2087</v>
      </c>
      <c r="BM19" s="901" t="s">
        <v>2080</v>
      </c>
      <c r="BN19" s="901" t="s">
        <v>2087</v>
      </c>
      <c r="BO19" s="901" t="s">
        <v>2087</v>
      </c>
      <c r="BP19" s="901" t="s">
        <v>2080</v>
      </c>
      <c r="BQ19" s="901" t="s">
        <v>2081</v>
      </c>
      <c r="BR19" s="901" t="s">
        <v>2077</v>
      </c>
      <c r="BS19" s="901" t="s">
        <v>2461</v>
      </c>
      <c r="BU19" s="901" t="s">
        <v>896</v>
      </c>
      <c r="BV19" s="901" t="s">
        <v>2080</v>
      </c>
      <c r="CA19" s="877"/>
      <c r="CB19" s="877"/>
      <c r="CC19" s="877"/>
      <c r="CD19" s="877"/>
      <c r="CE19" s="877"/>
      <c r="CF19" s="877"/>
      <c r="CG19" s="428"/>
      <c r="CH19" s="876"/>
      <c r="CI19" s="876"/>
      <c r="CJ19" s="876"/>
    </row>
    <row r="20" spans="1:117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22</v>
      </c>
      <c r="G20" s="822" t="str">
        <f ca="1">MID(CELL("filename",A1),FIND("]",CELL("filename",A1))+1,LEN(CELL("filename",A1))-FIND("]",CELL("filename",A1)))</f>
        <v>ThespaKusatsu Gunma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1645</v>
      </c>
      <c r="AH20" s="887" t="s">
        <v>1646</v>
      </c>
      <c r="AI20" s="887" t="s">
        <v>1767</v>
      </c>
      <c r="AJ20" s="887" t="s">
        <v>1768</v>
      </c>
      <c r="AK20" s="887" t="s">
        <v>1769</v>
      </c>
      <c r="AL20" s="887" t="s">
        <v>1770</v>
      </c>
      <c r="AM20" s="887" t="s">
        <v>2261</v>
      </c>
      <c r="AN20" s="887" t="s">
        <v>1771</v>
      </c>
      <c r="AO20" s="887" t="s">
        <v>1772</v>
      </c>
      <c r="AP20" s="887" t="s">
        <v>1928</v>
      </c>
      <c r="AQ20" s="887" t="s">
        <v>2855</v>
      </c>
      <c r="AR20" s="887" t="s">
        <v>2259</v>
      </c>
      <c r="AS20" s="887" t="s">
        <v>1773</v>
      </c>
      <c r="AT20" s="887" t="s">
        <v>2310</v>
      </c>
      <c r="AU20" s="887" t="s">
        <v>2913</v>
      </c>
      <c r="AV20" s="887" t="s">
        <v>1774</v>
      </c>
      <c r="AW20" s="887" t="s">
        <v>3101</v>
      </c>
      <c r="AX20" s="887" t="s">
        <v>2702</v>
      </c>
      <c r="AY20" s="887" t="s">
        <v>2548</v>
      </c>
      <c r="AZ20" s="887" t="s">
        <v>1776</v>
      </c>
      <c r="BA20" s="887" t="s">
        <v>1929</v>
      </c>
      <c r="BB20" s="887" t="s">
        <v>1777</v>
      </c>
      <c r="BC20" s="887" t="s">
        <v>3451</v>
      </c>
      <c r="BD20" s="887" t="s">
        <v>1930</v>
      </c>
      <c r="BE20" s="887" t="s">
        <v>3539</v>
      </c>
      <c r="BF20" s="887" t="s">
        <v>1779</v>
      </c>
      <c r="BG20" s="887" t="s">
        <v>1931</v>
      </c>
      <c r="BH20" s="887" t="s">
        <v>1780</v>
      </c>
      <c r="BI20" s="887" t="s">
        <v>1781</v>
      </c>
      <c r="BJ20" s="887" t="s">
        <v>3514</v>
      </c>
      <c r="BK20" s="887" t="s">
        <v>1783</v>
      </c>
      <c r="BL20" s="887" t="s">
        <v>1784</v>
      </c>
      <c r="BM20" s="887" t="s">
        <v>1785</v>
      </c>
      <c r="BN20" s="887" t="s">
        <v>1932</v>
      </c>
      <c r="BO20" s="887" t="s">
        <v>1786</v>
      </c>
      <c r="BP20" s="887" t="s">
        <v>1787</v>
      </c>
      <c r="BQ20" s="887" t="s">
        <v>1775</v>
      </c>
      <c r="BR20" s="887" t="s">
        <v>1778</v>
      </c>
      <c r="BS20" s="887" t="s">
        <v>3383</v>
      </c>
      <c r="BU20" s="887" t="s">
        <v>1927</v>
      </c>
      <c r="BV20" s="887" t="s">
        <v>1782</v>
      </c>
      <c r="CA20" s="864"/>
      <c r="CB20" s="864"/>
      <c r="CC20" s="864"/>
      <c r="CD20" s="864"/>
      <c r="CE20" s="864"/>
      <c r="CF20" s="86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</row>
    <row r="21" spans="1:117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1011</v>
      </c>
      <c r="AH21" s="886" t="s">
        <v>1012</v>
      </c>
      <c r="AI21" s="886" t="s">
        <v>1013</v>
      </c>
      <c r="AJ21" s="886" t="s">
        <v>1110</v>
      </c>
      <c r="AK21" s="886" t="s">
        <v>1014</v>
      </c>
      <c r="AL21" s="886" t="s">
        <v>1015</v>
      </c>
      <c r="AM21" s="886" t="s">
        <v>2262</v>
      </c>
      <c r="AN21" s="886" t="s">
        <v>1655</v>
      </c>
      <c r="AO21" s="886" t="s">
        <v>1111</v>
      </c>
      <c r="AP21" s="886" t="s">
        <v>1112</v>
      </c>
      <c r="AQ21" s="886" t="s">
        <v>1016</v>
      </c>
      <c r="AR21" s="886" t="s">
        <v>2260</v>
      </c>
      <c r="AS21" s="886" t="s">
        <v>1017</v>
      </c>
      <c r="AT21" s="886" t="s">
        <v>2311</v>
      </c>
      <c r="AU21" s="886" t="s">
        <v>1686</v>
      </c>
      <c r="AV21" s="886" t="s">
        <v>1018</v>
      </c>
      <c r="AW21" s="886" t="s">
        <v>1113</v>
      </c>
      <c r="AX21" s="886" t="s">
        <v>2613</v>
      </c>
      <c r="AY21" s="886" t="s">
        <v>1115</v>
      </c>
      <c r="AZ21" s="886" t="s">
        <v>1656</v>
      </c>
      <c r="BA21" s="886" t="s">
        <v>1116</v>
      </c>
      <c r="BB21" s="886" t="s">
        <v>1117</v>
      </c>
      <c r="BC21" s="886" t="s">
        <v>3450</v>
      </c>
      <c r="BD21" s="886" t="s">
        <v>1118</v>
      </c>
      <c r="BE21" s="886" t="s">
        <v>1020</v>
      </c>
      <c r="BF21" s="886" t="s">
        <v>1019</v>
      </c>
      <c r="BG21" s="886" t="s">
        <v>1657</v>
      </c>
      <c r="BH21" s="886" t="s">
        <v>1022</v>
      </c>
      <c r="BI21" s="886" t="s">
        <v>1658</v>
      </c>
      <c r="BJ21" s="886" t="s">
        <v>1121</v>
      </c>
      <c r="BK21" s="886" t="s">
        <v>1122</v>
      </c>
      <c r="BL21" s="886" t="s">
        <v>1123</v>
      </c>
      <c r="BM21" s="886" t="s">
        <v>1124</v>
      </c>
      <c r="BN21" s="886" t="s">
        <v>1125</v>
      </c>
      <c r="BO21" s="886" t="s">
        <v>1659</v>
      </c>
      <c r="BP21" s="886" t="s">
        <v>1126</v>
      </c>
      <c r="BQ21" s="886" t="s">
        <v>1114</v>
      </c>
      <c r="BR21" s="886" t="s">
        <v>1119</v>
      </c>
      <c r="BS21" s="886" t="s">
        <v>2460</v>
      </c>
      <c r="BU21" s="886" t="s">
        <v>1654</v>
      </c>
      <c r="BV21" s="886" t="s">
        <v>1120</v>
      </c>
      <c r="CA21" s="864"/>
      <c r="CB21" s="864"/>
      <c r="CC21" s="864"/>
      <c r="CD21" s="864"/>
      <c r="CE21" s="864"/>
      <c r="CF21" s="86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</row>
    <row r="22" spans="1:117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N22" s="829"/>
      <c r="BO22" s="829"/>
      <c r="BP22" s="829"/>
      <c r="BQ22" s="829"/>
      <c r="BR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</row>
    <row r="23" spans="1:117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2</v>
      </c>
      <c r="G23" s="879" t="s">
        <v>886</v>
      </c>
      <c r="H23" s="879" t="s">
        <v>18</v>
      </c>
      <c r="I23" s="879" t="s">
        <v>891</v>
      </c>
      <c r="J23" s="846">
        <v>0</v>
      </c>
      <c r="K23" s="846">
        <v>4</v>
      </c>
      <c r="L23" s="816" t="str">
        <f>IF(J23="","",IF(J23&gt;K23,"W",IF(J23=K23,"D",IF(J23&lt;K23,"L"))))</f>
        <v>L</v>
      </c>
      <c r="M23" s="816">
        <f>IF(J23="","",J23+K23)</f>
        <v>4</v>
      </c>
      <c r="N23" s="816" t="str">
        <f>IF($J23="","",IF($M23&gt;N$19,"O",IF($M23&lt;N$19,"U",IF($M23=N$19,"-"))))</f>
        <v>O</v>
      </c>
      <c r="O23" s="816">
        <f t="shared" ref="O23:O58" si="21">IF(Q23="","",IF(SIGN(Q23)&lt;&gt;1,VLOOKUP(ABS(Q23),SUP_HDC,3,TRUE),-VLOOKUP(ABS(Q23),SUP_HDC,3,TRUE)))</f>
        <v>0.5</v>
      </c>
      <c r="P23" s="829">
        <f>IF(O23="","",IF((J23-K23+O23)&gt;=0.5,1,IF((J23-K23+O23)=0.25,0.5,IF((J23-K23+O23)&lt;=-0.5,-1,IF((J23-K23+O23)=-0.25,-0.5,0)))))</f>
        <v>-1</v>
      </c>
      <c r="Q23" s="830">
        <v>-0.48</v>
      </c>
      <c r="R23" s="871">
        <f>IF(ISBLANK(Q23),"",J23-K23-Q23)</f>
        <v>-3.52</v>
      </c>
      <c r="S23" s="830">
        <v>2.17</v>
      </c>
      <c r="T23" s="871">
        <f>IF(ISBLANK(S23),"",J23+K23-S23)</f>
        <v>1.83</v>
      </c>
      <c r="U23" s="868">
        <f>IF(Q23="","",(Q23+S23)/2)</f>
        <v>0.84499999999999997</v>
      </c>
      <c r="V23" s="868">
        <f>IF(Q23="","",S23-U23)</f>
        <v>1.325</v>
      </c>
      <c r="W23" s="816">
        <v>12</v>
      </c>
      <c r="X23" s="816">
        <v>10</v>
      </c>
      <c r="Y23" s="829">
        <v>6</v>
      </c>
      <c r="Z23" s="829">
        <v>5</v>
      </c>
      <c r="AA23" s="829">
        <v>56</v>
      </c>
      <c r="AB23" s="829">
        <v>44</v>
      </c>
      <c r="AC23" s="829"/>
      <c r="AD23" s="816" t="str">
        <f t="array" ref="AD23">IF($J23="","",IF(SUM(IF(ISNUMBER(VALUE(RIGHT($AG23:$DY23,1))),VALUE(RIGHT($AG23:$DY23,1)),0))=$J23,"T","F"))</f>
        <v>T</v>
      </c>
      <c r="AE23" s="831">
        <f t="array" ref="AE23">IF($J23="","",SUM(IF(LEFT($AG23:$DY23,1)="s",1,0))-SUM(IF(RIGHT(LEFT($AG23:$DY23,2))="-",1,0)))</f>
        <v>0</v>
      </c>
      <c r="AF23" s="816">
        <f t="array" ref="AF23">IF($J23="","",SUM(IF(LEFT($AG23:$DY23,1)="X",1,0)))</f>
        <v>11</v>
      </c>
      <c r="AG23" s="891" t="s">
        <v>1877</v>
      </c>
      <c r="AH23" s="891" t="s">
        <v>32</v>
      </c>
      <c r="AI23" s="891" t="s">
        <v>32</v>
      </c>
      <c r="AJ23" s="891" t="s">
        <v>34</v>
      </c>
      <c r="AK23" s="891" t="s">
        <v>34</v>
      </c>
      <c r="AL23" s="891" t="s">
        <v>34</v>
      </c>
      <c r="AM23" s="891" t="s">
        <v>2007</v>
      </c>
      <c r="AN23" s="891" t="s">
        <v>34</v>
      </c>
      <c r="AO23" s="891" t="s">
        <v>32</v>
      </c>
      <c r="AP23" s="891" t="s">
        <v>32</v>
      </c>
      <c r="AQ23" s="891" t="s">
        <v>1877</v>
      </c>
      <c r="AR23" s="891" t="s">
        <v>2007</v>
      </c>
      <c r="AS23" s="891" t="s">
        <v>32</v>
      </c>
      <c r="AT23" s="891"/>
      <c r="AU23" s="891"/>
      <c r="AV23" s="891" t="s">
        <v>36</v>
      </c>
      <c r="AW23" s="891" t="s">
        <v>35</v>
      </c>
      <c r="AX23" s="891" t="s">
        <v>34</v>
      </c>
      <c r="AY23" s="891" t="s">
        <v>34</v>
      </c>
      <c r="AZ23" s="891" t="s">
        <v>32</v>
      </c>
      <c r="BA23" s="891" t="s">
        <v>34</v>
      </c>
      <c r="BB23" s="891" t="s">
        <v>32</v>
      </c>
      <c r="BC23" s="891"/>
      <c r="BD23" s="891" t="s">
        <v>36</v>
      </c>
      <c r="BE23" s="891" t="s">
        <v>35</v>
      </c>
      <c r="BF23" s="891" t="s">
        <v>32</v>
      </c>
      <c r="BG23" s="891" t="s">
        <v>32</v>
      </c>
      <c r="BH23" s="891" t="s">
        <v>34</v>
      </c>
      <c r="BI23" s="891" t="s">
        <v>32</v>
      </c>
      <c r="BJ23" s="891" t="s">
        <v>1877</v>
      </c>
      <c r="BK23" s="891" t="s">
        <v>35</v>
      </c>
      <c r="BL23" s="891" t="s">
        <v>1877</v>
      </c>
      <c r="BM23" s="891" t="s">
        <v>32</v>
      </c>
      <c r="BN23" s="891" t="s">
        <v>32</v>
      </c>
      <c r="BO23" s="891" t="s">
        <v>32</v>
      </c>
      <c r="BP23" s="904" t="s">
        <v>36</v>
      </c>
      <c r="BQ23" s="891"/>
      <c r="BR23" s="891"/>
      <c r="BT23" s="896"/>
      <c r="BU23" s="891" t="s">
        <v>32</v>
      </c>
      <c r="BV23" s="891" t="s">
        <v>32</v>
      </c>
      <c r="BW23" s="896"/>
      <c r="BX23" s="896"/>
      <c r="BY23" s="896"/>
      <c r="BZ23" s="896" t="s">
        <v>1647</v>
      </c>
      <c r="CA23" s="896"/>
      <c r="CB23" s="896"/>
      <c r="CC23" s="896"/>
      <c r="CD23" s="896"/>
      <c r="CE23" s="896"/>
      <c r="CF23" s="896"/>
      <c r="CG23" s="428"/>
      <c r="CH23" s="428"/>
      <c r="CI23" s="428"/>
      <c r="CJ23" s="428"/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</row>
    <row r="24" spans="1:117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</v>
      </c>
      <c r="G24" s="879" t="s">
        <v>1086</v>
      </c>
      <c r="H24" s="879" t="s">
        <v>18</v>
      </c>
      <c r="I24" s="879" t="s">
        <v>891</v>
      </c>
      <c r="J24" s="846">
        <v>1</v>
      </c>
      <c r="K24" s="846">
        <v>3</v>
      </c>
      <c r="L24" s="816" t="str">
        <f>IF(J24="","",IF(J24&gt;K24,"W",IF(J24=K24,"D",IF(J24&lt;K24,"L"))))</f>
        <v>L</v>
      </c>
      <c r="M24" s="816">
        <f>IF(J24="","",J24+K24)</f>
        <v>4</v>
      </c>
      <c r="N24" s="816" t="str">
        <f t="shared" ref="N24:N30" si="22">IF($J24="","",IF($M24&gt;N$19,"O",IF($M24&lt;N$19,"U",IF($M24=N$19,"-"))))</f>
        <v>O</v>
      </c>
      <c r="O24" s="816">
        <f t="shared" si="21"/>
        <v>1</v>
      </c>
      <c r="P24" s="829">
        <f t="shared" ref="P24:P58" si="23">IF(O24="","",IF((J24-K24+O24)&gt;=0.5,1,IF((J24-K24+O24)=0.25,0.5,IF((J24-K24+O24)&lt;=-0.5,-1,IF((J24-K24+O24)=-0.25,-0.5,0)))))</f>
        <v>-1</v>
      </c>
      <c r="Q24" s="830">
        <v>-1.04</v>
      </c>
      <c r="R24" s="871">
        <f t="shared" ref="R24:R30" si="24">IF(ISBLANK(Q24),"",J24-K24-Q24)</f>
        <v>-0.96</v>
      </c>
      <c r="S24" s="830">
        <v>2.48</v>
      </c>
      <c r="T24" s="871">
        <f t="shared" ref="T24:T68" si="25">IF(ISBLANK(S24),"",J24+K24-S24)</f>
        <v>1.52</v>
      </c>
      <c r="U24" s="868">
        <f t="shared" ref="U24:U58" si="26">IF(Q24="","",(Q24+S24)/2)</f>
        <v>0.72</v>
      </c>
      <c r="V24" s="868">
        <f t="shared" ref="V24:V58" si="27">IF(Q24="","",S24-U24)</f>
        <v>1.76</v>
      </c>
      <c r="W24" s="829">
        <v>16</v>
      </c>
      <c r="X24" s="829">
        <v>15</v>
      </c>
      <c r="Y24" s="829">
        <v>3</v>
      </c>
      <c r="Z24" s="829">
        <v>4</v>
      </c>
      <c r="AA24" s="829">
        <v>55</v>
      </c>
      <c r="AB24" s="829">
        <v>45</v>
      </c>
      <c r="AD24" s="816" t="str">
        <f t="array" ref="AD24">IF($J24="","",IF(SUM(IF(ISNUMBER(VALUE(RIGHT($AG24:$DY24,1))),VALUE(RIGHT($AG24:$DY24,1)),0))=$J24,"T","F"))</f>
        <v>T</v>
      </c>
      <c r="AE24" s="831">
        <f t="array" ref="AE24">IF($J24="","",SUM(IF(LEFT($AG24:$DY24,1)="s",1,0))-SUM(IF(RIGHT(LEFT($AG24:$DY24,2))="-",1,0)))</f>
        <v>0</v>
      </c>
      <c r="AF24" s="816">
        <f t="array" ref="AF24">IF($J24="","",SUM(IF(LEFT($AG24:$DY24,1)="X",1,0)))</f>
        <v>11</v>
      </c>
      <c r="AG24" s="891" t="s">
        <v>34</v>
      </c>
      <c r="AH24" s="891" t="s">
        <v>1877</v>
      </c>
      <c r="AI24" s="891" t="s">
        <v>32</v>
      </c>
      <c r="AJ24" s="891" t="s">
        <v>32</v>
      </c>
      <c r="AK24" s="891" t="s">
        <v>34</v>
      </c>
      <c r="AL24" s="891" t="s">
        <v>34</v>
      </c>
      <c r="AM24" s="891" t="s">
        <v>2007</v>
      </c>
      <c r="AN24" s="891" t="s">
        <v>34</v>
      </c>
      <c r="AO24" s="891" t="s">
        <v>32</v>
      </c>
      <c r="AP24" s="891" t="s">
        <v>32</v>
      </c>
      <c r="AQ24" s="891" t="s">
        <v>1877</v>
      </c>
      <c r="AR24" s="891" t="s">
        <v>2007</v>
      </c>
      <c r="AS24" s="891" t="s">
        <v>32</v>
      </c>
      <c r="AT24" s="891"/>
      <c r="AU24" s="891"/>
      <c r="AV24" s="891" t="s">
        <v>1877</v>
      </c>
      <c r="AW24" s="891" t="s">
        <v>35</v>
      </c>
      <c r="AX24" s="891" t="s">
        <v>34</v>
      </c>
      <c r="AY24" s="891" t="s">
        <v>34</v>
      </c>
      <c r="AZ24" s="891" t="s">
        <v>32</v>
      </c>
      <c r="BA24" s="891" t="s">
        <v>1948</v>
      </c>
      <c r="BB24" s="891" t="s">
        <v>36</v>
      </c>
      <c r="BC24" s="891"/>
      <c r="BD24" s="891" t="s">
        <v>36</v>
      </c>
      <c r="BE24" s="891" t="s">
        <v>35</v>
      </c>
      <c r="BF24" s="891" t="s">
        <v>32</v>
      </c>
      <c r="BG24" s="891" t="s">
        <v>32</v>
      </c>
      <c r="BH24" s="891" t="s">
        <v>34</v>
      </c>
      <c r="BI24" s="891" t="s">
        <v>32</v>
      </c>
      <c r="BJ24" s="891" t="s">
        <v>36</v>
      </c>
      <c r="BK24" s="891" t="s">
        <v>35</v>
      </c>
      <c r="BL24" s="891" t="s">
        <v>32</v>
      </c>
      <c r="BM24" s="891" t="s">
        <v>32</v>
      </c>
      <c r="BN24" s="891" t="s">
        <v>32</v>
      </c>
      <c r="BO24" s="891" t="s">
        <v>1877</v>
      </c>
      <c r="BP24" s="891"/>
      <c r="BQ24" s="891"/>
      <c r="BR24" s="891"/>
      <c r="BT24" s="896"/>
      <c r="BU24" s="891" t="s">
        <v>32</v>
      </c>
      <c r="BV24" s="891" t="s">
        <v>32</v>
      </c>
      <c r="BW24" s="896"/>
      <c r="BX24" s="896"/>
      <c r="BY24" s="896"/>
      <c r="BZ24" s="896"/>
      <c r="CA24" s="896"/>
      <c r="CB24" s="896"/>
      <c r="CC24" s="896"/>
      <c r="CD24" s="896"/>
      <c r="CE24" s="896"/>
      <c r="CF24" s="896"/>
      <c r="CG24" s="428"/>
      <c r="CH24" s="428"/>
      <c r="CI24" s="428"/>
      <c r="CJ24" s="428"/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</row>
    <row r="25" spans="1:117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10</v>
      </c>
      <c r="G25" s="879" t="s">
        <v>883</v>
      </c>
      <c r="H25" s="879" t="s">
        <v>18</v>
      </c>
      <c r="I25" s="879" t="s">
        <v>891</v>
      </c>
      <c r="J25" s="846">
        <v>0</v>
      </c>
      <c r="K25" s="846">
        <v>1</v>
      </c>
      <c r="L25" s="816" t="str">
        <f>IF(J25="","",IF(J25&gt;K25,"W",IF(J25=K25,"D",IF(J25&lt;K25,"L"))))</f>
        <v>L</v>
      </c>
      <c r="M25" s="816">
        <f>IF(J25="","",J25+K25)</f>
        <v>1</v>
      </c>
      <c r="N25" s="816" t="str">
        <f t="shared" si="22"/>
        <v>U</v>
      </c>
      <c r="O25" s="816">
        <f t="shared" si="21"/>
        <v>0.5</v>
      </c>
      <c r="P25" s="829">
        <f t="shared" si="23"/>
        <v>-1</v>
      </c>
      <c r="Q25" s="830">
        <v>-0.46</v>
      </c>
      <c r="R25" s="871">
        <f t="shared" si="24"/>
        <v>-0.54</v>
      </c>
      <c r="S25" s="830">
        <v>2.4</v>
      </c>
      <c r="T25" s="871">
        <f t="shared" si="25"/>
        <v>-1.4</v>
      </c>
      <c r="U25" s="868">
        <f t="shared" si="26"/>
        <v>0.97</v>
      </c>
      <c r="V25" s="868">
        <f t="shared" si="27"/>
        <v>1.43</v>
      </c>
      <c r="W25" s="829">
        <v>5</v>
      </c>
      <c r="X25" s="829">
        <v>16</v>
      </c>
      <c r="Y25" s="829">
        <v>0</v>
      </c>
      <c r="Z25" s="829">
        <v>8</v>
      </c>
      <c r="AA25" s="829">
        <v>53</v>
      </c>
      <c r="AB25" s="829">
        <v>47</v>
      </c>
      <c r="AC25" s="829"/>
      <c r="AD25" s="816" t="str">
        <f t="array" ref="AD25">IF($J25="","",IF(SUM(IF(ISNUMBER(VALUE(RIGHT($AG25:$DY25,1))),VALUE(RIGHT($AG25:$DY25,1)),0))=$J25,"T","F"))</f>
        <v>T</v>
      </c>
      <c r="AE25" s="831">
        <f t="array" ref="AE25">IF($J25="","",SUM(IF(LEFT($AG25:$DY25,1)="s",1,0))-SUM(IF(RIGHT(LEFT($AG25:$DY25,2))="-",1,0)))</f>
        <v>0</v>
      </c>
      <c r="AF25" s="816">
        <f t="array" ref="AF25">IF($J25="","",SUM(IF(LEFT($AG25:$DY25,1)="X",1,0)))</f>
        <v>11</v>
      </c>
      <c r="AG25" s="891" t="s">
        <v>34</v>
      </c>
      <c r="AH25" s="891" t="s">
        <v>32</v>
      </c>
      <c r="AI25" s="891" t="s">
        <v>32</v>
      </c>
      <c r="AJ25" s="891" t="s">
        <v>1877</v>
      </c>
      <c r="AK25" s="891" t="s">
        <v>1877</v>
      </c>
      <c r="AL25" s="891" t="s">
        <v>34</v>
      </c>
      <c r="AM25" s="891" t="s">
        <v>2007</v>
      </c>
      <c r="AN25" s="891" t="s">
        <v>34</v>
      </c>
      <c r="AO25" s="891" t="s">
        <v>32</v>
      </c>
      <c r="AP25" s="891" t="s">
        <v>32</v>
      </c>
      <c r="AQ25" s="891" t="s">
        <v>34</v>
      </c>
      <c r="AR25" s="891" t="s">
        <v>2007</v>
      </c>
      <c r="AS25" s="891" t="s">
        <v>32</v>
      </c>
      <c r="AT25" s="891"/>
      <c r="AU25" s="891"/>
      <c r="AV25" s="891" t="s">
        <v>34</v>
      </c>
      <c r="AW25" s="904" t="s">
        <v>35</v>
      </c>
      <c r="AX25" s="891" t="s">
        <v>34</v>
      </c>
      <c r="AY25" s="891" t="s">
        <v>34</v>
      </c>
      <c r="AZ25" s="891" t="s">
        <v>32</v>
      </c>
      <c r="BA25" s="891" t="s">
        <v>32</v>
      </c>
      <c r="BB25" s="891" t="s">
        <v>36</v>
      </c>
      <c r="BC25" s="891"/>
      <c r="BD25" s="891" t="s">
        <v>34</v>
      </c>
      <c r="BE25" s="891" t="s">
        <v>1877</v>
      </c>
      <c r="BF25" s="891" t="s">
        <v>32</v>
      </c>
      <c r="BG25" s="891" t="s">
        <v>32</v>
      </c>
      <c r="BH25" s="891" t="s">
        <v>35</v>
      </c>
      <c r="BI25" s="891" t="s">
        <v>32</v>
      </c>
      <c r="BJ25" s="904" t="s">
        <v>36</v>
      </c>
      <c r="BK25" s="891" t="s">
        <v>35</v>
      </c>
      <c r="BL25" s="891" t="s">
        <v>32</v>
      </c>
      <c r="BM25" s="891" t="s">
        <v>32</v>
      </c>
      <c r="BN25" s="891" t="s">
        <v>32</v>
      </c>
      <c r="BO25" s="904" t="s">
        <v>36</v>
      </c>
      <c r="BP25" s="891" t="s">
        <v>1877</v>
      </c>
      <c r="BQ25" s="891"/>
      <c r="BR25" s="891"/>
      <c r="BT25" s="896"/>
      <c r="BU25" s="891" t="s">
        <v>32</v>
      </c>
      <c r="BV25" s="891" t="s">
        <v>32</v>
      </c>
      <c r="BW25" s="896"/>
      <c r="BX25" s="896"/>
      <c r="BY25" s="896"/>
      <c r="BZ25" s="896"/>
      <c r="CA25" s="896"/>
      <c r="CB25" s="896"/>
      <c r="CC25" s="896"/>
      <c r="CD25" s="896"/>
      <c r="CE25" s="896"/>
      <c r="CF25" s="896"/>
      <c r="CG25" s="428"/>
      <c r="CH25" s="428"/>
      <c r="CI25" s="428"/>
      <c r="CJ25" s="428"/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</row>
    <row r="26" spans="1:117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16</v>
      </c>
      <c r="G26" s="879" t="s">
        <v>872</v>
      </c>
      <c r="H26" s="879" t="s">
        <v>22</v>
      </c>
      <c r="I26" s="879" t="s">
        <v>891</v>
      </c>
      <c r="J26" s="846">
        <v>0</v>
      </c>
      <c r="K26" s="846">
        <v>1</v>
      </c>
      <c r="L26" s="816" t="str">
        <f t="shared" ref="L26:L30" si="28">IF(J26="","",IF(J26&gt;K26,"W",IF(J26=K26,"D",IF(J26&lt;K26,"L"))))</f>
        <v>L</v>
      </c>
      <c r="M26" s="816">
        <f t="shared" ref="M26:M30" si="29">IF(J26="","",J26+K26)</f>
        <v>1</v>
      </c>
      <c r="N26" s="816" t="str">
        <f t="shared" si="22"/>
        <v>U</v>
      </c>
      <c r="O26" s="816">
        <f t="shared" si="21"/>
        <v>0.25</v>
      </c>
      <c r="P26" s="829">
        <f t="shared" si="23"/>
        <v>-1</v>
      </c>
      <c r="Q26" s="830">
        <v>-0.38</v>
      </c>
      <c r="R26" s="871">
        <f t="shared" si="24"/>
        <v>-0.62</v>
      </c>
      <c r="S26" s="830">
        <v>2.42</v>
      </c>
      <c r="T26" s="871">
        <f t="shared" si="25"/>
        <v>-1.42</v>
      </c>
      <c r="U26" s="868">
        <f t="shared" si="26"/>
        <v>1.02</v>
      </c>
      <c r="V26" s="868">
        <f t="shared" si="27"/>
        <v>1.4</v>
      </c>
      <c r="W26" s="829">
        <v>11</v>
      </c>
      <c r="X26" s="829">
        <v>18</v>
      </c>
      <c r="Y26" s="829">
        <v>1</v>
      </c>
      <c r="Z26" s="829">
        <v>4</v>
      </c>
      <c r="AA26" s="829">
        <v>51</v>
      </c>
      <c r="AB26" s="829">
        <v>49</v>
      </c>
      <c r="AC26" s="829"/>
      <c r="AD26" s="816" t="str">
        <f t="array" ref="AD26">IF($J26="","",IF(SUM(IF(ISNUMBER(VALUE(RIGHT($AG26:$DY26,1))),VALUE(RIGHT($AG26:$DY26,1)),0))=$J26,"T","F"))</f>
        <v>T</v>
      </c>
      <c r="AE26" s="831">
        <f t="array" ref="AE26">IF($J26="","",SUM(IF(LEFT($AG26:$DY26,1)="s",1,0))-SUM(IF(RIGHT(LEFT($AG26:$DY26,2))="-",1,0)))</f>
        <v>0</v>
      </c>
      <c r="AF26" s="816">
        <f t="array" ref="AF26">IF($J26="","",SUM(IF(LEFT($AG26:$DY26,1)="X",1,0)))</f>
        <v>11</v>
      </c>
      <c r="AG26" s="891" t="s">
        <v>34</v>
      </c>
      <c r="AH26" s="891" t="s">
        <v>32</v>
      </c>
      <c r="AI26" s="891" t="s">
        <v>32</v>
      </c>
      <c r="AJ26" s="891" t="s">
        <v>1877</v>
      </c>
      <c r="AK26" s="891" t="s">
        <v>1877</v>
      </c>
      <c r="AL26" s="904" t="s">
        <v>34</v>
      </c>
      <c r="AM26" s="891" t="s">
        <v>1884</v>
      </c>
      <c r="AN26" s="891" t="s">
        <v>34</v>
      </c>
      <c r="AO26" s="891" t="s">
        <v>32</v>
      </c>
      <c r="AP26" s="891" t="s">
        <v>32</v>
      </c>
      <c r="AQ26" s="891" t="s">
        <v>34</v>
      </c>
      <c r="AR26" s="891" t="s">
        <v>2105</v>
      </c>
      <c r="AS26" s="891" t="s">
        <v>32</v>
      </c>
      <c r="AT26" s="891"/>
      <c r="AU26" s="891"/>
      <c r="AV26" s="891" t="s">
        <v>1877</v>
      </c>
      <c r="AW26" s="891" t="s">
        <v>35</v>
      </c>
      <c r="AX26" s="891" t="s">
        <v>34</v>
      </c>
      <c r="AY26" s="904" t="s">
        <v>34</v>
      </c>
      <c r="AZ26" s="891" t="s">
        <v>32</v>
      </c>
      <c r="BA26" s="904" t="s">
        <v>34</v>
      </c>
      <c r="BB26" s="891" t="s">
        <v>36</v>
      </c>
      <c r="BC26" s="891"/>
      <c r="BD26" s="891" t="s">
        <v>36</v>
      </c>
      <c r="BE26" s="904" t="s">
        <v>35</v>
      </c>
      <c r="BF26" s="891" t="s">
        <v>32</v>
      </c>
      <c r="BG26" s="891" t="s">
        <v>32</v>
      </c>
      <c r="BH26" s="891" t="s">
        <v>1877</v>
      </c>
      <c r="BI26" s="891" t="s">
        <v>32</v>
      </c>
      <c r="BJ26" s="891" t="s">
        <v>32</v>
      </c>
      <c r="BK26" s="891" t="s">
        <v>35</v>
      </c>
      <c r="BL26" s="891" t="s">
        <v>34</v>
      </c>
      <c r="BM26" s="891" t="s">
        <v>32</v>
      </c>
      <c r="BN26" s="891" t="s">
        <v>32</v>
      </c>
      <c r="BO26" s="891" t="s">
        <v>32</v>
      </c>
      <c r="BP26" s="891" t="s">
        <v>36</v>
      </c>
      <c r="BQ26" s="891"/>
      <c r="BR26" s="891"/>
      <c r="BS26" s="891"/>
      <c r="BT26" s="896"/>
      <c r="BU26" s="891" t="s">
        <v>32</v>
      </c>
      <c r="BV26" s="891" t="s">
        <v>32</v>
      </c>
      <c r="BW26" s="896"/>
      <c r="BX26" s="896"/>
      <c r="BY26" s="896"/>
      <c r="BZ26" s="896"/>
      <c r="CA26" s="896"/>
      <c r="CB26" s="896"/>
      <c r="CC26" s="896"/>
      <c r="CD26" s="896"/>
      <c r="CE26" s="896"/>
      <c r="CF26" s="896"/>
      <c r="CG26" s="4"/>
      <c r="CH26" s="4"/>
      <c r="CI26" s="4"/>
      <c r="CJ26" s="4"/>
      <c r="CK26" s="4" t="s">
        <v>32</v>
      </c>
      <c r="CL26" s="4" t="s">
        <v>32</v>
      </c>
      <c r="CM26" s="4" t="s">
        <v>32</v>
      </c>
      <c r="CN26" s="6" t="s">
        <v>32</v>
      </c>
      <c r="CO26" s="6" t="s">
        <v>32</v>
      </c>
      <c r="CP26" s="6" t="s">
        <v>32</v>
      </c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20"/>
    </row>
    <row r="27" spans="1:117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13</v>
      </c>
      <c r="G27" s="879" t="s">
        <v>884</v>
      </c>
      <c r="H27" s="879" t="s">
        <v>22</v>
      </c>
      <c r="I27" s="879" t="s">
        <v>891</v>
      </c>
      <c r="J27" s="846">
        <v>1</v>
      </c>
      <c r="K27" s="846">
        <v>2</v>
      </c>
      <c r="L27" s="816" t="str">
        <f t="shared" si="28"/>
        <v>L</v>
      </c>
      <c r="M27" s="816">
        <f t="shared" si="29"/>
        <v>3</v>
      </c>
      <c r="N27" s="816" t="str">
        <f t="shared" si="22"/>
        <v>O</v>
      </c>
      <c r="O27" s="816">
        <f t="shared" si="21"/>
        <v>0.25</v>
      </c>
      <c r="P27" s="829">
        <f t="shared" si="23"/>
        <v>-1</v>
      </c>
      <c r="Q27" s="830">
        <v>-0.38</v>
      </c>
      <c r="R27" s="871">
        <f t="shared" si="24"/>
        <v>-0.62</v>
      </c>
      <c r="S27" s="830">
        <v>2.38</v>
      </c>
      <c r="T27" s="871">
        <f t="shared" si="25"/>
        <v>0.62000000000000011</v>
      </c>
      <c r="U27" s="868">
        <f t="shared" si="26"/>
        <v>1</v>
      </c>
      <c r="V27" s="868">
        <f t="shared" si="27"/>
        <v>1.38</v>
      </c>
      <c r="W27" s="829">
        <v>11</v>
      </c>
      <c r="X27" s="829">
        <v>12</v>
      </c>
      <c r="Y27" s="829">
        <v>3</v>
      </c>
      <c r="Z27" s="829">
        <v>2</v>
      </c>
      <c r="AA27" s="829">
        <v>56</v>
      </c>
      <c r="AB27" s="829">
        <v>44</v>
      </c>
      <c r="AC27" s="829"/>
      <c r="AD27" s="816" t="str">
        <f t="array" ref="AD27">IF($J27="","",IF(SUM(IF(ISNUMBER(VALUE(RIGHT($AG27:$DY27,1))),VALUE(RIGHT($AG27:$DY27,1)),0))=$J27,"T","F"))</f>
        <v>T</v>
      </c>
      <c r="AE27" s="831">
        <f t="array" ref="AE27">IF($J27="","",SUM(IF(LEFT($AG27:$DY27,1)="s",1,0))-SUM(IF(RIGHT(LEFT($AG27:$DY27,2))="-",1,0)))</f>
        <v>0</v>
      </c>
      <c r="AF27" s="816">
        <f t="array" ref="AF27">IF($J27="","",SUM(IF(LEFT($AG27:$DY27,1)="X",1,0)))</f>
        <v>11</v>
      </c>
      <c r="AG27" s="891" t="s">
        <v>1877</v>
      </c>
      <c r="AH27" s="891" t="s">
        <v>32</v>
      </c>
      <c r="AI27" s="891" t="s">
        <v>32</v>
      </c>
      <c r="AJ27" s="891" t="s">
        <v>34</v>
      </c>
      <c r="AK27" s="891" t="s">
        <v>34</v>
      </c>
      <c r="AL27" s="891" t="s">
        <v>2184</v>
      </c>
      <c r="AM27" s="891" t="s">
        <v>1884</v>
      </c>
      <c r="AN27" s="891" t="s">
        <v>34</v>
      </c>
      <c r="AO27" s="891" t="s">
        <v>34</v>
      </c>
      <c r="AP27" s="891" t="s">
        <v>32</v>
      </c>
      <c r="AQ27" s="904" t="s">
        <v>34</v>
      </c>
      <c r="AR27" s="891" t="s">
        <v>1884</v>
      </c>
      <c r="AS27" s="891" t="s">
        <v>32</v>
      </c>
      <c r="AT27" s="891"/>
      <c r="AU27" s="891"/>
      <c r="AV27" s="891" t="s">
        <v>35</v>
      </c>
      <c r="AW27" s="891" t="s">
        <v>32</v>
      </c>
      <c r="AX27" s="891" t="s">
        <v>34</v>
      </c>
      <c r="AY27" s="904" t="s">
        <v>35</v>
      </c>
      <c r="AZ27" s="891" t="s">
        <v>32</v>
      </c>
      <c r="BA27" s="891" t="s">
        <v>2133</v>
      </c>
      <c r="BB27" s="891" t="s">
        <v>36</v>
      </c>
      <c r="BC27" s="891"/>
      <c r="BD27" s="891" t="s">
        <v>34</v>
      </c>
      <c r="BE27" s="891" t="s">
        <v>1877</v>
      </c>
      <c r="BF27" s="891" t="s">
        <v>32</v>
      </c>
      <c r="BG27" s="891" t="s">
        <v>32</v>
      </c>
      <c r="BH27" s="891" t="s">
        <v>34</v>
      </c>
      <c r="BI27" s="891" t="s">
        <v>32</v>
      </c>
      <c r="BJ27" s="891" t="s">
        <v>36</v>
      </c>
      <c r="BK27" s="891" t="s">
        <v>36</v>
      </c>
      <c r="BL27" s="891" t="s">
        <v>1877</v>
      </c>
      <c r="BM27" s="891" t="s">
        <v>32</v>
      </c>
      <c r="BN27" s="891" t="s">
        <v>32</v>
      </c>
      <c r="BO27" s="891" t="s">
        <v>32</v>
      </c>
      <c r="BP27" s="891" t="s">
        <v>1877</v>
      </c>
      <c r="BQ27" s="891"/>
      <c r="BR27" s="891"/>
      <c r="BS27" s="891"/>
      <c r="BT27" s="896"/>
      <c r="BU27" s="891" t="s">
        <v>32</v>
      </c>
      <c r="BV27" s="891" t="s">
        <v>32</v>
      </c>
      <c r="BW27" s="896"/>
      <c r="BX27" s="896"/>
      <c r="BY27" s="896"/>
      <c r="BZ27" s="896"/>
      <c r="CA27" s="896"/>
      <c r="CB27" s="896"/>
      <c r="CC27" s="896"/>
      <c r="CD27" s="896"/>
      <c r="CE27" s="896"/>
      <c r="CF27" s="896"/>
      <c r="CG27" s="865"/>
      <c r="CH27" s="865"/>
      <c r="CI27" s="865"/>
      <c r="CJ27" s="865"/>
      <c r="CK27" s="865" t="s">
        <v>32</v>
      </c>
      <c r="CL27" s="865" t="s">
        <v>32</v>
      </c>
      <c r="CM27" s="865" t="s">
        <v>32</v>
      </c>
      <c r="CN27" s="4" t="s">
        <v>32</v>
      </c>
      <c r="CO27" s="6" t="s">
        <v>32</v>
      </c>
      <c r="CP27" s="6" t="s">
        <v>32</v>
      </c>
      <c r="CQ27" s="6" t="s">
        <v>32</v>
      </c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</row>
    <row r="28" spans="1:117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17</v>
      </c>
      <c r="G28" s="879" t="s">
        <v>875</v>
      </c>
      <c r="H28" s="879" t="s">
        <v>18</v>
      </c>
      <c r="I28" s="879" t="s">
        <v>891</v>
      </c>
      <c r="J28" s="846">
        <v>0</v>
      </c>
      <c r="K28" s="846">
        <v>2</v>
      </c>
      <c r="L28" s="816" t="str">
        <f t="shared" si="28"/>
        <v>L</v>
      </c>
      <c r="M28" s="816">
        <f t="shared" si="29"/>
        <v>2</v>
      </c>
      <c r="N28" s="816" t="str">
        <f t="shared" si="22"/>
        <v>U</v>
      </c>
      <c r="O28" s="816">
        <f t="shared" si="21"/>
        <v>0.25</v>
      </c>
      <c r="P28" s="829">
        <f t="shared" si="23"/>
        <v>-1</v>
      </c>
      <c r="Q28" s="830">
        <v>-0.39</v>
      </c>
      <c r="R28" s="871">
        <f t="shared" si="24"/>
        <v>-1.6099999999999999</v>
      </c>
      <c r="S28" s="830">
        <v>2.27</v>
      </c>
      <c r="T28" s="871">
        <f t="shared" si="25"/>
        <v>-0.27</v>
      </c>
      <c r="U28" s="868">
        <f t="shared" si="26"/>
        <v>0.94</v>
      </c>
      <c r="V28" s="868">
        <f t="shared" si="27"/>
        <v>1.33</v>
      </c>
      <c r="W28" s="829">
        <v>10</v>
      </c>
      <c r="X28" s="829">
        <v>18</v>
      </c>
      <c r="Y28" s="829">
        <v>5</v>
      </c>
      <c r="Z28" s="829">
        <v>2</v>
      </c>
      <c r="AA28" s="829">
        <v>61</v>
      </c>
      <c r="AB28" s="829">
        <v>39</v>
      </c>
      <c r="AC28" s="829"/>
      <c r="AD28" s="816" t="str">
        <f t="array" ref="AD28">IF($J28="","",IF(SUM(IF(ISNUMBER(VALUE(RIGHT($AG28:$DY28,1))),VALUE(RIGHT($AG28:$DY28,1)),0))=$J28,"T","F"))</f>
        <v>T</v>
      </c>
      <c r="AE28" s="831">
        <f t="array" ref="AE28">IF($J28="","",SUM(IF(LEFT($AG28:$DY28,1)="s",1,0))-SUM(IF(RIGHT(LEFT($AG28:$DY28,2))="-",1,0)))</f>
        <v>0</v>
      </c>
      <c r="AF28" s="816">
        <f t="array" ref="AF28">IF($J28="","",SUM(IF(LEFT($AG28:$DY28,1)="X",1,0)))</f>
        <v>11</v>
      </c>
      <c r="AG28" s="891" t="s">
        <v>32</v>
      </c>
      <c r="AH28" s="891" t="s">
        <v>32</v>
      </c>
      <c r="AI28" s="891" t="s">
        <v>1877</v>
      </c>
      <c r="AJ28" s="891" t="s">
        <v>34</v>
      </c>
      <c r="AK28" s="891" t="s">
        <v>1877</v>
      </c>
      <c r="AL28" s="891" t="s">
        <v>2184</v>
      </c>
      <c r="AM28" s="891" t="s">
        <v>1884</v>
      </c>
      <c r="AN28" s="891" t="s">
        <v>34</v>
      </c>
      <c r="AO28" s="891" t="s">
        <v>34</v>
      </c>
      <c r="AP28" s="891" t="s">
        <v>32</v>
      </c>
      <c r="AQ28" s="904" t="s">
        <v>34</v>
      </c>
      <c r="AR28" s="891" t="s">
        <v>1884</v>
      </c>
      <c r="AS28" s="891" t="s">
        <v>32</v>
      </c>
      <c r="AT28" s="891"/>
      <c r="AU28" s="891"/>
      <c r="AV28" s="891" t="s">
        <v>35</v>
      </c>
      <c r="AW28" s="891" t="s">
        <v>36</v>
      </c>
      <c r="AX28" s="891" t="s">
        <v>34</v>
      </c>
      <c r="AY28" s="891" t="s">
        <v>35</v>
      </c>
      <c r="AZ28" s="891" t="s">
        <v>32</v>
      </c>
      <c r="BA28" s="891" t="s">
        <v>34</v>
      </c>
      <c r="BB28" s="904" t="s">
        <v>36</v>
      </c>
      <c r="BC28" s="891"/>
      <c r="BD28" s="891" t="s">
        <v>34</v>
      </c>
      <c r="BE28" s="891" t="s">
        <v>1877</v>
      </c>
      <c r="BF28" s="891" t="s">
        <v>32</v>
      </c>
      <c r="BG28" s="891" t="s">
        <v>32</v>
      </c>
      <c r="BH28" s="891" t="s">
        <v>35</v>
      </c>
      <c r="BI28" s="891" t="s">
        <v>32</v>
      </c>
      <c r="BJ28" s="891" t="s">
        <v>36</v>
      </c>
      <c r="BK28" s="891" t="s">
        <v>1877</v>
      </c>
      <c r="BL28" s="891" t="s">
        <v>34</v>
      </c>
      <c r="BM28" s="891"/>
      <c r="BN28" s="891"/>
      <c r="BO28" s="891"/>
      <c r="BP28" s="891"/>
      <c r="BQ28" s="891"/>
      <c r="BR28" s="891"/>
      <c r="BS28" s="891"/>
      <c r="BT28" s="896"/>
      <c r="BU28" s="891" t="s">
        <v>32</v>
      </c>
      <c r="BV28" s="891" t="s">
        <v>32</v>
      </c>
      <c r="BW28" s="896"/>
      <c r="BX28" s="896"/>
      <c r="BY28" s="896"/>
      <c r="BZ28" s="896"/>
      <c r="CA28" s="896"/>
      <c r="CB28" s="896"/>
      <c r="CC28" s="896"/>
      <c r="CD28" s="896"/>
      <c r="CE28" s="896"/>
      <c r="CF28" s="896"/>
      <c r="CG28" s="4"/>
      <c r="CH28" s="4"/>
      <c r="CI28" s="4"/>
      <c r="CJ28" s="4"/>
      <c r="CK28" s="4" t="s">
        <v>32</v>
      </c>
      <c r="CL28" s="4" t="s">
        <v>32</v>
      </c>
      <c r="CM28" s="4" t="s">
        <v>32</v>
      </c>
      <c r="CN28" s="4" t="s">
        <v>32</v>
      </c>
      <c r="CO28" s="6" t="s">
        <v>32</v>
      </c>
      <c r="CP28" s="6" t="s">
        <v>32</v>
      </c>
      <c r="CQ28" s="6" t="s">
        <v>32</v>
      </c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</row>
    <row r="29" spans="1:117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6</v>
      </c>
      <c r="G29" s="879" t="s">
        <v>876</v>
      </c>
      <c r="H29" s="879" t="s">
        <v>18</v>
      </c>
      <c r="I29" s="879" t="s">
        <v>891</v>
      </c>
      <c r="J29" s="846">
        <v>1</v>
      </c>
      <c r="K29" s="846">
        <v>1</v>
      </c>
      <c r="L29" s="816" t="str">
        <f t="shared" si="28"/>
        <v>D</v>
      </c>
      <c r="M29" s="816">
        <f t="shared" si="29"/>
        <v>2</v>
      </c>
      <c r="N29" s="816" t="str">
        <f t="shared" si="22"/>
        <v>U</v>
      </c>
      <c r="O29" s="816">
        <f t="shared" si="21"/>
        <v>0.75</v>
      </c>
      <c r="P29" s="829">
        <f t="shared" si="23"/>
        <v>1</v>
      </c>
      <c r="Q29" s="830">
        <v>-0.86</v>
      </c>
      <c r="R29" s="871">
        <f t="shared" si="24"/>
        <v>0.86</v>
      </c>
      <c r="S29" s="830">
        <v>2.6</v>
      </c>
      <c r="T29" s="871">
        <f t="shared" si="25"/>
        <v>-0.60000000000000009</v>
      </c>
      <c r="U29" s="868">
        <f t="shared" si="26"/>
        <v>0.87000000000000011</v>
      </c>
      <c r="V29" s="868">
        <f t="shared" si="27"/>
        <v>1.73</v>
      </c>
      <c r="W29" s="829">
        <v>10</v>
      </c>
      <c r="X29" s="829">
        <v>12</v>
      </c>
      <c r="Y29" s="829">
        <v>3</v>
      </c>
      <c r="Z29" s="829">
        <v>2</v>
      </c>
      <c r="AA29" s="829">
        <v>35</v>
      </c>
      <c r="AB29" s="829">
        <v>65</v>
      </c>
      <c r="AC29" s="829"/>
      <c r="AD29" s="816" t="str">
        <f t="array" ref="AD29">IF($J29="","",IF(SUM(IF(ISNUMBER(VALUE(RIGHT($AG29:$DY29,1))),VALUE(RIGHT($AG29:$DY29,1)),0))=$J29,"T","F"))</f>
        <v>T</v>
      </c>
      <c r="AE29" s="831">
        <f t="array" ref="AE29">IF($J29="","",SUM(IF(LEFT($AG29:$DY29,1)="s",1,0))-SUM(IF(RIGHT(LEFT($AG29:$DY29,2))="-",1,0)))</f>
        <v>0</v>
      </c>
      <c r="AF29" s="816">
        <f t="array" ref="AF29">IF($J29="","",SUM(IF(LEFT($AG29:$DY29,1)="X",1,0)))</f>
        <v>11</v>
      </c>
      <c r="AG29" s="891" t="s">
        <v>34</v>
      </c>
      <c r="AH29" s="891" t="s">
        <v>32</v>
      </c>
      <c r="AI29" s="891" t="s">
        <v>1877</v>
      </c>
      <c r="AJ29" s="891" t="s">
        <v>32</v>
      </c>
      <c r="AK29" s="891" t="s">
        <v>34</v>
      </c>
      <c r="AL29" s="891" t="s">
        <v>34</v>
      </c>
      <c r="AM29" s="891" t="s">
        <v>1884</v>
      </c>
      <c r="AN29" s="891" t="s">
        <v>34</v>
      </c>
      <c r="AO29" s="891" t="s">
        <v>32</v>
      </c>
      <c r="AP29" s="891" t="s">
        <v>32</v>
      </c>
      <c r="AQ29" s="891" t="s">
        <v>1877</v>
      </c>
      <c r="AR29" s="891" t="s">
        <v>1884</v>
      </c>
      <c r="AS29" s="891" t="s">
        <v>32</v>
      </c>
      <c r="AT29" s="891"/>
      <c r="AU29" s="891"/>
      <c r="AV29" s="891" t="s">
        <v>36</v>
      </c>
      <c r="AW29" s="891" t="s">
        <v>36</v>
      </c>
      <c r="AX29" s="904" t="s">
        <v>34</v>
      </c>
      <c r="AY29" s="891" t="s">
        <v>34</v>
      </c>
      <c r="AZ29" s="891" t="s">
        <v>32</v>
      </c>
      <c r="BA29" s="904" t="s">
        <v>2188</v>
      </c>
      <c r="BB29" s="891" t="s">
        <v>1877</v>
      </c>
      <c r="BC29" s="891"/>
      <c r="BD29" s="891" t="s">
        <v>34</v>
      </c>
      <c r="BE29" s="891" t="s">
        <v>1877</v>
      </c>
      <c r="BF29" s="891" t="s">
        <v>32</v>
      </c>
      <c r="BG29" s="891" t="s">
        <v>32</v>
      </c>
      <c r="BH29" s="891" t="s">
        <v>36</v>
      </c>
      <c r="BI29" s="891" t="s">
        <v>32</v>
      </c>
      <c r="BJ29" s="891" t="s">
        <v>35</v>
      </c>
      <c r="BK29" s="904" t="s">
        <v>35</v>
      </c>
      <c r="BL29" s="904" t="s">
        <v>35</v>
      </c>
      <c r="BM29" s="891"/>
      <c r="BN29" s="891"/>
      <c r="BO29" s="891"/>
      <c r="BP29" s="891"/>
      <c r="BQ29" s="891"/>
      <c r="BR29" s="891"/>
      <c r="BS29" s="891"/>
      <c r="BT29" s="896"/>
      <c r="BU29" s="891" t="s">
        <v>32</v>
      </c>
      <c r="BV29" s="891" t="s">
        <v>32</v>
      </c>
      <c r="BW29" s="896"/>
      <c r="BX29" s="896"/>
      <c r="BY29" s="896"/>
      <c r="BZ29" s="896"/>
      <c r="CA29" s="896"/>
      <c r="CB29" s="896"/>
      <c r="CC29" s="896"/>
      <c r="CD29" s="896"/>
      <c r="CE29" s="896"/>
      <c r="CF29" s="891"/>
      <c r="CG29" s="4"/>
      <c r="CH29" s="4"/>
      <c r="CI29" s="4"/>
      <c r="CJ29" s="4"/>
      <c r="CK29" s="4" t="s">
        <v>32</v>
      </c>
      <c r="CL29" s="4" t="s">
        <v>32</v>
      </c>
      <c r="CM29" s="4" t="s">
        <v>32</v>
      </c>
      <c r="CN29" s="4" t="s">
        <v>32</v>
      </c>
      <c r="CO29" s="6" t="s">
        <v>32</v>
      </c>
      <c r="CP29" s="6" t="s">
        <v>32</v>
      </c>
      <c r="CQ29" s="6" t="s">
        <v>32</v>
      </c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</row>
    <row r="30" spans="1:117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14</v>
      </c>
      <c r="G30" s="879" t="s">
        <v>873</v>
      </c>
      <c r="H30" s="879" t="s">
        <v>22</v>
      </c>
      <c r="I30" s="879" t="s">
        <v>891</v>
      </c>
      <c r="J30" s="846">
        <v>0</v>
      </c>
      <c r="K30" s="846">
        <v>1</v>
      </c>
      <c r="L30" s="816" t="str">
        <f t="shared" si="28"/>
        <v>L</v>
      </c>
      <c r="M30" s="816">
        <f t="shared" si="29"/>
        <v>1</v>
      </c>
      <c r="N30" s="816" t="str">
        <f t="shared" si="22"/>
        <v>U</v>
      </c>
      <c r="O30" s="816">
        <f t="shared" si="21"/>
        <v>0.25</v>
      </c>
      <c r="P30" s="829">
        <f t="shared" si="23"/>
        <v>-1</v>
      </c>
      <c r="Q30" s="830">
        <v>-0.28000000000000003</v>
      </c>
      <c r="R30" s="871">
        <f t="shared" si="24"/>
        <v>-0.72</v>
      </c>
      <c r="S30" s="830">
        <v>2.36</v>
      </c>
      <c r="T30" s="871">
        <f t="shared" si="25"/>
        <v>-1.3599999999999999</v>
      </c>
      <c r="U30" s="868">
        <f t="shared" si="26"/>
        <v>1.04</v>
      </c>
      <c r="V30" s="868">
        <f t="shared" si="27"/>
        <v>1.3199999999999998</v>
      </c>
      <c r="W30" s="829">
        <v>5</v>
      </c>
      <c r="X30" s="829">
        <v>8</v>
      </c>
      <c r="Y30" s="829">
        <v>0</v>
      </c>
      <c r="Z30" s="829">
        <v>4</v>
      </c>
      <c r="AA30" s="829">
        <v>56</v>
      </c>
      <c r="AB30" s="829">
        <v>44</v>
      </c>
      <c r="AC30" s="829"/>
      <c r="AD30" s="816" t="str">
        <f t="array" ref="AD30">IF($J30="","",IF(SUM(IF(ISNUMBER(VALUE(RIGHT($AG30:$DY30,1))),VALUE(RIGHT($AG30:$DY30,1)),0))=$J30,"T","F"))</f>
        <v>T</v>
      </c>
      <c r="AE30" s="831">
        <f t="array" ref="AE30">IF($J30="","",SUM(IF(LEFT($AG30:$DY30,1)="s",1,0))-SUM(IF(RIGHT(LEFT($AG30:$DY30,2))="-",1,0)))</f>
        <v>0</v>
      </c>
      <c r="AF30" s="816">
        <f t="array" ref="AF30">IF($J30="","",SUM(IF(LEFT($AG30:$DY30,1)="X",1,0)))</f>
        <v>11</v>
      </c>
      <c r="AG30" s="891" t="s">
        <v>34</v>
      </c>
      <c r="AH30" s="891" t="s">
        <v>32</v>
      </c>
      <c r="AI30" s="891" t="s">
        <v>1877</v>
      </c>
      <c r="AJ30" s="891" t="s">
        <v>32</v>
      </c>
      <c r="AK30" s="891" t="s">
        <v>34</v>
      </c>
      <c r="AL30" s="891" t="s">
        <v>34</v>
      </c>
      <c r="AM30" s="891" t="s">
        <v>1884</v>
      </c>
      <c r="AN30" s="891" t="s">
        <v>34</v>
      </c>
      <c r="AO30" s="891" t="s">
        <v>32</v>
      </c>
      <c r="AP30" s="891" t="s">
        <v>32</v>
      </c>
      <c r="AQ30" s="891" t="s">
        <v>1877</v>
      </c>
      <c r="AR30" s="891" t="s">
        <v>1884</v>
      </c>
      <c r="AS30" s="891" t="s">
        <v>32</v>
      </c>
      <c r="AT30" s="891"/>
      <c r="AU30" s="891"/>
      <c r="AV30" s="891" t="s">
        <v>36</v>
      </c>
      <c r="AW30" s="891" t="s">
        <v>1877</v>
      </c>
      <c r="AX30" s="891" t="s">
        <v>34</v>
      </c>
      <c r="AY30" s="891" t="s">
        <v>34</v>
      </c>
      <c r="AZ30" s="891" t="s">
        <v>32</v>
      </c>
      <c r="BA30" s="891" t="s">
        <v>34</v>
      </c>
      <c r="BB30" s="891" t="s">
        <v>36</v>
      </c>
      <c r="BC30" s="891"/>
      <c r="BD30" s="891" t="s">
        <v>35</v>
      </c>
      <c r="BE30" s="891" t="s">
        <v>1877</v>
      </c>
      <c r="BF30" s="891" t="s">
        <v>32</v>
      </c>
      <c r="BG30" s="891" t="s">
        <v>32</v>
      </c>
      <c r="BH30" s="906" t="s">
        <v>2236</v>
      </c>
      <c r="BI30" s="891" t="s">
        <v>32</v>
      </c>
      <c r="BJ30" s="891" t="s">
        <v>35</v>
      </c>
      <c r="BK30" s="891" t="s">
        <v>35</v>
      </c>
      <c r="BL30" s="891" t="s">
        <v>34</v>
      </c>
      <c r="BM30" s="891"/>
      <c r="BN30" s="891"/>
      <c r="BO30" s="891"/>
      <c r="BP30" s="891"/>
      <c r="BQ30" s="891"/>
      <c r="BR30" s="891"/>
      <c r="BS30" s="891"/>
      <c r="BT30" s="896"/>
      <c r="BU30" s="891" t="s">
        <v>32</v>
      </c>
      <c r="BV30" s="891" t="s">
        <v>32</v>
      </c>
      <c r="BW30" s="896"/>
      <c r="BX30" s="896"/>
      <c r="BY30" s="896"/>
      <c r="BZ30" s="891"/>
      <c r="CA30" s="891"/>
      <c r="CB30" s="891"/>
      <c r="CC30" s="891"/>
      <c r="CD30" s="891"/>
      <c r="CE30" s="891"/>
      <c r="CF30" s="891"/>
      <c r="CG30" s="428"/>
      <c r="CH30" s="428"/>
      <c r="CI30" s="428"/>
      <c r="CJ30" s="428"/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</row>
    <row r="31" spans="1:117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5</v>
      </c>
      <c r="G31" s="879" t="s">
        <v>889</v>
      </c>
      <c r="H31" s="879" t="s">
        <v>18</v>
      </c>
      <c r="I31" s="879" t="s">
        <v>891</v>
      </c>
      <c r="J31" s="846">
        <v>1</v>
      </c>
      <c r="K31" s="846">
        <v>3</v>
      </c>
      <c r="L31" s="816" t="str">
        <f>IF(J31="","",IF(J31&gt;K31,"W",IF(J31=K31,"D",IF(J31&lt;K31,"L"))))</f>
        <v>L</v>
      </c>
      <c r="M31" s="816">
        <f>IF(J31="","",J31+K31)</f>
        <v>4</v>
      </c>
      <c r="N31" s="816" t="str">
        <f>IF($J31="","",IF($M31&gt;N$19,"O",IF($M31&lt;N$19,"U",IF($M31=N$19,"-"))))</f>
        <v>O</v>
      </c>
      <c r="O31" s="816">
        <f t="shared" si="21"/>
        <v>0.5</v>
      </c>
      <c r="P31" s="829">
        <f t="shared" si="23"/>
        <v>-1</v>
      </c>
      <c r="Q31" s="830">
        <v>-0.7</v>
      </c>
      <c r="R31" s="871">
        <f>IF(ISBLANK(Q31),"",J31-K31-Q31)</f>
        <v>-1.3</v>
      </c>
      <c r="S31" s="830">
        <v>2.57</v>
      </c>
      <c r="T31" s="871">
        <f t="shared" si="25"/>
        <v>1.4300000000000002</v>
      </c>
      <c r="U31" s="868">
        <f t="shared" si="26"/>
        <v>0.93499999999999994</v>
      </c>
      <c r="V31" s="868">
        <f t="shared" si="27"/>
        <v>1.6349999999999998</v>
      </c>
      <c r="W31" s="829">
        <v>16</v>
      </c>
      <c r="X31" s="829">
        <v>19</v>
      </c>
      <c r="Y31" s="829">
        <v>3</v>
      </c>
      <c r="Z31" s="829">
        <v>8</v>
      </c>
      <c r="AA31" s="829">
        <v>50</v>
      </c>
      <c r="AB31" s="829">
        <v>50</v>
      </c>
      <c r="AC31" s="829"/>
      <c r="AD31" s="816" t="str">
        <f t="array" ref="AD31">IF($J31="","",IF(SUM(IF(ISNUMBER(VALUE(RIGHT($AG31:$DY31,1))),VALUE(RIGHT($AG31:$DY31,1)),0))=$J31,"T","F"))</f>
        <v>T</v>
      </c>
      <c r="AE31" s="831">
        <f t="array" ref="AE31">IF($J31="","",SUM(IF(LEFT($AG31:$DY31,1)="s",1,0))-SUM(IF(RIGHT(LEFT($AG31:$DY31,2))="-",1,0)))</f>
        <v>0</v>
      </c>
      <c r="AF31" s="816">
        <f t="array" ref="AF31">IF($J31="","",SUM(IF(LEFT($AG31:$DY31,1)="X",1,0)))</f>
        <v>11</v>
      </c>
      <c r="AG31" s="891" t="s">
        <v>34</v>
      </c>
      <c r="AH31" s="891" t="s">
        <v>32</v>
      </c>
      <c r="AI31" s="891" t="s">
        <v>32</v>
      </c>
      <c r="AJ31" s="891" t="s">
        <v>1877</v>
      </c>
      <c r="AK31" s="891" t="s">
        <v>35</v>
      </c>
      <c r="AL31" s="891" t="s">
        <v>34</v>
      </c>
      <c r="AM31" s="891" t="s">
        <v>1884</v>
      </c>
      <c r="AN31" s="891" t="s">
        <v>34</v>
      </c>
      <c r="AO31" s="891" t="s">
        <v>32</v>
      </c>
      <c r="AP31" s="891" t="s">
        <v>32</v>
      </c>
      <c r="AQ31" s="891" t="s">
        <v>1877</v>
      </c>
      <c r="AR31" s="891" t="s">
        <v>1884</v>
      </c>
      <c r="AS31" s="891" t="s">
        <v>32</v>
      </c>
      <c r="AT31" s="891" t="s">
        <v>34</v>
      </c>
      <c r="AU31" s="891"/>
      <c r="AV31" s="891" t="s">
        <v>36</v>
      </c>
      <c r="AW31" s="891" t="s">
        <v>35</v>
      </c>
      <c r="AX31" s="891" t="s">
        <v>34</v>
      </c>
      <c r="AY31" s="891" t="s">
        <v>34</v>
      </c>
      <c r="AZ31" s="891" t="s">
        <v>1877</v>
      </c>
      <c r="BA31" s="891" t="s">
        <v>34</v>
      </c>
      <c r="BB31" s="891" t="s">
        <v>32</v>
      </c>
      <c r="BC31" s="891"/>
      <c r="BD31" s="891" t="s">
        <v>32</v>
      </c>
      <c r="BE31" s="891" t="s">
        <v>34</v>
      </c>
      <c r="BF31" s="891" t="s">
        <v>32</v>
      </c>
      <c r="BG31" s="891" t="s">
        <v>32</v>
      </c>
      <c r="BH31" s="891" t="s">
        <v>1877</v>
      </c>
      <c r="BI31" s="891" t="s">
        <v>32</v>
      </c>
      <c r="BJ31" s="891" t="s">
        <v>36</v>
      </c>
      <c r="BK31" s="891" t="s">
        <v>2305</v>
      </c>
      <c r="BL31" s="891" t="s">
        <v>36</v>
      </c>
      <c r="BM31" s="891"/>
      <c r="BN31" s="891"/>
      <c r="BO31" s="891"/>
      <c r="BP31" s="891"/>
      <c r="BQ31" s="891"/>
      <c r="BR31" s="891"/>
      <c r="BS31" s="891"/>
      <c r="BT31" s="896"/>
      <c r="BU31" s="891" t="s">
        <v>32</v>
      </c>
      <c r="BV31" s="891" t="s">
        <v>32</v>
      </c>
      <c r="BW31" s="896"/>
      <c r="BX31" s="896"/>
      <c r="BY31" s="896"/>
      <c r="BZ31" s="896"/>
      <c r="CA31" s="896"/>
      <c r="CB31" s="896"/>
      <c r="CC31" s="896"/>
      <c r="CD31" s="896"/>
      <c r="CE31" s="896"/>
      <c r="CF31" s="896"/>
      <c r="CG31" s="428"/>
      <c r="CH31" s="428"/>
      <c r="CI31" s="428"/>
      <c r="CJ31" s="428"/>
      <c r="CK31" s="230" t="s">
        <v>32</v>
      </c>
      <c r="CL31" s="230" t="s">
        <v>32</v>
      </c>
      <c r="CM31" s="230" t="s">
        <v>32</v>
      </c>
      <c r="CN31" s="230" t="s">
        <v>32</v>
      </c>
      <c r="CO31" s="230" t="s">
        <v>32</v>
      </c>
      <c r="CP31" s="230" t="s">
        <v>32</v>
      </c>
      <c r="CQ31" s="230" t="s">
        <v>32</v>
      </c>
    </row>
    <row r="32" spans="1:117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3</v>
      </c>
      <c r="G32" s="879" t="s">
        <v>1085</v>
      </c>
      <c r="H32" s="879" t="s">
        <v>22</v>
      </c>
      <c r="I32" s="879" t="s">
        <v>891</v>
      </c>
      <c r="J32" s="846">
        <v>1</v>
      </c>
      <c r="K32" s="846">
        <v>4</v>
      </c>
      <c r="L32" s="816" t="str">
        <f>IF(J32="","",IF(J32&gt;K32,"W",IF(J32=K32,"D",IF(J32&lt;K32,"L"))))</f>
        <v>L</v>
      </c>
      <c r="M32" s="816">
        <f>IF(J32="","",J32+K32)</f>
        <v>5</v>
      </c>
      <c r="N32" s="816" t="str">
        <f>IF($J32="","",IF($M32&gt;N$19,"O",IF($M32&lt;N$19,"U",IF($M32=N$19,"-"))))</f>
        <v>O</v>
      </c>
      <c r="O32" s="816">
        <f t="shared" si="21"/>
        <v>0.5</v>
      </c>
      <c r="P32" s="829">
        <f t="shared" si="23"/>
        <v>-1</v>
      </c>
      <c r="Q32" s="830">
        <v>-0.65</v>
      </c>
      <c r="R32" s="871">
        <f>IF(ISBLANK(Q32),"",J32-K32-Q32)</f>
        <v>-2.35</v>
      </c>
      <c r="S32" s="830">
        <v>2.75</v>
      </c>
      <c r="T32" s="871">
        <f t="shared" si="25"/>
        <v>2.25</v>
      </c>
      <c r="U32" s="868">
        <f t="shared" si="26"/>
        <v>1.05</v>
      </c>
      <c r="V32" s="868">
        <f t="shared" si="27"/>
        <v>1.7</v>
      </c>
      <c r="W32" s="829">
        <v>14</v>
      </c>
      <c r="X32" s="829">
        <v>10</v>
      </c>
      <c r="Y32" s="829">
        <v>2</v>
      </c>
      <c r="Z32" s="829">
        <v>5</v>
      </c>
      <c r="AA32" s="829">
        <v>37</v>
      </c>
      <c r="AB32" s="829">
        <v>63</v>
      </c>
      <c r="AC32" s="829"/>
      <c r="AD32" s="816" t="str">
        <f t="array" ref="AD32">IF($J32="","",IF(SUM(IF(ISNUMBER(VALUE(RIGHT($AG32:$DY32,1))),VALUE(RIGHT($AG32:$DY32,1)),0))=$J32,"T","F"))</f>
        <v>T</v>
      </c>
      <c r="AE32" s="831">
        <f t="array" ref="AE32">IF($J32="","",SUM(IF(LEFT($AG32:$DY32,1)="s",1,0))-SUM(IF(RIGHT(LEFT($AG32:$DY32,2))="-",1,0)))</f>
        <v>0</v>
      </c>
      <c r="AF32" s="816">
        <f t="array" ref="AF32">IF($J32="","",SUM(IF(LEFT($AG32:$DY32,1)="X",1,0)))</f>
        <v>11</v>
      </c>
      <c r="AG32" s="891" t="s">
        <v>2344</v>
      </c>
      <c r="AH32" s="891"/>
      <c r="AI32" s="891"/>
      <c r="AJ32" s="891" t="s">
        <v>2351</v>
      </c>
      <c r="AK32" s="904" t="s">
        <v>871</v>
      </c>
      <c r="AL32" s="891" t="s">
        <v>2345</v>
      </c>
      <c r="AM32" s="891" t="s">
        <v>2007</v>
      </c>
      <c r="AN32" s="891" t="s">
        <v>2396</v>
      </c>
      <c r="AO32" s="891"/>
      <c r="AP32" s="891"/>
      <c r="AQ32" s="891" t="s">
        <v>2351</v>
      </c>
      <c r="AR32" s="891" t="s">
        <v>2007</v>
      </c>
      <c r="AS32" s="891"/>
      <c r="AT32" s="904" t="s">
        <v>2345</v>
      </c>
      <c r="AU32" s="891"/>
      <c r="AV32" s="891" t="s">
        <v>2350</v>
      </c>
      <c r="AW32" s="904" t="s">
        <v>871</v>
      </c>
      <c r="AX32" s="891" t="s">
        <v>1879</v>
      </c>
      <c r="AY32" s="904" t="s">
        <v>2345</v>
      </c>
      <c r="AZ32" s="891"/>
      <c r="BA32" s="891" t="s">
        <v>2345</v>
      </c>
      <c r="BB32" s="891"/>
      <c r="BC32" s="891"/>
      <c r="BD32" s="891" t="s">
        <v>2397</v>
      </c>
      <c r="BE32" s="904" t="s">
        <v>2345</v>
      </c>
      <c r="BF32" s="891"/>
      <c r="BG32" s="891"/>
      <c r="BH32" s="891" t="s">
        <v>2398</v>
      </c>
      <c r="BI32" s="891"/>
      <c r="BJ32" s="891" t="s">
        <v>2351</v>
      </c>
      <c r="BK32" s="891" t="s">
        <v>2344</v>
      </c>
      <c r="BL32" s="891"/>
      <c r="BM32" s="891"/>
      <c r="BN32" s="891"/>
      <c r="BO32" s="891"/>
      <c r="BP32" s="891"/>
      <c r="BQ32" s="891" t="s">
        <v>2350</v>
      </c>
      <c r="BR32" s="891"/>
      <c r="BS32" s="891"/>
      <c r="BT32" s="896"/>
      <c r="BU32" s="891"/>
      <c r="BV32" s="891"/>
      <c r="BW32" s="896"/>
      <c r="BX32" s="896"/>
      <c r="BY32" s="896"/>
      <c r="BZ32" s="896"/>
      <c r="CA32" s="896"/>
      <c r="CB32" s="896"/>
      <c r="CC32" s="896"/>
      <c r="CD32" s="896"/>
      <c r="CE32" s="896"/>
      <c r="CF32" s="896"/>
      <c r="CG32" s="428"/>
      <c r="CH32" s="428"/>
      <c r="CI32" s="428"/>
      <c r="CJ32" s="428"/>
    </row>
    <row r="33" spans="1:122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18</v>
      </c>
      <c r="G33" s="879" t="s">
        <v>887</v>
      </c>
      <c r="H33" s="879" t="s">
        <v>22</v>
      </c>
      <c r="I33" s="879" t="s">
        <v>891</v>
      </c>
      <c r="J33" s="846">
        <v>0</v>
      </c>
      <c r="K33" s="846">
        <v>2</v>
      </c>
      <c r="L33" s="816" t="str">
        <f t="shared" ref="L33:L66" si="30">IF(J33="","",IF(J33&gt;K33,"W",IF(J33=K33,"D",IF(J33&lt;K33,"L"))))</f>
        <v>L</v>
      </c>
      <c r="M33" s="816">
        <f t="shared" ref="M33:M66" si="31">IF(J33="","",J33+K33)</f>
        <v>2</v>
      </c>
      <c r="N33" s="816" t="str">
        <f t="shared" ref="N33:N66" si="32">IF($J33="","",IF($M33&gt;N$19,"O",IF($M33&lt;N$19,"U",IF($M33=N$19,"-"))))</f>
        <v>U</v>
      </c>
      <c r="O33" s="816">
        <f t="shared" si="21"/>
        <v>0.25</v>
      </c>
      <c r="P33" s="829">
        <f t="shared" si="23"/>
        <v>-1</v>
      </c>
      <c r="Q33" s="830">
        <v>-0.3</v>
      </c>
      <c r="R33" s="871">
        <f t="shared" ref="R33:R44" si="33">IF(ISBLANK(Q33),"",J33-K33-Q33)</f>
        <v>-1.7</v>
      </c>
      <c r="S33" s="830">
        <v>2.4500000000000002</v>
      </c>
      <c r="T33" s="871">
        <f t="shared" si="25"/>
        <v>-0.45000000000000018</v>
      </c>
      <c r="U33" s="868">
        <f t="shared" si="26"/>
        <v>1.0750000000000002</v>
      </c>
      <c r="V33" s="868">
        <f t="shared" si="27"/>
        <v>1.375</v>
      </c>
      <c r="W33" s="829">
        <v>7</v>
      </c>
      <c r="X33" s="829">
        <v>11</v>
      </c>
      <c r="Y33" s="829">
        <v>1</v>
      </c>
      <c r="Z33" s="829">
        <v>3</v>
      </c>
      <c r="AA33" s="829">
        <v>45</v>
      </c>
      <c r="AB33" s="829">
        <v>55</v>
      </c>
      <c r="AC33" s="829"/>
      <c r="AD33" s="816" t="str">
        <f t="array" ref="AD33">IF($J33="","",IF(SUM(IF(ISNUMBER(VALUE(RIGHT($AG33:$DY33,1))),VALUE(RIGHT($AG33:$DY33,1)),0))=$J33,"T","F"))</f>
        <v>T</v>
      </c>
      <c r="AE33" s="831">
        <f t="array" ref="AE33">IF($J33="","",SUM(IF(LEFT($AG33:$DY33,1)="s",1,0))-SUM(IF(RIGHT(LEFT($AG33:$DY33,2))="-",1,0)))</f>
        <v>0</v>
      </c>
      <c r="AF33" s="816">
        <f t="array" ref="AF33">IF($J33="","",SUM(IF(LEFT($AG33:$DY33,1)="X",1,0)))</f>
        <v>11</v>
      </c>
      <c r="AG33" s="891" t="s">
        <v>34</v>
      </c>
      <c r="AH33" s="891" t="s">
        <v>32</v>
      </c>
      <c r="AI33" s="891" t="s">
        <v>32</v>
      </c>
      <c r="AJ33" s="891" t="s">
        <v>1877</v>
      </c>
      <c r="AK33" s="891" t="s">
        <v>34</v>
      </c>
      <c r="AL33" s="891" t="s">
        <v>34</v>
      </c>
      <c r="AM33" s="891" t="s">
        <v>1884</v>
      </c>
      <c r="AN33" s="891" t="s">
        <v>34</v>
      </c>
      <c r="AO33" s="891" t="s">
        <v>32</v>
      </c>
      <c r="AP33" s="891" t="s">
        <v>32</v>
      </c>
      <c r="AQ33" s="891" t="s">
        <v>1877</v>
      </c>
      <c r="AR33" s="891" t="s">
        <v>1884</v>
      </c>
      <c r="AS33" s="891" t="s">
        <v>32</v>
      </c>
      <c r="AT33" s="891" t="s">
        <v>34</v>
      </c>
      <c r="AU33" s="891"/>
      <c r="AV33" s="891" t="s">
        <v>1877</v>
      </c>
      <c r="AW33" s="891" t="s">
        <v>35</v>
      </c>
      <c r="AX33" s="891" t="s">
        <v>34</v>
      </c>
      <c r="AY33" s="891" t="s">
        <v>34</v>
      </c>
      <c r="AZ33" s="891" t="s">
        <v>32</v>
      </c>
      <c r="BA33" s="891" t="s">
        <v>36</v>
      </c>
      <c r="BB33" s="891" t="s">
        <v>32</v>
      </c>
      <c r="BC33" s="891"/>
      <c r="BD33" s="891" t="s">
        <v>35</v>
      </c>
      <c r="BE33" s="891" t="s">
        <v>34</v>
      </c>
      <c r="BF33" s="891" t="s">
        <v>32</v>
      </c>
      <c r="BG33" s="891" t="s">
        <v>32</v>
      </c>
      <c r="BH33" s="891" t="s">
        <v>1877</v>
      </c>
      <c r="BI33" s="891" t="s">
        <v>32</v>
      </c>
      <c r="BJ33" s="891" t="s">
        <v>36</v>
      </c>
      <c r="BK33" s="891" t="s">
        <v>35</v>
      </c>
      <c r="BL33" s="891" t="s">
        <v>32</v>
      </c>
      <c r="BM33" s="891" t="s">
        <v>32</v>
      </c>
      <c r="BN33" s="891" t="s">
        <v>32</v>
      </c>
      <c r="BO33" s="891" t="s">
        <v>32</v>
      </c>
      <c r="BP33" s="891" t="s">
        <v>32</v>
      </c>
      <c r="BQ33" s="891" t="s">
        <v>36</v>
      </c>
      <c r="BR33" s="891"/>
      <c r="BS33" s="891"/>
      <c r="BT33" s="896"/>
      <c r="BU33" s="891" t="s">
        <v>32</v>
      </c>
      <c r="BV33" s="891" t="s">
        <v>32</v>
      </c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428"/>
      <c r="CH33" s="428"/>
      <c r="CI33" s="428"/>
      <c r="CJ33" s="428"/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  <c r="CP33" s="230" t="s">
        <v>32</v>
      </c>
      <c r="CQ33" s="230" t="s">
        <v>32</v>
      </c>
    </row>
    <row r="34" spans="1:122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21</v>
      </c>
      <c r="G34" s="879" t="s">
        <v>890</v>
      </c>
      <c r="H34" s="879" t="s">
        <v>18</v>
      </c>
      <c r="I34" s="879" t="s">
        <v>891</v>
      </c>
      <c r="J34" s="846">
        <v>2</v>
      </c>
      <c r="K34" s="846">
        <v>1</v>
      </c>
      <c r="L34" s="816" t="str">
        <f t="shared" si="30"/>
        <v>W</v>
      </c>
      <c r="M34" s="816">
        <f t="shared" si="31"/>
        <v>3</v>
      </c>
      <c r="N34" s="816" t="str">
        <f t="shared" si="32"/>
        <v>O</v>
      </c>
      <c r="O34" s="816">
        <f t="shared" si="21"/>
        <v>0.25</v>
      </c>
      <c r="P34" s="829">
        <f t="shared" si="23"/>
        <v>1</v>
      </c>
      <c r="Q34" s="830">
        <v>-0.24</v>
      </c>
      <c r="R34" s="871">
        <f t="shared" si="33"/>
        <v>1.24</v>
      </c>
      <c r="S34" s="830">
        <v>2.36</v>
      </c>
      <c r="T34" s="871">
        <f t="shared" si="25"/>
        <v>0.64000000000000012</v>
      </c>
      <c r="U34" s="868">
        <f t="shared" si="26"/>
        <v>1.06</v>
      </c>
      <c r="V34" s="868">
        <f t="shared" si="27"/>
        <v>1.2999999999999998</v>
      </c>
      <c r="W34" s="829">
        <v>15</v>
      </c>
      <c r="X34" s="829">
        <v>11</v>
      </c>
      <c r="Y34" s="829">
        <v>4</v>
      </c>
      <c r="Z34" s="829">
        <v>6</v>
      </c>
      <c r="AA34" s="829">
        <v>49</v>
      </c>
      <c r="AB34" s="829">
        <v>51</v>
      </c>
      <c r="AC34" s="829"/>
      <c r="AD34" s="816" t="str">
        <f t="array" ref="AD34">IF($J34="","",IF(SUM(IF(ISNUMBER(VALUE(RIGHT($AG34:$DY34,1))),VALUE(RIGHT($AG34:$DY34,1)),0))=$J34,"T","F"))</f>
        <v>T</v>
      </c>
      <c r="AE34" s="831">
        <f t="array" ref="AE34">IF($J34="","",SUM(IF(LEFT($AG34:$DY34,1)="s",1,0))-SUM(IF(RIGHT(LEFT($AG34:$DY34,2))="-",1,0)))</f>
        <v>0</v>
      </c>
      <c r="AF34" s="816">
        <f t="array" ref="AF34">IF($J34="","",SUM(IF(LEFT($AG34:$DY34,1)="X",1,0)))</f>
        <v>11</v>
      </c>
      <c r="AG34" s="891" t="s">
        <v>34</v>
      </c>
      <c r="AH34" s="891" t="s">
        <v>32</v>
      </c>
      <c r="AI34" s="891" t="s">
        <v>32</v>
      </c>
      <c r="AJ34" s="891" t="s">
        <v>1877</v>
      </c>
      <c r="AK34" s="891" t="s">
        <v>34</v>
      </c>
      <c r="AL34" s="891" t="s">
        <v>34</v>
      </c>
      <c r="AM34" s="891" t="s">
        <v>1884</v>
      </c>
      <c r="AN34" s="891" t="s">
        <v>34</v>
      </c>
      <c r="AO34" s="891" t="s">
        <v>34</v>
      </c>
      <c r="AP34" s="891" t="s">
        <v>32</v>
      </c>
      <c r="AQ34" s="891" t="s">
        <v>1877</v>
      </c>
      <c r="AR34" s="891" t="s">
        <v>1884</v>
      </c>
      <c r="AS34" s="891" t="s">
        <v>32</v>
      </c>
      <c r="AT34" s="891" t="s">
        <v>2444</v>
      </c>
      <c r="AU34" s="891"/>
      <c r="AV34" s="891" t="s">
        <v>1877</v>
      </c>
      <c r="AW34" s="891" t="s">
        <v>36</v>
      </c>
      <c r="AX34" s="891" t="s">
        <v>34</v>
      </c>
      <c r="AY34" s="891" t="s">
        <v>34</v>
      </c>
      <c r="AZ34" s="891" t="s">
        <v>32</v>
      </c>
      <c r="BA34" s="891" t="s">
        <v>2451</v>
      </c>
      <c r="BB34" s="891" t="s">
        <v>32</v>
      </c>
      <c r="BC34" s="891"/>
      <c r="BD34" s="891" t="s">
        <v>1877</v>
      </c>
      <c r="BE34" s="891" t="s">
        <v>35</v>
      </c>
      <c r="BF34" s="891" t="s">
        <v>32</v>
      </c>
      <c r="BG34" s="891" t="s">
        <v>32</v>
      </c>
      <c r="BH34" s="891" t="s">
        <v>35</v>
      </c>
      <c r="BI34" s="891" t="s">
        <v>32</v>
      </c>
      <c r="BJ34" s="891" t="s">
        <v>32</v>
      </c>
      <c r="BK34" s="904" t="s">
        <v>35</v>
      </c>
      <c r="BL34" s="891" t="s">
        <v>32</v>
      </c>
      <c r="BM34" s="891" t="s">
        <v>32</v>
      </c>
      <c r="BN34" s="891" t="s">
        <v>32</v>
      </c>
      <c r="BO34" s="891" t="s">
        <v>32</v>
      </c>
      <c r="BP34" s="891" t="s">
        <v>32</v>
      </c>
      <c r="BQ34" s="904" t="s">
        <v>36</v>
      </c>
      <c r="BR34" s="891"/>
      <c r="BS34" s="891"/>
      <c r="BT34" s="896"/>
      <c r="BU34" s="891" t="s">
        <v>32</v>
      </c>
      <c r="BV34" s="891" t="s">
        <v>32</v>
      </c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428"/>
      <c r="CH34" s="428"/>
      <c r="CI34" s="428"/>
      <c r="CJ34" s="428"/>
    </row>
    <row r="35" spans="1:122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15</v>
      </c>
      <c r="G35" s="879" t="s">
        <v>881</v>
      </c>
      <c r="H35" s="879" t="s">
        <v>22</v>
      </c>
      <c r="I35" s="879" t="s">
        <v>891</v>
      </c>
      <c r="J35" s="846">
        <v>0</v>
      </c>
      <c r="K35" s="846">
        <v>3</v>
      </c>
      <c r="L35" s="816" t="str">
        <f t="shared" si="30"/>
        <v>L</v>
      </c>
      <c r="M35" s="816">
        <f t="shared" si="31"/>
        <v>3</v>
      </c>
      <c r="N35" s="816" t="str">
        <f t="shared" si="32"/>
        <v>O</v>
      </c>
      <c r="O35" s="816">
        <f t="shared" si="21"/>
        <v>0.25</v>
      </c>
      <c r="P35" s="829">
        <f t="shared" si="23"/>
        <v>-1</v>
      </c>
      <c r="Q35" s="830">
        <v>-0.3</v>
      </c>
      <c r="R35" s="871">
        <f t="shared" si="33"/>
        <v>-2.7</v>
      </c>
      <c r="S35" s="830">
        <v>2.44</v>
      </c>
      <c r="T35" s="871">
        <f t="shared" si="25"/>
        <v>0.56000000000000005</v>
      </c>
      <c r="U35" s="868">
        <f t="shared" si="26"/>
        <v>1.07</v>
      </c>
      <c r="V35" s="868">
        <f t="shared" si="27"/>
        <v>1.3699999999999999</v>
      </c>
      <c r="W35" s="829">
        <v>13</v>
      </c>
      <c r="X35" s="829">
        <v>16</v>
      </c>
      <c r="Y35" s="829">
        <v>5</v>
      </c>
      <c r="Z35" s="829">
        <v>4</v>
      </c>
      <c r="AA35" s="829">
        <v>43</v>
      </c>
      <c r="AB35" s="829">
        <v>57</v>
      </c>
      <c r="AC35" s="829"/>
      <c r="AD35" s="816" t="str">
        <f t="array" ref="AD35">IF($J35="","",IF(SUM(IF(ISNUMBER(VALUE(RIGHT($AG35:$DY35,1))),VALUE(RIGHT($AG35:$DY35,1)),0))=$J35,"T","F"))</f>
        <v>T</v>
      </c>
      <c r="AE35" s="831">
        <f t="array" ref="AE35">IF($J35="","",SUM(IF(LEFT($AG35:$DY35,1)="s",1,0))-SUM(IF(RIGHT(LEFT($AG35:$DY35,2))="-",1,0)))</f>
        <v>0</v>
      </c>
      <c r="AF35" s="816">
        <f t="array" ref="AF35">IF($J35="","",SUM(IF(LEFT($AG35:$DY35,1)="X",1,0)))</f>
        <v>11</v>
      </c>
      <c r="AG35" s="891" t="s">
        <v>34</v>
      </c>
      <c r="AH35" s="891" t="s">
        <v>32</v>
      </c>
      <c r="AI35" s="891" t="s">
        <v>32</v>
      </c>
      <c r="AJ35" s="891" t="s">
        <v>1877</v>
      </c>
      <c r="AK35" s="891" t="s">
        <v>34</v>
      </c>
      <c r="AL35" s="891" t="s">
        <v>34</v>
      </c>
      <c r="AM35" s="891" t="s">
        <v>1884</v>
      </c>
      <c r="AN35" s="891" t="s">
        <v>35</v>
      </c>
      <c r="AO35" s="891" t="s">
        <v>34</v>
      </c>
      <c r="AP35" s="891" t="s">
        <v>32</v>
      </c>
      <c r="AQ35" s="891" t="s">
        <v>1877</v>
      </c>
      <c r="AR35" s="891" t="s">
        <v>1884</v>
      </c>
      <c r="AS35" s="891" t="s">
        <v>32</v>
      </c>
      <c r="AT35" s="891" t="s">
        <v>34</v>
      </c>
      <c r="AU35" s="891"/>
      <c r="AV35" s="891" t="s">
        <v>1877</v>
      </c>
      <c r="AW35" s="891" t="s">
        <v>36</v>
      </c>
      <c r="AX35" s="891" t="s">
        <v>34</v>
      </c>
      <c r="AY35" s="891" t="s">
        <v>34</v>
      </c>
      <c r="AZ35" s="891" t="s">
        <v>32</v>
      </c>
      <c r="BA35" s="891" t="s">
        <v>36</v>
      </c>
      <c r="BB35" s="891" t="s">
        <v>32</v>
      </c>
      <c r="BC35" s="891"/>
      <c r="BD35" s="891" t="s">
        <v>32</v>
      </c>
      <c r="BE35" s="891" t="s">
        <v>35</v>
      </c>
      <c r="BF35" s="891" t="s">
        <v>32</v>
      </c>
      <c r="BG35" s="891" t="s">
        <v>32</v>
      </c>
      <c r="BH35" s="891" t="s">
        <v>35</v>
      </c>
      <c r="BI35" s="891" t="s">
        <v>32</v>
      </c>
      <c r="BJ35" s="891" t="s">
        <v>32</v>
      </c>
      <c r="BK35" s="891" t="s">
        <v>1877</v>
      </c>
      <c r="BL35" s="891" t="s">
        <v>32</v>
      </c>
      <c r="BM35" s="891" t="s">
        <v>32</v>
      </c>
      <c r="BN35" s="891" t="s">
        <v>32</v>
      </c>
      <c r="BO35" s="891" t="s">
        <v>32</v>
      </c>
      <c r="BP35" s="891" t="s">
        <v>32</v>
      </c>
      <c r="BQ35" s="891" t="s">
        <v>36</v>
      </c>
      <c r="BR35" s="891"/>
      <c r="BS35" s="891" t="s">
        <v>2462</v>
      </c>
      <c r="BT35" s="896"/>
      <c r="BU35" s="891" t="s">
        <v>32</v>
      </c>
      <c r="BV35" s="891" t="s">
        <v>32</v>
      </c>
      <c r="BW35" s="896"/>
      <c r="BX35" s="896"/>
      <c r="BY35" s="896"/>
      <c r="BZ35" s="896"/>
      <c r="CA35" s="896"/>
      <c r="CB35" s="896"/>
      <c r="CC35" s="896"/>
      <c r="CD35" s="896"/>
      <c r="CE35" s="896"/>
      <c r="CF35" s="896"/>
      <c r="CG35" s="428"/>
      <c r="CH35" s="428"/>
      <c r="CI35" s="428"/>
      <c r="CJ35" s="428"/>
      <c r="CN35" s="4" t="s">
        <v>32</v>
      </c>
      <c r="CO35" s="6" t="s">
        <v>32</v>
      </c>
      <c r="CP35" s="6" t="s">
        <v>32</v>
      </c>
      <c r="CQ35" s="6" t="s">
        <v>32</v>
      </c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</row>
    <row r="36" spans="1:122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20</v>
      </c>
      <c r="G36" s="879" t="s">
        <v>882</v>
      </c>
      <c r="H36" s="879" t="s">
        <v>22</v>
      </c>
      <c r="I36" s="879" t="s">
        <v>891</v>
      </c>
      <c r="J36" s="846">
        <v>2</v>
      </c>
      <c r="K36" s="846">
        <v>1</v>
      </c>
      <c r="L36" s="816" t="str">
        <f t="shared" si="30"/>
        <v>W</v>
      </c>
      <c r="M36" s="816">
        <f t="shared" si="31"/>
        <v>3</v>
      </c>
      <c r="N36" s="816" t="str">
        <f t="shared" si="32"/>
        <v>O</v>
      </c>
      <c r="O36" s="816">
        <f t="shared" si="21"/>
        <v>0</v>
      </c>
      <c r="P36" s="829">
        <f t="shared" si="23"/>
        <v>1</v>
      </c>
      <c r="Q36" s="830">
        <v>-0.13</v>
      </c>
      <c r="R36" s="871">
        <f t="shared" si="33"/>
        <v>1.1299999999999999</v>
      </c>
      <c r="S36" s="830">
        <v>2.62</v>
      </c>
      <c r="T36" s="871">
        <f t="shared" si="25"/>
        <v>0.37999999999999989</v>
      </c>
      <c r="U36" s="868">
        <f t="shared" si="26"/>
        <v>1.2450000000000001</v>
      </c>
      <c r="V36" s="868">
        <f t="shared" si="27"/>
        <v>1.375</v>
      </c>
      <c r="W36" s="829">
        <v>10</v>
      </c>
      <c r="X36" s="829">
        <v>12</v>
      </c>
      <c r="Y36" s="829">
        <v>4</v>
      </c>
      <c r="Z36" s="829">
        <v>3</v>
      </c>
      <c r="AA36" s="829">
        <v>53</v>
      </c>
      <c r="AB36" s="829">
        <v>47</v>
      </c>
      <c r="AC36" s="829"/>
      <c r="AD36" s="816" t="str">
        <f t="array" ref="AD36">IF($J36="","",IF(SUM(IF(ISNUMBER(VALUE(RIGHT($AG36:$DY36,1))),VALUE(RIGHT($AG36:$DY36,1)),0))=$J36,"T","F"))</f>
        <v>T</v>
      </c>
      <c r="AE36" s="831">
        <f t="array" ref="AE36">IF($J36="","",SUM(IF(LEFT($AG36:$DY36,1)="s",1,0))-SUM(IF(RIGHT(LEFT($AG36:$DY36,2))="-",1,0)))</f>
        <v>0</v>
      </c>
      <c r="AF36" s="816">
        <f t="array" ref="AF36">IF($J36="","",SUM(IF(LEFT($AG36:$DY36,1)="X",1,0)))</f>
        <v>11</v>
      </c>
      <c r="AG36" s="891" t="s">
        <v>34</v>
      </c>
      <c r="AH36" s="891" t="s">
        <v>32</v>
      </c>
      <c r="AI36" s="891" t="s">
        <v>32</v>
      </c>
      <c r="AJ36" s="891" t="s">
        <v>1877</v>
      </c>
      <c r="AK36" s="891" t="s">
        <v>1877</v>
      </c>
      <c r="AL36" s="891" t="s">
        <v>32</v>
      </c>
      <c r="AM36" s="891" t="s">
        <v>1884</v>
      </c>
      <c r="AN36" s="891" t="s">
        <v>34</v>
      </c>
      <c r="AO36" s="891" t="s">
        <v>1877</v>
      </c>
      <c r="AP36" s="891" t="s">
        <v>32</v>
      </c>
      <c r="AQ36" s="891" t="s">
        <v>34</v>
      </c>
      <c r="AR36" s="891" t="s">
        <v>1884</v>
      </c>
      <c r="AS36" s="891" t="s">
        <v>32</v>
      </c>
      <c r="AT36" s="891" t="s">
        <v>34</v>
      </c>
      <c r="AU36" s="891"/>
      <c r="AV36" s="891" t="s">
        <v>36</v>
      </c>
      <c r="AW36" s="891" t="s">
        <v>36</v>
      </c>
      <c r="AX36" s="891" t="s">
        <v>35</v>
      </c>
      <c r="AY36" s="891" t="s">
        <v>34</v>
      </c>
      <c r="AZ36" s="891" t="s">
        <v>32</v>
      </c>
      <c r="BA36" s="891" t="s">
        <v>2485</v>
      </c>
      <c r="BB36" s="891" t="s">
        <v>32</v>
      </c>
      <c r="BC36" s="891"/>
      <c r="BD36" s="891" t="s">
        <v>35</v>
      </c>
      <c r="BE36" s="891" t="s">
        <v>36</v>
      </c>
      <c r="BF36" s="891" t="s">
        <v>32</v>
      </c>
      <c r="BG36" s="891" t="s">
        <v>32</v>
      </c>
      <c r="BH36" s="891" t="s">
        <v>34</v>
      </c>
      <c r="BI36" s="891" t="s">
        <v>32</v>
      </c>
      <c r="BJ36" s="891" t="s">
        <v>32</v>
      </c>
      <c r="BK36" s="891" t="s">
        <v>35</v>
      </c>
      <c r="BL36" s="891" t="s">
        <v>32</v>
      </c>
      <c r="BM36" s="891" t="s">
        <v>32</v>
      </c>
      <c r="BN36" s="891" t="s">
        <v>32</v>
      </c>
      <c r="BO36" s="891" t="s">
        <v>32</v>
      </c>
      <c r="BP36" s="891" t="s">
        <v>32</v>
      </c>
      <c r="BQ36" s="891" t="s">
        <v>1877</v>
      </c>
      <c r="BR36" s="891" t="s">
        <v>32</v>
      </c>
      <c r="BS36" s="891" t="s">
        <v>2484</v>
      </c>
      <c r="BT36" s="891"/>
      <c r="BU36" s="891" t="s">
        <v>32</v>
      </c>
      <c r="BV36" s="891" t="s">
        <v>32</v>
      </c>
      <c r="BW36" s="891"/>
      <c r="BX36" s="891"/>
      <c r="BY36" s="891"/>
      <c r="BZ36" s="891"/>
      <c r="CA36" s="891"/>
      <c r="CB36" s="891"/>
      <c r="CC36" s="891"/>
      <c r="CD36" s="896"/>
      <c r="CE36" s="896"/>
      <c r="CF36" s="896"/>
      <c r="CG36" s="428"/>
      <c r="CH36" s="428"/>
      <c r="CI36" s="428"/>
      <c r="CJ36" s="428"/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</row>
    <row r="37" spans="1:122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19</v>
      </c>
      <c r="G37" s="879" t="s">
        <v>885</v>
      </c>
      <c r="H37" s="879" t="s">
        <v>18</v>
      </c>
      <c r="I37" s="879" t="s">
        <v>891</v>
      </c>
      <c r="J37" s="846">
        <v>2</v>
      </c>
      <c r="K37" s="846">
        <v>1</v>
      </c>
      <c r="L37" s="816" t="str">
        <f t="shared" si="30"/>
        <v>W</v>
      </c>
      <c r="M37" s="816">
        <f t="shared" si="31"/>
        <v>3</v>
      </c>
      <c r="N37" s="816" t="str">
        <f t="shared" si="32"/>
        <v>O</v>
      </c>
      <c r="O37" s="816">
        <f t="shared" si="21"/>
        <v>0.25</v>
      </c>
      <c r="P37" s="829">
        <f t="shared" si="23"/>
        <v>1</v>
      </c>
      <c r="Q37" s="830">
        <v>-0.22</v>
      </c>
      <c r="R37" s="871">
        <f t="shared" si="33"/>
        <v>1.22</v>
      </c>
      <c r="S37" s="830">
        <v>2.4500000000000002</v>
      </c>
      <c r="T37" s="871">
        <f t="shared" si="25"/>
        <v>0.54999999999999982</v>
      </c>
      <c r="U37" s="868">
        <f t="shared" si="26"/>
        <v>1.115</v>
      </c>
      <c r="V37" s="868">
        <f t="shared" si="27"/>
        <v>1.3350000000000002</v>
      </c>
      <c r="W37" s="829">
        <v>16</v>
      </c>
      <c r="X37" s="829">
        <v>17</v>
      </c>
      <c r="Y37" s="829">
        <v>6</v>
      </c>
      <c r="Z37" s="829">
        <v>6</v>
      </c>
      <c r="AA37" s="829">
        <v>53</v>
      </c>
      <c r="AB37" s="829">
        <v>47</v>
      </c>
      <c r="AC37" s="829"/>
      <c r="AD37" s="816" t="str">
        <f t="array" ref="AD37">IF($J37="","",IF(SUM(IF(ISNUMBER(VALUE(RIGHT($AG37:$DY37,1))),VALUE(RIGHT($AG37:$DY37,1)),0))=$J37,"T","F"))</f>
        <v>T</v>
      </c>
      <c r="AE37" s="831">
        <f t="array" ref="AE37">IF($J37="","",SUM(IF(LEFT($AG37:$DY37,1)="s",1,0))-SUM(IF(RIGHT(LEFT($AG37:$DY37,2))="-",1,0)))</f>
        <v>0</v>
      </c>
      <c r="AF37" s="816">
        <f t="array" ref="AF37">IF($J37="","",SUM(IF(LEFT($AG37:$DY37,1)="X",1,0)))</f>
        <v>11</v>
      </c>
      <c r="AG37" s="891" t="s">
        <v>34</v>
      </c>
      <c r="AH37" s="891" t="s">
        <v>32</v>
      </c>
      <c r="AI37" s="891" t="s">
        <v>32</v>
      </c>
      <c r="AJ37" s="891" t="s">
        <v>1877</v>
      </c>
      <c r="AK37" s="891" t="s">
        <v>1877</v>
      </c>
      <c r="AL37" s="891" t="s">
        <v>32</v>
      </c>
      <c r="AM37" s="891" t="s">
        <v>1884</v>
      </c>
      <c r="AN37" s="891" t="s">
        <v>34</v>
      </c>
      <c r="AO37" s="891" t="s">
        <v>1877</v>
      </c>
      <c r="AP37" s="891" t="s">
        <v>32</v>
      </c>
      <c r="AQ37" s="891" t="s">
        <v>34</v>
      </c>
      <c r="AR37" s="891" t="s">
        <v>1884</v>
      </c>
      <c r="AS37" s="891" t="s">
        <v>32</v>
      </c>
      <c r="AT37" s="891" t="s">
        <v>34</v>
      </c>
      <c r="AU37" s="891"/>
      <c r="AV37" s="891" t="s">
        <v>36</v>
      </c>
      <c r="AW37" s="904" t="s">
        <v>36</v>
      </c>
      <c r="AX37" s="891" t="s">
        <v>34</v>
      </c>
      <c r="AY37" s="891" t="s">
        <v>34</v>
      </c>
      <c r="AZ37" s="891" t="s">
        <v>32</v>
      </c>
      <c r="BA37" s="891" t="s">
        <v>2515</v>
      </c>
      <c r="BB37" s="891" t="s">
        <v>32</v>
      </c>
      <c r="BC37" s="891"/>
      <c r="BD37" s="904" t="s">
        <v>35</v>
      </c>
      <c r="BE37" s="891" t="s">
        <v>36</v>
      </c>
      <c r="BF37" s="891" t="s">
        <v>32</v>
      </c>
      <c r="BG37" s="891" t="s">
        <v>32</v>
      </c>
      <c r="BH37" s="891" t="s">
        <v>34</v>
      </c>
      <c r="BI37" s="891" t="s">
        <v>32</v>
      </c>
      <c r="BJ37" s="891" t="s">
        <v>32</v>
      </c>
      <c r="BK37" s="891" t="s">
        <v>2509</v>
      </c>
      <c r="BL37" s="891" t="s">
        <v>32</v>
      </c>
      <c r="BM37" s="891" t="s">
        <v>32</v>
      </c>
      <c r="BN37" s="891" t="s">
        <v>32</v>
      </c>
      <c r="BO37" s="891" t="s">
        <v>32</v>
      </c>
      <c r="BP37" s="891" t="s">
        <v>32</v>
      </c>
      <c r="BQ37" s="891" t="s">
        <v>1877</v>
      </c>
      <c r="BR37" s="891" t="s">
        <v>32</v>
      </c>
      <c r="BS37" s="891" t="s">
        <v>34</v>
      </c>
      <c r="BT37" s="896"/>
      <c r="BU37" s="891" t="s">
        <v>32</v>
      </c>
      <c r="BV37" s="891" t="s">
        <v>32</v>
      </c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428"/>
      <c r="CH37" s="428"/>
      <c r="CI37" s="428"/>
      <c r="CJ37" s="428"/>
      <c r="CO37" s="4" t="s">
        <v>32</v>
      </c>
      <c r="CP37" s="4" t="s">
        <v>32</v>
      </c>
      <c r="CQ37" s="4" t="s">
        <v>32</v>
      </c>
      <c r="CR37" s="4" t="s">
        <v>32</v>
      </c>
      <c r="CS37" s="4" t="s">
        <v>32</v>
      </c>
      <c r="CT37" s="4" t="s">
        <v>32</v>
      </c>
      <c r="CU37" s="6" t="s">
        <v>32</v>
      </c>
      <c r="CV37" s="6" t="s">
        <v>32</v>
      </c>
      <c r="CW37" s="6" t="s">
        <v>32</v>
      </c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</row>
    <row r="38" spans="1:122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4</v>
      </c>
      <c r="G38" s="879" t="s">
        <v>1084</v>
      </c>
      <c r="H38" s="879" t="s">
        <v>18</v>
      </c>
      <c r="I38" s="879" t="s">
        <v>891</v>
      </c>
      <c r="J38" s="846">
        <v>3</v>
      </c>
      <c r="K38" s="846">
        <v>1</v>
      </c>
      <c r="L38" s="816" t="str">
        <f t="shared" si="30"/>
        <v>W</v>
      </c>
      <c r="M38" s="816">
        <f t="shared" si="31"/>
        <v>4</v>
      </c>
      <c r="N38" s="816" t="str">
        <f t="shared" si="32"/>
        <v>O</v>
      </c>
      <c r="O38" s="816">
        <f t="shared" si="21"/>
        <v>1</v>
      </c>
      <c r="P38" s="829">
        <f t="shared" si="23"/>
        <v>1</v>
      </c>
      <c r="Q38" s="830">
        <v>-1.2</v>
      </c>
      <c r="R38" s="871">
        <f t="shared" si="33"/>
        <v>3.2</v>
      </c>
      <c r="S38" s="830">
        <v>2.62</v>
      </c>
      <c r="T38" s="871">
        <f t="shared" si="25"/>
        <v>1.38</v>
      </c>
      <c r="U38" s="868">
        <f t="shared" si="26"/>
        <v>0.71000000000000008</v>
      </c>
      <c r="V38" s="868">
        <f t="shared" si="27"/>
        <v>1.9100000000000001</v>
      </c>
      <c r="W38" s="829">
        <v>6</v>
      </c>
      <c r="X38" s="829">
        <v>34</v>
      </c>
      <c r="Y38" s="829">
        <v>3</v>
      </c>
      <c r="Z38" s="829">
        <v>9</v>
      </c>
      <c r="AA38" s="829">
        <v>45</v>
      </c>
      <c r="AB38" s="829">
        <v>55</v>
      </c>
      <c r="AC38" s="829"/>
      <c r="AD38" s="816" t="str">
        <f t="array" ref="AD38">IF($J38="","",IF(SUM(IF(ISNUMBER(VALUE(RIGHT($AG38:$DY38,1))),VALUE(RIGHT($AG38:$DY38,1)),0))=$J38,"T","F"))</f>
        <v>T</v>
      </c>
      <c r="AE38" s="831">
        <f t="array" ref="AE38">IF($J38="","",SUM(IF(LEFT($AG38:$DY38,1)="s",1,0))-SUM(IF(RIGHT(LEFT($AG38:$DY38,2))="-",1,0)))</f>
        <v>0</v>
      </c>
      <c r="AF38" s="816">
        <f t="array" ref="AF38">IF($J38="","",SUM(IF(LEFT($AG38:$DY38,1)="X",1,0)))</f>
        <v>11</v>
      </c>
      <c r="AG38" s="904" t="s">
        <v>34</v>
      </c>
      <c r="AH38" s="891" t="s">
        <v>32</v>
      </c>
      <c r="AI38" s="891" t="s">
        <v>32</v>
      </c>
      <c r="AJ38" s="891" t="s">
        <v>1877</v>
      </c>
      <c r="AK38" s="891" t="s">
        <v>1877</v>
      </c>
      <c r="AL38" s="891" t="s">
        <v>32</v>
      </c>
      <c r="AM38" s="891" t="s">
        <v>32</v>
      </c>
      <c r="AN38" s="891" t="s">
        <v>34</v>
      </c>
      <c r="AO38" s="891" t="s">
        <v>1877</v>
      </c>
      <c r="AP38" s="891" t="s">
        <v>32</v>
      </c>
      <c r="AQ38" s="891" t="s">
        <v>34</v>
      </c>
      <c r="AR38" s="891" t="s">
        <v>1884</v>
      </c>
      <c r="AS38" s="891" t="s">
        <v>32</v>
      </c>
      <c r="AT38" s="891" t="s">
        <v>34</v>
      </c>
      <c r="AU38" s="891"/>
      <c r="AV38" s="891" t="s">
        <v>36</v>
      </c>
      <c r="AW38" s="891" t="s">
        <v>36</v>
      </c>
      <c r="AX38" s="891" t="s">
        <v>34</v>
      </c>
      <c r="AY38" s="904" t="s">
        <v>34</v>
      </c>
      <c r="AZ38" s="891" t="s">
        <v>32</v>
      </c>
      <c r="BA38" s="891" t="s">
        <v>2541</v>
      </c>
      <c r="BB38" s="230" t="s">
        <v>32</v>
      </c>
      <c r="BD38" s="891" t="s">
        <v>35</v>
      </c>
      <c r="BE38" s="891" t="s">
        <v>36</v>
      </c>
      <c r="BF38" s="891" t="s">
        <v>32</v>
      </c>
      <c r="BG38" s="891" t="s">
        <v>32</v>
      </c>
      <c r="BH38" s="891" t="s">
        <v>34</v>
      </c>
      <c r="BI38" s="891" t="s">
        <v>32</v>
      </c>
      <c r="BJ38" s="891" t="s">
        <v>32</v>
      </c>
      <c r="BK38" s="891" t="s">
        <v>35</v>
      </c>
      <c r="BL38" s="891" t="s">
        <v>32</v>
      </c>
      <c r="BM38" s="891" t="s">
        <v>32</v>
      </c>
      <c r="BN38" s="891" t="s">
        <v>32</v>
      </c>
      <c r="BO38" s="891" t="s">
        <v>32</v>
      </c>
      <c r="BP38" s="891" t="s">
        <v>32</v>
      </c>
      <c r="BQ38" s="891" t="s">
        <v>1877</v>
      </c>
      <c r="BR38" s="891" t="s">
        <v>32</v>
      </c>
      <c r="BS38" s="904" t="s">
        <v>2542</v>
      </c>
      <c r="BT38" s="896"/>
      <c r="BU38" s="891" t="s">
        <v>32</v>
      </c>
      <c r="BV38" s="891" t="s">
        <v>32</v>
      </c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428"/>
      <c r="CH38" s="428"/>
      <c r="CI38" s="428"/>
      <c r="CJ38" s="428"/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</row>
    <row r="39" spans="1:122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7</v>
      </c>
      <c r="G39" s="879" t="s">
        <v>888</v>
      </c>
      <c r="H39" s="879" t="s">
        <v>22</v>
      </c>
      <c r="I39" s="879" t="s">
        <v>891</v>
      </c>
      <c r="J39" s="846">
        <v>0</v>
      </c>
      <c r="K39" s="846">
        <v>2</v>
      </c>
      <c r="L39" s="816" t="str">
        <f t="shared" si="30"/>
        <v>L</v>
      </c>
      <c r="M39" s="816">
        <f t="shared" si="31"/>
        <v>2</v>
      </c>
      <c r="N39" s="816" t="str">
        <f t="shared" si="32"/>
        <v>U</v>
      </c>
      <c r="O39" s="816">
        <f t="shared" si="21"/>
        <v>0.5</v>
      </c>
      <c r="P39" s="829">
        <f t="shared" si="23"/>
        <v>-1</v>
      </c>
      <c r="Q39" s="830">
        <v>-0.57999999999999996</v>
      </c>
      <c r="R39" s="871">
        <f t="shared" si="33"/>
        <v>-1.42</v>
      </c>
      <c r="S39" s="830">
        <v>2.86</v>
      </c>
      <c r="T39" s="871">
        <f t="shared" si="25"/>
        <v>-0.85999999999999988</v>
      </c>
      <c r="U39" s="868">
        <f t="shared" si="26"/>
        <v>1.1399999999999999</v>
      </c>
      <c r="V39" s="868">
        <f t="shared" si="27"/>
        <v>1.72</v>
      </c>
      <c r="W39" s="829">
        <v>10</v>
      </c>
      <c r="X39" s="829">
        <v>12</v>
      </c>
      <c r="Y39" s="829">
        <v>1</v>
      </c>
      <c r="Z39" s="829">
        <v>4</v>
      </c>
      <c r="AA39" s="829">
        <v>49</v>
      </c>
      <c r="AB39" s="829">
        <v>51</v>
      </c>
      <c r="AC39" s="829"/>
      <c r="AD39" s="816" t="str">
        <f t="array" ref="AD39">IF($J39="","",IF(SUM(IF(ISNUMBER(VALUE(RIGHT($AG39:$DY39,1))),VALUE(RIGHT($AG39:$DY39,1)),0))=$J39,"T","F"))</f>
        <v>T</v>
      </c>
      <c r="AE39" s="831">
        <f t="array" ref="AE39">IF($J39="","",SUM(IF(LEFT($AG39:$DY39,1)="s",1,0))-SUM(IF(RIGHT(LEFT($AG39:$DY39,2))="-",1,0)))</f>
        <v>0</v>
      </c>
      <c r="AF39" s="816">
        <f t="array" ref="AF39">IF($J39="","",SUM(IF(LEFT($AG39:$DY39,1)="X",1,0)))</f>
        <v>11</v>
      </c>
      <c r="AG39" s="891" t="s">
        <v>34</v>
      </c>
      <c r="AH39" s="891" t="s">
        <v>32</v>
      </c>
      <c r="AI39" s="891" t="s">
        <v>32</v>
      </c>
      <c r="AJ39" s="891" t="s">
        <v>1877</v>
      </c>
      <c r="AK39" s="891" t="s">
        <v>1877</v>
      </c>
      <c r="AL39" s="891" t="s">
        <v>32</v>
      </c>
      <c r="AM39" s="891" t="s">
        <v>32</v>
      </c>
      <c r="AN39" s="891" t="s">
        <v>34</v>
      </c>
      <c r="AO39" s="891" t="s">
        <v>35</v>
      </c>
      <c r="AP39" s="891" t="s">
        <v>32</v>
      </c>
      <c r="AQ39" s="904" t="s">
        <v>34</v>
      </c>
      <c r="AR39" s="891" t="s">
        <v>1884</v>
      </c>
      <c r="AS39" s="891" t="s">
        <v>32</v>
      </c>
      <c r="AT39" s="891" t="s">
        <v>34</v>
      </c>
      <c r="AU39" s="891"/>
      <c r="AV39" s="891" t="s">
        <v>1877</v>
      </c>
      <c r="AW39" s="891" t="s">
        <v>36</v>
      </c>
      <c r="AX39" s="891" t="s">
        <v>34</v>
      </c>
      <c r="AY39" s="891" t="s">
        <v>2560</v>
      </c>
      <c r="AZ39" s="891" t="s">
        <v>32</v>
      </c>
      <c r="BA39" s="891" t="s">
        <v>34</v>
      </c>
      <c r="BB39" s="891" t="s">
        <v>32</v>
      </c>
      <c r="BC39" s="891"/>
      <c r="BD39" s="891" t="s">
        <v>35</v>
      </c>
      <c r="BE39" s="891" t="s">
        <v>36</v>
      </c>
      <c r="BF39" s="891" t="s">
        <v>32</v>
      </c>
      <c r="BG39" s="891" t="s">
        <v>32</v>
      </c>
      <c r="BH39" s="891" t="s">
        <v>34</v>
      </c>
      <c r="BI39" s="891" t="s">
        <v>32</v>
      </c>
      <c r="BJ39" s="891" t="s">
        <v>32</v>
      </c>
      <c r="BK39" s="891" t="s">
        <v>35</v>
      </c>
      <c r="BL39" s="891" t="s">
        <v>32</v>
      </c>
      <c r="BM39" s="891" t="s">
        <v>32</v>
      </c>
      <c r="BN39" s="891" t="s">
        <v>32</v>
      </c>
      <c r="BO39" s="891" t="s">
        <v>32</v>
      </c>
      <c r="BP39" s="891" t="s">
        <v>1877</v>
      </c>
      <c r="BQ39" s="891" t="s">
        <v>36</v>
      </c>
      <c r="BR39" s="891" t="s">
        <v>32</v>
      </c>
      <c r="BS39" s="891" t="s">
        <v>34</v>
      </c>
      <c r="BT39" s="896"/>
      <c r="BU39" s="891" t="s">
        <v>32</v>
      </c>
      <c r="BV39" s="891" t="s">
        <v>32</v>
      </c>
      <c r="BW39" s="896"/>
      <c r="BX39" s="896"/>
      <c r="BY39" s="896"/>
      <c r="BZ39" s="896"/>
      <c r="CA39" s="896"/>
      <c r="CB39" s="896"/>
      <c r="CC39" s="896"/>
      <c r="CD39" s="896"/>
      <c r="CE39" s="896"/>
      <c r="CF39" s="896"/>
      <c r="CG39" s="428"/>
      <c r="CH39" s="428"/>
      <c r="CI39" s="428"/>
      <c r="CJ39" s="428"/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</row>
    <row r="40" spans="1:122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11</v>
      </c>
      <c r="G40" s="879" t="s">
        <v>874</v>
      </c>
      <c r="H40" s="879" t="s">
        <v>18</v>
      </c>
      <c r="I40" s="879" t="s">
        <v>891</v>
      </c>
      <c r="J40" s="846">
        <v>0</v>
      </c>
      <c r="K40" s="846">
        <v>1</v>
      </c>
      <c r="L40" s="816" t="str">
        <f t="shared" si="30"/>
        <v>L</v>
      </c>
      <c r="M40" s="816">
        <f t="shared" si="31"/>
        <v>1</v>
      </c>
      <c r="N40" s="816" t="str">
        <f t="shared" si="32"/>
        <v>U</v>
      </c>
      <c r="O40" s="816">
        <f t="shared" si="21"/>
        <v>0.75</v>
      </c>
      <c r="P40" s="829">
        <f t="shared" si="23"/>
        <v>-0.5</v>
      </c>
      <c r="Q40" s="830">
        <v>-0.8</v>
      </c>
      <c r="R40" s="871">
        <f t="shared" si="33"/>
        <v>-0.19999999999999996</v>
      </c>
      <c r="S40" s="830">
        <v>2.5299999999999998</v>
      </c>
      <c r="T40" s="871">
        <f t="shared" si="25"/>
        <v>-1.5299999999999998</v>
      </c>
      <c r="U40" s="868">
        <f t="shared" si="26"/>
        <v>0.86499999999999988</v>
      </c>
      <c r="V40" s="868">
        <f t="shared" si="27"/>
        <v>1.665</v>
      </c>
      <c r="W40" s="829">
        <v>13</v>
      </c>
      <c r="X40" s="829">
        <v>15</v>
      </c>
      <c r="Y40" s="829">
        <v>4</v>
      </c>
      <c r="Z40" s="829">
        <v>4</v>
      </c>
      <c r="AA40" s="829">
        <v>59</v>
      </c>
      <c r="AB40" s="829">
        <v>41</v>
      </c>
      <c r="AC40" s="829"/>
      <c r="AD40" s="816" t="str">
        <f t="array" ref="AD40">IF($J40="","",IF(SUM(IF(ISNUMBER(VALUE(RIGHT($AG40:$DY40,1))),VALUE(RIGHT($AG40:$DY40,1)),0))=$J40,"T","F"))</f>
        <v>T</v>
      </c>
      <c r="AE40" s="831">
        <f t="array" ref="AE40">IF($J40="","",SUM(IF(LEFT($AG40:$DY40,1)="s",1,0))-SUM(IF(RIGHT(LEFT($AG40:$DY40,2))="-",1,0)))</f>
        <v>0</v>
      </c>
      <c r="AF40" s="816">
        <f t="array" ref="AF40">IF($J40="","",SUM(IF(LEFT($AG40:$DY40,1)="X",1,0)))</f>
        <v>11</v>
      </c>
      <c r="AG40" s="891" t="s">
        <v>34</v>
      </c>
      <c r="AH40" s="891" t="s">
        <v>32</v>
      </c>
      <c r="AI40" s="891" t="s">
        <v>32</v>
      </c>
      <c r="AJ40" s="891" t="s">
        <v>1877</v>
      </c>
      <c r="AK40" s="891" t="s">
        <v>1877</v>
      </c>
      <c r="AL40" s="891" t="s">
        <v>32</v>
      </c>
      <c r="AM40" s="891" t="s">
        <v>32</v>
      </c>
      <c r="AN40" s="891" t="s">
        <v>35</v>
      </c>
      <c r="AO40" s="891" t="s">
        <v>32</v>
      </c>
      <c r="AP40" s="891" t="s">
        <v>32</v>
      </c>
      <c r="AQ40" s="891" t="s">
        <v>34</v>
      </c>
      <c r="AR40" s="891" t="s">
        <v>1884</v>
      </c>
      <c r="AS40" s="891" t="s">
        <v>32</v>
      </c>
      <c r="AT40" s="891" t="s">
        <v>34</v>
      </c>
      <c r="AU40" s="891"/>
      <c r="AV40" s="891" t="s">
        <v>36</v>
      </c>
      <c r="AW40" s="906" t="s">
        <v>2586</v>
      </c>
      <c r="AX40" s="891" t="s">
        <v>35</v>
      </c>
      <c r="AY40" s="891" t="s">
        <v>34</v>
      </c>
      <c r="AZ40" s="891" t="s">
        <v>32</v>
      </c>
      <c r="BA40" s="891" t="s">
        <v>34</v>
      </c>
      <c r="BB40" s="891" t="s">
        <v>32</v>
      </c>
      <c r="BC40" s="891"/>
      <c r="BD40" s="891" t="s">
        <v>34</v>
      </c>
      <c r="BE40" s="891" t="s">
        <v>1877</v>
      </c>
      <c r="BF40" s="891" t="s">
        <v>32</v>
      </c>
      <c r="BG40" s="891" t="s">
        <v>32</v>
      </c>
      <c r="BH40" s="891" t="s">
        <v>34</v>
      </c>
      <c r="BI40" s="891" t="s">
        <v>32</v>
      </c>
      <c r="BJ40" s="891" t="s">
        <v>36</v>
      </c>
      <c r="BK40" s="891" t="s">
        <v>35</v>
      </c>
      <c r="BL40" s="891" t="s">
        <v>32</v>
      </c>
      <c r="BM40" s="891" t="s">
        <v>32</v>
      </c>
      <c r="BN40" s="891" t="s">
        <v>32</v>
      </c>
      <c r="BO40" s="891" t="s">
        <v>32</v>
      </c>
      <c r="BP40" s="891" t="s">
        <v>32</v>
      </c>
      <c r="BQ40" s="891" t="s">
        <v>1877</v>
      </c>
      <c r="BR40" s="891" t="s">
        <v>32</v>
      </c>
      <c r="BS40" s="891" t="s">
        <v>34</v>
      </c>
      <c r="BT40" s="896"/>
      <c r="BU40" s="891" t="s">
        <v>32</v>
      </c>
      <c r="BV40" s="891" t="s">
        <v>32</v>
      </c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428"/>
      <c r="CH40" s="428"/>
      <c r="CI40" s="428"/>
      <c r="CJ40" s="428"/>
      <c r="CK40" s="230" t="s">
        <v>32</v>
      </c>
      <c r="CL40" s="230" t="s">
        <v>32</v>
      </c>
      <c r="CM40" s="230" t="s">
        <v>32</v>
      </c>
      <c r="CN40" s="230" t="s">
        <v>32</v>
      </c>
      <c r="CO40" s="230" t="s">
        <v>32</v>
      </c>
      <c r="CP40" s="230" t="s">
        <v>32</v>
      </c>
      <c r="CQ40" s="230" t="s">
        <v>32</v>
      </c>
    </row>
    <row r="41" spans="1:122" ht="15">
      <c r="A41" s="882">
        <v>6379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8</v>
      </c>
      <c r="G41" s="879" t="s">
        <v>880</v>
      </c>
      <c r="H41" s="879" t="s">
        <v>22</v>
      </c>
      <c r="I41" s="879" t="s">
        <v>891</v>
      </c>
      <c r="J41" s="908">
        <v>0</v>
      </c>
      <c r="K41" s="846">
        <v>2</v>
      </c>
      <c r="L41" s="816" t="str">
        <f t="shared" si="30"/>
        <v>L</v>
      </c>
      <c r="M41" s="816">
        <f t="shared" si="31"/>
        <v>2</v>
      </c>
      <c r="N41" s="816" t="str">
        <f t="shared" si="32"/>
        <v>U</v>
      </c>
      <c r="O41" s="816">
        <f t="shared" si="21"/>
        <v>0.75</v>
      </c>
      <c r="P41" s="829">
        <f t="shared" si="23"/>
        <v>-1</v>
      </c>
      <c r="Q41" s="830">
        <v>-0.88</v>
      </c>
      <c r="R41" s="871">
        <f t="shared" si="33"/>
        <v>-1.1200000000000001</v>
      </c>
      <c r="S41" s="830">
        <v>2.61</v>
      </c>
      <c r="T41" s="871">
        <f t="shared" si="25"/>
        <v>-0.60999999999999988</v>
      </c>
      <c r="U41" s="868">
        <f t="shared" si="26"/>
        <v>0.86499999999999999</v>
      </c>
      <c r="V41" s="868">
        <f t="shared" si="27"/>
        <v>1.7449999999999999</v>
      </c>
      <c r="W41" s="829">
        <v>12</v>
      </c>
      <c r="X41" s="829">
        <v>16</v>
      </c>
      <c r="Y41" s="829">
        <v>3</v>
      </c>
      <c r="Z41" s="829">
        <v>8</v>
      </c>
      <c r="AA41" s="829">
        <v>60</v>
      </c>
      <c r="AB41" s="829">
        <v>40</v>
      </c>
      <c r="AC41" s="829"/>
      <c r="AD41" s="816" t="str">
        <f t="array" ref="AD41">IF($J41="","",IF(SUM(IF(ISNUMBER(VALUE(RIGHT($AG41:$DY41,1))),VALUE(RIGHT($AG41:$DY41,1)),0))=$J41,"T","F"))</f>
        <v>T</v>
      </c>
      <c r="AE41" s="831">
        <f t="array" ref="AE41">IF($J41="","",SUM(IF(LEFT($AG41:$DY41,1)="s",1,0))-SUM(IF(RIGHT(LEFT($AG41:$DY41,2))="-",1,0)))</f>
        <v>0</v>
      </c>
      <c r="AF41" s="816">
        <f t="array" ref="AF41">IF($J41="","",SUM(IF(LEFT($AG41:$DY41,1)="X",1,0)))</f>
        <v>11</v>
      </c>
      <c r="AG41" s="891" t="s">
        <v>34</v>
      </c>
      <c r="AH41" s="891" t="s">
        <v>32</v>
      </c>
      <c r="AI41" s="891" t="s">
        <v>32</v>
      </c>
      <c r="AJ41" s="891" t="s">
        <v>1877</v>
      </c>
      <c r="AK41" s="891" t="s">
        <v>1877</v>
      </c>
      <c r="AL41" s="891" t="s">
        <v>36</v>
      </c>
      <c r="AM41" s="891" t="s">
        <v>32</v>
      </c>
      <c r="AN41" s="891" t="s">
        <v>35</v>
      </c>
      <c r="AO41" s="891" t="s">
        <v>32</v>
      </c>
      <c r="AP41" s="891" t="s">
        <v>32</v>
      </c>
      <c r="AQ41" s="891" t="s">
        <v>34</v>
      </c>
      <c r="AR41" s="891" t="s">
        <v>1884</v>
      </c>
      <c r="AS41" s="891" t="s">
        <v>32</v>
      </c>
      <c r="AT41" s="891" t="s">
        <v>35</v>
      </c>
      <c r="AU41" s="891"/>
      <c r="AV41" s="891" t="s">
        <v>1877</v>
      </c>
      <c r="AW41" s="891" t="s">
        <v>1877</v>
      </c>
      <c r="AX41" s="909" t="s">
        <v>34</v>
      </c>
      <c r="AY41" s="891" t="s">
        <v>34</v>
      </c>
      <c r="AZ41" s="891" t="s">
        <v>32</v>
      </c>
      <c r="BA41" s="891" t="s">
        <v>34</v>
      </c>
      <c r="BB41" s="891" t="s">
        <v>36</v>
      </c>
      <c r="BC41" s="891"/>
      <c r="BD41" s="891" t="s">
        <v>34</v>
      </c>
      <c r="BE41" s="891" t="s">
        <v>34</v>
      </c>
      <c r="BF41" s="891" t="s">
        <v>32</v>
      </c>
      <c r="BG41" s="891" t="s">
        <v>32</v>
      </c>
      <c r="BH41" s="891" t="s">
        <v>34</v>
      </c>
      <c r="BI41" s="891" t="s">
        <v>32</v>
      </c>
      <c r="BJ41" s="891" t="s">
        <v>36</v>
      </c>
      <c r="BK41" s="891" t="s">
        <v>35</v>
      </c>
      <c r="BL41" s="891"/>
      <c r="BM41" s="891"/>
      <c r="BN41" s="891"/>
      <c r="BO41" s="891"/>
      <c r="BP41" s="891"/>
      <c r="BQ41" s="891"/>
      <c r="BR41" s="891"/>
      <c r="BS41" s="891"/>
      <c r="BT41" s="896"/>
      <c r="BU41" s="891" t="s">
        <v>32</v>
      </c>
      <c r="BV41" s="891" t="s">
        <v>32</v>
      </c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4"/>
      <c r="CH41" s="4"/>
      <c r="CI41" s="4"/>
      <c r="CJ41" s="4"/>
      <c r="CK41" s="6" t="s">
        <v>32</v>
      </c>
      <c r="CL41" s="6" t="s">
        <v>32</v>
      </c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</row>
    <row r="42" spans="1:122" ht="15">
      <c r="A42" s="912">
        <v>6382</v>
      </c>
      <c r="B42" s="894"/>
      <c r="C42" s="894"/>
      <c r="D42" s="894"/>
      <c r="E42" s="894"/>
      <c r="F42" s="894"/>
      <c r="G42" s="828" t="s">
        <v>882</v>
      </c>
      <c r="H42" s="828" t="s">
        <v>18</v>
      </c>
      <c r="I42" s="828" t="s">
        <v>2649</v>
      </c>
      <c r="J42" s="895">
        <v>2</v>
      </c>
      <c r="K42" s="895">
        <v>1</v>
      </c>
      <c r="L42" s="816" t="str">
        <f t="shared" ref="L42" si="34">IF(J42="","",IF(J42&gt;K42,"W",IF(J42=K42,"D",IF(J42&lt;K42,"L"))))</f>
        <v>W</v>
      </c>
      <c r="M42" s="816">
        <f t="shared" ref="M42" si="35">IF(J42="","",J42+K42)</f>
        <v>3</v>
      </c>
      <c r="N42" s="816" t="str">
        <f t="shared" si="32"/>
        <v>O</v>
      </c>
      <c r="O42" s="816" t="str">
        <f t="shared" ref="O42" si="36">IF(Q42="","",IF(SIGN(Q42)&lt;&gt;1,VLOOKUP(ABS(Q42),SUP_HDC,3,TRUE),-VLOOKUP(ABS(Q42),SUP_HDC,3,TRUE)))</f>
        <v/>
      </c>
      <c r="P42" s="829" t="str">
        <f t="shared" ref="P42" si="37">IF(O42="","",IF((J42-K42+O42)&gt;=0.5,1,IF((J42-K42+O42)=0.25,0.5,IF((J42-K42+O42)&lt;=-0.5,-1,IF((J42-K42+O42)=-0.25,-0.5,0)))))</f>
        <v/>
      </c>
      <c r="Q42" s="830"/>
      <c r="R42" s="871" t="str">
        <f t="shared" ref="R42" si="38">IF(ISBLANK(Q42),"",J42-K42-Q42)</f>
        <v/>
      </c>
      <c r="S42" s="830"/>
      <c r="T42" s="871" t="str">
        <f t="shared" ref="T42" si="39">IF(ISBLANK(S42),"",J42+K42-S42)</f>
        <v/>
      </c>
      <c r="U42" s="868" t="str">
        <f t="shared" ref="U42" si="40">IF(Q42="","",(Q42+S42)/2)</f>
        <v/>
      </c>
      <c r="V42" s="868" t="str">
        <f t="shared" ref="V42" si="41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IF($J42="","",IF(SUM(IF(ISNUMBER(VALUE(RIGHT($AG42:$DY42,1))),VALUE(RIGHT($AG42:$DY42,1)),0))=$J42,"T","F"))</f>
        <v>T</v>
      </c>
      <c r="AE42" s="831">
        <f t="array" ref="AE42">IF($J42="","",SUM(IF(LEFT($AG42:$DY42,1)="s",1,0))-SUM(IF(RIGHT(LEFT($AG42:$DY42,2))="-",1,0)))</f>
        <v>0</v>
      </c>
      <c r="AF42" s="816">
        <f t="array" ref="AF42">IF($J42="","",SUM(IF(LEFT($AG42:$DY42,1)="X",1,0)))</f>
        <v>11</v>
      </c>
      <c r="AG42" s="891"/>
      <c r="AH42" s="891"/>
      <c r="AI42" s="891" t="s">
        <v>1877</v>
      </c>
      <c r="AJ42" s="891" t="s">
        <v>34</v>
      </c>
      <c r="AK42" s="891" t="s">
        <v>34</v>
      </c>
      <c r="AL42" s="891" t="s">
        <v>34</v>
      </c>
      <c r="AM42" s="891" t="s">
        <v>34</v>
      </c>
      <c r="AN42" s="891" t="s">
        <v>32</v>
      </c>
      <c r="AO42" s="891" t="s">
        <v>1877</v>
      </c>
      <c r="AP42" s="891" t="s">
        <v>32</v>
      </c>
      <c r="AQ42" s="891" t="s">
        <v>32</v>
      </c>
      <c r="AR42" s="891" t="s">
        <v>1884</v>
      </c>
      <c r="AS42" s="891" t="s">
        <v>32</v>
      </c>
      <c r="AT42" s="891" t="s">
        <v>1877</v>
      </c>
      <c r="AU42" s="891"/>
      <c r="AV42" s="891" t="s">
        <v>35</v>
      </c>
      <c r="AW42" s="891" t="s">
        <v>35</v>
      </c>
      <c r="AX42" s="891" t="s">
        <v>2718</v>
      </c>
      <c r="AY42" s="891" t="s">
        <v>32</v>
      </c>
      <c r="AZ42" s="891" t="s">
        <v>1877</v>
      </c>
      <c r="BA42" s="891" t="s">
        <v>36</v>
      </c>
      <c r="BB42" s="891" t="s">
        <v>34</v>
      </c>
      <c r="BC42" s="891"/>
      <c r="BD42" s="891" t="s">
        <v>36</v>
      </c>
      <c r="BE42" s="891" t="s">
        <v>32</v>
      </c>
      <c r="BF42" s="891" t="s">
        <v>32</v>
      </c>
      <c r="BG42" s="891" t="s">
        <v>32</v>
      </c>
      <c r="BH42" s="891" t="s">
        <v>32</v>
      </c>
      <c r="BI42" s="891" t="s">
        <v>32</v>
      </c>
      <c r="BJ42" s="891" t="s">
        <v>2718</v>
      </c>
      <c r="BK42" s="891" t="s">
        <v>32</v>
      </c>
      <c r="BL42" s="904" t="s">
        <v>34</v>
      </c>
      <c r="BM42" s="891" t="s">
        <v>32</v>
      </c>
      <c r="BN42" s="891" t="s">
        <v>32</v>
      </c>
      <c r="BO42" s="891" t="s">
        <v>32</v>
      </c>
      <c r="BP42" s="891" t="s">
        <v>36</v>
      </c>
      <c r="BQ42" s="891" t="s">
        <v>35</v>
      </c>
      <c r="BR42" s="891"/>
      <c r="BS42" s="891"/>
      <c r="BT42" s="896"/>
      <c r="BU42" s="891" t="s">
        <v>32</v>
      </c>
      <c r="BV42" s="891" t="s">
        <v>32</v>
      </c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4"/>
      <c r="CH42" s="4"/>
      <c r="CI42" s="4"/>
      <c r="CJ42" s="4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</row>
    <row r="43" spans="1:122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9</v>
      </c>
      <c r="G43" s="879" t="s">
        <v>1083</v>
      </c>
      <c r="H43" s="879" t="s">
        <v>22</v>
      </c>
      <c r="I43" s="879" t="s">
        <v>891</v>
      </c>
      <c r="J43" s="846">
        <v>0</v>
      </c>
      <c r="K43" s="846">
        <v>4</v>
      </c>
      <c r="L43" s="816" t="str">
        <f t="shared" si="30"/>
        <v>L</v>
      </c>
      <c r="M43" s="816">
        <f t="shared" si="31"/>
        <v>4</v>
      </c>
      <c r="N43" s="816" t="str">
        <f t="shared" si="32"/>
        <v>O</v>
      </c>
      <c r="O43" s="816">
        <f t="shared" si="21"/>
        <v>0.5</v>
      </c>
      <c r="P43" s="829">
        <f t="shared" si="23"/>
        <v>-1</v>
      </c>
      <c r="Q43" s="830">
        <v>-0.45</v>
      </c>
      <c r="R43" s="871">
        <f t="shared" si="33"/>
        <v>-3.55</v>
      </c>
      <c r="S43" s="830">
        <v>2.48</v>
      </c>
      <c r="T43" s="871">
        <f t="shared" si="25"/>
        <v>1.52</v>
      </c>
      <c r="U43" s="868">
        <f t="shared" si="26"/>
        <v>1.0149999999999999</v>
      </c>
      <c r="V43" s="868">
        <f t="shared" si="27"/>
        <v>1.4650000000000001</v>
      </c>
      <c r="W43" s="829">
        <v>17</v>
      </c>
      <c r="X43" s="829">
        <v>14</v>
      </c>
      <c r="Y43" s="829">
        <v>2</v>
      </c>
      <c r="Z43" s="829">
        <v>6</v>
      </c>
      <c r="AA43" s="829">
        <v>53</v>
      </c>
      <c r="AB43" s="829">
        <v>47</v>
      </c>
      <c r="AC43" s="829"/>
      <c r="AD43" s="816" t="str">
        <f t="array" ref="AD43">IF($J43="","",IF(SUM(IF(ISNUMBER(VALUE(RIGHT($AG43:$DY43,1))),VALUE(RIGHT($AG43:$DY43,1)),0))=$J43,"T","F"))</f>
        <v>T</v>
      </c>
      <c r="AE43" s="831">
        <f t="array" ref="AE43">IF($J43="","",SUM(IF(LEFT($AG43:$DY43,1)="s",1,0))-SUM(IF(RIGHT(LEFT($AG43:$DY43,2))="-",1,0)))</f>
        <v>0</v>
      </c>
      <c r="AF43" s="816">
        <f t="array" ref="AF43">IF($J43="","",SUM(IF(LEFT($AG43:$DY43,1)="X",1,0)))</f>
        <v>11</v>
      </c>
      <c r="AG43" s="891" t="s">
        <v>34</v>
      </c>
      <c r="AH43" s="891" t="s">
        <v>32</v>
      </c>
      <c r="AI43" s="891" t="s">
        <v>32</v>
      </c>
      <c r="AJ43" s="891" t="s">
        <v>1877</v>
      </c>
      <c r="AK43" s="891" t="s">
        <v>34</v>
      </c>
      <c r="AL43" s="891" t="s">
        <v>32</v>
      </c>
      <c r="AM43" s="891" t="s">
        <v>34</v>
      </c>
      <c r="AN43" s="891" t="s">
        <v>36</v>
      </c>
      <c r="AO43" s="891" t="s">
        <v>32</v>
      </c>
      <c r="AP43" s="891" t="s">
        <v>32</v>
      </c>
      <c r="AQ43" s="891" t="s">
        <v>1877</v>
      </c>
      <c r="AR43" s="891" t="s">
        <v>1884</v>
      </c>
      <c r="AS43" s="891" t="s">
        <v>32</v>
      </c>
      <c r="AT43" s="891" t="s">
        <v>1877</v>
      </c>
      <c r="AU43" s="891"/>
      <c r="AV43" s="891" t="s">
        <v>35</v>
      </c>
      <c r="AW43" s="891" t="s">
        <v>36</v>
      </c>
      <c r="AX43" s="891" t="s">
        <v>2752</v>
      </c>
      <c r="AY43" s="891" t="s">
        <v>34</v>
      </c>
      <c r="AZ43" s="891" t="s">
        <v>32</v>
      </c>
      <c r="BA43" s="904" t="s">
        <v>35</v>
      </c>
      <c r="BB43" s="891" t="s">
        <v>35</v>
      </c>
      <c r="BC43" s="891"/>
      <c r="BD43" s="891" t="s">
        <v>34</v>
      </c>
      <c r="BE43" s="891" t="s">
        <v>34</v>
      </c>
      <c r="BF43" s="891" t="s">
        <v>32</v>
      </c>
      <c r="BG43" s="891" t="s">
        <v>32</v>
      </c>
      <c r="BH43" s="891" t="s">
        <v>34</v>
      </c>
      <c r="BI43" s="891" t="s">
        <v>32</v>
      </c>
      <c r="BJ43" s="904" t="s">
        <v>34</v>
      </c>
      <c r="BK43" s="891" t="s">
        <v>32</v>
      </c>
      <c r="BL43" s="891" t="s">
        <v>32</v>
      </c>
      <c r="BM43" s="891" t="s">
        <v>32</v>
      </c>
      <c r="BN43" s="891" t="s">
        <v>32</v>
      </c>
      <c r="BO43" s="891" t="s">
        <v>32</v>
      </c>
      <c r="BP43" s="891" t="s">
        <v>36</v>
      </c>
      <c r="BQ43" s="891" t="s">
        <v>1877</v>
      </c>
      <c r="BR43" s="891"/>
      <c r="BS43" s="891"/>
      <c r="BT43" s="896"/>
      <c r="BU43" s="891" t="s">
        <v>32</v>
      </c>
      <c r="BV43" s="891" t="s">
        <v>32</v>
      </c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428"/>
      <c r="CH43" s="428"/>
      <c r="CI43" s="428"/>
      <c r="CJ43" s="428"/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</row>
    <row r="44" spans="1:122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12</v>
      </c>
      <c r="G44" s="879" t="s">
        <v>879</v>
      </c>
      <c r="H44" s="879" t="s">
        <v>18</v>
      </c>
      <c r="I44" s="879" t="s">
        <v>891</v>
      </c>
      <c r="J44" s="846">
        <v>0</v>
      </c>
      <c r="K44" s="846">
        <v>1</v>
      </c>
      <c r="L44" s="816" t="str">
        <f t="shared" si="30"/>
        <v>L</v>
      </c>
      <c r="M44" s="816">
        <f t="shared" si="31"/>
        <v>1</v>
      </c>
      <c r="N44" s="816" t="str">
        <f t="shared" si="32"/>
        <v>U</v>
      </c>
      <c r="O44" s="816">
        <f t="shared" si="21"/>
        <v>1</v>
      </c>
      <c r="P44" s="829">
        <f t="shared" si="23"/>
        <v>0</v>
      </c>
      <c r="Q44" s="830">
        <v>-0.98</v>
      </c>
      <c r="R44" s="871">
        <f t="shared" si="33"/>
        <v>-2.0000000000000018E-2</v>
      </c>
      <c r="S44" s="830">
        <v>2.8</v>
      </c>
      <c r="T44" s="871">
        <f t="shared" si="25"/>
        <v>-1.7999999999999998</v>
      </c>
      <c r="U44" s="868">
        <f t="shared" si="26"/>
        <v>0.90999999999999992</v>
      </c>
      <c r="V44" s="868">
        <f t="shared" si="27"/>
        <v>1.89</v>
      </c>
      <c r="W44" s="829">
        <v>10</v>
      </c>
      <c r="X44" s="829">
        <v>12</v>
      </c>
      <c r="Y44" s="829">
        <v>1</v>
      </c>
      <c r="Z44" s="829">
        <v>3</v>
      </c>
      <c r="AA44" s="829">
        <v>49</v>
      </c>
      <c r="AB44" s="829">
        <v>51</v>
      </c>
      <c r="AC44" s="829"/>
      <c r="AD44" s="816" t="str">
        <f t="array" ref="AD44">IF($J44="","",IF(SUM(IF(ISNUMBER(VALUE(RIGHT($AG44:$DY44,1))),VALUE(RIGHT($AG44:$DY44,1)),0))=$J44,"T","F"))</f>
        <v>T</v>
      </c>
      <c r="AE44" s="831">
        <f t="array" ref="AE44">IF($J44="","",SUM(IF(LEFT($AG44:$DY44,1)="s",1,0))-SUM(IF(RIGHT(LEFT($AG44:$DY44,2))="-",1,0)))</f>
        <v>0</v>
      </c>
      <c r="AF44" s="816">
        <f t="array" ref="AF44">IF($J44="","",SUM(IF(LEFT($AG44:$DY44,1)="X",1,0)))</f>
        <v>11</v>
      </c>
      <c r="AG44" s="891" t="s">
        <v>1877</v>
      </c>
      <c r="AH44" s="891" t="s">
        <v>32</v>
      </c>
      <c r="AI44" s="891" t="s">
        <v>32</v>
      </c>
      <c r="AJ44" s="891" t="s">
        <v>34</v>
      </c>
      <c r="AK44" s="891" t="s">
        <v>1877</v>
      </c>
      <c r="AL44" s="891" t="s">
        <v>1877</v>
      </c>
      <c r="AM44" s="891" t="s">
        <v>32</v>
      </c>
      <c r="AN44" s="891" t="s">
        <v>34</v>
      </c>
      <c r="AO44" s="891" t="s">
        <v>32</v>
      </c>
      <c r="AP44" s="891" t="s">
        <v>32</v>
      </c>
      <c r="AQ44" s="891" t="s">
        <v>34</v>
      </c>
      <c r="AR44" s="891" t="s">
        <v>1884</v>
      </c>
      <c r="AS44" s="891" t="s">
        <v>32</v>
      </c>
      <c r="AT44" s="891" t="s">
        <v>34</v>
      </c>
      <c r="AU44" s="891"/>
      <c r="AV44" s="891" t="s">
        <v>35</v>
      </c>
      <c r="AW44" s="891" t="s">
        <v>1877</v>
      </c>
      <c r="AX44" s="891" t="s">
        <v>34</v>
      </c>
      <c r="AY44" s="891" t="s">
        <v>34</v>
      </c>
      <c r="AZ44" s="891" t="s">
        <v>32</v>
      </c>
      <c r="BA44" s="891" t="s">
        <v>36</v>
      </c>
      <c r="BB44" s="891" t="s">
        <v>32</v>
      </c>
      <c r="BC44" s="891"/>
      <c r="BD44" s="891" t="s">
        <v>34</v>
      </c>
      <c r="BE44" s="891" t="s">
        <v>34</v>
      </c>
      <c r="BF44" s="891" t="s">
        <v>32</v>
      </c>
      <c r="BG44" s="891" t="s">
        <v>32</v>
      </c>
      <c r="BH44" s="891" t="s">
        <v>34</v>
      </c>
      <c r="BI44" s="891" t="s">
        <v>32</v>
      </c>
      <c r="BJ44" s="891" t="s">
        <v>32</v>
      </c>
      <c r="BK44" s="891" t="s">
        <v>35</v>
      </c>
      <c r="BL44" s="891" t="s">
        <v>32</v>
      </c>
      <c r="BM44" s="891" t="s">
        <v>32</v>
      </c>
      <c r="BN44" s="891" t="s">
        <v>32</v>
      </c>
      <c r="BO44" s="891" t="s">
        <v>32</v>
      </c>
      <c r="BP44" s="891" t="s">
        <v>36</v>
      </c>
      <c r="BQ44" s="891" t="s">
        <v>1877</v>
      </c>
      <c r="BR44" s="891"/>
      <c r="BS44" s="891"/>
      <c r="BT44" s="896"/>
      <c r="BU44" s="891" t="s">
        <v>32</v>
      </c>
      <c r="BV44" s="891" t="s">
        <v>32</v>
      </c>
      <c r="BW44" s="896"/>
      <c r="BX44" s="896"/>
      <c r="BY44" s="896"/>
      <c r="BZ44" s="896"/>
      <c r="CA44" s="896"/>
      <c r="CB44" s="896"/>
      <c r="CC44" s="896"/>
      <c r="CD44" s="896"/>
      <c r="CE44" s="896"/>
      <c r="CF44" s="896"/>
      <c r="CG44" s="428"/>
      <c r="CH44" s="428"/>
      <c r="CI44" s="428"/>
      <c r="CJ44" s="428"/>
    </row>
    <row r="45" spans="1:122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16</v>
      </c>
      <c r="G45" s="879" t="s">
        <v>872</v>
      </c>
      <c r="H45" s="879" t="s">
        <v>18</v>
      </c>
      <c r="I45" s="879" t="s">
        <v>891</v>
      </c>
      <c r="J45" s="846">
        <v>0</v>
      </c>
      <c r="K45" s="846">
        <v>2</v>
      </c>
      <c r="L45" s="816" t="str">
        <f t="shared" si="30"/>
        <v>L</v>
      </c>
      <c r="M45" s="816">
        <f t="shared" si="31"/>
        <v>2</v>
      </c>
      <c r="N45" s="816" t="str">
        <f t="shared" si="32"/>
        <v>U</v>
      </c>
      <c r="O45" s="816">
        <f t="shared" si="21"/>
        <v>0.75</v>
      </c>
      <c r="P45" s="829">
        <f t="shared" si="23"/>
        <v>-1</v>
      </c>
      <c r="Q45" s="830">
        <v>-0.71</v>
      </c>
      <c r="R45" s="871">
        <f t="shared" ref="R45" si="42">IF(ISBLANK(Q45),"",J44-K44-Q45)</f>
        <v>-0.29000000000000004</v>
      </c>
      <c r="S45" s="830">
        <v>2.61</v>
      </c>
      <c r="T45" s="871">
        <f t="shared" si="25"/>
        <v>-0.60999999999999988</v>
      </c>
      <c r="U45" s="868">
        <f t="shared" si="26"/>
        <v>0.95</v>
      </c>
      <c r="V45" s="868">
        <f t="shared" si="27"/>
        <v>1.66</v>
      </c>
      <c r="W45" s="829">
        <v>5</v>
      </c>
      <c r="X45" s="829">
        <v>13</v>
      </c>
      <c r="Y45" s="829">
        <v>1</v>
      </c>
      <c r="Z45" s="829">
        <v>5</v>
      </c>
      <c r="AA45" s="829">
        <v>48</v>
      </c>
      <c r="AB45" s="829">
        <v>52</v>
      </c>
      <c r="AC45" s="829"/>
      <c r="AD45" s="816" t="str">
        <f t="array" ref="AD45">IF($J45="","",IF(SUM(IF(ISNUMBER(VALUE(RIGHT($AG45:$DY45,1))),VALUE(RIGHT($AG45:$DY45,1)),0))=$J45,"T","F"))</f>
        <v>T</v>
      </c>
      <c r="AE45" s="831">
        <f t="array" ref="AE45">IF($J45="","",SUM(IF(LEFT($AG45:$DY45,1)="s",1,0))-SUM(IF(RIGHT(LEFT($AG45:$DY45,2))="-",1,0)))</f>
        <v>0</v>
      </c>
      <c r="AF45" s="816">
        <f t="array" ref="AF45">IF($J45="","",SUM(IF(LEFT($AG45:$DY45,1)="X",1,0)))</f>
        <v>11</v>
      </c>
      <c r="AG45" s="891" t="s">
        <v>1877</v>
      </c>
      <c r="AH45" s="891" t="s">
        <v>32</v>
      </c>
      <c r="AI45" s="891" t="s">
        <v>32</v>
      </c>
      <c r="AJ45" s="891" t="s">
        <v>34</v>
      </c>
      <c r="AK45" s="891" t="s">
        <v>1877</v>
      </c>
      <c r="AL45" s="891" t="s">
        <v>32</v>
      </c>
      <c r="AM45" s="906" t="s">
        <v>2837</v>
      </c>
      <c r="AN45" s="891" t="s">
        <v>34</v>
      </c>
      <c r="AO45" s="891" t="s">
        <v>32</v>
      </c>
      <c r="AP45" s="891" t="s">
        <v>32</v>
      </c>
      <c r="AQ45" s="904" t="s">
        <v>34</v>
      </c>
      <c r="AR45" s="891" t="s">
        <v>1884</v>
      </c>
      <c r="AS45" s="891" t="s">
        <v>32</v>
      </c>
      <c r="AT45" s="891" t="s">
        <v>35</v>
      </c>
      <c r="AU45" s="891"/>
      <c r="AV45" s="891" t="s">
        <v>35</v>
      </c>
      <c r="AW45" s="891" t="s">
        <v>1877</v>
      </c>
      <c r="AX45" s="891" t="s">
        <v>34</v>
      </c>
      <c r="AY45" s="891" t="s">
        <v>34</v>
      </c>
      <c r="AZ45" s="891" t="s">
        <v>32</v>
      </c>
      <c r="BA45" s="891" t="s">
        <v>36</v>
      </c>
      <c r="BB45" s="891" t="s">
        <v>32</v>
      </c>
      <c r="BC45" s="891"/>
      <c r="BD45" s="904" t="s">
        <v>34</v>
      </c>
      <c r="BE45" s="891" t="s">
        <v>34</v>
      </c>
      <c r="BF45" s="891" t="s">
        <v>32</v>
      </c>
      <c r="BG45" s="891" t="s">
        <v>32</v>
      </c>
      <c r="BH45" s="891" t="s">
        <v>34</v>
      </c>
      <c r="BI45" s="891" t="s">
        <v>32</v>
      </c>
      <c r="BJ45" s="891" t="s">
        <v>1877</v>
      </c>
      <c r="BK45" s="891" t="s">
        <v>35</v>
      </c>
      <c r="BL45" s="891" t="s">
        <v>32</v>
      </c>
      <c r="BM45" s="891" t="s">
        <v>32</v>
      </c>
      <c r="BN45" s="891" t="s">
        <v>32</v>
      </c>
      <c r="BO45" s="891" t="s">
        <v>32</v>
      </c>
      <c r="BP45" s="891" t="s">
        <v>36</v>
      </c>
      <c r="BQ45" s="891"/>
      <c r="BR45" s="891"/>
      <c r="BS45" s="891"/>
      <c r="BT45" s="896"/>
      <c r="BU45" s="891" t="s">
        <v>32</v>
      </c>
      <c r="BV45" s="891" t="s">
        <v>32</v>
      </c>
      <c r="BW45" s="896"/>
      <c r="BX45" s="896"/>
      <c r="BY45" s="896"/>
      <c r="BZ45" s="891"/>
      <c r="CA45" s="891"/>
      <c r="CB45" s="891"/>
      <c r="CC45" s="891"/>
      <c r="CD45" s="891"/>
      <c r="CE45" s="891"/>
      <c r="CF45" s="891"/>
      <c r="CG45" s="428"/>
      <c r="CH45" s="428"/>
      <c r="CI45" s="428"/>
      <c r="CJ45" s="428"/>
    </row>
    <row r="46" spans="1:122" ht="15">
      <c r="A46" s="912">
        <v>6403</v>
      </c>
      <c r="B46" s="894"/>
      <c r="C46" s="894"/>
      <c r="D46" s="894"/>
      <c r="E46" s="894"/>
      <c r="F46" s="894"/>
      <c r="G46" s="828" t="s">
        <v>2765</v>
      </c>
      <c r="H46" s="828" t="s">
        <v>18</v>
      </c>
      <c r="I46" s="828" t="s">
        <v>2649</v>
      </c>
      <c r="J46" s="895">
        <v>0</v>
      </c>
      <c r="K46" s="895">
        <v>4</v>
      </c>
      <c r="L46" s="816" t="str">
        <f t="shared" si="30"/>
        <v>L</v>
      </c>
      <c r="M46" s="816">
        <f t="shared" si="31"/>
        <v>4</v>
      </c>
      <c r="N46" s="816" t="str">
        <f t="shared" si="32"/>
        <v>O</v>
      </c>
      <c r="O46" s="816"/>
      <c r="P46" s="829"/>
      <c r="Q46" s="830"/>
      <c r="R46" s="871"/>
      <c r="S46" s="830"/>
      <c r="T46" s="871" t="str">
        <f t="shared" si="25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D46" s="816" t="str">
        <f t="array" ref="AD46">IF($J46="","",IF(SUM(IF(ISNUMBER(VALUE(RIGHT($AG46:$DY46,1))),VALUE(RIGHT($AG46:$DY46,1)),0))=$J46,"T","F"))</f>
        <v>T</v>
      </c>
      <c r="AE46" s="831">
        <f t="array" ref="AE46">IF($J46="","",SUM(IF(LEFT($AG46:$DY46,1)="s",1,0))-SUM(IF(RIGHT(LEFT($AG46:$DY46,2))="-",1,0)))</f>
        <v>0</v>
      </c>
      <c r="AF46" s="816">
        <f t="array" ref="AF46">IF($J46="","",SUM(IF(LEFT($AG46:$DY46,1)="X",1,0)))</f>
        <v>11</v>
      </c>
      <c r="AG46" s="891" t="s">
        <v>1877</v>
      </c>
      <c r="AH46" s="891" t="s">
        <v>32</v>
      </c>
      <c r="AI46" s="891" t="s">
        <v>32</v>
      </c>
      <c r="AJ46" s="891" t="s">
        <v>34</v>
      </c>
      <c r="AK46" s="891" t="s">
        <v>34</v>
      </c>
      <c r="AL46" s="891" t="s">
        <v>34</v>
      </c>
      <c r="AM46" s="891" t="s">
        <v>32</v>
      </c>
      <c r="AN46" s="891" t="s">
        <v>36</v>
      </c>
      <c r="AO46" s="904" t="s">
        <v>34</v>
      </c>
      <c r="AP46" s="891" t="s">
        <v>32</v>
      </c>
      <c r="AQ46" s="891" t="s">
        <v>32</v>
      </c>
      <c r="AR46" s="891" t="s">
        <v>1884</v>
      </c>
      <c r="AS46" s="891" t="s">
        <v>32</v>
      </c>
      <c r="AT46" s="891" t="s">
        <v>32</v>
      </c>
      <c r="AU46" s="891"/>
      <c r="AV46" s="891" t="s">
        <v>1877</v>
      </c>
      <c r="AW46" s="904" t="s">
        <v>35</v>
      </c>
      <c r="AX46" s="891" t="s">
        <v>34</v>
      </c>
      <c r="AY46" s="891" t="s">
        <v>1877</v>
      </c>
      <c r="AZ46" s="891" t="s">
        <v>32</v>
      </c>
      <c r="BA46" s="891" t="s">
        <v>34</v>
      </c>
      <c r="BB46" s="891" t="s">
        <v>36</v>
      </c>
      <c r="BC46" s="891"/>
      <c r="BD46" s="891" t="s">
        <v>34</v>
      </c>
      <c r="BE46" s="891" t="s">
        <v>32</v>
      </c>
      <c r="BF46" s="891" t="s">
        <v>32</v>
      </c>
      <c r="BG46" s="891" t="s">
        <v>32</v>
      </c>
      <c r="BH46" s="891" t="s">
        <v>34</v>
      </c>
      <c r="BI46" s="891" t="s">
        <v>32</v>
      </c>
      <c r="BJ46" s="891" t="s">
        <v>35</v>
      </c>
      <c r="BK46" s="891" t="s">
        <v>35</v>
      </c>
      <c r="BL46" s="891" t="s">
        <v>1877</v>
      </c>
      <c r="BM46" s="891" t="s">
        <v>32</v>
      </c>
      <c r="BN46" s="891" t="s">
        <v>32</v>
      </c>
      <c r="BO46" s="891" t="s">
        <v>32</v>
      </c>
      <c r="BP46" s="891" t="s">
        <v>32</v>
      </c>
      <c r="BQ46" s="891" t="s">
        <v>2859</v>
      </c>
      <c r="BR46" s="891"/>
      <c r="BS46" s="891"/>
      <c r="BT46" s="896"/>
      <c r="BU46" s="891" t="s">
        <v>32</v>
      </c>
      <c r="BV46" s="891" t="s">
        <v>32</v>
      </c>
      <c r="BW46" s="896"/>
      <c r="BX46" s="896"/>
      <c r="BY46" s="896"/>
      <c r="BZ46" s="891"/>
      <c r="CA46" s="891"/>
      <c r="CB46" s="891"/>
      <c r="CC46" s="891"/>
      <c r="CD46" s="891"/>
      <c r="CE46" s="891"/>
      <c r="CF46" s="891"/>
      <c r="CG46" s="428"/>
      <c r="CH46" s="428"/>
      <c r="CI46" s="428"/>
      <c r="CJ46" s="428"/>
    </row>
    <row r="47" spans="1:122" ht="15">
      <c r="A47" s="882">
        <v>6407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4</v>
      </c>
      <c r="G47" s="879" t="s">
        <v>1084</v>
      </c>
      <c r="H47" s="879" t="s">
        <v>22</v>
      </c>
      <c r="I47" s="879" t="s">
        <v>891</v>
      </c>
      <c r="J47" s="908">
        <v>1</v>
      </c>
      <c r="K47" s="846">
        <v>3</v>
      </c>
      <c r="L47" s="816" t="str">
        <f t="shared" si="30"/>
        <v>L</v>
      </c>
      <c r="M47" s="816">
        <f t="shared" si="31"/>
        <v>4</v>
      </c>
      <c r="N47" s="816" t="str">
        <f t="shared" si="32"/>
        <v>O</v>
      </c>
      <c r="O47" s="816">
        <f t="shared" si="21"/>
        <v>0.75</v>
      </c>
      <c r="P47" s="829">
        <f t="shared" si="23"/>
        <v>-1</v>
      </c>
      <c r="Q47" s="830">
        <v>-0.87</v>
      </c>
      <c r="R47" s="871">
        <f>IF(ISBLANK(Q47),"",J45-K45-Q47)</f>
        <v>-1.1299999999999999</v>
      </c>
      <c r="S47" s="830">
        <v>2.7</v>
      </c>
      <c r="T47" s="871">
        <f t="shared" si="25"/>
        <v>1.2999999999999998</v>
      </c>
      <c r="U47" s="868">
        <f t="shared" si="26"/>
        <v>0.91500000000000004</v>
      </c>
      <c r="V47" s="868">
        <f t="shared" si="27"/>
        <v>1.7850000000000001</v>
      </c>
      <c r="W47" s="829">
        <v>8</v>
      </c>
      <c r="X47" s="829">
        <v>24</v>
      </c>
      <c r="Y47" s="829">
        <v>1</v>
      </c>
      <c r="Z47" s="829">
        <v>8</v>
      </c>
      <c r="AA47" s="829">
        <v>42</v>
      </c>
      <c r="AB47" s="829">
        <v>58</v>
      </c>
      <c r="AC47" s="829"/>
      <c r="AD47" s="816" t="str">
        <f t="array" ref="AD47">IF($J47="","",IF(SUM(IF(ISNUMBER(VALUE(RIGHT($AG47:$DY47,1))),VALUE(RIGHT($AG47:$DY47,1)),0))=$J47,"T","F"))</f>
        <v>T</v>
      </c>
      <c r="AE47" s="831">
        <f t="array" ref="AE47">IF($J47="","",SUM(IF(LEFT($AG47:$DY47,1)="s",1,0))-SUM(IF(RIGHT(LEFT($AG47:$DY47,2))="-",1,0)))</f>
        <v>0</v>
      </c>
      <c r="AF47" s="816">
        <f t="array" ref="AF47">IF($J47="","",SUM(IF(LEFT($AG47:$DY47,1)="X",1,0)))</f>
        <v>11</v>
      </c>
      <c r="AG47" s="891" t="s">
        <v>1877</v>
      </c>
      <c r="AH47" s="891" t="s">
        <v>32</v>
      </c>
      <c r="AI47" s="891" t="s">
        <v>32</v>
      </c>
      <c r="AJ47" s="891" t="s">
        <v>34</v>
      </c>
      <c r="AK47" s="891" t="s">
        <v>34</v>
      </c>
      <c r="AL47" s="891" t="s">
        <v>32</v>
      </c>
      <c r="AM47" s="891" t="s">
        <v>32</v>
      </c>
      <c r="AN47" s="891" t="s">
        <v>34</v>
      </c>
      <c r="AO47" s="891" t="s">
        <v>1877</v>
      </c>
      <c r="AP47" s="891" t="s">
        <v>32</v>
      </c>
      <c r="AQ47" s="891" t="s">
        <v>2893</v>
      </c>
      <c r="AR47" s="891" t="s">
        <v>36</v>
      </c>
      <c r="AS47" s="891" t="s">
        <v>32</v>
      </c>
      <c r="AT47" s="891" t="s">
        <v>34</v>
      </c>
      <c r="AU47" s="891"/>
      <c r="AV47" s="891" t="s">
        <v>1877</v>
      </c>
      <c r="AW47" s="891" t="s">
        <v>1877</v>
      </c>
      <c r="AX47" s="891" t="s">
        <v>34</v>
      </c>
      <c r="AY47" s="891" t="s">
        <v>34</v>
      </c>
      <c r="AZ47" s="891" t="s">
        <v>32</v>
      </c>
      <c r="BA47" s="891" t="s">
        <v>35</v>
      </c>
      <c r="BB47" s="891" t="s">
        <v>32</v>
      </c>
      <c r="BC47" s="891"/>
      <c r="BD47" s="909" t="s">
        <v>34</v>
      </c>
      <c r="BE47" s="904" t="s">
        <v>36</v>
      </c>
      <c r="BF47" s="891" t="s">
        <v>32</v>
      </c>
      <c r="BG47" s="891" t="s">
        <v>32</v>
      </c>
      <c r="BH47" s="891" t="s">
        <v>35</v>
      </c>
      <c r="BI47" s="891" t="s">
        <v>32</v>
      </c>
      <c r="BJ47" s="891" t="s">
        <v>36</v>
      </c>
      <c r="BK47" s="891" t="s">
        <v>2884</v>
      </c>
      <c r="BL47" s="891" t="s">
        <v>32</v>
      </c>
      <c r="BM47" s="891" t="s">
        <v>32</v>
      </c>
      <c r="BN47" s="891" t="s">
        <v>32</v>
      </c>
      <c r="BO47" s="891" t="s">
        <v>32</v>
      </c>
      <c r="BP47" s="891" t="s">
        <v>32</v>
      </c>
      <c r="BQ47" s="891" t="s">
        <v>32</v>
      </c>
      <c r="BR47" s="891" t="s">
        <v>32</v>
      </c>
      <c r="BS47" s="891" t="s">
        <v>34</v>
      </c>
      <c r="BT47" s="896"/>
      <c r="BU47" s="891" t="s">
        <v>32</v>
      </c>
      <c r="BV47" s="891" t="s">
        <v>32</v>
      </c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428"/>
      <c r="CH47" s="428"/>
      <c r="CI47" s="428"/>
      <c r="CJ47" s="428"/>
    </row>
    <row r="48" spans="1:122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21</v>
      </c>
      <c r="G48" s="879" t="s">
        <v>890</v>
      </c>
      <c r="H48" s="879" t="s">
        <v>22</v>
      </c>
      <c r="I48" s="879" t="s">
        <v>891</v>
      </c>
      <c r="J48" s="846">
        <v>1</v>
      </c>
      <c r="K48" s="846">
        <v>1</v>
      </c>
      <c r="L48" s="816" t="str">
        <f t="shared" si="30"/>
        <v>D</v>
      </c>
      <c r="M48" s="816">
        <f t="shared" si="31"/>
        <v>2</v>
      </c>
      <c r="N48" s="816" t="str">
        <f t="shared" si="32"/>
        <v>U</v>
      </c>
      <c r="O48" s="816">
        <f t="shared" si="21"/>
        <v>0</v>
      </c>
      <c r="P48" s="829">
        <f t="shared" si="23"/>
        <v>0</v>
      </c>
      <c r="Q48" s="830">
        <v>-0.02</v>
      </c>
      <c r="R48" s="871">
        <f t="shared" ref="R48:R66" si="43">IF(ISBLANK(Q48),"",J48-K48-Q48)</f>
        <v>0.02</v>
      </c>
      <c r="S48" s="830">
        <v>2.48</v>
      </c>
      <c r="T48" s="871">
        <f t="shared" si="25"/>
        <v>-0.48</v>
      </c>
      <c r="U48" s="868">
        <f t="shared" si="26"/>
        <v>1.23</v>
      </c>
      <c r="V48" s="868">
        <f t="shared" si="27"/>
        <v>1.25</v>
      </c>
      <c r="W48" s="829">
        <v>15</v>
      </c>
      <c r="X48" s="829">
        <v>13</v>
      </c>
      <c r="Y48" s="829">
        <v>5</v>
      </c>
      <c r="Z48" s="829">
        <v>6</v>
      </c>
      <c r="AA48" s="829">
        <v>45</v>
      </c>
      <c r="AB48" s="829">
        <v>55</v>
      </c>
      <c r="AC48" s="829"/>
      <c r="AD48" s="816" t="str">
        <f t="array" ref="AD48">IF($J48="","",IF(SUM(IF(ISNUMBER(VALUE(RIGHT($AG48:$DY48,1))),VALUE(RIGHT($AG48:$DY48,1)),0))=$J48,"T","F"))</f>
        <v>T</v>
      </c>
      <c r="AE48" s="831">
        <f t="array" ref="AE48">IF($J48="","",SUM(IF(LEFT($AG48:$DY48,1)="s",1,0))-SUM(IF(RIGHT(LEFT($AG48:$DY48,2))="-",1,0)))</f>
        <v>0</v>
      </c>
      <c r="AF48" s="816">
        <f t="array" ref="AF48">IF($J48="","",SUM(IF(LEFT($AG48:$DY48,1)="X",1,0)))</f>
        <v>11</v>
      </c>
      <c r="AG48" s="891" t="s">
        <v>1877</v>
      </c>
      <c r="AH48" s="891" t="s">
        <v>32</v>
      </c>
      <c r="AI48" s="891" t="s">
        <v>32</v>
      </c>
      <c r="AJ48" s="891" t="s">
        <v>34</v>
      </c>
      <c r="AK48" s="891" t="s">
        <v>34</v>
      </c>
      <c r="AL48" s="891" t="s">
        <v>32</v>
      </c>
      <c r="AM48" s="891" t="s">
        <v>32</v>
      </c>
      <c r="AN48" s="891" t="s">
        <v>34</v>
      </c>
      <c r="AO48" s="891" t="s">
        <v>32</v>
      </c>
      <c r="AP48" s="891" t="s">
        <v>32</v>
      </c>
      <c r="AQ48" s="891" t="s">
        <v>1877</v>
      </c>
      <c r="AR48" s="891" t="s">
        <v>1877</v>
      </c>
      <c r="AS48" s="891" t="s">
        <v>32</v>
      </c>
      <c r="AT48" s="891" t="s">
        <v>34</v>
      </c>
      <c r="AU48" s="891" t="s">
        <v>2915</v>
      </c>
      <c r="AV48" s="891" t="s">
        <v>36</v>
      </c>
      <c r="AW48" s="891" t="s">
        <v>1877</v>
      </c>
      <c r="AX48" s="891" t="s">
        <v>2909</v>
      </c>
      <c r="AY48" s="891" t="s">
        <v>34</v>
      </c>
      <c r="AZ48" s="891" t="s">
        <v>32</v>
      </c>
      <c r="BA48" s="891" t="s">
        <v>34</v>
      </c>
      <c r="BB48" s="891" t="s">
        <v>32</v>
      </c>
      <c r="BC48" s="891"/>
      <c r="BD48" s="891" t="s">
        <v>2912</v>
      </c>
      <c r="BE48" s="891" t="s">
        <v>34</v>
      </c>
      <c r="BF48" s="891" t="s">
        <v>32</v>
      </c>
      <c r="BG48" s="891" t="s">
        <v>32</v>
      </c>
      <c r="BH48" s="891" t="s">
        <v>36</v>
      </c>
      <c r="BI48" s="891" t="s">
        <v>32</v>
      </c>
      <c r="BJ48" s="891" t="s">
        <v>32</v>
      </c>
      <c r="BK48" s="891" t="s">
        <v>35</v>
      </c>
      <c r="BL48" s="891" t="s">
        <v>32</v>
      </c>
      <c r="BM48" s="891" t="s">
        <v>32</v>
      </c>
      <c r="BN48" s="891" t="s">
        <v>32</v>
      </c>
      <c r="BO48" s="891" t="s">
        <v>32</v>
      </c>
      <c r="BP48" s="891" t="s">
        <v>36</v>
      </c>
      <c r="BQ48" s="891" t="s">
        <v>32</v>
      </c>
      <c r="BR48" s="891" t="s">
        <v>32</v>
      </c>
      <c r="BS48" s="891" t="s">
        <v>35</v>
      </c>
      <c r="BT48" s="896"/>
      <c r="BU48" s="910" t="s">
        <v>32</v>
      </c>
      <c r="BV48" s="891" t="s">
        <v>32</v>
      </c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428"/>
      <c r="CH48" s="428"/>
      <c r="CI48" s="428"/>
      <c r="CJ48" s="428"/>
    </row>
    <row r="49" spans="1:88" ht="15">
      <c r="A49" s="882">
        <v>6421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18</v>
      </c>
      <c r="G49" s="879" t="s">
        <v>887</v>
      </c>
      <c r="H49" s="879" t="s">
        <v>18</v>
      </c>
      <c r="I49" s="879" t="s">
        <v>891</v>
      </c>
      <c r="J49" s="846">
        <v>0</v>
      </c>
      <c r="K49" s="846">
        <v>2</v>
      </c>
      <c r="L49" s="816" t="str">
        <f t="shared" si="30"/>
        <v>L</v>
      </c>
      <c r="M49" s="816">
        <f t="shared" si="31"/>
        <v>2</v>
      </c>
      <c r="N49" s="816" t="str">
        <f t="shared" si="32"/>
        <v>U</v>
      </c>
      <c r="O49" s="816">
        <f t="shared" si="21"/>
        <v>0.75</v>
      </c>
      <c r="P49" s="829">
        <f t="shared" si="23"/>
        <v>-1</v>
      </c>
      <c r="Q49" s="830">
        <v>-0.75</v>
      </c>
      <c r="R49" s="871">
        <f t="shared" si="43"/>
        <v>-1.25</v>
      </c>
      <c r="S49" s="830">
        <v>2.74</v>
      </c>
      <c r="T49" s="871">
        <f t="shared" si="25"/>
        <v>-0.74000000000000021</v>
      </c>
      <c r="U49" s="868">
        <f t="shared" si="26"/>
        <v>0.99500000000000011</v>
      </c>
      <c r="V49" s="868">
        <f t="shared" si="27"/>
        <v>1.7450000000000001</v>
      </c>
      <c r="W49" s="829">
        <v>7</v>
      </c>
      <c r="X49" s="829">
        <v>11</v>
      </c>
      <c r="Y49" s="829">
        <v>1</v>
      </c>
      <c r="Z49" s="829">
        <v>4</v>
      </c>
      <c r="AA49" s="829">
        <v>36</v>
      </c>
      <c r="AB49" s="829">
        <v>64</v>
      </c>
      <c r="AC49" s="829"/>
      <c r="AD49" s="816" t="str">
        <f t="array" ref="AD49">IF($J49="","",IF(SUM(IF(ISNUMBER(VALUE(RIGHT($AG49:$DY49,1))),VALUE(RIGHT($AG49:$DY49,1)),0))=$J49,"T","F"))</f>
        <v>T</v>
      </c>
      <c r="AE49" s="831">
        <f t="array" ref="AE49">IF($J49="","",SUM(IF(LEFT($AG49:$DY49,1)="s",1,0))-SUM(IF(RIGHT(LEFT($AG49:$DY49,2))="-",1,0)))</f>
        <v>0</v>
      </c>
      <c r="AF49" s="816">
        <f t="array" ref="AF49">IF($J49="","",SUM(IF(LEFT($AG49:$DY49,1)="X",1,0)))</f>
        <v>11</v>
      </c>
      <c r="AG49" s="891" t="s">
        <v>1877</v>
      </c>
      <c r="AH49" s="891" t="s">
        <v>32</v>
      </c>
      <c r="AI49" s="891" t="s">
        <v>32</v>
      </c>
      <c r="AJ49" s="891" t="s">
        <v>34</v>
      </c>
      <c r="AK49" s="891" t="s">
        <v>34</v>
      </c>
      <c r="AL49" s="891" t="s">
        <v>32</v>
      </c>
      <c r="AM49" s="891" t="s">
        <v>32</v>
      </c>
      <c r="AN49" s="891" t="s">
        <v>1877</v>
      </c>
      <c r="AO49" s="891" t="s">
        <v>32</v>
      </c>
      <c r="AP49" s="891" t="s">
        <v>32</v>
      </c>
      <c r="AQ49" s="891" t="s">
        <v>1877</v>
      </c>
      <c r="AR49" s="891" t="s">
        <v>34</v>
      </c>
      <c r="AS49" s="891" t="s">
        <v>32</v>
      </c>
      <c r="AT49" s="904" t="s">
        <v>34</v>
      </c>
      <c r="AU49" s="891" t="s">
        <v>34</v>
      </c>
      <c r="AV49" s="891" t="s">
        <v>35</v>
      </c>
      <c r="AW49" s="891" t="s">
        <v>36</v>
      </c>
      <c r="AX49" s="891" t="s">
        <v>32</v>
      </c>
      <c r="AY49" s="904" t="s">
        <v>34</v>
      </c>
      <c r="AZ49" s="891" t="s">
        <v>32</v>
      </c>
      <c r="BA49" s="904" t="s">
        <v>35</v>
      </c>
      <c r="BB49" s="891" t="s">
        <v>32</v>
      </c>
      <c r="BC49" s="891"/>
      <c r="BD49" s="891" t="s">
        <v>35</v>
      </c>
      <c r="BE49" s="904" t="s">
        <v>34</v>
      </c>
      <c r="BF49" s="891" t="s">
        <v>32</v>
      </c>
      <c r="BG49" s="891" t="s">
        <v>32</v>
      </c>
      <c r="BH49" s="891" t="s">
        <v>36</v>
      </c>
      <c r="BI49" s="891" t="s">
        <v>32</v>
      </c>
      <c r="BJ49" s="891" t="s">
        <v>32</v>
      </c>
      <c r="BK49" s="891" t="s">
        <v>34</v>
      </c>
      <c r="BL49" s="891" t="s">
        <v>32</v>
      </c>
      <c r="BM49" s="891" t="s">
        <v>32</v>
      </c>
      <c r="BN49" s="891" t="s">
        <v>32</v>
      </c>
      <c r="BO49" s="891" t="s">
        <v>32</v>
      </c>
      <c r="BP49" s="891" t="s">
        <v>1877</v>
      </c>
      <c r="BQ49" s="891" t="s">
        <v>32</v>
      </c>
      <c r="BR49" s="891" t="s">
        <v>32</v>
      </c>
      <c r="BS49" s="916" t="s">
        <v>2971</v>
      </c>
      <c r="BT49" s="896" t="s">
        <v>32</v>
      </c>
      <c r="BU49" s="910"/>
      <c r="BV49" s="910"/>
      <c r="BW49" s="896" t="s">
        <v>32</v>
      </c>
      <c r="BX49" s="896" t="s">
        <v>32</v>
      </c>
      <c r="BY49" s="896" t="s">
        <v>32</v>
      </c>
      <c r="BZ49" s="896"/>
      <c r="CA49" s="896"/>
      <c r="CB49" s="896"/>
      <c r="CC49" s="896"/>
      <c r="CD49" s="896"/>
      <c r="CE49" s="896"/>
      <c r="CF49" s="896"/>
      <c r="CG49" s="428"/>
      <c r="CH49" s="428"/>
      <c r="CI49" s="428"/>
      <c r="CJ49" s="428"/>
    </row>
    <row r="50" spans="1:88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11</v>
      </c>
      <c r="G50" s="879" t="s">
        <v>874</v>
      </c>
      <c r="H50" s="879" t="s">
        <v>22</v>
      </c>
      <c r="I50" s="879" t="s">
        <v>891</v>
      </c>
      <c r="J50" s="846">
        <v>0</v>
      </c>
      <c r="K50" s="846">
        <v>1</v>
      </c>
      <c r="L50" s="816" t="str">
        <f t="shared" si="30"/>
        <v>L</v>
      </c>
      <c r="M50" s="816">
        <f t="shared" si="31"/>
        <v>1</v>
      </c>
      <c r="N50" s="816" t="str">
        <f t="shared" si="32"/>
        <v>U</v>
      </c>
      <c r="O50" s="816">
        <f t="shared" si="21"/>
        <v>0.5</v>
      </c>
      <c r="P50" s="829">
        <f t="shared" si="23"/>
        <v>-1</v>
      </c>
      <c r="Q50" s="830">
        <v>-0.7</v>
      </c>
      <c r="R50" s="871">
        <f t="shared" si="43"/>
        <v>-0.30000000000000004</v>
      </c>
      <c r="S50" s="830">
        <v>2.38</v>
      </c>
      <c r="T50" s="871">
        <f t="shared" si="25"/>
        <v>-1.38</v>
      </c>
      <c r="U50" s="868">
        <f t="shared" si="26"/>
        <v>0.84</v>
      </c>
      <c r="V50" s="868">
        <f t="shared" si="27"/>
        <v>1.54</v>
      </c>
      <c r="W50" s="829">
        <v>10</v>
      </c>
      <c r="X50" s="829">
        <v>9</v>
      </c>
      <c r="Y50" s="829">
        <v>2</v>
      </c>
      <c r="Z50" s="829">
        <v>3</v>
      </c>
      <c r="AA50" s="829">
        <v>43</v>
      </c>
      <c r="AB50" s="829">
        <v>57</v>
      </c>
      <c r="AC50" s="829"/>
      <c r="AD50" s="816" t="str">
        <f t="array" ref="AD50">IF($J50="","",IF(SUM(IF(ISNUMBER(VALUE(RIGHT($AG50:$DY50,1))),VALUE(RIGHT($AG50:$DY50,1)),0))=$J50,"T","F"))</f>
        <v>T</v>
      </c>
      <c r="AE50" s="831">
        <f t="array" ref="AE50">IF($J50="","",SUM(IF(LEFT($AG50:$DY50,1)="s",1,0))-SUM(IF(RIGHT(LEFT($AG50:$DY50,2))="-",1,0)))</f>
        <v>0</v>
      </c>
      <c r="AF50" s="816">
        <f t="array" ref="AF50">IF($J50="","",SUM(IF(LEFT($AG50:$DY50,1)="X",1,0)))</f>
        <v>11</v>
      </c>
      <c r="AG50" s="891" t="s">
        <v>1877</v>
      </c>
      <c r="AH50" s="891" t="s">
        <v>32</v>
      </c>
      <c r="AI50" s="891" t="s">
        <v>32</v>
      </c>
      <c r="AJ50" s="891" t="s">
        <v>34</v>
      </c>
      <c r="AK50" s="891" t="s">
        <v>34</v>
      </c>
      <c r="AL50" s="891" t="s">
        <v>32</v>
      </c>
      <c r="AM50" s="891" t="s">
        <v>1877</v>
      </c>
      <c r="AN50" s="891" t="s">
        <v>32</v>
      </c>
      <c r="AO50" s="891" t="s">
        <v>36</v>
      </c>
      <c r="AP50" s="891" t="s">
        <v>32</v>
      </c>
      <c r="AQ50" s="891" t="s">
        <v>32</v>
      </c>
      <c r="AR50" s="891" t="s">
        <v>34</v>
      </c>
      <c r="AS50" s="891" t="s">
        <v>32</v>
      </c>
      <c r="AT50" s="891" t="s">
        <v>32</v>
      </c>
      <c r="AU50" s="891" t="s">
        <v>34</v>
      </c>
      <c r="AV50" s="891" t="s">
        <v>35</v>
      </c>
      <c r="AW50" s="891" t="s">
        <v>34</v>
      </c>
      <c r="AX50" s="891" t="s">
        <v>32</v>
      </c>
      <c r="AY50" s="891" t="s">
        <v>34</v>
      </c>
      <c r="AZ50" s="891" t="s">
        <v>36</v>
      </c>
      <c r="BA50" s="891" t="s">
        <v>3001</v>
      </c>
      <c r="BB50" s="891" t="s">
        <v>1877</v>
      </c>
      <c r="BC50" s="891"/>
      <c r="BD50" s="891" t="s">
        <v>34</v>
      </c>
      <c r="BE50" s="891" t="s">
        <v>3002</v>
      </c>
      <c r="BF50" s="891" t="s">
        <v>32</v>
      </c>
      <c r="BG50" s="891" t="s">
        <v>32</v>
      </c>
      <c r="BH50" s="891" t="s">
        <v>35</v>
      </c>
      <c r="BI50" s="891" t="s">
        <v>32</v>
      </c>
      <c r="BJ50" s="891" t="s">
        <v>1877</v>
      </c>
      <c r="BK50" s="891" t="s">
        <v>32</v>
      </c>
      <c r="BL50" s="891" t="s">
        <v>32</v>
      </c>
      <c r="BM50" s="891" t="s">
        <v>32</v>
      </c>
      <c r="BN50" s="891" t="s">
        <v>32</v>
      </c>
      <c r="BO50" s="891" t="s">
        <v>32</v>
      </c>
      <c r="BP50" s="891" t="s">
        <v>36</v>
      </c>
      <c r="BQ50" s="891" t="s">
        <v>35</v>
      </c>
      <c r="BR50" s="891" t="s">
        <v>32</v>
      </c>
      <c r="BS50" s="896" t="s">
        <v>34</v>
      </c>
      <c r="BT50" s="896" t="s">
        <v>32</v>
      </c>
      <c r="BU50" s="910" t="s">
        <v>32</v>
      </c>
      <c r="BV50" s="910" t="s">
        <v>32</v>
      </c>
      <c r="BW50" s="896" t="s">
        <v>32</v>
      </c>
      <c r="BX50" s="896"/>
      <c r="BY50" s="896"/>
      <c r="BZ50" s="896"/>
      <c r="CA50" s="896"/>
      <c r="CB50" s="896"/>
      <c r="CC50" s="896"/>
      <c r="CD50" s="896"/>
      <c r="CE50" s="896"/>
      <c r="CF50" s="896"/>
      <c r="CG50" s="428"/>
      <c r="CH50" s="428"/>
      <c r="CI50" s="428"/>
      <c r="CJ50" s="428"/>
    </row>
    <row r="51" spans="1:88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19</v>
      </c>
      <c r="G51" s="879" t="s">
        <v>885</v>
      </c>
      <c r="H51" s="879" t="s">
        <v>22</v>
      </c>
      <c r="I51" s="879" t="s">
        <v>891</v>
      </c>
      <c r="J51" s="846">
        <v>1</v>
      </c>
      <c r="K51" s="846">
        <v>2</v>
      </c>
      <c r="L51" s="816" t="str">
        <f t="shared" si="30"/>
        <v>L</v>
      </c>
      <c r="M51" s="816">
        <f t="shared" si="31"/>
        <v>3</v>
      </c>
      <c r="N51" s="816" t="str">
        <f t="shared" si="32"/>
        <v>O</v>
      </c>
      <c r="O51" s="816">
        <f t="shared" si="21"/>
        <v>0.25</v>
      </c>
      <c r="P51" s="829">
        <f t="shared" si="23"/>
        <v>-1</v>
      </c>
      <c r="Q51" s="830">
        <v>-0.15</v>
      </c>
      <c r="R51" s="871">
        <f t="shared" si="43"/>
        <v>-0.85</v>
      </c>
      <c r="S51" s="830">
        <v>2.65</v>
      </c>
      <c r="T51" s="871">
        <f t="shared" si="25"/>
        <v>0.35000000000000009</v>
      </c>
      <c r="U51" s="868">
        <f t="shared" si="26"/>
        <v>1.25</v>
      </c>
      <c r="V51" s="868">
        <f t="shared" si="27"/>
        <v>1.4</v>
      </c>
      <c r="W51" s="829">
        <v>19</v>
      </c>
      <c r="X51" s="829">
        <v>10</v>
      </c>
      <c r="Y51" s="829">
        <v>1</v>
      </c>
      <c r="Z51" s="829">
        <v>2</v>
      </c>
      <c r="AA51" s="829">
        <v>52</v>
      </c>
      <c r="AB51" s="829">
        <v>48</v>
      </c>
      <c r="AC51" s="829"/>
      <c r="AD51" s="816" t="str">
        <f t="array" ref="AD51">IF($J51="","",IF(SUM(IF(ISNUMBER(VALUE(RIGHT($AG51:$DY51,1))),VALUE(RIGHT($AG51:$DY51,1)),0))=$J51,"T","F"))</f>
        <v>T</v>
      </c>
      <c r="AE51" s="831">
        <f t="array" ref="AE51">IF($J51="","",SUM(IF(LEFT($AG51:$DY51,1)="s",1,0))-SUM(IF(RIGHT(LEFT($AG51:$DY51,2))="-",1,0)))</f>
        <v>0</v>
      </c>
      <c r="AF51" s="816">
        <f t="array" ref="AF51">IF($J51="","",SUM(IF(LEFT($AG51:$DY51,1)="X",1,0)))</f>
        <v>11</v>
      </c>
      <c r="AG51" s="891" t="s">
        <v>1877</v>
      </c>
      <c r="AH51" s="891" t="s">
        <v>32</v>
      </c>
      <c r="AI51" s="891" t="s">
        <v>32</v>
      </c>
      <c r="AJ51" s="891" t="s">
        <v>34</v>
      </c>
      <c r="AK51" s="891" t="s">
        <v>34</v>
      </c>
      <c r="AL51" s="891" t="s">
        <v>32</v>
      </c>
      <c r="AM51" s="891" t="s">
        <v>32</v>
      </c>
      <c r="AN51" s="891" t="s">
        <v>1877</v>
      </c>
      <c r="AO51" s="891" t="s">
        <v>32</v>
      </c>
      <c r="AP51" s="891" t="s">
        <v>32</v>
      </c>
      <c r="AQ51" s="891" t="s">
        <v>1877</v>
      </c>
      <c r="AR51" s="891" t="s">
        <v>34</v>
      </c>
      <c r="AS51" s="891" t="s">
        <v>32</v>
      </c>
      <c r="AT51" s="891" t="s">
        <v>32</v>
      </c>
      <c r="AU51" s="904" t="s">
        <v>34</v>
      </c>
      <c r="AV51" s="904" t="s">
        <v>35</v>
      </c>
      <c r="AW51" s="891" t="s">
        <v>34</v>
      </c>
      <c r="AX51" s="891" t="s">
        <v>32</v>
      </c>
      <c r="AY51" s="891" t="s">
        <v>34</v>
      </c>
      <c r="AZ51" s="891" t="s">
        <v>32</v>
      </c>
      <c r="BA51" s="891" t="s">
        <v>36</v>
      </c>
      <c r="BB51" s="891" t="s">
        <v>32</v>
      </c>
      <c r="BC51" s="891"/>
      <c r="BD51" s="891" t="s">
        <v>1877</v>
      </c>
      <c r="BE51" s="891" t="s">
        <v>34</v>
      </c>
      <c r="BF51" s="891" t="s">
        <v>32</v>
      </c>
      <c r="BG51" s="891" t="s">
        <v>32</v>
      </c>
      <c r="BH51" s="891" t="s">
        <v>36</v>
      </c>
      <c r="BI51" s="891" t="s">
        <v>32</v>
      </c>
      <c r="BJ51" s="891" t="s">
        <v>36</v>
      </c>
      <c r="BK51" s="891" t="s">
        <v>35</v>
      </c>
      <c r="BL51" s="891" t="s">
        <v>32</v>
      </c>
      <c r="BM51" s="891" t="s">
        <v>32</v>
      </c>
      <c r="BN51" s="891" t="s">
        <v>32</v>
      </c>
      <c r="BO51" s="891" t="s">
        <v>32</v>
      </c>
      <c r="BP51" s="891" t="s">
        <v>32</v>
      </c>
      <c r="BQ51" s="891" t="s">
        <v>35</v>
      </c>
      <c r="BR51" s="891" t="s">
        <v>32</v>
      </c>
      <c r="BS51" s="896" t="s">
        <v>3065</v>
      </c>
      <c r="BT51" s="896"/>
      <c r="BU51" s="910"/>
      <c r="BV51" s="910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428"/>
      <c r="CH51" s="428"/>
      <c r="CI51" s="428"/>
      <c r="CJ51" s="428"/>
    </row>
    <row r="52" spans="1:88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20</v>
      </c>
      <c r="G52" s="879" t="s">
        <v>882</v>
      </c>
      <c r="H52" s="879" t="s">
        <v>18</v>
      </c>
      <c r="I52" s="879" t="s">
        <v>891</v>
      </c>
      <c r="J52" s="846">
        <v>2</v>
      </c>
      <c r="K52" s="846">
        <v>3</v>
      </c>
      <c r="L52" s="816" t="str">
        <f t="shared" si="30"/>
        <v>L</v>
      </c>
      <c r="M52" s="816">
        <f t="shared" si="31"/>
        <v>5</v>
      </c>
      <c r="N52" s="816" t="str">
        <f t="shared" si="32"/>
        <v>O</v>
      </c>
      <c r="O52" s="816">
        <f t="shared" si="21"/>
        <v>0.5</v>
      </c>
      <c r="P52" s="829">
        <f t="shared" si="23"/>
        <v>-1</v>
      </c>
      <c r="Q52" s="830">
        <v>-0.55000000000000004</v>
      </c>
      <c r="R52" s="871">
        <f t="shared" si="43"/>
        <v>-0.44999999999999996</v>
      </c>
      <c r="S52" s="830">
        <v>2.7</v>
      </c>
      <c r="T52" s="871">
        <f t="shared" si="25"/>
        <v>2.2999999999999998</v>
      </c>
      <c r="U52" s="868">
        <f t="shared" si="26"/>
        <v>1.0750000000000002</v>
      </c>
      <c r="V52" s="868">
        <f t="shared" si="27"/>
        <v>1.625</v>
      </c>
      <c r="W52" s="829">
        <v>10</v>
      </c>
      <c r="X52" s="829">
        <v>13</v>
      </c>
      <c r="Y52" s="829">
        <v>6</v>
      </c>
      <c r="Z52" s="829">
        <v>6</v>
      </c>
      <c r="AA52" s="829">
        <v>43</v>
      </c>
      <c r="AB52" s="829">
        <v>57</v>
      </c>
      <c r="AC52" s="829"/>
      <c r="AD52" s="816" t="str">
        <f t="array" ref="AD52">IF($J52="","",IF(SUM(IF(ISNUMBER(VALUE(RIGHT($AG52:$DY52,1))),VALUE(RIGHT($AG52:$DY52,1)),0))=$J52,"T","F"))</f>
        <v>T</v>
      </c>
      <c r="AE52" s="831">
        <f t="array" ref="AE52">IF($J52="","",SUM(IF(LEFT($AG52:$DY52,1)="s",1,0))-SUM(IF(RIGHT(LEFT($AG52:$DY52,2))="-",1,0)))</f>
        <v>0</v>
      </c>
      <c r="AF52" s="816">
        <f t="array" ref="AF52">IF($J52="","",SUM(IF(LEFT($AG52:$DY52,1)="X",1,0)))</f>
        <v>11</v>
      </c>
      <c r="AG52" s="891" t="s">
        <v>34</v>
      </c>
      <c r="AH52" s="891" t="s">
        <v>32</v>
      </c>
      <c r="AI52" s="891" t="s">
        <v>1877</v>
      </c>
      <c r="AJ52" s="891" t="s">
        <v>32</v>
      </c>
      <c r="AK52" s="891" t="s">
        <v>34</v>
      </c>
      <c r="AL52" s="891" t="s">
        <v>32</v>
      </c>
      <c r="AM52" s="891" t="s">
        <v>1877</v>
      </c>
      <c r="AN52" s="891" t="s">
        <v>1877</v>
      </c>
      <c r="AO52" s="891" t="s">
        <v>32</v>
      </c>
      <c r="AP52" s="891" t="s">
        <v>32</v>
      </c>
      <c r="AQ52" s="891" t="s">
        <v>32</v>
      </c>
      <c r="AR52" s="891" t="s">
        <v>35</v>
      </c>
      <c r="AS52" s="891" t="s">
        <v>32</v>
      </c>
      <c r="AT52" s="891" t="s">
        <v>32</v>
      </c>
      <c r="AU52" s="904" t="s">
        <v>34</v>
      </c>
      <c r="AV52" s="891" t="s">
        <v>35</v>
      </c>
      <c r="AW52" s="904" t="s">
        <v>34</v>
      </c>
      <c r="AX52" s="891" t="s">
        <v>32</v>
      </c>
      <c r="AY52" s="891" t="s">
        <v>34</v>
      </c>
      <c r="AZ52" s="891" t="s">
        <v>32</v>
      </c>
      <c r="BA52" s="891" t="s">
        <v>36</v>
      </c>
      <c r="BB52" s="891" t="s">
        <v>32</v>
      </c>
      <c r="BC52" s="891"/>
      <c r="BD52" s="891" t="s">
        <v>3088</v>
      </c>
      <c r="BE52" s="891" t="s">
        <v>1877</v>
      </c>
      <c r="BF52" s="891" t="s">
        <v>32</v>
      </c>
      <c r="BG52" s="891" t="s">
        <v>32</v>
      </c>
      <c r="BH52" s="891" t="s">
        <v>34</v>
      </c>
      <c r="BI52" s="891" t="s">
        <v>32</v>
      </c>
      <c r="BJ52" s="891" t="s">
        <v>36</v>
      </c>
      <c r="BK52" s="891" t="s">
        <v>36</v>
      </c>
      <c r="BL52" s="891" t="s">
        <v>32</v>
      </c>
      <c r="BM52" s="891" t="s">
        <v>32</v>
      </c>
      <c r="BN52" s="891" t="s">
        <v>32</v>
      </c>
      <c r="BO52" s="891" t="s">
        <v>32</v>
      </c>
      <c r="BP52" s="891" t="s">
        <v>32</v>
      </c>
      <c r="BQ52" s="891" t="s">
        <v>35</v>
      </c>
      <c r="BR52" s="891" t="s">
        <v>32</v>
      </c>
      <c r="BS52" s="896" t="s">
        <v>3088</v>
      </c>
      <c r="BT52" s="896"/>
      <c r="BU52" s="910"/>
      <c r="BV52" s="910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428"/>
      <c r="CH52" s="428"/>
      <c r="CI52" s="428"/>
      <c r="CJ52" s="428"/>
    </row>
    <row r="53" spans="1:88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17</v>
      </c>
      <c r="G53" s="879" t="s">
        <v>875</v>
      </c>
      <c r="H53" s="879" t="s">
        <v>22</v>
      </c>
      <c r="I53" s="879" t="s">
        <v>891</v>
      </c>
      <c r="J53" s="846">
        <v>1</v>
      </c>
      <c r="K53" s="846">
        <v>1</v>
      </c>
      <c r="L53" s="816" t="str">
        <f t="shared" si="30"/>
        <v>D</v>
      </c>
      <c r="M53" s="816">
        <f t="shared" si="31"/>
        <v>2</v>
      </c>
      <c r="N53" s="816" t="str">
        <f t="shared" si="32"/>
        <v>U</v>
      </c>
      <c r="O53" s="816">
        <f t="shared" si="21"/>
        <v>0</v>
      </c>
      <c r="P53" s="829">
        <f t="shared" si="23"/>
        <v>0</v>
      </c>
      <c r="Q53" s="830">
        <v>-0.04</v>
      </c>
      <c r="R53" s="871">
        <f t="shared" si="43"/>
        <v>0.04</v>
      </c>
      <c r="S53" s="830">
        <v>2.54</v>
      </c>
      <c r="T53" s="871">
        <f t="shared" si="25"/>
        <v>-0.54</v>
      </c>
      <c r="U53" s="868">
        <f t="shared" si="26"/>
        <v>1.25</v>
      </c>
      <c r="V53" s="868">
        <f t="shared" si="27"/>
        <v>1.29</v>
      </c>
      <c r="W53" s="829">
        <v>7</v>
      </c>
      <c r="X53" s="829">
        <v>12</v>
      </c>
      <c r="Y53" s="829">
        <v>2</v>
      </c>
      <c r="Z53" s="829">
        <v>2</v>
      </c>
      <c r="AA53" s="829">
        <v>53</v>
      </c>
      <c r="AB53" s="829">
        <v>47</v>
      </c>
      <c r="AC53" s="829"/>
      <c r="AD53" s="816" t="str">
        <f t="array" ref="AD53">IF($J53="","",IF(SUM(IF(ISNUMBER(VALUE(RIGHT($AG53:$DY53,1))),VALUE(RIGHT($AG53:$DY53,1)),0))=$J53,"T","F"))</f>
        <v>T</v>
      </c>
      <c r="AE53" s="831">
        <f t="array" ref="AE53">IF($J53="","",SUM(IF(LEFT($AG53:$DY53,1)="s",1,0))-SUM(IF(RIGHT(LEFT($AG53:$DY53,2))="-",1,0)))</f>
        <v>0</v>
      </c>
      <c r="AF53" s="816">
        <f t="array" ref="AF53">IF($J53="","",SUM(IF(LEFT($AG53:$DY53,1)="X",1,0)))</f>
        <v>11</v>
      </c>
      <c r="AG53" s="891" t="s">
        <v>34</v>
      </c>
      <c r="AH53" s="891" t="s">
        <v>32</v>
      </c>
      <c r="AI53" s="891" t="s">
        <v>1877</v>
      </c>
      <c r="AJ53" s="891" t="s">
        <v>32</v>
      </c>
      <c r="AK53" s="891" t="s">
        <v>34</v>
      </c>
      <c r="AL53" s="891" t="s">
        <v>32</v>
      </c>
      <c r="AM53" s="891" t="s">
        <v>1877</v>
      </c>
      <c r="AN53" s="891" t="s">
        <v>35</v>
      </c>
      <c r="AO53" s="891" t="s">
        <v>32</v>
      </c>
      <c r="AP53" s="891" t="s">
        <v>32</v>
      </c>
      <c r="AQ53" s="891" t="s">
        <v>32</v>
      </c>
      <c r="AR53" s="891" t="s">
        <v>36</v>
      </c>
      <c r="AS53" s="891" t="s">
        <v>32</v>
      </c>
      <c r="AT53" s="891" t="s">
        <v>32</v>
      </c>
      <c r="AU53" s="891" t="s">
        <v>34</v>
      </c>
      <c r="AV53" s="891" t="s">
        <v>34</v>
      </c>
      <c r="AW53" s="891" t="s">
        <v>3119</v>
      </c>
      <c r="AX53" s="891" t="s">
        <v>36</v>
      </c>
      <c r="AY53" s="891" t="s">
        <v>34</v>
      </c>
      <c r="AZ53" s="891" t="s">
        <v>32</v>
      </c>
      <c r="BA53" s="891" t="s">
        <v>35</v>
      </c>
      <c r="BB53" s="891" t="s">
        <v>32</v>
      </c>
      <c r="BC53" s="891"/>
      <c r="BD53" s="891" t="s">
        <v>34</v>
      </c>
      <c r="BE53" s="891" t="s">
        <v>34</v>
      </c>
      <c r="BF53" s="891" t="s">
        <v>32</v>
      </c>
      <c r="BG53" s="891" t="s">
        <v>32</v>
      </c>
      <c r="BH53" s="891" t="s">
        <v>1877</v>
      </c>
      <c r="BI53" s="891" t="s">
        <v>32</v>
      </c>
      <c r="BJ53" s="891" t="s">
        <v>36</v>
      </c>
      <c r="BK53" s="891" t="s">
        <v>35</v>
      </c>
      <c r="BL53" s="891" t="s">
        <v>32</v>
      </c>
      <c r="BM53" s="891" t="s">
        <v>32</v>
      </c>
      <c r="BN53" s="891" t="s">
        <v>32</v>
      </c>
      <c r="BO53" s="891" t="s">
        <v>32</v>
      </c>
      <c r="BP53" s="891" t="s">
        <v>32</v>
      </c>
      <c r="BQ53" s="891" t="s">
        <v>1877</v>
      </c>
      <c r="BR53" s="891" t="s">
        <v>32</v>
      </c>
      <c r="BS53" s="896" t="s">
        <v>3114</v>
      </c>
      <c r="BT53" s="896" t="s">
        <v>32</v>
      </c>
      <c r="BU53" s="910" t="s">
        <v>32</v>
      </c>
      <c r="BV53" s="910" t="s">
        <v>32</v>
      </c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428"/>
      <c r="CH53" s="428"/>
      <c r="CI53" s="428"/>
      <c r="CJ53" s="428"/>
    </row>
    <row r="54" spans="1:88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</v>
      </c>
      <c r="G54" s="879" t="s">
        <v>1086</v>
      </c>
      <c r="H54" s="879" t="s">
        <v>22</v>
      </c>
      <c r="I54" s="879" t="s">
        <v>891</v>
      </c>
      <c r="J54" s="846">
        <v>0</v>
      </c>
      <c r="K54" s="846">
        <v>2</v>
      </c>
      <c r="L54" s="816" t="str">
        <f t="shared" si="30"/>
        <v>L</v>
      </c>
      <c r="M54" s="816">
        <f t="shared" si="31"/>
        <v>2</v>
      </c>
      <c r="N54" s="816" t="str">
        <f t="shared" si="32"/>
        <v>U</v>
      </c>
      <c r="O54" s="816">
        <f t="shared" si="21"/>
        <v>0.75</v>
      </c>
      <c r="P54" s="829">
        <f t="shared" si="23"/>
        <v>-1</v>
      </c>
      <c r="Q54" s="830">
        <v>-0.87</v>
      </c>
      <c r="R54" s="871">
        <f t="shared" si="43"/>
        <v>-1.1299999999999999</v>
      </c>
      <c r="S54" s="830">
        <v>2.4900000000000002</v>
      </c>
      <c r="T54" s="871">
        <f t="shared" si="25"/>
        <v>-0.49000000000000021</v>
      </c>
      <c r="U54" s="868">
        <f t="shared" si="26"/>
        <v>0.81</v>
      </c>
      <c r="V54" s="868">
        <f t="shared" si="27"/>
        <v>1.6800000000000002</v>
      </c>
      <c r="W54" s="829">
        <v>10</v>
      </c>
      <c r="X54" s="829">
        <v>14</v>
      </c>
      <c r="Y54" s="829">
        <v>2</v>
      </c>
      <c r="Z54" s="829">
        <v>6</v>
      </c>
      <c r="AA54" s="829">
        <v>55</v>
      </c>
      <c r="AB54" s="829">
        <v>45</v>
      </c>
      <c r="AC54" s="829"/>
      <c r="AD54" s="816" t="str">
        <f t="array" ref="AD54">IF($J54="","",IF(SUM(IF(ISNUMBER(VALUE(RIGHT($AG54:$DY54,1))),VALUE(RIGHT($AG54:$DY54,1)),0))=$J54,"T","F"))</f>
        <v>T</v>
      </c>
      <c r="AE54" s="831">
        <f t="array" ref="AE54">IF($J54="","",SUM(IF(LEFT($AG54:$DY54,1)="s",1,0))-SUM(IF(RIGHT(LEFT($AG54:$DY54,2))="-",1,0)))</f>
        <v>0</v>
      </c>
      <c r="AF54" s="816">
        <f t="array" ref="AF54">IF($J54="","",SUM(IF(LEFT($AG54:$DY54,1)="X",1,0)))</f>
        <v>11</v>
      </c>
      <c r="AG54" s="891" t="s">
        <v>34</v>
      </c>
      <c r="AH54" s="891" t="s">
        <v>32</v>
      </c>
      <c r="AI54" s="891" t="s">
        <v>32</v>
      </c>
      <c r="AJ54" s="891" t="s">
        <v>1877</v>
      </c>
      <c r="AK54" s="904" t="s">
        <v>35</v>
      </c>
      <c r="AL54" s="891" t="s">
        <v>32</v>
      </c>
      <c r="AM54" s="891" t="s">
        <v>32</v>
      </c>
      <c r="AN54" s="891" t="s">
        <v>34</v>
      </c>
      <c r="AO54" s="891" t="s">
        <v>32</v>
      </c>
      <c r="AP54" s="891" t="s">
        <v>32</v>
      </c>
      <c r="AQ54" s="891" t="s">
        <v>1877</v>
      </c>
      <c r="AR54" s="891" t="s">
        <v>32</v>
      </c>
      <c r="AS54" s="891" t="s">
        <v>32</v>
      </c>
      <c r="AT54" s="891" t="s">
        <v>32</v>
      </c>
      <c r="AU54" s="891" t="s">
        <v>34</v>
      </c>
      <c r="AV54" s="891" t="s">
        <v>35</v>
      </c>
      <c r="AW54" s="891" t="s">
        <v>1877</v>
      </c>
      <c r="AX54" s="891" t="s">
        <v>34</v>
      </c>
      <c r="AY54" s="891" t="s">
        <v>34</v>
      </c>
      <c r="AZ54" s="891" t="s">
        <v>32</v>
      </c>
      <c r="BA54" s="891" t="s">
        <v>36</v>
      </c>
      <c r="BB54" s="891" t="s">
        <v>32</v>
      </c>
      <c r="BC54" s="891"/>
      <c r="BD54" s="891" t="s">
        <v>35</v>
      </c>
      <c r="BE54" s="891" t="s">
        <v>34</v>
      </c>
      <c r="BF54" s="891" t="s">
        <v>32</v>
      </c>
      <c r="BG54" s="891" t="s">
        <v>32</v>
      </c>
      <c r="BH54" s="891" t="s">
        <v>34</v>
      </c>
      <c r="BI54" s="891" t="s">
        <v>32</v>
      </c>
      <c r="BJ54" s="891" t="s">
        <v>36</v>
      </c>
      <c r="BK54" s="891" t="s">
        <v>1877</v>
      </c>
      <c r="BL54" s="891" t="s">
        <v>32</v>
      </c>
      <c r="BM54" s="891" t="s">
        <v>32</v>
      </c>
      <c r="BN54" s="891" t="s">
        <v>32</v>
      </c>
      <c r="BO54" s="891" t="s">
        <v>32</v>
      </c>
      <c r="BP54" s="891" t="s">
        <v>32</v>
      </c>
      <c r="BQ54" s="891" t="s">
        <v>36</v>
      </c>
      <c r="BR54" s="891" t="s">
        <v>32</v>
      </c>
      <c r="BS54" s="896" t="s">
        <v>34</v>
      </c>
      <c r="BT54" s="896" t="s">
        <v>32</v>
      </c>
      <c r="BU54" s="910" t="s">
        <v>32</v>
      </c>
      <c r="BV54" s="910" t="s">
        <v>32</v>
      </c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428"/>
      <c r="CH54" s="428"/>
      <c r="CI54" s="428"/>
      <c r="CJ54" s="428"/>
    </row>
    <row r="55" spans="1:88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9</v>
      </c>
      <c r="G55" s="879" t="s">
        <v>1083</v>
      </c>
      <c r="H55" s="879" t="s">
        <v>18</v>
      </c>
      <c r="I55" s="879" t="s">
        <v>891</v>
      </c>
      <c r="J55" s="846">
        <v>0</v>
      </c>
      <c r="K55" s="846">
        <v>1</v>
      </c>
      <c r="L55" s="816" t="str">
        <f t="shared" si="30"/>
        <v>L</v>
      </c>
      <c r="M55" s="816">
        <f t="shared" si="31"/>
        <v>1</v>
      </c>
      <c r="N55" s="816" t="str">
        <f t="shared" si="32"/>
        <v>U</v>
      </c>
      <c r="O55" s="816">
        <f t="shared" ref="O55" si="44">IF(Q55="","",IF(SIGN(Q55)&lt;&gt;1,VLOOKUP(ABS(Q55),SUP_HDC,3,TRUE),-VLOOKUP(ABS(Q55),SUP_HDC,3,TRUE)))</f>
        <v>0.75</v>
      </c>
      <c r="P55" s="829">
        <f t="shared" ref="P55" si="45">IF(O55="","",IF((J55-K55+O55)&gt;=0.5,1,IF((J55-K55+O55)=0.25,0.5,IF((J55-K55+O55)&lt;=-0.5,-1,IF((J55-K55+O55)=-0.25,-0.5,0)))))</f>
        <v>-0.5</v>
      </c>
      <c r="Q55" s="830">
        <v>-0.85</v>
      </c>
      <c r="R55" s="871">
        <f t="shared" ref="R55" si="46">IF(ISBLANK(Q55),"",J55-K55-Q55)</f>
        <v>-0.15000000000000002</v>
      </c>
      <c r="S55" s="830">
        <v>2.83</v>
      </c>
      <c r="T55" s="871">
        <f t="shared" ref="T55" si="47">IF(ISBLANK(S55),"",J55+K55-S55)</f>
        <v>-1.83</v>
      </c>
      <c r="U55" s="868">
        <f t="shared" ref="U55" si="48">IF(Q55="","",(Q55+S55)/2)</f>
        <v>0.99</v>
      </c>
      <c r="V55" s="868">
        <f t="shared" ref="V55" si="49">IF(Q55="","",S55-U55)</f>
        <v>1.84</v>
      </c>
      <c r="W55" s="829">
        <v>12</v>
      </c>
      <c r="X55" s="829">
        <v>14</v>
      </c>
      <c r="Y55" s="829">
        <v>3</v>
      </c>
      <c r="Z55" s="829">
        <v>3</v>
      </c>
      <c r="AA55" s="829">
        <v>48</v>
      </c>
      <c r="AB55" s="829">
        <v>52</v>
      </c>
      <c r="AC55" s="829"/>
      <c r="AD55" s="816" t="str">
        <f t="array" ref="AD55">IF($J55="","",IF(SUM(IF(ISNUMBER(VALUE(RIGHT($AG55:$DY55,1))),VALUE(RIGHT($AG55:$DY55,1)),0))=$J55,"T","F"))</f>
        <v>T</v>
      </c>
      <c r="AE55" s="831">
        <f t="array" ref="AE55">IF($J55="","",SUM(IF(LEFT($AG55:$DY55,1)="s",1,0))-SUM(IF(RIGHT(LEFT($AG55:$DY55,2))="-",1,0)))</f>
        <v>0</v>
      </c>
      <c r="AF55" s="816">
        <f t="array" ref="AF55">IF($J55="","",SUM(IF(LEFT($AG55:$DY55,1)="X",1,0)))</f>
        <v>11</v>
      </c>
      <c r="AG55" s="891" t="s">
        <v>34</v>
      </c>
      <c r="AH55" s="891" t="s">
        <v>32</v>
      </c>
      <c r="AI55" s="891" t="s">
        <v>32</v>
      </c>
      <c r="AJ55" s="891" t="s">
        <v>1877</v>
      </c>
      <c r="AK55" s="891" t="s">
        <v>34</v>
      </c>
      <c r="AL55" s="891" t="s">
        <v>32</v>
      </c>
      <c r="AM55" s="891" t="s">
        <v>32</v>
      </c>
      <c r="AN55" s="891" t="s">
        <v>35</v>
      </c>
      <c r="AO55" s="891" t="s">
        <v>32</v>
      </c>
      <c r="AP55" s="891" t="s">
        <v>32</v>
      </c>
      <c r="AQ55" s="891" t="s">
        <v>1877</v>
      </c>
      <c r="AR55" s="891" t="s">
        <v>32</v>
      </c>
      <c r="AS55" s="891" t="s">
        <v>32</v>
      </c>
      <c r="AT55" s="891" t="s">
        <v>32</v>
      </c>
      <c r="AU55" s="891" t="s">
        <v>34</v>
      </c>
      <c r="AV55" s="891" t="s">
        <v>35</v>
      </c>
      <c r="AW55" s="891" t="s">
        <v>1877</v>
      </c>
      <c r="AX55" s="891" t="s">
        <v>34</v>
      </c>
      <c r="AY55" s="904" t="s">
        <v>34</v>
      </c>
      <c r="AZ55" s="891" t="s">
        <v>32</v>
      </c>
      <c r="BA55" s="891" t="s">
        <v>36</v>
      </c>
      <c r="BB55" s="891" t="s">
        <v>32</v>
      </c>
      <c r="BC55" s="891"/>
      <c r="BD55" s="891" t="s">
        <v>34</v>
      </c>
      <c r="BE55" s="891" t="s">
        <v>34</v>
      </c>
      <c r="BF55" s="891" t="s">
        <v>32</v>
      </c>
      <c r="BG55" s="891" t="s">
        <v>32</v>
      </c>
      <c r="BH55" s="891" t="s">
        <v>35</v>
      </c>
      <c r="BI55" s="891" t="s">
        <v>32</v>
      </c>
      <c r="BJ55" s="891" t="s">
        <v>36</v>
      </c>
      <c r="BK55" s="891" t="s">
        <v>1877</v>
      </c>
      <c r="BL55" s="891" t="s">
        <v>32</v>
      </c>
      <c r="BM55" s="891" t="s">
        <v>32</v>
      </c>
      <c r="BN55" s="891" t="s">
        <v>32</v>
      </c>
      <c r="BO55" s="891" t="s">
        <v>32</v>
      </c>
      <c r="BP55" s="891" t="s">
        <v>32</v>
      </c>
      <c r="BQ55" s="891" t="s">
        <v>36</v>
      </c>
      <c r="BR55" s="891" t="s">
        <v>32</v>
      </c>
      <c r="BS55" s="896" t="s">
        <v>34</v>
      </c>
      <c r="BT55" s="896"/>
      <c r="BU55" s="910"/>
      <c r="BV55" s="910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428"/>
      <c r="CH55" s="428"/>
      <c r="CI55" s="428"/>
      <c r="CJ55" s="428"/>
    </row>
    <row r="56" spans="1:88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6</v>
      </c>
      <c r="G56" s="879" t="s">
        <v>876</v>
      </c>
      <c r="H56" s="879" t="s">
        <v>22</v>
      </c>
      <c r="I56" s="879" t="s">
        <v>891</v>
      </c>
      <c r="J56" s="846">
        <v>2</v>
      </c>
      <c r="K56" s="908">
        <v>0</v>
      </c>
      <c r="L56" s="816" t="str">
        <f t="shared" si="30"/>
        <v>W</v>
      </c>
      <c r="M56" s="816">
        <f t="shared" si="31"/>
        <v>2</v>
      </c>
      <c r="N56" s="816" t="str">
        <f t="shared" si="32"/>
        <v>U</v>
      </c>
      <c r="O56" s="816">
        <f t="shared" ref="O56" si="50">IF(Q56="","",IF(SIGN(Q56)&lt;&gt;1,VLOOKUP(ABS(Q56),SUP_HDC,3,TRUE),-VLOOKUP(ABS(Q56),SUP_HDC,3,TRUE)))</f>
        <v>0.75</v>
      </c>
      <c r="P56" s="829">
        <f t="shared" ref="P56" si="51">IF(O56="","",IF((J56-K56+O56)&gt;=0.5,1,IF((J56-K56+O56)=0.25,0.5,IF((J56-K56+O56)&lt;=-0.5,-1,IF((J56-K56+O56)=-0.25,-0.5,0)))))</f>
        <v>1</v>
      </c>
      <c r="Q56" s="830">
        <v>-0.88</v>
      </c>
      <c r="R56" s="871">
        <f t="shared" ref="R56" si="52">IF(ISBLANK(Q56),"",J56-K56-Q56)</f>
        <v>2.88</v>
      </c>
      <c r="S56" s="830">
        <v>2.9</v>
      </c>
      <c r="T56" s="871">
        <f t="shared" ref="T56" si="53">IF(ISBLANK(S56),"",J56+K56-S56)</f>
        <v>-0.89999999999999991</v>
      </c>
      <c r="U56" s="868">
        <f t="shared" ref="U56" si="54">IF(Q56="","",(Q56+S56)/2)</f>
        <v>1.01</v>
      </c>
      <c r="V56" s="868">
        <f t="shared" ref="V56" si="55">IF(Q56="","",S56-U56)</f>
        <v>1.89</v>
      </c>
      <c r="W56" s="829">
        <v>5</v>
      </c>
      <c r="X56" s="829">
        <v>26</v>
      </c>
      <c r="Y56" s="829">
        <v>2</v>
      </c>
      <c r="Z56" s="829">
        <v>5</v>
      </c>
      <c r="AA56" s="829">
        <v>32</v>
      </c>
      <c r="AB56" s="829">
        <v>68</v>
      </c>
      <c r="AC56" s="829"/>
      <c r="AD56" s="816" t="str">
        <f t="array" ref="AD56">IF($J56="","",IF(SUM(IF(ISNUMBER(VALUE(RIGHT($AG56:$DY56,1))),VALUE(RIGHT($AG56:$DY56,1)),0))=$J56,"T","F"))</f>
        <v>T</v>
      </c>
      <c r="AE56" s="831">
        <f t="array" ref="AE56">IF($J56="","",SUM(IF(LEFT($AG56:$DY56,1)="s",1,0))-SUM(IF(RIGHT(LEFT($AG56:$DY56,2))="-",1,0)))</f>
        <v>0</v>
      </c>
      <c r="AF56" s="816">
        <f t="array" ref="AF56">IF($J56="","",SUM(IF(LEFT($AG56:$DY56,1)="X",1,0)))</f>
        <v>11</v>
      </c>
      <c r="AG56" s="891" t="s">
        <v>34</v>
      </c>
      <c r="AH56" s="891" t="s">
        <v>32</v>
      </c>
      <c r="AI56" s="891" t="s">
        <v>32</v>
      </c>
      <c r="AJ56" s="891" t="s">
        <v>1877</v>
      </c>
      <c r="AK56" s="904" t="s">
        <v>34</v>
      </c>
      <c r="AL56" s="891" t="s">
        <v>32</v>
      </c>
      <c r="AM56" s="891" t="s">
        <v>32</v>
      </c>
      <c r="AN56" s="891" t="s">
        <v>34</v>
      </c>
      <c r="AO56" s="891" t="s">
        <v>32</v>
      </c>
      <c r="AP56" s="891" t="s">
        <v>32</v>
      </c>
      <c r="AQ56" s="891" t="s">
        <v>1877</v>
      </c>
      <c r="AR56" s="891" t="s">
        <v>3226</v>
      </c>
      <c r="AS56" s="891" t="s">
        <v>32</v>
      </c>
      <c r="AT56" s="891" t="s">
        <v>34</v>
      </c>
      <c r="AU56" s="891" t="s">
        <v>34</v>
      </c>
      <c r="AV56" s="891" t="s">
        <v>1877</v>
      </c>
      <c r="AW56" s="891" t="s">
        <v>3223</v>
      </c>
      <c r="AX56" s="891" t="s">
        <v>34</v>
      </c>
      <c r="AY56" s="891" t="s">
        <v>36</v>
      </c>
      <c r="AZ56" s="891" t="s">
        <v>32</v>
      </c>
      <c r="BA56" s="907" t="s">
        <v>3242</v>
      </c>
      <c r="BB56" s="891" t="s">
        <v>32</v>
      </c>
      <c r="BC56" s="891"/>
      <c r="BD56" s="891" t="s">
        <v>34</v>
      </c>
      <c r="BE56" s="891" t="s">
        <v>34</v>
      </c>
      <c r="BF56" s="891" t="s">
        <v>32</v>
      </c>
      <c r="BG56" s="891" t="s">
        <v>32</v>
      </c>
      <c r="BH56" s="891" t="s">
        <v>1877</v>
      </c>
      <c r="BI56" s="891" t="s">
        <v>32</v>
      </c>
      <c r="BJ56" s="891" t="s">
        <v>35</v>
      </c>
      <c r="BK56" s="891" t="s">
        <v>36</v>
      </c>
      <c r="BL56" s="891" t="s">
        <v>32</v>
      </c>
      <c r="BM56" s="891" t="s">
        <v>32</v>
      </c>
      <c r="BN56" s="891" t="s">
        <v>32</v>
      </c>
      <c r="BO56" s="891" t="s">
        <v>32</v>
      </c>
      <c r="BP56" s="891" t="s">
        <v>32</v>
      </c>
      <c r="BQ56" s="891" t="s">
        <v>32</v>
      </c>
      <c r="BR56" s="891" t="s">
        <v>32</v>
      </c>
      <c r="BS56" s="896" t="s">
        <v>35</v>
      </c>
      <c r="BT56" s="896"/>
      <c r="BU56" s="910"/>
      <c r="BV56" s="910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428"/>
      <c r="CH56" s="428"/>
      <c r="CI56" s="428"/>
      <c r="CJ56" s="428"/>
    </row>
    <row r="57" spans="1:88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8</v>
      </c>
      <c r="G57" s="879" t="s">
        <v>880</v>
      </c>
      <c r="H57" s="879" t="s">
        <v>18</v>
      </c>
      <c r="I57" s="879" t="s">
        <v>891</v>
      </c>
      <c r="J57" s="846">
        <v>0</v>
      </c>
      <c r="K57" s="846">
        <v>3</v>
      </c>
      <c r="L57" s="816" t="str">
        <f t="shared" si="30"/>
        <v>L</v>
      </c>
      <c r="M57" s="816">
        <f t="shared" si="31"/>
        <v>3</v>
      </c>
      <c r="N57" s="816" t="str">
        <f t="shared" si="32"/>
        <v>O</v>
      </c>
      <c r="O57" s="816">
        <f t="shared" si="21"/>
        <v>1.25</v>
      </c>
      <c r="P57" s="829">
        <f t="shared" si="23"/>
        <v>-1</v>
      </c>
      <c r="Q57" s="830">
        <v>-1.35</v>
      </c>
      <c r="R57" s="871">
        <f t="shared" si="43"/>
        <v>-1.65</v>
      </c>
      <c r="S57" s="830">
        <v>2.9</v>
      </c>
      <c r="T57" s="871">
        <f t="shared" si="25"/>
        <v>0.10000000000000009</v>
      </c>
      <c r="U57" s="868">
        <f t="shared" si="26"/>
        <v>0.77499999999999991</v>
      </c>
      <c r="V57" s="868">
        <f t="shared" si="27"/>
        <v>2.125</v>
      </c>
      <c r="W57" s="829">
        <v>8</v>
      </c>
      <c r="X57" s="829">
        <v>20</v>
      </c>
      <c r="Y57" s="829">
        <v>4</v>
      </c>
      <c r="Z57" s="829">
        <v>6</v>
      </c>
      <c r="AA57" s="829">
        <v>52</v>
      </c>
      <c r="AB57" s="829">
        <v>48</v>
      </c>
      <c r="AC57" s="829"/>
      <c r="AD57" s="816" t="str">
        <f t="array" ref="AD57">IF($J57="","",IF(SUM(IF(ISNUMBER(VALUE(RIGHT($AG57:$DY57,1))),VALUE(RIGHT($AG57:$DY57,1)),0))=$J57,"T","F"))</f>
        <v>T</v>
      </c>
      <c r="AE57" s="831">
        <f t="array" ref="AE57">IF($J57="","",SUM(IF(LEFT($AG57:$DY57,1)="s",1,0))-SUM(IF(RIGHT(LEFT($AG57:$DY57,2))="-",1,0)))</f>
        <v>0</v>
      </c>
      <c r="AF57" s="816">
        <f t="array" ref="AF57">IF($J57="","",SUM(IF(LEFT($AG57:$DY57,1)="X",1,0)))</f>
        <v>11</v>
      </c>
      <c r="AG57" s="891" t="s">
        <v>34</v>
      </c>
      <c r="AH57" s="891" t="s">
        <v>32</v>
      </c>
      <c r="AI57" s="891" t="s">
        <v>32</v>
      </c>
      <c r="AJ57" s="891" t="s">
        <v>1877</v>
      </c>
      <c r="AK57" s="891" t="s">
        <v>34</v>
      </c>
      <c r="AL57" s="891" t="s">
        <v>32</v>
      </c>
      <c r="AM57" s="891" t="s">
        <v>32</v>
      </c>
      <c r="AN57" s="891" t="s">
        <v>35</v>
      </c>
      <c r="AO57" s="891" t="s">
        <v>32</v>
      </c>
      <c r="AP57" s="891" t="s">
        <v>32</v>
      </c>
      <c r="AQ57" s="891" t="s">
        <v>1877</v>
      </c>
      <c r="AR57" s="891" t="s">
        <v>3255</v>
      </c>
      <c r="AS57" s="891" t="s">
        <v>32</v>
      </c>
      <c r="AT57" s="891" t="s">
        <v>34</v>
      </c>
      <c r="AU57" s="891" t="s">
        <v>34</v>
      </c>
      <c r="AV57" s="891" t="s">
        <v>1877</v>
      </c>
      <c r="AW57" s="891" t="s">
        <v>35</v>
      </c>
      <c r="AX57" s="891" t="s">
        <v>34</v>
      </c>
      <c r="AY57" s="891" t="s">
        <v>36</v>
      </c>
      <c r="AZ57" s="891" t="s">
        <v>32</v>
      </c>
      <c r="BA57" s="904" t="s">
        <v>34</v>
      </c>
      <c r="BB57" s="891" t="s">
        <v>32</v>
      </c>
      <c r="BC57" s="891"/>
      <c r="BD57" s="891" t="s">
        <v>34</v>
      </c>
      <c r="BE57" s="891" t="s">
        <v>34</v>
      </c>
      <c r="BF57" s="891" t="s">
        <v>32</v>
      </c>
      <c r="BG57" s="891" t="s">
        <v>32</v>
      </c>
      <c r="BH57" s="891" t="s">
        <v>36</v>
      </c>
      <c r="BI57" s="891" t="s">
        <v>36</v>
      </c>
      <c r="BJ57" s="891" t="s">
        <v>35</v>
      </c>
      <c r="BK57" s="891" t="s">
        <v>1877</v>
      </c>
      <c r="BL57" s="891"/>
      <c r="BM57" s="891"/>
      <c r="BN57" s="891"/>
      <c r="BO57" s="891"/>
      <c r="BP57" s="891"/>
      <c r="BQ57" s="891"/>
      <c r="BR57" s="891"/>
      <c r="BS57" s="896"/>
      <c r="BT57" s="896"/>
      <c r="BU57" s="910"/>
      <c r="BV57" s="910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428"/>
      <c r="CH57" s="428"/>
      <c r="CI57" s="428"/>
      <c r="CJ57" s="428"/>
    </row>
    <row r="58" spans="1:88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14</v>
      </c>
      <c r="G58" s="879" t="s">
        <v>873</v>
      </c>
      <c r="H58" s="879" t="s">
        <v>18</v>
      </c>
      <c r="I58" s="879" t="s">
        <v>891</v>
      </c>
      <c r="J58" s="846">
        <v>0</v>
      </c>
      <c r="K58" s="846">
        <v>4</v>
      </c>
      <c r="L58" s="816" t="str">
        <f t="shared" si="30"/>
        <v>L</v>
      </c>
      <c r="M58" s="816">
        <f t="shared" si="31"/>
        <v>4</v>
      </c>
      <c r="N58" s="816" t="str">
        <f t="shared" si="32"/>
        <v>O</v>
      </c>
      <c r="O58" s="816">
        <f t="shared" si="21"/>
        <v>0.5</v>
      </c>
      <c r="P58" s="829">
        <f t="shared" si="23"/>
        <v>-1</v>
      </c>
      <c r="Q58" s="830">
        <v>-0.62</v>
      </c>
      <c r="R58" s="871">
        <f t="shared" si="43"/>
        <v>-3.38</v>
      </c>
      <c r="S58" s="830">
        <v>2.5499999999999998</v>
      </c>
      <c r="T58" s="871">
        <f t="shared" si="25"/>
        <v>1.4500000000000002</v>
      </c>
      <c r="U58" s="868">
        <f t="shared" si="26"/>
        <v>0.96499999999999986</v>
      </c>
      <c r="V58" s="868">
        <f t="shared" si="27"/>
        <v>1.585</v>
      </c>
      <c r="W58" s="829">
        <v>16</v>
      </c>
      <c r="X58" s="829">
        <v>18</v>
      </c>
      <c r="Y58" s="829">
        <v>1</v>
      </c>
      <c r="Z58" s="829">
        <v>11</v>
      </c>
      <c r="AA58" s="829">
        <v>53</v>
      </c>
      <c r="AB58" s="829">
        <v>47</v>
      </c>
      <c r="AC58" s="829"/>
      <c r="AD58" s="816" t="str">
        <f t="array" ref="AD58">IF($J58="","",IF(SUM(IF(ISNUMBER(VALUE(RIGHT($AG58:$DY58,1))),VALUE(RIGHT($AG58:$DY58,1)),0))=$J58,"T","F"))</f>
        <v>T</v>
      </c>
      <c r="AE58" s="831">
        <f t="array" ref="AE58">IF($J58="","",SUM(IF(LEFT($AG58:$DY58,1)="s",1,0))-SUM(IF(RIGHT(LEFT($AG58:$DY58,2))="-",1,0)))</f>
        <v>0</v>
      </c>
      <c r="AF58" s="816">
        <f t="array" ref="AF58">IF($J58="","",SUM(IF(LEFT($AG58:$DY58,1)="X",1,0)))</f>
        <v>11</v>
      </c>
      <c r="AG58" s="891" t="s">
        <v>34</v>
      </c>
      <c r="AH58" s="891" t="s">
        <v>32</v>
      </c>
      <c r="AI58" s="891" t="s">
        <v>32</v>
      </c>
      <c r="AJ58" s="891" t="s">
        <v>1877</v>
      </c>
      <c r="AK58" s="904" t="s">
        <v>34</v>
      </c>
      <c r="AL58" s="891" t="s">
        <v>32</v>
      </c>
      <c r="AM58" s="891" t="s">
        <v>32</v>
      </c>
      <c r="AN58" s="891" t="s">
        <v>34</v>
      </c>
      <c r="AO58" s="891" t="s">
        <v>32</v>
      </c>
      <c r="AP58" s="891" t="s">
        <v>32</v>
      </c>
      <c r="AQ58" s="891" t="s">
        <v>32</v>
      </c>
      <c r="AR58" s="891" t="s">
        <v>32</v>
      </c>
      <c r="AS58" s="891" t="s">
        <v>32</v>
      </c>
      <c r="AT58" s="891" t="s">
        <v>34</v>
      </c>
      <c r="AU58" s="891" t="s">
        <v>34</v>
      </c>
      <c r="AV58" s="891" t="s">
        <v>35</v>
      </c>
      <c r="AW58" s="891" t="s">
        <v>36</v>
      </c>
      <c r="AX58" s="891" t="s">
        <v>34</v>
      </c>
      <c r="AY58" s="891" t="s">
        <v>1877</v>
      </c>
      <c r="AZ58" s="891" t="s">
        <v>32</v>
      </c>
      <c r="BA58" s="891" t="s">
        <v>34</v>
      </c>
      <c r="BB58" s="891" t="s">
        <v>36</v>
      </c>
      <c r="BC58" s="891"/>
      <c r="BD58" s="891" t="s">
        <v>34</v>
      </c>
      <c r="BE58" s="891" t="s">
        <v>35</v>
      </c>
      <c r="BF58" s="891" t="s">
        <v>32</v>
      </c>
      <c r="BG58" s="891" t="s">
        <v>32</v>
      </c>
      <c r="BH58" s="891" t="s">
        <v>35</v>
      </c>
      <c r="BI58" s="891" t="s">
        <v>1877</v>
      </c>
      <c r="BJ58" s="891" t="s">
        <v>36</v>
      </c>
      <c r="BK58" s="891" t="s">
        <v>1877</v>
      </c>
      <c r="BL58" s="891"/>
      <c r="BM58" s="891"/>
      <c r="BN58" s="891"/>
      <c r="BO58" s="891"/>
      <c r="BP58" s="891"/>
      <c r="BQ58" s="891"/>
      <c r="BR58" s="891"/>
      <c r="BS58" s="896"/>
      <c r="BT58" s="896"/>
      <c r="BU58" s="910"/>
      <c r="BV58" s="910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428"/>
      <c r="CH58" s="428"/>
      <c r="CI58" s="428"/>
      <c r="CJ58" s="428"/>
    </row>
    <row r="59" spans="1:88" ht="15">
      <c r="A59" s="882">
        <v>6483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10</v>
      </c>
      <c r="G59" s="879" t="s">
        <v>883</v>
      </c>
      <c r="H59" s="879" t="s">
        <v>22</v>
      </c>
      <c r="I59" s="879" t="s">
        <v>891</v>
      </c>
      <c r="J59" s="846">
        <v>1</v>
      </c>
      <c r="K59" s="846">
        <v>1</v>
      </c>
      <c r="L59" s="816" t="str">
        <f t="shared" si="30"/>
        <v>D</v>
      </c>
      <c r="M59" s="816">
        <f t="shared" si="31"/>
        <v>2</v>
      </c>
      <c r="N59" s="816" t="str">
        <f t="shared" si="32"/>
        <v>U</v>
      </c>
      <c r="O59" s="816">
        <f t="shared" ref="O59:O66" si="56">IF(Q59="","",IF(SIGN(Q59)&lt;&gt;1,VLOOKUP(ABS(Q59),SUP_HDC,3,TRUE),-VLOOKUP(ABS(Q59),SUP_HDC,3,TRUE)))</f>
        <v>0.75</v>
      </c>
      <c r="P59" s="829">
        <f t="shared" ref="P59:P66" si="57">IF(O59="","",IF((J59-K59+O59)&gt;=0.5,1,IF((J59-K59+O59)=0.25,0.5,IF((J59-K59+O59)&lt;=-0.5,-1,IF((J59-K59+O59)=-0.25,-0.5,0)))))</f>
        <v>1</v>
      </c>
      <c r="Q59" s="830">
        <v>-0.83</v>
      </c>
      <c r="R59" s="871">
        <f t="shared" si="43"/>
        <v>0.83</v>
      </c>
      <c r="S59" s="830">
        <v>2.5299999999999998</v>
      </c>
      <c r="T59" s="871">
        <f t="shared" si="25"/>
        <v>-0.5299999999999998</v>
      </c>
      <c r="U59" s="868">
        <f t="shared" ref="U59:U68" si="58">IF(Q59="","",(Q59+S59)/2)</f>
        <v>0.84999999999999987</v>
      </c>
      <c r="V59" s="868">
        <f t="shared" ref="V59:V68" si="59">IF(Q59="","",S59-U59)</f>
        <v>1.68</v>
      </c>
      <c r="W59" s="829">
        <v>9</v>
      </c>
      <c r="X59" s="829">
        <v>26</v>
      </c>
      <c r="Y59" s="829">
        <v>4</v>
      </c>
      <c r="Z59" s="829">
        <v>9</v>
      </c>
      <c r="AA59" s="829">
        <v>35</v>
      </c>
      <c r="AB59" s="829">
        <v>65</v>
      </c>
      <c r="AC59" s="829"/>
      <c r="AD59" s="816" t="str">
        <f t="array" ref="AD59">IF($J59="","",IF(SUM(IF(ISNUMBER(VALUE(RIGHT($AG59:$CK59,1))),VALUE(RIGHT($AG59:$CK59,1)),0))=$J59,"T","F"))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IF($J59="","",SUM(IF(LEFT($AG59:$DC59,1)="X",1,0)))</f>
        <v>11</v>
      </c>
      <c r="AG59" s="904" t="s">
        <v>34</v>
      </c>
      <c r="AH59" s="891" t="s">
        <v>32</v>
      </c>
      <c r="AI59" s="891" t="s">
        <v>32</v>
      </c>
      <c r="AJ59" s="891" t="s">
        <v>1877</v>
      </c>
      <c r="AK59" s="891" t="s">
        <v>3363</v>
      </c>
      <c r="AL59" s="891" t="s">
        <v>32</v>
      </c>
      <c r="AM59" s="891" t="s">
        <v>32</v>
      </c>
      <c r="AN59" s="891" t="s">
        <v>34</v>
      </c>
      <c r="AO59" s="891" t="s">
        <v>32</v>
      </c>
      <c r="AP59" s="891" t="s">
        <v>32</v>
      </c>
      <c r="AQ59" s="891" t="s">
        <v>1877</v>
      </c>
      <c r="AR59" s="891" t="s">
        <v>32</v>
      </c>
      <c r="AS59" s="891" t="s">
        <v>32</v>
      </c>
      <c r="AT59" s="891" t="s">
        <v>34</v>
      </c>
      <c r="AU59" s="891" t="s">
        <v>34</v>
      </c>
      <c r="AV59" s="891" t="s">
        <v>36</v>
      </c>
      <c r="AW59" s="891" t="s">
        <v>1877</v>
      </c>
      <c r="AX59" s="891" t="s">
        <v>35</v>
      </c>
      <c r="AY59" s="891" t="s">
        <v>34</v>
      </c>
      <c r="AZ59" s="891" t="s">
        <v>32</v>
      </c>
      <c r="BA59" s="891" t="s">
        <v>35</v>
      </c>
      <c r="BB59" s="891" t="s">
        <v>1877</v>
      </c>
      <c r="BC59" s="891"/>
      <c r="BD59" s="891" t="s">
        <v>34</v>
      </c>
      <c r="BE59" s="891" t="s">
        <v>34</v>
      </c>
      <c r="BF59" s="891" t="s">
        <v>32</v>
      </c>
      <c r="BG59" s="891" t="s">
        <v>32</v>
      </c>
      <c r="BH59" s="891" t="s">
        <v>3356</v>
      </c>
      <c r="BI59" s="891" t="s">
        <v>36</v>
      </c>
      <c r="BJ59" s="891" t="s">
        <v>36</v>
      </c>
      <c r="BK59" s="891" t="s">
        <v>35</v>
      </c>
      <c r="BL59" s="891"/>
      <c r="BM59" s="891"/>
      <c r="BN59" s="891"/>
      <c r="BO59" s="891"/>
      <c r="BP59" s="891"/>
      <c r="BQ59" s="891"/>
      <c r="BR59" s="891"/>
      <c r="BS59" s="896" t="s">
        <v>3345</v>
      </c>
      <c r="BT59" s="896"/>
      <c r="BU59" s="910"/>
      <c r="BV59" s="910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428"/>
      <c r="CH59" s="428"/>
      <c r="CI59" s="428"/>
      <c r="CJ59" s="428"/>
    </row>
    <row r="60" spans="1:88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7</v>
      </c>
      <c r="G60" s="879" t="s">
        <v>888</v>
      </c>
      <c r="H60" s="879" t="s">
        <v>18</v>
      </c>
      <c r="I60" s="879" t="s">
        <v>891</v>
      </c>
      <c r="J60" s="846">
        <v>1</v>
      </c>
      <c r="K60" s="846">
        <v>4</v>
      </c>
      <c r="L60" s="816" t="str">
        <f t="shared" si="30"/>
        <v>L</v>
      </c>
      <c r="M60" s="816">
        <f t="shared" si="31"/>
        <v>5</v>
      </c>
      <c r="N60" s="816" t="str">
        <f t="shared" si="32"/>
        <v>O</v>
      </c>
      <c r="O60" s="816">
        <f t="shared" si="56"/>
        <v>1.25</v>
      </c>
      <c r="P60" s="829">
        <f t="shared" si="57"/>
        <v>-1</v>
      </c>
      <c r="Q60" s="830">
        <v>-1.42</v>
      </c>
      <c r="R60" s="871">
        <f t="shared" si="43"/>
        <v>-1.58</v>
      </c>
      <c r="S60" s="830">
        <v>3.17</v>
      </c>
      <c r="T60" s="871">
        <f t="shared" si="25"/>
        <v>1.83</v>
      </c>
      <c r="U60" s="868">
        <f t="shared" si="58"/>
        <v>0.875</v>
      </c>
      <c r="V60" s="868">
        <f t="shared" si="59"/>
        <v>2.2949999999999999</v>
      </c>
      <c r="W60" s="829">
        <v>16</v>
      </c>
      <c r="X60" s="829">
        <v>14</v>
      </c>
      <c r="Y60" s="829">
        <v>2</v>
      </c>
      <c r="Z60" s="829">
        <v>8</v>
      </c>
      <c r="AA60" s="829">
        <v>46</v>
      </c>
      <c r="AB60" s="829">
        <v>54</v>
      </c>
      <c r="AC60" s="829"/>
      <c r="AD60" s="816" t="str">
        <f t="array" ref="AD60">IF($J60="","",IF(SUM(IF(ISNUMBER(VALUE(RIGHT($AG60:$CK60,1))),VALUE(RIGHT($AG60:$CK60,1)),0))=$J60,"T","F"))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IF($J60="","",SUM(IF(LEFT($AG60:$DC60,1)="X",1,0)))</f>
        <v>11</v>
      </c>
      <c r="AG60" s="891" t="s">
        <v>34</v>
      </c>
      <c r="AH60" s="891" t="s">
        <v>32</v>
      </c>
      <c r="AI60" s="891" t="s">
        <v>32</v>
      </c>
      <c r="AJ60" s="891" t="s">
        <v>1877</v>
      </c>
      <c r="AK60" s="891" t="s">
        <v>32</v>
      </c>
      <c r="AL60" s="891" t="s">
        <v>32</v>
      </c>
      <c r="AM60" s="891" t="s">
        <v>32</v>
      </c>
      <c r="AN60" s="891" t="s">
        <v>35</v>
      </c>
      <c r="AO60" s="891" t="s">
        <v>32</v>
      </c>
      <c r="AP60" s="891" t="s">
        <v>32</v>
      </c>
      <c r="AQ60" s="891" t="s">
        <v>1877</v>
      </c>
      <c r="AR60" s="891" t="s">
        <v>32</v>
      </c>
      <c r="AS60" s="891" t="s">
        <v>32</v>
      </c>
      <c r="AT60" s="891" t="s">
        <v>34</v>
      </c>
      <c r="AU60" s="904" t="s">
        <v>34</v>
      </c>
      <c r="AV60" s="891" t="s">
        <v>1877</v>
      </c>
      <c r="AW60" s="891" t="s">
        <v>36</v>
      </c>
      <c r="AX60" s="891" t="s">
        <v>34</v>
      </c>
      <c r="AY60" s="904" t="s">
        <v>34</v>
      </c>
      <c r="AZ60" s="891" t="s">
        <v>32</v>
      </c>
      <c r="BA60" s="891" t="s">
        <v>34</v>
      </c>
      <c r="BB60" s="891" t="s">
        <v>32</v>
      </c>
      <c r="BC60" s="891"/>
      <c r="BD60" s="891" t="s">
        <v>34</v>
      </c>
      <c r="BE60" s="904" t="s">
        <v>35</v>
      </c>
      <c r="BF60" s="891" t="s">
        <v>32</v>
      </c>
      <c r="BG60" s="891" t="s">
        <v>32</v>
      </c>
      <c r="BH60" s="891" t="s">
        <v>34</v>
      </c>
      <c r="BI60" s="891" t="s">
        <v>1877</v>
      </c>
      <c r="BJ60" s="891" t="s">
        <v>36</v>
      </c>
      <c r="BK60" s="891" t="s">
        <v>3408</v>
      </c>
      <c r="BL60" s="891" t="s">
        <v>32</v>
      </c>
      <c r="BM60" s="891" t="s">
        <v>32</v>
      </c>
      <c r="BN60" s="891" t="s">
        <v>32</v>
      </c>
      <c r="BO60" s="891" t="s">
        <v>32</v>
      </c>
      <c r="BP60" s="891" t="s">
        <v>32</v>
      </c>
      <c r="BQ60" s="891" t="s">
        <v>36</v>
      </c>
      <c r="BR60" s="891"/>
      <c r="BS60" s="896" t="s">
        <v>3390</v>
      </c>
      <c r="BT60" s="896"/>
      <c r="BU60" s="910"/>
      <c r="BV60" s="910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</row>
    <row r="61" spans="1:88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5</v>
      </c>
      <c r="G61" s="879" t="s">
        <v>889</v>
      </c>
      <c r="H61" s="879" t="s">
        <v>22</v>
      </c>
      <c r="I61" s="879" t="s">
        <v>891</v>
      </c>
      <c r="J61" s="846">
        <v>1</v>
      </c>
      <c r="K61" s="846">
        <v>2</v>
      </c>
      <c r="L61" s="816" t="str">
        <f t="shared" si="30"/>
        <v>L</v>
      </c>
      <c r="M61" s="816">
        <f t="shared" si="31"/>
        <v>3</v>
      </c>
      <c r="N61" s="816" t="str">
        <f t="shared" si="32"/>
        <v>O</v>
      </c>
      <c r="O61" s="816">
        <f t="shared" si="56"/>
        <v>1</v>
      </c>
      <c r="P61" s="829">
        <f t="shared" si="57"/>
        <v>0</v>
      </c>
      <c r="Q61" s="830">
        <v>-1.07</v>
      </c>
      <c r="R61" s="871">
        <f t="shared" si="43"/>
        <v>7.0000000000000062E-2</v>
      </c>
      <c r="S61" s="830">
        <v>3.02</v>
      </c>
      <c r="T61" s="871">
        <f t="shared" si="25"/>
        <v>-2.0000000000000018E-2</v>
      </c>
      <c r="U61" s="868">
        <f t="shared" si="58"/>
        <v>0.97499999999999998</v>
      </c>
      <c r="V61" s="868">
        <f t="shared" si="59"/>
        <v>2.0449999999999999</v>
      </c>
      <c r="W61" s="829">
        <v>12</v>
      </c>
      <c r="X61" s="829">
        <v>17</v>
      </c>
      <c r="Y61" s="829">
        <v>3</v>
      </c>
      <c r="Z61" s="829">
        <v>4</v>
      </c>
      <c r="AA61" s="829">
        <v>46</v>
      </c>
      <c r="AB61" s="829">
        <v>54</v>
      </c>
      <c r="AC61" s="829"/>
      <c r="AD61" s="816" t="str">
        <f t="array" ref="AD61">IF($J61="","",IF(SUM(IF(ISNUMBER(VALUE(RIGHT($AG61:$CK61,1))),VALUE(RIGHT($AG61:$CK61,1)),0))=$J61,"T","F"))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IF($J61="","",SUM(IF(LEFT($AG61:$DC61,1)="X",1,0)))</f>
        <v>11</v>
      </c>
      <c r="AG61" s="891" t="s">
        <v>34</v>
      </c>
      <c r="AH61" s="891" t="s">
        <v>32</v>
      </c>
      <c r="AI61" s="891" t="s">
        <v>32</v>
      </c>
      <c r="AJ61" s="891" t="s">
        <v>1877</v>
      </c>
      <c r="AK61" s="891" t="s">
        <v>1877</v>
      </c>
      <c r="AL61" s="891" t="s">
        <v>34</v>
      </c>
      <c r="AM61" s="891" t="s">
        <v>34</v>
      </c>
      <c r="AN61" s="891" t="s">
        <v>32</v>
      </c>
      <c r="AO61" s="891" t="s">
        <v>34</v>
      </c>
      <c r="AP61" s="891" t="s">
        <v>32</v>
      </c>
      <c r="AQ61" s="904" t="s">
        <v>34</v>
      </c>
      <c r="AR61" s="891" t="s">
        <v>32</v>
      </c>
      <c r="AS61" s="891" t="s">
        <v>32</v>
      </c>
      <c r="AT61" s="891" t="s">
        <v>32</v>
      </c>
      <c r="AU61" s="891" t="s">
        <v>3435</v>
      </c>
      <c r="AV61" s="891" t="s">
        <v>1877</v>
      </c>
      <c r="AW61" s="891" t="s">
        <v>32</v>
      </c>
      <c r="AX61" s="891" t="s">
        <v>34</v>
      </c>
      <c r="AY61" s="891" t="s">
        <v>32</v>
      </c>
      <c r="AZ61" s="891" t="s">
        <v>32</v>
      </c>
      <c r="BA61" s="891" t="s">
        <v>36</v>
      </c>
      <c r="BB61" s="891" t="s">
        <v>32</v>
      </c>
      <c r="BC61" s="891" t="s">
        <v>3453</v>
      </c>
      <c r="BD61" s="891" t="s">
        <v>36</v>
      </c>
      <c r="BE61" s="904" t="s">
        <v>34</v>
      </c>
      <c r="BF61" s="891" t="s">
        <v>32</v>
      </c>
      <c r="BG61" s="891" t="s">
        <v>32</v>
      </c>
      <c r="BH61" s="904" t="s">
        <v>34</v>
      </c>
      <c r="BI61" s="891" t="s">
        <v>1877</v>
      </c>
      <c r="BJ61" s="904" t="s">
        <v>35</v>
      </c>
      <c r="BK61" s="891" t="s">
        <v>36</v>
      </c>
      <c r="BL61" s="891" t="s">
        <v>32</v>
      </c>
      <c r="BM61" s="891" t="s">
        <v>32</v>
      </c>
      <c r="BN61" s="891" t="s">
        <v>32</v>
      </c>
      <c r="BO61" s="891" t="s">
        <v>32</v>
      </c>
      <c r="BP61" s="891" t="s">
        <v>32</v>
      </c>
      <c r="BQ61" s="891" t="s">
        <v>32</v>
      </c>
      <c r="BR61" s="891" t="s">
        <v>32</v>
      </c>
      <c r="BS61" s="896" t="s">
        <v>3422</v>
      </c>
      <c r="BT61" s="896"/>
      <c r="BU61" s="910"/>
      <c r="BV61" s="910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</row>
    <row r="62" spans="1:88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13</v>
      </c>
      <c r="G62" s="879" t="s">
        <v>884</v>
      </c>
      <c r="H62" s="879" t="s">
        <v>18</v>
      </c>
      <c r="I62" s="879" t="s">
        <v>891</v>
      </c>
      <c r="J62" s="846">
        <v>1</v>
      </c>
      <c r="K62" s="846">
        <v>2</v>
      </c>
      <c r="L62" s="816" t="str">
        <f t="shared" si="30"/>
        <v>L</v>
      </c>
      <c r="M62" s="816">
        <f t="shared" si="31"/>
        <v>3</v>
      </c>
      <c r="N62" s="816" t="str">
        <f t="shared" si="32"/>
        <v>O</v>
      </c>
      <c r="O62" s="816">
        <f t="shared" si="56"/>
        <v>0.75</v>
      </c>
      <c r="P62" s="829">
        <f t="shared" si="57"/>
        <v>-0.5</v>
      </c>
      <c r="Q62" s="830">
        <v>-0.93</v>
      </c>
      <c r="R62" s="871">
        <f t="shared" si="43"/>
        <v>-6.9999999999999951E-2</v>
      </c>
      <c r="S62" s="830">
        <v>2.65</v>
      </c>
      <c r="T62" s="871">
        <f t="shared" si="25"/>
        <v>0.35000000000000009</v>
      </c>
      <c r="U62" s="868">
        <f t="shared" si="58"/>
        <v>0.85999999999999988</v>
      </c>
      <c r="V62" s="868">
        <f t="shared" si="59"/>
        <v>1.79</v>
      </c>
      <c r="W62" s="829">
        <v>8</v>
      </c>
      <c r="X62" s="829">
        <v>13</v>
      </c>
      <c r="Y62" s="829">
        <v>3</v>
      </c>
      <c r="Z62" s="829">
        <v>5</v>
      </c>
      <c r="AA62" s="829">
        <v>50</v>
      </c>
      <c r="AB62" s="829">
        <v>50</v>
      </c>
      <c r="AC62" s="829"/>
      <c r="AD62" s="816" t="str">
        <f t="array" ref="AD62">IF($J62="","",IF(SUM(IF(ISNUMBER(VALUE(RIGHT($AG62:$CK62,1))),VALUE(RIGHT($AG62:$CK62,1)),0))=$J62,"T","F"))</f>
        <v>T</v>
      </c>
      <c r="AE62" s="831">
        <f t="array" ref="AE62">IF($J62="","",SUM(IF(LEFT($AG62:$DW62,1)="s",1,0))-SUM(IF(RIGHT(LEFT($AG62:$DW62,2))="-",1,0)))</f>
        <v>0</v>
      </c>
      <c r="AF62" s="816">
        <f t="array" ref="AF62">IF($J62="","",SUM(IF(LEFT($AG62:$DC62,1)="X",1,0)))</f>
        <v>11</v>
      </c>
      <c r="AG62" s="891" t="s">
        <v>34</v>
      </c>
      <c r="AH62" s="891" t="s">
        <v>32</v>
      </c>
      <c r="AI62" s="891" t="s">
        <v>32</v>
      </c>
      <c r="AJ62" s="891" t="s">
        <v>1877</v>
      </c>
      <c r="AK62" s="891" t="s">
        <v>36</v>
      </c>
      <c r="AL62" s="891" t="s">
        <v>34</v>
      </c>
      <c r="AM62" s="891" t="s">
        <v>34</v>
      </c>
      <c r="AN62" s="891" t="s">
        <v>32</v>
      </c>
      <c r="AO62" s="891" t="s">
        <v>35</v>
      </c>
      <c r="AP62" s="891" t="s">
        <v>32</v>
      </c>
      <c r="AQ62" s="891" t="s">
        <v>34</v>
      </c>
      <c r="AR62" s="891" t="s">
        <v>32</v>
      </c>
      <c r="AS62" s="891" t="s">
        <v>32</v>
      </c>
      <c r="AT62" s="891" t="s">
        <v>32</v>
      </c>
      <c r="AU62" s="891" t="s">
        <v>1877</v>
      </c>
      <c r="AV62" s="891" t="s">
        <v>32</v>
      </c>
      <c r="AW62" s="891" t="s">
        <v>32</v>
      </c>
      <c r="AX62" s="891" t="s">
        <v>3472</v>
      </c>
      <c r="AY62" s="891" t="s">
        <v>32</v>
      </c>
      <c r="AZ62" s="891" t="s">
        <v>32</v>
      </c>
      <c r="BA62" s="891" t="s">
        <v>36</v>
      </c>
      <c r="BB62" s="891" t="s">
        <v>36</v>
      </c>
      <c r="BC62" s="891" t="s">
        <v>32</v>
      </c>
      <c r="BD62" s="891" t="s">
        <v>34</v>
      </c>
      <c r="BE62" s="904" t="s">
        <v>35</v>
      </c>
      <c r="BF62" s="891" t="s">
        <v>32</v>
      </c>
      <c r="BG62" s="891" t="s">
        <v>32</v>
      </c>
      <c r="BH62" s="891" t="s">
        <v>34</v>
      </c>
      <c r="BI62" s="891" t="s">
        <v>1877</v>
      </c>
      <c r="BJ62" s="891" t="s">
        <v>1877</v>
      </c>
      <c r="BK62" s="891" t="s">
        <v>35</v>
      </c>
      <c r="BL62" s="891" t="s">
        <v>32</v>
      </c>
      <c r="BM62" s="891" t="s">
        <v>32</v>
      </c>
      <c r="BN62" s="891" t="s">
        <v>32</v>
      </c>
      <c r="BO62" s="891" t="s">
        <v>32</v>
      </c>
      <c r="BP62" s="891" t="s">
        <v>32</v>
      </c>
      <c r="BQ62" s="891" t="s">
        <v>32</v>
      </c>
      <c r="BR62" s="891" t="s">
        <v>32</v>
      </c>
      <c r="BS62" s="896" t="s">
        <v>34</v>
      </c>
      <c r="BT62" s="896"/>
      <c r="BU62" s="910"/>
      <c r="BV62" s="910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</row>
    <row r="63" spans="1:88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3</v>
      </c>
      <c r="G63" s="879" t="s">
        <v>1085</v>
      </c>
      <c r="H63" s="879" t="s">
        <v>18</v>
      </c>
      <c r="I63" s="879" t="s">
        <v>891</v>
      </c>
      <c r="J63" s="846">
        <v>2</v>
      </c>
      <c r="K63" s="846">
        <v>4</v>
      </c>
      <c r="L63" s="816" t="str">
        <f t="shared" si="30"/>
        <v>L</v>
      </c>
      <c r="M63" s="816">
        <f t="shared" si="31"/>
        <v>6</v>
      </c>
      <c r="N63" s="816" t="str">
        <f t="shared" si="32"/>
        <v>O</v>
      </c>
      <c r="O63" s="816">
        <f t="shared" si="56"/>
        <v>1.75</v>
      </c>
      <c r="P63" s="829">
        <f t="shared" si="57"/>
        <v>-0.5</v>
      </c>
      <c r="Q63" s="830">
        <v>-1.78</v>
      </c>
      <c r="R63" s="871">
        <f t="shared" si="43"/>
        <v>-0.21999999999999997</v>
      </c>
      <c r="S63" s="830">
        <v>3.52</v>
      </c>
      <c r="T63" s="871">
        <f t="shared" si="25"/>
        <v>2.48</v>
      </c>
      <c r="U63" s="868">
        <f t="shared" si="58"/>
        <v>0.87</v>
      </c>
      <c r="V63" s="868">
        <f t="shared" si="59"/>
        <v>2.65</v>
      </c>
      <c r="W63" s="829">
        <v>8</v>
      </c>
      <c r="X63" s="829">
        <v>17</v>
      </c>
      <c r="Y63" s="829">
        <v>4</v>
      </c>
      <c r="Z63" s="829">
        <v>8</v>
      </c>
      <c r="AA63" s="829">
        <v>40</v>
      </c>
      <c r="AB63" s="829">
        <v>60</v>
      </c>
      <c r="AC63" s="829"/>
      <c r="AD63" s="816" t="str">
        <f t="array" ref="AD63">IF($J63="","",IF(SUM(IF(ISNUMBER(VALUE(RIGHT($AG63:$CK63,1))),VALUE(RIGHT($AG63:$CK63,1)),0))=$J63,"T","F"))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IF($J63="","",SUM(IF(LEFT($AG63:$DC63,1)="X",1,0)))</f>
        <v>11</v>
      </c>
      <c r="AG63" s="891" t="s">
        <v>34</v>
      </c>
      <c r="AH63" s="891" t="s">
        <v>32</v>
      </c>
      <c r="AI63" s="891" t="s">
        <v>1877</v>
      </c>
      <c r="AJ63" s="891" t="s">
        <v>32</v>
      </c>
      <c r="AK63" s="891" t="s">
        <v>3484</v>
      </c>
      <c r="AL63" s="891" t="s">
        <v>32</v>
      </c>
      <c r="AM63" s="891" t="s">
        <v>34</v>
      </c>
      <c r="AN63" s="891" t="s">
        <v>32</v>
      </c>
      <c r="AO63" s="891" t="s">
        <v>32</v>
      </c>
      <c r="AP63" s="891" t="s">
        <v>32</v>
      </c>
      <c r="AQ63" s="891" t="s">
        <v>34</v>
      </c>
      <c r="AR63" s="891" t="s">
        <v>32</v>
      </c>
      <c r="AS63" s="891" t="s">
        <v>32</v>
      </c>
      <c r="AT63" s="891" t="s">
        <v>32</v>
      </c>
      <c r="AU63" s="891" t="s">
        <v>34</v>
      </c>
      <c r="AV63" s="891" t="s">
        <v>32</v>
      </c>
      <c r="AW63" s="891" t="s">
        <v>1877</v>
      </c>
      <c r="AX63" s="891" t="s">
        <v>34</v>
      </c>
      <c r="AY63" s="891" t="s">
        <v>1877</v>
      </c>
      <c r="AZ63" s="891" t="s">
        <v>32</v>
      </c>
      <c r="BA63" s="891" t="s">
        <v>36</v>
      </c>
      <c r="BB63" s="891" t="s">
        <v>35</v>
      </c>
      <c r="BC63" s="891" t="s">
        <v>32</v>
      </c>
      <c r="BD63" s="891" t="s">
        <v>34</v>
      </c>
      <c r="BE63" s="904" t="s">
        <v>35</v>
      </c>
      <c r="BF63" s="891" t="s">
        <v>32</v>
      </c>
      <c r="BG63" s="891" t="s">
        <v>32</v>
      </c>
      <c r="BH63" s="891" t="s">
        <v>36</v>
      </c>
      <c r="BI63" s="891" t="s">
        <v>32</v>
      </c>
      <c r="BJ63" s="904" t="s">
        <v>35</v>
      </c>
      <c r="BK63" s="891" t="s">
        <v>1877</v>
      </c>
      <c r="BL63" s="891" t="s">
        <v>32</v>
      </c>
      <c r="BM63" s="891" t="s">
        <v>32</v>
      </c>
      <c r="BN63" s="891" t="s">
        <v>32</v>
      </c>
      <c r="BO63" s="891" t="s">
        <v>32</v>
      </c>
      <c r="BP63" s="891" t="s">
        <v>36</v>
      </c>
      <c r="BQ63" s="891" t="s">
        <v>32</v>
      </c>
      <c r="BR63" s="891" t="s">
        <v>32</v>
      </c>
      <c r="BS63" s="896" t="s">
        <v>3484</v>
      </c>
      <c r="BT63" s="896"/>
      <c r="BU63" s="910"/>
      <c r="BV63" s="910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</row>
    <row r="64" spans="1:88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12</v>
      </c>
      <c r="G64" s="879" t="s">
        <v>879</v>
      </c>
      <c r="H64" s="879" t="s">
        <v>22</v>
      </c>
      <c r="I64" s="879" t="s">
        <v>891</v>
      </c>
      <c r="J64" s="846">
        <v>1</v>
      </c>
      <c r="K64" s="846">
        <v>1</v>
      </c>
      <c r="L64" s="816" t="str">
        <f t="shared" si="30"/>
        <v>D</v>
      </c>
      <c r="M64" s="816">
        <f t="shared" si="31"/>
        <v>2</v>
      </c>
      <c r="N64" s="816" t="str">
        <f t="shared" si="32"/>
        <v>U</v>
      </c>
      <c r="O64" s="816">
        <f t="shared" si="56"/>
        <v>0.5</v>
      </c>
      <c r="P64" s="829">
        <f t="shared" si="57"/>
        <v>1</v>
      </c>
      <c r="Q64" s="830">
        <v>-0.6</v>
      </c>
      <c r="R64" s="871">
        <f t="shared" si="43"/>
        <v>0.6</v>
      </c>
      <c r="S64" s="830">
        <v>2.7</v>
      </c>
      <c r="T64" s="871">
        <f t="shared" si="25"/>
        <v>-0.70000000000000018</v>
      </c>
      <c r="U64" s="868">
        <f t="shared" si="58"/>
        <v>1.05</v>
      </c>
      <c r="V64" s="868">
        <f t="shared" si="59"/>
        <v>1.6500000000000001</v>
      </c>
      <c r="W64" s="829">
        <v>11</v>
      </c>
      <c r="X64" s="829">
        <v>14</v>
      </c>
      <c r="Y64" s="829">
        <v>1</v>
      </c>
      <c r="Z64" s="829">
        <v>3</v>
      </c>
      <c r="AA64" s="829">
        <v>50</v>
      </c>
      <c r="AB64" s="829">
        <v>50</v>
      </c>
      <c r="AC64" s="829"/>
      <c r="AD64" s="816" t="str">
        <f t="array" ref="AD64">IF($J64="","",IF(SUM(IF(ISNUMBER(VALUE(RIGHT($AG64:$CK64,1))),VALUE(RIGHT($AG64:$CK64,1)),0))=$J64,"T","F"))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IF($J64="","",SUM(IF(LEFT($AG64:$DC64,1)="X",1,0)))</f>
        <v>11</v>
      </c>
      <c r="AG64" s="891" t="s">
        <v>34</v>
      </c>
      <c r="AH64" s="891" t="s">
        <v>32</v>
      </c>
      <c r="AI64" s="891" t="s">
        <v>1877</v>
      </c>
      <c r="AJ64" s="891" t="s">
        <v>32</v>
      </c>
      <c r="AK64" s="891" t="s">
        <v>34</v>
      </c>
      <c r="AL64" s="891" t="s">
        <v>32</v>
      </c>
      <c r="AM64" s="891" t="s">
        <v>34</v>
      </c>
      <c r="AN64" s="891" t="s">
        <v>34</v>
      </c>
      <c r="AO64" s="891" t="s">
        <v>32</v>
      </c>
      <c r="AP64" s="891" t="s">
        <v>32</v>
      </c>
      <c r="AQ64" s="891" t="s">
        <v>1877</v>
      </c>
      <c r="AR64" s="891" t="s">
        <v>32</v>
      </c>
      <c r="AS64" s="891" t="s">
        <v>32</v>
      </c>
      <c r="AT64" s="891" t="s">
        <v>32</v>
      </c>
      <c r="AU64" s="891" t="s">
        <v>34</v>
      </c>
      <c r="AV64" s="891" t="s">
        <v>32</v>
      </c>
      <c r="AW64" s="891" t="s">
        <v>32</v>
      </c>
      <c r="AX64" s="891" t="s">
        <v>34</v>
      </c>
      <c r="AY64" s="891" t="s">
        <v>36</v>
      </c>
      <c r="AZ64" s="891" t="s">
        <v>1877</v>
      </c>
      <c r="BA64" s="891" t="s">
        <v>3516</v>
      </c>
      <c r="BB64" s="891" t="s">
        <v>35</v>
      </c>
      <c r="BC64" s="904" t="s">
        <v>35</v>
      </c>
      <c r="BD64" s="904" t="s">
        <v>34</v>
      </c>
      <c r="BE64" s="891" t="s">
        <v>3518</v>
      </c>
      <c r="BF64" s="891" t="s">
        <v>32</v>
      </c>
      <c r="BG64" s="891" t="s">
        <v>32</v>
      </c>
      <c r="BH64" s="891" t="s">
        <v>36</v>
      </c>
      <c r="BI64" s="891" t="s">
        <v>32</v>
      </c>
      <c r="BJ64" s="891" t="s">
        <v>3518</v>
      </c>
      <c r="BK64" s="891" t="s">
        <v>1877</v>
      </c>
      <c r="BL64" s="891" t="s">
        <v>32</v>
      </c>
      <c r="BM64" s="891" t="s">
        <v>32</v>
      </c>
      <c r="BN64" s="891" t="s">
        <v>32</v>
      </c>
      <c r="BO64" s="891" t="s">
        <v>32</v>
      </c>
      <c r="BP64" s="891" t="s">
        <v>1877</v>
      </c>
      <c r="BQ64" s="891" t="s">
        <v>32</v>
      </c>
      <c r="BR64" s="891" t="s">
        <v>32</v>
      </c>
      <c r="BS64" s="897" t="s">
        <v>34</v>
      </c>
      <c r="BT64" s="897"/>
      <c r="BU64" s="910"/>
      <c r="BV64" s="910"/>
      <c r="BW64" s="897"/>
      <c r="BX64" s="897"/>
      <c r="BY64" s="897"/>
      <c r="BZ64" s="896"/>
      <c r="CA64" s="896"/>
      <c r="CB64" s="896"/>
      <c r="CC64" s="896"/>
      <c r="CD64" s="896"/>
      <c r="CE64" s="896"/>
      <c r="CF64" s="896"/>
    </row>
    <row r="65" spans="1:84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15</v>
      </c>
      <c r="G65" s="879" t="s">
        <v>881</v>
      </c>
      <c r="H65" s="879" t="s">
        <v>18</v>
      </c>
      <c r="I65" s="879" t="s">
        <v>891</v>
      </c>
      <c r="J65" s="846">
        <v>2</v>
      </c>
      <c r="K65" s="846">
        <v>4</v>
      </c>
      <c r="L65" s="816" t="str">
        <f t="shared" si="30"/>
        <v>L</v>
      </c>
      <c r="M65" s="816">
        <f t="shared" si="31"/>
        <v>6</v>
      </c>
      <c r="N65" s="816" t="str">
        <f t="shared" si="32"/>
        <v>O</v>
      </c>
      <c r="O65" s="816">
        <f t="shared" si="56"/>
        <v>0.75</v>
      </c>
      <c r="P65" s="829">
        <f t="shared" si="57"/>
        <v>-1</v>
      </c>
      <c r="Q65" s="830">
        <v>-0.8</v>
      </c>
      <c r="R65" s="871">
        <f t="shared" si="43"/>
        <v>-1.2</v>
      </c>
      <c r="S65" s="830">
        <v>2.9</v>
      </c>
      <c r="T65" s="871">
        <f t="shared" si="25"/>
        <v>3.1</v>
      </c>
      <c r="U65" s="868">
        <f t="shared" si="58"/>
        <v>1.0499999999999998</v>
      </c>
      <c r="V65" s="868">
        <f t="shared" si="59"/>
        <v>1.85</v>
      </c>
      <c r="W65" s="829">
        <v>7</v>
      </c>
      <c r="X65" s="829">
        <v>9</v>
      </c>
      <c r="Y65" s="829">
        <v>3</v>
      </c>
      <c r="Z65" s="829">
        <v>6</v>
      </c>
      <c r="AA65" s="829">
        <v>55</v>
      </c>
      <c r="AB65" s="829">
        <v>45</v>
      </c>
      <c r="AC65" s="829"/>
      <c r="AD65" s="816" t="str">
        <f t="array" ref="AD65">IF($J65="","",IF(SUM(IF(ISNUMBER(VALUE(RIGHT($AG65:$CK65,1))),VALUE(RIGHT($AG65:$CK65,1)),0))=$J65,"T","F"))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IF($J65="","",SUM(IF(LEFT($AG65:$DC65,1)="X",1,0)))</f>
        <v>11</v>
      </c>
      <c r="AG65" s="891" t="s">
        <v>32</v>
      </c>
      <c r="AH65" s="891" t="s">
        <v>32</v>
      </c>
      <c r="AI65" s="891" t="s">
        <v>1877</v>
      </c>
      <c r="AJ65" s="891" t="s">
        <v>34</v>
      </c>
      <c r="AK65" s="891" t="s">
        <v>35</v>
      </c>
      <c r="AL65" s="891" t="s">
        <v>32</v>
      </c>
      <c r="AM65" s="891" t="s">
        <v>34</v>
      </c>
      <c r="AN65" s="891" t="s">
        <v>34</v>
      </c>
      <c r="AO65" s="891" t="s">
        <v>32</v>
      </c>
      <c r="AP65" s="891" t="s">
        <v>32</v>
      </c>
      <c r="AQ65" s="891" t="s">
        <v>32</v>
      </c>
      <c r="AR65" s="891" t="s">
        <v>32</v>
      </c>
      <c r="AS65" s="891" t="s">
        <v>32</v>
      </c>
      <c r="AT65" s="891" t="s">
        <v>32</v>
      </c>
      <c r="AU65" s="891" t="s">
        <v>34</v>
      </c>
      <c r="AV65" s="891" t="s">
        <v>32</v>
      </c>
      <c r="AW65" s="891" t="s">
        <v>1877</v>
      </c>
      <c r="AX65" s="891" t="s">
        <v>34</v>
      </c>
      <c r="AY65" s="891" t="s">
        <v>1877</v>
      </c>
      <c r="AZ65" s="891" t="s">
        <v>32</v>
      </c>
      <c r="BA65" s="891" t="s">
        <v>35</v>
      </c>
      <c r="BB65" s="891" t="s">
        <v>34</v>
      </c>
      <c r="BC65" s="891" t="s">
        <v>35</v>
      </c>
      <c r="BD65" s="891" t="s">
        <v>34</v>
      </c>
      <c r="BE65" s="891" t="s">
        <v>3562</v>
      </c>
      <c r="BF65" s="891" t="s">
        <v>32</v>
      </c>
      <c r="BG65" s="891" t="s">
        <v>32</v>
      </c>
      <c r="BH65" s="891" t="s">
        <v>36</v>
      </c>
      <c r="BI65" s="891" t="s">
        <v>32</v>
      </c>
      <c r="BJ65" s="891" t="s">
        <v>36</v>
      </c>
      <c r="BK65" s="891" t="s">
        <v>1877</v>
      </c>
      <c r="BL65" s="891" t="s">
        <v>32</v>
      </c>
      <c r="BM65" s="891" t="s">
        <v>32</v>
      </c>
      <c r="BN65" s="891" t="s">
        <v>32</v>
      </c>
      <c r="BO65" s="891" t="s">
        <v>32</v>
      </c>
      <c r="BP65" s="891" t="s">
        <v>36</v>
      </c>
      <c r="BQ65" s="891" t="s">
        <v>32</v>
      </c>
      <c r="BR65" s="891" t="s">
        <v>32</v>
      </c>
      <c r="BS65" s="897" t="s">
        <v>3565</v>
      </c>
      <c r="BT65" s="897"/>
      <c r="BU65" s="910"/>
      <c r="BV65" s="910"/>
      <c r="BW65" s="897"/>
      <c r="BX65" s="897"/>
      <c r="BY65" s="897"/>
      <c r="BZ65" s="896"/>
      <c r="CA65" s="896"/>
      <c r="CB65" s="896"/>
      <c r="CC65" s="896"/>
      <c r="CD65" s="896"/>
      <c r="CE65" s="896"/>
      <c r="CF65" s="896"/>
    </row>
    <row r="66" spans="1:84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2</v>
      </c>
      <c r="G66" s="879" t="s">
        <v>886</v>
      </c>
      <c r="H66" s="879" t="s">
        <v>22</v>
      </c>
      <c r="I66" s="879" t="s">
        <v>891</v>
      </c>
      <c r="J66" s="846">
        <v>1</v>
      </c>
      <c r="K66" s="846">
        <v>4</v>
      </c>
      <c r="L66" s="816" t="str">
        <f t="shared" si="30"/>
        <v>L</v>
      </c>
      <c r="M66" s="816">
        <f t="shared" si="31"/>
        <v>5</v>
      </c>
      <c r="N66" s="816" t="str">
        <f t="shared" si="32"/>
        <v>O</v>
      </c>
      <c r="O66" s="816">
        <f t="shared" si="56"/>
        <v>0.5</v>
      </c>
      <c r="P66" s="829">
        <f t="shared" si="57"/>
        <v>-1</v>
      </c>
      <c r="Q66" s="830">
        <v>-0.57999999999999996</v>
      </c>
      <c r="R66" s="871">
        <f t="shared" si="43"/>
        <v>-2.42</v>
      </c>
      <c r="S66" s="830">
        <v>2.63</v>
      </c>
      <c r="T66" s="871">
        <f t="shared" si="25"/>
        <v>2.37</v>
      </c>
      <c r="U66" s="868">
        <f t="shared" si="58"/>
        <v>1.0249999999999999</v>
      </c>
      <c r="V66" s="868">
        <f t="shared" si="59"/>
        <v>1.605</v>
      </c>
      <c r="W66" s="829">
        <v>10</v>
      </c>
      <c r="X66" s="829">
        <v>17</v>
      </c>
      <c r="Y66" s="829">
        <v>4</v>
      </c>
      <c r="Z66" s="829">
        <v>6</v>
      </c>
      <c r="AA66" s="829">
        <v>46</v>
      </c>
      <c r="AB66" s="829">
        <v>54</v>
      </c>
      <c r="AC66" s="829"/>
      <c r="AD66" s="816" t="str">
        <f t="array" ref="AD66">IF($J66="","",IF(SUM(IF(ISNUMBER(VALUE(RIGHT($AG66:$CK66,1))),VALUE(RIGHT($AG66:$CK66,1)),0))=$J66,"T","F"))</f>
        <v>T</v>
      </c>
      <c r="AE66" s="831">
        <f t="array" ref="AE66">IF($J66="","",SUM(IF(LEFT($AG66:$DW66,1)="s",1,0))-SUM(IF(RIGHT(LEFT($AG66:$DW66,2))="-",1,0)))</f>
        <v>0</v>
      </c>
      <c r="AF66" s="816">
        <f t="array" ref="AF66">IF($J66="","",SUM(IF(LEFT($AG66:$DC66,1)="X",1,0)))</f>
        <v>11</v>
      </c>
      <c r="AG66" s="891" t="s">
        <v>3566</v>
      </c>
      <c r="AH66" s="891" t="s">
        <v>3579</v>
      </c>
      <c r="AI66" s="891"/>
      <c r="AJ66" s="891"/>
      <c r="AK66" s="891" t="s">
        <v>3579</v>
      </c>
      <c r="AL66" s="891"/>
      <c r="AM66" s="891" t="s">
        <v>3567</v>
      </c>
      <c r="AN66" s="891" t="s">
        <v>3567</v>
      </c>
      <c r="AO66" s="891"/>
      <c r="AP66" s="891"/>
      <c r="AQ66" s="891" t="s">
        <v>871</v>
      </c>
      <c r="AR66" s="891"/>
      <c r="AS66" s="891"/>
      <c r="AT66" s="891"/>
      <c r="AU66" s="891" t="s">
        <v>3579</v>
      </c>
      <c r="AV66" s="891"/>
      <c r="AW66" s="891" t="s">
        <v>3578</v>
      </c>
      <c r="AX66" s="891"/>
      <c r="AY66" s="891" t="s">
        <v>3567</v>
      </c>
      <c r="AZ66" s="891" t="s">
        <v>3568</v>
      </c>
      <c r="BA66" s="891"/>
      <c r="BB66" s="891" t="s">
        <v>871</v>
      </c>
      <c r="BC66" s="891"/>
      <c r="BD66" s="891" t="s">
        <v>3579</v>
      </c>
      <c r="BE66" s="904" t="s">
        <v>3567</v>
      </c>
      <c r="BF66" s="891"/>
      <c r="BG66" s="891"/>
      <c r="BH66" s="891" t="s">
        <v>3567</v>
      </c>
      <c r="BI66" s="891"/>
      <c r="BJ66" s="906" t="s">
        <v>3577</v>
      </c>
      <c r="BK66" s="904" t="s">
        <v>3569</v>
      </c>
      <c r="BL66" s="891"/>
      <c r="BM66" s="891"/>
      <c r="BN66" s="891"/>
      <c r="BO66" s="891"/>
      <c r="BP66" s="891" t="s">
        <v>3578</v>
      </c>
      <c r="BQ66" s="891"/>
      <c r="BR66" s="891"/>
      <c r="BS66" s="897" t="s">
        <v>1879</v>
      </c>
      <c r="BT66" s="897"/>
      <c r="BU66" s="910"/>
      <c r="BV66" s="910"/>
      <c r="BW66" s="897"/>
      <c r="BX66" s="897"/>
      <c r="BY66" s="897"/>
      <c r="BZ66" s="896"/>
      <c r="CA66" s="896"/>
      <c r="CB66" s="896"/>
      <c r="CC66" s="896"/>
      <c r="CD66" s="896"/>
      <c r="CE66" s="896"/>
      <c r="CF66" s="896"/>
    </row>
    <row r="67" spans="1:84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5"/>
        <v/>
      </c>
      <c r="U67" s="868" t="str">
        <f t="shared" si="58"/>
        <v/>
      </c>
      <c r="V67" s="868" t="str">
        <f t="shared" si="59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IF($J67="","",IF(SUM(IF(ISNUMBER(VALUE(RIGHT($AG67:$CK67,1))),VALUE(RIGHT($AG67:$CK67,1)),0))=$J67,"T","F"))</f>
        <v/>
      </c>
      <c r="AE67" s="831" t="str">
        <f t="array" ref="AE67">IF($J67="","",SUM(IF(LEFT($AG67:$DW67,1)="s",1,0))-SUM(IF(RIGHT(LEFT($AG67:$DW67,2))="-",1,0)))</f>
        <v/>
      </c>
      <c r="AF67" s="816" t="str">
        <f t="array" ref="AF67">IF($J67="","",SUM(IF(LEFT($AG67:$DC67,1)="X",1,0)))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7"/>
      <c r="BT67" s="897"/>
      <c r="BU67" s="891"/>
      <c r="BV67" s="891"/>
      <c r="BW67" s="897"/>
      <c r="BX67" s="897"/>
      <c r="BY67" s="897"/>
      <c r="BZ67" s="896"/>
      <c r="CA67" s="896"/>
      <c r="CB67" s="896"/>
      <c r="CC67" s="896"/>
      <c r="CD67" s="896"/>
      <c r="CE67" s="896"/>
      <c r="CF67" s="896"/>
    </row>
    <row r="68" spans="1:84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5"/>
        <v/>
      </c>
      <c r="U68" s="868" t="str">
        <f t="shared" si="58"/>
        <v/>
      </c>
      <c r="V68" s="868" t="str">
        <f t="shared" si="59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IF($J68="","",IF(SUM(IF(ISNUMBER(VALUE(RIGHT($AG68:$CK68,1))),VALUE(RIGHT($AG68:$CK68,1)),0))=$J68,"T","F"))</f>
        <v/>
      </c>
      <c r="AE68" s="831" t="str">
        <f t="array" ref="AE68">IF($J68="","",SUM(IF(LEFT($AG68:$DW68,1)="s",1,0))-SUM(IF(RIGHT(LEFT($AG68:$DW68,2))="-",1,0)))</f>
        <v/>
      </c>
      <c r="AF68" s="816" t="str">
        <f t="array" ref="AF68">IF($J68="","",SUM(IF(LEFT($AG68:$DC68,1)="X",1,0)))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7"/>
      <c r="BT68" s="897"/>
      <c r="BU68" s="891"/>
      <c r="BV68" s="891"/>
      <c r="BW68" s="897"/>
      <c r="BX68" s="897"/>
      <c r="BY68" s="897"/>
      <c r="BZ68" s="896"/>
      <c r="CA68" s="896"/>
      <c r="CB68" s="896"/>
      <c r="CC68" s="896"/>
      <c r="CD68" s="896"/>
      <c r="CE68" s="896"/>
      <c r="CF68" s="896"/>
    </row>
    <row r="69" spans="1:84" ht="15">
      <c r="A69" s="843"/>
      <c r="E69" s="816"/>
      <c r="G69" s="828"/>
      <c r="H69" s="828"/>
      <c r="I69" s="828"/>
      <c r="J69" s="428"/>
      <c r="K69" s="428"/>
      <c r="T69" s="871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7"/>
      <c r="BT69" s="897"/>
      <c r="BU69" s="891"/>
      <c r="BV69" s="891"/>
      <c r="BW69" s="897"/>
      <c r="BX69" s="897"/>
      <c r="BY69" s="897"/>
      <c r="BZ69" s="896"/>
      <c r="CA69" s="896"/>
      <c r="CB69" s="896"/>
      <c r="CC69" s="896"/>
      <c r="CD69" s="896"/>
      <c r="CE69" s="896"/>
      <c r="CF69" s="896"/>
    </row>
    <row r="70" spans="1:84" ht="15">
      <c r="A70" s="843"/>
      <c r="E70" s="816"/>
      <c r="G70" s="828"/>
      <c r="H70" s="828"/>
      <c r="I70" s="828"/>
      <c r="J70" s="428"/>
      <c r="K70" s="428"/>
      <c r="T70" s="871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6"/>
      <c r="AH70" s="896"/>
      <c r="AI70" s="896"/>
      <c r="AJ70" s="893"/>
      <c r="AK70" s="896"/>
      <c r="AL70" s="896"/>
      <c r="AM70" s="896"/>
      <c r="AN70" s="896"/>
      <c r="AO70" s="893"/>
      <c r="AP70" s="896"/>
      <c r="AQ70" s="896"/>
      <c r="AR70" s="896"/>
      <c r="AS70" s="896"/>
      <c r="AT70" s="896"/>
      <c r="AU70" s="896"/>
      <c r="AV70" s="896"/>
      <c r="AW70" s="896"/>
      <c r="AX70" s="896"/>
      <c r="AY70" s="896"/>
      <c r="AZ70" s="896"/>
      <c r="BA70" s="893"/>
      <c r="BB70" s="893"/>
      <c r="BC70" s="893"/>
      <c r="BD70" s="893"/>
      <c r="BE70" s="896"/>
      <c r="BF70" s="896"/>
      <c r="BG70" s="896"/>
      <c r="BH70" s="896"/>
      <c r="BI70" s="896"/>
      <c r="BJ70" s="893"/>
      <c r="BK70" s="896"/>
      <c r="BL70" s="893"/>
      <c r="BM70" s="896"/>
      <c r="BN70" s="896"/>
      <c r="BO70" s="893"/>
      <c r="BP70" s="896"/>
      <c r="BQ70" s="896"/>
      <c r="BR70" s="896"/>
      <c r="BS70" s="897"/>
      <c r="BT70" s="897"/>
      <c r="BU70" s="896"/>
      <c r="BV70" s="893"/>
      <c r="BW70" s="897"/>
      <c r="BX70" s="897"/>
      <c r="BY70" s="897"/>
      <c r="BZ70" s="896"/>
      <c r="CA70" s="896"/>
      <c r="CB70" s="896"/>
      <c r="CC70" s="896"/>
      <c r="CD70" s="896"/>
      <c r="CE70" s="896"/>
      <c r="CF70" s="896"/>
    </row>
    <row r="71" spans="1:84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3"/>
      <c r="AK71" s="896"/>
      <c r="AL71" s="896"/>
      <c r="AM71" s="896"/>
      <c r="AN71" s="896"/>
      <c r="AO71" s="893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3"/>
      <c r="BB71" s="893"/>
      <c r="BC71" s="893"/>
      <c r="BD71" s="893"/>
      <c r="BE71" s="896"/>
      <c r="BF71" s="896"/>
      <c r="BG71" s="896"/>
      <c r="BH71" s="896"/>
      <c r="BI71" s="896"/>
      <c r="BJ71" s="893"/>
      <c r="BK71" s="896"/>
      <c r="BL71" s="893"/>
      <c r="BM71" s="896"/>
      <c r="BN71" s="896"/>
      <c r="BO71" s="893"/>
      <c r="BP71" s="896"/>
      <c r="BQ71" s="896"/>
      <c r="BR71" s="896"/>
      <c r="BS71" s="897"/>
      <c r="BT71" s="897"/>
      <c r="BU71" s="896"/>
      <c r="BV71" s="893"/>
      <c r="BW71" s="897"/>
      <c r="BX71" s="897"/>
      <c r="BY71" s="897"/>
      <c r="BZ71" s="896"/>
      <c r="CA71" s="896"/>
      <c r="CB71" s="896"/>
      <c r="CC71" s="896"/>
      <c r="CD71" s="896"/>
      <c r="CE71" s="896"/>
      <c r="CF71" s="896"/>
    </row>
    <row r="72" spans="1:84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ref="L72:L129" si="60">IF(J72="","",IF(J72&gt;K72,"W",IF(J72=K72,"D",IF(J72&lt;K72,"L"))))</f>
        <v/>
      </c>
      <c r="M72" s="816" t="str">
        <f t="shared" ref="M72:M129" si="61">IF(J72="","",J72+K72)</f>
        <v/>
      </c>
      <c r="N72" s="816" t="str">
        <f t="shared" ref="N72:N129" si="62">IF($J72="","",IF($M72&gt;N$19,"O",IF($M72&lt;N$19,"U",IF($M72=N$19,"-"))))</f>
        <v/>
      </c>
      <c r="R72" s="816" t="str">
        <f t="shared" ref="R72:R129" si="63">IF(ISBLANK(Q72),"",J72-K72-Q72)</f>
        <v/>
      </c>
      <c r="T72" s="829" t="str">
        <f t="shared" ref="T72:T129" si="64">IF(ISBLANK(S72),"",J72+K72-S72)</f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IF($J72="","",IF(SUM(IF(ISNUMBER(VALUE(RIGHT($AG72:$CK72,1))),VALUE(RIGHT($AG72:$CK72,1)),0))=$J72,"T","F"))</f>
        <v/>
      </c>
      <c r="AE72" s="831" t="str">
        <f t="array" ref="AE72">IF($J72="","",SUM(IF(LEFT($AG72:$DW72,1)="s",1,0))-SUM(IF(RIGHT(LEFT($AG72:$DW72,2))="-",1,0)))</f>
        <v/>
      </c>
      <c r="AF72" s="816" t="str">
        <f t="array" ref="AF72">IF($J72="","",SUM(IF(LEFT($AG72:$DC72,1)="X",1,0)))</f>
        <v/>
      </c>
      <c r="AG72" s="897"/>
      <c r="AH72" s="897"/>
      <c r="AI72" s="897"/>
      <c r="AJ72" s="893"/>
      <c r="AK72" s="897"/>
      <c r="AL72" s="897"/>
      <c r="AM72" s="897"/>
      <c r="AN72" s="897"/>
      <c r="AO72" s="893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3"/>
      <c r="BB72" s="893"/>
      <c r="BC72" s="893"/>
      <c r="BD72" s="893"/>
      <c r="BE72" s="897"/>
      <c r="BF72" s="897"/>
      <c r="BG72" s="897"/>
      <c r="BH72" s="897"/>
      <c r="BI72" s="897"/>
      <c r="BJ72" s="893"/>
      <c r="BK72" s="897"/>
      <c r="BL72" s="893"/>
      <c r="BM72" s="897"/>
      <c r="BN72" s="897"/>
      <c r="BO72" s="893"/>
      <c r="BP72" s="897"/>
      <c r="BQ72" s="897"/>
      <c r="BR72" s="897"/>
      <c r="BS72" s="897"/>
      <c r="BT72" s="897"/>
      <c r="BU72" s="897"/>
      <c r="BV72" s="893"/>
      <c r="BW72" s="897"/>
      <c r="BX72" s="897"/>
      <c r="BY72" s="897"/>
      <c r="BZ72" s="897"/>
      <c r="CA72" s="897"/>
      <c r="CB72" s="897"/>
      <c r="CC72" s="897"/>
      <c r="CD72" s="897"/>
      <c r="CE72" s="897"/>
      <c r="CF72" s="897"/>
    </row>
    <row r="73" spans="1:84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60"/>
        <v/>
      </c>
      <c r="M73" s="816" t="str">
        <f t="shared" si="61"/>
        <v/>
      </c>
      <c r="N73" s="816" t="str">
        <f t="shared" si="62"/>
        <v/>
      </c>
      <c r="R73" s="816" t="str">
        <f t="shared" si="63"/>
        <v/>
      </c>
      <c r="T73" s="829" t="str">
        <f t="shared" si="64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IF($J73="","",IF(SUM(IF(ISNUMBER(VALUE(RIGHT($AG73:$CK73,1))),VALUE(RIGHT($AG73:$CK73,1)),0))=$J73,"T","F"))</f>
        <v/>
      </c>
      <c r="AE73" s="831" t="str">
        <f t="array" ref="AE73">IF($J73="","",SUM(IF(LEFT($AG73:$DW73,1)="s",1,0))-SUM(IF(RIGHT(LEFT($AG73:$DW73,2))="-",1,0)))</f>
        <v/>
      </c>
      <c r="AF73" s="816" t="str">
        <f t="array" ref="AF73">IF($J73="","",SUM(IF(LEFT($AG73:$DC73,1)="X",1,0)))</f>
        <v/>
      </c>
      <c r="AG73" s="897"/>
      <c r="AH73" s="897"/>
      <c r="AI73" s="897"/>
      <c r="AJ73" s="893"/>
      <c r="AK73" s="897"/>
      <c r="AL73" s="897"/>
      <c r="AM73" s="897"/>
      <c r="AN73" s="897"/>
      <c r="AO73" s="893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3"/>
      <c r="BB73" s="893"/>
      <c r="BC73" s="893"/>
      <c r="BD73" s="893"/>
      <c r="BE73" s="897"/>
      <c r="BF73" s="897"/>
      <c r="BG73" s="897"/>
      <c r="BH73" s="897"/>
      <c r="BI73" s="897"/>
      <c r="BJ73" s="893"/>
      <c r="BK73" s="897"/>
      <c r="BL73" s="893"/>
      <c r="BM73" s="897"/>
      <c r="BN73" s="897"/>
      <c r="BO73" s="893"/>
      <c r="BP73" s="897"/>
      <c r="BQ73" s="897"/>
      <c r="BR73" s="897"/>
      <c r="BS73" s="897"/>
      <c r="BT73" s="897"/>
      <c r="BU73" s="897"/>
      <c r="BV73" s="893"/>
      <c r="BW73" s="897"/>
      <c r="BX73" s="897"/>
      <c r="BY73" s="897"/>
      <c r="BZ73" s="897"/>
      <c r="CA73" s="897"/>
      <c r="CB73" s="897"/>
      <c r="CC73" s="897"/>
      <c r="CD73" s="897"/>
      <c r="CE73" s="897"/>
      <c r="CF73" s="897"/>
    </row>
    <row r="74" spans="1:84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60"/>
        <v/>
      </c>
      <c r="M74" s="816" t="str">
        <f t="shared" si="61"/>
        <v/>
      </c>
      <c r="N74" s="816" t="str">
        <f t="shared" si="62"/>
        <v/>
      </c>
      <c r="R74" s="816" t="str">
        <f t="shared" si="63"/>
        <v/>
      </c>
      <c r="T74" s="829" t="str">
        <f t="shared" si="64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IF($J74="","",IF(SUM(IF(ISNUMBER(VALUE(RIGHT($AG74:$CK74,1))),VALUE(RIGHT($AG74:$CK74,1)),0))=$J74,"T","F"))</f>
        <v/>
      </c>
      <c r="AE74" s="831" t="str">
        <f t="array" ref="AE74">IF($J74="","",SUM(IF(LEFT($AG74:$DW74,1)="s",1,0))-SUM(IF(RIGHT(LEFT($AG74:$DW74,2))="-",1,0)))</f>
        <v/>
      </c>
      <c r="AF74" s="816" t="str">
        <f t="array" ref="AF74">IF($J74="","",SUM(IF(LEFT($AG74:$DC74,1)="X",1,0)))</f>
        <v/>
      </c>
      <c r="AG74" s="897"/>
      <c r="AH74" s="897"/>
      <c r="AI74" s="897"/>
      <c r="AJ74" s="893"/>
      <c r="AK74" s="897"/>
      <c r="AL74" s="897"/>
      <c r="AM74" s="897"/>
      <c r="AN74" s="897"/>
      <c r="AO74" s="893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3"/>
      <c r="BB74" s="893"/>
      <c r="BC74" s="893"/>
      <c r="BD74" s="893"/>
      <c r="BE74" s="897"/>
      <c r="BF74" s="897"/>
      <c r="BG74" s="897"/>
      <c r="BH74" s="897"/>
      <c r="BI74" s="897"/>
      <c r="BJ74" s="893"/>
      <c r="BK74" s="897"/>
      <c r="BL74" s="893"/>
      <c r="BM74" s="897"/>
      <c r="BN74" s="897"/>
      <c r="BO74" s="893"/>
      <c r="BP74" s="897"/>
      <c r="BQ74" s="897"/>
      <c r="BR74" s="897"/>
      <c r="BS74" s="897"/>
      <c r="BT74" s="897"/>
      <c r="BU74" s="897"/>
      <c r="BV74" s="893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</row>
    <row r="75" spans="1:84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60"/>
        <v/>
      </c>
      <c r="M75" s="816" t="str">
        <f t="shared" si="61"/>
        <v/>
      </c>
      <c r="N75" s="816" t="str">
        <f t="shared" si="62"/>
        <v/>
      </c>
      <c r="R75" s="816" t="str">
        <f t="shared" si="63"/>
        <v/>
      </c>
      <c r="T75" s="829" t="str">
        <f t="shared" si="64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IF($J75="","",IF(SUM(IF(ISNUMBER(VALUE(RIGHT($AG75:$CK75,1))),VALUE(RIGHT($AG75:$CK75,1)),0))=$J75,"T","F"))</f>
        <v/>
      </c>
      <c r="AE75" s="831" t="str">
        <f t="array" ref="AE75">IF($J75="","",SUM(IF(LEFT($AG75:$DW75,1)="s",1,0))-SUM(IF(RIGHT(LEFT($AG75:$DW75,2))="-",1,0)))</f>
        <v/>
      </c>
      <c r="AF75" s="816" t="str">
        <f t="array" ref="AF75">IF($J75="","",SUM(IF(LEFT($AG75:$DC75,1)="X",1,0)))</f>
        <v/>
      </c>
      <c r="AG75" s="897"/>
      <c r="AH75" s="897"/>
      <c r="AI75" s="897"/>
      <c r="AJ75" s="893"/>
      <c r="AK75" s="897"/>
      <c r="AL75" s="897"/>
      <c r="AM75" s="897"/>
      <c r="AN75" s="897"/>
      <c r="AO75" s="893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3"/>
      <c r="BB75" s="893"/>
      <c r="BC75" s="893"/>
      <c r="BD75" s="893"/>
      <c r="BE75" s="897"/>
      <c r="BF75" s="897"/>
      <c r="BG75" s="897"/>
      <c r="BH75" s="897"/>
      <c r="BI75" s="897"/>
      <c r="BJ75" s="893"/>
      <c r="BK75" s="897"/>
      <c r="BL75" s="893"/>
      <c r="BM75" s="897"/>
      <c r="BN75" s="897"/>
      <c r="BO75" s="893"/>
      <c r="BP75" s="897"/>
      <c r="BQ75" s="897"/>
      <c r="BR75" s="897"/>
      <c r="BS75" s="897"/>
      <c r="BT75" s="897"/>
      <c r="BU75" s="897"/>
      <c r="BV75" s="893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</row>
    <row r="76" spans="1:84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60"/>
        <v/>
      </c>
      <c r="M76" s="816" t="str">
        <f t="shared" si="61"/>
        <v/>
      </c>
      <c r="N76" s="816" t="str">
        <f t="shared" si="62"/>
        <v/>
      </c>
      <c r="R76" s="816" t="str">
        <f t="shared" si="63"/>
        <v/>
      </c>
      <c r="T76" s="829" t="str">
        <f t="shared" si="64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IF($J76="","",IF(SUM(IF(ISNUMBER(VALUE(RIGHT($AG76:$CK76,1))),VALUE(RIGHT($AG76:$CK76,1)),0))=$J76,"T","F"))</f>
        <v/>
      </c>
      <c r="AE76" s="831" t="str">
        <f t="array" ref="AE76">IF($J76="","",SUM(IF(LEFT($AG76:$DW76,1)="s",1,0))-SUM(IF(RIGHT(LEFT($AG76:$DW76,2))="-",1,0)))</f>
        <v/>
      </c>
      <c r="AF76" s="816" t="str">
        <f t="array" ref="AF76">IF($J76="","",SUM(IF(LEFT($AG76:$DC76,1)="X",1,0)))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3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3"/>
      <c r="BB76" s="893"/>
      <c r="BC76" s="893"/>
      <c r="BD76" s="893"/>
      <c r="BE76" s="897"/>
      <c r="BF76" s="897"/>
      <c r="BG76" s="897"/>
      <c r="BH76" s="897"/>
      <c r="BI76" s="897"/>
      <c r="BJ76" s="893"/>
      <c r="BK76" s="897"/>
      <c r="BL76" s="893"/>
      <c r="BM76" s="897"/>
      <c r="BN76" s="897"/>
      <c r="BO76" s="893"/>
      <c r="BP76" s="897"/>
      <c r="BQ76" s="897"/>
      <c r="BR76" s="897"/>
      <c r="BS76" s="897"/>
      <c r="BT76" s="897"/>
      <c r="BU76" s="897"/>
      <c r="BV76" s="893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</row>
    <row r="77" spans="1:84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60"/>
        <v/>
      </c>
      <c r="M77" s="816" t="str">
        <f t="shared" si="61"/>
        <v/>
      </c>
      <c r="N77" s="816" t="str">
        <f t="shared" si="62"/>
        <v/>
      </c>
      <c r="R77" s="816" t="str">
        <f t="shared" si="63"/>
        <v/>
      </c>
      <c r="T77" s="829" t="str">
        <f t="shared" si="64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IF($J77="","",IF(SUM(IF(ISNUMBER(VALUE(RIGHT($AG77:$CK77,1))),VALUE(RIGHT($AG77:$CK77,1)),0))=$J77,"T","F"))</f>
        <v/>
      </c>
      <c r="AE77" s="831" t="str">
        <f t="array" ref="AE77">IF($J77="","",SUM(IF(LEFT($AG77:$DW77,1)="s",1,0))-SUM(IF(RIGHT(LEFT($AG77:$DW77,2))="-",1,0)))</f>
        <v/>
      </c>
      <c r="AF77" s="816" t="str">
        <f t="array" ref="AF77">IF($J77="","",SUM(IF(LEFT($AG77:$DC77,1)="X",1,0)))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3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3"/>
      <c r="BB77" s="893"/>
      <c r="BC77" s="893"/>
      <c r="BD77" s="893"/>
      <c r="BE77" s="897"/>
      <c r="BF77" s="897"/>
      <c r="BG77" s="897"/>
      <c r="BH77" s="897"/>
      <c r="BI77" s="897"/>
      <c r="BJ77" s="893"/>
      <c r="BK77" s="897"/>
      <c r="BL77" s="893"/>
      <c r="BM77" s="897"/>
      <c r="BN77" s="897"/>
      <c r="BO77" s="893"/>
      <c r="BP77" s="897"/>
      <c r="BQ77" s="897"/>
      <c r="BR77" s="897"/>
      <c r="BS77" s="897"/>
      <c r="BT77" s="897"/>
      <c r="BU77" s="897"/>
      <c r="BV77" s="893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</row>
    <row r="78" spans="1:84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60"/>
        <v/>
      </c>
      <c r="M78" s="816" t="str">
        <f t="shared" si="61"/>
        <v/>
      </c>
      <c r="N78" s="816" t="str">
        <f t="shared" si="62"/>
        <v/>
      </c>
      <c r="R78" s="816" t="str">
        <f t="shared" si="63"/>
        <v/>
      </c>
      <c r="T78" s="829" t="str">
        <f t="shared" si="64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IF($J78="","",IF(SUM(IF(ISNUMBER(VALUE(RIGHT($AG78:$CK78,1))),VALUE(RIGHT($AG78:$CK78,1)),0))=$J78,"T","F"))</f>
        <v/>
      </c>
      <c r="AE78" s="831" t="str">
        <f t="array" ref="AE78">IF($J78="","",SUM(IF(LEFT($AG78:$DW78,1)="s",1,0))-SUM(IF(RIGHT(LEFT($AG78:$DW78,2))="-",1,0)))</f>
        <v/>
      </c>
      <c r="AF78" s="816" t="str">
        <f t="array" ref="AF78">IF($J78="","",SUM(IF(LEFT($AG78:$DC78,1)="X",1,0)))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3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3"/>
      <c r="BB78" s="893"/>
      <c r="BC78" s="893"/>
      <c r="BD78" s="893"/>
      <c r="BE78" s="897"/>
      <c r="BF78" s="897"/>
      <c r="BG78" s="897"/>
      <c r="BH78" s="897"/>
      <c r="BI78" s="897"/>
      <c r="BJ78" s="893"/>
      <c r="BK78" s="897"/>
      <c r="BL78" s="893"/>
      <c r="BM78" s="897"/>
      <c r="BN78" s="897"/>
      <c r="BO78" s="893"/>
      <c r="BP78" s="897"/>
      <c r="BQ78" s="897"/>
      <c r="BR78" s="897"/>
      <c r="BS78" s="897"/>
      <c r="BT78" s="897"/>
      <c r="BU78" s="897"/>
      <c r="BV78" s="893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</row>
    <row r="79" spans="1:84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0"/>
        <v/>
      </c>
      <c r="M79" s="816" t="str">
        <f t="shared" si="61"/>
        <v/>
      </c>
      <c r="N79" s="816" t="str">
        <f t="shared" si="62"/>
        <v/>
      </c>
      <c r="R79" s="816" t="str">
        <f t="shared" si="63"/>
        <v/>
      </c>
      <c r="T79" s="829" t="str">
        <f t="shared" si="64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IF($J79="","",IF(SUM(IF(ISNUMBER(VALUE(RIGHT($AG79:$CK79,1))),VALUE(RIGHT($AG79:$CK79,1)),0))=$J79,"T","F"))</f>
        <v/>
      </c>
      <c r="AE79" s="831" t="str">
        <f t="array" ref="AE79">IF($J79="","",SUM(IF(LEFT($AG79:$DW79,1)="s",1,0))-SUM(IF(RIGHT(LEFT($AG79:$DW79,2))="-",1,0)))</f>
        <v/>
      </c>
      <c r="AF79" s="816" t="str">
        <f t="array" ref="AF79">IF($J79="","",SUM(IF(LEFT($AG79:$DC79,1)="X",1,0)))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3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3"/>
      <c r="BB79" s="893"/>
      <c r="BC79" s="893"/>
      <c r="BD79" s="893"/>
      <c r="BE79" s="897"/>
      <c r="BF79" s="897"/>
      <c r="BG79" s="897"/>
      <c r="BH79" s="897"/>
      <c r="BI79" s="897"/>
      <c r="BJ79" s="893"/>
      <c r="BK79" s="897"/>
      <c r="BL79" s="893"/>
      <c r="BM79" s="897"/>
      <c r="BN79" s="897"/>
      <c r="BO79" s="893"/>
      <c r="BP79" s="897"/>
      <c r="BQ79" s="897"/>
      <c r="BR79" s="897"/>
      <c r="BS79" s="897"/>
      <c r="BT79" s="897"/>
      <c r="BU79" s="897"/>
      <c r="BV79" s="893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</row>
    <row r="80" spans="1:84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0"/>
        <v/>
      </c>
      <c r="M80" s="816" t="str">
        <f t="shared" si="61"/>
        <v/>
      </c>
      <c r="N80" s="816" t="str">
        <f t="shared" si="62"/>
        <v/>
      </c>
      <c r="R80" s="816" t="str">
        <f t="shared" si="63"/>
        <v/>
      </c>
      <c r="T80" s="829" t="str">
        <f t="shared" si="64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IF($J80="","",IF(SUM(IF(ISNUMBER(VALUE(RIGHT($AG80:$CK80,1))),VALUE(RIGHT($AG80:$CK80,1)),0))=$J80,"T","F"))</f>
        <v/>
      </c>
      <c r="AE80" s="831" t="str">
        <f t="array" ref="AE80">IF($J80="","",SUM(IF(LEFT($AG80:$DW80,1)="s",1,0))-SUM(IF(RIGHT(LEFT($AG80:$DW80,2))="-",1,0)))</f>
        <v/>
      </c>
      <c r="AF80" s="816" t="str">
        <f t="array" ref="AF80">IF($J80="","",SUM(IF(LEFT($AG80:$DC80,1)="X",1,0)))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3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3"/>
      <c r="BB80" s="893"/>
      <c r="BC80" s="893"/>
      <c r="BD80" s="893"/>
      <c r="BE80" s="897"/>
      <c r="BF80" s="897"/>
      <c r="BG80" s="897"/>
      <c r="BH80" s="897"/>
      <c r="BI80" s="897"/>
      <c r="BJ80" s="893"/>
      <c r="BK80" s="897"/>
      <c r="BL80" s="893"/>
      <c r="BM80" s="897"/>
      <c r="BN80" s="897"/>
      <c r="BO80" s="893"/>
      <c r="BP80" s="897"/>
      <c r="BQ80" s="897"/>
      <c r="BR80" s="897"/>
      <c r="BS80" s="897"/>
      <c r="BT80" s="897"/>
      <c r="BU80" s="897"/>
      <c r="BV80" s="893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</row>
    <row r="81" spans="1:84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0"/>
        <v/>
      </c>
      <c r="M81" s="816" t="str">
        <f t="shared" si="61"/>
        <v/>
      </c>
      <c r="N81" s="816" t="str">
        <f t="shared" si="62"/>
        <v/>
      </c>
      <c r="R81" s="816" t="str">
        <f t="shared" si="63"/>
        <v/>
      </c>
      <c r="T81" s="829" t="str">
        <f t="shared" si="64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IF($J81="","",IF(SUM(IF(ISNUMBER(VALUE(RIGHT($AG81:$CK81,1))),VALUE(RIGHT($AG81:$CK81,1)),0))=$J81,"T","F"))</f>
        <v/>
      </c>
      <c r="AE81" s="831" t="str">
        <f t="array" ref="AE81">IF($J81="","",SUM(IF(LEFT($AG81:$DW81,1)="s",1,0))-SUM(IF(RIGHT(LEFT($AG81:$DW81,2))="-",1,0)))</f>
        <v/>
      </c>
      <c r="AF81" s="816" t="str">
        <f t="array" ref="AF81">IF($J81="","",SUM(IF(LEFT($AG81:$DC81,1)="X",1,0)))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3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3"/>
      <c r="BB81" s="893"/>
      <c r="BC81" s="893"/>
      <c r="BD81" s="893"/>
      <c r="BE81" s="897"/>
      <c r="BF81" s="897"/>
      <c r="BG81" s="897"/>
      <c r="BH81" s="897"/>
      <c r="BI81" s="897"/>
      <c r="BJ81" s="893"/>
      <c r="BK81" s="897"/>
      <c r="BL81" s="893"/>
      <c r="BM81" s="897"/>
      <c r="BN81" s="897"/>
      <c r="BO81" s="893"/>
      <c r="BP81" s="897"/>
      <c r="BQ81" s="897"/>
      <c r="BR81" s="897"/>
      <c r="BS81" s="897"/>
      <c r="BT81" s="897"/>
      <c r="BU81" s="897"/>
      <c r="BV81" s="893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</row>
    <row r="82" spans="1:84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0"/>
        <v/>
      </c>
      <c r="M82" s="816" t="str">
        <f t="shared" si="61"/>
        <v/>
      </c>
      <c r="N82" s="816" t="str">
        <f t="shared" si="62"/>
        <v/>
      </c>
      <c r="R82" s="816" t="str">
        <f t="shared" si="63"/>
        <v/>
      </c>
      <c r="T82" s="829" t="str">
        <f t="shared" si="64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IF($J82="","",IF(SUM(IF(ISNUMBER(VALUE(RIGHT($AG82:$CK82,1))),VALUE(RIGHT($AG82:$CK82,1)),0))=$J82,"T","F"))</f>
        <v/>
      </c>
      <c r="AE82" s="831" t="str">
        <f t="array" ref="AE82">IF($J82="","",SUM(IF(LEFT($AG82:$DW82,1)="s",1,0))-SUM(IF(RIGHT(LEFT($AG82:$DW82,2))="-",1,0)))</f>
        <v/>
      </c>
      <c r="AF82" s="816" t="str">
        <f t="array" ref="AF82">IF($J82="","",SUM(IF(LEFT($AG82:$DC82,1)="X",1,0)))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3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3"/>
      <c r="BB82" s="893"/>
      <c r="BC82" s="893"/>
      <c r="BD82" s="893"/>
      <c r="BE82" s="897"/>
      <c r="BF82" s="897"/>
      <c r="BG82" s="897"/>
      <c r="BH82" s="897"/>
      <c r="BI82" s="897"/>
      <c r="BJ82" s="893"/>
      <c r="BK82" s="897"/>
      <c r="BL82" s="893"/>
      <c r="BM82" s="897"/>
      <c r="BN82" s="897"/>
      <c r="BO82" s="893"/>
      <c r="BP82" s="897"/>
      <c r="BQ82" s="897"/>
      <c r="BR82" s="897"/>
      <c r="BS82" s="897"/>
      <c r="BT82" s="897"/>
      <c r="BU82" s="897"/>
      <c r="BV82" s="893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</row>
    <row r="83" spans="1:84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0"/>
        <v/>
      </c>
      <c r="M83" s="816" t="str">
        <f t="shared" si="61"/>
        <v/>
      </c>
      <c r="N83" s="816" t="str">
        <f t="shared" si="62"/>
        <v/>
      </c>
      <c r="R83" s="816" t="str">
        <f t="shared" si="63"/>
        <v/>
      </c>
      <c r="T83" s="829" t="str">
        <f t="shared" si="64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IF($J83="","",IF(SUM(IF(ISNUMBER(VALUE(RIGHT($AG83:$CK83,1))),VALUE(RIGHT($AG83:$CK83,1)),0))=$J83,"T","F"))</f>
        <v/>
      </c>
      <c r="AE83" s="831" t="str">
        <f t="array" ref="AE83">IF($J83="","",SUM(IF(LEFT($AG83:$DW83,1)="s",1,0))-SUM(IF(RIGHT(LEFT($AG83:$DW83,2))="-",1,0)))</f>
        <v/>
      </c>
      <c r="AF83" s="816" t="str">
        <f t="array" ref="AF83">IF($J83="","",SUM(IF(LEFT($AG83:$DC83,1)="X",1,0)))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3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3"/>
      <c r="BB83" s="893"/>
      <c r="BC83" s="893"/>
      <c r="BD83" s="893"/>
      <c r="BE83" s="897"/>
      <c r="BF83" s="897"/>
      <c r="BG83" s="897"/>
      <c r="BH83" s="897"/>
      <c r="BI83" s="897"/>
      <c r="BJ83" s="893"/>
      <c r="BK83" s="897"/>
      <c r="BL83" s="893"/>
      <c r="BM83" s="897"/>
      <c r="BN83" s="897"/>
      <c r="BO83" s="893"/>
      <c r="BP83" s="897"/>
      <c r="BQ83" s="897"/>
      <c r="BR83" s="897"/>
      <c r="BS83" s="897"/>
      <c r="BT83" s="897"/>
      <c r="BU83" s="897"/>
      <c r="BV83" s="893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</row>
    <row r="84" spans="1:84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0"/>
        <v/>
      </c>
      <c r="M84" s="816" t="str">
        <f t="shared" si="61"/>
        <v/>
      </c>
      <c r="N84" s="816" t="str">
        <f t="shared" si="62"/>
        <v/>
      </c>
      <c r="R84" s="816" t="str">
        <f t="shared" si="63"/>
        <v/>
      </c>
      <c r="T84" s="829" t="str">
        <f t="shared" si="64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IF($J84="","",IF(SUM(IF(ISNUMBER(VALUE(RIGHT($AG84:$CK84,1))),VALUE(RIGHT($AG84:$CK84,1)),0))=$J84,"T","F"))</f>
        <v/>
      </c>
      <c r="AE84" s="831" t="str">
        <f t="array" ref="AE84">IF($J84="","",SUM(IF(LEFT($AG84:$DW84,1)="s",1,0))-SUM(IF(RIGHT(LEFT($AG84:$DW84,2))="-",1,0)))</f>
        <v/>
      </c>
      <c r="AF84" s="816" t="str">
        <f t="array" ref="AF84">IF($J84="","",SUM(IF(LEFT($AG84:$DC84,1)="X",1,0)))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3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3"/>
      <c r="BB84" s="893"/>
      <c r="BC84" s="893"/>
      <c r="BD84" s="893"/>
      <c r="BE84" s="897"/>
      <c r="BF84" s="897"/>
      <c r="BG84" s="897"/>
      <c r="BH84" s="897"/>
      <c r="BI84" s="897"/>
      <c r="BJ84" s="893"/>
      <c r="BK84" s="897"/>
      <c r="BL84" s="893"/>
      <c r="BM84" s="897"/>
      <c r="BN84" s="897"/>
      <c r="BO84" s="893"/>
      <c r="BP84" s="897"/>
      <c r="BQ84" s="897"/>
      <c r="BR84" s="897"/>
      <c r="BS84" s="897"/>
      <c r="BT84" s="897"/>
      <c r="BU84" s="897"/>
      <c r="BV84" s="893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</row>
    <row r="85" spans="1:84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787"/>
      <c r="H85" s="833"/>
      <c r="I85" s="833"/>
      <c r="J85" s="833"/>
      <c r="K85" s="833"/>
      <c r="L85" s="816" t="str">
        <f t="shared" si="60"/>
        <v/>
      </c>
      <c r="M85" s="816" t="str">
        <f t="shared" si="61"/>
        <v/>
      </c>
      <c r="N85" s="816" t="str">
        <f t="shared" si="62"/>
        <v/>
      </c>
      <c r="R85" s="816" t="str">
        <f t="shared" si="63"/>
        <v/>
      </c>
      <c r="T85" s="829" t="str">
        <f t="shared" si="64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IF($J85="","",IF(SUM(IF(ISNUMBER(VALUE(RIGHT($AG85:$CK85,1))),VALUE(RIGHT($AG85:$CK85,1)),0))=$J85,"T","F"))</f>
        <v/>
      </c>
      <c r="AE85" s="831" t="str">
        <f t="array" ref="AE85">IF($J85="","",SUM(IF(LEFT($AG85:$DW85,1)="s",1,0))-SUM(IF(RIGHT(LEFT($AG85:$DW85,2))="-",1,0)))</f>
        <v/>
      </c>
      <c r="AF85" s="816" t="str">
        <f t="array" ref="AF85">IF($J85="","",SUM(IF(LEFT($AG85:$DC85,1)="X",1,0)))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3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3"/>
      <c r="BB85" s="893"/>
      <c r="BC85" s="893"/>
      <c r="BD85" s="893"/>
      <c r="BE85" s="897"/>
      <c r="BF85" s="897"/>
      <c r="BG85" s="897"/>
      <c r="BH85" s="897"/>
      <c r="BI85" s="897"/>
      <c r="BJ85" s="893"/>
      <c r="BK85" s="897"/>
      <c r="BL85" s="893"/>
      <c r="BM85" s="897"/>
      <c r="BN85" s="897"/>
      <c r="BO85" s="893"/>
      <c r="BP85" s="897"/>
      <c r="BQ85" s="897"/>
      <c r="BR85" s="897"/>
      <c r="BS85" s="897"/>
      <c r="BT85" s="897"/>
      <c r="BU85" s="897"/>
      <c r="BV85" s="893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</row>
    <row r="86" spans="1:84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60"/>
        <v/>
      </c>
      <c r="M86" s="816" t="str">
        <f t="shared" si="61"/>
        <v/>
      </c>
      <c r="N86" s="816" t="str">
        <f t="shared" si="62"/>
        <v/>
      </c>
      <c r="R86" s="816" t="str">
        <f t="shared" si="63"/>
        <v/>
      </c>
      <c r="T86" s="829" t="str">
        <f t="shared" si="64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IF($J86="","",IF(SUM(IF(ISNUMBER(VALUE(RIGHT($AG86:$CK86,1))),VALUE(RIGHT($AG86:$CK86,1)),0))=$J86,"T","F"))</f>
        <v/>
      </c>
      <c r="AE86" s="831" t="str">
        <f t="array" ref="AE86">IF($J86="","",SUM(IF(LEFT($AG86:$DW86,1)="s",1,0))-SUM(IF(RIGHT(LEFT($AG86:$DW86,2))="-",1,0)))</f>
        <v/>
      </c>
      <c r="AF86" s="816" t="str">
        <f t="array" ref="AF86">IF($J86="","",SUM(IF(LEFT($AG86:$DC86,1)="X",1,0)))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3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3"/>
      <c r="BB86" s="893"/>
      <c r="BC86" s="893"/>
      <c r="BD86" s="893"/>
      <c r="BE86" s="897"/>
      <c r="BF86" s="897"/>
      <c r="BG86" s="897"/>
      <c r="BH86" s="897"/>
      <c r="BI86" s="897"/>
      <c r="BJ86" s="893"/>
      <c r="BK86" s="897"/>
      <c r="BL86" s="893"/>
      <c r="BM86" s="897"/>
      <c r="BN86" s="897"/>
      <c r="BO86" s="893"/>
      <c r="BP86" s="897"/>
      <c r="BQ86" s="897"/>
      <c r="BR86" s="897"/>
      <c r="BS86" s="897"/>
      <c r="BT86" s="897"/>
      <c r="BU86" s="897"/>
      <c r="BV86" s="893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</row>
    <row r="87" spans="1:84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60"/>
        <v/>
      </c>
      <c r="M87" s="816" t="str">
        <f t="shared" si="61"/>
        <v/>
      </c>
      <c r="N87" s="816" t="str">
        <f t="shared" si="62"/>
        <v/>
      </c>
      <c r="R87" s="816" t="str">
        <f t="shared" si="63"/>
        <v/>
      </c>
      <c r="T87" s="829" t="str">
        <f t="shared" si="64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IF($J87="","",IF(SUM(IF(ISNUMBER(VALUE(RIGHT($AG87:$CK87,1))),VALUE(RIGHT($AG87:$CK87,1)),0))=$J87,"T","F"))</f>
        <v/>
      </c>
      <c r="AE87" s="831" t="str">
        <f t="array" ref="AE87">IF($J87="","",SUM(IF(LEFT($AG87:$DW87,1)="s",1,0))-SUM(IF(RIGHT(LEFT($AG87:$DW87,2))="-",1,0)))</f>
        <v/>
      </c>
      <c r="AF87" s="816" t="str">
        <f t="array" ref="AF87">IF($J87="","",SUM(IF(LEFT($AG87:$DC87,1)="X",1,0)))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3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3"/>
      <c r="BB87" s="893"/>
      <c r="BC87" s="893"/>
      <c r="BD87" s="893"/>
      <c r="BE87" s="897"/>
      <c r="BF87" s="897"/>
      <c r="BG87" s="897"/>
      <c r="BH87" s="897"/>
      <c r="BI87" s="897"/>
      <c r="BJ87" s="893"/>
      <c r="BK87" s="897"/>
      <c r="BL87" s="893"/>
      <c r="BM87" s="897"/>
      <c r="BN87" s="897"/>
      <c r="BO87" s="893"/>
      <c r="BP87" s="897"/>
      <c r="BQ87" s="897"/>
      <c r="BR87" s="897"/>
      <c r="BS87" s="897"/>
      <c r="BT87" s="897"/>
      <c r="BU87" s="897"/>
      <c r="BV87" s="893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</row>
    <row r="88" spans="1:84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0"/>
        <v/>
      </c>
      <c r="M88" s="816" t="str">
        <f t="shared" si="61"/>
        <v/>
      </c>
      <c r="N88" s="816" t="str">
        <f t="shared" si="62"/>
        <v/>
      </c>
      <c r="R88" s="816" t="str">
        <f t="shared" si="63"/>
        <v/>
      </c>
      <c r="T88" s="829" t="str">
        <f t="shared" si="64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IF($J88="","",IF(SUM(IF(ISNUMBER(VALUE(RIGHT($AG88:$CK88,1))),VALUE(RIGHT($AG88:$CK88,1)),0))=$J88,"T","F"))</f>
        <v/>
      </c>
      <c r="AE88" s="831" t="str">
        <f t="array" ref="AE88">IF($J88="","",SUM(IF(LEFT($AG88:$DW88,1)="s",1,0))-SUM(IF(RIGHT(LEFT($AG88:$DW88,2))="-",1,0)))</f>
        <v/>
      </c>
      <c r="AF88" s="816" t="str">
        <f t="array" ref="AF88">IF($J88="","",SUM(IF(LEFT($AG88:$DC88,1)="X",1,0)))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3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3"/>
      <c r="BB88" s="893"/>
      <c r="BC88" s="893"/>
      <c r="BD88" s="893"/>
      <c r="BE88" s="897"/>
      <c r="BF88" s="897"/>
      <c r="BG88" s="897"/>
      <c r="BH88" s="897"/>
      <c r="BI88" s="897"/>
      <c r="BJ88" s="893"/>
      <c r="BK88" s="897"/>
      <c r="BL88" s="893"/>
      <c r="BM88" s="897"/>
      <c r="BN88" s="897"/>
      <c r="BO88" s="893"/>
      <c r="BP88" s="897"/>
      <c r="BQ88" s="897"/>
      <c r="BR88" s="897"/>
      <c r="BS88" s="897"/>
      <c r="BT88" s="897"/>
      <c r="BU88" s="897"/>
      <c r="BV88" s="893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</row>
    <row r="89" spans="1:84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0"/>
        <v/>
      </c>
      <c r="M89" s="816" t="str">
        <f t="shared" si="61"/>
        <v/>
      </c>
      <c r="N89" s="816" t="str">
        <f t="shared" si="62"/>
        <v/>
      </c>
      <c r="R89" s="816" t="str">
        <f t="shared" si="63"/>
        <v/>
      </c>
      <c r="T89" s="829" t="str">
        <f t="shared" si="64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IF($J89="","",IF(SUM(IF(ISNUMBER(VALUE(RIGHT($AG89:$CK89,1))),VALUE(RIGHT($AG89:$CK89,1)),0))=$J89,"T","F"))</f>
        <v/>
      </c>
      <c r="AE89" s="831" t="str">
        <f t="array" ref="AE89">IF($J89="","",SUM(IF(LEFT($AG89:$DW89,1)="s",1,0))-SUM(IF(RIGHT(LEFT($AG89:$DW89,2))="-",1,0)))</f>
        <v/>
      </c>
      <c r="AF89" s="816" t="str">
        <f t="array" ref="AF89">IF($J89="","",SUM(IF(LEFT($AG89:$DC89,1)="X",1,0)))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3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3"/>
      <c r="BB89" s="893"/>
      <c r="BC89" s="893"/>
      <c r="BD89" s="893"/>
      <c r="BE89" s="897"/>
      <c r="BF89" s="897"/>
      <c r="BG89" s="897"/>
      <c r="BH89" s="897"/>
      <c r="BI89" s="897"/>
      <c r="BJ89" s="893"/>
      <c r="BK89" s="897"/>
      <c r="BL89" s="893"/>
      <c r="BM89" s="897"/>
      <c r="BN89" s="897"/>
      <c r="BO89" s="893"/>
      <c r="BP89" s="897"/>
      <c r="BQ89" s="897"/>
      <c r="BR89" s="897"/>
      <c r="BS89" s="897"/>
      <c r="BT89" s="897"/>
      <c r="BU89" s="897"/>
      <c r="BV89" s="893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</row>
    <row r="90" spans="1:84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0"/>
        <v/>
      </c>
      <c r="M90" s="816" t="str">
        <f t="shared" si="61"/>
        <v/>
      </c>
      <c r="N90" s="816" t="str">
        <f t="shared" si="62"/>
        <v/>
      </c>
      <c r="R90" s="816" t="str">
        <f t="shared" si="63"/>
        <v/>
      </c>
      <c r="T90" s="829" t="str">
        <f t="shared" si="64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IF($J90="","",IF(SUM(IF(ISNUMBER(VALUE(RIGHT($AG90:$CK90,1))),VALUE(RIGHT($AG90:$CK90,1)),0))=$J90,"T","F"))</f>
        <v/>
      </c>
      <c r="AE90" s="831" t="str">
        <f t="array" ref="AE90">IF($J90="","",SUM(IF(LEFT($AG90:$DW90,1)="s",1,0))-SUM(IF(RIGHT(LEFT($AG90:$DW90,2))="-",1,0)))</f>
        <v/>
      </c>
      <c r="AF90" s="816" t="str">
        <f t="array" ref="AF90">IF($J90="","",SUM(IF(LEFT($AG90:$DC90,1)="X",1,0)))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3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3"/>
      <c r="BB90" s="893"/>
      <c r="BC90" s="893"/>
      <c r="BD90" s="893"/>
      <c r="BE90" s="897"/>
      <c r="BF90" s="897"/>
      <c r="BG90" s="897"/>
      <c r="BH90" s="897"/>
      <c r="BI90" s="897"/>
      <c r="BJ90" s="893"/>
      <c r="BK90" s="897"/>
      <c r="BL90" s="893"/>
      <c r="BM90" s="897"/>
      <c r="BN90" s="897"/>
      <c r="BO90" s="893"/>
      <c r="BP90" s="897"/>
      <c r="BQ90" s="897"/>
      <c r="BR90" s="897"/>
      <c r="BS90" s="897"/>
      <c r="BT90" s="897"/>
      <c r="BU90" s="897"/>
      <c r="BV90" s="893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</row>
    <row r="91" spans="1:84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0"/>
        <v/>
      </c>
      <c r="M91" s="816" t="str">
        <f t="shared" si="61"/>
        <v/>
      </c>
      <c r="N91" s="816" t="str">
        <f t="shared" si="62"/>
        <v/>
      </c>
      <c r="R91" s="816" t="str">
        <f t="shared" si="63"/>
        <v/>
      </c>
      <c r="T91" s="829" t="str">
        <f t="shared" si="64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IF($J91="","",IF(SUM(IF(ISNUMBER(VALUE(RIGHT($AG91:$CK91,1))),VALUE(RIGHT($AG91:$CK91,1)),0))=$J91,"T","F"))</f>
        <v/>
      </c>
      <c r="AE91" s="831" t="str">
        <f t="array" ref="AE91">IF($J91="","",SUM(IF(LEFT($AG91:$DW91,1)="s",1,0))-SUM(IF(RIGHT(LEFT($AG91:$DW91,2))="-",1,0)))</f>
        <v/>
      </c>
      <c r="AF91" s="816" t="str">
        <f t="array" ref="AF91">IF($J91="","",SUM(IF(LEFT($AG91:$DC91,1)="X",1,0)))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3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3"/>
      <c r="BB91" s="893"/>
      <c r="BC91" s="893"/>
      <c r="BD91" s="893"/>
      <c r="BE91" s="897"/>
      <c r="BF91" s="897"/>
      <c r="BG91" s="897"/>
      <c r="BH91" s="897"/>
      <c r="BI91" s="897"/>
      <c r="BJ91" s="893"/>
      <c r="BK91" s="897"/>
      <c r="BL91" s="893"/>
      <c r="BM91" s="897"/>
      <c r="BN91" s="897"/>
      <c r="BO91" s="893"/>
      <c r="BP91" s="897"/>
      <c r="BQ91" s="897"/>
      <c r="BR91" s="897"/>
      <c r="BS91" s="897"/>
      <c r="BT91" s="897"/>
      <c r="BU91" s="897"/>
      <c r="BV91" s="893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</row>
    <row r="92" spans="1:84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0"/>
        <v/>
      </c>
      <c r="M92" s="816" t="str">
        <f t="shared" si="61"/>
        <v/>
      </c>
      <c r="N92" s="816" t="str">
        <f t="shared" si="62"/>
        <v/>
      </c>
      <c r="R92" s="816" t="str">
        <f t="shared" si="63"/>
        <v/>
      </c>
      <c r="T92" s="829" t="str">
        <f t="shared" si="64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IF($J92="","",IF(SUM(IF(ISNUMBER(VALUE(RIGHT($AG92:$CK92,1))),VALUE(RIGHT($AG92:$CK92,1)),0))=$J92,"T","F"))</f>
        <v/>
      </c>
      <c r="AE92" s="831" t="str">
        <f t="array" ref="AE92">IF($J92="","",SUM(IF(LEFT($AG92:$DW92,1)="s",1,0))-SUM(IF(RIGHT(LEFT($AG92:$DW92,2))="-",1,0)))</f>
        <v/>
      </c>
      <c r="AF92" s="816" t="str">
        <f t="array" ref="AF92">IF($J92="","",SUM(IF(LEFT($AG92:$DC92,1)="X",1,0)))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3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3"/>
      <c r="BB92" s="893"/>
      <c r="BC92" s="893"/>
      <c r="BD92" s="893"/>
      <c r="BE92" s="897"/>
      <c r="BF92" s="897"/>
      <c r="BG92" s="897"/>
      <c r="BH92" s="897"/>
      <c r="BI92" s="897"/>
      <c r="BJ92" s="893"/>
      <c r="BK92" s="897"/>
      <c r="BL92" s="893"/>
      <c r="BM92" s="897"/>
      <c r="BN92" s="897"/>
      <c r="BO92" s="893"/>
      <c r="BP92" s="897"/>
      <c r="BQ92" s="897"/>
      <c r="BR92" s="897"/>
      <c r="BS92" s="897"/>
      <c r="BT92" s="897"/>
      <c r="BU92" s="897"/>
      <c r="BV92" s="893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</row>
    <row r="93" spans="1:84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0"/>
        <v/>
      </c>
      <c r="M93" s="816" t="str">
        <f t="shared" si="61"/>
        <v/>
      </c>
      <c r="N93" s="816" t="str">
        <f t="shared" si="62"/>
        <v/>
      </c>
      <c r="R93" s="816" t="str">
        <f t="shared" si="63"/>
        <v/>
      </c>
      <c r="T93" s="829" t="str">
        <f t="shared" si="64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IF($J93="","",IF(SUM(IF(ISNUMBER(VALUE(RIGHT($AG93:$CK93,1))),VALUE(RIGHT($AG93:$CK93,1)),0))=$J93,"T","F"))</f>
        <v/>
      </c>
      <c r="AE93" s="831" t="str">
        <f t="array" ref="AE93">IF($J93="","",SUM(IF(LEFT($AG93:$DW93,1)="s",1,0))-SUM(IF(RIGHT(LEFT($AG93:$DW93,2))="-",1,0)))</f>
        <v/>
      </c>
      <c r="AF93" s="816" t="str">
        <f t="array" ref="AF93">IF($J93="","",SUM(IF(LEFT($AG93:$DC93,1)="X",1,0)))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3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3"/>
      <c r="BB93" s="893"/>
      <c r="BC93" s="893"/>
      <c r="BD93" s="893"/>
      <c r="BE93" s="897"/>
      <c r="BF93" s="897"/>
      <c r="BG93" s="897"/>
      <c r="BH93" s="897"/>
      <c r="BI93" s="897"/>
      <c r="BJ93" s="893"/>
      <c r="BK93" s="897"/>
      <c r="BL93" s="893"/>
      <c r="BM93" s="897"/>
      <c r="BN93" s="897"/>
      <c r="BO93" s="893"/>
      <c r="BP93" s="897"/>
      <c r="BQ93" s="897"/>
      <c r="BR93" s="897"/>
      <c r="BS93" s="897"/>
      <c r="BT93" s="897"/>
      <c r="BU93" s="897"/>
      <c r="BV93" s="893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</row>
    <row r="94" spans="1:84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0"/>
        <v/>
      </c>
      <c r="M94" s="816" t="str">
        <f t="shared" si="61"/>
        <v/>
      </c>
      <c r="N94" s="816" t="str">
        <f t="shared" si="62"/>
        <v/>
      </c>
      <c r="R94" s="816" t="str">
        <f t="shared" si="63"/>
        <v/>
      </c>
      <c r="T94" s="829" t="str">
        <f t="shared" si="64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IF($J94="","",IF(SUM(IF(ISNUMBER(VALUE(RIGHT($AG94:$CK94,1))),VALUE(RIGHT($AG94:$CK94,1)),0))=$J94,"T","F"))</f>
        <v/>
      </c>
      <c r="AE94" s="831" t="str">
        <f t="array" ref="AE94">IF($J94="","",SUM(IF(LEFT($AG94:$DW94,1)="s",1,0))-SUM(IF(RIGHT(LEFT($AG94:$DW94,2))="-",1,0)))</f>
        <v/>
      </c>
      <c r="AF94" s="816" t="str">
        <f t="array" ref="AF94">IF($J94="","",SUM(IF(LEFT($AG94:$DC94,1)="X",1,0)))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3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3"/>
      <c r="BB94" s="893"/>
      <c r="BC94" s="893"/>
      <c r="BD94" s="893"/>
      <c r="BE94" s="897"/>
      <c r="BF94" s="897"/>
      <c r="BG94" s="897"/>
      <c r="BH94" s="897"/>
      <c r="BI94" s="897"/>
      <c r="BJ94" s="893"/>
      <c r="BK94" s="897"/>
      <c r="BL94" s="893"/>
      <c r="BM94" s="897"/>
      <c r="BN94" s="897"/>
      <c r="BO94" s="893"/>
      <c r="BP94" s="897"/>
      <c r="BQ94" s="897"/>
      <c r="BR94" s="897"/>
      <c r="BS94" s="897"/>
      <c r="BT94" s="897"/>
      <c r="BU94" s="897"/>
      <c r="BV94" s="893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</row>
    <row r="95" spans="1:84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0"/>
        <v/>
      </c>
      <c r="M95" s="816" t="str">
        <f t="shared" si="61"/>
        <v/>
      </c>
      <c r="N95" s="816" t="str">
        <f t="shared" si="62"/>
        <v/>
      </c>
      <c r="R95" s="816" t="str">
        <f t="shared" si="63"/>
        <v/>
      </c>
      <c r="T95" s="829" t="str">
        <f t="shared" si="64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IF($J95="","",IF(SUM(IF(ISNUMBER(VALUE(RIGHT($AG95:$CK95,1))),VALUE(RIGHT($AG95:$CK95,1)),0))=$J95,"T","F"))</f>
        <v/>
      </c>
      <c r="AE95" s="831" t="str">
        <f t="array" ref="AE95">IF($J95="","",SUM(IF(LEFT($AG95:$DW95,1)="s",1,0))-SUM(IF(RIGHT(LEFT($AG95:$DW95,2))="-",1,0)))</f>
        <v/>
      </c>
      <c r="AF95" s="816" t="str">
        <f t="array" ref="AF95">IF($J95="","",SUM(IF(LEFT($AG95:$DC95,1)="X",1,0)))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3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3"/>
      <c r="BB95" s="893"/>
      <c r="BC95" s="893"/>
      <c r="BD95" s="893"/>
      <c r="BE95" s="897"/>
      <c r="BF95" s="897"/>
      <c r="BG95" s="897"/>
      <c r="BH95" s="897"/>
      <c r="BI95" s="897"/>
      <c r="BJ95" s="893"/>
      <c r="BK95" s="897"/>
      <c r="BL95" s="893"/>
      <c r="BM95" s="897"/>
      <c r="BN95" s="897"/>
      <c r="BO95" s="893"/>
      <c r="BP95" s="897"/>
      <c r="BQ95" s="897"/>
      <c r="BR95" s="897"/>
      <c r="BS95" s="897"/>
      <c r="BT95" s="897"/>
      <c r="BU95" s="897"/>
      <c r="BV95" s="893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</row>
    <row r="96" spans="1:84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0"/>
        <v/>
      </c>
      <c r="M96" s="816" t="str">
        <f t="shared" si="61"/>
        <v/>
      </c>
      <c r="N96" s="816" t="str">
        <f t="shared" si="62"/>
        <v/>
      </c>
      <c r="R96" s="816" t="str">
        <f t="shared" si="63"/>
        <v/>
      </c>
      <c r="T96" s="829" t="str">
        <f t="shared" si="64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IF($J96="","",IF(SUM(IF(ISNUMBER(VALUE(RIGHT($AG96:$CK96,1))),VALUE(RIGHT($AG96:$CK96,1)),0))=$J96,"T","F"))</f>
        <v/>
      </c>
      <c r="AE96" s="831" t="str">
        <f t="array" ref="AE96">IF($J96="","",SUM(IF(LEFT($AG96:$DW96,1)="s",1,0))-SUM(IF(RIGHT(LEFT($AG96:$DW96,2))="-",1,0)))</f>
        <v/>
      </c>
      <c r="AF96" s="816" t="str">
        <f t="array" ref="AF96">IF($J96="","",SUM(IF(LEFT($AG96:$DC96,1)="X",1,0)))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3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3"/>
      <c r="BB96" s="893"/>
      <c r="BC96" s="893"/>
      <c r="BD96" s="893"/>
      <c r="BE96" s="897"/>
      <c r="BF96" s="897"/>
      <c r="BG96" s="897"/>
      <c r="BH96" s="897"/>
      <c r="BI96" s="897"/>
      <c r="BJ96" s="893"/>
      <c r="BK96" s="897"/>
      <c r="BL96" s="893"/>
      <c r="BM96" s="897"/>
      <c r="BN96" s="897"/>
      <c r="BO96" s="893"/>
      <c r="BP96" s="897"/>
      <c r="BQ96" s="897"/>
      <c r="BR96" s="897"/>
      <c r="BS96" s="897"/>
      <c r="BT96" s="897"/>
      <c r="BU96" s="897"/>
      <c r="BV96" s="893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</row>
    <row r="97" spans="1:84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0"/>
        <v/>
      </c>
      <c r="M97" s="816" t="str">
        <f t="shared" si="61"/>
        <v/>
      </c>
      <c r="N97" s="816" t="str">
        <f t="shared" si="62"/>
        <v/>
      </c>
      <c r="R97" s="816" t="str">
        <f t="shared" si="63"/>
        <v/>
      </c>
      <c r="T97" s="829" t="str">
        <f t="shared" si="64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IF($J97="","",IF(SUM(IF(ISNUMBER(VALUE(RIGHT($AG97:$CK97,1))),VALUE(RIGHT($AG97:$CK97,1)),0))=$J97,"T","F"))</f>
        <v/>
      </c>
      <c r="AE97" s="831" t="str">
        <f t="array" ref="AE97">IF($J97="","",SUM(IF(LEFT($AG97:$DW97,1)="s",1,0))-SUM(IF(RIGHT(LEFT($AG97:$DW97,2))="-",1,0)))</f>
        <v/>
      </c>
      <c r="AF97" s="816" t="str">
        <f t="array" ref="AF97">IF($J97="","",SUM(IF(LEFT($AG97:$DC97,1)="X",1,0)))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3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3"/>
      <c r="BB97" s="893"/>
      <c r="BC97" s="893"/>
      <c r="BD97" s="893"/>
      <c r="BE97" s="897"/>
      <c r="BF97" s="897"/>
      <c r="BG97" s="897"/>
      <c r="BH97" s="897"/>
      <c r="BI97" s="897"/>
      <c r="BJ97" s="893"/>
      <c r="BK97" s="897"/>
      <c r="BL97" s="893"/>
      <c r="BM97" s="897"/>
      <c r="BN97" s="897"/>
      <c r="BO97" s="893"/>
      <c r="BP97" s="897"/>
      <c r="BQ97" s="897"/>
      <c r="BR97" s="897"/>
      <c r="BS97" s="897"/>
      <c r="BT97" s="897"/>
      <c r="BU97" s="897"/>
      <c r="BV97" s="893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</row>
    <row r="98" spans="1:84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0"/>
        <v/>
      </c>
      <c r="M98" s="816" t="str">
        <f t="shared" si="61"/>
        <v/>
      </c>
      <c r="N98" s="816" t="str">
        <f t="shared" si="62"/>
        <v/>
      </c>
      <c r="R98" s="816" t="str">
        <f t="shared" si="63"/>
        <v/>
      </c>
      <c r="T98" s="829" t="str">
        <f t="shared" si="64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IF($J98="","",IF(SUM(IF(ISNUMBER(VALUE(RIGHT($AG98:$CK98,1))),VALUE(RIGHT($AG98:$CK98,1)),0))=$J98,"T","F"))</f>
        <v/>
      </c>
      <c r="AE98" s="831" t="str">
        <f t="array" ref="AE98">IF($J98="","",SUM(IF(LEFT($AG98:$DW98,1)="s",1,0))-SUM(IF(RIGHT(LEFT($AG98:$DW98,2))="-",1,0)))</f>
        <v/>
      </c>
      <c r="AF98" s="816" t="str">
        <f t="array" ref="AF98">IF($J98="","",SUM(IF(LEFT($AG98:$DC98,1)="X",1,0)))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3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3"/>
      <c r="BB98" s="893"/>
      <c r="BC98" s="893"/>
      <c r="BD98" s="893"/>
      <c r="BE98" s="897"/>
      <c r="BF98" s="897"/>
      <c r="BG98" s="897"/>
      <c r="BH98" s="897"/>
      <c r="BI98" s="897"/>
      <c r="BJ98" s="893"/>
      <c r="BK98" s="897"/>
      <c r="BL98" s="893"/>
      <c r="BM98" s="897"/>
      <c r="BN98" s="897"/>
      <c r="BO98" s="893"/>
      <c r="BP98" s="897"/>
      <c r="BQ98" s="897"/>
      <c r="BR98" s="897"/>
      <c r="BS98" s="897"/>
      <c r="BT98" s="897"/>
      <c r="BU98" s="897"/>
      <c r="BV98" s="893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</row>
    <row r="99" spans="1:84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0"/>
        <v/>
      </c>
      <c r="M99" s="816" t="str">
        <f t="shared" si="61"/>
        <v/>
      </c>
      <c r="N99" s="816" t="str">
        <f t="shared" si="62"/>
        <v/>
      </c>
      <c r="R99" s="816" t="str">
        <f t="shared" si="63"/>
        <v/>
      </c>
      <c r="T99" s="829" t="str">
        <f t="shared" si="64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IF($J99="","",IF(SUM(IF(ISNUMBER(VALUE(RIGHT($AG99:$CK99,1))),VALUE(RIGHT($AG99:$CK99,1)),0))=$J99,"T","F"))</f>
        <v/>
      </c>
      <c r="AE99" s="831" t="str">
        <f t="array" ref="AE99">IF($J99="","",SUM(IF(LEFT($AG99:$DW99,1)="s",1,0))-SUM(IF(RIGHT(LEFT($AG99:$DW99,2))="-",1,0)))</f>
        <v/>
      </c>
      <c r="AF99" s="816" t="str">
        <f t="array" ref="AF99">IF($J99="","",SUM(IF(LEFT($AG99:$DC99,1)="X",1,0)))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3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3"/>
      <c r="BB99" s="893"/>
      <c r="BC99" s="893"/>
      <c r="BD99" s="893"/>
      <c r="BE99" s="897"/>
      <c r="BF99" s="897"/>
      <c r="BG99" s="897"/>
      <c r="BH99" s="897"/>
      <c r="BI99" s="897"/>
      <c r="BJ99" s="893"/>
      <c r="BK99" s="897"/>
      <c r="BL99" s="893"/>
      <c r="BM99" s="897"/>
      <c r="BN99" s="897"/>
      <c r="BO99" s="893"/>
      <c r="BP99" s="897"/>
      <c r="BQ99" s="897"/>
      <c r="BR99" s="897"/>
      <c r="BS99" s="897"/>
      <c r="BT99" s="897"/>
      <c r="BU99" s="897"/>
      <c r="BV99" s="893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</row>
    <row r="100" spans="1:84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0"/>
        <v/>
      </c>
      <c r="M100" s="816" t="str">
        <f t="shared" si="61"/>
        <v/>
      </c>
      <c r="N100" s="816" t="str">
        <f t="shared" si="62"/>
        <v/>
      </c>
      <c r="R100" s="816" t="str">
        <f t="shared" si="63"/>
        <v/>
      </c>
      <c r="T100" s="829" t="str">
        <f t="shared" si="64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IF($J100="","",IF(SUM(IF(ISNUMBER(VALUE(RIGHT($AG100:$CK100,1))),VALUE(RIGHT($AG100:$CK100,1)),0))=$J100,"T","F"))</f>
        <v/>
      </c>
      <c r="AE100" s="831" t="str">
        <f t="array" ref="AE100">IF($J100="","",SUM(IF(LEFT($AG100:$DW100,1)="s",1,0))-SUM(IF(RIGHT(LEFT($AG100:$DW100,2))="-",1,0)))</f>
        <v/>
      </c>
      <c r="AF100" s="816" t="str">
        <f t="array" ref="AF100">IF($J100="","",SUM(IF(LEFT($AG100:$DC100,1)="X",1,0)))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3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3"/>
      <c r="BB100" s="893"/>
      <c r="BC100" s="893"/>
      <c r="BD100" s="893"/>
      <c r="BE100" s="897"/>
      <c r="BF100" s="897"/>
      <c r="BG100" s="897"/>
      <c r="BH100" s="897"/>
      <c r="BI100" s="897"/>
      <c r="BJ100" s="893"/>
      <c r="BK100" s="897"/>
      <c r="BL100" s="893"/>
      <c r="BM100" s="897"/>
      <c r="BN100" s="897"/>
      <c r="BO100" s="893"/>
      <c r="BP100" s="897"/>
      <c r="BQ100" s="897"/>
      <c r="BR100" s="897"/>
      <c r="BS100" s="897"/>
      <c r="BT100" s="897"/>
      <c r="BU100" s="897"/>
      <c r="BV100" s="893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</row>
    <row r="101" spans="1:84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0"/>
        <v/>
      </c>
      <c r="M101" s="816" t="str">
        <f t="shared" si="61"/>
        <v/>
      </c>
      <c r="N101" s="816" t="str">
        <f t="shared" si="62"/>
        <v/>
      </c>
      <c r="R101" s="816" t="str">
        <f t="shared" si="63"/>
        <v/>
      </c>
      <c r="T101" s="829" t="str">
        <f t="shared" si="64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IF($J101="","",IF(SUM(IF(ISNUMBER(VALUE(RIGHT($AG101:$CK101,1))),VALUE(RIGHT($AG101:$CK101,1)),0))=$J101,"T","F"))</f>
        <v/>
      </c>
      <c r="AE101" s="831" t="str">
        <f t="array" ref="AE101">IF($J101="","",SUM(IF(LEFT($AG101:$DW101,1)="s",1,0))-SUM(IF(RIGHT(LEFT($AG101:$DW101,2))="-",1,0)))</f>
        <v/>
      </c>
      <c r="AF101" s="816" t="str">
        <f t="array" ref="AF101">IF($J101="","",SUM(IF(LEFT($AG101:$DC101,1)="X",1,0)))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3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3"/>
      <c r="BB101" s="893"/>
      <c r="BC101" s="893"/>
      <c r="BD101" s="893"/>
      <c r="BE101" s="897"/>
      <c r="BF101" s="897"/>
      <c r="BG101" s="897"/>
      <c r="BH101" s="897"/>
      <c r="BI101" s="897"/>
      <c r="BJ101" s="893"/>
      <c r="BK101" s="897"/>
      <c r="BL101" s="893"/>
      <c r="BM101" s="897"/>
      <c r="BN101" s="897"/>
      <c r="BO101" s="893"/>
      <c r="BP101" s="897"/>
      <c r="BQ101" s="897"/>
      <c r="BR101" s="897"/>
      <c r="BS101" s="897"/>
      <c r="BT101" s="897"/>
      <c r="BU101" s="897"/>
      <c r="BV101" s="893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</row>
    <row r="102" spans="1:84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0"/>
        <v/>
      </c>
      <c r="M102" s="816" t="str">
        <f t="shared" si="61"/>
        <v/>
      </c>
      <c r="N102" s="816" t="str">
        <f t="shared" si="62"/>
        <v/>
      </c>
      <c r="R102" s="816" t="str">
        <f t="shared" si="63"/>
        <v/>
      </c>
      <c r="T102" s="829" t="str">
        <f t="shared" si="64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IF($J102="","",IF(SUM(IF(ISNUMBER(VALUE(RIGHT($AG102:$CK102,1))),VALUE(RIGHT($AG102:$CK102,1)),0))=$J102,"T","F"))</f>
        <v/>
      </c>
      <c r="AE102" s="831" t="str">
        <f t="array" ref="AE102">IF($J102="","",SUM(IF(LEFT($AG102:$DW102,1)="s",1,0))-SUM(IF(RIGHT(LEFT($AG102:$DW102,2))="-",1,0)))</f>
        <v/>
      </c>
      <c r="AF102" s="816" t="str">
        <f t="array" ref="AF102">IF($J102="","",SUM(IF(LEFT($AG102:$DC102,1)="X",1,0)))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3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3"/>
      <c r="BB102" s="893"/>
      <c r="BC102" s="893"/>
      <c r="BD102" s="893"/>
      <c r="BE102" s="897"/>
      <c r="BF102" s="897"/>
      <c r="BG102" s="897"/>
      <c r="BH102" s="897"/>
      <c r="BI102" s="897"/>
      <c r="BJ102" s="893"/>
      <c r="BK102" s="897"/>
      <c r="BL102" s="893"/>
      <c r="BM102" s="897"/>
      <c r="BN102" s="897"/>
      <c r="BO102" s="893"/>
      <c r="BP102" s="897"/>
      <c r="BQ102" s="897"/>
      <c r="BR102" s="897"/>
      <c r="BS102" s="897"/>
      <c r="BT102" s="897"/>
      <c r="BU102" s="897"/>
      <c r="BV102" s="893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</row>
    <row r="103" spans="1:84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0"/>
        <v/>
      </c>
      <c r="M103" s="816" t="str">
        <f t="shared" si="61"/>
        <v/>
      </c>
      <c r="N103" s="816" t="str">
        <f t="shared" si="62"/>
        <v/>
      </c>
      <c r="R103" s="816" t="str">
        <f t="shared" si="63"/>
        <v/>
      </c>
      <c r="T103" s="829" t="str">
        <f t="shared" si="64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IF($J103="","",IF(SUM(IF(ISNUMBER(VALUE(RIGHT($AG103:$CK103,1))),VALUE(RIGHT($AG103:$CK103,1)),0))=$J103,"T","F"))</f>
        <v/>
      </c>
      <c r="AE103" s="831" t="str">
        <f t="array" ref="AE103">IF($J103="","",SUM(IF(LEFT($AG103:$DW103,1)="s",1,0))-SUM(IF(RIGHT(LEFT($AG103:$DW103,2))="-",1,0)))</f>
        <v/>
      </c>
      <c r="AF103" s="816" t="str">
        <f t="array" ref="AF103">IF($J103="","",SUM(IF(LEFT($AG103:$DC103,1)="X",1,0)))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3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3"/>
      <c r="BB103" s="893"/>
      <c r="BC103" s="893"/>
      <c r="BD103" s="893"/>
      <c r="BE103" s="897"/>
      <c r="BF103" s="897"/>
      <c r="BG103" s="897"/>
      <c r="BH103" s="897"/>
      <c r="BI103" s="897"/>
      <c r="BJ103" s="893"/>
      <c r="BK103" s="897"/>
      <c r="BL103" s="893"/>
      <c r="BM103" s="897"/>
      <c r="BN103" s="897"/>
      <c r="BO103" s="893"/>
      <c r="BP103" s="897"/>
      <c r="BQ103" s="897"/>
      <c r="BR103" s="897"/>
      <c r="BS103" s="897"/>
      <c r="BT103" s="897"/>
      <c r="BU103" s="897"/>
      <c r="BV103" s="893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</row>
    <row r="104" spans="1:84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0"/>
        <v/>
      </c>
      <c r="M104" s="816" t="str">
        <f t="shared" si="61"/>
        <v/>
      </c>
      <c r="N104" s="816" t="str">
        <f t="shared" si="62"/>
        <v/>
      </c>
      <c r="R104" s="816" t="str">
        <f t="shared" si="63"/>
        <v/>
      </c>
      <c r="T104" s="829" t="str">
        <f t="shared" si="64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IF($J104="","",IF(SUM(IF(ISNUMBER(VALUE(RIGHT($AG104:$CK104,1))),VALUE(RIGHT($AG104:$CK104,1)),0))=$J104,"T","F"))</f>
        <v/>
      </c>
      <c r="AE104" s="816" t="str">
        <f t="array" ref="AE104">IF($J104="","",SUM(IF(LEFT($AG104:$DW104,1)="s",1,0))-SUM(IF(RIGHT(LEFT($AG104:$DW104,2))="-",1,0)))</f>
        <v/>
      </c>
      <c r="AF104" s="816" t="str">
        <f t="array" ref="AF104">IF($J104="","",SUM(IF(LEFT($AG104:$DC104,1)="X",1,0)))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3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3"/>
      <c r="BB104" s="893"/>
      <c r="BC104" s="893"/>
      <c r="BD104" s="893"/>
      <c r="BE104" s="897"/>
      <c r="BF104" s="897"/>
      <c r="BG104" s="897"/>
      <c r="BH104" s="897"/>
      <c r="BI104" s="897"/>
      <c r="BJ104" s="893"/>
      <c r="BK104" s="897"/>
      <c r="BL104" s="893"/>
      <c r="BM104" s="897"/>
      <c r="BN104" s="897"/>
      <c r="BO104" s="893"/>
      <c r="BP104" s="897"/>
      <c r="BQ104" s="897"/>
      <c r="BR104" s="897"/>
      <c r="BS104" s="897"/>
      <c r="BT104" s="897"/>
      <c r="BU104" s="897"/>
      <c r="BV104" s="893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</row>
    <row r="105" spans="1:84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0"/>
        <v/>
      </c>
      <c r="M105" s="816" t="str">
        <f t="shared" si="61"/>
        <v/>
      </c>
      <c r="N105" s="816" t="str">
        <f t="shared" si="62"/>
        <v/>
      </c>
      <c r="R105" s="816" t="str">
        <f t="shared" si="63"/>
        <v/>
      </c>
      <c r="T105" s="829" t="str">
        <f t="shared" si="64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IF($J105="","",IF(SUM(IF(ISNUMBER(VALUE(RIGHT($AG105:$CK105,1))),VALUE(RIGHT($AG105:$CK105,1)),0))=$J105,"T","F"))</f>
        <v/>
      </c>
      <c r="AE105" s="816" t="str">
        <f t="array" ref="AE105">IF($J105="","",SUM(IF(LEFT($AG105:$DW105,1)="s",1,0))-SUM(IF(RIGHT(LEFT($AG105:$DW105,2))="-",1,0)))</f>
        <v/>
      </c>
      <c r="AF105" s="816" t="str">
        <f t="array" ref="AF105">IF($J105="","",SUM(IF(LEFT($AG105:$DC105,1)="X",1,0)))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3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3"/>
      <c r="BB105" s="893"/>
      <c r="BC105" s="893"/>
      <c r="BD105" s="893"/>
      <c r="BE105" s="897"/>
      <c r="BF105" s="897"/>
      <c r="BG105" s="897"/>
      <c r="BH105" s="897"/>
      <c r="BI105" s="897"/>
      <c r="BJ105" s="893"/>
      <c r="BK105" s="897"/>
      <c r="BL105" s="893"/>
      <c r="BM105" s="897"/>
      <c r="BN105" s="897"/>
      <c r="BO105" s="893"/>
      <c r="BP105" s="897"/>
      <c r="BQ105" s="897"/>
      <c r="BR105" s="897"/>
      <c r="BS105" s="897"/>
      <c r="BT105" s="897"/>
      <c r="BU105" s="897"/>
      <c r="BV105" s="893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</row>
    <row r="106" spans="1:84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0"/>
        <v/>
      </c>
      <c r="M106" s="816" t="str">
        <f t="shared" si="61"/>
        <v/>
      </c>
      <c r="N106" s="816" t="str">
        <f t="shared" si="62"/>
        <v/>
      </c>
      <c r="R106" s="816" t="str">
        <f t="shared" si="63"/>
        <v/>
      </c>
      <c r="T106" s="829" t="str">
        <f t="shared" si="64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IF($J106="","",IF(SUM(IF(ISNUMBER(VALUE(RIGHT($AG106:$CK106,1))),VALUE(RIGHT($AG106:$CK106,1)),0))=$J106,"T","F"))</f>
        <v/>
      </c>
      <c r="AE106" s="816" t="str">
        <f t="array" ref="AE106">IF($J106="","",SUM(IF(LEFT($AG106:$DW106,1)="s",1,0))-SUM(IF(RIGHT(LEFT($AG106:$DW106,2))="-",1,0)))</f>
        <v/>
      </c>
      <c r="AF106" s="816" t="str">
        <f t="array" ref="AF106">IF($J106="","",SUM(IF(LEFT($AG106:$DC106,1)="X",1,0)))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3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3"/>
      <c r="BB106" s="893"/>
      <c r="BC106" s="893"/>
      <c r="BD106" s="893"/>
      <c r="BE106" s="897"/>
      <c r="BF106" s="897"/>
      <c r="BG106" s="897"/>
      <c r="BH106" s="897"/>
      <c r="BI106" s="897"/>
      <c r="BJ106" s="893"/>
      <c r="BK106" s="897"/>
      <c r="BL106" s="893"/>
      <c r="BM106" s="897"/>
      <c r="BN106" s="897"/>
      <c r="BO106" s="893"/>
      <c r="BP106" s="897"/>
      <c r="BQ106" s="897"/>
      <c r="BR106" s="897"/>
      <c r="BS106" s="897"/>
      <c r="BT106" s="897"/>
      <c r="BU106" s="897"/>
      <c r="BV106" s="893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</row>
    <row r="107" spans="1:84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0"/>
        <v/>
      </c>
      <c r="M107" s="816" t="str">
        <f t="shared" si="61"/>
        <v/>
      </c>
      <c r="N107" s="816" t="str">
        <f t="shared" si="62"/>
        <v/>
      </c>
      <c r="R107" s="816" t="str">
        <f t="shared" si="63"/>
        <v/>
      </c>
      <c r="T107" s="829" t="str">
        <f t="shared" si="64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IF($J107="","",IF(SUM(IF(ISNUMBER(VALUE(RIGHT($AG107:$CK107,1))),VALUE(RIGHT($AG107:$CK107,1)),0))=$J107,"T","F"))</f>
        <v/>
      </c>
      <c r="AE107" s="816" t="str">
        <f t="array" ref="AE107">IF($J107="","",SUM(IF(LEFT($AG107:$DW107,1)="s",1,0))-SUM(IF(RIGHT(LEFT($AG107:$DW107,2))="-",1,0)))</f>
        <v/>
      </c>
      <c r="AF107" s="816" t="str">
        <f t="array" ref="AF107">IF($J107="","",SUM(IF(LEFT($AG107:$DC107,1)="X",1,0)))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3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3"/>
      <c r="BB107" s="893"/>
      <c r="BC107" s="893"/>
      <c r="BD107" s="893"/>
      <c r="BE107" s="897"/>
      <c r="BF107" s="897"/>
      <c r="BG107" s="897"/>
      <c r="BH107" s="897"/>
      <c r="BI107" s="897"/>
      <c r="BJ107" s="893"/>
      <c r="BK107" s="897"/>
      <c r="BL107" s="893"/>
      <c r="BM107" s="897"/>
      <c r="BN107" s="897"/>
      <c r="BO107" s="893"/>
      <c r="BP107" s="897"/>
      <c r="BQ107" s="897"/>
      <c r="BR107" s="897"/>
      <c r="BS107" s="897"/>
      <c r="BT107" s="897"/>
      <c r="BU107" s="897"/>
      <c r="BV107" s="893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</row>
    <row r="108" spans="1:84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0"/>
        <v/>
      </c>
      <c r="M108" s="816" t="str">
        <f t="shared" si="61"/>
        <v/>
      </c>
      <c r="N108" s="816" t="str">
        <f t="shared" si="62"/>
        <v/>
      </c>
      <c r="R108" s="816" t="str">
        <f t="shared" si="63"/>
        <v/>
      </c>
      <c r="T108" s="829" t="str">
        <f t="shared" si="64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IF($J108="","",IF(SUM(IF(ISNUMBER(VALUE(RIGHT($AG108:$CK108,1))),VALUE(RIGHT($AG108:$CK108,1)),0))=$J108,"T","F"))</f>
        <v/>
      </c>
      <c r="AE108" s="816" t="str">
        <f t="array" ref="AE108">IF($J108="","",SUM(IF(LEFT($AG108:$DW108,1)="s",1,0))-SUM(IF(RIGHT(LEFT($AG108:$DW108,2))="-",1,0)))</f>
        <v/>
      </c>
      <c r="AF108" s="816" t="str">
        <f t="array" ref="AF108">IF($J108="","",SUM(IF(LEFT($AG108:$DC108,1)="X",1,0)))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3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3"/>
      <c r="BB108" s="893"/>
      <c r="BC108" s="893"/>
      <c r="BD108" s="893"/>
      <c r="BE108" s="897"/>
      <c r="BF108" s="897"/>
      <c r="BG108" s="897"/>
      <c r="BH108" s="897"/>
      <c r="BI108" s="897"/>
      <c r="BJ108" s="893"/>
      <c r="BK108" s="897"/>
      <c r="BL108" s="893"/>
      <c r="BM108" s="897"/>
      <c r="BN108" s="897"/>
      <c r="BO108" s="893"/>
      <c r="BP108" s="897"/>
      <c r="BQ108" s="897"/>
      <c r="BR108" s="897"/>
      <c r="BS108" s="897"/>
      <c r="BT108" s="897"/>
      <c r="BU108" s="897"/>
      <c r="BV108" s="893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</row>
    <row r="109" spans="1:84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0"/>
        <v/>
      </c>
      <c r="M109" s="816" t="str">
        <f t="shared" si="61"/>
        <v/>
      </c>
      <c r="N109" s="816" t="str">
        <f t="shared" si="62"/>
        <v/>
      </c>
      <c r="R109" s="816" t="str">
        <f t="shared" si="63"/>
        <v/>
      </c>
      <c r="T109" s="829" t="str">
        <f t="shared" si="64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IF($J109="","",IF(SUM(IF(ISNUMBER(VALUE(RIGHT($AG109:$CK109,1))),VALUE(RIGHT($AG109:$CK109,1)),0))=$J109,"T","F"))</f>
        <v/>
      </c>
      <c r="AE109" s="816" t="str">
        <f t="array" ref="AE109">IF($J109="","",SUM(IF(LEFT($AG109:$DW109,1)="s",1,0))-SUM(IF(RIGHT(LEFT($AG109:$DW109,2))="-",1,0)))</f>
        <v/>
      </c>
      <c r="AF109" s="816" t="str">
        <f t="array" ref="AF109">IF($J109="","",SUM(IF(LEFT($AG109:$DC109,1)="X",1,0)))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3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3"/>
      <c r="BB109" s="893"/>
      <c r="BC109" s="893"/>
      <c r="BD109" s="893"/>
      <c r="BE109" s="897"/>
      <c r="BF109" s="897"/>
      <c r="BG109" s="897"/>
      <c r="BH109" s="897"/>
      <c r="BI109" s="897"/>
      <c r="BJ109" s="893"/>
      <c r="BK109" s="897"/>
      <c r="BL109" s="893"/>
      <c r="BM109" s="897"/>
      <c r="BN109" s="897"/>
      <c r="BO109" s="893"/>
      <c r="BP109" s="897"/>
      <c r="BQ109" s="897"/>
      <c r="BR109" s="897"/>
      <c r="BS109" s="897"/>
      <c r="BT109" s="897"/>
      <c r="BU109" s="897"/>
      <c r="BV109" s="893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</row>
    <row r="110" spans="1:84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0"/>
        <v/>
      </c>
      <c r="M110" s="816" t="str">
        <f t="shared" si="61"/>
        <v/>
      </c>
      <c r="N110" s="816" t="str">
        <f t="shared" si="62"/>
        <v/>
      </c>
      <c r="R110" s="816" t="str">
        <f t="shared" si="63"/>
        <v/>
      </c>
      <c r="T110" s="829" t="str">
        <f t="shared" si="64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IF($J110="","",IF(SUM(IF(ISNUMBER(VALUE(RIGHT($AG110:$CK110,1))),VALUE(RIGHT($AG110:$CK110,1)),0))=$J110,"T","F"))</f>
        <v/>
      </c>
      <c r="AE110" s="816" t="str">
        <f t="array" ref="AE110">IF($J110="","",SUM(IF(LEFT($AG110:$DW110,1)="s",1,0))-SUM(IF(RIGHT(LEFT($AG110:$DW110,2))="-",1,0)))</f>
        <v/>
      </c>
      <c r="AF110" s="816" t="str">
        <f t="array" ref="AF110">IF($J110="","",SUM(IF(LEFT($AG110:$DC110,1)="X",1,0)))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3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3"/>
      <c r="BB110" s="893"/>
      <c r="BC110" s="893"/>
      <c r="BD110" s="893"/>
      <c r="BE110" s="897"/>
      <c r="BF110" s="897"/>
      <c r="BG110" s="897"/>
      <c r="BH110" s="897"/>
      <c r="BI110" s="897"/>
      <c r="BJ110" s="893"/>
      <c r="BK110" s="897"/>
      <c r="BL110" s="893"/>
      <c r="BM110" s="897"/>
      <c r="BN110" s="897"/>
      <c r="BO110" s="893"/>
      <c r="BP110" s="897"/>
      <c r="BQ110" s="897"/>
      <c r="BR110" s="897"/>
      <c r="BS110" s="897"/>
      <c r="BT110" s="897"/>
      <c r="BU110" s="897"/>
      <c r="BV110" s="893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</row>
    <row r="111" spans="1:84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0"/>
        <v/>
      </c>
      <c r="M111" s="816" t="str">
        <f t="shared" si="61"/>
        <v/>
      </c>
      <c r="N111" s="816" t="str">
        <f t="shared" si="62"/>
        <v/>
      </c>
      <c r="R111" s="816" t="str">
        <f t="shared" si="63"/>
        <v/>
      </c>
      <c r="T111" s="829" t="str">
        <f t="shared" si="64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IF($J111="","",IF(SUM(IF(ISNUMBER(VALUE(RIGHT($AG111:$CK111,1))),VALUE(RIGHT($AG111:$CK111,1)),0))=$J111,"T","F"))</f>
        <v/>
      </c>
      <c r="AE111" s="816" t="str">
        <f t="array" ref="AE111">IF($J111="","",SUM(IF(LEFT($AG111:$DW111,1)="s",1,0))-SUM(IF(RIGHT(LEFT($AG111:$DW111,2))="-",1,0)))</f>
        <v/>
      </c>
      <c r="AF111" s="816" t="str">
        <f t="array" ref="AF111">IF($J111="","",SUM(IF(LEFT($AG111:$DC111,1)="X",1,0)))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3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3"/>
      <c r="BB111" s="893"/>
      <c r="BC111" s="893"/>
      <c r="BD111" s="893"/>
      <c r="BE111" s="897"/>
      <c r="BF111" s="897"/>
      <c r="BG111" s="897"/>
      <c r="BH111" s="897"/>
      <c r="BI111" s="897"/>
      <c r="BJ111" s="893"/>
      <c r="BK111" s="897"/>
      <c r="BL111" s="893"/>
      <c r="BM111" s="897"/>
      <c r="BN111" s="897"/>
      <c r="BO111" s="893"/>
      <c r="BP111" s="897"/>
      <c r="BQ111" s="897"/>
      <c r="BR111" s="897"/>
      <c r="BS111" s="897"/>
      <c r="BT111" s="897"/>
      <c r="BU111" s="897"/>
      <c r="BV111" s="893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</row>
    <row r="112" spans="1:84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0"/>
        <v/>
      </c>
      <c r="M112" s="816" t="str">
        <f t="shared" si="61"/>
        <v/>
      </c>
      <c r="N112" s="816" t="str">
        <f t="shared" si="62"/>
        <v/>
      </c>
      <c r="R112" s="816" t="str">
        <f t="shared" si="63"/>
        <v/>
      </c>
      <c r="T112" s="829" t="str">
        <f t="shared" si="64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IF($J112="","",IF(SUM(IF(ISNUMBER(VALUE(RIGHT($AG112:$CK112,1))),VALUE(RIGHT($AG112:$CK112,1)),0))=$J112,"T","F"))</f>
        <v/>
      </c>
      <c r="AE112" s="816" t="str">
        <f t="array" ref="AE112">IF($J112="","",SUM(IF(LEFT($AG112:$DW112,1)="s",1,0))-SUM(IF(RIGHT(LEFT($AG112:$DW112,2))="-",1,0)))</f>
        <v/>
      </c>
      <c r="AF112" s="816" t="str">
        <f t="array" ref="AF112">IF($J112="","",SUM(IF(LEFT($AG112:$DC112,1)="X",1,0)))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3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3"/>
      <c r="BB112" s="893"/>
      <c r="BC112" s="893"/>
      <c r="BD112" s="893"/>
      <c r="BE112" s="897"/>
      <c r="BF112" s="897"/>
      <c r="BG112" s="897"/>
      <c r="BH112" s="897"/>
      <c r="BI112" s="897"/>
      <c r="BJ112" s="893"/>
      <c r="BK112" s="897"/>
      <c r="BL112" s="893"/>
      <c r="BM112" s="897"/>
      <c r="BN112" s="897"/>
      <c r="BO112" s="893"/>
      <c r="BP112" s="897"/>
      <c r="BQ112" s="897"/>
      <c r="BR112" s="897"/>
      <c r="BS112" s="897"/>
      <c r="BT112" s="897"/>
      <c r="BU112" s="897"/>
      <c r="BV112" s="893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</row>
    <row r="113" spans="4:84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0"/>
        <v/>
      </c>
      <c r="M113" s="816" t="str">
        <f t="shared" si="61"/>
        <v/>
      </c>
      <c r="N113" s="816" t="str">
        <f t="shared" si="62"/>
        <v/>
      </c>
      <c r="R113" s="816" t="str">
        <f t="shared" si="63"/>
        <v/>
      </c>
      <c r="T113" s="829" t="str">
        <f t="shared" si="64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IF($J113="","",IF(SUM(IF(ISNUMBER(VALUE(RIGHT($AG113:$CK113,1))),VALUE(RIGHT($AG113:$CK113,1)),0))=$J113,"T","F"))</f>
        <v/>
      </c>
      <c r="AE113" s="816" t="str">
        <f t="array" ref="AE113">IF($J113="","",SUM(IF(LEFT($AG113:$DW113,1)="s",1,0))-SUM(IF(RIGHT(LEFT($AG113:$DW113,2))="-",1,0)))</f>
        <v/>
      </c>
      <c r="AF113" s="816" t="str">
        <f t="array" ref="AF113">IF($J113="","",SUM(IF(LEFT($AG113:$DC113,1)="X",1,0)))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3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3"/>
      <c r="BB113" s="893"/>
      <c r="BC113" s="893"/>
      <c r="BD113" s="893"/>
      <c r="BE113" s="897"/>
      <c r="BF113" s="897"/>
      <c r="BG113" s="897"/>
      <c r="BH113" s="897"/>
      <c r="BI113" s="897"/>
      <c r="BJ113" s="893"/>
      <c r="BK113" s="897"/>
      <c r="BL113" s="893"/>
      <c r="BM113" s="897"/>
      <c r="BN113" s="897"/>
      <c r="BO113" s="893"/>
      <c r="BP113" s="897"/>
      <c r="BQ113" s="897"/>
      <c r="BR113" s="897"/>
      <c r="BS113" s="897"/>
      <c r="BT113" s="897"/>
      <c r="BU113" s="897"/>
      <c r="BV113" s="893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</row>
    <row r="114" spans="4:84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0"/>
        <v/>
      </c>
      <c r="M114" s="816" t="str">
        <f t="shared" si="61"/>
        <v/>
      </c>
      <c r="N114" s="816" t="str">
        <f t="shared" si="62"/>
        <v/>
      </c>
      <c r="R114" s="816" t="str">
        <f t="shared" si="63"/>
        <v/>
      </c>
      <c r="T114" s="829" t="str">
        <f t="shared" si="64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IF($J114="","",IF(SUM(IF(ISNUMBER(VALUE(RIGHT($AG114:$CK114,1))),VALUE(RIGHT($AG114:$CK114,1)),0))=$J114,"T","F"))</f>
        <v/>
      </c>
      <c r="AE114" s="816" t="str">
        <f t="array" ref="AE114">IF($J114="","",SUM(IF(LEFT($AG114:$DW114,1)="s",1,0))-SUM(IF(RIGHT(LEFT($AG114:$DW114,2))="-",1,0)))</f>
        <v/>
      </c>
      <c r="AF114" s="816" t="str">
        <f t="array" ref="AF114">IF($J114="","",SUM(IF(LEFT($AG114:$DC114,1)="X",1,0)))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3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3"/>
      <c r="BB114" s="893"/>
      <c r="BC114" s="893"/>
      <c r="BD114" s="893"/>
      <c r="BE114" s="897"/>
      <c r="BF114" s="897"/>
      <c r="BG114" s="897"/>
      <c r="BH114" s="897"/>
      <c r="BI114" s="897"/>
      <c r="BJ114" s="893"/>
      <c r="BK114" s="897"/>
      <c r="BL114" s="893"/>
      <c r="BM114" s="897"/>
      <c r="BN114" s="897"/>
      <c r="BO114" s="893"/>
      <c r="BP114" s="897"/>
      <c r="BQ114" s="897"/>
      <c r="BR114" s="897"/>
      <c r="BS114" s="897"/>
      <c r="BT114" s="897"/>
      <c r="BU114" s="897"/>
      <c r="BV114" s="893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</row>
    <row r="115" spans="4:84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0"/>
        <v/>
      </c>
      <c r="M115" s="816" t="str">
        <f t="shared" si="61"/>
        <v/>
      </c>
      <c r="N115" s="816" t="str">
        <f t="shared" si="62"/>
        <v/>
      </c>
      <c r="R115" s="816" t="str">
        <f t="shared" si="63"/>
        <v/>
      </c>
      <c r="T115" s="829" t="str">
        <f t="shared" si="64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IF($J115="","",IF(SUM(IF(ISNUMBER(VALUE(RIGHT($AG115:$CK115,1))),VALUE(RIGHT($AG115:$CK115,1)),0))=$J115,"T","F"))</f>
        <v/>
      </c>
      <c r="AE115" s="816" t="str">
        <f t="array" ref="AE115">IF($J115="","",SUM(IF(LEFT($AG115:$DW115,1)="s",1,0))-SUM(IF(RIGHT(LEFT($AG115:$DW115,2))="-",1,0)))</f>
        <v/>
      </c>
      <c r="AF115" s="816" t="str">
        <f t="array" ref="AF115">IF($J115="","",SUM(IF(LEFT($AG115:$DC115,1)="X",1,0)))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3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3"/>
      <c r="BB115" s="893"/>
      <c r="BC115" s="893"/>
      <c r="BD115" s="893"/>
      <c r="BE115" s="897"/>
      <c r="BF115" s="897"/>
      <c r="BG115" s="897"/>
      <c r="BH115" s="897"/>
      <c r="BI115" s="897"/>
      <c r="BJ115" s="893"/>
      <c r="BK115" s="897"/>
      <c r="BL115" s="893"/>
      <c r="BM115" s="897"/>
      <c r="BN115" s="897"/>
      <c r="BO115" s="893"/>
      <c r="BP115" s="897"/>
      <c r="BQ115" s="897"/>
      <c r="BR115" s="897"/>
      <c r="BS115" s="897"/>
      <c r="BT115" s="897"/>
      <c r="BU115" s="897"/>
      <c r="BV115" s="893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</row>
    <row r="116" spans="4:84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0"/>
        <v/>
      </c>
      <c r="M116" s="816" t="str">
        <f t="shared" si="61"/>
        <v/>
      </c>
      <c r="N116" s="816" t="str">
        <f t="shared" si="62"/>
        <v/>
      </c>
      <c r="R116" s="816" t="str">
        <f t="shared" si="63"/>
        <v/>
      </c>
      <c r="T116" s="829" t="str">
        <f t="shared" si="64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IF($J116="","",IF(SUM(IF(ISNUMBER(VALUE(RIGHT($AG116:$CK116,1))),VALUE(RIGHT($AG116:$CK116,1)),0))=$J116,"T","F"))</f>
        <v/>
      </c>
      <c r="AE116" s="816" t="str">
        <f t="array" ref="AE116">IF($J116="","",SUM(IF(LEFT($AG116:$DW116,1)="s",1,0))-SUM(IF(RIGHT(LEFT($AG116:$DW116,2))="-",1,0)))</f>
        <v/>
      </c>
      <c r="AF116" s="816" t="str">
        <f t="array" ref="AF116">IF($J116="","",SUM(IF(LEFT($AG116:$DC116,1)="X",1,0)))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3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3"/>
      <c r="BB116" s="893"/>
      <c r="BC116" s="893"/>
      <c r="BD116" s="893"/>
      <c r="BE116" s="897"/>
      <c r="BF116" s="897"/>
      <c r="BG116" s="897"/>
      <c r="BH116" s="897"/>
      <c r="BI116" s="897"/>
      <c r="BJ116" s="893"/>
      <c r="BK116" s="897"/>
      <c r="BL116" s="893"/>
      <c r="BM116" s="897"/>
      <c r="BN116" s="897"/>
      <c r="BO116" s="893"/>
      <c r="BP116" s="897"/>
      <c r="BQ116" s="897"/>
      <c r="BR116" s="897"/>
      <c r="BS116" s="897"/>
      <c r="BT116" s="897"/>
      <c r="BU116" s="897"/>
      <c r="BV116" s="893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</row>
    <row r="117" spans="4:84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0"/>
        <v/>
      </c>
      <c r="M117" s="816" t="str">
        <f t="shared" si="61"/>
        <v/>
      </c>
      <c r="N117" s="816" t="str">
        <f t="shared" si="62"/>
        <v/>
      </c>
      <c r="R117" s="816" t="str">
        <f t="shared" si="63"/>
        <v/>
      </c>
      <c r="T117" s="829" t="str">
        <f t="shared" si="64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IF($J117="","",IF(SUM(IF(ISNUMBER(VALUE(RIGHT($AG117:$CK117,1))),VALUE(RIGHT($AG117:$CK117,1)),0))=$J117,"T","F"))</f>
        <v/>
      </c>
      <c r="AE117" s="816" t="str">
        <f t="array" ref="AE117">IF($J117="","",SUM(IF(LEFT($AG117:$DW117,1)="s",1,0))-SUM(IF(RIGHT(LEFT($AG117:$DW117,2))="-",1,0)))</f>
        <v/>
      </c>
      <c r="AF117" s="816" t="str">
        <f t="array" ref="AF117">IF($J117="","",SUM(IF(LEFT($AG117:$DC117,1)="X",1,0)))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3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3"/>
      <c r="BB117" s="893"/>
      <c r="BC117" s="893"/>
      <c r="BD117" s="893"/>
      <c r="BE117" s="897"/>
      <c r="BF117" s="897"/>
      <c r="BG117" s="897"/>
      <c r="BH117" s="897"/>
      <c r="BI117" s="897"/>
      <c r="BJ117" s="893"/>
      <c r="BK117" s="897"/>
      <c r="BL117" s="893"/>
      <c r="BM117" s="897"/>
      <c r="BN117" s="897"/>
      <c r="BO117" s="893"/>
      <c r="BP117" s="897"/>
      <c r="BQ117" s="897"/>
      <c r="BR117" s="897"/>
      <c r="BS117" s="897"/>
      <c r="BT117" s="897"/>
      <c r="BU117" s="897"/>
      <c r="BV117" s="893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</row>
    <row r="118" spans="4:84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0"/>
        <v/>
      </c>
      <c r="M118" s="816" t="str">
        <f t="shared" si="61"/>
        <v/>
      </c>
      <c r="N118" s="816" t="str">
        <f t="shared" si="62"/>
        <v/>
      </c>
      <c r="R118" s="816" t="str">
        <f t="shared" si="63"/>
        <v/>
      </c>
      <c r="T118" s="829" t="str">
        <f t="shared" si="64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IF($J118="","",IF(SUM(IF(ISNUMBER(VALUE(RIGHT($AG118:$CK118,1))),VALUE(RIGHT($AG118:$CK118,1)),0))=$J118,"T","F"))</f>
        <v/>
      </c>
      <c r="AE118" s="816" t="str">
        <f t="array" ref="AE118">IF($J118="","",SUM(IF(LEFT($AG118:$DW118,1)="s",1,0))-SUM(IF(RIGHT(LEFT($AG118:$DW118,2))="-",1,0)))</f>
        <v/>
      </c>
      <c r="AF118" s="816" t="str">
        <f t="array" ref="AF118">IF($J118="","",SUM(IF(LEFT($AG118:$DC118,1)="X",1,0)))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3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3"/>
      <c r="BB118" s="893"/>
      <c r="BC118" s="893"/>
      <c r="BD118" s="893"/>
      <c r="BE118" s="897"/>
      <c r="BF118" s="897"/>
      <c r="BG118" s="897"/>
      <c r="BH118" s="897"/>
      <c r="BI118" s="897"/>
      <c r="BJ118" s="893"/>
      <c r="BK118" s="897"/>
      <c r="BL118" s="893"/>
      <c r="BM118" s="897"/>
      <c r="BN118" s="897"/>
      <c r="BO118" s="893"/>
      <c r="BP118" s="897"/>
      <c r="BQ118" s="897"/>
      <c r="BR118" s="897"/>
      <c r="BS118" s="897"/>
      <c r="BT118" s="897"/>
      <c r="BU118" s="897"/>
      <c r="BV118" s="893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</row>
    <row r="119" spans="4:84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0"/>
        <v/>
      </c>
      <c r="M119" s="816" t="str">
        <f t="shared" si="61"/>
        <v/>
      </c>
      <c r="N119" s="816" t="str">
        <f t="shared" si="62"/>
        <v/>
      </c>
      <c r="R119" s="816" t="str">
        <f t="shared" si="63"/>
        <v/>
      </c>
      <c r="T119" s="829" t="str">
        <f t="shared" si="64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IF($J119="","",IF(SUM(IF(ISNUMBER(VALUE(RIGHT($AG119:$CK119,1))),VALUE(RIGHT($AG119:$CK119,1)),0))=$J119,"T","F"))</f>
        <v/>
      </c>
      <c r="AE119" s="816" t="str">
        <f t="array" ref="AE119">IF($J119="","",SUM(IF(LEFT($AG119:$DW119,1)="s",1,0))-SUM(IF(RIGHT(LEFT($AG119:$DW119,2))="-",1,0)))</f>
        <v/>
      </c>
      <c r="AF119" s="816" t="str">
        <f t="array" ref="AF119">IF($J119="","",SUM(IF(LEFT($AG119:$DC119,1)="X",1,0)))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3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3"/>
      <c r="BB119" s="893"/>
      <c r="BC119" s="893"/>
      <c r="BD119" s="893"/>
      <c r="BE119" s="897"/>
      <c r="BF119" s="897"/>
      <c r="BG119" s="897"/>
      <c r="BH119" s="897"/>
      <c r="BI119" s="897"/>
      <c r="BJ119" s="893"/>
      <c r="BK119" s="897"/>
      <c r="BL119" s="893"/>
      <c r="BM119" s="897"/>
      <c r="BN119" s="897"/>
      <c r="BO119" s="893"/>
      <c r="BP119" s="897"/>
      <c r="BQ119" s="897"/>
      <c r="BR119" s="897"/>
      <c r="BS119" s="897"/>
      <c r="BT119" s="897"/>
      <c r="BU119" s="897"/>
      <c r="BV119" s="893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</row>
    <row r="120" spans="4:84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0"/>
        <v/>
      </c>
      <c r="M120" s="816" t="str">
        <f t="shared" si="61"/>
        <v/>
      </c>
      <c r="N120" s="816" t="str">
        <f t="shared" si="62"/>
        <v/>
      </c>
      <c r="R120" s="816" t="str">
        <f t="shared" si="63"/>
        <v/>
      </c>
      <c r="T120" s="829" t="str">
        <f t="shared" si="64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IF($J120="","",IF(SUM(IF(ISNUMBER(VALUE(RIGHT($AG120:$CK120,1))),VALUE(RIGHT($AG120:$CK120,1)),0))=$J120,"T","F"))</f>
        <v/>
      </c>
      <c r="AE120" s="816" t="str">
        <f t="array" ref="AE120">IF($J120="","",SUM(IF(LEFT($AG120:$DW120,1)="s",1,0))-SUM(IF(RIGHT(LEFT($AG120:$DW120,2))="-",1,0)))</f>
        <v/>
      </c>
      <c r="AF120" s="816" t="str">
        <f t="array" ref="AF120">IF($J120="","",SUM(IF(LEFT($AG120:$DC120,1)="X",1,0)))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3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3"/>
      <c r="BB120" s="893"/>
      <c r="BC120" s="893"/>
      <c r="BD120" s="893"/>
      <c r="BE120" s="897"/>
      <c r="BF120" s="897"/>
      <c r="BG120" s="897"/>
      <c r="BH120" s="897"/>
      <c r="BI120" s="897"/>
      <c r="BJ120" s="893"/>
      <c r="BK120" s="897"/>
      <c r="BL120" s="893"/>
      <c r="BM120" s="897"/>
      <c r="BN120" s="897"/>
      <c r="BO120" s="893"/>
      <c r="BP120" s="897"/>
      <c r="BQ120" s="897"/>
      <c r="BR120" s="897"/>
      <c r="BS120" s="897"/>
      <c r="BT120" s="897"/>
      <c r="BU120" s="897"/>
      <c r="BV120" s="893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</row>
    <row r="121" spans="4:84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0"/>
        <v/>
      </c>
      <c r="M121" s="816" t="str">
        <f t="shared" si="61"/>
        <v/>
      </c>
      <c r="N121" s="816" t="str">
        <f t="shared" si="62"/>
        <v/>
      </c>
      <c r="R121" s="816" t="str">
        <f t="shared" si="63"/>
        <v/>
      </c>
      <c r="T121" s="829" t="str">
        <f t="shared" si="64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IF($J121="","",IF(SUM(IF(ISNUMBER(VALUE(RIGHT($AG121:$CK121,1))),VALUE(RIGHT($AG121:$CK121,1)),0))=$J121,"T","F"))</f>
        <v/>
      </c>
      <c r="AE121" s="816" t="str">
        <f t="array" ref="AE121">IF($J121="","",SUM(IF(LEFT($AG121:$DW121,1)="s",1,0))-SUM(IF(RIGHT(LEFT($AG121:$DW121,2))="-",1,0)))</f>
        <v/>
      </c>
      <c r="AF121" s="816" t="str">
        <f t="array" ref="AF121">IF($J121="","",SUM(IF(LEFT($AG121:$DC121,1)="X",1,0)))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3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3"/>
      <c r="BB121" s="893"/>
      <c r="BC121" s="893"/>
      <c r="BD121" s="893"/>
      <c r="BE121" s="897"/>
      <c r="BF121" s="897"/>
      <c r="BG121" s="897"/>
      <c r="BH121" s="897"/>
      <c r="BI121" s="897"/>
      <c r="BJ121" s="893"/>
      <c r="BK121" s="897"/>
      <c r="BL121" s="893"/>
      <c r="BM121" s="897"/>
      <c r="BN121" s="897"/>
      <c r="BO121" s="893"/>
      <c r="BP121" s="897"/>
      <c r="BQ121" s="897"/>
      <c r="BR121" s="897"/>
      <c r="BS121" s="897"/>
      <c r="BT121" s="897"/>
      <c r="BU121" s="897"/>
      <c r="BV121" s="893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</row>
    <row r="122" spans="4:84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0"/>
        <v/>
      </c>
      <c r="M122" s="816" t="str">
        <f t="shared" si="61"/>
        <v/>
      </c>
      <c r="N122" s="816" t="str">
        <f t="shared" si="62"/>
        <v/>
      </c>
      <c r="R122" s="816" t="str">
        <f t="shared" si="63"/>
        <v/>
      </c>
      <c r="T122" s="829" t="str">
        <f t="shared" si="64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IF($J122="","",IF(SUM(IF(ISNUMBER(VALUE(RIGHT($AG122:$CK122,1))),VALUE(RIGHT($AG122:$CK122,1)),0))=$J122,"T","F"))</f>
        <v/>
      </c>
      <c r="AE122" s="816" t="str">
        <f t="array" ref="AE122">IF($J122="","",SUM(IF(LEFT($AG122:$DW122,1)="s",1,0))-SUM(IF(RIGHT(LEFT($AG122:$DW122,2))="-",1,0)))</f>
        <v/>
      </c>
      <c r="AF122" s="816" t="str">
        <f t="array" ref="AF122">IF($J122="","",SUM(IF(LEFT($AG122:$DC122,1)="X",1,0)))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3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3"/>
      <c r="BB122" s="893"/>
      <c r="BC122" s="893"/>
      <c r="BD122" s="893"/>
      <c r="BE122" s="897"/>
      <c r="BF122" s="897"/>
      <c r="BG122" s="897"/>
      <c r="BH122" s="897"/>
      <c r="BI122" s="897"/>
      <c r="BJ122" s="893"/>
      <c r="BK122" s="897"/>
      <c r="BL122" s="893"/>
      <c r="BM122" s="897"/>
      <c r="BN122" s="897"/>
      <c r="BO122" s="893"/>
      <c r="BP122" s="897"/>
      <c r="BQ122" s="897"/>
      <c r="BR122" s="897"/>
      <c r="BS122" s="897"/>
      <c r="BT122" s="897"/>
      <c r="BU122" s="897"/>
      <c r="BV122" s="893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</row>
    <row r="123" spans="4:84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0"/>
        <v/>
      </c>
      <c r="M123" s="816" t="str">
        <f t="shared" si="61"/>
        <v/>
      </c>
      <c r="N123" s="816" t="str">
        <f t="shared" si="62"/>
        <v/>
      </c>
      <c r="R123" s="816" t="str">
        <f t="shared" si="63"/>
        <v/>
      </c>
      <c r="T123" s="829" t="str">
        <f t="shared" si="64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IF($J123="","",IF(SUM(IF(ISNUMBER(VALUE(RIGHT($AG123:$CK123,1))),VALUE(RIGHT($AG123:$CK123,1)),0))=$J123,"T","F"))</f>
        <v/>
      </c>
      <c r="AE123" s="816" t="str">
        <f t="array" ref="AE123">IF($J123="","",SUM(IF(LEFT($AG123:$DW123,1)="s",1,0))-SUM(IF(RIGHT(LEFT($AG123:$DW123,2))="-",1,0)))</f>
        <v/>
      </c>
      <c r="AF123" s="816" t="str">
        <f t="array" ref="AF123">IF($J123="","",SUM(IF(LEFT($AG123:$DC123,1)="X",1,0)))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3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3"/>
      <c r="BB123" s="893"/>
      <c r="BC123" s="893"/>
      <c r="BD123" s="893"/>
      <c r="BE123" s="897"/>
      <c r="BF123" s="897"/>
      <c r="BG123" s="897"/>
      <c r="BH123" s="897"/>
      <c r="BI123" s="897"/>
      <c r="BJ123" s="893"/>
      <c r="BK123" s="897"/>
      <c r="BL123" s="893"/>
      <c r="BM123" s="897"/>
      <c r="BN123" s="897"/>
      <c r="BO123" s="893"/>
      <c r="BP123" s="897"/>
      <c r="BQ123" s="897"/>
      <c r="BR123" s="897"/>
      <c r="BS123" s="897"/>
      <c r="BT123" s="897"/>
      <c r="BU123" s="897"/>
      <c r="BV123" s="893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</row>
    <row r="124" spans="4:84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0"/>
        <v/>
      </c>
      <c r="M124" s="816" t="str">
        <f t="shared" si="61"/>
        <v/>
      </c>
      <c r="N124" s="816" t="str">
        <f t="shared" si="62"/>
        <v/>
      </c>
      <c r="R124" s="816" t="str">
        <f t="shared" si="63"/>
        <v/>
      </c>
      <c r="T124" s="829" t="str">
        <f t="shared" si="64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IF($J124="","",IF(SUM(IF(ISNUMBER(VALUE(RIGHT($AG124:$CK124,1))),VALUE(RIGHT($AG124:$CK124,1)),0))=$J124,"T","F"))</f>
        <v/>
      </c>
      <c r="AE124" s="816" t="str">
        <f t="array" ref="AE124">IF($J124="","",SUM(IF(LEFT($AG124:$DW124,1)="s",1,0))-SUM(IF(RIGHT(LEFT($AG124:$DW124,2))="-",1,0)))</f>
        <v/>
      </c>
      <c r="AF124" s="816" t="str">
        <f t="array" ref="AF124">IF($J124="","",SUM(IF(LEFT($AG124:$DC124,1)="X",1,0)))</f>
        <v/>
      </c>
    </row>
    <row r="125" spans="4:84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0"/>
        <v/>
      </c>
      <c r="M125" s="816" t="str">
        <f t="shared" si="61"/>
        <v/>
      </c>
      <c r="N125" s="816" t="str">
        <f t="shared" si="62"/>
        <v/>
      </c>
      <c r="R125" s="816" t="str">
        <f t="shared" si="63"/>
        <v/>
      </c>
      <c r="T125" s="829" t="str">
        <f t="shared" si="64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IF($J125="","",IF(SUM(IF(ISNUMBER(VALUE(RIGHT($AG125:$CK125,1))),VALUE(RIGHT($AG125:$CK125,1)),0))=$J125,"T","F"))</f>
        <v/>
      </c>
      <c r="AE125" s="816" t="str">
        <f t="array" ref="AE125">IF($J125="","",SUM(IF(LEFT($AG125:$DW125,1)="s",1,0))-SUM(IF(RIGHT(LEFT($AG125:$DW125,2))="-",1,0)))</f>
        <v/>
      </c>
      <c r="AF125" s="816" t="str">
        <f t="array" ref="AF125">IF($J125="","",SUM(IF(LEFT($AG125:$DC125,1)="X",1,0)))</f>
        <v/>
      </c>
    </row>
    <row r="126" spans="4:84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0"/>
        <v/>
      </c>
      <c r="M126" s="816" t="str">
        <f t="shared" si="61"/>
        <v/>
      </c>
      <c r="N126" s="816" t="str">
        <f t="shared" si="62"/>
        <v/>
      </c>
      <c r="R126" s="816" t="str">
        <f t="shared" si="63"/>
        <v/>
      </c>
      <c r="T126" s="829" t="str">
        <f t="shared" si="64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IF($J126="","",IF(SUM(IF(ISNUMBER(VALUE(RIGHT($AG126:$CK126,1))),VALUE(RIGHT($AG126:$CK126,1)),0))=$J126,"T","F"))</f>
        <v/>
      </c>
      <c r="AE126" s="816" t="str">
        <f t="array" ref="AE126">IF($J126="","",SUM(IF(LEFT($AG126:$DW126,1)="s",1,0))-SUM(IF(RIGHT(LEFT($AG126:$DW126,2))="-",1,0)))</f>
        <v/>
      </c>
      <c r="AF126" s="816" t="str">
        <f t="array" ref="AF126">IF($J126="","",SUM(IF(LEFT($AG126:$DC126,1)="X",1,0)))</f>
        <v/>
      </c>
    </row>
    <row r="127" spans="4:84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0"/>
        <v/>
      </c>
      <c r="M127" s="816" t="str">
        <f t="shared" si="61"/>
        <v/>
      </c>
      <c r="N127" s="816" t="str">
        <f t="shared" si="62"/>
        <v/>
      </c>
      <c r="R127" s="816" t="str">
        <f t="shared" si="63"/>
        <v/>
      </c>
      <c r="T127" s="829" t="str">
        <f t="shared" si="64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IF($J127="","",IF(SUM(IF(ISNUMBER(VALUE(RIGHT($AG127:$CK127,1))),VALUE(RIGHT($AG127:$CK127,1)),0))=$J127,"T","F"))</f>
        <v/>
      </c>
      <c r="AE127" s="816" t="str">
        <f t="array" ref="AE127">IF($J127="","",SUM(IF(LEFT($AG127:$DW127,1)="s",1,0))-SUM(IF(RIGHT(LEFT($AG127:$DW127,2))="-",1,0)))</f>
        <v/>
      </c>
      <c r="AF127" s="816" t="str">
        <f t="array" ref="AF127">IF($J127="","",SUM(IF(LEFT($AG127:$DC127,1)="X",1,0)))</f>
        <v/>
      </c>
    </row>
    <row r="128" spans="4:84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0"/>
        <v/>
      </c>
      <c r="M128" s="816" t="str">
        <f t="shared" si="61"/>
        <v/>
      </c>
      <c r="N128" s="816" t="str">
        <f t="shared" si="62"/>
        <v/>
      </c>
      <c r="R128" s="816" t="str">
        <f t="shared" si="63"/>
        <v/>
      </c>
      <c r="T128" s="829" t="str">
        <f t="shared" si="64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IF($J128="","",IF(SUM(IF(ISNUMBER(VALUE(RIGHT($AG128:$CK128,1))),VALUE(RIGHT($AG128:$CK128,1)),0))=$J128,"T","F"))</f>
        <v/>
      </c>
      <c r="AE128" s="816" t="str">
        <f t="array" ref="AE128">IF($J128="","",SUM(IF(LEFT($AG128:$DW128,1)="s",1,0))-SUM(IF(RIGHT(LEFT($AG128:$DW128,2))="-",1,0)))</f>
        <v/>
      </c>
      <c r="AF128" s="816" t="str">
        <f t="array" ref="AF128">IF($J128="","",SUM(IF(LEFT($AG128:$DC128,1)="X",1,0)))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0"/>
        <v/>
      </c>
      <c r="M129" s="816" t="str">
        <f t="shared" si="61"/>
        <v/>
      </c>
      <c r="N129" s="816" t="str">
        <f t="shared" si="62"/>
        <v/>
      </c>
      <c r="R129" s="816" t="str">
        <f t="shared" si="63"/>
        <v/>
      </c>
      <c r="T129" s="829" t="str">
        <f t="shared" si="64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IF($J129="","",IF(SUM(IF(ISNUMBER(VALUE(RIGHT($AG129:$CK129,1))),VALUE(RIGHT($AG129:$CK129,1)),0))=$J129,"T","F"))</f>
        <v/>
      </c>
      <c r="AE129" s="816" t="str">
        <f t="array" ref="AE129">IF($J129="","",SUM(IF(LEFT($AG129:$DW129,1)="s",1,0))-SUM(IF(RIGHT(LEFT($AG129:$DW129,2))="-",1,0)))</f>
        <v/>
      </c>
      <c r="AF129" s="816" t="str">
        <f t="array" ref="AF129">IF($J129="","",SUM(IF(LEFT($AG129:$DC129,1)="X",1,0)))</f>
        <v/>
      </c>
    </row>
    <row r="130" spans="4:32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</sheetData>
  <autoFilter ref="A22:DI76"/>
  <mergeCells count="3">
    <mergeCell ref="W19:X19"/>
    <mergeCell ref="Y19:Z19"/>
    <mergeCell ref="AA19:AB19"/>
  </mergeCells>
  <phoneticPr fontId="21" type="noConversion"/>
  <conditionalFormatting sqref="AD23:AD306">
    <cfRule type="cellIs" dxfId="610" priority="85" operator="equal">
      <formula>"T"</formula>
    </cfRule>
  </conditionalFormatting>
  <conditionalFormatting sqref="N23:N306">
    <cfRule type="cellIs" dxfId="609" priority="92" stopIfTrue="1" operator="equal">
      <formula>"U"</formula>
    </cfRule>
    <cfRule type="cellIs" dxfId="608" priority="93" stopIfTrue="1" operator="equal">
      <formula>"O"</formula>
    </cfRule>
  </conditionalFormatting>
  <conditionalFormatting sqref="L23:L306">
    <cfRule type="cellIs" dxfId="607" priority="90" stopIfTrue="1" operator="equal">
      <formula>"W"</formula>
    </cfRule>
    <cfRule type="cellIs" dxfId="606" priority="91" stopIfTrue="1" operator="equal">
      <formula>"D"</formula>
    </cfRule>
  </conditionalFormatting>
  <conditionalFormatting sqref="AF23:AF306">
    <cfRule type="cellIs" dxfId="605" priority="88" stopIfTrue="1" operator="notEqual">
      <formula>11</formula>
    </cfRule>
    <cfRule type="cellIs" dxfId="604" priority="89" stopIfTrue="1" operator="between">
      <formula>0</formula>
      <formula>20</formula>
    </cfRule>
  </conditionalFormatting>
  <conditionalFormatting sqref="AE23:AE306">
    <cfRule type="cellIs" dxfId="603" priority="86" stopIfTrue="1" operator="notEqual">
      <formula>0</formula>
    </cfRule>
    <cfRule type="cellIs" dxfId="602" priority="87" stopIfTrue="1" operator="between">
      <formula>0</formula>
      <formula>20</formula>
    </cfRule>
  </conditionalFormatting>
  <conditionalFormatting sqref="CH19:CY19">
    <cfRule type="expression" dxfId="601" priority="81">
      <formula>CH19="G"</formula>
    </cfRule>
    <cfRule type="expression" dxfId="600" priority="82">
      <formula>CH19="M"</formula>
    </cfRule>
    <cfRule type="expression" dxfId="599" priority="83">
      <formula>CH19="D"</formula>
    </cfRule>
    <cfRule type="expression" dxfId="598" priority="84">
      <formula>CH19="A"</formula>
    </cfRule>
  </conditionalFormatting>
  <conditionalFormatting sqref="CA19:CG19 AK19:AS19 AV19:BR19 BV19">
    <cfRule type="expression" dxfId="597" priority="77">
      <formula>AK19="G"</formula>
    </cfRule>
    <cfRule type="expression" dxfId="596" priority="78">
      <formula>OR(AK19="M",AK19="CM",AK19="LM",AK19="RM",AK19="DM",AK19="AM")</formula>
    </cfRule>
    <cfRule type="expression" dxfId="595" priority="79">
      <formula>OR(AK19="D",AK19="CB",AK19="LB",AK19="RB")</formula>
    </cfRule>
    <cfRule type="expression" dxfId="594" priority="80">
      <formula>OR(AK19="A",AK19="CF",AK19="SS",AK19="ST",AK19="RW",AK19="LW")</formula>
    </cfRule>
  </conditionalFormatting>
  <conditionalFormatting sqref="BS26:BS30 BT23:BT48 AV38:BA38 BW23:BX66 AK23:AS30 AK31:AT66 AG23:AJ69 BJ23:BR30 BD38:BI38 BJ31:BS48 AV39:BI66 AK67:BR69 BU23:BV69 AV23:BI37 BJ49:BT66">
    <cfRule type="expression" dxfId="593" priority="75">
      <formula>IF(ISNUMBER(VALUE(RIGHT(AG23,1))),1,0)</formula>
    </cfRule>
  </conditionalFormatting>
  <conditionalFormatting sqref="AG16:CF16">
    <cfRule type="top10" dxfId="592" priority="94" stopIfTrue="1" rank="5"/>
  </conditionalFormatting>
  <conditionalFormatting sqref="AG15:CF15">
    <cfRule type="top10" dxfId="591" priority="95" rank="11"/>
  </conditionalFormatting>
  <conditionalFormatting sqref="AG17:CF17">
    <cfRule type="top10" dxfId="590" priority="96" stopIfTrue="1" rank="5"/>
  </conditionalFormatting>
  <conditionalFormatting sqref="AG14:CF14">
    <cfRule type="top10" dxfId="589" priority="97" rank="11"/>
  </conditionalFormatting>
  <conditionalFormatting sqref="BA48">
    <cfRule type="expression" dxfId="588" priority="66">
      <formula>IF(ISNUMBER(VALUE(RIGHT(BA48,1))),1,0)</formula>
    </cfRule>
  </conditionalFormatting>
  <conditionalFormatting sqref="BV60">
    <cfRule type="expression" dxfId="587" priority="56">
      <formula>IF(ISNUMBER(VALUE(RIGHT(BV60,1))),1,0)</formula>
    </cfRule>
  </conditionalFormatting>
  <conditionalFormatting sqref="AK66">
    <cfRule type="expression" dxfId="586" priority="55">
      <formula>IF(ISNUMBER(VALUE(RIGHT(AK66,1))),1,0)</formula>
    </cfRule>
  </conditionalFormatting>
  <conditionalFormatting sqref="AG19:AS19 AV19:BR19 BU19:BV19">
    <cfRule type="cellIs" dxfId="585" priority="53" operator="equal">
      <formula>"M"</formula>
    </cfRule>
  </conditionalFormatting>
  <conditionalFormatting sqref="AG19:AS19 AV19:BR19 BU19:BV19">
    <cfRule type="cellIs" dxfId="584" priority="52" operator="equal">
      <formula>"D"</formula>
    </cfRule>
  </conditionalFormatting>
  <conditionalFormatting sqref="AG19:AS19 AV19:BR19 BU19:BV19">
    <cfRule type="cellIs" dxfId="583" priority="50" operator="equal">
      <formula>"G"</formula>
    </cfRule>
    <cfRule type="cellIs" dxfId="582" priority="51" operator="equal">
      <formula>"A"</formula>
    </cfRule>
  </conditionalFormatting>
  <conditionalFormatting sqref="AG19:AS19 AV19:BR19 BU19:BV19">
    <cfRule type="containsText" dxfId="581" priority="47" operator="containsText" text="FW">
      <formula>NOT(ISERROR(SEARCH("FW",AG19)))</formula>
    </cfRule>
    <cfRule type="containsText" dxfId="580" priority="48" operator="containsText" text="MF">
      <formula>NOT(ISERROR(SEARCH("MF",AG19)))</formula>
    </cfRule>
    <cfRule type="containsText" dxfId="579" priority="49" operator="containsText" text="DF">
      <formula>NOT(ISERROR(SEARCH("DF",AG19)))</formula>
    </cfRule>
  </conditionalFormatting>
  <conditionalFormatting sqref="AT19">
    <cfRule type="expression" dxfId="578" priority="32">
      <formula>AT19="G"</formula>
    </cfRule>
    <cfRule type="expression" dxfId="577" priority="33">
      <formula>OR(AT19="M",AT19="CM",AT19="LM",AT19="RM",AT19="DM",AT19="AM")</formula>
    </cfRule>
    <cfRule type="expression" dxfId="576" priority="34">
      <formula>OR(AT19="D",AT19="CB",AT19="LB",AT19="RB")</formula>
    </cfRule>
    <cfRule type="expression" dxfId="575" priority="35">
      <formula>OR(AT19="A",AT19="CF",AT19="SS",AT19="ST",AT19="RW",AT19="LW")</formula>
    </cfRule>
  </conditionalFormatting>
  <conditionalFormatting sqref="AT23:AT30">
    <cfRule type="expression" dxfId="574" priority="31">
      <formula>IF(ISNUMBER(VALUE(RIGHT(AT23,1))),1,0)</formula>
    </cfRule>
  </conditionalFormatting>
  <conditionalFormatting sqref="AT19">
    <cfRule type="cellIs" dxfId="573" priority="30" operator="equal">
      <formula>"M"</formula>
    </cfRule>
  </conditionalFormatting>
  <conditionalFormatting sqref="AT19">
    <cfRule type="cellIs" dxfId="572" priority="29" operator="equal">
      <formula>"D"</formula>
    </cfRule>
  </conditionalFormatting>
  <conditionalFormatting sqref="AT19">
    <cfRule type="cellIs" dxfId="571" priority="27" operator="equal">
      <formula>"G"</formula>
    </cfRule>
    <cfRule type="cellIs" dxfId="570" priority="28" operator="equal">
      <formula>"A"</formula>
    </cfRule>
  </conditionalFormatting>
  <conditionalFormatting sqref="AT19">
    <cfRule type="containsText" dxfId="569" priority="24" operator="containsText" text="FW">
      <formula>NOT(ISERROR(SEARCH("FW",AT19)))</formula>
    </cfRule>
    <cfRule type="containsText" dxfId="568" priority="25" operator="containsText" text="MF">
      <formula>NOT(ISERROR(SEARCH("MF",AT19)))</formula>
    </cfRule>
    <cfRule type="containsText" dxfId="567" priority="26" operator="containsText" text="DF">
      <formula>NOT(ISERROR(SEARCH("DF",AT19)))</formula>
    </cfRule>
  </conditionalFormatting>
  <conditionalFormatting sqref="BS19">
    <cfRule type="expression" dxfId="566" priority="20">
      <formula>BS19="G"</formula>
    </cfRule>
    <cfRule type="expression" dxfId="565" priority="21">
      <formula>OR(BS19="M",BS19="CM",BS19="LM",BS19="RM",BS19="DM",BS19="AM")</formula>
    </cfRule>
    <cfRule type="expression" dxfId="564" priority="22">
      <formula>OR(BS19="D",BS19="CB",BS19="LB",BS19="RB")</formula>
    </cfRule>
    <cfRule type="expression" dxfId="563" priority="23">
      <formula>OR(BS19="A",BS19="CF",BS19="SS",BS19="ST",BS19="RW",BS19="LW")</formula>
    </cfRule>
  </conditionalFormatting>
  <conditionalFormatting sqref="BS19">
    <cfRule type="cellIs" dxfId="562" priority="19" operator="equal">
      <formula>"M"</formula>
    </cfRule>
  </conditionalFormatting>
  <conditionalFormatting sqref="BS19">
    <cfRule type="cellIs" dxfId="561" priority="18" operator="equal">
      <formula>"D"</formula>
    </cfRule>
  </conditionalFormatting>
  <conditionalFormatting sqref="BS19">
    <cfRule type="cellIs" dxfId="560" priority="16" operator="equal">
      <formula>"G"</formula>
    </cfRule>
    <cfRule type="cellIs" dxfId="559" priority="17" operator="equal">
      <formula>"A"</formula>
    </cfRule>
  </conditionalFormatting>
  <conditionalFormatting sqref="BS19">
    <cfRule type="containsText" dxfId="558" priority="13" operator="containsText" text="FW">
      <formula>NOT(ISERROR(SEARCH("FW",BS19)))</formula>
    </cfRule>
    <cfRule type="containsText" dxfId="557" priority="14" operator="containsText" text="MF">
      <formula>NOT(ISERROR(SEARCH("MF",BS19)))</formula>
    </cfRule>
    <cfRule type="containsText" dxfId="556" priority="15" operator="containsText" text="DF">
      <formula>NOT(ISERROR(SEARCH("DF",BS19)))</formula>
    </cfRule>
  </conditionalFormatting>
  <conditionalFormatting sqref="AU19">
    <cfRule type="expression" dxfId="555" priority="9">
      <formula>AU19="G"</formula>
    </cfRule>
    <cfRule type="expression" dxfId="554" priority="10">
      <formula>OR(AU19="M",AU19="CM",AU19="LM",AU19="RM",AU19="DM",AU19="AM")</formula>
    </cfRule>
    <cfRule type="expression" dxfId="553" priority="11">
      <formula>OR(AU19="D",AU19="CB",AU19="LB",AU19="RB")</formula>
    </cfRule>
    <cfRule type="expression" dxfId="552" priority="12">
      <formula>OR(AU19="A",AU19="CF",AU19="SS",AU19="ST",AU19="RW",AU19="LW")</formula>
    </cfRule>
  </conditionalFormatting>
  <conditionalFormatting sqref="AU19">
    <cfRule type="cellIs" dxfId="551" priority="8" operator="equal">
      <formula>"M"</formula>
    </cfRule>
  </conditionalFormatting>
  <conditionalFormatting sqref="AU19">
    <cfRule type="cellIs" dxfId="550" priority="7" operator="equal">
      <formula>"D"</formula>
    </cfRule>
  </conditionalFormatting>
  <conditionalFormatting sqref="AU19">
    <cfRule type="cellIs" dxfId="549" priority="5" operator="equal">
      <formula>"G"</formula>
    </cfRule>
    <cfRule type="cellIs" dxfId="548" priority="6" operator="equal">
      <formula>"A"</formula>
    </cfRule>
  </conditionalFormatting>
  <conditionalFormatting sqref="AU19">
    <cfRule type="containsText" dxfId="547" priority="2" operator="containsText" text="FW">
      <formula>NOT(ISERROR(SEARCH("FW",AU19)))</formula>
    </cfRule>
    <cfRule type="containsText" dxfId="546" priority="3" operator="containsText" text="MF">
      <formula>NOT(ISERROR(SEARCH("MF",AU19)))</formula>
    </cfRule>
    <cfRule type="containsText" dxfId="545" priority="4" operator="containsText" text="DF">
      <formula>NOT(ISERROR(SEARCH("DF",AU19)))</formula>
    </cfRule>
  </conditionalFormatting>
  <conditionalFormatting sqref="AU23:AU66">
    <cfRule type="expression" dxfId="544" priority="1">
      <formula>IF(ISNUMBER(VALUE(RIGHT(AU23,1))),1,0)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$I23:$I238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DQ240"/>
  <sheetViews>
    <sheetView zoomScale="85" zoomScaleNormal="85" workbookViewId="0">
      <pane xSplit="32" ySplit="22" topLeftCell="AG41" activePane="bottomRight" state="frozen"/>
      <selection activeCell="AX21" sqref="AX21"/>
      <selection pane="topRight" activeCell="AX21" sqref="AX21"/>
      <selection pane="bottomLeft" activeCell="AX21" sqref="AX21"/>
      <selection pane="bottomRight" activeCell="U66" sqref="U66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5" width="3.75" style="230" customWidth="1"/>
    <col min="36" max="36" width="4" bestFit="1" customWidth="1"/>
    <col min="37" max="47" width="3.75" style="230" customWidth="1"/>
    <col min="48" max="49" width="3.75" bestFit="1" customWidth="1"/>
    <col min="50" max="50" width="3.75" style="230" customWidth="1"/>
    <col min="51" max="51" width="3.75" customWidth="1"/>
    <col min="52" max="58" width="3.75" style="230" customWidth="1"/>
    <col min="59" max="62" width="3.75" customWidth="1"/>
    <col min="63" max="65" width="3.75" style="230" customWidth="1"/>
    <col min="66" max="66" width="3.75" bestFit="1" customWidth="1"/>
    <col min="67" max="68" width="3.75" style="230" customWidth="1"/>
    <col min="69" max="69" width="3.75" bestFit="1" customWidth="1"/>
    <col min="70" max="102" width="3.75" style="230" customWidth="1"/>
    <col min="103" max="16384" width="5.75" style="230"/>
  </cols>
  <sheetData>
    <row r="1" spans="1:90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L1" si="0">AG20</f>
        <v>Takahiro Shibasaki</v>
      </c>
      <c r="AH1" s="814" t="str">
        <f t="shared" si="0"/>
        <v>Gakuji Ota</v>
      </c>
      <c r="AI1" s="814" t="str">
        <f t="shared" si="0"/>
        <v>Hiroyuki Takeda</v>
      </c>
      <c r="AK1" s="814" t="str">
        <f t="shared" si="0"/>
        <v>Koki Anzai</v>
      </c>
      <c r="AL1" s="814" t="str">
        <f t="shared" si="0"/>
        <v>Akira Ibayashi</v>
      </c>
      <c r="AM1" s="814"/>
      <c r="AN1" s="814" t="str">
        <f>AN20</f>
        <v>Tomohiro Taira</v>
      </c>
      <c r="AO1" s="814" t="str">
        <f t="shared" si="0"/>
        <v>Kazuki Anzai</v>
      </c>
      <c r="AP1" s="814"/>
      <c r="AQ1" s="814" t="str">
        <f>AQ20</f>
        <v>Shogo Hayashi</v>
      </c>
      <c r="AR1" s="814" t="str">
        <f>AR20</f>
        <v>Jumpei Takaki</v>
      </c>
      <c r="AS1" s="814" t="e">
        <f>#REF!</f>
        <v>#REF!</v>
      </c>
      <c r="AT1" s="814"/>
      <c r="AU1" s="814" t="str">
        <f>BJ20</f>
        <v>Masaomi NAKANO</v>
      </c>
      <c r="AX1" s="814"/>
      <c r="AZ1" s="814" t="str">
        <f>AX20</f>
        <v>Hideo Hashimoto</v>
      </c>
      <c r="BA1" s="814" t="str">
        <f>AY20</f>
        <v>Takahiro Futagawa</v>
      </c>
      <c r="BB1" s="814" t="str">
        <f>AZ20</f>
        <v>Kota Watanabe</v>
      </c>
      <c r="BC1" s="814" t="str">
        <f>AS20</f>
        <v>Masaki Chugo</v>
      </c>
      <c r="BD1" s="814">
        <f>BT20</f>
        <v>0</v>
      </c>
      <c r="BE1" s="814" t="str">
        <f>BC20</f>
        <v>Douglas Vieira</v>
      </c>
      <c r="BF1" s="814" t="str">
        <f>BD20</f>
        <v>Daisuke Takagi</v>
      </c>
      <c r="BK1" s="814"/>
      <c r="BL1" s="814"/>
      <c r="BM1" s="814"/>
      <c r="BO1" s="814"/>
      <c r="BP1" s="814">
        <f>BP20</f>
        <v>0</v>
      </c>
      <c r="BR1" s="814">
        <f>BR20</f>
        <v>0</v>
      </c>
      <c r="BS1" s="814">
        <f>BS20</f>
        <v>0</v>
      </c>
      <c r="BT1" s="814" t="e">
        <f>#REF!</f>
        <v>#REF!</v>
      </c>
      <c r="BU1" s="814"/>
      <c r="BV1" s="814"/>
      <c r="BW1" s="814"/>
      <c r="BX1" s="814"/>
      <c r="BY1" s="814">
        <f t="shared" ref="BY1:CE1" si="1">BY20</f>
        <v>0</v>
      </c>
      <c r="BZ1" s="814">
        <f t="shared" si="1"/>
        <v>0</v>
      </c>
      <c r="CA1" s="814">
        <f t="shared" si="1"/>
        <v>0</v>
      </c>
      <c r="CB1" s="814">
        <f t="shared" si="1"/>
        <v>0</v>
      </c>
      <c r="CC1" s="814">
        <f t="shared" si="1"/>
        <v>0</v>
      </c>
      <c r="CD1" s="814">
        <f t="shared" si="1"/>
        <v>0</v>
      </c>
      <c r="CE1" s="814">
        <f t="shared" si="1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</row>
    <row r="2" spans="1:90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SUM(IF(L$23:L$242="",0,1)*IF(ISBLANK($T$1),1,IF($I$23:$I$242=$T$1,1,0)))</f>
        <v>44</v>
      </c>
      <c r="AG2" s="874">
        <f t="array" ref="AG2">SUM(IF(ISBLANK(AG$23:AG$242),0,IF(AG$23:AG$242="susp",0,1))*IF(ISBLANK($T$1),1,IF($I$23:$I$242=$T$1,1,0)))</f>
        <v>43</v>
      </c>
      <c r="AH2" s="874">
        <f t="array" ref="AH2">SUM(IF(ISBLANK(AH$23:AH$242),0,IF(AH$23:AH$242="susp",0,1))*IF(ISBLANK($T$1),1,IF($I$23:$I$242=$T$1,1,0)))</f>
        <v>41</v>
      </c>
      <c r="AI2" s="874">
        <f t="array" ref="AI2">SUM(IF(ISBLANK(AI$23:AI$242),0,IF(AI$23:AI$242="susp",0,1))*IF(ISBLANK($T$1),1,IF($I$23:$I$242=$T$1,1,0)))</f>
        <v>41</v>
      </c>
      <c r="AK2" s="874">
        <f t="array" ref="AK2">SUM(IF(ISBLANK(AK$23:AK$242),0,IF(AK$23:AK$242="susp",0,1))*IF(ISBLANK($T$1),1,IF($I$23:$I$242=$T$1,1,0)))</f>
        <v>44</v>
      </c>
      <c r="AL2" s="874">
        <f t="array" ref="AL2">SUM(IF(ISBLANK(AL$23:AL$242),0,IF(AL$23:AL$242="susp",0,1))*IF(ISBLANK($T$1),1,IF($I$23:$I$242=$T$1,1,0)))</f>
        <v>44</v>
      </c>
      <c r="AN2" s="874">
        <f t="array" ref="AN2">SUM(IF(ISBLANK(AN$23:AN$242),0,IF(AN$23:AN$242="susp",0,1))*IF(ISBLANK($T$1),1,IF($I$23:$I$242=$T$1,1,0)))</f>
        <v>44</v>
      </c>
      <c r="AO2" s="874">
        <f t="array" ref="AO2">SUM(IF(ISBLANK(AO$23:AO$242),0,IF(AO$23:AO$242="susp",0,1))*IF(ISBLANK($T$1),1,IF($I$23:$I$242=$T$1,1,0)))</f>
        <v>44</v>
      </c>
      <c r="AQ2" s="874">
        <f t="array" ref="AQ2">SUM(IF(ISBLANK(AQ$23:AQ$242),0,IF(AQ$23:AQ$242="susp",0,1))*IF(ISBLANK($T$1),1,IF($I$23:$I$242=$T$1,1,0)))</f>
        <v>41</v>
      </c>
      <c r="AR2" s="874">
        <f t="array" ref="AR2">SUM(IF(ISBLANK(AR$23:AR$242),0,IF(AR$23:AR$242="susp",0,1))*IF(ISBLANK($T$1),1,IF($I$23:$I$242=$T$1,1,0)))</f>
        <v>41</v>
      </c>
      <c r="AS2" s="874">
        <f t="array" ref="AS2">SUM(IF(ISBLANK(AS$23:AS$242),0,IF(AS$23:AS$242="susp",0,1))*IF(ISBLANK($T$1),1,IF($I$23:$I$242=$T$1,1,0)))</f>
        <v>43</v>
      </c>
      <c r="AU2" s="874">
        <f t="array" ref="AU2">SUM(IF(ISBLANK(AU$49:AU$242),0,IF(AU$49:AU$242="susp",0,1))*IF(ISBLANK($T$1),1,IF($I$23:$I$242=$T$1,1,0)))</f>
        <v>18</v>
      </c>
      <c r="AZ2" s="874">
        <f t="array" ref="AZ2">SUM(IF(ISBLANK(AZ$23:AZ$242),0,IF(AZ$23:AZ$242="susp",0,1))*IF(ISBLANK($T$1),1,IF($I$23:$I$242=$T$1,1,0)))</f>
        <v>44</v>
      </c>
      <c r="BA2" s="874">
        <f t="array" ref="BA2">SUM(IF(ISBLANK(BA$23:BA$242),0,IF(BA$23:BA$242="susp",0,1))*IF(ISBLANK($T$1),1,IF($I$23:$I$242=$T$1,1,0)))</f>
        <v>44</v>
      </c>
      <c r="BB2" s="874">
        <f t="array" ref="BB2">SUM(IF(ISBLANK(BB$23:BB$242),0,IF(BB$23:BB$242="susp",0,1))*IF(ISBLANK($T$1),1,IF($I$23:$I$242=$T$1,1,0)))</f>
        <v>44</v>
      </c>
      <c r="BC2" s="874">
        <f t="array" ref="BC2">SUM(IF(ISBLANK(BC$23:BC$242),0,IF(BC$23:BC$242="susp",0,1))*IF(ISBLANK($T$1),1,IF($I$23:$I$242=$T$1,1,0)))</f>
        <v>44</v>
      </c>
      <c r="BD2" s="874">
        <f t="array" ref="BD2">SUM(IF(ISBLANK(BD$23:BD$242),0,IF(BD$23:BD$242="susp",0,1))*IF(ISBLANK($T$1),1,IF($I$23:$I$242=$T$1,1,0)))</f>
        <v>44</v>
      </c>
      <c r="BE2" s="874">
        <f t="array" ref="BE2">SUM(IF(ISBLANK(BE$23:BE$242),0,IF(BE$23:BE$242="susp",0,1))*IF(ISBLANK($T$1),1,IF($I$23:$I$242=$T$1,1,0)))</f>
        <v>34</v>
      </c>
      <c r="BF2" s="874">
        <f t="array" ref="BF2">SUM(IF(ISBLANK(BF$23:BF$242),0,IF(BF$23:BF$242="susp",0,1))*IF(ISBLANK($T$1),1,IF($I$23:$I$242=$T$1,1,0)))</f>
        <v>44</v>
      </c>
      <c r="BP2" s="874">
        <f t="array" ref="BP2">SUM(IF(ISBLANK(BP$23:BP$242),0,IF(BP$23:BP$242="susp",0,1))*IF(ISBLANK($T$1),1,IF($I$23:$I$242=$T$1,1,0)))</f>
        <v>1</v>
      </c>
      <c r="BR2" s="874">
        <f t="array" ref="BR2">SUM(IF(ISBLANK(BR$23:BR$242),0,IF(BR$23:BR$242="susp",0,1))*IF(ISBLANK($T$1),1,IF($I$23:$I$242=$T$1,1,0)))</f>
        <v>1</v>
      </c>
      <c r="BS2" s="874">
        <f t="array" ref="BS2">SUM(IF(ISBLANK(BS$23:BS$242),0,IF(BS$23:BS$242="susp",0,1))*IF(ISBLANK($T$1),1,IF($I$23:$I$242=$T$1,1,0)))</f>
        <v>1</v>
      </c>
      <c r="BT2" s="874">
        <f t="array" ref="BT2">SUM(IF(ISBLANK(BT$45:BT$242),0,IF(BT$45:BT$242="susp",0,1))*IF(ISBLANK($T$1),1,IF($I$23:$I$242=$T$1,1,0)))</f>
        <v>1</v>
      </c>
      <c r="BY2" s="874">
        <f t="array" ref="BY2">SUM(IF(ISBLANK(BY$23:BY$242),0,IF(BY$23:BY$242="susp",0,1))*IF(ISBLANK($T$1),1,IF($I$23:$I$242=$T$1,1,0)))</f>
        <v>0</v>
      </c>
      <c r="BZ2" s="874">
        <f t="array" ref="BZ2">SUM(IF(ISBLANK(BZ$23:BZ$242),0,IF(BZ$23:BZ$242="susp",0,1))*IF(ISBLANK($T$1),1,IF($I$23:$I$242=$T$1,1,0)))</f>
        <v>0</v>
      </c>
      <c r="CA2" s="874">
        <f t="array" ref="CA2">SUM(IF(ISBLANK(CA$23:CA$242),0,IF(CA$23:CA$242="susp",0,1))*IF(ISBLANK($T$1),1,IF($I$23:$I$242=$T$1,1,0)))</f>
        <v>0</v>
      </c>
      <c r="CB2" s="874">
        <f t="array" ref="CB2">SUM(IF(ISBLANK(CB$23:CB$242),0,IF(CB$23:CB$242="susp",0,1))*IF(ISBLANK($T$1),1,IF($I$23:$I$242=$T$1,1,0)))</f>
        <v>0</v>
      </c>
      <c r="CC2" s="874">
        <f t="array" ref="CC2">SUM(IF(ISBLANK(CC$23:CC$242),0,IF(CC$23:CC$242="susp",0,1))*IF(ISBLANK($T$1),1,IF($I$23:$I$242=$T$1,1,0)))</f>
        <v>0</v>
      </c>
      <c r="CD2" s="874">
        <f t="array" ref="CD2">SUM(IF(ISBLANK(CD$23:CD$242),0,IF(CD$23:CD$242="susp",0,1))*IF(ISBLANK($T$1),1,IF($I$23:$I$242=$T$1,1,0)))</f>
        <v>0</v>
      </c>
      <c r="CE2" s="874">
        <f t="array" ref="CE2">SUM(IF(ISBLANK(CE$23:CE$242),0,IF(CE$23:CE$242="susp",0,1))*IF(ISBLANK($T$1),1,IF($I$23:$I$242=$T$1,1,0)))</f>
        <v>0</v>
      </c>
      <c r="CF2" s="874">
        <f t="array" ref="CF2">SUM(IF(ISBLANK(CF$23:CF$242),0,IF(CF$23:CF$242="susp",0,1))*IF(ISBLANK($T$1),1,IF($I$23:$I$242=$T$1,1,0)))</f>
        <v>0</v>
      </c>
      <c r="CG2" s="874">
        <f t="array" ref="CG2">SUM(IF(ISBLANK(CG$23:CG$242),0,IF(CG$23:CG$242="susp",0,1))*IF(ISBLANK($T$1),1,IF($I$23:$I$242=$T$1,1,0)))</f>
        <v>0</v>
      </c>
      <c r="CH2" s="874">
        <f t="array" ref="CH2">SUM(IF(ISBLANK(CH$23:CH$242),0,IF(CH$23:CH$242="susp",0,1))*IF(ISBLANK($T$1),1,IF($I$23:$I$242=$T$1,1,0)))</f>
        <v>0</v>
      </c>
      <c r="CI2" s="874">
        <f t="array" ref="CI2">SUM(IF(ISBLANK(CI$23:CI$242),0,IF(CI$23:CI$242="susp",0,1))*IF(ISBLANK($T$1),1,IF($I$23:$I$242=$T$1,1,0)))</f>
        <v>0</v>
      </c>
      <c r="CJ2" s="874">
        <f t="array" ref="CJ2">SUM(IF(ISBLANK(CJ$23:CJ$242),0,IF(CJ$23:CJ$242="susp",0,1))*IF(ISBLANK($T$1),1,IF($I$23:$I$242=$T$1,1,0)))</f>
        <v>16</v>
      </c>
      <c r="CK2" s="874">
        <f t="array" ref="CK2">SUM(IF(ISBLANK(CK$23:CK$242),0,IF(CK$23:CK$242="susp",0,1))*IF(ISBLANK($T$1),1,IF($I$23:$I$242=$T$1,1,0)))</f>
        <v>16</v>
      </c>
      <c r="CL2" s="874">
        <f t="array" ref="CL2">SUM(IF(ISBLANK(CL$23:CL$242),0,IF(CL$23:CL$242="susp",0,1))*IF(ISBLANK($T$1),1,IF($I$23:$I$242=$T$1,1,0)))</f>
        <v>15</v>
      </c>
    </row>
    <row r="3" spans="1:90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SUM(IF(L$23:L$242="W",1,0)*IF(ISBLANK($T$1),1,IF($I$23:$I$242=$T$1,1,0)))</f>
        <v>20</v>
      </c>
      <c r="AG3" s="874">
        <f t="array" ref="AG3">SUM(IF(ISTEXT(AG$23:AG$242),1,0)*IF(($L$23:$L$242)="W",1,0)*IF(ISBLANK($T$1),1,IF($I$23:$I$242=$T$1,1,0)))</f>
        <v>20</v>
      </c>
      <c r="AH3" s="874">
        <f t="array" ref="AH3">SUM(IF(ISTEXT(AH$23:AH$242),1,0)*IF(($L$23:$L$242)="W",1,0)*IF(ISBLANK($T$1),1,IF($I$23:$I$242=$T$1,1,0)))</f>
        <v>20</v>
      </c>
      <c r="AI3" s="874">
        <f t="array" ref="AI3">SUM(IF(ISTEXT(AI$23:AI$242),1,0)*IF(($L$23:$L$242)="W",1,0)*IF(ISBLANK($T$1),1,IF($I$23:$I$242=$T$1,1,0)))</f>
        <v>20</v>
      </c>
      <c r="AK3" s="874">
        <f t="array" ref="AK3">SUM(IF(ISTEXT(AK$23:AK$242),1,0)*IF(($L$23:$L$242)="W",1,0)*IF(ISBLANK($T$1),1,IF($I$23:$I$242=$T$1,1,0)))</f>
        <v>20</v>
      </c>
      <c r="AL3" s="874">
        <f t="array" ref="AL3">SUM(IF(ISTEXT(AL$23:AL$242),1,0)*IF(($L$23:$L$242)="W",1,0)*IF(ISBLANK($T$1),1,IF($I$23:$I$242=$T$1,1,0)))</f>
        <v>20</v>
      </c>
      <c r="AN3" s="874">
        <f t="array" ref="AN3">SUM(IF(ISTEXT(AN$23:AN$242),1,0)*IF(($L$23:$L$242)="W",1,0)*IF(ISBLANK($T$1),1,IF($I$23:$I$242=$T$1,1,0)))</f>
        <v>20</v>
      </c>
      <c r="AO3" s="874">
        <f t="array" ref="AO3">SUM(IF(ISTEXT(AO$23:AO$242),1,0)*IF(($L$23:$L$242)="W",1,0)*IF(ISBLANK($T$1),1,IF($I$23:$I$242=$T$1,1,0)))</f>
        <v>20</v>
      </c>
      <c r="AQ3" s="874">
        <f t="array" ref="AQ3">SUM(IF(ISTEXT(AQ$23:AQ$242),1,0)*IF(($L$23:$L$242)="W",1,0)*IF(ISBLANK($T$1),1,IF($I$23:$I$242=$T$1,1,0)))</f>
        <v>20</v>
      </c>
      <c r="AR3" s="874">
        <f t="array" ref="AR3">SUM(IF(ISTEXT(AR$23:AR$242),1,0)*IF(($L$23:$L$242)="W",1,0)*IF(ISBLANK($T$1),1,IF($I$23:$I$242=$T$1,1,0)))</f>
        <v>20</v>
      </c>
      <c r="AS3" s="874">
        <f t="array" ref="AS3">SUM(IF(ISTEXT(AS$23:AS$242),1,0)*IF(($L$23:$L$242)="W",1,0)*IF(ISBLANK($T$1),1,IF($I$23:$I$242=$T$1,1,0)))</f>
        <v>20</v>
      </c>
      <c r="AU3" s="874" t="e">
        <f t="array" ref="AU3">SUM(IF(ISTEXT(AU$49:AU$242),1,0)*IF(($L$23:$L$242)="W",1,0)*IF(ISBLANK($T$1),1,IF($I$23:$I$242=$T$1,1,0)))</f>
        <v>#N/A</v>
      </c>
      <c r="AZ3" s="874">
        <f t="array" ref="AZ3">SUM(IF(ISTEXT(AZ$23:AZ$242),1,0)*IF(($L$23:$L$242)="W",1,0)*IF(ISBLANK($T$1),1,IF($I$23:$I$242=$T$1,1,0)))</f>
        <v>20</v>
      </c>
      <c r="BA3" s="874">
        <f t="array" ref="BA3">SUM(IF(ISTEXT(BA$23:BA$242),1,0)*IF(($L$23:$L$242)="W",1,0)*IF(ISBLANK($T$1),1,IF($I$23:$I$242=$T$1,1,0)))</f>
        <v>20</v>
      </c>
      <c r="BB3" s="874">
        <f t="array" ref="BB3">SUM(IF(ISTEXT(BB$23:BB$242),1,0)*IF(($L$23:$L$242)="W",1,0)*IF(ISBLANK($T$1),1,IF($I$23:$I$242=$T$1,1,0)))</f>
        <v>20</v>
      </c>
      <c r="BC3" s="874">
        <f t="array" ref="BC3">SUM(IF(ISTEXT(BC$23:BC$242),1,0)*IF(($L$23:$L$242)="W",1,0)*IF(ISBLANK($T$1),1,IF($I$23:$I$242=$T$1,1,0)))</f>
        <v>20</v>
      </c>
      <c r="BD3" s="874">
        <f t="array" ref="BD3">SUM(IF(ISTEXT(BD$23:BD$242),1,0)*IF(($L$23:$L$242)="W",1,0)*IF(ISBLANK($T$1),1,IF($I$23:$I$242=$T$1,1,0)))</f>
        <v>20</v>
      </c>
      <c r="BE3" s="874">
        <f t="array" ref="BE3">SUM(IF(ISTEXT(BE$23:BE$242),1,0)*IF(($L$23:$L$242)="W",1,0)*IF(ISBLANK($T$1),1,IF($I$23:$I$242=$T$1,1,0)))</f>
        <v>15</v>
      </c>
      <c r="BF3" s="874">
        <f t="array" ref="BF3">SUM(IF(ISTEXT(BF$23:BF$242),1,0)*IF(($L$23:$L$242)="W",1,0)*IF(ISBLANK($T$1),1,IF($I$23:$I$242=$T$1,1,0)))</f>
        <v>20</v>
      </c>
      <c r="BP3" s="874">
        <f t="array" ref="BP3">SUM(IF(ISTEXT(BP$23:BP$242),1,0)*IF(($L$23:$L$242)="W",1,0)*IF(ISBLANK($T$1),1,IF($I$23:$I$242=$T$1,1,0)))</f>
        <v>1</v>
      </c>
      <c r="BR3" s="874">
        <f t="array" ref="BR3">SUM(IF(ISTEXT(BR$23:BR$242),1,0)*IF(($L$23:$L$242)="W",1,0)*IF(ISBLANK($T$1),1,IF($I$23:$I$242=$T$1,1,0)))</f>
        <v>1</v>
      </c>
      <c r="BS3" s="874">
        <f t="array" ref="BS3">SUM(IF(ISTEXT(BS$23:BS$242),1,0)*IF(($L$23:$L$242)="W",1,0)*IF(ISBLANK($T$1),1,IF($I$23:$I$242=$T$1,1,0)))</f>
        <v>1</v>
      </c>
      <c r="BT3" s="874" t="e">
        <f t="array" ref="BT3">SUM(IF(ISTEXT(BT$45:BT$242),1,0)*IF(($L$23:$L$242)="W",1,0)*IF(ISBLANK($T$1),1,IF($I$23:$I$242=$T$1,1,0)))</f>
        <v>#N/A</v>
      </c>
      <c r="BY3" s="874">
        <f t="array" ref="BY3">SUM(IF(ISTEXT(BY$23:BY$242),1,0)*IF(($L$23:$L$242)="W",1,0)*IF(ISBLANK($T$1),1,IF($I$23:$I$242=$T$1,1,0)))</f>
        <v>0</v>
      </c>
      <c r="BZ3" s="874">
        <f t="array" ref="BZ3">SUM(IF(ISTEXT(BZ$23:BZ$242),1,0)*IF(($L$23:$L$242)="W",1,0)*IF(ISBLANK($T$1),1,IF($I$23:$I$242=$T$1,1,0)))</f>
        <v>0</v>
      </c>
      <c r="CA3" s="874">
        <f t="array" ref="CA3">SUM(IF(ISTEXT(CA$23:CA$242),1,0)*IF(($L$23:$L$242)="W",1,0)*IF(ISBLANK($T$1),1,IF($I$23:$I$242=$T$1,1,0)))</f>
        <v>0</v>
      </c>
      <c r="CB3" s="874">
        <f t="array" ref="CB3">SUM(IF(ISTEXT(CB$23:CB$242),1,0)*IF(($L$23:$L$242)="W",1,0)*IF(ISBLANK($T$1),1,IF($I$23:$I$242=$T$1,1,0)))</f>
        <v>0</v>
      </c>
      <c r="CC3" s="874">
        <f t="array" ref="CC3">SUM(IF(ISTEXT(CC$23:CC$242),1,0)*IF(($L$23:$L$242)="W",1,0)*IF(ISBLANK($T$1),1,IF($I$23:$I$242=$T$1,1,0)))</f>
        <v>0</v>
      </c>
      <c r="CD3" s="874">
        <f t="array" ref="CD3">SUM(IF(ISTEXT(CD$23:CD$242),1,0)*IF(($L$23:$L$242)="W",1,0)*IF(ISBLANK($T$1),1,IF($I$23:$I$242=$T$1,1,0)))</f>
        <v>0</v>
      </c>
      <c r="CE3" s="874">
        <f t="array" ref="CE3">SUM(IF(ISTEXT(CE$23:CE$242),1,0)*IF(($L$23:$L$242)="W",1,0)*IF(ISBLANK($T$1),1,IF($I$23:$I$242=$T$1,1,0)))</f>
        <v>0</v>
      </c>
      <c r="CF3" s="874">
        <f t="array" ref="CF3">SUM(IF(ISTEXT(CF$23:CF$242),1,0)*IF(($L$23:$L$242)="W",1,0)*IF(ISBLANK($T$1),1,IF($I$23:$I$242=$T$1,1,0)))</f>
        <v>0</v>
      </c>
      <c r="CG3" s="874">
        <f t="array" ref="CG3">SUM(IF(ISTEXT(CG$23:CG$242),1,0)*IF(($L$23:$L$242)="W",1,0)*IF(ISBLANK($T$1),1,IF($I$23:$I$242=$T$1,1,0)))</f>
        <v>0</v>
      </c>
      <c r="CH3" s="874">
        <f t="array" ref="CH3">SUM(IF(ISTEXT(CH$23:CH$242),1,0)*IF(($L$23:$L$242)="W",1,0)*IF(ISBLANK($T$1),1,IF($I$23:$I$242=$T$1,1,0)))</f>
        <v>0</v>
      </c>
      <c r="CI3" s="874">
        <f t="array" ref="CI3">SUM(IF(ISTEXT(CI$23:CI$242),1,0)*IF(($L$23:$L$242)="W",1,0)*IF(ISBLANK($T$1),1,IF($I$23:$I$242=$T$1,1,0)))</f>
        <v>0</v>
      </c>
      <c r="CJ3" s="874">
        <f t="array" ref="CJ3">SUM(IF(ISTEXT(CJ$23:CJ$242),1,0)*IF(($L$23:$L$242)="W",1,0)*IF(ISBLANK($T$1),1,IF($I$23:$I$242=$T$1,1,0)))</f>
        <v>6</v>
      </c>
      <c r="CK3" s="874">
        <f t="array" ref="CK3">SUM(IF(ISTEXT(CK$23:CK$242),1,0)*IF(($L$23:$L$242)="W",1,0)*IF(ISBLANK($T$1),1,IF($I$23:$I$242=$T$1,1,0)))</f>
        <v>6</v>
      </c>
      <c r="CL3" s="874">
        <f t="array" ref="CL3">SUM(IF(ISTEXT(CL$23:CL$242),1,0)*IF(($L$23:$L$242)="W",1,0)*IF(ISBLANK($T$1),1,IF($I$23:$I$242=$T$1,1,0)))</f>
        <v>6</v>
      </c>
    </row>
    <row r="4" spans="1:90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SUM(IF(L$23:L$242="D",1,0)*IF(ISBLANK($T$1),1,IF($I$23:$I$242=$T$1,1,0)))</f>
        <v>10</v>
      </c>
      <c r="AG4" s="874">
        <f t="array" ref="AG4">SUM(IF(ISTEXT(AG$23:AG$242),1,0)*IF(($L$23:$L$242)="D",1,0)*IF(ISBLANK($T$1),1,IF($I$23:$I$242=$T$1,1,0)))</f>
        <v>10</v>
      </c>
      <c r="AH4" s="874">
        <f t="array" ref="AH4">SUM(IF(ISTEXT(AH$23:AH$242),1,0)*IF(($L$23:$L$242)="D",1,0)*IF(ISBLANK($T$1),1,IF($I$23:$I$242=$T$1,1,0)))</f>
        <v>9</v>
      </c>
      <c r="AI4" s="874">
        <f t="array" ref="AI4">SUM(IF(ISTEXT(AI$23:AI$242),1,0)*IF(($L$23:$L$242)="D",1,0)*IF(ISBLANK($T$1),1,IF($I$23:$I$242=$T$1,1,0)))</f>
        <v>9</v>
      </c>
      <c r="AK4" s="874">
        <f t="array" ref="AK4">SUM(IF(ISTEXT(AK$23:AK$242),1,0)*IF(($L$23:$L$242)="D",1,0)*IF(ISBLANK($T$1),1,IF($I$23:$I$242=$T$1,1,0)))</f>
        <v>10</v>
      </c>
      <c r="AL4" s="874">
        <f t="array" ref="AL4">SUM(IF(ISTEXT(AL$23:AL$242),1,0)*IF(($L$23:$L$242)="D",1,0)*IF(ISBLANK($T$1),1,IF($I$23:$I$242=$T$1,1,0)))</f>
        <v>10</v>
      </c>
      <c r="AN4" s="874">
        <f t="array" ref="AN4">SUM(IF(ISTEXT(AN$23:AN$242),1,0)*IF(($L$23:$L$242)="D",1,0)*IF(ISBLANK($T$1),1,IF($I$23:$I$242=$T$1,1,0)))</f>
        <v>10</v>
      </c>
      <c r="AO4" s="874">
        <f t="array" ref="AO4">SUM(IF(ISTEXT(AO$23:AO$242),1,0)*IF(($L$23:$L$242)="D",1,0)*IF(ISBLANK($T$1),1,IF($I$23:$I$242=$T$1,1,0)))</f>
        <v>10</v>
      </c>
      <c r="AQ4" s="874">
        <f t="array" ref="AQ4">SUM(IF(ISTEXT(AQ$23:AQ$242),1,0)*IF(($L$23:$L$242)="D",1,0)*IF(ISBLANK($T$1),1,IF($I$23:$I$242=$T$1,1,0)))</f>
        <v>9</v>
      </c>
      <c r="AR4" s="874">
        <f t="array" ref="AR4">SUM(IF(ISTEXT(AR$23:AR$242),1,0)*IF(($L$23:$L$242)="D",1,0)*IF(ISBLANK($T$1),1,IF($I$23:$I$242=$T$1,1,0)))</f>
        <v>9</v>
      </c>
      <c r="AS4" s="874">
        <f t="array" ref="AS4">SUM(IF(ISTEXT(AS$23:AS$242),1,0)*IF(($L$23:$L$242)="D",1,0)*IF(ISBLANK($T$1),1,IF($I$23:$I$242=$T$1,1,0)))</f>
        <v>9</v>
      </c>
      <c r="AU4" s="874" t="e">
        <f t="array" ref="AU4">SUM(IF(ISTEXT(AU$49:AU$242),1,0)*IF(($L$23:$L$242)="D",1,0)*IF(ISBLANK($T$1),1,IF($I$23:$I$242=$T$1,1,0)))</f>
        <v>#N/A</v>
      </c>
      <c r="AZ4" s="874">
        <f t="array" ref="AZ4">SUM(IF(ISTEXT(AZ$23:AZ$242),1,0)*IF(($L$23:$L$242)="D",1,0)*IF(ISBLANK($T$1),1,IF($I$23:$I$242=$T$1,1,0)))</f>
        <v>10</v>
      </c>
      <c r="BA4" s="874">
        <f t="array" ref="BA4">SUM(IF(ISTEXT(BA$23:BA$242),1,0)*IF(($L$23:$L$242)="D",1,0)*IF(ISBLANK($T$1),1,IF($I$23:$I$242=$T$1,1,0)))</f>
        <v>10</v>
      </c>
      <c r="BB4" s="874">
        <f t="array" ref="BB4">SUM(IF(ISTEXT(BB$23:BB$242),1,0)*IF(($L$23:$L$242)="D",1,0)*IF(ISBLANK($T$1),1,IF($I$23:$I$242=$T$1,1,0)))</f>
        <v>10</v>
      </c>
      <c r="BC4" s="874">
        <f t="array" ref="BC4">SUM(IF(ISTEXT(BC$23:BC$242),1,0)*IF(($L$23:$L$242)="D",1,0)*IF(ISBLANK($T$1),1,IF($I$23:$I$242=$T$1,1,0)))</f>
        <v>10</v>
      </c>
      <c r="BD4" s="874">
        <f t="array" ref="BD4">SUM(IF(ISTEXT(BD$23:BD$242),1,0)*IF(($L$23:$L$242)="D",1,0)*IF(ISBLANK($T$1),1,IF($I$23:$I$242=$T$1,1,0)))</f>
        <v>10</v>
      </c>
      <c r="BE4" s="874">
        <f t="array" ref="BE4">SUM(IF(ISTEXT(BE$23:BE$242),1,0)*IF(($L$23:$L$242)="D",1,0)*IF(ISBLANK($T$1),1,IF($I$23:$I$242=$T$1,1,0)))</f>
        <v>9</v>
      </c>
      <c r="BF4" s="874">
        <f t="array" ref="BF4">SUM(IF(ISTEXT(BF$23:BF$242),1,0)*IF(($L$23:$L$242)="D",1,0)*IF(ISBLANK($T$1),1,IF($I$23:$I$242=$T$1,1,0)))</f>
        <v>10</v>
      </c>
      <c r="BP4" s="874">
        <f t="array" ref="BP4">SUM(IF(ISTEXT(BP$23:BP$242),1,0)*IF(($L$23:$L$242)="D",1,0)*IF(ISBLANK($T$1),1,IF($I$23:$I$242=$T$1,1,0)))</f>
        <v>0</v>
      </c>
      <c r="BR4" s="874">
        <f t="array" ref="BR4">SUM(IF(ISTEXT(BR$23:BR$242),1,0)*IF(($L$23:$L$242)="D",1,0)*IF(ISBLANK($T$1),1,IF($I$23:$I$242=$T$1,1,0)))</f>
        <v>0</v>
      </c>
      <c r="BS4" s="874">
        <f t="array" ref="BS4">SUM(IF(ISTEXT(BS$23:BS$242),1,0)*IF(($L$23:$L$242)="D",1,0)*IF(ISBLANK($T$1),1,IF($I$23:$I$242=$T$1,1,0)))</f>
        <v>0</v>
      </c>
      <c r="BT4" s="874" t="e">
        <f t="array" ref="BT4">SUM(IF(ISTEXT(BT$45:BT$242),1,0)*IF(($L$23:$L$242)="D",1,0)*IF(ISBLANK($T$1),1,IF($I$23:$I$242=$T$1,1,0)))</f>
        <v>#N/A</v>
      </c>
      <c r="BY4" s="874">
        <f t="array" ref="BY4">SUM(IF(ISTEXT(BY$23:BY$242),1,0)*IF(($L$23:$L$242)="D",1,0)*IF(ISBLANK($T$1),1,IF($I$23:$I$242=$T$1,1,0)))</f>
        <v>0</v>
      </c>
      <c r="BZ4" s="874">
        <f t="array" ref="BZ4">SUM(IF(ISTEXT(BZ$23:BZ$242),1,0)*IF(($L$23:$L$242)="D",1,0)*IF(ISBLANK($T$1),1,IF($I$23:$I$242=$T$1,1,0)))</f>
        <v>0</v>
      </c>
      <c r="CA4" s="874">
        <f t="array" ref="CA4">SUM(IF(ISTEXT(CA$23:CA$242),1,0)*IF(($L$23:$L$242)="D",1,0)*IF(ISBLANK($T$1),1,IF($I$23:$I$242=$T$1,1,0)))</f>
        <v>0</v>
      </c>
      <c r="CB4" s="874">
        <f t="array" ref="CB4">SUM(IF(ISTEXT(CB$23:CB$242),1,0)*IF(($L$23:$L$242)="D",1,0)*IF(ISBLANK($T$1),1,IF($I$23:$I$242=$T$1,1,0)))</f>
        <v>0</v>
      </c>
      <c r="CC4" s="874">
        <f t="array" ref="CC4">SUM(IF(ISTEXT(CC$23:CC$242),1,0)*IF(($L$23:$L$242)="D",1,0)*IF(ISBLANK($T$1),1,IF($I$23:$I$242=$T$1,1,0)))</f>
        <v>0</v>
      </c>
      <c r="CD4" s="874">
        <f t="array" ref="CD4">SUM(IF(ISTEXT(CD$23:CD$242),1,0)*IF(($L$23:$L$242)="D",1,0)*IF(ISBLANK($T$1),1,IF($I$23:$I$242=$T$1,1,0)))</f>
        <v>0</v>
      </c>
      <c r="CE4" s="874">
        <f t="array" ref="CE4">SUM(IF(ISTEXT(CE$23:CE$242),1,0)*IF(($L$23:$L$242)="D",1,0)*IF(ISBLANK($T$1),1,IF($I$23:$I$242=$T$1,1,0)))</f>
        <v>0</v>
      </c>
      <c r="CF4" s="874">
        <f t="array" ref="CF4">SUM(IF(ISTEXT(CF$23:CF$242),1,0)*IF(($L$23:$L$242)="D",1,0)*IF(ISBLANK($T$1),1,IF($I$23:$I$242=$T$1,1,0)))</f>
        <v>0</v>
      </c>
      <c r="CG4" s="874">
        <f t="array" ref="CG4">SUM(IF(ISTEXT(CG$23:CG$242),1,0)*IF(($L$23:$L$242)="D",1,0)*IF(ISBLANK($T$1),1,IF($I$23:$I$242=$T$1,1,0)))</f>
        <v>0</v>
      </c>
      <c r="CH4" s="874">
        <f t="array" ref="CH4">SUM(IF(ISTEXT(CH$23:CH$242),1,0)*IF(($L$23:$L$242)="D",1,0)*IF(ISBLANK($T$1),1,IF($I$23:$I$242=$T$1,1,0)))</f>
        <v>0</v>
      </c>
      <c r="CI4" s="874">
        <f t="array" ref="CI4">SUM(IF(ISTEXT(CI$23:CI$242),1,0)*IF(($L$23:$L$242)="D",1,0)*IF(ISBLANK($T$1),1,IF($I$23:$I$242=$T$1,1,0)))</f>
        <v>0</v>
      </c>
      <c r="CJ4" s="874">
        <f t="array" ref="CJ4">SUM(IF(ISTEXT(CJ$23:CJ$242),1,0)*IF(($L$23:$L$242)="D",1,0)*IF(ISBLANK($T$1),1,IF($I$23:$I$242=$T$1,1,0)))</f>
        <v>4</v>
      </c>
      <c r="CK4" s="874">
        <f t="array" ref="CK4">SUM(IF(ISTEXT(CK$23:CK$242),1,0)*IF(($L$23:$L$242)="D",1,0)*IF(ISBLANK($T$1),1,IF($I$23:$I$242=$T$1,1,0)))</f>
        <v>4</v>
      </c>
      <c r="CL4" s="874">
        <f t="array" ref="CL4">SUM(IF(ISTEXT(CL$23:CL$242),1,0)*IF(($L$23:$L$242)="D",1,0)*IF(ISBLANK($T$1),1,IF($I$23:$I$242=$T$1,1,0)))</f>
        <v>3</v>
      </c>
    </row>
    <row r="5" spans="1:90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SUM(IF(L$23:L$242="L",1,0)*IF(ISBLANK($T$1),1,IF($I$23:$I$242=$T$1,1,0)))</f>
        <v>14</v>
      </c>
      <c r="AG5" s="874">
        <f t="array" ref="AG5">SUM(IF(ISTEXT(AG$23:AG$242),1,0)*IF(($L$23:$L$242)="L",1,0)*IF(ISBLANK($T$1),1,IF($I$23:$I$242=$T$1,1,0)))</f>
        <v>13</v>
      </c>
      <c r="AH5" s="874">
        <f t="array" ref="AH5">SUM(IF(ISTEXT(AH$23:AH$242),1,0)*IF(($L$23:$L$242)="L",1,0)*IF(ISBLANK($T$1),1,IF($I$23:$I$242=$T$1,1,0)))</f>
        <v>12</v>
      </c>
      <c r="AI5" s="874">
        <f t="array" ref="AI5">SUM(IF(ISTEXT(AI$23:AI$242),1,0)*IF(($L$23:$L$242)="L",1,0)*IF(ISBLANK($T$1),1,IF($I$23:$I$242=$T$1,1,0)))</f>
        <v>12</v>
      </c>
      <c r="AK5" s="874">
        <f t="array" ref="AK5">SUM(IF(ISTEXT(AK$23:AK$242),1,0)*IF(($L$23:$L$242)="L",1,0)*IF(ISBLANK($T$1),1,IF($I$23:$I$242=$T$1,1,0)))</f>
        <v>14</v>
      </c>
      <c r="AL5" s="874">
        <f t="array" ref="AL5">SUM(IF(ISTEXT(AL$23:AL$242),1,0)*IF(($L$23:$L$242)="L",1,0)*IF(ISBLANK($T$1),1,IF($I$23:$I$242=$T$1,1,0)))</f>
        <v>14</v>
      </c>
      <c r="AN5" s="874">
        <f t="array" ref="AN5">SUM(IF(ISTEXT(AN$23:AN$242),1,0)*IF(($L$23:$L$242)="L",1,0)*IF(ISBLANK($T$1),1,IF($I$23:$I$242=$T$1,1,0)))</f>
        <v>14</v>
      </c>
      <c r="AO5" s="874">
        <f t="array" ref="AO5">SUM(IF(ISTEXT(AO$23:AO$242),1,0)*IF(($L$23:$L$242)="L",1,0)*IF(ISBLANK($T$1),1,IF($I$23:$I$242=$T$1,1,0)))</f>
        <v>14</v>
      </c>
      <c r="AQ5" s="874">
        <f t="array" ref="AQ5">SUM(IF(ISTEXT(AQ$23:AQ$242),1,0)*IF(($L$23:$L$242)="L",1,0)*IF(ISBLANK($T$1),1,IF($I$23:$I$242=$T$1,1,0)))</f>
        <v>12</v>
      </c>
      <c r="AR5" s="874">
        <f t="array" ref="AR5">SUM(IF(ISTEXT(AR$23:AR$242),1,0)*IF(($L$23:$L$242)="L",1,0)*IF(ISBLANK($T$1),1,IF($I$23:$I$242=$T$1,1,0)))</f>
        <v>12</v>
      </c>
      <c r="AS5" s="874">
        <f t="array" ref="AS5">SUM(IF(ISTEXT(AS$23:AS$242),1,0)*IF(($L$23:$L$242)="L",1,0)*IF(ISBLANK($T$1),1,IF($I$23:$I$242=$T$1,1,0)))</f>
        <v>14</v>
      </c>
      <c r="AU5" s="874" t="e">
        <f t="array" ref="AU5">SUM(IF(ISTEXT(AU$49:AU$242),1,0)*IF(($L$23:$L$242)="L",1,0)*IF(ISBLANK($T$1),1,IF($I$23:$I$242=$T$1,1,0)))</f>
        <v>#N/A</v>
      </c>
      <c r="AZ5" s="874">
        <f t="array" ref="AZ5">SUM(IF(ISTEXT(AZ$23:AZ$242),1,0)*IF(($L$23:$L$242)="L",1,0)*IF(ISBLANK($T$1),1,IF($I$23:$I$242=$T$1,1,0)))</f>
        <v>14</v>
      </c>
      <c r="BA5" s="874">
        <f t="array" ref="BA5">SUM(IF(ISTEXT(BA$23:BA$242),1,0)*IF(($L$23:$L$242)="L",1,0)*IF(ISBLANK($T$1),1,IF($I$23:$I$242=$T$1,1,0)))</f>
        <v>14</v>
      </c>
      <c r="BB5" s="874">
        <f t="array" ref="BB5">SUM(IF(ISTEXT(BB$23:BB$242),1,0)*IF(($L$23:$L$242)="L",1,0)*IF(ISBLANK($T$1),1,IF($I$23:$I$242=$T$1,1,0)))</f>
        <v>14</v>
      </c>
      <c r="BC5" s="874">
        <f t="array" ref="BC5">SUM(IF(ISTEXT(BC$23:BC$242),1,0)*IF(($L$23:$L$242)="L",1,0)*IF(ISBLANK($T$1),1,IF($I$23:$I$242=$T$1,1,0)))</f>
        <v>14</v>
      </c>
      <c r="BD5" s="874">
        <f t="array" ref="BD5">SUM(IF(ISTEXT(BD$23:BD$242),1,0)*IF(($L$23:$L$242)="L",1,0)*IF(ISBLANK($T$1),1,IF($I$23:$I$242=$T$1,1,0)))</f>
        <v>14</v>
      </c>
      <c r="BE5" s="874">
        <f t="array" ref="BE5">SUM(IF(ISTEXT(BE$23:BE$242),1,0)*IF(($L$23:$L$242)="L",1,0)*IF(ISBLANK($T$1),1,IF($I$23:$I$242=$T$1,1,0)))</f>
        <v>10</v>
      </c>
      <c r="BF5" s="874">
        <f t="array" ref="BF5">SUM(IF(ISTEXT(BF$23:BF$242),1,0)*IF(($L$23:$L$242)="L",1,0)*IF(ISBLANK($T$1),1,IF($I$23:$I$242=$T$1,1,0)))</f>
        <v>14</v>
      </c>
      <c r="BP5" s="874">
        <f t="array" ref="BP5">SUM(IF(ISTEXT(BP$23:BP$242),1,0)*IF(($L$23:$L$242)="L",1,0)*IF(ISBLANK($T$1),1,IF($I$23:$I$242=$T$1,1,0)))</f>
        <v>0</v>
      </c>
      <c r="BR5" s="874">
        <f t="array" ref="BR5">SUM(IF(ISTEXT(BR$23:BR$242),1,0)*IF(($L$23:$L$242)="L",1,0)*IF(ISBLANK($T$1),1,IF($I$23:$I$242=$T$1,1,0)))</f>
        <v>0</v>
      </c>
      <c r="BS5" s="874">
        <f t="array" ref="BS5">SUM(IF(ISTEXT(BS$23:BS$242),1,0)*IF(($L$23:$L$242)="L",1,0)*IF(ISBLANK($T$1),1,IF($I$23:$I$242=$T$1,1,0)))</f>
        <v>0</v>
      </c>
      <c r="BT5" s="874" t="e">
        <f t="array" ref="BT5">SUM(IF(ISTEXT(BT$45:BT$242),1,0)*IF(($L$23:$L$242)="L",1,0)*IF(ISBLANK($T$1),1,IF($I$23:$I$242=$T$1,1,0)))</f>
        <v>#N/A</v>
      </c>
      <c r="BY5" s="874">
        <f t="array" ref="BY5">SUM(IF(ISTEXT(BY$23:BY$242),1,0)*IF(($L$23:$L$242)="L",1,0)*IF(ISBLANK($T$1),1,IF($I$23:$I$242=$T$1,1,0)))</f>
        <v>0</v>
      </c>
      <c r="BZ5" s="874">
        <f t="array" ref="BZ5">SUM(IF(ISTEXT(BZ$23:BZ$242),1,0)*IF(($L$23:$L$242)="L",1,0)*IF(ISBLANK($T$1),1,IF($I$23:$I$242=$T$1,1,0)))</f>
        <v>0</v>
      </c>
      <c r="CA5" s="874">
        <f t="array" ref="CA5">SUM(IF(ISTEXT(CA$23:CA$242),1,0)*IF(($L$23:$L$242)="L",1,0)*IF(ISBLANK($T$1),1,IF($I$23:$I$242=$T$1,1,0)))</f>
        <v>0</v>
      </c>
      <c r="CB5" s="874">
        <f t="array" ref="CB5">SUM(IF(ISTEXT(CB$23:CB$242),1,0)*IF(($L$23:$L$242)="L",1,0)*IF(ISBLANK($T$1),1,IF($I$23:$I$242=$T$1,1,0)))</f>
        <v>0</v>
      </c>
      <c r="CC5" s="874">
        <f t="array" ref="CC5">SUM(IF(ISTEXT(CC$23:CC$242),1,0)*IF(($L$23:$L$242)="L",1,0)*IF(ISBLANK($T$1),1,IF($I$23:$I$242=$T$1,1,0)))</f>
        <v>0</v>
      </c>
      <c r="CD5" s="874">
        <f t="array" ref="CD5">SUM(IF(ISTEXT(CD$23:CD$242),1,0)*IF(($L$23:$L$242)="L",1,0)*IF(ISBLANK($T$1),1,IF($I$23:$I$242=$T$1,1,0)))</f>
        <v>0</v>
      </c>
      <c r="CE5" s="874">
        <f t="array" ref="CE5">SUM(IF(ISTEXT(CE$23:CE$242),1,0)*IF(($L$23:$L$242)="L",1,0)*IF(ISBLANK($T$1),1,IF($I$23:$I$242=$T$1,1,0)))</f>
        <v>0</v>
      </c>
      <c r="CF5" s="874">
        <f t="array" ref="CF5">SUM(IF(ISTEXT(CF$23:CF$242),1,0)*IF(($L$23:$L$242)="L",1,0)*IF(ISBLANK($T$1),1,IF($I$23:$I$242=$T$1,1,0)))</f>
        <v>0</v>
      </c>
      <c r="CG5" s="874">
        <f t="array" ref="CG5">SUM(IF(ISTEXT(CG$23:CG$242),1,0)*IF(($L$23:$L$242)="L",1,0)*IF(ISBLANK($T$1),1,IF($I$23:$I$242=$T$1,1,0)))</f>
        <v>0</v>
      </c>
      <c r="CH5" s="874">
        <f t="array" ref="CH5">SUM(IF(ISTEXT(CH$23:CH$242),1,0)*IF(($L$23:$L$242)="L",1,0)*IF(ISBLANK($T$1),1,IF($I$23:$I$242=$T$1,1,0)))</f>
        <v>0</v>
      </c>
      <c r="CI5" s="874">
        <f t="array" ref="CI5">SUM(IF(ISTEXT(CI$23:CI$242),1,0)*IF(($L$23:$L$242)="L",1,0)*IF(ISBLANK($T$1),1,IF($I$23:$I$242=$T$1,1,0)))</f>
        <v>0</v>
      </c>
      <c r="CJ5" s="874">
        <f t="array" ref="CJ5">SUM(IF(ISTEXT(CJ$23:CJ$242),1,0)*IF(($L$23:$L$242)="L",1,0)*IF(ISBLANK($T$1),1,IF($I$23:$I$242=$T$1,1,0)))</f>
        <v>6</v>
      </c>
      <c r="CK5" s="874">
        <f t="array" ref="CK5">SUM(IF(ISTEXT(CK$23:CK$242),1,0)*IF(($L$23:$L$242)="L",1,0)*IF(ISBLANK($T$1),1,IF($I$23:$I$242=$T$1,1,0)))</f>
        <v>6</v>
      </c>
      <c r="CL5" s="874">
        <f t="array" ref="CL5">SUM(IF(ISTEXT(CL$23:CL$242),1,0)*IF(($L$23:$L$242)="L",1,0)*IF(ISBLANK($T$1),1,IF($I$23:$I$242=$T$1,1,0)))</f>
        <v>6</v>
      </c>
    </row>
    <row r="6" spans="1:90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70</v>
      </c>
      <c r="AG6" s="874">
        <f t="shared" ref="AG6:CL6" si="2">AG$3*3+AG$4</f>
        <v>70</v>
      </c>
      <c r="AH6" s="874">
        <f t="shared" si="2"/>
        <v>69</v>
      </c>
      <c r="AI6" s="874">
        <f t="shared" si="2"/>
        <v>69</v>
      </c>
      <c r="AK6" s="874">
        <f t="shared" si="2"/>
        <v>70</v>
      </c>
      <c r="AL6" s="874">
        <f t="shared" si="2"/>
        <v>70</v>
      </c>
      <c r="AN6" s="874">
        <f>AN$3*3+AN$4</f>
        <v>70</v>
      </c>
      <c r="AO6" s="874">
        <f t="shared" si="2"/>
        <v>70</v>
      </c>
      <c r="AQ6" s="874">
        <f>AQ$3*3+AQ$4</f>
        <v>69</v>
      </c>
      <c r="AR6" s="874">
        <f>AR$3*3+AR$4</f>
        <v>69</v>
      </c>
      <c r="AS6" s="874">
        <f>AS$3*3+AS$4</f>
        <v>69</v>
      </c>
      <c r="AU6" s="874" t="e">
        <f>AU$3*3+AU$4</f>
        <v>#N/A</v>
      </c>
      <c r="AZ6" s="874">
        <f t="shared" ref="AZ6:BF6" si="3">AZ$3*3+AZ$4</f>
        <v>70</v>
      </c>
      <c r="BA6" s="874">
        <f t="shared" si="3"/>
        <v>70</v>
      </c>
      <c r="BB6" s="874">
        <f t="shared" si="3"/>
        <v>70</v>
      </c>
      <c r="BC6" s="874">
        <f t="shared" si="3"/>
        <v>70</v>
      </c>
      <c r="BD6" s="874">
        <f t="shared" si="3"/>
        <v>70</v>
      </c>
      <c r="BE6" s="874">
        <f t="shared" si="3"/>
        <v>54</v>
      </c>
      <c r="BF6" s="874">
        <f t="shared" si="3"/>
        <v>70</v>
      </c>
      <c r="BP6" s="874">
        <f>BP$3*3+BP$4</f>
        <v>3</v>
      </c>
      <c r="BR6" s="874">
        <f>BR$3*3+BR$4</f>
        <v>3</v>
      </c>
      <c r="BS6" s="874">
        <f>BS$3*3+BS$4</f>
        <v>3</v>
      </c>
      <c r="BT6" s="874" t="e">
        <f t="shared" si="2"/>
        <v>#N/A</v>
      </c>
      <c r="BY6" s="874">
        <f t="shared" ref="BY6:CE6" si="4">BY$3*3+BY$4</f>
        <v>0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4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22</v>
      </c>
      <c r="CK6" s="874">
        <f t="shared" si="2"/>
        <v>22</v>
      </c>
      <c r="CL6" s="874">
        <f t="shared" si="2"/>
        <v>21</v>
      </c>
    </row>
    <row r="7" spans="1:90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L7" si="5">AF6/AF2</f>
        <v>1.5909090909090908</v>
      </c>
      <c r="AG7" s="874">
        <f t="shared" si="5"/>
        <v>1.6279069767441861</v>
      </c>
      <c r="AH7" s="874">
        <f t="shared" si="5"/>
        <v>1.6829268292682926</v>
      </c>
      <c r="AI7" s="874">
        <f t="shared" si="5"/>
        <v>1.6829268292682926</v>
      </c>
      <c r="AK7" s="874">
        <f t="shared" si="5"/>
        <v>1.5909090909090908</v>
      </c>
      <c r="AL7" s="874">
        <f t="shared" si="5"/>
        <v>1.5909090909090908</v>
      </c>
      <c r="AN7" s="874">
        <f>AN6/AN2</f>
        <v>1.5909090909090908</v>
      </c>
      <c r="AO7" s="874">
        <f t="shared" si="5"/>
        <v>1.5909090909090908</v>
      </c>
      <c r="AQ7" s="874">
        <f>AQ6/AQ2</f>
        <v>1.6829268292682926</v>
      </c>
      <c r="AR7" s="874">
        <f>AR6/AR2</f>
        <v>1.6829268292682926</v>
      </c>
      <c r="AS7" s="874">
        <f>AS6/AS2</f>
        <v>1.6046511627906976</v>
      </c>
      <c r="AU7" s="874" t="e">
        <f>AU6/AU2</f>
        <v>#N/A</v>
      </c>
      <c r="AZ7" s="874">
        <f>AZ6/AZ2</f>
        <v>1.5909090909090908</v>
      </c>
      <c r="BA7" s="874">
        <f t="shared" ref="BA7" si="6">BA6/BA2</f>
        <v>1.5909090909090908</v>
      </c>
      <c r="BB7" s="874">
        <f>BB6/BB2</f>
        <v>1.5909090909090908</v>
      </c>
      <c r="BC7" s="874">
        <f>BC6/BC2</f>
        <v>1.5909090909090908</v>
      </c>
      <c r="BD7" s="874">
        <f>BD6/BD2</f>
        <v>1.5909090909090908</v>
      </c>
      <c r="BE7" s="874">
        <f>BE6/BE2</f>
        <v>1.588235294117647</v>
      </c>
      <c r="BF7" s="874">
        <f>BF6/BF2</f>
        <v>1.5909090909090908</v>
      </c>
      <c r="BP7" s="874">
        <f>BP6/BP2</f>
        <v>3</v>
      </c>
      <c r="BR7" s="874">
        <f>BR6/BR2</f>
        <v>3</v>
      </c>
      <c r="BS7" s="874">
        <f>BS6/BS2</f>
        <v>3</v>
      </c>
      <c r="BT7" s="874" t="e">
        <f t="shared" si="5"/>
        <v>#N/A</v>
      </c>
      <c r="BY7" s="874" t="e">
        <f t="shared" ref="BY7:CE7" si="7">BY6/BY2</f>
        <v>#DIV/0!</v>
      </c>
      <c r="BZ7" s="874" t="e">
        <f t="shared" si="7"/>
        <v>#DIV/0!</v>
      </c>
      <c r="CA7" s="874" t="e">
        <f t="shared" si="7"/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7"/>
        <v>#DIV/0!</v>
      </c>
      <c r="CF7" s="874" t="e">
        <f t="shared" si="5"/>
        <v>#DIV/0!</v>
      </c>
      <c r="CG7" s="874" t="e">
        <f t="shared" si="5"/>
        <v>#DIV/0!</v>
      </c>
      <c r="CH7" s="874" t="e">
        <f t="shared" si="5"/>
        <v>#DIV/0!</v>
      </c>
      <c r="CI7" s="874" t="e">
        <f t="shared" si="5"/>
        <v>#DIV/0!</v>
      </c>
      <c r="CJ7" s="874">
        <f t="shared" si="5"/>
        <v>1.375</v>
      </c>
      <c r="CK7" s="874">
        <f t="shared" si="5"/>
        <v>1.375</v>
      </c>
      <c r="CL7" s="874">
        <f t="shared" si="5"/>
        <v>1.4</v>
      </c>
    </row>
    <row r="8" spans="1:90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SUM(IF(($T$23:$T$242)="",0,$T$23:$T$242)*IF(ISBLANK($T$1),1,IF($I$23:$I$242=$T$1,1,0)))</f>
        <v>4.5499999999999989</v>
      </c>
      <c r="AG8" s="874">
        <f t="array" ref="AG8">SUM(IF(ISTEXT(AG$23:AG$242),1,0)*IF(($T$23:$T$242)="",0,$T$23:$T$242)*IF(ISBLANK($T$1),1,IF($I$23:$I$242=$T$1,1,0)))</f>
        <v>4.5499999999999989</v>
      </c>
      <c r="AH8" s="874">
        <f t="array" ref="AH8">SUM(IF(ISTEXT(AH$23:AH$242),1,0)*IF(($T$23:$T$242)="",0,$T$23:$T$242)*IF(ISBLANK($T$1),1,IF($I$23:$I$242=$T$1,1,0)))</f>
        <v>7.73</v>
      </c>
      <c r="AI8" s="874">
        <f t="array" ref="AI8">SUM(IF(ISTEXT(AI$23:AI$242),1,0)*IF(($T$23:$T$242)="",0,$T$23:$T$242)*IF(ISBLANK($T$1),1,IF($I$23:$I$242=$T$1,1,0)))</f>
        <v>7.73</v>
      </c>
      <c r="AK8" s="874">
        <f t="array" ref="AK8">SUM(IF(ISTEXT(AK$23:AK$242),1,0)*IF(($T$23:$T$242)="",0,$T$23:$T$242)*IF(ISBLANK($T$1),1,IF($I$23:$I$242=$T$1,1,0)))</f>
        <v>4.5499999999999989</v>
      </c>
      <c r="AL8" s="874">
        <f t="array" ref="AL8">SUM(IF(ISTEXT(AL$23:AL$242),1,0)*IF(($T$23:$T$242)="",0,$T$23:$T$242)*IF(ISBLANK($T$1),1,IF($I$23:$I$242=$T$1,1,0)))</f>
        <v>4.5499999999999989</v>
      </c>
      <c r="AN8" s="874">
        <f t="array" ref="AN8">SUM(IF(ISTEXT(AN$23:AN$242),1,0)*IF(($T$23:$T$242)="",0,$T$23:$T$242)*IF(ISBLANK($T$1),1,IF($I$23:$I$242=$T$1,1,0)))</f>
        <v>4.5499999999999989</v>
      </c>
      <c r="AO8" s="874">
        <f t="array" ref="AO8">SUM(IF(ISTEXT(AO$23:AO$242),1,0)*IF(($T$23:$T$242)="",0,$T$23:$T$242)*IF(ISBLANK($T$1),1,IF($I$23:$I$242=$T$1,1,0)))</f>
        <v>4.5499999999999989</v>
      </c>
      <c r="AQ8" s="874">
        <f t="array" ref="AQ8">SUM(IF(ISTEXT(AQ$23:AQ$242),1,0)*IF(($T$23:$T$242)="",0,$T$23:$T$242)*IF(ISBLANK($T$1),1,IF($I$23:$I$242=$T$1,1,0)))</f>
        <v>7.73</v>
      </c>
      <c r="AR8" s="874">
        <f t="array" ref="AR8">SUM(IF(ISTEXT(AR$23:AR$242),1,0)*IF(($T$23:$T$242)="",0,$T$23:$T$242)*IF(ISBLANK($T$1),1,IF($I$23:$I$242=$T$1,1,0)))</f>
        <v>7.73</v>
      </c>
      <c r="AS8" s="874">
        <f t="array" ref="AS8">SUM(IF(ISTEXT(AS$23:AS$242),1,0)*IF(($T$23:$T$242)="",0,$T$23:$T$242)*IF(ISBLANK($T$1),1,IF($I$23:$I$242=$T$1,1,0)))</f>
        <v>4.9699999999999971</v>
      </c>
      <c r="AU8" s="874" t="e">
        <f t="array" ref="AU8">SUM(IF(ISTEXT(AU$49:AU$242),1,0)*IF(($T$23:$T$242)="",0,$T$23:$T$242)*IF(ISBLANK($T$1),1,IF($I$23:$I$242=$T$1,1,0)))</f>
        <v>#N/A</v>
      </c>
      <c r="AZ8" s="874">
        <f t="array" ref="AZ8">SUM(IF(ISTEXT(AZ$23:AZ$242),1,0)*IF(($T$23:$T$242)="",0,$T$23:$T$242)*IF(ISBLANK($T$1),1,IF($I$23:$I$242=$T$1,1,0)))</f>
        <v>4.5499999999999989</v>
      </c>
      <c r="BA8" s="874">
        <f t="array" ref="BA8">SUM(IF(ISTEXT(BA$23:BA$242),1,0)*IF(($T$23:$T$242)="",0,$T$23:$T$242)*IF(ISBLANK($T$1),1,IF($I$23:$I$242=$T$1,1,0)))</f>
        <v>4.5499999999999989</v>
      </c>
      <c r="BB8" s="874">
        <f t="array" ref="BB8">SUM(IF(ISTEXT(BB$23:BB$242),1,0)*IF(($T$23:$T$242)="",0,$T$23:$T$242)*IF(ISBLANK($T$1),1,IF($I$23:$I$242=$T$1,1,0)))</f>
        <v>4.5499999999999989</v>
      </c>
      <c r="BC8" s="874">
        <f t="array" ref="BC8">SUM(IF(ISTEXT(BC$23:BC$242),1,0)*IF(($T$23:$T$242)="",0,$T$23:$T$242)*IF(ISBLANK($T$1),1,IF($I$23:$I$242=$T$1,1,0)))</f>
        <v>4.5499999999999989</v>
      </c>
      <c r="BD8" s="874">
        <f t="array" ref="BD8">SUM(IF(ISTEXT(BD$23:BD$242),1,0)*IF(($T$23:$T$242)="",0,$T$23:$T$242)*IF(ISBLANK($T$1),1,IF($I$23:$I$242=$T$1,1,0)))</f>
        <v>4.5499999999999989</v>
      </c>
      <c r="BE8" s="874">
        <f t="array" ref="BE8">SUM(IF(ISTEXT(BE$23:BE$242),1,0)*IF(($T$23:$T$242)="",0,$T$23:$T$242)*IF(ISBLANK($T$1),1,IF($I$23:$I$242=$T$1,1,0)))</f>
        <v>9.1100000000000012</v>
      </c>
      <c r="BF8" s="874">
        <f t="array" ref="BF8">SUM(IF(ISTEXT(BF$23:BF$242),1,0)*IF(($T$23:$T$242)="",0,$T$23:$T$242)*IF(ISBLANK($T$1),1,IF($I$23:$I$242=$T$1,1,0)))</f>
        <v>4.5499999999999989</v>
      </c>
      <c r="BP8" s="874">
        <f t="array" ref="BP8">SUM(IF(ISTEXT(BP$23:BP$242),1,0)*IF(($T$23:$T$242)="",0,$T$23:$T$242)*IF(ISBLANK($T$1),1,IF($I$23:$I$242=$T$1,1,0)))</f>
        <v>-0.62999999999999989</v>
      </c>
      <c r="BR8" s="874">
        <f t="array" ref="BR8">SUM(IF(ISTEXT(BR$23:BR$242),1,0)*IF(($T$23:$T$242)="",0,$T$23:$T$242)*IF(ISBLANK($T$1),1,IF($I$23:$I$242=$T$1,1,0)))</f>
        <v>-0.62999999999999989</v>
      </c>
      <c r="BS8" s="874">
        <f t="array" ref="BS8">SUM(IF(ISTEXT(BS$23:BS$242),1,0)*IF(($T$23:$T$242)="",0,$T$23:$T$242)*IF(ISBLANK($T$1),1,IF($I$23:$I$242=$T$1,1,0)))</f>
        <v>-0.62999999999999989</v>
      </c>
      <c r="BT8" s="874" t="e">
        <f t="array" ref="BT8">SUM(IF(ISTEXT(BT$45:BT$242),1,0)*IF(($T$23:$T$242)="",0,$T$23:$T$242)*IF(ISBLANK($T$1),1,IF($I$23:$I$242=$T$1,1,0)))</f>
        <v>#N/A</v>
      </c>
      <c r="BY8" s="874">
        <f t="array" ref="BY8">SUM(IF(ISTEXT(BY$23:BY$242),1,0)*IF(($T$23:$T$242)="",0,$T$23:$T$242)*IF(ISBLANK($T$1),1,IF($I$23:$I$242=$T$1,1,0)))</f>
        <v>0</v>
      </c>
      <c r="BZ8" s="874">
        <f t="array" ref="BZ8">SUM(IF(ISTEXT(BZ$23:BZ$242),1,0)*IF(($T$23:$T$242)="",0,$T$23:$T$242)*IF(ISBLANK($T$1),1,IF($I$23:$I$242=$T$1,1,0)))</f>
        <v>0</v>
      </c>
      <c r="CA8" s="874">
        <f t="array" ref="CA8">SUM(IF(ISTEXT(CA$23:CA$242),1,0)*IF(($T$23:$T$242)="",0,$T$23:$T$242)*IF(ISBLANK($T$1),1,IF($I$23:$I$242=$T$1,1,0)))</f>
        <v>0</v>
      </c>
      <c r="CB8" s="874">
        <f t="array" ref="CB8">SUM(IF(ISTEXT(CB$23:CB$242),1,0)*IF(($T$23:$T$242)="",0,$T$23:$T$242)*IF(ISBLANK($T$1),1,IF($I$23:$I$242=$T$1,1,0)))</f>
        <v>0</v>
      </c>
      <c r="CC8" s="874">
        <f t="array" ref="CC8">SUM(IF(ISTEXT(CC$23:CC$242),1,0)*IF(($T$23:$T$242)="",0,$T$23:$T$242)*IF(ISBLANK($T$1),1,IF($I$23:$I$242=$T$1,1,0)))</f>
        <v>0</v>
      </c>
      <c r="CD8" s="874">
        <f t="array" ref="CD8">SUM(IF(ISTEXT(CD$23:CD$242),1,0)*IF(($T$23:$T$242)="",0,$T$23:$T$242)*IF(ISBLANK($T$1),1,IF($I$23:$I$242=$T$1,1,0)))</f>
        <v>0</v>
      </c>
      <c r="CE8" s="874">
        <f t="array" ref="CE8">SUM(IF(ISTEXT(CE$23:CE$242),1,0)*IF(($T$23:$T$242)="",0,$T$23:$T$242)*IF(ISBLANK($T$1),1,IF($I$23:$I$242=$T$1,1,0)))</f>
        <v>0</v>
      </c>
      <c r="CF8" s="874">
        <f t="array" ref="CF8">SUM(IF(ISTEXT(CF$23:CF$242),1,0)*IF(($T$23:$T$242)="",0,$T$23:$T$242)*IF(ISBLANK($T$1),1,IF($I$23:$I$242=$T$1,1,0)))</f>
        <v>0</v>
      </c>
      <c r="CG8" s="874">
        <f t="array" ref="CG8">SUM(IF(ISTEXT(CG$23:CG$242),1,0)*IF(($T$23:$T$242)="",0,$T$23:$T$242)*IF(ISBLANK($T$1),1,IF($I$23:$I$242=$T$1,1,0)))</f>
        <v>0</v>
      </c>
      <c r="CH8" s="874">
        <f t="array" ref="CH8">SUM(IF(ISTEXT(CH$23:CH$242),1,0)*IF(($T$23:$T$242)="",0,$T$23:$T$242)*IF(ISBLANK($T$1),1,IF($I$23:$I$242=$T$1,1,0)))</f>
        <v>0</v>
      </c>
      <c r="CI8" s="874">
        <f t="array" ref="CI8">SUM(IF(ISTEXT(CI$23:CI$242),1,0)*IF(($T$23:$T$242)="",0,$T$23:$T$242)*IF(ISBLANK($T$1),1,IF($I$23:$I$242=$T$1,1,0)))</f>
        <v>0</v>
      </c>
      <c r="CJ8" s="874">
        <f t="array" ref="CJ8">SUM(IF(ISTEXT(CJ$23:CJ$242),1,0)*IF(($T$23:$T$242)="",0,$T$23:$T$242)*IF(ISBLANK($T$1),1,IF($I$23:$I$242=$T$1,1,0)))</f>
        <v>5.26</v>
      </c>
      <c r="CK8" s="874">
        <f t="array" ref="CK8">SUM(IF(ISTEXT(CK$23:CK$242),1,0)*IF(($T$23:$T$242)="",0,$T$23:$T$242)*IF(ISBLANK($T$1),1,IF($I$23:$I$242=$T$1,1,0)))</f>
        <v>5.26</v>
      </c>
      <c r="CL8" s="874">
        <f t="array" ref="CL8">SUM(IF(ISTEXT(CL$23:CL$242),1,0)*IF(($T$23:$T$242)="",0,$T$23:$T$242)*IF(ISBLANK($T$1),1,IF($I$23:$I$242=$T$1,1,0)))</f>
        <v>5.76</v>
      </c>
    </row>
    <row r="9" spans="1:90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L9" si="8">AF8/AF2</f>
        <v>0.10340909090909088</v>
      </c>
      <c r="AG9" s="874">
        <f t="shared" si="8"/>
        <v>0.10581395348837207</v>
      </c>
      <c r="AH9" s="874">
        <f t="shared" si="8"/>
        <v>0.18853658536585366</v>
      </c>
      <c r="AI9" s="874">
        <f t="shared" si="8"/>
        <v>0.18853658536585366</v>
      </c>
      <c r="AK9" s="874">
        <f t="shared" si="8"/>
        <v>0.10340909090909088</v>
      </c>
      <c r="AL9" s="874">
        <f t="shared" si="8"/>
        <v>0.10340909090909088</v>
      </c>
      <c r="AN9" s="874">
        <f>AN8/AN2</f>
        <v>0.10340909090909088</v>
      </c>
      <c r="AO9" s="874">
        <f t="shared" si="8"/>
        <v>0.10340909090909088</v>
      </c>
      <c r="AQ9" s="874">
        <f>AQ8/AQ2</f>
        <v>0.18853658536585366</v>
      </c>
      <c r="AR9" s="874">
        <f>AR8/AR2</f>
        <v>0.18853658536585366</v>
      </c>
      <c r="AS9" s="874">
        <f>AS8/AS2</f>
        <v>0.11558139534883714</v>
      </c>
      <c r="AU9" s="874" t="e">
        <f>AU8/AU2</f>
        <v>#N/A</v>
      </c>
      <c r="AZ9" s="874">
        <f>AZ8/AZ2</f>
        <v>0.10340909090909088</v>
      </c>
      <c r="BA9" s="874">
        <f t="shared" ref="BA9" si="9">BA8/BA2</f>
        <v>0.10340909090909088</v>
      </c>
      <c r="BB9" s="874">
        <f>BB8/BB2</f>
        <v>0.10340909090909088</v>
      </c>
      <c r="BC9" s="874">
        <f>BC8/BC2</f>
        <v>0.10340909090909088</v>
      </c>
      <c r="BD9" s="874">
        <f>BD8/BD2</f>
        <v>0.10340909090909088</v>
      </c>
      <c r="BE9" s="874">
        <f>BE8/BE2</f>
        <v>0.26794117647058829</v>
      </c>
      <c r="BF9" s="874">
        <f>BF8/BF2</f>
        <v>0.10340909090909088</v>
      </c>
      <c r="BP9" s="874">
        <f>BP8/BP2</f>
        <v>-0.62999999999999989</v>
      </c>
      <c r="BR9" s="874">
        <f>BR8/BR2</f>
        <v>-0.62999999999999989</v>
      </c>
      <c r="BS9" s="874">
        <f>BS8/BS2</f>
        <v>-0.62999999999999989</v>
      </c>
      <c r="BT9" s="874" t="e">
        <f t="shared" si="8"/>
        <v>#N/A</v>
      </c>
      <c r="BY9" s="874" t="e">
        <f t="shared" ref="BY9:CE9" si="10">BY8/BY2</f>
        <v>#DIV/0!</v>
      </c>
      <c r="BZ9" s="874" t="e">
        <f t="shared" si="10"/>
        <v>#DIV/0!</v>
      </c>
      <c r="CA9" s="874" t="e">
        <f t="shared" si="10"/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10"/>
        <v>#DIV/0!</v>
      </c>
      <c r="CF9" s="874" t="e">
        <f t="shared" si="8"/>
        <v>#DIV/0!</v>
      </c>
      <c r="CG9" s="874" t="e">
        <f t="shared" si="8"/>
        <v>#DIV/0!</v>
      </c>
      <c r="CH9" s="874" t="e">
        <f t="shared" si="8"/>
        <v>#DIV/0!</v>
      </c>
      <c r="CI9" s="874" t="e">
        <f t="shared" si="8"/>
        <v>#DIV/0!</v>
      </c>
      <c r="CJ9" s="874">
        <f t="shared" si="8"/>
        <v>0.32874999999999999</v>
      </c>
      <c r="CK9" s="874">
        <f t="shared" si="8"/>
        <v>0.32874999999999999</v>
      </c>
      <c r="CL9" s="874">
        <f t="shared" si="8"/>
        <v>0.38400000000000001</v>
      </c>
    </row>
    <row r="10" spans="1:90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SUM(IF(ISBLANK($T$1),$J$23:$J$242,IF($I$23:$I$242=$T$1,$J$23:$J$242,0)))</f>
        <v>64</v>
      </c>
      <c r="AG10" s="874">
        <f t="array" ref="AG10">SUM(IF(ISBLANK(AG$23:AG$242),0,IF(ISNUMBER(VALUE(RIGHT(AG$23:AG$242,1))),RIGHT(AG$23:AG$242,1),0)*IF(ISBLANK($T$1),1,IF($I$23:$I$242=$T$1,1,0))))</f>
        <v>0</v>
      </c>
      <c r="AH10" s="874">
        <f t="array" ref="AH10">SUM(IF(ISBLANK(AH$23:AH$242),0,IF(ISNUMBER(VALUE(RIGHT(AH$23:AH$242,1))),RIGHT(AH$23:AH$242,1),0)*IF(ISBLANK($T$1),1,IF($I$23:$I$242=$T$1,1,0))))</f>
        <v>0</v>
      </c>
      <c r="AI10" s="874">
        <f t="array" ref="AI10">SUM(IF(ISBLANK(AI$23:AI$242),0,IF(ISNUMBER(VALUE(RIGHT(AI$23:AI$242,1))),RIGHT(AI$23:AI$242,1),0)*IF(ISBLANK($T$1),1,IF($I$23:$I$242=$T$1,1,0))))</f>
        <v>0</v>
      </c>
      <c r="AK10" s="874">
        <f t="array" ref="AK10">SUM(IF(ISBLANK(AK$23:AK$242),0,IF(ISNUMBER(VALUE(RIGHT(AK$23:AK$242,1))),RIGHT(AK$23:AK$242,1),0)*IF(ISBLANK($T$1),1,IF($I$23:$I$242=$T$1,1,0))))</f>
        <v>3</v>
      </c>
      <c r="AL10" s="874">
        <f t="array" ref="AL10">SUM(IF(ISBLANK(AL$23:AL$242),0,IF(ISNUMBER(VALUE(RIGHT(AL$23:AL$242,1))),RIGHT(AL$23:AL$242,1),0)*IF(ISBLANK($T$1),1,IF($I$23:$I$242=$T$1,1,0))))</f>
        <v>3</v>
      </c>
      <c r="AN10" s="874">
        <f t="array" ref="AN10">SUM(IF(ISBLANK(AN$23:AN$242),0,IF(ISNUMBER(VALUE(RIGHT(AN$23:AN$242,1))),RIGHT(AN$23:AN$242,1),0)*IF(ISBLANK($T$1),1,IF($I$23:$I$242=$T$1,1,0))))</f>
        <v>2</v>
      </c>
      <c r="AO10" s="874">
        <f t="array" ref="AO10">SUM(IF(ISBLANK(AO$23:AO$242),0,IF(ISNUMBER(VALUE(RIGHT(AO$23:AO$242,1))),RIGHT(AO$23:AO$242,1),0)*IF(ISBLANK($T$1),1,IF($I$23:$I$242=$T$1,1,0))))</f>
        <v>3</v>
      </c>
      <c r="AQ10" s="874">
        <f t="array" ref="AQ10">SUM(IF(ISBLANK(AQ$23:AQ$242),0,IF(ISNUMBER(VALUE(RIGHT(AQ$23:AQ$242,1))),RIGHT(AQ$23:AQ$242,1),0)*IF(ISBLANK($T$1),1,IF($I$23:$I$242=$T$1,1,0))))</f>
        <v>0</v>
      </c>
      <c r="AR10" s="874">
        <f t="array" ref="AR10">SUM(IF(ISBLANK(AR$23:AR$242),0,IF(ISNUMBER(VALUE(RIGHT(AR$23:AR$242,1))),RIGHT(AR$23:AR$242,1),0)*IF(ISBLANK($T$1),1,IF($I$23:$I$242=$T$1,1,0))))</f>
        <v>0</v>
      </c>
      <c r="AS10" s="874">
        <f t="array" ref="AS10">SUM(IF(ISBLANK(AS$23:AS$242),0,IF(ISNUMBER(VALUE(RIGHT(AS$23:AS$242,1))),RIGHT(AS$23:AS$242,1),0)*IF(ISBLANK($T$1),1,IF($I$23:$I$242=$T$1,1,0))))</f>
        <v>1</v>
      </c>
      <c r="AU10" s="874">
        <f t="array" ref="AU10">SUM(IF(ISBLANK(AU$49:AU$242),0,IF(ISNUMBER(VALUE(RIGHT(AU$49:AU$242,1))),RIGHT(AU$49:AU$242,1),0)*IF(ISBLANK($T$1),1,IF($I$23:$I$242=$T$1,1,0))))</f>
        <v>2</v>
      </c>
      <c r="AZ10" s="874">
        <f t="array" ref="AZ10">SUM(IF(ISBLANK(AZ$23:AZ$242),0,IF(ISNUMBER(VALUE(RIGHT(AZ$23:AZ$242,1))),RIGHT(AZ$23:AZ$242,1),0)*IF(ISBLANK($T$1),1,IF($I$23:$I$242=$T$1,1,0))))</f>
        <v>1</v>
      </c>
      <c r="BA10" s="874">
        <f t="array" ref="BA10">SUM(IF(ISBLANK(BA$23:BA$242),0,IF(ISNUMBER(VALUE(RIGHT(BA$23:BA$242,1))),RIGHT(BA$23:BA$242,1),0)*IF(ISBLANK($T$1),1,IF($I$23:$I$242=$T$1,1,0))))</f>
        <v>1</v>
      </c>
      <c r="BB10" s="874">
        <f t="array" ref="BB10">SUM(IF(ISBLANK(BB$23:BB$242),0,IF(ISNUMBER(VALUE(RIGHT(BB$23:BB$242,1))),RIGHT(BB$23:BB$242,1),0)*IF(ISBLANK($T$1),1,IF($I$23:$I$242=$T$1,1,0))))</f>
        <v>17</v>
      </c>
      <c r="BC10" s="874">
        <f t="array" ref="BC10">SUM(IF(ISBLANK(BC$23:BC$242),0,IF(ISNUMBER(VALUE(RIGHT(BC$23:BC$242,1))),RIGHT(BC$23:BC$242,1),0)*IF(ISBLANK($T$1),1,IF($I$23:$I$242=$T$1,1,0))))</f>
        <v>18</v>
      </c>
      <c r="BD10" s="874">
        <f t="array" ref="BD10">SUM(IF(ISBLANK(BD$23:BD$242),0,IF(ISNUMBER(VALUE(RIGHT(BD$23:BD$242,1))),RIGHT(BD$23:BD$242,1),0)*IF(ISBLANK($T$1),1,IF($I$23:$I$242=$T$1,1,0))))</f>
        <v>1</v>
      </c>
      <c r="BE10" s="874">
        <f t="array" ref="BE10">SUM(IF(ISBLANK(BE$23:BE$242),0,IF(ISNUMBER(VALUE(RIGHT(BE$23:BE$242,1))),RIGHT(BE$23:BE$242,1),0)*IF(ISBLANK($T$1),1,IF($I$23:$I$242=$T$1,1,0))))</f>
        <v>0</v>
      </c>
      <c r="BF10" s="874">
        <f t="array" ref="BF10">SUM(IF(ISBLANK(BF$23:BF$242),0,IF(ISNUMBER(VALUE(RIGHT(BF$23:BF$242,1))),RIGHT(BF$23:BF$242,1),0)*IF(ISBLANK($T$1),1,IF($I$23:$I$242=$T$1,1,0))))</f>
        <v>7</v>
      </c>
      <c r="BP10" s="874">
        <f t="array" ref="BP10">SUM(IF(ISBLANK(BP$23:BP$242),0,IF(ISNUMBER(VALUE(RIGHT(BP$23:BP$242,1))),RIGHT(BP$23:BP$242,1),0)*IF(ISBLANK($T$1),1,IF($I$23:$I$242=$T$1,1,0))))</f>
        <v>0</v>
      </c>
      <c r="BR10" s="874">
        <f t="array" ref="BR10">SUM(IF(ISBLANK(BR$23:BR$242),0,IF(ISNUMBER(VALUE(RIGHT(BR$23:BR$242,1))),RIGHT(BR$23:BR$242,1),0)*IF(ISBLANK($T$1),1,IF($I$23:$I$242=$T$1,1,0))))</f>
        <v>0</v>
      </c>
      <c r="BS10" s="874">
        <f t="array" ref="BS10">SUM(IF(ISBLANK(BS$23:BS$242),0,IF(ISNUMBER(VALUE(RIGHT(BS$23:BS$242,1))),RIGHT(BS$23:BS$242,1),0)*IF(ISBLANK($T$1),1,IF($I$23:$I$242=$T$1,1,0))))</f>
        <v>0</v>
      </c>
      <c r="BT10" s="874">
        <f t="array" ref="BT10">SUM(IF(ISBLANK(BT$45:BT$242),0,IF(ISNUMBER(VALUE(RIGHT(BT$45:BT$242,1))),RIGHT(BT$45:BT$242,1),0)*IF(ISBLANK($T$1),1,IF($I$23:$I$242=$T$1,1,0))))</f>
        <v>0</v>
      </c>
      <c r="BY10" s="874">
        <f t="array" ref="BY10">SUM(IF(ISBLANK(BY$23:BY$242),0,IF(ISNUMBER(VALUE(RIGHT(BY$23:BY$242,1))),RIGHT(BY$23:BY$242,1),0)*IF(ISBLANK($T$1),1,IF($I$23:$I$242=$T$1,1,0))))</f>
        <v>0</v>
      </c>
      <c r="BZ10" s="874">
        <f t="array" ref="BZ10">SUM(IF(ISBLANK(BZ$23:BZ$242),0,IF(ISNUMBER(VALUE(RIGHT(BZ$23:BZ$242,1))),RIGHT(BZ$23:BZ$242,1),0)*IF(ISBLANK($T$1),1,IF($I$23:$I$242=$T$1,1,0))))</f>
        <v>0</v>
      </c>
      <c r="CA10" s="874">
        <f t="array" ref="CA10">SUM(IF(ISBLANK(CA$23:CA$242),0,IF(ISNUMBER(VALUE(RIGHT(CA$23:CA$242,1))),RIGHT(CA$23:CA$242,1),0)*IF(ISBLANK($T$1),1,IF($I$23:$I$242=$T$1,1,0))))</f>
        <v>0</v>
      </c>
      <c r="CB10" s="874">
        <f t="array" ref="CB10">SUM(IF(ISBLANK(CB$23:CB$242),0,IF(ISNUMBER(VALUE(RIGHT(CB$23:CB$242,1))),RIGHT(CB$23:CB$242,1),0)*IF(ISBLANK($T$1),1,IF($I$23:$I$242=$T$1,1,0))))</f>
        <v>0</v>
      </c>
      <c r="CC10" s="874">
        <f t="array" ref="CC10">SUM(IF(ISBLANK(CC$23:CC$242),0,IF(ISNUMBER(VALUE(RIGHT(CC$23:CC$242,1))),RIGHT(CC$23:CC$242,1),0)*IF(ISBLANK($T$1),1,IF($I$23:$I$242=$T$1,1,0))))</f>
        <v>0</v>
      </c>
      <c r="CD10" s="874">
        <f t="array" ref="CD10">SUM(IF(ISBLANK(CD$23:CD$242),0,IF(ISNUMBER(VALUE(RIGHT(CD$23:CD$242,1))),RIGHT(CD$23:CD$242,1),0)*IF(ISBLANK($T$1),1,IF($I$23:$I$242=$T$1,1,0))))</f>
        <v>0</v>
      </c>
      <c r="CE10" s="874">
        <f t="array" ref="CE10">SUM(IF(ISBLANK(CE$23:CE$242),0,IF(ISNUMBER(VALUE(RIGHT(CE$23:CE$242,1))),RIGHT(CE$23:CE$242,1),0)*IF(ISBLANK($T$1),1,IF($I$23:$I$242=$T$1,1,0))))</f>
        <v>0</v>
      </c>
      <c r="CF10" s="874">
        <f t="array" ref="CF10">SUM(IF(ISBLANK(CF$23:CF$242),0,IF(ISNUMBER(VALUE(RIGHT(CF$23:CF$242,1))),RIGHT(CF$23:CF$242,1),0)*IF(ISBLANK($T$1),1,IF($I$23:$I$242=$T$1,1,0))))</f>
        <v>0</v>
      </c>
      <c r="CG10" s="874">
        <f t="array" ref="CG10">SUM(IF(ISBLANK(CG$23:CG$242),0,IF(ISNUMBER(VALUE(RIGHT(CG$23:CG$242,1))),RIGHT(CG$23:CG$242,1),0)*IF(ISBLANK($T$1),1,IF($I$23:$I$242=$T$1,1,0))))</f>
        <v>0</v>
      </c>
      <c r="CH10" s="874">
        <f t="array" ref="CH10">SUM(IF(ISBLANK(CH$23:CH$242),0,IF(ISNUMBER(VALUE(RIGHT(CH$23:CH$242,1))),RIGHT(CH$23:CH$242,1),0)*IF(ISBLANK($T$1),1,IF($I$23:$I$242=$T$1,1,0))))</f>
        <v>0</v>
      </c>
      <c r="CI10" s="874">
        <f t="array" ref="CI10">SUM(IF(ISBLANK(CI$23:CI$242),0,IF(ISNUMBER(VALUE(RIGHT(CI$23:CI$242,1))),RIGHT(CI$23:CI$242,1),0)*IF(ISBLANK($T$1),1,IF($I$23:$I$242=$T$1,1,0))))</f>
        <v>0</v>
      </c>
      <c r="CJ10" s="874">
        <f t="array" ref="CJ10">SUM(IF(ISBLANK(CJ$23:CJ$242),0,IF(ISNUMBER(VALUE(RIGHT(CJ$23:CJ$242,1))),RIGHT(CJ$23:CJ$242,1),0)*IF(ISBLANK($T$1),1,IF($I$23:$I$242=$T$1,1,0))))</f>
        <v>0</v>
      </c>
      <c r="CK10" s="874">
        <f t="array" ref="CK10">SUM(IF(ISBLANK(CK$23:CK$242),0,IF(ISNUMBER(VALUE(RIGHT(CK$23:CK$242,1))),RIGHT(CK$23:CK$242,1),0)*IF(ISBLANK($T$1),1,IF($I$23:$I$242=$T$1,1,0))))</f>
        <v>0</v>
      </c>
      <c r="CL10" s="874">
        <f t="array" ref="CL10">SUM(IF(ISBLANK(CL$23:CL$242),0,IF(ISNUMBER(VALUE(RIGHT(CL$23:CL$242,1))),RIGHT(CL$23:CL$242,1),0)*IF(ISBLANK($T$1),1,IF($I$23:$I$242=$T$1,1,0))))</f>
        <v>0</v>
      </c>
    </row>
    <row r="11" spans="1:90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L11" si="11">AF10/AF2</f>
        <v>1.4545454545454546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K11" s="874">
        <f t="shared" si="11"/>
        <v>6.8181818181818177E-2</v>
      </c>
      <c r="AL11" s="874">
        <f t="shared" si="11"/>
        <v>6.8181818181818177E-2</v>
      </c>
      <c r="AN11" s="874">
        <f>AN10/AN2</f>
        <v>4.5454545454545456E-2</v>
      </c>
      <c r="AO11" s="874">
        <f t="shared" si="11"/>
        <v>6.8181818181818177E-2</v>
      </c>
      <c r="AQ11" s="874">
        <f>AQ10/AQ2</f>
        <v>0</v>
      </c>
      <c r="AR11" s="874">
        <f>AR10/AR2</f>
        <v>0</v>
      </c>
      <c r="AS11" s="874">
        <f>AS10/AS2</f>
        <v>2.3255813953488372E-2</v>
      </c>
      <c r="AU11" s="874">
        <f>AU10/AU2</f>
        <v>0.1111111111111111</v>
      </c>
      <c r="AZ11" s="874">
        <f>AZ10/AZ2</f>
        <v>2.2727272727272728E-2</v>
      </c>
      <c r="BA11" s="874">
        <f t="shared" ref="BA11" si="12">BA10/BA2</f>
        <v>2.2727272727272728E-2</v>
      </c>
      <c r="BB11" s="874">
        <f>BB10/BB2</f>
        <v>0.38636363636363635</v>
      </c>
      <c r="BC11" s="874">
        <f>BC10/BC2</f>
        <v>0.40909090909090912</v>
      </c>
      <c r="BD11" s="874">
        <f>BD10/BD2</f>
        <v>2.2727272727272728E-2</v>
      </c>
      <c r="BE11" s="874">
        <f>BE10/BE2</f>
        <v>0</v>
      </c>
      <c r="BF11" s="874">
        <f>BF10/BF2</f>
        <v>0.15909090909090909</v>
      </c>
      <c r="BP11" s="874">
        <f>BP10/BP2</f>
        <v>0</v>
      </c>
      <c r="BR11" s="874">
        <f>BR10/BR2</f>
        <v>0</v>
      </c>
      <c r="BS11" s="874">
        <f>BS10/BS2</f>
        <v>0</v>
      </c>
      <c r="BT11" s="874">
        <f t="shared" si="11"/>
        <v>0</v>
      </c>
      <c r="BY11" s="874" t="e">
        <f t="shared" ref="BY11:CE11" si="13">BY10/BY2</f>
        <v>#DIV/0!</v>
      </c>
      <c r="BZ11" s="874" t="e">
        <f t="shared" si="13"/>
        <v>#DIV/0!</v>
      </c>
      <c r="CA11" s="874" t="e">
        <f t="shared" si="13"/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3"/>
        <v>#DIV/0!</v>
      </c>
      <c r="CF11" s="874" t="e">
        <f t="shared" si="11"/>
        <v>#DIV/0!</v>
      </c>
      <c r="CG11" s="874" t="e">
        <f t="shared" si="11"/>
        <v>#DIV/0!</v>
      </c>
      <c r="CH11" s="874" t="e">
        <f t="shared" si="11"/>
        <v>#DIV/0!</v>
      </c>
      <c r="CI11" s="874" t="e">
        <f t="shared" si="11"/>
        <v>#DIV/0!</v>
      </c>
      <c r="CJ11" s="874">
        <f t="shared" si="11"/>
        <v>0</v>
      </c>
      <c r="CK11" s="874">
        <f t="shared" si="11"/>
        <v>0</v>
      </c>
      <c r="CL11" s="874">
        <f t="shared" si="11"/>
        <v>0</v>
      </c>
    </row>
    <row r="12" spans="1:90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SUM(IF(ISBLANK($T$1),$K$23:$K$242,IF($I$23:$I$242=$T$1,$K$23:$K$242,0)))</f>
        <v>51</v>
      </c>
      <c r="AG12" s="874">
        <f t="array" ref="AG12">SUM(IF(ISBLANK(AG$23:AG$242),0,$K23:$K242)*IF(ISBLANK($T$1),1,IF($I$23:$I$242=$T$1,1,0)))</f>
        <v>50</v>
      </c>
      <c r="AH12" s="874">
        <f t="array" ref="AH12">SUM(IF(ISBLANK(AH$23:AH$242),0,$K23:$K242)*IF(ISBLANK($T$1),1,IF($I$23:$I$242=$T$1,1,0)))</f>
        <v>48</v>
      </c>
      <c r="AI12" s="874">
        <f t="array" ref="AI12">SUM(IF(ISBLANK(AI$23:AI$242),0,$K23:$K242)*IF(ISBLANK($T$1),1,IF($I$23:$I$242=$T$1,1,0)))</f>
        <v>48</v>
      </c>
      <c r="AK12" s="874">
        <f t="array" ref="AK12">SUM(IF(ISBLANK(AK$23:AK$242),0,$K23:$K242)*IF(ISBLANK($T$1),1,IF($I$23:$I$242=$T$1,1,0)))</f>
        <v>51</v>
      </c>
      <c r="AL12" s="874">
        <f t="array" ref="AL12">SUM(IF(ISBLANK(AL$23:AL$242),0,$K23:$K242)*IF(ISBLANK($T$1),1,IF($I$23:$I$242=$T$1,1,0)))</f>
        <v>51</v>
      </c>
      <c r="AN12" s="874">
        <f t="array" ref="AN12">SUM(IF(ISBLANK(AN$23:AN$242),0,$K23:$K242)*IF(ISBLANK($T$1),1,IF($I$23:$I$242=$T$1,1,0)))</f>
        <v>51</v>
      </c>
      <c r="AO12" s="874">
        <f t="array" ref="AO12">SUM(IF(ISBLANK(AO$23:AO$242),0,$K23:$K242)*IF(ISBLANK($T$1),1,IF($I$23:$I$242=$T$1,1,0)))</f>
        <v>51</v>
      </c>
      <c r="AQ12" s="874">
        <f t="array" ref="AQ12">SUM(IF(ISBLANK(AQ$23:AQ$242),0,$K23:$K242)*IF(ISBLANK($T$1),1,IF($I$23:$I$242=$T$1,1,0)))</f>
        <v>48</v>
      </c>
      <c r="AR12" s="874">
        <f t="array" ref="AR12">SUM(IF(ISBLANK(AR$23:AR$242),0,$K23:$K242)*IF(ISBLANK($T$1),1,IF($I$23:$I$242=$T$1,1,0)))</f>
        <v>48</v>
      </c>
      <c r="AS12" s="874">
        <f t="array" ref="AS12">SUM(IF(ISBLANK(AS$23:AS$242),0,$K23:$K242)*IF(ISBLANK($T$1),1,IF($I$23:$I$242=$T$1,1,0)))</f>
        <v>50</v>
      </c>
      <c r="AU12" s="874" t="e">
        <f t="array" ref="AU12">SUM(IF(ISBLANK(AU$49:AU$242),0,$K23:$K242)*IF(ISBLANK($T$1),1,IF($I$23:$I$242=$T$1,1,0)))</f>
        <v>#N/A</v>
      </c>
      <c r="AZ12" s="874">
        <f t="array" ref="AZ12">SUM(IF(ISBLANK(AZ$23:AZ$242),0,$K23:$K242)*IF(ISBLANK($T$1),1,IF($I$23:$I$242=$T$1,1,0)))</f>
        <v>51</v>
      </c>
      <c r="BA12" s="874">
        <f t="array" ref="BA12">SUM(IF(ISBLANK(BA$23:BA$242),0,$K23:$K242)*IF(ISBLANK($T$1),1,IF($I$23:$I$242=$T$1,1,0)))</f>
        <v>51</v>
      </c>
      <c r="BB12" s="874">
        <f t="array" ref="BB12">SUM(IF(ISBLANK(BB$23:BB$242),0,$K23:$K242)*IF(ISBLANK($T$1),1,IF($I$23:$I$242=$T$1,1,0)))</f>
        <v>51</v>
      </c>
      <c r="BC12" s="874">
        <f t="array" ref="BC12">SUM(IF(ISBLANK(BC$23:BC$242),0,$K23:$K242)*IF(ISBLANK($T$1),1,IF($I$23:$I$242=$T$1,1,0)))</f>
        <v>51</v>
      </c>
      <c r="BD12" s="874">
        <f t="array" ref="BD12">SUM(IF(ISBLANK(BD$23:BD$242),0,$K23:$K242)*IF(ISBLANK($T$1),1,IF($I$23:$I$242=$T$1,1,0)))</f>
        <v>51</v>
      </c>
      <c r="BE12" s="874">
        <f t="array" ref="BE12">SUM(IF(ISBLANK(BE$23:BE$242),0,$K23:$K242)*IF(ISBLANK($T$1),1,IF($I$23:$I$242=$T$1,1,0)))</f>
        <v>44</v>
      </c>
      <c r="BF12" s="874">
        <f t="array" ref="BF12">SUM(IF(ISBLANK(BF$23:BF$242),0,$K23:$K242)*IF(ISBLANK($T$1),1,IF($I$23:$I$242=$T$1,1,0)))</f>
        <v>51</v>
      </c>
      <c r="BP12" s="874">
        <f t="array" ref="BP12">SUM(IF(ISBLANK(BP$23:BP$242),0,$K23:$K242)*IF(ISBLANK($T$1),1,IF($I$23:$I$242=$T$1,1,0)))</f>
        <v>0</v>
      </c>
      <c r="BR12" s="874">
        <f t="array" ref="BR12">SUM(IF(ISBLANK(BR$23:BR$242),0,$K23:$K242)*IF(ISBLANK($T$1),1,IF($I$23:$I$242=$T$1,1,0)))</f>
        <v>0</v>
      </c>
      <c r="BS12" s="874">
        <f t="array" ref="BS12">SUM(IF(ISBLANK(BS$23:BS$242),0,$K23:$K242)*IF(ISBLANK($T$1),1,IF($I$23:$I$242=$T$1,1,0)))</f>
        <v>0</v>
      </c>
      <c r="BT12" s="874" t="e">
        <f t="array" ref="BT12">SUM(IF(ISBLANK(BT$45:BT$242),0,$K23:$K242)*IF(ISBLANK($T$1),1,IF($I$23:$I$242=$T$1,1,0)))</f>
        <v>#N/A</v>
      </c>
      <c r="BY12" s="874">
        <f t="array" ref="BY12">SUM(IF(ISBLANK(BY$23:BY$242),0,$K23:$K242)*IF(ISBLANK($T$1),1,IF($I$23:$I$242=$T$1,1,0)))</f>
        <v>0</v>
      </c>
      <c r="BZ12" s="874">
        <f t="array" ref="BZ12">SUM(IF(ISBLANK(BZ$23:BZ$242),0,$K23:$K242)*IF(ISBLANK($T$1),1,IF($I$23:$I$242=$T$1,1,0)))</f>
        <v>0</v>
      </c>
      <c r="CA12" s="874">
        <f t="array" ref="CA12">SUM(IF(ISBLANK(CA$23:CA$242),0,$K23:$K242)*IF(ISBLANK($T$1),1,IF($I$23:$I$242=$T$1,1,0)))</f>
        <v>0</v>
      </c>
      <c r="CB12" s="874">
        <f t="array" ref="CB12">SUM(IF(ISBLANK(CB$23:CB$242),0,$K23:$K242)*IF(ISBLANK($T$1),1,IF($I$23:$I$242=$T$1,1,0)))</f>
        <v>0</v>
      </c>
      <c r="CC12" s="874">
        <f t="array" ref="CC12">SUM(IF(ISBLANK(CC$23:CC$242),0,$K23:$K242)*IF(ISBLANK($T$1),1,IF($I$23:$I$242=$T$1,1,0)))</f>
        <v>0</v>
      </c>
      <c r="CD12" s="874">
        <f t="array" ref="CD12">SUM(IF(ISBLANK(CD$23:CD$242),0,$K23:$K242)*IF(ISBLANK($T$1),1,IF($I$23:$I$242=$T$1,1,0)))</f>
        <v>0</v>
      </c>
      <c r="CE12" s="874">
        <f t="array" ref="CE12">SUM(IF(ISBLANK(CE$23:CE$242),0,$K23:$K242)*IF(ISBLANK($T$1),1,IF($I$23:$I$242=$T$1,1,0)))</f>
        <v>0</v>
      </c>
      <c r="CF12" s="874">
        <f t="array" ref="CF12">SUM(IF(ISBLANK(CF$23:CF$242),0,$K23:$K242)*IF(ISBLANK($T$1),1,IF($I$23:$I$242=$T$1,1,0)))</f>
        <v>0</v>
      </c>
      <c r="CG12" s="874">
        <f t="array" ref="CG12">SUM(IF(ISBLANK(CG$23:CG$242),0,$K23:$K242)*IF(ISBLANK($T$1),1,IF($I$23:$I$242=$T$1,1,0)))</f>
        <v>0</v>
      </c>
      <c r="CH12" s="874">
        <f t="array" ref="CH12">SUM(IF(ISBLANK(CH$23:CH$242),0,$K23:$K242)*IF(ISBLANK($T$1),1,IF($I$23:$I$242=$T$1,1,0)))</f>
        <v>0</v>
      </c>
      <c r="CI12" s="874">
        <f t="array" ref="CI12">SUM(IF(ISBLANK(CI$23:CI$242),0,$K23:$K242)*IF(ISBLANK($T$1),1,IF($I$23:$I$242=$T$1,1,0)))</f>
        <v>0</v>
      </c>
      <c r="CJ12" s="874">
        <f t="array" ref="CJ12">SUM(IF(ISBLANK(CJ$23:CJ$242),0,$K23:$K242)*IF(ISBLANK($T$1),1,IF($I$23:$I$242=$T$1,1,0)))</f>
        <v>22</v>
      </c>
      <c r="CK12" s="874">
        <f t="array" ref="CK12">SUM(IF(ISBLANK(CK$23:CK$242),0,$K23:$K242)*IF(ISBLANK($T$1),1,IF($I$23:$I$242=$T$1,1,0)))</f>
        <v>22</v>
      </c>
      <c r="CL12" s="874">
        <f t="array" ref="CL12">SUM(IF(ISBLANK(CL$23:CL$242),0,$K23:$K242)*IF(ISBLANK($T$1),1,IF($I$23:$I$242=$T$1,1,0)))</f>
        <v>21</v>
      </c>
    </row>
    <row r="13" spans="1:90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L13" si="14">AF12/AF2</f>
        <v>1.1590909090909092</v>
      </c>
      <c r="AG13" s="874">
        <f t="shared" si="14"/>
        <v>1.1627906976744187</v>
      </c>
      <c r="AH13" s="874">
        <f t="shared" si="14"/>
        <v>1.1707317073170731</v>
      </c>
      <c r="AI13" s="874">
        <f t="shared" si="14"/>
        <v>1.1707317073170731</v>
      </c>
      <c r="AK13" s="874">
        <f t="shared" si="14"/>
        <v>1.1590909090909092</v>
      </c>
      <c r="AL13" s="874">
        <f t="shared" si="14"/>
        <v>1.1590909090909092</v>
      </c>
      <c r="AN13" s="874">
        <f>AN12/AN2</f>
        <v>1.1590909090909092</v>
      </c>
      <c r="AO13" s="874">
        <f t="shared" si="14"/>
        <v>1.1590909090909092</v>
      </c>
      <c r="AQ13" s="874">
        <f>AQ12/AQ2</f>
        <v>1.1707317073170731</v>
      </c>
      <c r="AR13" s="874">
        <f>AR12/AR2</f>
        <v>1.1707317073170731</v>
      </c>
      <c r="AS13" s="874">
        <f>AS12/AS2</f>
        <v>1.1627906976744187</v>
      </c>
      <c r="AU13" s="874" t="e">
        <f>AU12/AU2</f>
        <v>#N/A</v>
      </c>
      <c r="AZ13" s="874">
        <f>AZ12/AZ2</f>
        <v>1.1590909090909092</v>
      </c>
      <c r="BA13" s="874">
        <f t="shared" ref="BA13" si="15">BA12/BA2</f>
        <v>1.1590909090909092</v>
      </c>
      <c r="BB13" s="874">
        <f>BB12/BB2</f>
        <v>1.1590909090909092</v>
      </c>
      <c r="BC13" s="874">
        <f>BC12/BC2</f>
        <v>1.1590909090909092</v>
      </c>
      <c r="BD13" s="874">
        <f>BD12/BD2</f>
        <v>1.1590909090909092</v>
      </c>
      <c r="BE13" s="874">
        <f>BE12/BE2</f>
        <v>1.2941176470588236</v>
      </c>
      <c r="BF13" s="874">
        <f>BF12/BF2</f>
        <v>1.1590909090909092</v>
      </c>
      <c r="BP13" s="874">
        <f>BP12/BP2</f>
        <v>0</v>
      </c>
      <c r="BR13" s="874">
        <f>BR12/BR2</f>
        <v>0</v>
      </c>
      <c r="BS13" s="874">
        <f>BS12/BS2</f>
        <v>0</v>
      </c>
      <c r="BT13" s="874" t="e">
        <f t="shared" si="14"/>
        <v>#N/A</v>
      </c>
      <c r="BY13" s="874" t="e">
        <f t="shared" ref="BY13:CE13" si="16">BY12/BY2</f>
        <v>#DIV/0!</v>
      </c>
      <c r="BZ13" s="874" t="e">
        <f t="shared" si="16"/>
        <v>#DIV/0!</v>
      </c>
      <c r="CA13" s="874" t="e">
        <f t="shared" si="16"/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6"/>
        <v>#DIV/0!</v>
      </c>
      <c r="CF13" s="874" t="e">
        <f t="shared" si="14"/>
        <v>#DIV/0!</v>
      </c>
      <c r="CG13" s="874" t="e">
        <f t="shared" si="14"/>
        <v>#DIV/0!</v>
      </c>
      <c r="CH13" s="874" t="e">
        <f t="shared" si="14"/>
        <v>#DIV/0!</v>
      </c>
      <c r="CI13" s="874" t="e">
        <f t="shared" si="14"/>
        <v>#DIV/0!</v>
      </c>
      <c r="CJ13" s="874">
        <f t="shared" si="14"/>
        <v>1.375</v>
      </c>
      <c r="CK13" s="874">
        <f t="shared" si="14"/>
        <v>1.375</v>
      </c>
      <c r="CL13" s="874">
        <f t="shared" si="14"/>
        <v>1.4</v>
      </c>
    </row>
    <row r="14" spans="1:90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O14" si="17">AG15+AG16</f>
        <v>43</v>
      </c>
      <c r="AH14" s="849">
        <f t="shared" si="17"/>
        <v>0</v>
      </c>
      <c r="AI14" s="849">
        <f t="shared" si="17"/>
        <v>0</v>
      </c>
      <c r="AJ14" s="849">
        <f t="shared" si="17"/>
        <v>1</v>
      </c>
      <c r="AK14" s="849">
        <f t="shared" si="17"/>
        <v>41</v>
      </c>
      <c r="AL14" s="902">
        <f t="shared" ref="AL14" si="18">AL15+AL16</f>
        <v>42</v>
      </c>
      <c r="AM14" s="849">
        <f t="shared" si="17"/>
        <v>29</v>
      </c>
      <c r="AN14" s="849">
        <f t="shared" si="17"/>
        <v>39</v>
      </c>
      <c r="AO14" s="849">
        <f t="shared" si="17"/>
        <v>38</v>
      </c>
      <c r="AP14" s="902">
        <f t="shared" ref="AP14:BF14" si="19">AP15+AP16</f>
        <v>11</v>
      </c>
      <c r="AQ14" s="902">
        <f t="shared" si="19"/>
        <v>5</v>
      </c>
      <c r="AR14" s="902">
        <f t="shared" si="19"/>
        <v>4</v>
      </c>
      <c r="AS14" s="902">
        <f t="shared" si="19"/>
        <v>14</v>
      </c>
      <c r="AT14" s="902">
        <f t="shared" si="19"/>
        <v>0</v>
      </c>
      <c r="AU14" s="902">
        <f t="shared" si="19"/>
        <v>43</v>
      </c>
      <c r="AV14" s="902">
        <f t="shared" si="19"/>
        <v>12</v>
      </c>
      <c r="AW14" s="902">
        <f t="shared" si="19"/>
        <v>18</v>
      </c>
      <c r="AX14" s="902">
        <f t="shared" si="19"/>
        <v>27</v>
      </c>
      <c r="AY14" s="902">
        <f t="shared" si="19"/>
        <v>3</v>
      </c>
      <c r="AZ14" s="902">
        <f t="shared" si="19"/>
        <v>28</v>
      </c>
      <c r="BA14" s="902">
        <f t="shared" si="19"/>
        <v>42</v>
      </c>
      <c r="BB14" s="902">
        <f t="shared" si="19"/>
        <v>40</v>
      </c>
      <c r="BC14" s="902">
        <f t="shared" si="19"/>
        <v>43</v>
      </c>
      <c r="BD14" s="902">
        <f t="shared" si="19"/>
        <v>26</v>
      </c>
      <c r="BE14" s="902">
        <f t="shared" si="19"/>
        <v>0</v>
      </c>
      <c r="BF14" s="902">
        <f t="shared" si="19"/>
        <v>38</v>
      </c>
      <c r="BG14" s="902">
        <f t="shared" ref="BG14" si="20">BG15+BG16</f>
        <v>20</v>
      </c>
      <c r="BH14" s="889"/>
      <c r="BI14" s="889"/>
      <c r="BJ14" s="902">
        <f>BJ15+BJ16</f>
        <v>7</v>
      </c>
      <c r="BK14" s="889"/>
      <c r="BL14" s="889"/>
      <c r="BM14" s="889"/>
      <c r="BN14" s="889"/>
      <c r="BO14" s="889"/>
      <c r="BP14" s="889"/>
      <c r="BQ14" s="889"/>
      <c r="BR14" s="889"/>
      <c r="BS14" s="889"/>
      <c r="BT14" s="889"/>
      <c r="BU14" s="890"/>
      <c r="BV14" s="890"/>
      <c r="BW14" s="890"/>
      <c r="BX14" s="890"/>
      <c r="BY14" s="889"/>
      <c r="BZ14" s="889"/>
      <c r="CA14" s="889"/>
      <c r="CB14" s="889"/>
      <c r="CC14" s="889"/>
      <c r="CD14" s="889"/>
      <c r="CE14" s="889"/>
      <c r="CF14" s="890"/>
    </row>
    <row r="15" spans="1:90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AVERAGEIFS($Q$23:$Q$209,$H$23:$H$209,"H",$I$23:$I$209,Table!$C$1)</f>
        <v>0.2304761904761905</v>
      </c>
      <c r="S15" s="858">
        <f>AVERAGEIFS($Q$23:$Q$209,$H$23:$H$209,"A",$I$23:$I$209,Table!$C$1)</f>
        <v>6.8095238095238098E-2</v>
      </c>
      <c r="AF15" s="848" t="s">
        <v>821</v>
      </c>
      <c r="AG15" s="850">
        <f t="array" ref="AG15">SUM(IF(LEFT(AG23:AG163,1)="X",1,0))</f>
        <v>43</v>
      </c>
      <c r="AH15" s="850">
        <f t="array" ref="AH15">SUM(IF(LEFT(AH23:AH163,1)="X",1,0))</f>
        <v>0</v>
      </c>
      <c r="AI15" s="850">
        <f t="array" ref="AI15">SUM(IF(LEFT(AI23:AI163,1)="X",1,0))</f>
        <v>0</v>
      </c>
      <c r="AJ15" s="850">
        <f t="array" ref="AJ15">SUM(IF(LEFT(AJ23:AJ163,1)="X",1,0))</f>
        <v>1</v>
      </c>
      <c r="AK15" s="850">
        <f t="array" ref="AK15">SUM(IF(LEFT(AK23:AK163,1)="X",1,0))</f>
        <v>35</v>
      </c>
      <c r="AL15" s="903">
        <f t="array" ref="AL15">SUM(IF(LEFT(AL23:AL163,1)="X",1,0))</f>
        <v>42</v>
      </c>
      <c r="AM15" s="850">
        <f t="array" ref="AM15">SUM(IF(LEFT(AM23:AM163,1)="X",1,0))</f>
        <v>26</v>
      </c>
      <c r="AN15" s="850">
        <f t="array" ref="AN15">SUM(IF(LEFT(AN23:AN163,1)="X",1,0))</f>
        <v>39</v>
      </c>
      <c r="AO15" s="850">
        <f t="array" ref="AO15">SUM(IF(LEFT(AO23:AO163,1)="X",1,0))</f>
        <v>36</v>
      </c>
      <c r="AP15" s="903">
        <f t="array" ref="AP15">SUM(IF(LEFT(AP23:AP163,1)="X",1,0))</f>
        <v>11</v>
      </c>
      <c r="AQ15" s="903">
        <f t="array" ref="AQ15">SUM(IF(LEFT(AQ23:AQ163,1)="X",1,0))</f>
        <v>1</v>
      </c>
      <c r="AR15" s="903">
        <f t="array" ref="AR15">SUM(IF(LEFT(AR23:AR163,1)="X",1,0))</f>
        <v>1</v>
      </c>
      <c r="AS15" s="903">
        <f t="array" ref="AS15">SUM(IF(LEFT(AS23:AS163,1)="X",1,0))</f>
        <v>10</v>
      </c>
      <c r="AT15" s="903">
        <f t="array" ref="AT15">SUM(IF(LEFT(AT23:AT163,1)="X",1,0))</f>
        <v>0</v>
      </c>
      <c r="AU15" s="903">
        <f t="array" ref="AU15">SUM(IF(LEFT(AU23:AU163,1)="X",1,0))</f>
        <v>42</v>
      </c>
      <c r="AV15" s="903">
        <f t="array" ref="AV15">SUM(IF(LEFT(AV23:AV163,1)="X",1,0))</f>
        <v>6</v>
      </c>
      <c r="AW15" s="903">
        <f t="array" ref="AW15">SUM(IF(LEFT(AW23:AW163,1)="X",1,0))</f>
        <v>16</v>
      </c>
      <c r="AX15" s="903">
        <f t="array" ref="AX15">SUM(IF(LEFT(AX23:AX163,1)="X",1,0))</f>
        <v>5</v>
      </c>
      <c r="AY15" s="903">
        <f t="array" ref="AY15">SUM(IF(LEFT(AY23:AY163,1)="X",1,0))</f>
        <v>0</v>
      </c>
      <c r="AZ15" s="903">
        <f t="array" ref="AZ15">SUM(IF(LEFT(AZ23:AZ163,1)="X",1,0))</f>
        <v>26</v>
      </c>
      <c r="BA15" s="903">
        <f t="array" ref="BA15">SUM(IF(LEFT(BA23:BA163,1)="X",1,0))</f>
        <v>23</v>
      </c>
      <c r="BB15" s="903">
        <f t="array" ref="BB15">SUM(IF(LEFT(BB23:BB163,1)="X",1,0))</f>
        <v>38</v>
      </c>
      <c r="BC15" s="903">
        <f t="array" ref="BC15">SUM(IF(LEFT(BC23:BC163,1)="X",1,0))</f>
        <v>31</v>
      </c>
      <c r="BD15" s="903">
        <f t="array" ref="BD15">SUM(IF(LEFT(BD23:BD163,1)="X",1,0))</f>
        <v>15</v>
      </c>
      <c r="BE15" s="903">
        <f t="array" ref="BE15">SUM(IF(LEFT(BE23:BE163,1)="X",1,0))</f>
        <v>0</v>
      </c>
      <c r="BF15" s="903">
        <f t="array" ref="BF15">SUM(IF(LEFT(BF23:BF163,1)="X",1,0))</f>
        <v>25</v>
      </c>
      <c r="BG15" s="903">
        <f t="array" ref="BG15">SUM(IF(LEFT(BG23:BG163,1)="X",1,0))</f>
        <v>9</v>
      </c>
      <c r="BH15" s="889"/>
      <c r="BI15" s="889"/>
      <c r="BJ15" s="903">
        <f t="array" ref="BJ15">SUM(IF(LEFT(BJ23:BJ163,1)="X",1,0))</f>
        <v>3</v>
      </c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90"/>
      <c r="BV15" s="890"/>
      <c r="BW15" s="890"/>
      <c r="BX15" s="890"/>
      <c r="BY15" s="889"/>
      <c r="BZ15" s="889"/>
      <c r="CA15" s="889"/>
      <c r="CB15" s="889"/>
      <c r="CC15" s="889"/>
      <c r="CD15" s="889"/>
      <c r="CE15" s="889"/>
      <c r="CF15" s="890"/>
    </row>
    <row r="16" spans="1:90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AVERAGEIF($H$23:$H$206,"=H",$J$23:$J$206)</f>
        <v>1.9047619047619047</v>
      </c>
      <c r="J16" s="858">
        <f>AVERAGEIF($H$23:$H$210,"=H",$K$23:$K$210)</f>
        <v>1.1428571428571428</v>
      </c>
      <c r="K16" s="858">
        <f>I16-J16</f>
        <v>0.76190476190476186</v>
      </c>
      <c r="L16" s="857">
        <f>COUNTIFS($L$23:$L$206,"=W",$H$23:$H$206,"=H")</f>
        <v>12</v>
      </c>
      <c r="M16" s="857">
        <f>COUNTIFS($L$23:$L$206,"=D",$H$23:$H$206,"=H")</f>
        <v>5</v>
      </c>
      <c r="N16" s="863">
        <f>COUNTIFS($L$23:$L$206,"=L",$H$23:$H$206,"=H")</f>
        <v>4</v>
      </c>
      <c r="O16" s="858">
        <f>SUM(I16:J16)</f>
        <v>3.0476190476190474</v>
      </c>
      <c r="Q16" s="861" t="s">
        <v>212</v>
      </c>
      <c r="R16" s="858">
        <f>AVERAGEIFS($S$23:$S$207,$H$23:$H$207,"H",$I$23:$I$207,Table!$C$1)</f>
        <v>2.5285714285714285</v>
      </c>
      <c r="S16" s="858">
        <f>AVERAGEIFS($S$23:$S$207,$H$23:$H$207,"A",$I$23:$I$207,Table!$C$1)</f>
        <v>2.5723809523809518</v>
      </c>
      <c r="AF16" s="848" t="s">
        <v>724</v>
      </c>
      <c r="AG16" s="850">
        <f t="array" ref="AG16">SUM(IF(LEFT(AG23:AG164,1)="s",1,0))</f>
        <v>0</v>
      </c>
      <c r="AH16" s="850">
        <f t="array" ref="AH16">SUM(IF(LEFT(AH23:AH164,1)="s",1,0))</f>
        <v>0</v>
      </c>
      <c r="AI16" s="850">
        <f t="array" ref="AI16">SUM(IF(LEFT(AI23:AI164,1)="s",1,0))</f>
        <v>0</v>
      </c>
      <c r="AJ16" s="850">
        <f t="array" ref="AJ16">SUM(IF(LEFT(AJ23:AJ164,1)="s",1,0))</f>
        <v>0</v>
      </c>
      <c r="AK16" s="850">
        <f t="array" ref="AK16">SUM(IF(LEFT(AK23:AK164,1)="s",1,0))</f>
        <v>6</v>
      </c>
      <c r="AL16" s="903">
        <f t="array" ref="AL16">SUM(IF(LEFT(AL23:AL164,1)="s",1,0))</f>
        <v>0</v>
      </c>
      <c r="AM16" s="850">
        <f t="array" ref="AM16">SUM(IF(LEFT(AM23:AM164,1)="s",1,0))</f>
        <v>3</v>
      </c>
      <c r="AN16" s="850">
        <f t="array" ref="AN16">SUM(IF(LEFT(AN23:AN164,1)="s",1,0))</f>
        <v>0</v>
      </c>
      <c r="AO16" s="850">
        <f t="array" ref="AO16">SUM(IF(LEFT(AO23:AO164,1)="s",1,0))</f>
        <v>2</v>
      </c>
      <c r="AP16" s="903">
        <f t="array" ref="AP16">SUM(IF(LEFT(AP23:AP164,1)="s",1,0))</f>
        <v>0</v>
      </c>
      <c r="AQ16" s="903">
        <f t="array" ref="AQ16">SUM(IF(LEFT(AQ23:AQ164,1)="s",1,0))</f>
        <v>4</v>
      </c>
      <c r="AR16" s="903">
        <f t="array" ref="AR16">SUM(IF(LEFT(AR23:AR164,1)="s",1,0))</f>
        <v>3</v>
      </c>
      <c r="AS16" s="903">
        <f t="array" ref="AS16">SUM(IF(LEFT(AS23:AS164,1)="s",1,0))</f>
        <v>4</v>
      </c>
      <c r="AT16" s="903">
        <f t="array" ref="AT16">SUM(IF(LEFT(AT23:AT164,1)="s",1,0))</f>
        <v>0</v>
      </c>
      <c r="AU16" s="903">
        <f t="array" ref="AU16">SUM(IF(LEFT(AU23:AU164,1)="s",1,0))</f>
        <v>1</v>
      </c>
      <c r="AV16" s="903">
        <f t="array" ref="AV16">SUM(IF(LEFT(AV23:AV164,1)="s",1,0))</f>
        <v>6</v>
      </c>
      <c r="AW16" s="903">
        <f t="array" ref="AW16">SUM(IF(LEFT(AW23:AW164,1)="s",1,0))</f>
        <v>2</v>
      </c>
      <c r="AX16" s="903">
        <f t="array" ref="AX16">SUM(IF(LEFT(AX23:AX164,1)="s",1,0))</f>
        <v>22</v>
      </c>
      <c r="AY16" s="903">
        <f t="array" ref="AY16">SUM(IF(LEFT(AY23:AY164,1)="s",1,0))</f>
        <v>3</v>
      </c>
      <c r="AZ16" s="903">
        <f t="array" ref="AZ16">SUM(IF(LEFT(AZ23:AZ164,1)="s",1,0))</f>
        <v>2</v>
      </c>
      <c r="BA16" s="903">
        <f t="array" ref="BA16">SUM(IF(LEFT(BA23:BA164,1)="s",1,0))</f>
        <v>19</v>
      </c>
      <c r="BB16" s="903">
        <f t="array" ref="BB16">SUM(IF(LEFT(BB23:BB164,1)="s",1,0))</f>
        <v>2</v>
      </c>
      <c r="BC16" s="903">
        <f t="array" ref="BC16">SUM(IF(LEFT(BC23:BC164,1)="s",1,0))</f>
        <v>12</v>
      </c>
      <c r="BD16" s="903">
        <f t="array" ref="BD16">SUM(IF(LEFT(BD23:BD164,1)="s",1,0))</f>
        <v>11</v>
      </c>
      <c r="BE16" s="903">
        <f t="array" ref="BE16">SUM(IF(LEFT(BE23:BE164,1)="s",1,0))</f>
        <v>0</v>
      </c>
      <c r="BF16" s="903">
        <f t="array" ref="BF16">SUM(IF(LEFT(BF23:BF164,1)="s",1,0))</f>
        <v>13</v>
      </c>
      <c r="BG16" s="903">
        <f t="array" ref="BG16">SUM(IF(LEFT(BG23:BG164,1)="s",1,0))</f>
        <v>11</v>
      </c>
      <c r="BH16" s="889"/>
      <c r="BI16" s="889"/>
      <c r="BJ16" s="903">
        <f t="array" ref="BJ16">SUM(IF(LEFT(BJ23:BJ164,1)="s",1,0))</f>
        <v>4</v>
      </c>
      <c r="BK16" s="889"/>
      <c r="BL16" s="889"/>
      <c r="BM16" s="889"/>
      <c r="BN16" s="889"/>
      <c r="BO16" s="889"/>
      <c r="BP16" s="889"/>
      <c r="BQ16" s="889"/>
      <c r="BR16" s="889"/>
      <c r="BS16" s="889"/>
      <c r="BT16" s="889"/>
      <c r="BU16" s="890"/>
      <c r="BV16" s="890"/>
      <c r="BW16" s="890"/>
      <c r="BX16" s="890"/>
      <c r="BY16" s="889"/>
      <c r="BZ16" s="889"/>
      <c r="CA16" s="889"/>
      <c r="CB16" s="889"/>
      <c r="CC16" s="889"/>
      <c r="CD16" s="889"/>
      <c r="CE16" s="889"/>
      <c r="CF16" s="890"/>
    </row>
    <row r="17" spans="1:116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AVERAGEIF($H$23:$H$206,"=A",$J$23:$J$206)</f>
        <v>1.0909090909090908</v>
      </c>
      <c r="J17" s="860">
        <f>AVERAGEIF($H$23:$H$210,"=A",$K$23:$K$210)</f>
        <v>1.1818181818181819</v>
      </c>
      <c r="K17" s="858">
        <f>I17-J17</f>
        <v>-9.090909090909105E-2</v>
      </c>
      <c r="L17" s="857">
        <f>COUNTIFS($L$23:$L$206,"=W",$H$23:$H$206,"=A")</f>
        <v>8</v>
      </c>
      <c r="M17" s="857">
        <f>COUNTIFS($L$23:$L$206,"=D",$H$23:$H$206,"=A")</f>
        <v>5</v>
      </c>
      <c r="N17" s="863">
        <f>COUNTIFS($L$23:$L$206,"=L",$H$23:$H$206,"=A")</f>
        <v>9</v>
      </c>
      <c r="O17" s="858">
        <f>SUM(I17:J17)</f>
        <v>2.2727272727272725</v>
      </c>
      <c r="Q17" s="848"/>
      <c r="R17" s="859"/>
      <c r="S17" s="855"/>
      <c r="AF17" s="848" t="s">
        <v>718</v>
      </c>
      <c r="AG17" s="850">
        <f t="array" ref="AG17">SUM(IF(ISNUMBER(VALUE(RIGHT(AG23:AG172,1))),VALUE(RIGHT(AG23:AG172,1)),0))</f>
        <v>0</v>
      </c>
      <c r="AH17" s="850">
        <f t="array" ref="AH17">SUM(IF(ISNUMBER(VALUE(RIGHT(AH23:AH172,1))),VALUE(RIGHT(AH23:AH172,1)),0))</f>
        <v>0</v>
      </c>
      <c r="AI17" s="850">
        <f t="array" ref="AI17">SUM(IF(ISNUMBER(VALUE(RIGHT(AI23:AI172,1))),VALUE(RIGHT(AI23:AI172,1)),0))</f>
        <v>0</v>
      </c>
      <c r="AJ17" s="850">
        <f t="array" ref="AJ17">SUM(IF(ISNUMBER(VALUE(RIGHT(AJ23:AJ172,1))),VALUE(RIGHT(AJ23:AJ172,1)),0))</f>
        <v>0</v>
      </c>
      <c r="AK17" s="850">
        <f t="array" ref="AK17">SUM(IF(ISNUMBER(VALUE(RIGHT(AK23:AK172,1))),VALUE(RIGHT(AK23:AK172,1)),0))</f>
        <v>3</v>
      </c>
      <c r="AL17" s="903">
        <f t="array" ref="AL17">SUM(IF(ISNUMBER(VALUE(RIGHT(AL23:AL172,1))),VALUE(RIGHT(AL23:AL172,1)),0))</f>
        <v>3</v>
      </c>
      <c r="AM17" s="850">
        <f t="array" ref="AM17">SUM(IF(ISNUMBER(VALUE(RIGHT(AM23:AM172,1))),VALUE(RIGHT(AM23:AM172,1)),0))</f>
        <v>2</v>
      </c>
      <c r="AN17" s="850">
        <f t="array" ref="AN17">SUM(IF(ISNUMBER(VALUE(RIGHT(AN23:AN172,1))),VALUE(RIGHT(AN23:AN172,1)),0))</f>
        <v>2</v>
      </c>
      <c r="AO17" s="850">
        <f t="array" ref="AO17">SUM(IF(ISNUMBER(VALUE(RIGHT(AO23:AO172,1))),VALUE(RIGHT(AO23:AO172,1)),0))</f>
        <v>3</v>
      </c>
      <c r="AP17" s="903">
        <f t="array" ref="AP17">SUM(IF(ISNUMBER(VALUE(RIGHT(AP23:AP172,1))),VALUE(RIGHT(AP23:AP172,1)),0))</f>
        <v>0</v>
      </c>
      <c r="AQ17" s="903">
        <f t="array" ref="AQ17">SUM(IF(ISNUMBER(VALUE(RIGHT(AQ23:AQ172,1))),VALUE(RIGHT(AQ23:AQ172,1)),0))</f>
        <v>0</v>
      </c>
      <c r="AR17" s="903">
        <f t="array" ref="AR17">SUM(IF(ISNUMBER(VALUE(RIGHT(AR23:AR172,1))),VALUE(RIGHT(AR23:AR172,1)),0))</f>
        <v>0</v>
      </c>
      <c r="AS17" s="903">
        <f t="array" ref="AS17">SUM(IF(ISNUMBER(VALUE(RIGHT(AS23:AS172,1))),VALUE(RIGHT(AS23:AS172,1)),0))</f>
        <v>1</v>
      </c>
      <c r="AT17" s="903">
        <f t="array" ref="AT17">SUM(IF(ISNUMBER(VALUE(RIGHT(AT23:AT172,1))),VALUE(RIGHT(AT23:AT172,1)),0))</f>
        <v>0</v>
      </c>
      <c r="AU17" s="903">
        <f t="array" ref="AU17">SUM(IF(ISNUMBER(VALUE(RIGHT(AU23:AU172,1))),VALUE(RIGHT(AU23:AU172,1)),0))</f>
        <v>2</v>
      </c>
      <c r="AV17" s="903">
        <f t="array" ref="AV17">SUM(IF(ISNUMBER(VALUE(RIGHT(AV23:AV172,1))),VALUE(RIGHT(AV23:AV172,1)),0))</f>
        <v>0</v>
      </c>
      <c r="AW17" s="903">
        <f t="array" ref="AW17">SUM(IF(ISNUMBER(VALUE(RIGHT(AW23:AW172,1))),VALUE(RIGHT(AW23:AW172,1)),0))</f>
        <v>1</v>
      </c>
      <c r="AX17" s="903">
        <f t="array" ref="AX17">SUM(IF(ISNUMBER(VALUE(RIGHT(AX23:AX172,1))),VALUE(RIGHT(AX23:AX172,1)),0))</f>
        <v>0</v>
      </c>
      <c r="AY17" s="903">
        <f t="array" ref="AY17">SUM(IF(ISNUMBER(VALUE(RIGHT(AY23:AY172,1))),VALUE(RIGHT(AY23:AY172,1)),0))</f>
        <v>0</v>
      </c>
      <c r="AZ17" s="903">
        <f t="array" ref="AZ17">SUM(IF(ISNUMBER(VALUE(RIGHT(AZ23:AZ172,1))),VALUE(RIGHT(AZ23:AZ172,1)),0))</f>
        <v>1</v>
      </c>
      <c r="BA17" s="903">
        <f t="array" ref="BA17">SUM(IF(ISNUMBER(VALUE(RIGHT(BA23:BA172,1))),VALUE(RIGHT(BA23:BA172,1)),0))</f>
        <v>1</v>
      </c>
      <c r="BB17" s="903">
        <f t="array" ref="BB17">SUM(IF(ISNUMBER(VALUE(RIGHT(BB23:BB172,1))),VALUE(RIGHT(BB23:BB172,1)),0))</f>
        <v>17</v>
      </c>
      <c r="BC17" s="903">
        <f t="array" ref="BC17">SUM(IF(ISNUMBER(VALUE(RIGHT(BC23:BC172,1))),VALUE(RIGHT(BC23:BC172,1)),0))</f>
        <v>18</v>
      </c>
      <c r="BD17" s="903">
        <f t="array" ref="BD17">SUM(IF(ISNUMBER(VALUE(RIGHT(BD23:BD172,1))),VALUE(RIGHT(BD23:BD172,1)),0))</f>
        <v>1</v>
      </c>
      <c r="BE17" s="903">
        <f t="array" ref="BE17">SUM(IF(ISNUMBER(VALUE(RIGHT(BE23:BE172,1))),VALUE(RIGHT(BE23:BE172,1)),0))</f>
        <v>0</v>
      </c>
      <c r="BF17" s="903">
        <f t="array" ref="BF17">SUM(IF(ISNUMBER(VALUE(RIGHT(BF23:BF172,1))),VALUE(RIGHT(BF23:BF172,1)),0))</f>
        <v>7</v>
      </c>
      <c r="BG17" s="903">
        <f t="array" ref="BG17">SUM(IF(ISNUMBER(VALUE(RIGHT(BG23:BG172,1))),VALUE(RIGHT(BG23:BG172,1)),0))</f>
        <v>1</v>
      </c>
      <c r="BH17" s="889"/>
      <c r="BI17" s="889"/>
      <c r="BJ17" s="903">
        <f t="array" ref="BJ17">SUM(IF(ISNUMBER(VALUE(RIGHT(BJ23:BJ172,1))),VALUE(RIGHT(BJ23:BJ172,1)),0))</f>
        <v>0</v>
      </c>
      <c r="BK17" s="889"/>
      <c r="BL17" s="889"/>
      <c r="BM17" s="889"/>
      <c r="BN17" s="889"/>
      <c r="BO17" s="889"/>
      <c r="BP17" s="889"/>
      <c r="BQ17" s="889"/>
      <c r="BR17" s="889"/>
      <c r="BS17" s="889"/>
      <c r="BT17" s="889"/>
      <c r="BU17" s="890"/>
      <c r="BV17" s="890"/>
      <c r="BW17" s="890"/>
      <c r="BX17" s="890"/>
      <c r="BY17" s="889"/>
      <c r="BZ17" s="889"/>
      <c r="CA17" s="889"/>
      <c r="CB17" s="889"/>
      <c r="CC17" s="889"/>
      <c r="CD17" s="889"/>
      <c r="CE17" s="889"/>
      <c r="CF17" s="890"/>
    </row>
    <row r="18" spans="1:116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AVERAGEIFS($Y$23:$Y$209,$H$23:$H$209,"H",$I$23:$I$209,Table!$C$1)</f>
        <v>6.0476190476190474</v>
      </c>
      <c r="S18" s="858">
        <f>AVERAGEIFS($Y$23:$Y$209,$H$23:$H$209,"A",$I$23:$I$209,Table!$C$1)</f>
        <v>4.5714285714285712</v>
      </c>
      <c r="AG18" s="876">
        <v>1</v>
      </c>
      <c r="AH18" s="876">
        <v>26</v>
      </c>
      <c r="AI18" s="876">
        <v>31</v>
      </c>
      <c r="AJ18" s="876">
        <v>34</v>
      </c>
      <c r="AK18" s="876">
        <v>2</v>
      </c>
      <c r="AL18" s="876">
        <v>3</v>
      </c>
      <c r="AM18" s="876">
        <v>4</v>
      </c>
      <c r="AN18" s="876">
        <v>5</v>
      </c>
      <c r="AO18" s="876">
        <v>6</v>
      </c>
      <c r="AP18" s="876">
        <v>19</v>
      </c>
      <c r="AQ18" s="876">
        <v>24</v>
      </c>
      <c r="AR18" s="876">
        <v>30</v>
      </c>
      <c r="AS18" s="876">
        <v>8</v>
      </c>
      <c r="AT18" s="876">
        <v>14</v>
      </c>
      <c r="AU18" s="876">
        <v>17</v>
      </c>
      <c r="AV18" s="876">
        <v>20</v>
      </c>
      <c r="AW18" s="876">
        <v>23</v>
      </c>
      <c r="AX18" s="876">
        <v>27</v>
      </c>
      <c r="AY18" s="876">
        <v>32</v>
      </c>
      <c r="AZ18" s="876">
        <v>33</v>
      </c>
      <c r="BA18" s="876">
        <v>38</v>
      </c>
      <c r="BB18" s="876">
        <v>7</v>
      </c>
      <c r="BC18" s="876">
        <v>9</v>
      </c>
      <c r="BD18" s="876">
        <v>18</v>
      </c>
      <c r="BE18" s="876">
        <v>25</v>
      </c>
      <c r="BF18" s="876">
        <v>10</v>
      </c>
      <c r="BG18" s="876">
        <v>13</v>
      </c>
      <c r="BJ18" s="876">
        <v>11</v>
      </c>
      <c r="BL18" s="876"/>
      <c r="BM18" s="876"/>
      <c r="BN18" s="876"/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</row>
    <row r="19" spans="1:116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AVERAGEIFS($Z$23:$Z$207,$H$23:$H$207,"H",$I$23:$I$207,Table!$C$1)</f>
        <v>3.7142857142857144</v>
      </c>
      <c r="S19" s="858">
        <f>AVERAGEIFS($Z$23:$Z$207,$H$23:$H$207,"A",$I$23:$I$207,Table!$C$1)</f>
        <v>3.9047619047619047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2216</v>
      </c>
      <c r="AH19" s="901" t="s">
        <v>2216</v>
      </c>
      <c r="AI19" s="901" t="s">
        <v>2216</v>
      </c>
      <c r="AJ19" s="901" t="s">
        <v>2216</v>
      </c>
      <c r="AK19" s="901" t="s">
        <v>2217</v>
      </c>
      <c r="AL19" s="901" t="s">
        <v>2217</v>
      </c>
      <c r="AM19" s="901" t="s">
        <v>2207</v>
      </c>
      <c r="AN19" s="901" t="s">
        <v>2207</v>
      </c>
      <c r="AO19" s="901" t="s">
        <v>2208</v>
      </c>
      <c r="AP19" s="901" t="s">
        <v>2207</v>
      </c>
      <c r="AQ19" s="901" t="s">
        <v>2218</v>
      </c>
      <c r="AR19" s="901" t="s">
        <v>2217</v>
      </c>
      <c r="AS19" s="901" t="s">
        <v>2209</v>
      </c>
      <c r="AT19" s="901" t="s">
        <v>2219</v>
      </c>
      <c r="AU19" s="901" t="s">
        <v>2209</v>
      </c>
      <c r="AV19" s="901" t="s">
        <v>2219</v>
      </c>
      <c r="AW19" s="901" t="s">
        <v>2209</v>
      </c>
      <c r="AX19" s="901" t="s">
        <v>2209</v>
      </c>
      <c r="AY19" s="901" t="s">
        <v>2211</v>
      </c>
      <c r="AZ19" s="901" t="s">
        <v>2219</v>
      </c>
      <c r="BA19" s="901" t="s">
        <v>2210</v>
      </c>
      <c r="BB19" s="901" t="s">
        <v>2221</v>
      </c>
      <c r="BC19" s="901" t="s">
        <v>2214</v>
      </c>
      <c r="BD19" s="901" t="s">
        <v>2212</v>
      </c>
      <c r="BE19" s="901" t="s">
        <v>2214</v>
      </c>
      <c r="BF19" s="901" t="s">
        <v>2212</v>
      </c>
      <c r="BG19" s="901" t="s">
        <v>1994</v>
      </c>
      <c r="BJ19" s="901" t="s">
        <v>2221</v>
      </c>
      <c r="BL19" s="877"/>
      <c r="BM19" s="877"/>
      <c r="BN19" s="877"/>
      <c r="BO19" s="877"/>
      <c r="BP19" s="877"/>
      <c r="BQ19" s="877"/>
      <c r="BR19" s="877"/>
      <c r="BS19" s="877"/>
      <c r="BT19" s="877"/>
      <c r="BU19" s="428"/>
      <c r="BV19" s="428"/>
      <c r="BW19" s="428"/>
      <c r="BX19" s="428"/>
      <c r="BY19" s="877"/>
      <c r="BZ19" s="877"/>
      <c r="CA19" s="877"/>
      <c r="CB19" s="877"/>
      <c r="CC19" s="877"/>
      <c r="CD19" s="877"/>
      <c r="CE19" s="877"/>
      <c r="CF19" s="428"/>
      <c r="CG19" s="876"/>
      <c r="CH19" s="876"/>
      <c r="CI19" s="876"/>
    </row>
    <row r="20" spans="1:116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5</v>
      </c>
      <c r="G20" s="822" t="str">
        <f ca="1">MID(CELL("filename",A1),FIND("]",CELL("filename",A1))+1,LEN(CELL("filename",A1))-FIND("]",CELL("filename",A1)))</f>
        <v>Tokyo Verdy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1812</v>
      </c>
      <c r="AH20" s="887" t="s">
        <v>1813</v>
      </c>
      <c r="AI20" s="887" t="s">
        <v>1814</v>
      </c>
      <c r="AJ20" s="887" t="s">
        <v>1815</v>
      </c>
      <c r="AK20" s="887" t="s">
        <v>1816</v>
      </c>
      <c r="AL20" s="887" t="s">
        <v>1817</v>
      </c>
      <c r="AM20" s="887" t="s">
        <v>1818</v>
      </c>
      <c r="AN20" s="887" t="s">
        <v>1819</v>
      </c>
      <c r="AO20" s="887" t="s">
        <v>1820</v>
      </c>
      <c r="AP20" s="887" t="s">
        <v>2257</v>
      </c>
      <c r="AQ20" s="887" t="s">
        <v>1821</v>
      </c>
      <c r="AR20" s="887" t="s">
        <v>1822</v>
      </c>
      <c r="AS20" s="887" t="s">
        <v>1823</v>
      </c>
      <c r="AT20" s="887" t="s">
        <v>2252</v>
      </c>
      <c r="AU20" s="887" t="s">
        <v>1824</v>
      </c>
      <c r="AV20" s="887" t="s">
        <v>2255</v>
      </c>
      <c r="AW20" s="887" t="s">
        <v>1825</v>
      </c>
      <c r="AX20" s="887" t="s">
        <v>1826</v>
      </c>
      <c r="AY20" s="887" t="s">
        <v>1827</v>
      </c>
      <c r="AZ20" s="887" t="s">
        <v>1828</v>
      </c>
      <c r="BA20" s="887" t="s">
        <v>1829</v>
      </c>
      <c r="BB20" s="887" t="s">
        <v>3458</v>
      </c>
      <c r="BC20" s="887" t="s">
        <v>1830</v>
      </c>
      <c r="BD20" s="887" t="s">
        <v>1831</v>
      </c>
      <c r="BE20" s="887" t="s">
        <v>1832</v>
      </c>
      <c r="BF20" s="887" t="s">
        <v>3301</v>
      </c>
      <c r="BG20" s="887" t="s">
        <v>2879</v>
      </c>
      <c r="BH20" s="887" t="s">
        <v>2012</v>
      </c>
      <c r="BI20" s="887"/>
      <c r="BJ20" s="887" t="s">
        <v>1936</v>
      </c>
      <c r="BL20" s="887"/>
      <c r="BM20" s="887"/>
      <c r="BN20" s="864"/>
      <c r="BO20" s="887"/>
      <c r="BP20" s="864"/>
      <c r="BQ20" s="864"/>
      <c r="BR20" s="864"/>
      <c r="BS20" s="864"/>
      <c r="BT20" s="864"/>
      <c r="BU20" s="847"/>
      <c r="BV20" s="847"/>
      <c r="BW20" s="847"/>
      <c r="BX20" s="847"/>
      <c r="BY20" s="864"/>
      <c r="BZ20" s="864"/>
      <c r="CA20" s="864"/>
      <c r="CB20" s="864"/>
      <c r="CC20" s="864"/>
      <c r="CD20" s="864"/>
      <c r="CE20" s="86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</row>
    <row r="21" spans="1:116" s="821" customFormat="1" ht="84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1032</v>
      </c>
      <c r="AH21" s="886" t="s">
        <v>1033</v>
      </c>
      <c r="AI21" s="886" t="s">
        <v>1137</v>
      </c>
      <c r="AJ21" s="886" t="s">
        <v>956</v>
      </c>
      <c r="AK21" s="886" t="s">
        <v>1138</v>
      </c>
      <c r="AL21" s="886" t="s">
        <v>1664</v>
      </c>
      <c r="AM21" s="886" t="s">
        <v>1665</v>
      </c>
      <c r="AN21" s="886" t="s">
        <v>1034</v>
      </c>
      <c r="AO21" s="886" t="s">
        <v>1035</v>
      </c>
      <c r="AP21" s="886" t="s">
        <v>2258</v>
      </c>
      <c r="AQ21" s="886" t="s">
        <v>1036</v>
      </c>
      <c r="AR21" s="886" t="s">
        <v>1037</v>
      </c>
      <c r="AS21" s="886" t="s">
        <v>1139</v>
      </c>
      <c r="AT21" s="886" t="s">
        <v>2253</v>
      </c>
      <c r="AU21" s="886" t="s">
        <v>1140</v>
      </c>
      <c r="AV21" s="886" t="s">
        <v>2256</v>
      </c>
      <c r="AW21" s="886" t="s">
        <v>1141</v>
      </c>
      <c r="AX21" s="886" t="s">
        <v>1142</v>
      </c>
      <c r="AY21" s="886" t="s">
        <v>1079</v>
      </c>
      <c r="AZ21" s="886" t="s">
        <v>1143</v>
      </c>
      <c r="BA21" s="886" t="s">
        <v>1046</v>
      </c>
      <c r="BB21" s="886" t="s">
        <v>2723</v>
      </c>
      <c r="BC21" s="886" t="s">
        <v>1666</v>
      </c>
      <c r="BD21" s="886" t="s">
        <v>1144</v>
      </c>
      <c r="BE21" s="886" t="s">
        <v>1667</v>
      </c>
      <c r="BF21" s="886" t="s">
        <v>2608</v>
      </c>
      <c r="BG21" s="886" t="s">
        <v>2724</v>
      </c>
      <c r="BJ21" s="886" t="s">
        <v>1038</v>
      </c>
      <c r="BL21" s="886"/>
      <c r="BM21" s="886"/>
      <c r="BN21" s="864"/>
      <c r="BO21" s="886"/>
      <c r="BP21" s="864"/>
      <c r="BQ21" s="864"/>
      <c r="BR21" s="864"/>
      <c r="BS21" s="864"/>
      <c r="BT21" s="864"/>
      <c r="BU21" s="847"/>
      <c r="BV21" s="847"/>
      <c r="BW21" s="847"/>
      <c r="BX21" s="847"/>
      <c r="BY21" s="864"/>
      <c r="BZ21" s="864"/>
      <c r="CA21" s="864"/>
      <c r="CB21" s="864"/>
      <c r="CC21" s="864"/>
      <c r="CD21" s="864"/>
      <c r="CE21" s="86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</row>
    <row r="22" spans="1:116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J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</row>
    <row r="23" spans="1:116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7</v>
      </c>
      <c r="G23" s="879" t="s">
        <v>888</v>
      </c>
      <c r="H23" s="879" t="s">
        <v>18</v>
      </c>
      <c r="I23" s="879" t="s">
        <v>891</v>
      </c>
      <c r="J23" s="846">
        <v>0</v>
      </c>
      <c r="K23" s="846">
        <v>1</v>
      </c>
      <c r="L23" s="816" t="str">
        <f t="shared" ref="L23:L26" si="21">IF(J23="","",IF(J23&gt;K23,"W",IF(J23=K23,"D",IF(J23&lt;K23,"L"))))</f>
        <v>L</v>
      </c>
      <c r="M23" s="816">
        <f t="shared" ref="M23:M26" si="22">IF(J23="","",J23+K23)</f>
        <v>1</v>
      </c>
      <c r="N23" s="816" t="str">
        <f t="shared" ref="N23:N24" si="23">IF($J23="","",IF($M23&gt;N$19,"O",IF($M23&lt;N$19,"U",IF($M23=N$19,"-"))))</f>
        <v>U</v>
      </c>
      <c r="O23" s="816">
        <f t="shared" ref="O23:O26" si="24">IF(Q23="","",IF(SIGN(Q23)&lt;&gt;1,VLOOKUP(ABS(Q23),SUP_HDC,3,TRUE),-VLOOKUP(ABS(Q23),SUP_HDC,3,TRUE)))</f>
        <v>0.25</v>
      </c>
      <c r="P23" s="829">
        <f t="shared" ref="P23:P26" si="25">IF(O23="","",IF((J23-K23+O23)&gt;=0.5,1,IF((J23-K23+O23)=0.25,0.5,IF((J23-K23+O23)&lt;=-0.5,-1,IF((J23-K23+O23)=-0.25,-0.5,0)))))</f>
        <v>-1</v>
      </c>
      <c r="Q23" s="830">
        <v>-0.22</v>
      </c>
      <c r="R23" s="871">
        <f t="shared" ref="R23:R26" si="26">IF(ISBLANK(Q23),"",J23-K23-Q23)</f>
        <v>-0.78</v>
      </c>
      <c r="S23" s="830">
        <v>2.27</v>
      </c>
      <c r="T23" s="871">
        <f t="shared" ref="T23:T26" si="27">IF(ISBLANK(S23),"",J23+K23-S23)</f>
        <v>-1.27</v>
      </c>
      <c r="U23" s="868">
        <f t="shared" ref="U23:U26" si="28">IF(Q23="","",(Q23+S23)/2)</f>
        <v>1.0249999999999999</v>
      </c>
      <c r="V23" s="868">
        <f t="shared" ref="V23:V26" si="29">IF(Q23="","",S23-U23)</f>
        <v>1.2450000000000001</v>
      </c>
      <c r="W23" s="829">
        <v>9</v>
      </c>
      <c r="X23" s="829">
        <v>9</v>
      </c>
      <c r="Y23" s="829">
        <v>2</v>
      </c>
      <c r="Z23" s="829">
        <v>6</v>
      </c>
      <c r="AA23" s="829">
        <v>48</v>
      </c>
      <c r="AB23" s="829">
        <v>52</v>
      </c>
      <c r="AD23" s="816" t="str">
        <f t="array" ref="AD23">IF($J23="","",IF(SUM(IF(ISNUMBER(VALUE(RIGHT($AG23:$DX23,1))),VALUE(RIGHT($AG23:$DX23,1)),0))=$J23,"T","F"))</f>
        <v>T</v>
      </c>
      <c r="AE23" s="831">
        <f t="array" ref="AE23">IF($J23="","",SUM(IF(LEFT($AG23:$DX23,1)="s",1,0))-SUM(IF(RIGHT(LEFT($AG23:$DX23,2))="-",1,0)))</f>
        <v>0</v>
      </c>
      <c r="AF23" s="816">
        <f t="array" ref="AF23">IF($J23="","",SUM(IF(LEFT($AG23:$DX23,1)="X",1,0)))</f>
        <v>11</v>
      </c>
      <c r="AG23" s="891" t="s">
        <v>34</v>
      </c>
      <c r="AH23" s="891" t="s">
        <v>32</v>
      </c>
      <c r="AI23" s="891" t="s">
        <v>32</v>
      </c>
      <c r="AJ23" s="891" t="s">
        <v>1877</v>
      </c>
      <c r="AK23" s="891" t="s">
        <v>32</v>
      </c>
      <c r="AL23" s="891" t="s">
        <v>34</v>
      </c>
      <c r="AM23" s="891" t="s">
        <v>1877</v>
      </c>
      <c r="AN23" s="891" t="s">
        <v>34</v>
      </c>
      <c r="AO23" s="891" t="s">
        <v>36</v>
      </c>
      <c r="AP23" s="891" t="s">
        <v>34</v>
      </c>
      <c r="AQ23" s="891" t="s">
        <v>32</v>
      </c>
      <c r="AR23" s="891" t="s">
        <v>32</v>
      </c>
      <c r="AS23" s="891" t="s">
        <v>35</v>
      </c>
      <c r="AT23" s="891" t="s">
        <v>2007</v>
      </c>
      <c r="AU23" s="891" t="s">
        <v>34</v>
      </c>
      <c r="AV23" s="906" t="s">
        <v>1881</v>
      </c>
      <c r="AW23" s="891" t="s">
        <v>32</v>
      </c>
      <c r="AX23" s="891" t="s">
        <v>1877</v>
      </c>
      <c r="AY23" s="891" t="s">
        <v>1877</v>
      </c>
      <c r="AZ23" s="891" t="s">
        <v>32</v>
      </c>
      <c r="BA23" s="891" t="s">
        <v>34</v>
      </c>
      <c r="BB23" s="891" t="s">
        <v>35</v>
      </c>
      <c r="BC23" s="891" t="s">
        <v>36</v>
      </c>
      <c r="BD23" s="891" t="s">
        <v>34</v>
      </c>
      <c r="BE23" s="891"/>
      <c r="BF23" s="891" t="s">
        <v>34</v>
      </c>
      <c r="BG23" s="910"/>
      <c r="BJ23" s="891" t="s">
        <v>35</v>
      </c>
      <c r="BL23" s="891"/>
      <c r="BM23" s="891"/>
      <c r="BN23" s="891"/>
      <c r="BO23" s="891"/>
      <c r="BP23" s="891"/>
      <c r="BQ23" s="891"/>
      <c r="BR23" s="891"/>
      <c r="BS23" s="891"/>
      <c r="BT23" s="891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896"/>
      <c r="CF23" s="428"/>
      <c r="CG23" s="428"/>
      <c r="CH23" s="428"/>
      <c r="CI23" s="428"/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</row>
    <row r="24" spans="1:116" ht="15">
      <c r="A24" s="882">
        <v>6274</v>
      </c>
      <c r="B24" s="884"/>
      <c r="C24" s="884"/>
      <c r="D24" s="884"/>
      <c r="E24" s="884"/>
      <c r="F24" s="884">
        <f ca="1">IF(I24="","",IF(I24=Table!$C$1,VLOOKUP(G24,Table!$B$9:$AE$32,Table!$AE$6-1,FALSE),""))</f>
        <v>9</v>
      </c>
      <c r="G24" s="879" t="s">
        <v>1083</v>
      </c>
      <c r="H24" s="879" t="s">
        <v>22</v>
      </c>
      <c r="I24" s="879" t="s">
        <v>891</v>
      </c>
      <c r="J24" s="846">
        <v>1</v>
      </c>
      <c r="K24" s="846">
        <v>0</v>
      </c>
      <c r="L24" s="816" t="str">
        <f t="shared" si="21"/>
        <v>W</v>
      </c>
      <c r="M24" s="816">
        <f t="shared" si="22"/>
        <v>1</v>
      </c>
      <c r="N24" s="816" t="str">
        <f t="shared" si="23"/>
        <v>U</v>
      </c>
      <c r="O24" s="816">
        <f t="shared" si="24"/>
        <v>0.25</v>
      </c>
      <c r="P24" s="829">
        <f t="shared" si="25"/>
        <v>1</v>
      </c>
      <c r="Q24" s="830">
        <v>-0.2</v>
      </c>
      <c r="R24" s="871">
        <f t="shared" si="26"/>
        <v>1.2</v>
      </c>
      <c r="S24" s="830">
        <v>2.15</v>
      </c>
      <c r="T24" s="871">
        <f t="shared" si="27"/>
        <v>-1.1499999999999999</v>
      </c>
      <c r="U24" s="868">
        <f t="shared" si="28"/>
        <v>0.97499999999999998</v>
      </c>
      <c r="V24" s="868">
        <f t="shared" si="29"/>
        <v>1.1749999999999998</v>
      </c>
      <c r="W24" s="829">
        <v>15</v>
      </c>
      <c r="X24" s="829">
        <v>16</v>
      </c>
      <c r="Y24" s="829">
        <v>3</v>
      </c>
      <c r="Z24" s="829">
        <v>4</v>
      </c>
      <c r="AA24" s="829">
        <v>48</v>
      </c>
      <c r="AB24" s="829">
        <v>52</v>
      </c>
      <c r="AD24" s="816" t="str">
        <f t="array" ref="AD24">IF($J24="","",IF(SUM(IF(ISNUMBER(VALUE(RIGHT($AG24:$DX24,1))),VALUE(RIGHT($AG24:$DX24,1)),0))=$J24,"T","F"))</f>
        <v>T</v>
      </c>
      <c r="AE24" s="831">
        <f t="array" ref="AE24">IF($J24="","",SUM(IF(LEFT($AG24:$DX24,1)="s",1,0))-SUM(IF(RIGHT(LEFT($AG24:$DX24,2))="-",1,0)))</f>
        <v>0</v>
      </c>
      <c r="AF24" s="816">
        <f t="array" ref="AF24">IF($J24="","",SUM(IF(LEFT($AG24:$DX24,1)="X",1,0)))</f>
        <v>11</v>
      </c>
      <c r="AG24" s="891" t="s">
        <v>34</v>
      </c>
      <c r="AH24" s="891" t="s">
        <v>1877</v>
      </c>
      <c r="AI24" s="891" t="s">
        <v>32</v>
      </c>
      <c r="AJ24" s="891" t="s">
        <v>32</v>
      </c>
      <c r="AK24" s="891" t="s">
        <v>32</v>
      </c>
      <c r="AL24" s="891" t="s">
        <v>34</v>
      </c>
      <c r="AM24" s="891" t="s">
        <v>1877</v>
      </c>
      <c r="AN24" s="891" t="s">
        <v>34</v>
      </c>
      <c r="AO24" s="891" t="s">
        <v>35</v>
      </c>
      <c r="AP24" s="891" t="s">
        <v>34</v>
      </c>
      <c r="AQ24" s="891" t="s">
        <v>32</v>
      </c>
      <c r="AR24" s="891" t="s">
        <v>36</v>
      </c>
      <c r="AS24" s="891" t="s">
        <v>2137</v>
      </c>
      <c r="AT24" s="891" t="s">
        <v>2007</v>
      </c>
      <c r="AU24" s="891" t="s">
        <v>34</v>
      </c>
      <c r="AV24" s="891" t="s">
        <v>35</v>
      </c>
      <c r="AW24" s="891" t="s">
        <v>32</v>
      </c>
      <c r="AX24" s="891" t="s">
        <v>36</v>
      </c>
      <c r="AY24" s="891" t="s">
        <v>1877</v>
      </c>
      <c r="AZ24" s="891" t="s">
        <v>32</v>
      </c>
      <c r="BA24" s="891" t="s">
        <v>36</v>
      </c>
      <c r="BB24" s="891" t="s">
        <v>1948</v>
      </c>
      <c r="BC24" s="891" t="s">
        <v>35</v>
      </c>
      <c r="BD24" s="891" t="s">
        <v>34</v>
      </c>
      <c r="BE24" s="891"/>
      <c r="BF24" s="891" t="s">
        <v>34</v>
      </c>
      <c r="BG24" s="910"/>
      <c r="BJ24" s="891" t="s">
        <v>1877</v>
      </c>
      <c r="BL24" s="891"/>
      <c r="BM24" s="891"/>
      <c r="BN24" s="891"/>
      <c r="BO24" s="891"/>
      <c r="BP24" s="891"/>
      <c r="BQ24" s="891"/>
      <c r="BR24" s="891"/>
      <c r="BS24" s="891"/>
      <c r="BT24" s="891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896"/>
      <c r="CF24" s="428"/>
      <c r="CG24" s="428"/>
      <c r="CH24" s="428"/>
      <c r="CI24" s="428"/>
    </row>
    <row r="25" spans="1:116" ht="15">
      <c r="A25" s="882">
        <v>6280</v>
      </c>
      <c r="B25" s="884"/>
      <c r="C25" s="884"/>
      <c r="D25" s="884"/>
      <c r="E25" s="884"/>
      <c r="F25" s="884">
        <f ca="1">IF(I25="","",IF(I25=Table!$C$1,VLOOKUP(G25,Table!$B$9:$AE$32,Table!$AE$6-1,FALSE),""))</f>
        <v>14</v>
      </c>
      <c r="G25" s="879" t="s">
        <v>873</v>
      </c>
      <c r="H25" s="879" t="s">
        <v>22</v>
      </c>
      <c r="I25" s="879" t="s">
        <v>891</v>
      </c>
      <c r="J25" s="846">
        <v>4</v>
      </c>
      <c r="K25" s="908">
        <v>0</v>
      </c>
      <c r="L25" s="816" t="str">
        <f t="shared" si="21"/>
        <v>W</v>
      </c>
      <c r="M25" s="816">
        <f t="shared" si="22"/>
        <v>4</v>
      </c>
      <c r="N25" s="816" t="str">
        <f t="shared" ref="N25:N33" si="30">IF($J25="","",IF($M25&gt;N$19,"O",IF($M25&lt;N$19,"U",IF($M25=N$19,"-"))))</f>
        <v>O</v>
      </c>
      <c r="O25" s="816">
        <f t="shared" si="24"/>
        <v>-0.25</v>
      </c>
      <c r="P25" s="829">
        <f t="shared" si="25"/>
        <v>1</v>
      </c>
      <c r="Q25" s="830">
        <v>0.15</v>
      </c>
      <c r="R25" s="871">
        <f t="shared" si="26"/>
        <v>3.85</v>
      </c>
      <c r="S25" s="830">
        <v>2.27</v>
      </c>
      <c r="T25" s="871">
        <f t="shared" si="27"/>
        <v>1.73</v>
      </c>
      <c r="U25" s="868">
        <f t="shared" si="28"/>
        <v>1.21</v>
      </c>
      <c r="V25" s="868">
        <f t="shared" si="29"/>
        <v>1.06</v>
      </c>
      <c r="W25" s="829">
        <v>16</v>
      </c>
      <c r="X25" s="829">
        <v>13</v>
      </c>
      <c r="Y25" s="829">
        <v>9</v>
      </c>
      <c r="Z25" s="829">
        <v>4</v>
      </c>
      <c r="AA25" s="829">
        <v>62</v>
      </c>
      <c r="AB25" s="829">
        <v>38</v>
      </c>
      <c r="AD25" s="816" t="str">
        <f t="array" ref="AD25">IF($J25="","",IF(SUM(IF(ISNUMBER(VALUE(RIGHT($AG25:$DX25,1))),VALUE(RIGHT($AG25:$DX25,1)),0))=$J25,"T","F"))</f>
        <v>T</v>
      </c>
      <c r="AE25" s="831">
        <f t="array" ref="AE25">IF($J25="","",SUM(IF(LEFT($AG25:$DX25,1)="s",1,0))-SUM(IF(RIGHT(LEFT($AG25:$DX25,2))="-",1,0)))</f>
        <v>0</v>
      </c>
      <c r="AF25" s="816">
        <f t="array" ref="AF25">IF($J25="","",SUM(IF(LEFT($AG25:$DX25,1)="X",1,0)))</f>
        <v>11</v>
      </c>
      <c r="AG25" s="891" t="s">
        <v>34</v>
      </c>
      <c r="AH25" s="891" t="s">
        <v>32</v>
      </c>
      <c r="AI25" s="891" t="s">
        <v>1877</v>
      </c>
      <c r="AJ25" s="891" t="s">
        <v>32</v>
      </c>
      <c r="AK25" s="891" t="s">
        <v>36</v>
      </c>
      <c r="AL25" s="891" t="s">
        <v>1962</v>
      </c>
      <c r="AM25" s="891" t="s">
        <v>1877</v>
      </c>
      <c r="AN25" s="891" t="s">
        <v>34</v>
      </c>
      <c r="AO25" s="891" t="s">
        <v>34</v>
      </c>
      <c r="AP25" s="891" t="s">
        <v>34</v>
      </c>
      <c r="AQ25" s="891" t="s">
        <v>32</v>
      </c>
      <c r="AR25" s="891" t="s">
        <v>1877</v>
      </c>
      <c r="AS25" s="891" t="s">
        <v>32</v>
      </c>
      <c r="AT25" s="891" t="s">
        <v>2007</v>
      </c>
      <c r="AU25" s="891" t="s">
        <v>34</v>
      </c>
      <c r="AV25" s="891" t="s">
        <v>35</v>
      </c>
      <c r="AW25" s="891" t="s">
        <v>32</v>
      </c>
      <c r="AX25" s="891" t="s">
        <v>36</v>
      </c>
      <c r="AY25" s="891" t="s">
        <v>32</v>
      </c>
      <c r="AZ25" s="891" t="s">
        <v>32</v>
      </c>
      <c r="BA25" s="891" t="s">
        <v>36</v>
      </c>
      <c r="BB25" s="891" t="s">
        <v>1963</v>
      </c>
      <c r="BC25" s="891" t="s">
        <v>35</v>
      </c>
      <c r="BD25" s="891" t="s">
        <v>34</v>
      </c>
      <c r="BE25" s="891"/>
      <c r="BF25" s="891" t="s">
        <v>1961</v>
      </c>
      <c r="BG25" s="910"/>
      <c r="BJ25" s="891" t="s">
        <v>1877</v>
      </c>
      <c r="BL25" s="891"/>
      <c r="BM25" s="891"/>
      <c r="BN25" s="891"/>
      <c r="BO25" s="891"/>
      <c r="BP25" s="891"/>
      <c r="BQ25" s="891"/>
      <c r="BR25" s="891"/>
      <c r="BS25" s="891"/>
      <c r="BT25" s="891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896"/>
      <c r="CF25" s="428"/>
      <c r="CG25" s="428"/>
      <c r="CH25" s="428"/>
      <c r="CI25" s="428"/>
    </row>
    <row r="26" spans="1:116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20</v>
      </c>
      <c r="G26" s="879" t="s">
        <v>882</v>
      </c>
      <c r="H26" s="879" t="s">
        <v>18</v>
      </c>
      <c r="I26" s="879" t="s">
        <v>891</v>
      </c>
      <c r="J26" s="846">
        <v>2</v>
      </c>
      <c r="K26" s="846">
        <v>0</v>
      </c>
      <c r="L26" s="816" t="str">
        <f t="shared" si="21"/>
        <v>W</v>
      </c>
      <c r="M26" s="816">
        <f t="shared" si="22"/>
        <v>2</v>
      </c>
      <c r="N26" s="816" t="str">
        <f t="shared" si="30"/>
        <v>U</v>
      </c>
      <c r="O26" s="816">
        <f t="shared" si="24"/>
        <v>0.25</v>
      </c>
      <c r="P26" s="829">
        <f t="shared" si="25"/>
        <v>1</v>
      </c>
      <c r="Q26" s="830">
        <v>-0.14000000000000001</v>
      </c>
      <c r="R26" s="871">
        <f t="shared" si="26"/>
        <v>2.14</v>
      </c>
      <c r="S26" s="830">
        <v>2.62</v>
      </c>
      <c r="T26" s="871">
        <f t="shared" si="27"/>
        <v>-0.62000000000000011</v>
      </c>
      <c r="U26" s="868">
        <f t="shared" si="28"/>
        <v>1.24</v>
      </c>
      <c r="V26" s="868">
        <f t="shared" si="29"/>
        <v>1.3800000000000001</v>
      </c>
      <c r="W26" s="829">
        <v>9</v>
      </c>
      <c r="X26" s="829">
        <v>6</v>
      </c>
      <c r="Y26" s="829">
        <v>3</v>
      </c>
      <c r="Z26" s="829">
        <v>1</v>
      </c>
      <c r="AA26" s="829">
        <v>44</v>
      </c>
      <c r="AB26" s="829">
        <v>56</v>
      </c>
      <c r="AD26" s="816" t="str">
        <f t="array" ref="AD26">IF($J26="","",IF(SUM(IF(ISNUMBER(VALUE(RIGHT($AG26:$DX26,1))),VALUE(RIGHT($AG26:$DX26,1)),0))=$J26,"T","F"))</f>
        <v>T</v>
      </c>
      <c r="AE26" s="831">
        <f t="array" ref="AE26">IF($J26="","",SUM(IF(LEFT($AG26:$DX26,1)="s",1,0))-SUM(IF(RIGHT(LEFT($AG26:$DX26,2))="-",1,0)))</f>
        <v>0</v>
      </c>
      <c r="AF26" s="816">
        <f t="array" ref="AF26">IF($J26="","",SUM(IF(LEFT($AG26:$DX26,1)="X",1,0)))</f>
        <v>11</v>
      </c>
      <c r="AG26" s="891" t="s">
        <v>34</v>
      </c>
      <c r="AH26" s="891" t="s">
        <v>32</v>
      </c>
      <c r="AI26" s="891" t="s">
        <v>32</v>
      </c>
      <c r="AJ26" s="891" t="s">
        <v>1877</v>
      </c>
      <c r="AK26" s="891" t="s">
        <v>36</v>
      </c>
      <c r="AL26" s="891" t="s">
        <v>2118</v>
      </c>
      <c r="AM26" s="891" t="s">
        <v>1877</v>
      </c>
      <c r="AN26" s="891" t="s">
        <v>34</v>
      </c>
      <c r="AO26" s="891" t="s">
        <v>34</v>
      </c>
      <c r="AP26" s="891" t="s">
        <v>34</v>
      </c>
      <c r="AQ26" s="891" t="s">
        <v>32</v>
      </c>
      <c r="AR26" s="891" t="s">
        <v>32</v>
      </c>
      <c r="AS26" s="891" t="s">
        <v>32</v>
      </c>
      <c r="AT26" s="891" t="s">
        <v>1884</v>
      </c>
      <c r="AU26" s="891" t="s">
        <v>34</v>
      </c>
      <c r="AV26" s="891" t="s">
        <v>34</v>
      </c>
      <c r="AW26" s="891" t="s">
        <v>1877</v>
      </c>
      <c r="AX26" s="891" t="s">
        <v>1877</v>
      </c>
      <c r="AY26" s="891" t="s">
        <v>32</v>
      </c>
      <c r="AZ26" s="891" t="s">
        <v>32</v>
      </c>
      <c r="BA26" s="891" t="s">
        <v>36</v>
      </c>
      <c r="BB26" s="904" t="s">
        <v>2119</v>
      </c>
      <c r="BC26" s="891" t="s">
        <v>35</v>
      </c>
      <c r="BD26" s="891" t="s">
        <v>34</v>
      </c>
      <c r="BE26" s="891"/>
      <c r="BF26" s="891" t="s">
        <v>35</v>
      </c>
      <c r="BG26" s="910"/>
      <c r="BJ26" s="891" t="s">
        <v>36</v>
      </c>
      <c r="BL26" s="891"/>
      <c r="BM26" s="891"/>
      <c r="BN26" s="891"/>
      <c r="BO26" s="891"/>
      <c r="BP26" s="891"/>
      <c r="BQ26" s="891"/>
      <c r="BR26" s="891"/>
      <c r="BS26" s="891"/>
      <c r="BT26" s="891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896"/>
      <c r="CF26" s="428"/>
      <c r="CG26" s="428"/>
      <c r="CH26" s="428"/>
      <c r="CI26" s="428"/>
    </row>
    <row r="27" spans="1:116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18</v>
      </c>
      <c r="G27" s="879" t="s">
        <v>887</v>
      </c>
      <c r="H27" s="879" t="s">
        <v>22</v>
      </c>
      <c r="I27" s="879" t="s">
        <v>891</v>
      </c>
      <c r="J27" s="846">
        <v>1</v>
      </c>
      <c r="K27" s="846">
        <v>0</v>
      </c>
      <c r="L27" s="816" t="str">
        <f>IF(J27="","",IF(J27&gt;K27,"W",IF(J27=K27,"D",IF(J27&lt;K27,"L"))))</f>
        <v>W</v>
      </c>
      <c r="M27" s="816">
        <f>IF(J27="","",J27+K27)</f>
        <v>1</v>
      </c>
      <c r="N27" s="816" t="str">
        <f t="shared" si="30"/>
        <v>U</v>
      </c>
      <c r="O27" s="816">
        <f t="shared" ref="O27:O60" si="31">IF(Q27="","",IF(SIGN(Q27)&lt;&gt;1,VLOOKUP(ABS(Q27),SUP_HDC,3,TRUE),-VLOOKUP(ABS(Q27),SUP_HDC,3,TRUE)))</f>
        <v>-0.25</v>
      </c>
      <c r="P27" s="829">
        <f t="shared" ref="P27:P60" si="32">IF(O27="","",IF((J27-K27+O27)&gt;=0.5,1,IF((J27-K27+O27)=0.25,0.5,IF((J27-K27+O27)&lt;=-0.5,-1,IF((J27-K27+O27)=-0.25,-0.5,0)))))</f>
        <v>1</v>
      </c>
      <c r="Q27" s="830">
        <v>0.33</v>
      </c>
      <c r="R27" s="871">
        <f t="shared" ref="R27:R33" si="33">IF(ISBLANK(Q27),"",J27-K27-Q27)</f>
        <v>0.66999999999999993</v>
      </c>
      <c r="S27" s="830">
        <v>2.4300000000000002</v>
      </c>
      <c r="T27" s="871">
        <f t="shared" ref="T27:T72" si="34">IF(ISBLANK(S27),"",J27+K27-S27)</f>
        <v>-1.4300000000000002</v>
      </c>
      <c r="U27" s="868">
        <f t="shared" ref="U27:U60" si="35">IF(Q27="","",(Q27+S27)/2)</f>
        <v>1.3800000000000001</v>
      </c>
      <c r="V27" s="868">
        <f t="shared" ref="V27:V60" si="36">IF(Q27="","",S27-U27)</f>
        <v>1.05</v>
      </c>
      <c r="W27" s="829">
        <v>12</v>
      </c>
      <c r="X27" s="829">
        <v>15</v>
      </c>
      <c r="Y27" s="829">
        <v>7</v>
      </c>
      <c r="Z27" s="829">
        <v>3</v>
      </c>
      <c r="AA27" s="829">
        <v>39</v>
      </c>
      <c r="AB27" s="829">
        <v>61</v>
      </c>
      <c r="AD27" s="816" t="str">
        <f t="array" ref="AD27">IF($J27="","",IF(SUM(IF(ISNUMBER(VALUE(RIGHT($AG27:$DX27,1))),VALUE(RIGHT($AG27:$DX27,1)),0))=$J27,"T","F"))</f>
        <v>T</v>
      </c>
      <c r="AE27" s="831">
        <f t="array" ref="AE27">IF($J27="","",SUM(IF(LEFT($AG27:$DX27,1)="s",1,0))-SUM(IF(RIGHT(LEFT($AG27:$DX27,2))="-",1,0)))</f>
        <v>0</v>
      </c>
      <c r="AF27" s="816">
        <f t="array" ref="AF27">IF($J27="","",SUM(IF(LEFT($AG27:$DX27,1)="X",1,0)))</f>
        <v>11</v>
      </c>
      <c r="AG27" s="891" t="s">
        <v>34</v>
      </c>
      <c r="AH27" s="891" t="s">
        <v>32</v>
      </c>
      <c r="AI27" s="891" t="s">
        <v>32</v>
      </c>
      <c r="AJ27" s="891" t="s">
        <v>1877</v>
      </c>
      <c r="AK27" s="891" t="s">
        <v>36</v>
      </c>
      <c r="AL27" s="891" t="s">
        <v>34</v>
      </c>
      <c r="AM27" s="891" t="s">
        <v>1877</v>
      </c>
      <c r="AN27" s="891" t="s">
        <v>34</v>
      </c>
      <c r="AO27" s="891" t="s">
        <v>34</v>
      </c>
      <c r="AP27" s="891" t="s">
        <v>34</v>
      </c>
      <c r="AQ27" s="891" t="s">
        <v>32</v>
      </c>
      <c r="AR27" s="891" t="s">
        <v>1877</v>
      </c>
      <c r="AS27" s="891" t="s">
        <v>32</v>
      </c>
      <c r="AT27" s="891" t="s">
        <v>1884</v>
      </c>
      <c r="AU27" s="891" t="s">
        <v>34</v>
      </c>
      <c r="AV27" s="891" t="s">
        <v>35</v>
      </c>
      <c r="AW27" s="891" t="s">
        <v>32</v>
      </c>
      <c r="AX27" s="891" t="s">
        <v>36</v>
      </c>
      <c r="AY27" s="891" t="s">
        <v>32</v>
      </c>
      <c r="AZ27" s="891" t="s">
        <v>32</v>
      </c>
      <c r="BA27" s="891" t="s">
        <v>36</v>
      </c>
      <c r="BB27" s="891" t="s">
        <v>2140</v>
      </c>
      <c r="BC27" s="891" t="s">
        <v>35</v>
      </c>
      <c r="BD27" s="891" t="s">
        <v>34</v>
      </c>
      <c r="BE27" s="891"/>
      <c r="BF27" s="891" t="s">
        <v>35</v>
      </c>
      <c r="BG27" s="910"/>
      <c r="BJ27" s="891" t="s">
        <v>1877</v>
      </c>
      <c r="BL27" s="891"/>
      <c r="BM27" s="891"/>
      <c r="BN27" s="891"/>
      <c r="BO27" s="891"/>
      <c r="BP27" s="891"/>
      <c r="BQ27" s="891"/>
      <c r="BR27" s="891"/>
      <c r="BS27" s="891"/>
      <c r="BT27" s="891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896"/>
      <c r="CF27" s="428"/>
      <c r="CG27" s="428"/>
      <c r="CH27" s="428"/>
      <c r="CI27" s="428"/>
      <c r="CJ27" s="230" t="s">
        <v>32</v>
      </c>
      <c r="CK27" s="230" t="s">
        <v>32</v>
      </c>
      <c r="CL27" s="230" t="s">
        <v>32</v>
      </c>
      <c r="CM27" s="230" t="s">
        <v>32</v>
      </c>
      <c r="CN27" s="230" t="s">
        <v>32</v>
      </c>
      <c r="CO27" s="230" t="s">
        <v>32</v>
      </c>
      <c r="CP27" s="230" t="s">
        <v>32</v>
      </c>
    </row>
    <row r="28" spans="1:116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13</v>
      </c>
      <c r="G28" s="879" t="s">
        <v>884</v>
      </c>
      <c r="H28" s="879" t="s">
        <v>18</v>
      </c>
      <c r="I28" s="879" t="s">
        <v>891</v>
      </c>
      <c r="J28" s="846">
        <v>1</v>
      </c>
      <c r="K28" s="846">
        <v>0</v>
      </c>
      <c r="L28" s="816" t="str">
        <f>IF(J28="","",IF(J28&gt;K28,"W",IF(J28=K28,"D",IF(J28&lt;K28,"L"))))</f>
        <v>W</v>
      </c>
      <c r="M28" s="816">
        <f>IF(J28="","",J28+K28)</f>
        <v>1</v>
      </c>
      <c r="N28" s="816" t="str">
        <f t="shared" si="30"/>
        <v>U</v>
      </c>
      <c r="O28" s="816">
        <f t="shared" si="31"/>
        <v>0</v>
      </c>
      <c r="P28" s="829">
        <f t="shared" si="32"/>
        <v>1</v>
      </c>
      <c r="Q28" s="830">
        <v>-0.06</v>
      </c>
      <c r="R28" s="871">
        <f t="shared" si="33"/>
        <v>1.06</v>
      </c>
      <c r="S28" s="830">
        <v>2.31</v>
      </c>
      <c r="T28" s="871">
        <f t="shared" si="34"/>
        <v>-1.31</v>
      </c>
      <c r="U28" s="868">
        <f t="shared" si="35"/>
        <v>1.125</v>
      </c>
      <c r="V28" s="868">
        <f t="shared" si="36"/>
        <v>1.1850000000000001</v>
      </c>
      <c r="W28" s="829">
        <v>12</v>
      </c>
      <c r="X28" s="829">
        <v>15</v>
      </c>
      <c r="Y28" s="829">
        <v>5</v>
      </c>
      <c r="Z28" s="829">
        <v>4</v>
      </c>
      <c r="AA28" s="829">
        <v>53</v>
      </c>
      <c r="AB28" s="829">
        <v>47</v>
      </c>
      <c r="AC28" s="829"/>
      <c r="AD28" s="816" t="str">
        <f t="array" ref="AD28">IF($J28="","",IF(SUM(IF(ISNUMBER(VALUE(RIGHT($AG28:$DX28,1))),VALUE(RIGHT($AG28:$DX28,1)),0))=$J28,"T","F"))</f>
        <v>T</v>
      </c>
      <c r="AE28" s="831">
        <f t="array" ref="AE28">IF($J28="","",SUM(IF(LEFT($AG28:$DX28,1)="s",1,0))-SUM(IF(RIGHT(LEFT($AG28:$DX28,2))="-",1,0)))</f>
        <v>0</v>
      </c>
      <c r="AF28" s="816">
        <f t="array" ref="AF28">IF($J28="","",SUM(IF(LEFT($AG28:$DX28,1)="X",1,0)))</f>
        <v>11</v>
      </c>
      <c r="AG28" s="891" t="s">
        <v>34</v>
      </c>
      <c r="AH28" s="891" t="s">
        <v>1877</v>
      </c>
      <c r="AI28" s="891" t="s">
        <v>32</v>
      </c>
      <c r="AJ28" s="891" t="s">
        <v>32</v>
      </c>
      <c r="AK28" s="891" t="s">
        <v>2172</v>
      </c>
      <c r="AL28" s="891" t="s">
        <v>34</v>
      </c>
      <c r="AM28" s="906" t="s">
        <v>2164</v>
      </c>
      <c r="AN28" s="891" t="s">
        <v>34</v>
      </c>
      <c r="AO28" s="891" t="s">
        <v>34</v>
      </c>
      <c r="AP28" s="891" t="s">
        <v>35</v>
      </c>
      <c r="AQ28" s="891" t="s">
        <v>32</v>
      </c>
      <c r="AR28" s="891" t="s">
        <v>1877</v>
      </c>
      <c r="AS28" s="891" t="s">
        <v>1877</v>
      </c>
      <c r="AT28" s="891" t="s">
        <v>1884</v>
      </c>
      <c r="AU28" s="891" t="s">
        <v>34</v>
      </c>
      <c r="AV28" s="891" t="s">
        <v>2254</v>
      </c>
      <c r="AW28" s="891" t="s">
        <v>32</v>
      </c>
      <c r="AX28" s="891" t="s">
        <v>34</v>
      </c>
      <c r="AY28" s="891" t="s">
        <v>32</v>
      </c>
      <c r="AZ28" s="891" t="s">
        <v>32</v>
      </c>
      <c r="BA28" s="891" t="s">
        <v>36</v>
      </c>
      <c r="BB28" s="891" t="s">
        <v>34</v>
      </c>
      <c r="BC28" s="891" t="s">
        <v>35</v>
      </c>
      <c r="BD28" s="891" t="s">
        <v>34</v>
      </c>
      <c r="BE28" s="891"/>
      <c r="BF28" s="891" t="s">
        <v>35</v>
      </c>
      <c r="BG28" s="910"/>
      <c r="BJ28" s="891" t="s">
        <v>1877</v>
      </c>
      <c r="BL28" s="891"/>
      <c r="BM28" s="891"/>
      <c r="BN28" s="891"/>
      <c r="BO28" s="891"/>
      <c r="BP28" s="891"/>
      <c r="BQ28" s="891"/>
      <c r="BR28" s="891"/>
      <c r="BS28" s="891"/>
      <c r="BT28" s="891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896"/>
      <c r="CF28" s="428"/>
      <c r="CG28" s="428"/>
      <c r="CH28" s="428"/>
      <c r="CI28" s="428"/>
      <c r="CJ28" s="230" t="s">
        <v>32</v>
      </c>
      <c r="CK28" s="230" t="s">
        <v>32</v>
      </c>
      <c r="CL28" s="230" t="s">
        <v>32</v>
      </c>
      <c r="CM28" s="230" t="s">
        <v>32</v>
      </c>
      <c r="CN28" s="230" t="s">
        <v>32</v>
      </c>
      <c r="CO28" s="230" t="s">
        <v>32</v>
      </c>
      <c r="CP28" s="230" t="s">
        <v>32</v>
      </c>
    </row>
    <row r="29" spans="1:116" ht="15">
      <c r="A29" s="882">
        <v>6309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</v>
      </c>
      <c r="G29" s="879" t="s">
        <v>1086</v>
      </c>
      <c r="H29" s="879" t="s">
        <v>22</v>
      </c>
      <c r="I29" s="879" t="s">
        <v>891</v>
      </c>
      <c r="J29" s="846">
        <v>2</v>
      </c>
      <c r="K29" s="846">
        <v>3</v>
      </c>
      <c r="L29" s="816" t="str">
        <f t="shared" ref="L29:L33" si="37">IF(J29="","",IF(J29&gt;K29,"W",IF(J29=K29,"D",IF(J29&lt;K29,"L"))))</f>
        <v>L</v>
      </c>
      <c r="M29" s="816">
        <f t="shared" ref="M29:M33" si="38">IF(J29="","",J29+K29)</f>
        <v>5</v>
      </c>
      <c r="N29" s="816" t="str">
        <f t="shared" si="30"/>
        <v>O</v>
      </c>
      <c r="O29" s="816">
        <f t="shared" si="31"/>
        <v>0.25</v>
      </c>
      <c r="P29" s="829">
        <f t="shared" si="32"/>
        <v>-1</v>
      </c>
      <c r="Q29" s="830">
        <v>-0.27</v>
      </c>
      <c r="R29" s="871">
        <f t="shared" si="33"/>
        <v>-0.73</v>
      </c>
      <c r="S29" s="830">
        <v>2.33</v>
      </c>
      <c r="T29" s="871">
        <f t="shared" si="34"/>
        <v>2.67</v>
      </c>
      <c r="U29" s="868">
        <f t="shared" si="35"/>
        <v>1.03</v>
      </c>
      <c r="V29" s="868">
        <f t="shared" si="36"/>
        <v>1.3</v>
      </c>
      <c r="W29" s="829">
        <v>18</v>
      </c>
      <c r="X29" s="829">
        <v>15</v>
      </c>
      <c r="Y29" s="829">
        <v>7</v>
      </c>
      <c r="Z29" s="829">
        <v>8</v>
      </c>
      <c r="AA29" s="829">
        <v>66</v>
      </c>
      <c r="AB29" s="829">
        <v>34</v>
      </c>
      <c r="AC29" s="829"/>
      <c r="AD29" s="816" t="str">
        <f t="array" ref="AD29">IF($J29="","",IF(SUM(IF(ISNUMBER(VALUE(RIGHT($AG29:$DX29,1))),VALUE(RIGHT($AG29:$DX29,1)),0))=$J29,"T","F"))</f>
        <v>T</v>
      </c>
      <c r="AE29" s="831">
        <f t="array" ref="AE29">IF($J29="","",SUM(IF(LEFT($AG29:$DX29,1)="s",1,0))-SUM(IF(RIGHT(LEFT($AG29:$DX29,2))="-",1,0)))</f>
        <v>0</v>
      </c>
      <c r="AF29" s="816">
        <f t="array" ref="AF29">IF($J29="","",SUM(IF(LEFT($AG29:$DX29,1)="X",1,0)))</f>
        <v>11</v>
      </c>
      <c r="AG29" s="891" t="s">
        <v>34</v>
      </c>
      <c r="AH29" s="891" t="s">
        <v>1877</v>
      </c>
      <c r="AI29" s="891" t="s">
        <v>32</v>
      </c>
      <c r="AJ29" s="891" t="s">
        <v>32</v>
      </c>
      <c r="AK29" s="891" t="s">
        <v>2202</v>
      </c>
      <c r="AL29" s="904" t="s">
        <v>34</v>
      </c>
      <c r="AM29" s="891" t="s">
        <v>34</v>
      </c>
      <c r="AN29" s="891" t="s">
        <v>34</v>
      </c>
      <c r="AO29" s="904" t="s">
        <v>2188</v>
      </c>
      <c r="AP29" s="891" t="s">
        <v>2254</v>
      </c>
      <c r="AQ29" s="891" t="s">
        <v>32</v>
      </c>
      <c r="AR29" s="891" t="s">
        <v>1877</v>
      </c>
      <c r="AS29" s="891" t="s">
        <v>1877</v>
      </c>
      <c r="AT29" s="891" t="s">
        <v>1884</v>
      </c>
      <c r="AU29" s="891" t="s">
        <v>34</v>
      </c>
      <c r="AV29" s="891" t="s">
        <v>2254</v>
      </c>
      <c r="AW29" s="891" t="s">
        <v>1877</v>
      </c>
      <c r="AX29" s="891" t="s">
        <v>36</v>
      </c>
      <c r="AY29" s="891" t="s">
        <v>32</v>
      </c>
      <c r="AZ29" s="891" t="s">
        <v>35</v>
      </c>
      <c r="BA29" s="891" t="s">
        <v>36</v>
      </c>
      <c r="BB29" s="891" t="s">
        <v>34</v>
      </c>
      <c r="BC29" s="891" t="s">
        <v>36</v>
      </c>
      <c r="BD29" s="891" t="s">
        <v>35</v>
      </c>
      <c r="BE29" s="891"/>
      <c r="BF29" s="891" t="s">
        <v>35</v>
      </c>
      <c r="BG29" s="910"/>
      <c r="BJ29" s="891" t="s">
        <v>32</v>
      </c>
      <c r="BL29" s="891"/>
      <c r="BM29" s="891"/>
      <c r="BN29" s="891"/>
      <c r="BO29" s="891"/>
      <c r="BP29" s="891"/>
      <c r="BQ29" s="891"/>
      <c r="BR29" s="891"/>
      <c r="BS29" s="891"/>
      <c r="BT29" s="891"/>
      <c r="BU29" s="896"/>
      <c r="BV29" s="896"/>
      <c r="BW29" s="896"/>
      <c r="BX29" s="896"/>
      <c r="BY29" s="896"/>
      <c r="BZ29" s="896"/>
      <c r="CA29" s="896"/>
      <c r="CB29" s="896"/>
      <c r="CC29" s="896"/>
      <c r="CD29" s="896"/>
      <c r="CE29" s="896"/>
      <c r="CF29" s="4"/>
      <c r="CG29" s="4"/>
      <c r="CH29" s="4"/>
      <c r="CI29" s="4"/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20"/>
    </row>
    <row r="30" spans="1:116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11</v>
      </c>
      <c r="G30" s="879" t="s">
        <v>874</v>
      </c>
      <c r="H30" s="879" t="s">
        <v>18</v>
      </c>
      <c r="I30" s="879" t="s">
        <v>891</v>
      </c>
      <c r="J30" s="846">
        <v>0</v>
      </c>
      <c r="K30" s="846">
        <v>1</v>
      </c>
      <c r="L30" s="816" t="str">
        <f t="shared" si="37"/>
        <v>L</v>
      </c>
      <c r="M30" s="816">
        <f t="shared" si="38"/>
        <v>1</v>
      </c>
      <c r="N30" s="816" t="str">
        <f t="shared" si="30"/>
        <v>U</v>
      </c>
      <c r="O30" s="816">
        <f t="shared" si="31"/>
        <v>0.25</v>
      </c>
      <c r="P30" s="829">
        <f t="shared" si="32"/>
        <v>-1</v>
      </c>
      <c r="Q30" s="830">
        <v>-0.25</v>
      </c>
      <c r="R30" s="871">
        <f t="shared" si="33"/>
        <v>-0.75</v>
      </c>
      <c r="S30" s="830">
        <v>2.25</v>
      </c>
      <c r="T30" s="871">
        <f t="shared" si="34"/>
        <v>-1.25</v>
      </c>
      <c r="U30" s="868">
        <f t="shared" si="35"/>
        <v>1</v>
      </c>
      <c r="V30" s="868">
        <f t="shared" si="36"/>
        <v>1.25</v>
      </c>
      <c r="W30" s="829">
        <v>24</v>
      </c>
      <c r="X30" s="829">
        <v>10</v>
      </c>
      <c r="Y30" s="829">
        <v>7</v>
      </c>
      <c r="Z30" s="829">
        <v>4</v>
      </c>
      <c r="AA30" s="829">
        <v>55</v>
      </c>
      <c r="AB30" s="829">
        <v>45</v>
      </c>
      <c r="AC30" s="829"/>
      <c r="AD30" s="816" t="str">
        <f t="array" ref="AD30">IF($J30="","",IF(SUM(IF(ISNUMBER(VALUE(RIGHT($AG30:$DX30,1))),VALUE(RIGHT($AG30:$DX30,1)),0))=$J30,"T","F"))</f>
        <v>T</v>
      </c>
      <c r="AE30" s="831">
        <f t="array" ref="AE30">IF($J30="","",SUM(IF(LEFT($AG30:$DX30,1)="s",1,0))-SUM(IF(RIGHT(LEFT($AG30:$DX30,2))="-",1,0)))</f>
        <v>0</v>
      </c>
      <c r="AF30" s="816">
        <f t="array" ref="AF30">IF($J30="","",SUM(IF(LEFT($AG30:$DX30,1)="X",1,0)))</f>
        <v>11</v>
      </c>
      <c r="AG30" s="891" t="s">
        <v>34</v>
      </c>
      <c r="AH30" s="891" t="s">
        <v>32</v>
      </c>
      <c r="AI30" s="891" t="s">
        <v>32</v>
      </c>
      <c r="AJ30" s="891" t="s">
        <v>1877</v>
      </c>
      <c r="AK30" s="891" t="s">
        <v>34</v>
      </c>
      <c r="AL30" s="891" t="s">
        <v>34</v>
      </c>
      <c r="AM30" s="891" t="s">
        <v>34</v>
      </c>
      <c r="AN30" s="891" t="s">
        <v>34</v>
      </c>
      <c r="AO30" s="891" t="s">
        <v>34</v>
      </c>
      <c r="AP30" s="891" t="s">
        <v>2254</v>
      </c>
      <c r="AQ30" s="891" t="s">
        <v>32</v>
      </c>
      <c r="AR30" s="891" t="s">
        <v>32</v>
      </c>
      <c r="AS30" s="891" t="s">
        <v>35</v>
      </c>
      <c r="AT30" s="891" t="s">
        <v>1884</v>
      </c>
      <c r="AU30" s="891" t="s">
        <v>34</v>
      </c>
      <c r="AV30" s="891" t="s">
        <v>2254</v>
      </c>
      <c r="AW30" s="891" t="s">
        <v>1877</v>
      </c>
      <c r="AX30" s="904" t="s">
        <v>36</v>
      </c>
      <c r="AY30" s="891" t="s">
        <v>32</v>
      </c>
      <c r="AZ30" s="891" t="s">
        <v>1877</v>
      </c>
      <c r="BA30" s="891" t="s">
        <v>35</v>
      </c>
      <c r="BB30" s="904" t="s">
        <v>34</v>
      </c>
      <c r="BC30" s="891" t="s">
        <v>36</v>
      </c>
      <c r="BD30" s="891" t="s">
        <v>1877</v>
      </c>
      <c r="BE30" s="891" t="s">
        <v>32</v>
      </c>
      <c r="BF30" s="904" t="s">
        <v>34</v>
      </c>
      <c r="BG30" s="910"/>
      <c r="BJ30" s="891" t="s">
        <v>1877</v>
      </c>
      <c r="BL30" s="891"/>
      <c r="BM30" s="891"/>
      <c r="BN30" s="891"/>
      <c r="BO30" s="891"/>
      <c r="BP30" s="891"/>
      <c r="BQ30" s="891"/>
      <c r="BR30" s="891"/>
      <c r="BS30" s="891"/>
      <c r="BT30" s="891"/>
      <c r="BU30" s="896"/>
      <c r="BV30" s="896"/>
      <c r="BW30" s="896"/>
      <c r="BX30" s="896"/>
      <c r="BY30" s="896"/>
      <c r="BZ30" s="896"/>
      <c r="CA30" s="896"/>
      <c r="CB30" s="896"/>
      <c r="CC30" s="896"/>
      <c r="CD30" s="896"/>
      <c r="CE30" s="896"/>
      <c r="CF30" s="865"/>
      <c r="CG30" s="865"/>
      <c r="CH30" s="865"/>
      <c r="CI30" s="865"/>
      <c r="CJ30" s="865" t="s">
        <v>32</v>
      </c>
      <c r="CK30" s="865" t="s">
        <v>32</v>
      </c>
      <c r="CL30" s="865" t="s">
        <v>32</v>
      </c>
      <c r="CM30" s="4" t="s">
        <v>32</v>
      </c>
      <c r="CN30" s="6" t="s">
        <v>32</v>
      </c>
      <c r="CO30" s="6" t="s">
        <v>32</v>
      </c>
      <c r="CP30" s="6" t="s">
        <v>32</v>
      </c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</row>
    <row r="31" spans="1:116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22</v>
      </c>
      <c r="G31" s="879" t="s">
        <v>1087</v>
      </c>
      <c r="H31" s="879" t="s">
        <v>22</v>
      </c>
      <c r="I31" s="879" t="s">
        <v>891</v>
      </c>
      <c r="J31" s="846">
        <v>3</v>
      </c>
      <c r="K31" s="846">
        <v>1</v>
      </c>
      <c r="L31" s="816" t="str">
        <f t="shared" si="37"/>
        <v>W</v>
      </c>
      <c r="M31" s="816">
        <f t="shared" si="38"/>
        <v>4</v>
      </c>
      <c r="N31" s="816" t="str">
        <f t="shared" si="30"/>
        <v>O</v>
      </c>
      <c r="O31" s="816">
        <f t="shared" si="31"/>
        <v>-0.5</v>
      </c>
      <c r="P31" s="829">
        <f t="shared" si="32"/>
        <v>1</v>
      </c>
      <c r="Q31" s="830">
        <v>0.7</v>
      </c>
      <c r="R31" s="871">
        <f t="shared" si="33"/>
        <v>1.3</v>
      </c>
      <c r="S31" s="830">
        <v>2.57</v>
      </c>
      <c r="T31" s="871">
        <f t="shared" si="34"/>
        <v>1.4300000000000002</v>
      </c>
      <c r="U31" s="868">
        <f t="shared" si="35"/>
        <v>1.6349999999999998</v>
      </c>
      <c r="V31" s="868">
        <f t="shared" si="36"/>
        <v>0.93500000000000005</v>
      </c>
      <c r="W31" s="829">
        <v>19</v>
      </c>
      <c r="X31" s="829">
        <v>16</v>
      </c>
      <c r="Y31" s="829">
        <v>8</v>
      </c>
      <c r="Z31" s="829">
        <v>3</v>
      </c>
      <c r="AA31" s="829">
        <v>50</v>
      </c>
      <c r="AB31" s="829">
        <v>50</v>
      </c>
      <c r="AC31" s="829"/>
      <c r="AD31" s="816" t="str">
        <f t="array" ref="AD31">IF($J31="","",IF(SUM(IF(ISNUMBER(VALUE(RIGHT($AG31:$DX31,1))),VALUE(RIGHT($AG31:$DX31,1)),0))=$J31,"T","F"))</f>
        <v>T</v>
      </c>
      <c r="AE31" s="831">
        <f t="array" ref="AE31">IF($J31="","",SUM(IF(LEFT($AG31:$DX31,1)="s",1,0))-SUM(IF(RIGHT(LEFT($AG31:$DX31,2))="-",1,0)))</f>
        <v>0</v>
      </c>
      <c r="AF31" s="816">
        <f t="array" ref="AF31">IF($J31="","",SUM(IF(LEFT($AG31:$DX31,1)="X",1,0)))</f>
        <v>11</v>
      </c>
      <c r="AG31" s="891" t="s">
        <v>34</v>
      </c>
      <c r="AH31" s="891" t="s">
        <v>32</v>
      </c>
      <c r="AI31" s="891" t="s">
        <v>32</v>
      </c>
      <c r="AJ31" s="891" t="s">
        <v>1877</v>
      </c>
      <c r="AK31" s="891" t="s">
        <v>36</v>
      </c>
      <c r="AL31" s="891" t="s">
        <v>34</v>
      </c>
      <c r="AM31" s="891" t="s">
        <v>34</v>
      </c>
      <c r="AN31" s="891" t="s">
        <v>34</v>
      </c>
      <c r="AO31" s="891" t="s">
        <v>34</v>
      </c>
      <c r="AP31" s="891" t="s">
        <v>1886</v>
      </c>
      <c r="AQ31" s="891" t="s">
        <v>32</v>
      </c>
      <c r="AR31" s="891" t="s">
        <v>1877</v>
      </c>
      <c r="AS31" s="904" t="s">
        <v>35</v>
      </c>
      <c r="AT31" s="891" t="s">
        <v>2306</v>
      </c>
      <c r="AU31" s="891" t="s">
        <v>34</v>
      </c>
      <c r="AV31" s="891" t="s">
        <v>2307</v>
      </c>
      <c r="AW31" s="891" t="s">
        <v>1877</v>
      </c>
      <c r="AX31" s="891" t="s">
        <v>36</v>
      </c>
      <c r="AY31" s="891" t="s">
        <v>32</v>
      </c>
      <c r="AZ31" s="891" t="s">
        <v>1877</v>
      </c>
      <c r="BA31" s="891" t="s">
        <v>36</v>
      </c>
      <c r="BB31" s="904" t="s">
        <v>2309</v>
      </c>
      <c r="BC31" s="891" t="s">
        <v>2305</v>
      </c>
      <c r="BD31" s="891" t="s">
        <v>35</v>
      </c>
      <c r="BE31" s="891" t="s">
        <v>32</v>
      </c>
      <c r="BF31" s="891" t="s">
        <v>34</v>
      </c>
      <c r="BG31" s="910"/>
      <c r="BJ31" s="891"/>
      <c r="BL31" s="891"/>
      <c r="BM31" s="891"/>
      <c r="BN31" s="891"/>
      <c r="BO31" s="891"/>
      <c r="BP31" s="891"/>
      <c r="BQ31" s="891"/>
      <c r="BR31" s="891"/>
      <c r="BS31" s="891"/>
      <c r="BT31" s="891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896"/>
      <c r="CF31" s="4"/>
      <c r="CG31" s="4"/>
      <c r="CH31" s="4"/>
      <c r="CI31" s="4"/>
      <c r="CJ31" s="4" t="s">
        <v>32</v>
      </c>
      <c r="CK31" s="4" t="s">
        <v>32</v>
      </c>
      <c r="CL31" s="4" t="s">
        <v>32</v>
      </c>
      <c r="CM31" s="4" t="s">
        <v>32</v>
      </c>
      <c r="CN31" s="6" t="s">
        <v>32</v>
      </c>
      <c r="CO31" s="6" t="s">
        <v>32</v>
      </c>
      <c r="CP31" s="6" t="s">
        <v>32</v>
      </c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</row>
    <row r="32" spans="1:116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4</v>
      </c>
      <c r="G32" s="879" t="s">
        <v>1084</v>
      </c>
      <c r="H32" s="879" t="s">
        <v>18</v>
      </c>
      <c r="I32" s="879" t="s">
        <v>891</v>
      </c>
      <c r="J32" s="846">
        <v>0</v>
      </c>
      <c r="K32" s="846">
        <v>1</v>
      </c>
      <c r="L32" s="816" t="str">
        <f t="shared" si="37"/>
        <v>L</v>
      </c>
      <c r="M32" s="816">
        <f t="shared" si="38"/>
        <v>1</v>
      </c>
      <c r="N32" s="816" t="str">
        <f t="shared" si="30"/>
        <v>U</v>
      </c>
      <c r="O32" s="816">
        <f t="shared" si="31"/>
        <v>0.25</v>
      </c>
      <c r="P32" s="829">
        <f t="shared" si="32"/>
        <v>-1</v>
      </c>
      <c r="Q32" s="830">
        <v>-0.25</v>
      </c>
      <c r="R32" s="871">
        <f t="shared" si="33"/>
        <v>-0.75</v>
      </c>
      <c r="S32" s="830">
        <v>2.4300000000000002</v>
      </c>
      <c r="T32" s="871">
        <f t="shared" si="34"/>
        <v>-1.4300000000000002</v>
      </c>
      <c r="U32" s="868">
        <f t="shared" si="35"/>
        <v>1.0900000000000001</v>
      </c>
      <c r="V32" s="868">
        <f t="shared" si="36"/>
        <v>1.34</v>
      </c>
      <c r="W32" s="829">
        <v>11</v>
      </c>
      <c r="X32" s="829">
        <v>16</v>
      </c>
      <c r="Y32" s="829">
        <v>5</v>
      </c>
      <c r="Z32" s="829">
        <v>6</v>
      </c>
      <c r="AA32" s="829">
        <v>49</v>
      </c>
      <c r="AB32" s="829">
        <v>51</v>
      </c>
      <c r="AC32" s="829"/>
      <c r="AD32" s="816" t="str">
        <f t="array" ref="AD32">IF($J32="","",IF(SUM(IF(ISNUMBER(VALUE(RIGHT($AG32:$DX32,1))),VALUE(RIGHT($AG32:$DX32,1)),0))=$J32,"T","F"))</f>
        <v>T</v>
      </c>
      <c r="AE32" s="831">
        <f t="array" ref="AE32">IF($J32="","",SUM(IF(LEFT($AG32:$DX32,1)="s",1,0))-SUM(IF(RIGHT(LEFT($AG32:$DX32,2))="-",1,0)))</f>
        <v>0</v>
      </c>
      <c r="AF32" s="816">
        <f t="array" ref="AF32">IF($J32="","",SUM(IF(LEFT($AG32:$DX32,1)="X",1,0)))</f>
        <v>11</v>
      </c>
      <c r="AG32" s="891" t="s">
        <v>34</v>
      </c>
      <c r="AH32" s="891"/>
      <c r="AI32" s="891"/>
      <c r="AJ32" s="891" t="s">
        <v>2351</v>
      </c>
      <c r="AK32" s="891" t="s">
        <v>34</v>
      </c>
      <c r="AL32" s="891" t="s">
        <v>34</v>
      </c>
      <c r="AM32" s="891" t="s">
        <v>34</v>
      </c>
      <c r="AN32" s="891" t="s">
        <v>34</v>
      </c>
      <c r="AO32" s="891" t="s">
        <v>34</v>
      </c>
      <c r="AP32" s="891" t="s">
        <v>2405</v>
      </c>
      <c r="AQ32" s="891"/>
      <c r="AR32" s="891"/>
      <c r="AS32" s="904" t="s">
        <v>2370</v>
      </c>
      <c r="AT32" s="891" t="s">
        <v>2007</v>
      </c>
      <c r="AU32" s="891" t="s">
        <v>34</v>
      </c>
      <c r="AV32" s="891" t="s">
        <v>2406</v>
      </c>
      <c r="AW32" s="891" t="s">
        <v>2351</v>
      </c>
      <c r="AX32" s="891" t="s">
        <v>2351</v>
      </c>
      <c r="AY32" s="891"/>
      <c r="AZ32" s="891" t="s">
        <v>2351</v>
      </c>
      <c r="BA32" s="891" t="s">
        <v>2350</v>
      </c>
      <c r="BB32" s="891" t="s">
        <v>2368</v>
      </c>
      <c r="BC32" s="891" t="s">
        <v>2371</v>
      </c>
      <c r="BD32" s="891" t="s">
        <v>2350</v>
      </c>
      <c r="BE32" s="891"/>
      <c r="BF32" s="891" t="s">
        <v>2369</v>
      </c>
      <c r="BG32" s="910"/>
      <c r="BJ32" s="891" t="s">
        <v>2350</v>
      </c>
      <c r="BL32" s="891"/>
      <c r="BM32" s="891"/>
      <c r="BN32" s="891"/>
      <c r="BO32" s="891"/>
      <c r="BP32" s="891"/>
      <c r="BQ32" s="891"/>
      <c r="BR32" s="891"/>
      <c r="BS32" s="891"/>
      <c r="BT32" s="891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891"/>
      <c r="CF32" s="4"/>
      <c r="CG32" s="4"/>
      <c r="CH32" s="4"/>
      <c r="CI32" s="4"/>
      <c r="CJ32" s="4" t="s">
        <v>32</v>
      </c>
      <c r="CK32" s="4" t="s">
        <v>32</v>
      </c>
      <c r="CL32" s="4" t="s">
        <v>32</v>
      </c>
      <c r="CM32" s="4" t="s">
        <v>32</v>
      </c>
      <c r="CN32" s="6" t="s">
        <v>32</v>
      </c>
      <c r="CO32" s="6" t="s">
        <v>32</v>
      </c>
      <c r="CP32" s="6" t="s">
        <v>32</v>
      </c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</row>
    <row r="33" spans="1:121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17</v>
      </c>
      <c r="G33" s="879" t="s">
        <v>875</v>
      </c>
      <c r="H33" s="879" t="s">
        <v>22</v>
      </c>
      <c r="I33" s="879" t="s">
        <v>891</v>
      </c>
      <c r="J33" s="846">
        <v>2</v>
      </c>
      <c r="K33" s="846">
        <v>1</v>
      </c>
      <c r="L33" s="816" t="str">
        <f t="shared" si="37"/>
        <v>W</v>
      </c>
      <c r="M33" s="816">
        <f t="shared" si="38"/>
        <v>3</v>
      </c>
      <c r="N33" s="816" t="str">
        <f t="shared" si="30"/>
        <v>O</v>
      </c>
      <c r="O33" s="816">
        <f t="shared" si="31"/>
        <v>-0.25</v>
      </c>
      <c r="P33" s="829">
        <f t="shared" si="32"/>
        <v>1</v>
      </c>
      <c r="Q33" s="830">
        <v>0.28000000000000003</v>
      </c>
      <c r="R33" s="871">
        <f t="shared" si="33"/>
        <v>0.72</v>
      </c>
      <c r="S33" s="830">
        <v>2.33</v>
      </c>
      <c r="T33" s="871">
        <f t="shared" si="34"/>
        <v>0.66999999999999993</v>
      </c>
      <c r="U33" s="868">
        <f t="shared" si="35"/>
        <v>1.3050000000000002</v>
      </c>
      <c r="V33" s="868">
        <f t="shared" si="36"/>
        <v>1.0249999999999999</v>
      </c>
      <c r="W33" s="829">
        <v>12</v>
      </c>
      <c r="X33" s="829">
        <v>6</v>
      </c>
      <c r="Y33" s="829">
        <v>4</v>
      </c>
      <c r="Z33" s="829">
        <v>1</v>
      </c>
      <c r="AA33" s="829">
        <v>59</v>
      </c>
      <c r="AB33" s="829">
        <v>41</v>
      </c>
      <c r="AC33" s="829"/>
      <c r="AD33" s="816" t="str">
        <f t="array" ref="AD33">IF($J33="","",IF(SUM(IF(ISNUMBER(VALUE(RIGHT($AG33:$DX33,1))),VALUE(RIGHT($AG33:$DX33,1)),0))=$J33,"T","F"))</f>
        <v>T</v>
      </c>
      <c r="AE33" s="831">
        <f t="array" ref="AE33">IF($J33="","",SUM(IF(LEFT($AG33:$DX33,1)="s",1,0))-SUM(IF(RIGHT(LEFT($AG33:$DX33,2))="-",1,0)))</f>
        <v>0</v>
      </c>
      <c r="AF33" s="816">
        <f t="array" ref="AF33">IF($J33="","",SUM(IF(LEFT($AG33:$DX33,1)="X",1,0)))</f>
        <v>11</v>
      </c>
      <c r="AG33" s="891" t="s">
        <v>34</v>
      </c>
      <c r="AH33" s="891" t="s">
        <v>1877</v>
      </c>
      <c r="AI33" s="891" t="s">
        <v>32</v>
      </c>
      <c r="AJ33" s="891" t="s">
        <v>32</v>
      </c>
      <c r="AK33" s="891" t="s">
        <v>34</v>
      </c>
      <c r="AL33" s="891" t="s">
        <v>2418</v>
      </c>
      <c r="AM33" s="891" t="s">
        <v>34</v>
      </c>
      <c r="AN33" s="891" t="s">
        <v>34</v>
      </c>
      <c r="AO33" s="904" t="s">
        <v>36</v>
      </c>
      <c r="AP33" s="891" t="s">
        <v>32</v>
      </c>
      <c r="AQ33" s="891" t="s">
        <v>32</v>
      </c>
      <c r="AR33" s="891" t="s">
        <v>32</v>
      </c>
      <c r="AS33" s="891" t="s">
        <v>35</v>
      </c>
      <c r="AT33" s="891" t="s">
        <v>1884</v>
      </c>
      <c r="AU33" s="891" t="s">
        <v>34</v>
      </c>
      <c r="AV33" s="891" t="s">
        <v>2452</v>
      </c>
      <c r="AW33" s="891" t="s">
        <v>1877</v>
      </c>
      <c r="AX33" s="891" t="s">
        <v>36</v>
      </c>
      <c r="AY33" s="891" t="s">
        <v>32</v>
      </c>
      <c r="AZ33" s="891" t="s">
        <v>1877</v>
      </c>
      <c r="BA33" s="891" t="s">
        <v>35</v>
      </c>
      <c r="BB33" s="891" t="s">
        <v>2417</v>
      </c>
      <c r="BC33" s="891" t="s">
        <v>34</v>
      </c>
      <c r="BD33" s="891" t="s">
        <v>35</v>
      </c>
      <c r="BE33" s="891" t="s">
        <v>32</v>
      </c>
      <c r="BF33" s="891" t="s">
        <v>36</v>
      </c>
      <c r="BG33" s="910"/>
      <c r="BJ33" s="891" t="s">
        <v>1877</v>
      </c>
      <c r="BL33" s="891"/>
      <c r="BM33" s="891"/>
      <c r="BN33" s="891"/>
      <c r="BO33" s="891"/>
      <c r="BP33" s="891"/>
      <c r="BQ33" s="891"/>
      <c r="BR33" s="891"/>
      <c r="BS33" s="891"/>
      <c r="BT33" s="891"/>
      <c r="BU33" s="896"/>
      <c r="BV33" s="896"/>
      <c r="BW33" s="896"/>
      <c r="BX33" s="896"/>
      <c r="BY33" s="891"/>
      <c r="BZ33" s="891"/>
      <c r="CA33" s="891"/>
      <c r="CB33" s="891"/>
      <c r="CC33" s="891"/>
      <c r="CD33" s="891"/>
      <c r="CE33" s="891"/>
      <c r="CF33" s="428"/>
      <c r="CG33" s="428"/>
      <c r="CH33" s="428"/>
      <c r="CI33" s="428"/>
      <c r="CJ33" s="230" t="s">
        <v>32</v>
      </c>
      <c r="CK33" s="230" t="s">
        <v>32</v>
      </c>
      <c r="CL33" s="230" t="s">
        <v>32</v>
      </c>
      <c r="CM33" s="230" t="s">
        <v>32</v>
      </c>
      <c r="CN33" s="230" t="s">
        <v>32</v>
      </c>
      <c r="CO33" s="230" t="s">
        <v>32</v>
      </c>
      <c r="CP33" s="230" t="s">
        <v>32</v>
      </c>
    </row>
    <row r="34" spans="1:121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10</v>
      </c>
      <c r="G34" s="879" t="s">
        <v>883</v>
      </c>
      <c r="H34" s="879" t="s">
        <v>22</v>
      </c>
      <c r="I34" s="879" t="s">
        <v>891</v>
      </c>
      <c r="J34" s="846">
        <v>1</v>
      </c>
      <c r="K34" s="846">
        <v>1</v>
      </c>
      <c r="L34" s="816" t="str">
        <f>IF(J34="","",IF(J34&gt;K34,"W",IF(J34=K34,"D",IF(J34&lt;K34,"L"))))</f>
        <v>D</v>
      </c>
      <c r="M34" s="816">
        <f>IF(J34="","",J34+K34)</f>
        <v>2</v>
      </c>
      <c r="N34" s="816" t="str">
        <f>IF($J34="","",IF($M34&gt;N$19,"O",IF($M34&lt;N$19,"U",IF($M34=N$19,"-"))))</f>
        <v>U</v>
      </c>
      <c r="O34" s="816">
        <f t="shared" si="31"/>
        <v>0</v>
      </c>
      <c r="P34" s="829">
        <f t="shared" si="32"/>
        <v>0</v>
      </c>
      <c r="Q34" s="830">
        <v>-0.02</v>
      </c>
      <c r="R34" s="871">
        <f>IF(ISBLANK(Q34),"",J34-K34-Q34)</f>
        <v>0.02</v>
      </c>
      <c r="S34" s="830">
        <v>2.4</v>
      </c>
      <c r="T34" s="871">
        <f t="shared" si="34"/>
        <v>-0.39999999999999991</v>
      </c>
      <c r="U34" s="868">
        <f t="shared" si="35"/>
        <v>1.19</v>
      </c>
      <c r="V34" s="868">
        <f t="shared" si="36"/>
        <v>1.21</v>
      </c>
      <c r="W34" s="829">
        <v>21</v>
      </c>
      <c r="X34" s="829">
        <v>10</v>
      </c>
      <c r="Y34" s="829">
        <v>6</v>
      </c>
      <c r="Z34" s="829">
        <v>1</v>
      </c>
      <c r="AA34" s="829">
        <v>55</v>
      </c>
      <c r="AB34" s="829">
        <v>45</v>
      </c>
      <c r="AC34" s="829"/>
      <c r="AD34" s="816" t="str">
        <f t="array" ref="AD34">IF($J34="","",IF(SUM(IF(ISNUMBER(VALUE(RIGHT($AG34:$DX34,1))),VALUE(RIGHT($AG34:$DX34,1)),0))=$J34,"T","F"))</f>
        <v>T</v>
      </c>
      <c r="AE34" s="831">
        <f t="array" ref="AE34">IF($J34="","",SUM(IF(LEFT($AG34:$DX34,1)="s",1,0))-SUM(IF(RIGHT(LEFT($AG34:$DX34,2))="-",1,0)))</f>
        <v>0</v>
      </c>
      <c r="AF34" s="816">
        <f t="array" ref="AF34">IF($J34="","",SUM(IF(LEFT($AG34:$DX34,1)="X",1,0)))</f>
        <v>11</v>
      </c>
      <c r="AG34" s="891" t="s">
        <v>34</v>
      </c>
      <c r="AH34" s="891" t="s">
        <v>1877</v>
      </c>
      <c r="AI34" s="891" t="s">
        <v>32</v>
      </c>
      <c r="AJ34" s="891" t="s">
        <v>32</v>
      </c>
      <c r="AK34" s="891" t="s">
        <v>34</v>
      </c>
      <c r="AL34" s="891" t="s">
        <v>34</v>
      </c>
      <c r="AM34" s="891" t="s">
        <v>34</v>
      </c>
      <c r="AN34" s="891" t="s">
        <v>34</v>
      </c>
      <c r="AO34" s="891" t="s">
        <v>34</v>
      </c>
      <c r="AP34" s="891" t="s">
        <v>1877</v>
      </c>
      <c r="AQ34" s="891" t="s">
        <v>32</v>
      </c>
      <c r="AR34" s="891" t="s">
        <v>1877</v>
      </c>
      <c r="AS34" s="891" t="s">
        <v>32</v>
      </c>
      <c r="AT34" s="891" t="s">
        <v>1884</v>
      </c>
      <c r="AU34" s="891" t="s">
        <v>34</v>
      </c>
      <c r="AV34" s="891" t="s">
        <v>2452</v>
      </c>
      <c r="AW34" s="891" t="s">
        <v>1877</v>
      </c>
      <c r="AX34" s="891" t="s">
        <v>35</v>
      </c>
      <c r="AY34" s="891" t="s">
        <v>32</v>
      </c>
      <c r="AZ34" s="891" t="s">
        <v>36</v>
      </c>
      <c r="BA34" s="891" t="s">
        <v>34</v>
      </c>
      <c r="BB34" s="891" t="s">
        <v>36</v>
      </c>
      <c r="BC34" s="891" t="s">
        <v>32</v>
      </c>
      <c r="BD34" s="891" t="s">
        <v>2445</v>
      </c>
      <c r="BE34" s="891" t="s">
        <v>32</v>
      </c>
      <c r="BF34" s="891" t="s">
        <v>35</v>
      </c>
      <c r="BG34" s="910"/>
      <c r="BJ34" s="891" t="s">
        <v>36</v>
      </c>
      <c r="BL34" s="891"/>
      <c r="BM34" s="891"/>
      <c r="BN34" s="891"/>
      <c r="BO34" s="891"/>
      <c r="BP34" s="891"/>
      <c r="BQ34" s="891"/>
      <c r="BR34" s="891"/>
      <c r="BS34" s="891"/>
      <c r="BT34" s="891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896"/>
      <c r="CF34" s="428"/>
      <c r="CG34" s="428"/>
      <c r="CH34" s="428"/>
      <c r="CI34" s="428"/>
      <c r="CJ34" s="230" t="s">
        <v>32</v>
      </c>
      <c r="CK34" s="230" t="s">
        <v>32</v>
      </c>
      <c r="CL34" s="230" t="s">
        <v>32</v>
      </c>
      <c r="CM34" s="230" t="s">
        <v>32</v>
      </c>
      <c r="CN34" s="230" t="s">
        <v>32</v>
      </c>
      <c r="CO34" s="230" t="s">
        <v>32</v>
      </c>
      <c r="CP34" s="230" t="s">
        <v>32</v>
      </c>
    </row>
    <row r="35" spans="1:121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19</v>
      </c>
      <c r="G35" s="879" t="s">
        <v>885</v>
      </c>
      <c r="H35" s="879" t="s">
        <v>18</v>
      </c>
      <c r="I35" s="879" t="s">
        <v>891</v>
      </c>
      <c r="J35" s="846">
        <v>0</v>
      </c>
      <c r="K35" s="846">
        <v>0</v>
      </c>
      <c r="L35" s="816" t="str">
        <f>IF(J35="","",IF(J35&gt;K35,"W",IF(J35=K35,"D",IF(J35&lt;K35,"L"))))</f>
        <v>D</v>
      </c>
      <c r="M35" s="816">
        <f>IF(J35="","",J35+K35)</f>
        <v>0</v>
      </c>
      <c r="N35" s="816" t="str">
        <f>IF($J35="","",IF($M35&gt;N$19,"O",IF($M35&lt;N$19,"U",IF($M35=N$19,"-"))))</f>
        <v>U</v>
      </c>
      <c r="O35" s="816">
        <f t="shared" si="31"/>
        <v>-0.25</v>
      </c>
      <c r="P35" s="829">
        <f t="shared" si="32"/>
        <v>-0.5</v>
      </c>
      <c r="Q35" s="830">
        <v>0.37</v>
      </c>
      <c r="R35" s="871">
        <f>IF(ISBLANK(Q35),"",J35-K35-Q35)</f>
        <v>-0.37</v>
      </c>
      <c r="S35" s="830">
        <v>2.4700000000000002</v>
      </c>
      <c r="T35" s="871">
        <f t="shared" si="34"/>
        <v>-2.4700000000000002</v>
      </c>
      <c r="U35" s="868">
        <f t="shared" si="35"/>
        <v>1.4200000000000002</v>
      </c>
      <c r="V35" s="868">
        <f t="shared" si="36"/>
        <v>1.05</v>
      </c>
      <c r="W35" s="829">
        <v>20</v>
      </c>
      <c r="X35" s="829">
        <v>16</v>
      </c>
      <c r="Y35" s="829">
        <v>4</v>
      </c>
      <c r="Z35" s="829">
        <v>4</v>
      </c>
      <c r="AA35" s="829">
        <v>60</v>
      </c>
      <c r="AB35" s="829">
        <v>40</v>
      </c>
      <c r="AC35" s="829"/>
      <c r="AD35" s="816" t="str">
        <f t="array" ref="AD35">IF($J35="","",IF(SUM(IF(ISNUMBER(VALUE(RIGHT($AG35:$DX35,1))),VALUE(RIGHT($AG35:$DX35,1)),0))=$J35,"T","F"))</f>
        <v>T</v>
      </c>
      <c r="AE35" s="831">
        <f t="array" ref="AE35">IF($J35="","",SUM(IF(LEFT($AG35:$DX35,1)="s",1,0))-SUM(IF(RIGHT(LEFT($AG35:$DX35,2))="-",1,0)))</f>
        <v>0</v>
      </c>
      <c r="AF35" s="816">
        <f t="array" ref="AF35">IF($J35="","",SUM(IF(LEFT($AG35:$DX35,1)="X",1,0)))</f>
        <v>11</v>
      </c>
      <c r="AG35" s="891" t="s">
        <v>34</v>
      </c>
      <c r="AH35" s="891" t="s">
        <v>32</v>
      </c>
      <c r="AI35" s="891" t="s">
        <v>32</v>
      </c>
      <c r="AJ35" s="891" t="s">
        <v>1877</v>
      </c>
      <c r="AK35" s="891" t="s">
        <v>34</v>
      </c>
      <c r="AL35" s="891" t="s">
        <v>34</v>
      </c>
      <c r="AM35" s="891" t="s">
        <v>34</v>
      </c>
      <c r="AN35" s="891" t="s">
        <v>34</v>
      </c>
      <c r="AO35" s="891" t="s">
        <v>34</v>
      </c>
      <c r="AP35" s="891" t="s">
        <v>1877</v>
      </c>
      <c r="AQ35" s="891" t="s">
        <v>32</v>
      </c>
      <c r="AR35" s="891" t="s">
        <v>1877</v>
      </c>
      <c r="AS35" s="891" t="s">
        <v>32</v>
      </c>
      <c r="AT35" s="891" t="s">
        <v>1884</v>
      </c>
      <c r="AU35" s="891" t="s">
        <v>34</v>
      </c>
      <c r="AV35" s="891" t="s">
        <v>32</v>
      </c>
      <c r="AW35" s="891" t="s">
        <v>1877</v>
      </c>
      <c r="AX35" s="891" t="s">
        <v>35</v>
      </c>
      <c r="AY35" s="891" t="s">
        <v>32</v>
      </c>
      <c r="AZ35" s="891" t="s">
        <v>36</v>
      </c>
      <c r="BA35" s="891" t="s">
        <v>36</v>
      </c>
      <c r="BB35" s="891" t="s">
        <v>34</v>
      </c>
      <c r="BC35" s="891" t="s">
        <v>36</v>
      </c>
      <c r="BD35" s="891" t="s">
        <v>35</v>
      </c>
      <c r="BE35" s="891" t="s">
        <v>32</v>
      </c>
      <c r="BF35" s="891" t="s">
        <v>35</v>
      </c>
      <c r="BG35" s="910"/>
      <c r="BJ35" s="891"/>
      <c r="BL35" s="891"/>
      <c r="BM35" s="891"/>
      <c r="BN35" s="891"/>
      <c r="BO35" s="891"/>
      <c r="BP35" s="891"/>
      <c r="BQ35" s="892"/>
      <c r="BR35" s="896"/>
      <c r="BS35" s="896"/>
      <c r="BT35" s="891"/>
      <c r="BU35" s="896"/>
      <c r="BV35" s="896"/>
      <c r="BW35" s="896"/>
      <c r="BX35" s="896"/>
      <c r="BY35" s="896"/>
      <c r="BZ35" s="896"/>
      <c r="CA35" s="896"/>
      <c r="CB35" s="896"/>
      <c r="CC35" s="896"/>
      <c r="CD35" s="896"/>
      <c r="CE35" s="896"/>
      <c r="CF35" s="428"/>
      <c r="CG35" s="428"/>
      <c r="CH35" s="428"/>
      <c r="CI35" s="428"/>
    </row>
    <row r="36" spans="1:121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6</v>
      </c>
      <c r="G36" s="879" t="s">
        <v>876</v>
      </c>
      <c r="H36" s="879" t="s">
        <v>22</v>
      </c>
      <c r="I36" s="879" t="s">
        <v>891</v>
      </c>
      <c r="J36" s="846">
        <v>3</v>
      </c>
      <c r="K36" s="846">
        <v>0</v>
      </c>
      <c r="L36" s="816" t="str">
        <f t="shared" ref="L36:L65" si="39">IF(J36="","",IF(J36&gt;K36,"W",IF(J36=K36,"D",IF(J36&lt;K36,"L"))))</f>
        <v>W</v>
      </c>
      <c r="M36" s="816">
        <f t="shared" ref="M36:M65" si="40">IF(J36="","",J36+K36)</f>
        <v>3</v>
      </c>
      <c r="N36" s="816" t="str">
        <f t="shared" ref="N36:N66" si="41">IF($J36="","",IF($M36&gt;N$19,"O",IF($M36&lt;N$19,"U",IF($M36=N$19,"-"))))</f>
        <v>O</v>
      </c>
      <c r="O36" s="816">
        <f t="shared" si="31"/>
        <v>0.25</v>
      </c>
      <c r="P36" s="829">
        <f t="shared" si="32"/>
        <v>1</v>
      </c>
      <c r="Q36" s="830">
        <v>-0.21</v>
      </c>
      <c r="R36" s="871">
        <f t="shared" ref="R36:R50" si="42">IF(ISBLANK(Q36),"",J36-K36-Q36)</f>
        <v>3.21</v>
      </c>
      <c r="S36" s="830">
        <v>2.61</v>
      </c>
      <c r="T36" s="871">
        <f t="shared" si="34"/>
        <v>0.39000000000000012</v>
      </c>
      <c r="U36" s="868">
        <f t="shared" si="35"/>
        <v>1.2</v>
      </c>
      <c r="V36" s="868">
        <f t="shared" si="36"/>
        <v>1.41</v>
      </c>
      <c r="W36" s="829">
        <v>13</v>
      </c>
      <c r="X36" s="829">
        <v>14</v>
      </c>
      <c r="Y36" s="829">
        <v>10</v>
      </c>
      <c r="Z36" s="829">
        <v>2</v>
      </c>
      <c r="AA36" s="829">
        <v>36</v>
      </c>
      <c r="AB36" s="829">
        <v>64</v>
      </c>
      <c r="AC36" s="829"/>
      <c r="AD36" s="816" t="str">
        <f t="array" ref="AD36">IF($J36="","",IF(SUM(IF(ISNUMBER(VALUE(RIGHT($AG36:$DX36,1))),VALUE(RIGHT($AG36:$DX36,1)),0))=$J36,"T","F"))</f>
        <v>T</v>
      </c>
      <c r="AE36" s="831">
        <f t="array" ref="AE36">IF($J36="","",SUM(IF(LEFT($AG36:$DX36,1)="s",1,0))-SUM(IF(RIGHT(LEFT($AG36:$DX36,2))="-",1,0)))</f>
        <v>0</v>
      </c>
      <c r="AF36" s="816">
        <f t="array" ref="AF36">IF($J36="","",SUM(IF(LEFT($AG36:$DX36,1)="X",1,0)))</f>
        <v>11</v>
      </c>
      <c r="AG36" s="891" t="s">
        <v>34</v>
      </c>
      <c r="AH36" s="891" t="s">
        <v>32</v>
      </c>
      <c r="AI36" s="891" t="s">
        <v>32</v>
      </c>
      <c r="AJ36" s="891" t="s">
        <v>1877</v>
      </c>
      <c r="AK36" s="891" t="s">
        <v>34</v>
      </c>
      <c r="AL36" s="891" t="s">
        <v>34</v>
      </c>
      <c r="AM36" s="891" t="s">
        <v>34</v>
      </c>
      <c r="AN36" s="891" t="s">
        <v>34</v>
      </c>
      <c r="AO36" s="891" t="s">
        <v>34</v>
      </c>
      <c r="AP36" s="891" t="s">
        <v>1877</v>
      </c>
      <c r="AQ36" s="891" t="s">
        <v>32</v>
      </c>
      <c r="AR36" s="891" t="s">
        <v>1877</v>
      </c>
      <c r="AS36" s="891" t="s">
        <v>32</v>
      </c>
      <c r="AT36" s="891" t="s">
        <v>1884</v>
      </c>
      <c r="AU36" s="891" t="s">
        <v>34</v>
      </c>
      <c r="AV36" s="891" t="s">
        <v>32</v>
      </c>
      <c r="AW36" s="891" t="s">
        <v>32</v>
      </c>
      <c r="AX36" s="891" t="s">
        <v>36</v>
      </c>
      <c r="AY36" s="891" t="s">
        <v>32</v>
      </c>
      <c r="AZ36" s="891" t="s">
        <v>35</v>
      </c>
      <c r="BA36" s="891" t="s">
        <v>36</v>
      </c>
      <c r="BB36" s="904" t="s">
        <v>2484</v>
      </c>
      <c r="BC36" s="891" t="s">
        <v>36</v>
      </c>
      <c r="BD36" s="891" t="s">
        <v>1877</v>
      </c>
      <c r="BE36" s="891" t="s">
        <v>32</v>
      </c>
      <c r="BF36" s="891" t="s">
        <v>2501</v>
      </c>
      <c r="BG36" s="910"/>
      <c r="BJ36" s="891" t="s">
        <v>35</v>
      </c>
      <c r="BL36" s="891"/>
      <c r="BM36" s="891"/>
      <c r="BN36" s="891"/>
      <c r="BO36" s="891"/>
      <c r="BP36" s="891"/>
      <c r="BQ36" s="892"/>
      <c r="BR36" s="896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896"/>
      <c r="CF36" s="428"/>
      <c r="CG36" s="428"/>
      <c r="CH36" s="428"/>
      <c r="CI36" s="428"/>
      <c r="CJ36" s="230" t="s">
        <v>32</v>
      </c>
      <c r="CK36" s="230" t="s">
        <v>32</v>
      </c>
      <c r="CL36" s="230" t="s">
        <v>32</v>
      </c>
      <c r="CM36" s="230" t="s">
        <v>32</v>
      </c>
      <c r="CN36" s="230" t="s">
        <v>32</v>
      </c>
      <c r="CO36" s="230" t="s">
        <v>32</v>
      </c>
      <c r="CP36" s="230" t="s">
        <v>32</v>
      </c>
    </row>
    <row r="37" spans="1:121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12</v>
      </c>
      <c r="G37" s="879" t="s">
        <v>879</v>
      </c>
      <c r="H37" s="879" t="s">
        <v>22</v>
      </c>
      <c r="I37" s="879" t="s">
        <v>891</v>
      </c>
      <c r="J37" s="846">
        <v>1</v>
      </c>
      <c r="K37" s="846">
        <v>2</v>
      </c>
      <c r="L37" s="816" t="str">
        <f t="shared" si="39"/>
        <v>L</v>
      </c>
      <c r="M37" s="816">
        <f t="shared" si="40"/>
        <v>3</v>
      </c>
      <c r="N37" s="816" t="str">
        <f t="shared" si="41"/>
        <v>O</v>
      </c>
      <c r="O37" s="816">
        <f t="shared" si="31"/>
        <v>0</v>
      </c>
      <c r="P37" s="829">
        <f t="shared" si="32"/>
        <v>-1</v>
      </c>
      <c r="Q37" s="830">
        <v>-0.02</v>
      </c>
      <c r="R37" s="871">
        <f t="shared" si="42"/>
        <v>-0.98</v>
      </c>
      <c r="S37" s="830">
        <v>2.41</v>
      </c>
      <c r="T37" s="871">
        <f t="shared" si="34"/>
        <v>0.58999999999999986</v>
      </c>
      <c r="U37" s="868">
        <f t="shared" si="35"/>
        <v>1.1950000000000001</v>
      </c>
      <c r="V37" s="868">
        <f t="shared" si="36"/>
        <v>1.2150000000000001</v>
      </c>
      <c r="W37" s="829">
        <v>13</v>
      </c>
      <c r="X37" s="829">
        <v>17</v>
      </c>
      <c r="Y37" s="829">
        <v>3</v>
      </c>
      <c r="Z37" s="829">
        <v>10</v>
      </c>
      <c r="AA37" s="829">
        <v>66</v>
      </c>
      <c r="AB37" s="829">
        <v>34</v>
      </c>
      <c r="AC37" s="829"/>
      <c r="AD37" s="816" t="str">
        <f t="array" ref="AD37">IF($J37="","",IF(SUM(IF(ISNUMBER(VALUE(RIGHT($AG37:$DX37,1))),VALUE(RIGHT($AG37:$DX37,1)),0))=$J37,"T","F"))</f>
        <v>T</v>
      </c>
      <c r="AE37" s="831">
        <f t="array" ref="AE37">IF($J37="","",SUM(IF(LEFT($AG37:$DX37,1)="s",1,0))-SUM(IF(RIGHT(LEFT($AG37:$DX37,2))="-",1,0)))</f>
        <v>0</v>
      </c>
      <c r="AF37" s="816">
        <f t="array" ref="AF37">IF($J37="","",SUM(IF(LEFT($AG37:$DX37,1)="X",1,0)))</f>
        <v>11</v>
      </c>
      <c r="AG37" s="891" t="s">
        <v>34</v>
      </c>
      <c r="AH37" s="891" t="s">
        <v>32</v>
      </c>
      <c r="AI37" s="891" t="s">
        <v>32</v>
      </c>
      <c r="AJ37" s="891" t="s">
        <v>1877</v>
      </c>
      <c r="AK37" s="891" t="s">
        <v>36</v>
      </c>
      <c r="AL37" s="891" t="s">
        <v>34</v>
      </c>
      <c r="AM37" s="891" t="s">
        <v>34</v>
      </c>
      <c r="AN37" s="891" t="s">
        <v>34</v>
      </c>
      <c r="AO37" s="891" t="s">
        <v>34</v>
      </c>
      <c r="AP37" s="891" t="s">
        <v>1877</v>
      </c>
      <c r="AQ37" s="891" t="s">
        <v>32</v>
      </c>
      <c r="AR37" s="891" t="s">
        <v>32</v>
      </c>
      <c r="AS37" s="891" t="s">
        <v>32</v>
      </c>
      <c r="AT37" s="891" t="s">
        <v>1884</v>
      </c>
      <c r="AU37" s="891" t="s">
        <v>34</v>
      </c>
      <c r="AV37" s="891" t="s">
        <v>32</v>
      </c>
      <c r="AW37" s="891" t="s">
        <v>1877</v>
      </c>
      <c r="AX37" s="891" t="s">
        <v>1877</v>
      </c>
      <c r="AY37" s="891" t="s">
        <v>36</v>
      </c>
      <c r="AZ37" s="891" t="s">
        <v>34</v>
      </c>
      <c r="BA37" s="891" t="s">
        <v>35</v>
      </c>
      <c r="BB37" s="891" t="s">
        <v>2516</v>
      </c>
      <c r="BC37" s="891" t="s">
        <v>2509</v>
      </c>
      <c r="BD37" s="891" t="s">
        <v>35</v>
      </c>
      <c r="BE37" s="891" t="s">
        <v>32</v>
      </c>
      <c r="BF37" s="904" t="s">
        <v>34</v>
      </c>
      <c r="BG37" s="910"/>
      <c r="BJ37" s="891" t="s">
        <v>36</v>
      </c>
      <c r="BL37" s="891"/>
      <c r="BM37" s="891"/>
      <c r="BN37" s="891"/>
      <c r="BO37" s="891"/>
      <c r="BP37" s="891"/>
      <c r="BQ37" s="892"/>
      <c r="BR37" s="896"/>
      <c r="BS37" s="896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428"/>
      <c r="CG37" s="428"/>
      <c r="CH37" s="428"/>
      <c r="CI37" s="428"/>
    </row>
    <row r="38" spans="1:121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2</v>
      </c>
      <c r="G38" s="879" t="s">
        <v>886</v>
      </c>
      <c r="H38" s="879" t="s">
        <v>18</v>
      </c>
      <c r="I38" s="879" t="s">
        <v>891</v>
      </c>
      <c r="J38" s="846">
        <v>0</v>
      </c>
      <c r="K38" s="846">
        <v>1</v>
      </c>
      <c r="L38" s="816" t="str">
        <f t="shared" si="39"/>
        <v>L</v>
      </c>
      <c r="M38" s="816">
        <f t="shared" si="40"/>
        <v>1</v>
      </c>
      <c r="N38" s="816" t="str">
        <f t="shared" si="41"/>
        <v>U</v>
      </c>
      <c r="O38" s="816">
        <f t="shared" si="31"/>
        <v>0</v>
      </c>
      <c r="P38" s="829">
        <f t="shared" si="32"/>
        <v>-1</v>
      </c>
      <c r="Q38" s="830">
        <v>-0.04</v>
      </c>
      <c r="R38" s="871">
        <f t="shared" si="42"/>
        <v>-0.96</v>
      </c>
      <c r="S38" s="830">
        <v>2.33</v>
      </c>
      <c r="T38" s="871">
        <f t="shared" si="34"/>
        <v>-1.33</v>
      </c>
      <c r="U38" s="868">
        <f t="shared" si="35"/>
        <v>1.145</v>
      </c>
      <c r="V38" s="868">
        <f t="shared" si="36"/>
        <v>1.1850000000000001</v>
      </c>
      <c r="W38" s="829">
        <v>28</v>
      </c>
      <c r="X38" s="829">
        <v>10</v>
      </c>
      <c r="Y38" s="829">
        <v>2</v>
      </c>
      <c r="Z38" s="829">
        <v>4</v>
      </c>
      <c r="AA38" s="829">
        <v>64</v>
      </c>
      <c r="AB38" s="829">
        <v>36</v>
      </c>
      <c r="AC38" s="829"/>
      <c r="AD38" s="816" t="str">
        <f t="array" ref="AD38">IF($J38="","",IF(SUM(IF(ISNUMBER(VALUE(RIGHT($AG38:$DX38,1))),VALUE(RIGHT($AG38:$DX38,1)),0))=$J38,"T","F"))</f>
        <v>T</v>
      </c>
      <c r="AE38" s="831">
        <f t="array" ref="AE38">IF($J38="","",SUM(IF(LEFT($AG38:$DX38,1)="s",1,0))-SUM(IF(RIGHT(LEFT($AG38:$DX38,2))="-",1,0)))</f>
        <v>0</v>
      </c>
      <c r="AF38" s="816">
        <f t="array" ref="AF38">IF($J38="","",SUM(IF(LEFT($AG38:$DX38,1)="X",1,0)))</f>
        <v>11</v>
      </c>
      <c r="AG38" s="891" t="s">
        <v>34</v>
      </c>
      <c r="AH38" s="891" t="s">
        <v>32</v>
      </c>
      <c r="AI38" s="891" t="s">
        <v>32</v>
      </c>
      <c r="AJ38" s="891" t="s">
        <v>1877</v>
      </c>
      <c r="AK38" s="891" t="s">
        <v>35</v>
      </c>
      <c r="AL38" s="891" t="s">
        <v>34</v>
      </c>
      <c r="AM38" s="891" t="s">
        <v>34</v>
      </c>
      <c r="AN38" s="891" t="s">
        <v>34</v>
      </c>
      <c r="AO38" s="891" t="s">
        <v>35</v>
      </c>
      <c r="AP38" s="891" t="s">
        <v>1877</v>
      </c>
      <c r="AQ38" s="891" t="s">
        <v>32</v>
      </c>
      <c r="AR38" s="891" t="s">
        <v>36</v>
      </c>
      <c r="AS38" s="891" t="s">
        <v>32</v>
      </c>
      <c r="AT38" s="891" t="s">
        <v>1884</v>
      </c>
      <c r="AU38" s="891" t="s">
        <v>34</v>
      </c>
      <c r="AV38" s="891" t="s">
        <v>32</v>
      </c>
      <c r="AW38" s="891" t="s">
        <v>1877</v>
      </c>
      <c r="AX38" s="891" t="s">
        <v>36</v>
      </c>
      <c r="AY38" s="891" t="s">
        <v>32</v>
      </c>
      <c r="AZ38" s="891" t="s">
        <v>35</v>
      </c>
      <c r="BA38" s="891" t="s">
        <v>36</v>
      </c>
      <c r="BB38" s="891" t="s">
        <v>34</v>
      </c>
      <c r="BC38" s="891" t="s">
        <v>34</v>
      </c>
      <c r="BD38" s="891" t="s">
        <v>1877</v>
      </c>
      <c r="BE38" s="891" t="s">
        <v>32</v>
      </c>
      <c r="BF38" s="904" t="s">
        <v>34</v>
      </c>
      <c r="BG38" s="910"/>
      <c r="BJ38" s="891"/>
      <c r="BL38" s="891"/>
      <c r="BM38" s="891"/>
      <c r="BN38" s="891"/>
      <c r="BO38" s="891"/>
      <c r="BP38" s="891"/>
      <c r="BQ38" s="891"/>
      <c r="BR38" s="891"/>
      <c r="BS38" s="891"/>
      <c r="BT38" s="891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896"/>
      <c r="CF38" s="428"/>
      <c r="CG38" s="428"/>
      <c r="CH38" s="428"/>
      <c r="CI38" s="428"/>
      <c r="CM38" s="4" t="s">
        <v>32</v>
      </c>
      <c r="CN38" s="6" t="s">
        <v>32</v>
      </c>
      <c r="CO38" s="6" t="s">
        <v>32</v>
      </c>
      <c r="CP38" s="6" t="s">
        <v>32</v>
      </c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</row>
    <row r="39" spans="1:121" ht="15">
      <c r="A39" s="882">
        <v>6365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8</v>
      </c>
      <c r="G39" s="879" t="s">
        <v>880</v>
      </c>
      <c r="H39" s="879" t="s">
        <v>18</v>
      </c>
      <c r="I39" s="879" t="s">
        <v>891</v>
      </c>
      <c r="J39" s="846">
        <v>1</v>
      </c>
      <c r="K39" s="846">
        <v>1</v>
      </c>
      <c r="L39" s="816" t="str">
        <f t="shared" si="39"/>
        <v>D</v>
      </c>
      <c r="M39" s="816">
        <f t="shared" si="40"/>
        <v>2</v>
      </c>
      <c r="N39" s="816" t="str">
        <f t="shared" si="41"/>
        <v>U</v>
      </c>
      <c r="O39" s="816">
        <f t="shared" si="31"/>
        <v>0.25</v>
      </c>
      <c r="P39" s="829">
        <f t="shared" si="32"/>
        <v>0.5</v>
      </c>
      <c r="Q39" s="830">
        <v>-0.38</v>
      </c>
      <c r="R39" s="871">
        <f t="shared" si="42"/>
        <v>0.38</v>
      </c>
      <c r="S39" s="830">
        <v>2.42</v>
      </c>
      <c r="T39" s="871">
        <f t="shared" si="34"/>
        <v>-0.41999999999999993</v>
      </c>
      <c r="U39" s="868">
        <f t="shared" si="35"/>
        <v>1.02</v>
      </c>
      <c r="V39" s="868">
        <f t="shared" si="36"/>
        <v>1.4</v>
      </c>
      <c r="W39" s="829">
        <v>14</v>
      </c>
      <c r="X39" s="829">
        <v>14</v>
      </c>
      <c r="Y39" s="829">
        <v>1</v>
      </c>
      <c r="Z39" s="829">
        <v>4</v>
      </c>
      <c r="AA39" s="829">
        <v>56</v>
      </c>
      <c r="AB39" s="829">
        <v>44</v>
      </c>
      <c r="AC39" s="829"/>
      <c r="AD39" s="816" t="str">
        <f t="array" ref="AD39">IF($J39="","",IF(SUM(IF(ISNUMBER(VALUE(RIGHT($AG39:$DX39,1))),VALUE(RIGHT($AG39:$DX39,1)),0))=$J39,"T","F"))</f>
        <v>T</v>
      </c>
      <c r="AE39" s="831">
        <f t="array" ref="AE39">IF($J39="","",SUM(IF(LEFT($AG39:$DX39,1)="s",1,0))-SUM(IF(RIGHT(LEFT($AG39:$DX39,2))="-",1,0)))</f>
        <v>0</v>
      </c>
      <c r="AF39" s="816">
        <f t="array" ref="AF39">IF($J39="","",SUM(IF(LEFT($AG39:$DX39,1)="X",1,0)))</f>
        <v>11</v>
      </c>
      <c r="AG39" s="891" t="s">
        <v>2553</v>
      </c>
      <c r="AH39" s="891"/>
      <c r="AI39" s="891"/>
      <c r="AJ39" s="891" t="s">
        <v>2571</v>
      </c>
      <c r="AK39" s="891" t="s">
        <v>2554</v>
      </c>
      <c r="AL39" s="891" t="s">
        <v>2554</v>
      </c>
      <c r="AM39" s="904" t="s">
        <v>2554</v>
      </c>
      <c r="AN39" s="891" t="s">
        <v>2554</v>
      </c>
      <c r="AO39" s="891" t="s">
        <v>1879</v>
      </c>
      <c r="AP39" s="891" t="s">
        <v>2571</v>
      </c>
      <c r="AQ39" s="891"/>
      <c r="AR39" s="891"/>
      <c r="AS39" s="891"/>
      <c r="AT39" s="891" t="s">
        <v>2007</v>
      </c>
      <c r="AU39" s="891" t="s">
        <v>2554</v>
      </c>
      <c r="AV39" s="891"/>
      <c r="AW39" s="891" t="s">
        <v>2571</v>
      </c>
      <c r="AX39" s="891" t="s">
        <v>2571</v>
      </c>
      <c r="AY39" s="891" t="s">
        <v>2570</v>
      </c>
      <c r="AZ39" s="891" t="s">
        <v>871</v>
      </c>
      <c r="BA39" s="906" t="s">
        <v>2566</v>
      </c>
      <c r="BB39" s="891" t="s">
        <v>2554</v>
      </c>
      <c r="BC39" s="891" t="s">
        <v>2554</v>
      </c>
      <c r="BD39" s="891" t="s">
        <v>2569</v>
      </c>
      <c r="BE39" s="891"/>
      <c r="BF39" s="891" t="s">
        <v>871</v>
      </c>
      <c r="BG39" s="910"/>
      <c r="BJ39" s="891"/>
      <c r="BL39" s="891"/>
      <c r="BM39" s="891"/>
      <c r="BN39" s="891"/>
      <c r="BO39" s="891"/>
      <c r="BP39" s="891"/>
      <c r="BQ39" s="891"/>
      <c r="BR39" s="891"/>
      <c r="BS39" s="891"/>
      <c r="BT39" s="891"/>
      <c r="BU39" s="891"/>
      <c r="BV39" s="891"/>
      <c r="BW39" s="891"/>
      <c r="BX39" s="891"/>
      <c r="BY39" s="891"/>
      <c r="BZ39" s="891"/>
      <c r="CA39" s="891"/>
      <c r="CB39" s="891"/>
      <c r="CC39" s="896"/>
      <c r="CD39" s="896"/>
      <c r="CE39" s="896"/>
      <c r="CF39" s="428"/>
      <c r="CG39" s="428"/>
      <c r="CH39" s="428"/>
      <c r="CI39" s="428"/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</row>
    <row r="40" spans="1:121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3</v>
      </c>
      <c r="G40" s="879" t="s">
        <v>1085</v>
      </c>
      <c r="H40" s="879" t="s">
        <v>22</v>
      </c>
      <c r="I40" s="879" t="s">
        <v>891</v>
      </c>
      <c r="J40" s="846">
        <v>2</v>
      </c>
      <c r="K40" s="846">
        <v>1</v>
      </c>
      <c r="L40" s="816" t="str">
        <f t="shared" si="39"/>
        <v>W</v>
      </c>
      <c r="M40" s="816">
        <f t="shared" si="40"/>
        <v>3</v>
      </c>
      <c r="N40" s="816" t="str">
        <f t="shared" si="41"/>
        <v>O</v>
      </c>
      <c r="O40" s="816">
        <f t="shared" si="31"/>
        <v>0</v>
      </c>
      <c r="P40" s="829">
        <f t="shared" si="32"/>
        <v>1</v>
      </c>
      <c r="Q40" s="830">
        <v>0.03</v>
      </c>
      <c r="R40" s="871">
        <f t="shared" si="42"/>
        <v>0.97</v>
      </c>
      <c r="S40" s="830">
        <v>2.75</v>
      </c>
      <c r="T40" s="871">
        <f t="shared" si="34"/>
        <v>0.25</v>
      </c>
      <c r="U40" s="868">
        <f t="shared" si="35"/>
        <v>1.39</v>
      </c>
      <c r="V40" s="868">
        <f t="shared" si="36"/>
        <v>1.36</v>
      </c>
      <c r="W40" s="829">
        <v>14</v>
      </c>
      <c r="X40" s="829">
        <v>21</v>
      </c>
      <c r="Y40" s="829">
        <v>8</v>
      </c>
      <c r="Z40" s="829">
        <v>4</v>
      </c>
      <c r="AA40" s="829">
        <v>46</v>
      </c>
      <c r="AB40" s="829">
        <v>54</v>
      </c>
      <c r="AC40" s="829"/>
      <c r="AD40" s="816" t="str">
        <f t="array" ref="AD40">IF($J40="","",IF(SUM(IF(ISNUMBER(VALUE(RIGHT($AG40:$DX40,1))),VALUE(RIGHT($AG40:$DX40,1)),0))=$J40,"T","F"))</f>
        <v>T</v>
      </c>
      <c r="AE40" s="831">
        <f t="array" ref="AE40">IF($J40="","",SUM(IF(LEFT($AG40:$DX40,1)="s",1,0))-SUM(IF(RIGHT(LEFT($AG40:$DX40,2))="-",1,0)))</f>
        <v>0</v>
      </c>
      <c r="AF40" s="816">
        <f t="array" ref="AF40">IF($J40="","",SUM(IF(LEFT($AG40:$DX40,1)="X",1,0)))</f>
        <v>11</v>
      </c>
      <c r="AG40" s="891" t="s">
        <v>34</v>
      </c>
      <c r="AH40" s="891" t="s">
        <v>32</v>
      </c>
      <c r="AI40" s="891" t="s">
        <v>32</v>
      </c>
      <c r="AJ40" s="891" t="s">
        <v>1877</v>
      </c>
      <c r="AK40" s="891" t="s">
        <v>34</v>
      </c>
      <c r="AL40" s="891" t="s">
        <v>34</v>
      </c>
      <c r="AM40" s="891" t="s">
        <v>34</v>
      </c>
      <c r="AN40" s="891" t="s">
        <v>34</v>
      </c>
      <c r="AO40" s="891" t="s">
        <v>34</v>
      </c>
      <c r="AP40" s="891" t="s">
        <v>1877</v>
      </c>
      <c r="AQ40" s="891" t="s">
        <v>32</v>
      </c>
      <c r="AR40" s="891" t="s">
        <v>36</v>
      </c>
      <c r="AS40" s="891" t="s">
        <v>32</v>
      </c>
      <c r="AT40" s="891" t="s">
        <v>1884</v>
      </c>
      <c r="AU40" s="891" t="s">
        <v>34</v>
      </c>
      <c r="AV40" s="891" t="s">
        <v>32</v>
      </c>
      <c r="AW40" s="891" t="s">
        <v>1877</v>
      </c>
      <c r="AX40" s="891" t="s">
        <v>36</v>
      </c>
      <c r="AY40" s="891" t="s">
        <v>2607</v>
      </c>
      <c r="AZ40" s="891" t="s">
        <v>35</v>
      </c>
      <c r="BA40" s="891" t="s">
        <v>35</v>
      </c>
      <c r="BB40" s="891" t="s">
        <v>34</v>
      </c>
      <c r="BC40" s="904" t="s">
        <v>2582</v>
      </c>
      <c r="BD40" s="891" t="s">
        <v>35</v>
      </c>
      <c r="BE40" s="891" t="s">
        <v>32</v>
      </c>
      <c r="BF40" s="891" t="s">
        <v>2607</v>
      </c>
      <c r="BG40" s="910"/>
      <c r="BJ40" s="891" t="s">
        <v>1877</v>
      </c>
      <c r="BL40" s="891"/>
      <c r="BM40" s="891"/>
      <c r="BN40" s="891"/>
      <c r="BO40" s="891"/>
      <c r="BP40" s="891"/>
      <c r="BQ40" s="891"/>
      <c r="BR40" s="891"/>
      <c r="BS40" s="891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896"/>
      <c r="CF40" s="428"/>
      <c r="CG40" s="428"/>
      <c r="CH40" s="428"/>
      <c r="CI40" s="428"/>
      <c r="CN40" s="4" t="s">
        <v>32</v>
      </c>
      <c r="CO40" s="4" t="s">
        <v>32</v>
      </c>
      <c r="CP40" s="4" t="s">
        <v>32</v>
      </c>
      <c r="CQ40" s="4" t="s">
        <v>32</v>
      </c>
      <c r="CR40" s="4" t="s">
        <v>32</v>
      </c>
      <c r="CS40" s="4" t="s">
        <v>32</v>
      </c>
      <c r="CT40" s="6" t="s">
        <v>32</v>
      </c>
      <c r="CU40" s="6" t="s">
        <v>32</v>
      </c>
      <c r="CV40" s="6" t="s">
        <v>32</v>
      </c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</row>
    <row r="41" spans="1:121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15</v>
      </c>
      <c r="G41" s="879" t="s">
        <v>881</v>
      </c>
      <c r="H41" s="879" t="s">
        <v>22</v>
      </c>
      <c r="I41" s="879" t="s">
        <v>891</v>
      </c>
      <c r="J41" s="846">
        <v>3</v>
      </c>
      <c r="K41" s="846">
        <v>3</v>
      </c>
      <c r="L41" s="816" t="str">
        <f t="shared" si="39"/>
        <v>D</v>
      </c>
      <c r="M41" s="816">
        <f t="shared" si="40"/>
        <v>6</v>
      </c>
      <c r="N41" s="816" t="str">
        <f t="shared" si="41"/>
        <v>O</v>
      </c>
      <c r="O41" s="816">
        <f t="shared" si="31"/>
        <v>-0.25</v>
      </c>
      <c r="P41" s="829">
        <f t="shared" si="32"/>
        <v>-0.5</v>
      </c>
      <c r="Q41" s="830">
        <v>0.23</v>
      </c>
      <c r="R41" s="871">
        <f t="shared" si="42"/>
        <v>-0.23</v>
      </c>
      <c r="S41" s="830">
        <v>2.42</v>
      </c>
      <c r="T41" s="871">
        <f t="shared" si="34"/>
        <v>3.58</v>
      </c>
      <c r="U41" s="868">
        <f t="shared" si="35"/>
        <v>1.325</v>
      </c>
      <c r="V41" s="868">
        <f t="shared" si="36"/>
        <v>1.095</v>
      </c>
      <c r="W41" s="829">
        <v>17</v>
      </c>
      <c r="X41" s="829">
        <v>8</v>
      </c>
      <c r="Y41" s="829">
        <v>6</v>
      </c>
      <c r="Z41" s="829">
        <v>5</v>
      </c>
      <c r="AA41" s="829">
        <v>53</v>
      </c>
      <c r="AB41" s="829">
        <v>47</v>
      </c>
      <c r="AC41" s="829"/>
      <c r="AD41" s="816" t="str">
        <f t="array" ref="AD41">IF($J41="","",IF(SUM(IF(ISNUMBER(VALUE(RIGHT($AG41:$DX41,1))),VALUE(RIGHT($AG41:$DX41,1)),0))=$J41,"T","F"))</f>
        <v>T</v>
      </c>
      <c r="AE41" s="831">
        <f t="array" ref="AE41">IF($J41="","",SUM(IF(LEFT($AG41:$DX41,1)="s",1,0))-SUM(IF(RIGHT(LEFT($AG41:$DX41,2))="-",1,0)))</f>
        <v>0</v>
      </c>
      <c r="AF41" s="816">
        <f t="array" ref="AF41">IF($J41="","",SUM(IF(LEFT($AG41:$DX41,1)="X",1,0)))</f>
        <v>11</v>
      </c>
      <c r="AG41" s="891" t="s">
        <v>34</v>
      </c>
      <c r="AH41" s="891" t="s">
        <v>32</v>
      </c>
      <c r="AI41" s="891" t="s">
        <v>32</v>
      </c>
      <c r="AJ41" s="891" t="s">
        <v>1877</v>
      </c>
      <c r="AK41" s="891" t="s">
        <v>34</v>
      </c>
      <c r="AL41" s="891" t="s">
        <v>34</v>
      </c>
      <c r="AM41" s="891" t="s">
        <v>34</v>
      </c>
      <c r="AN41" s="891" t="s">
        <v>32</v>
      </c>
      <c r="AO41" s="891" t="s">
        <v>34</v>
      </c>
      <c r="AP41" s="891" t="s">
        <v>34</v>
      </c>
      <c r="AQ41" s="891" t="s">
        <v>32</v>
      </c>
      <c r="AR41" s="891" t="s">
        <v>1877</v>
      </c>
      <c r="AS41" s="891" t="s">
        <v>32</v>
      </c>
      <c r="AT41" s="891" t="s">
        <v>1884</v>
      </c>
      <c r="AU41" s="891" t="s">
        <v>35</v>
      </c>
      <c r="AV41" s="891" t="s">
        <v>36</v>
      </c>
      <c r="AW41" s="891" t="s">
        <v>1877</v>
      </c>
      <c r="AX41" s="891" t="s">
        <v>36</v>
      </c>
      <c r="AY41" s="891" t="s">
        <v>32</v>
      </c>
      <c r="AZ41" s="891" t="s">
        <v>35</v>
      </c>
      <c r="BA41" s="891" t="s">
        <v>35</v>
      </c>
      <c r="BB41" s="891" t="s">
        <v>34</v>
      </c>
      <c r="BC41" s="891" t="s">
        <v>2673</v>
      </c>
      <c r="BD41" s="891" t="s">
        <v>1877</v>
      </c>
      <c r="BE41" s="891" t="s">
        <v>32</v>
      </c>
      <c r="BF41" s="891" t="s">
        <v>2674</v>
      </c>
      <c r="BG41" s="910"/>
      <c r="BJ41" s="891"/>
      <c r="BL41" s="891"/>
      <c r="BM41" s="891"/>
      <c r="BN41" s="891"/>
      <c r="BO41" s="891"/>
      <c r="BP41" s="891"/>
      <c r="BQ41" s="891"/>
      <c r="BR41" s="891"/>
      <c r="BS41" s="891"/>
      <c r="BT41" s="891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428"/>
      <c r="CG41" s="428"/>
      <c r="CH41" s="428"/>
      <c r="CI41" s="428"/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  <c r="CP41" s="230" t="s">
        <v>32</v>
      </c>
    </row>
    <row r="42" spans="1:121" ht="15">
      <c r="A42" s="912">
        <v>6382</v>
      </c>
      <c r="B42" s="894"/>
      <c r="C42" s="894"/>
      <c r="D42" s="894"/>
      <c r="E42" s="894"/>
      <c r="F42" s="894"/>
      <c r="G42" s="828" t="s">
        <v>876</v>
      </c>
      <c r="H42" s="828" t="s">
        <v>2651</v>
      </c>
      <c r="I42" s="828" t="s">
        <v>2649</v>
      </c>
      <c r="J42" s="895">
        <v>0</v>
      </c>
      <c r="K42" s="895">
        <v>1</v>
      </c>
      <c r="L42" s="816" t="str">
        <f t="shared" ref="L42" si="43">IF(J42="","",IF(J42&gt;K42,"W",IF(J42=K42,"D",IF(J42&lt;K42,"L"))))</f>
        <v>L</v>
      </c>
      <c r="M42" s="816">
        <f t="shared" ref="M42" si="44">IF(J42="","",J42+K42)</f>
        <v>1</v>
      </c>
      <c r="N42" s="816" t="str">
        <f t="shared" si="41"/>
        <v>U</v>
      </c>
      <c r="O42" s="816" t="str">
        <f t="shared" ref="O42" si="45">IF(Q42="","",IF(SIGN(Q42)&lt;&gt;1,VLOOKUP(ABS(Q42),SUP_HDC,3,TRUE),-VLOOKUP(ABS(Q42),SUP_HDC,3,TRUE)))</f>
        <v/>
      </c>
      <c r="P42" s="829" t="str">
        <f t="shared" ref="P42" si="46">IF(O42="","",IF((J42-K42+O42)&gt;=0.5,1,IF((J42-K42+O42)=0.25,0.5,IF((J42-K42+O42)&lt;=-0.5,-1,IF((J42-K42+O42)=-0.25,-0.5,0)))))</f>
        <v/>
      </c>
      <c r="Q42" s="830"/>
      <c r="R42" s="871" t="str">
        <f t="shared" ref="R42" si="47">IF(ISBLANK(Q42),"",J42-K42-Q42)</f>
        <v/>
      </c>
      <c r="S42" s="830"/>
      <c r="T42" s="871" t="str">
        <f t="shared" ref="T42" si="48">IF(ISBLANK(S42),"",J42+K42-S42)</f>
        <v/>
      </c>
      <c r="U42" s="868" t="str">
        <f t="shared" ref="U42" si="49">IF(Q42="","",(Q42+S42)/2)</f>
        <v/>
      </c>
      <c r="V42" s="868" t="str">
        <f t="shared" ref="V42" si="50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IF($J42="","",IF(SUM(IF(ISNUMBER(VALUE(RIGHT($AG42:$DX42,1))),VALUE(RIGHT($AG42:$DX42,1)),0))=$J42,"T","F"))</f>
        <v>T</v>
      </c>
      <c r="AE42" s="831">
        <f t="array" ref="AE42">IF($J42="","",SUM(IF(LEFT($AG42:$DX42,1)="s",1,0))-SUM(IF(RIGHT(LEFT($AG42:$DX42,2))="-",1,0)))</f>
        <v>0</v>
      </c>
      <c r="AF42" s="816">
        <f t="array" ref="AF42">IF($J42="","",SUM(IF(LEFT($AG42:$DX42,1)="X",1,0)))</f>
        <v>11</v>
      </c>
      <c r="AG42" s="891"/>
      <c r="AH42" s="891" t="s">
        <v>1877</v>
      </c>
      <c r="AI42" s="891" t="s">
        <v>32</v>
      </c>
      <c r="AJ42" s="891" t="s">
        <v>34</v>
      </c>
      <c r="AK42" s="891" t="s">
        <v>32</v>
      </c>
      <c r="AL42" s="891" t="s">
        <v>1877</v>
      </c>
      <c r="AM42" s="891" t="s">
        <v>34</v>
      </c>
      <c r="AN42" s="891" t="s">
        <v>32</v>
      </c>
      <c r="AO42" s="891" t="s">
        <v>32</v>
      </c>
      <c r="AP42" s="891" t="s">
        <v>34</v>
      </c>
      <c r="AQ42" s="891" t="s">
        <v>2710</v>
      </c>
      <c r="AR42" s="891" t="s">
        <v>2712</v>
      </c>
      <c r="AS42" s="891" t="s">
        <v>34</v>
      </c>
      <c r="AT42" s="891" t="s">
        <v>1884</v>
      </c>
      <c r="AU42" s="891" t="s">
        <v>2713</v>
      </c>
      <c r="AV42" s="891" t="s">
        <v>34</v>
      </c>
      <c r="AW42" s="891" t="s">
        <v>34</v>
      </c>
      <c r="AX42" s="891" t="s">
        <v>34</v>
      </c>
      <c r="AY42" s="891" t="s">
        <v>2714</v>
      </c>
      <c r="AZ42" s="891" t="s">
        <v>1877</v>
      </c>
      <c r="BA42" s="891" t="s">
        <v>32</v>
      </c>
      <c r="BB42" s="891" t="s">
        <v>32</v>
      </c>
      <c r="BC42" s="891" t="s">
        <v>2713</v>
      </c>
      <c r="BD42" s="891" t="s">
        <v>34</v>
      </c>
      <c r="BE42" s="891" t="s">
        <v>32</v>
      </c>
      <c r="BF42" s="891" t="s">
        <v>1877</v>
      </c>
      <c r="BG42" s="910"/>
      <c r="BH42" s="891"/>
      <c r="BI42" s="891"/>
      <c r="BJ42" s="891" t="s">
        <v>2711</v>
      </c>
      <c r="BK42" s="891"/>
      <c r="BL42" s="891"/>
      <c r="BM42" s="891"/>
      <c r="BN42" s="891"/>
      <c r="BO42" s="891"/>
      <c r="BP42" s="891"/>
      <c r="BQ42" s="896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428"/>
      <c r="CF42" s="428"/>
      <c r="CG42" s="428"/>
      <c r="CH42" s="428"/>
    </row>
    <row r="43" spans="1:121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16</v>
      </c>
      <c r="G43" s="879" t="s">
        <v>872</v>
      </c>
      <c r="H43" s="879" t="s">
        <v>18</v>
      </c>
      <c r="I43" s="879" t="s">
        <v>891</v>
      </c>
      <c r="J43" s="846">
        <v>4</v>
      </c>
      <c r="K43" s="846">
        <v>2</v>
      </c>
      <c r="L43" s="816" t="str">
        <f t="shared" si="39"/>
        <v>W</v>
      </c>
      <c r="M43" s="816">
        <f t="shared" si="40"/>
        <v>6</v>
      </c>
      <c r="N43" s="816" t="str">
        <f t="shared" si="41"/>
        <v>O</v>
      </c>
      <c r="O43" s="816">
        <f t="shared" si="31"/>
        <v>0</v>
      </c>
      <c r="P43" s="829">
        <f t="shared" si="32"/>
        <v>1</v>
      </c>
      <c r="Q43" s="830">
        <v>-0.05</v>
      </c>
      <c r="R43" s="871">
        <f t="shared" si="42"/>
        <v>2.0499999999999998</v>
      </c>
      <c r="S43" s="830">
        <v>2.48</v>
      </c>
      <c r="T43" s="871">
        <f t="shared" si="34"/>
        <v>3.52</v>
      </c>
      <c r="U43" s="868">
        <f t="shared" si="35"/>
        <v>1.2150000000000001</v>
      </c>
      <c r="V43" s="868">
        <f t="shared" si="36"/>
        <v>1.2649999999999999</v>
      </c>
      <c r="W43" s="829">
        <v>21</v>
      </c>
      <c r="X43" s="829">
        <v>12</v>
      </c>
      <c r="Y43" s="829">
        <v>9</v>
      </c>
      <c r="Z43" s="829">
        <v>4</v>
      </c>
      <c r="AA43" s="829">
        <v>55</v>
      </c>
      <c r="AB43" s="829">
        <v>45</v>
      </c>
      <c r="AC43" s="829"/>
      <c r="AD43" s="816" t="str">
        <f t="array" ref="AD43">IF($J43="","",IF(SUM(IF(ISNUMBER(VALUE(RIGHT($AG43:$DX43,1))),VALUE(RIGHT($AG43:$DX43,1)),0))=$J43,"T","F"))</f>
        <v>T</v>
      </c>
      <c r="AE43" s="831">
        <f t="array" ref="AE43">IF($J43="","",SUM(IF(LEFT($AG43:$DX43,1)="s",1,0))-SUM(IF(RIGHT(LEFT($AG43:$DX43,2))="-",1,0)))</f>
        <v>0</v>
      </c>
      <c r="AF43" s="816">
        <f t="array" ref="AF43">IF($J43="","",SUM(IF(LEFT($AG43:$DX43,1)="X",1,0)))</f>
        <v>11</v>
      </c>
      <c r="AG43" s="891" t="s">
        <v>34</v>
      </c>
      <c r="AH43" s="891" t="s">
        <v>32</v>
      </c>
      <c r="AI43" s="891" t="s">
        <v>32</v>
      </c>
      <c r="AJ43" s="891" t="s">
        <v>1877</v>
      </c>
      <c r="AK43" s="891" t="s">
        <v>34</v>
      </c>
      <c r="AL43" s="891" t="s">
        <v>34</v>
      </c>
      <c r="AM43" s="891" t="s">
        <v>2734</v>
      </c>
      <c r="AN43" s="891" t="s">
        <v>34</v>
      </c>
      <c r="AO43" s="891" t="s">
        <v>2734</v>
      </c>
      <c r="AP43" s="891" t="s">
        <v>1877</v>
      </c>
      <c r="AQ43" s="891" t="s">
        <v>32</v>
      </c>
      <c r="AR43" s="891" t="s">
        <v>32</v>
      </c>
      <c r="AS43" s="891" t="s">
        <v>32</v>
      </c>
      <c r="AT43" s="891" t="s">
        <v>1884</v>
      </c>
      <c r="AU43" s="891" t="s">
        <v>34</v>
      </c>
      <c r="AV43" s="891" t="s">
        <v>36</v>
      </c>
      <c r="AW43" s="891" t="s">
        <v>1877</v>
      </c>
      <c r="AX43" s="891" t="s">
        <v>36</v>
      </c>
      <c r="AY43" s="891" t="s">
        <v>32</v>
      </c>
      <c r="AZ43" s="904" t="s">
        <v>2739</v>
      </c>
      <c r="BA43" s="891" t="s">
        <v>1877</v>
      </c>
      <c r="BB43" s="891" t="s">
        <v>2738</v>
      </c>
      <c r="BC43" s="891" t="s">
        <v>34</v>
      </c>
      <c r="BD43" s="891" t="s">
        <v>36</v>
      </c>
      <c r="BE43" s="891" t="s">
        <v>32</v>
      </c>
      <c r="BF43" s="891" t="s">
        <v>35</v>
      </c>
      <c r="BG43" s="910"/>
      <c r="BJ43" s="891"/>
      <c r="BL43" s="891"/>
      <c r="BM43" s="891"/>
      <c r="BN43" s="891"/>
      <c r="BO43" s="891"/>
      <c r="BP43" s="891"/>
      <c r="BQ43" s="892"/>
      <c r="BR43" s="896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428"/>
      <c r="CG43" s="428"/>
      <c r="CH43" s="428"/>
      <c r="CI43" s="428"/>
      <c r="CJ43" s="230" t="s">
        <v>32</v>
      </c>
      <c r="CK43" s="230" t="s">
        <v>32</v>
      </c>
      <c r="CL43" s="230" t="s">
        <v>32</v>
      </c>
      <c r="CM43" s="230" t="s">
        <v>32</v>
      </c>
      <c r="CN43" s="230" t="s">
        <v>32</v>
      </c>
      <c r="CO43" s="230" t="s">
        <v>32</v>
      </c>
      <c r="CP43" s="230" t="s">
        <v>32</v>
      </c>
    </row>
    <row r="44" spans="1:121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21</v>
      </c>
      <c r="G44" s="879" t="s">
        <v>890</v>
      </c>
      <c r="H44" s="879" t="s">
        <v>18</v>
      </c>
      <c r="I44" s="879" t="s">
        <v>891</v>
      </c>
      <c r="J44" s="846">
        <v>0</v>
      </c>
      <c r="K44" s="846">
        <v>4</v>
      </c>
      <c r="L44" s="816" t="str">
        <f t="shared" si="39"/>
        <v>L</v>
      </c>
      <c r="M44" s="816">
        <f t="shared" si="40"/>
        <v>4</v>
      </c>
      <c r="N44" s="816" t="str">
        <f t="shared" si="41"/>
        <v>O</v>
      </c>
      <c r="O44" s="816">
        <f t="shared" si="31"/>
        <v>-0.5</v>
      </c>
      <c r="P44" s="829">
        <f t="shared" si="32"/>
        <v>-1</v>
      </c>
      <c r="Q44" s="830">
        <v>0.6</v>
      </c>
      <c r="R44" s="871">
        <f t="shared" si="42"/>
        <v>-4.5999999999999996</v>
      </c>
      <c r="S44" s="830">
        <v>2.5</v>
      </c>
      <c r="T44" s="871">
        <f t="shared" si="34"/>
        <v>1.5</v>
      </c>
      <c r="U44" s="868">
        <f t="shared" si="35"/>
        <v>1.55</v>
      </c>
      <c r="V44" s="868">
        <f t="shared" si="36"/>
        <v>0.95</v>
      </c>
      <c r="W44" s="829">
        <v>24</v>
      </c>
      <c r="X44" s="829">
        <v>9</v>
      </c>
      <c r="Y44" s="829">
        <v>6</v>
      </c>
      <c r="Z44" s="829">
        <v>5</v>
      </c>
      <c r="AA44" s="829">
        <v>57</v>
      </c>
      <c r="AB44" s="829">
        <v>43</v>
      </c>
      <c r="AC44" s="829"/>
      <c r="AD44" s="816" t="str">
        <f t="array" ref="AD44">IF($J44="","",IF(SUM(IF(ISNUMBER(VALUE(RIGHT($AG44:$DX44,1))),VALUE(RIGHT($AG44:$DX44,1)),0))=$J44,"T","F"))</f>
        <v>T</v>
      </c>
      <c r="AE44" s="831">
        <f t="array" ref="AE44">IF($J44="","",SUM(IF(LEFT($AG44:$DX44,1)="s",1,0))-SUM(IF(RIGHT(LEFT($AG44:$DX44,2))="-",1,0)))</f>
        <v>0</v>
      </c>
      <c r="AF44" s="816">
        <f t="array" ref="AF44">IF($J44="","",SUM(IF(LEFT($AG44:$DX44,1)="X",1,0)))</f>
        <v>11</v>
      </c>
      <c r="AG44" s="891" t="s">
        <v>34</v>
      </c>
      <c r="AH44" s="891" t="s">
        <v>1877</v>
      </c>
      <c r="AI44" s="891" t="s">
        <v>32</v>
      </c>
      <c r="AJ44" s="891" t="s">
        <v>32</v>
      </c>
      <c r="AK44" s="891" t="s">
        <v>34</v>
      </c>
      <c r="AL44" s="891" t="s">
        <v>34</v>
      </c>
      <c r="AM44" s="891" t="s">
        <v>35</v>
      </c>
      <c r="AN44" s="891" t="s">
        <v>34</v>
      </c>
      <c r="AO44" s="891" t="s">
        <v>34</v>
      </c>
      <c r="AP44" s="891" t="s">
        <v>1877</v>
      </c>
      <c r="AQ44" s="891" t="s">
        <v>32</v>
      </c>
      <c r="AR44" s="891" t="s">
        <v>32</v>
      </c>
      <c r="AS44" s="891" t="s">
        <v>36</v>
      </c>
      <c r="AT44" s="891" t="s">
        <v>1884</v>
      </c>
      <c r="AU44" s="891" t="s">
        <v>35</v>
      </c>
      <c r="AV44" s="891" t="s">
        <v>32</v>
      </c>
      <c r="AW44" s="891" t="s">
        <v>1877</v>
      </c>
      <c r="AX44" s="891" t="s">
        <v>36</v>
      </c>
      <c r="AY44" s="891" t="s">
        <v>32</v>
      </c>
      <c r="AZ44" s="891" t="s">
        <v>35</v>
      </c>
      <c r="BA44" s="891" t="s">
        <v>36</v>
      </c>
      <c r="BB44" s="904" t="s">
        <v>34</v>
      </c>
      <c r="BC44" s="891" t="s">
        <v>34</v>
      </c>
      <c r="BD44" s="891" t="s">
        <v>1877</v>
      </c>
      <c r="BE44" s="891" t="s">
        <v>32</v>
      </c>
      <c r="BF44" s="891" t="s">
        <v>34</v>
      </c>
      <c r="BG44" s="910"/>
      <c r="BJ44" s="891"/>
      <c r="BL44" s="891"/>
      <c r="BM44" s="891"/>
      <c r="BN44" s="891"/>
      <c r="BO44" s="891"/>
      <c r="BP44" s="891"/>
      <c r="BQ44" s="892"/>
      <c r="BR44" s="896"/>
      <c r="BS44" s="891"/>
      <c r="BT44" s="891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896"/>
      <c r="CF44" s="428"/>
      <c r="CG44" s="428"/>
      <c r="CH44" s="428"/>
      <c r="CI44" s="428"/>
      <c r="CJ44" s="230" t="s">
        <v>32</v>
      </c>
      <c r="CK44" s="230" t="s">
        <v>32</v>
      </c>
      <c r="CL44" s="230" t="s">
        <v>32</v>
      </c>
      <c r="CM44" s="230" t="s">
        <v>32</v>
      </c>
      <c r="CN44" s="230" t="s">
        <v>32</v>
      </c>
      <c r="CO44" s="230" t="s">
        <v>32</v>
      </c>
      <c r="CP44" s="230" t="s">
        <v>32</v>
      </c>
    </row>
    <row r="45" spans="1:121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13</v>
      </c>
      <c r="G45" s="879" t="s">
        <v>884</v>
      </c>
      <c r="H45" s="879" t="s">
        <v>22</v>
      </c>
      <c r="I45" s="879" t="s">
        <v>891</v>
      </c>
      <c r="J45" s="846">
        <v>1</v>
      </c>
      <c r="K45" s="846">
        <v>1</v>
      </c>
      <c r="L45" s="816" t="str">
        <f t="shared" si="39"/>
        <v>D</v>
      </c>
      <c r="M45" s="816">
        <f t="shared" si="40"/>
        <v>2</v>
      </c>
      <c r="N45" s="816" t="str">
        <f t="shared" si="41"/>
        <v>U</v>
      </c>
      <c r="O45" s="816">
        <f t="shared" si="31"/>
        <v>-0.25</v>
      </c>
      <c r="P45" s="829">
        <f t="shared" si="32"/>
        <v>-0.5</v>
      </c>
      <c r="Q45" s="830">
        <v>0.21</v>
      </c>
      <c r="R45" s="871">
        <f t="shared" si="42"/>
        <v>-0.21</v>
      </c>
      <c r="S45" s="830">
        <v>2.5</v>
      </c>
      <c r="T45" s="871">
        <f t="shared" si="34"/>
        <v>-0.5</v>
      </c>
      <c r="U45" s="868">
        <f t="shared" si="35"/>
        <v>1.355</v>
      </c>
      <c r="V45" s="868">
        <f t="shared" si="36"/>
        <v>1.145</v>
      </c>
      <c r="W45" s="829">
        <v>28</v>
      </c>
      <c r="X45" s="829">
        <v>17</v>
      </c>
      <c r="Y45" s="829">
        <v>3</v>
      </c>
      <c r="Z45" s="829">
        <v>3</v>
      </c>
      <c r="AA45" s="829">
        <v>56</v>
      </c>
      <c r="AB45" s="829">
        <v>44</v>
      </c>
      <c r="AC45" s="829"/>
      <c r="AD45" s="816" t="str">
        <f t="array" ref="AD45">IF($J45="","",IF(SUM(IF(ISNUMBER(VALUE(RIGHT($AG45:$DX45,1))),VALUE(RIGHT($AG45:$DX45,1)),0))=$J45,"T","F"))</f>
        <v>T</v>
      </c>
      <c r="AE45" s="831">
        <f t="array" ref="AE45">IF($J45="","",SUM(IF(LEFT($AG45:$DX45,1)="s",1,0))-SUM(IF(RIGHT(LEFT($AG45:$DX45,2))="-",1,0)))</f>
        <v>0</v>
      </c>
      <c r="AF45" s="816">
        <f t="array" ref="AF45">IF($J45="","",SUM(IF(LEFT($AG45:$DX45,1)="X",1,0)))</f>
        <v>11</v>
      </c>
      <c r="AG45" s="891" t="s">
        <v>34</v>
      </c>
      <c r="AH45" s="891" t="s">
        <v>1877</v>
      </c>
      <c r="AI45" s="891" t="s">
        <v>32</v>
      </c>
      <c r="AJ45" s="891" t="s">
        <v>32</v>
      </c>
      <c r="AK45" s="891" t="s">
        <v>34</v>
      </c>
      <c r="AL45" s="891" t="s">
        <v>34</v>
      </c>
      <c r="AM45" s="891" t="s">
        <v>1877</v>
      </c>
      <c r="AN45" s="904" t="s">
        <v>2832</v>
      </c>
      <c r="AO45" s="891" t="s">
        <v>34</v>
      </c>
      <c r="AP45" s="891" t="s">
        <v>35</v>
      </c>
      <c r="AQ45" s="891" t="s">
        <v>32</v>
      </c>
      <c r="AR45" s="891" t="s">
        <v>32</v>
      </c>
      <c r="AS45" s="891" t="s">
        <v>36</v>
      </c>
      <c r="AT45" s="891" t="s">
        <v>1884</v>
      </c>
      <c r="AU45" s="891" t="s">
        <v>34</v>
      </c>
      <c r="AV45" s="891" t="s">
        <v>32</v>
      </c>
      <c r="AW45" s="891" t="s">
        <v>1877</v>
      </c>
      <c r="AX45" s="891" t="s">
        <v>35</v>
      </c>
      <c r="AY45" s="891" t="s">
        <v>32</v>
      </c>
      <c r="AZ45" s="891" t="s">
        <v>1877</v>
      </c>
      <c r="BA45" s="891" t="s">
        <v>36</v>
      </c>
      <c r="BB45" s="904" t="s">
        <v>34</v>
      </c>
      <c r="BC45" s="891" t="s">
        <v>34</v>
      </c>
      <c r="BD45" s="891" t="s">
        <v>36</v>
      </c>
      <c r="BE45" s="891" t="s">
        <v>32</v>
      </c>
      <c r="BF45" s="891" t="s">
        <v>35</v>
      </c>
      <c r="BG45" s="910"/>
      <c r="BJ45" s="891"/>
      <c r="BL45" s="891"/>
      <c r="BM45" s="891"/>
      <c r="BN45" s="891"/>
      <c r="BO45" s="891"/>
      <c r="BP45" s="891"/>
      <c r="BQ45" s="892"/>
      <c r="BR45" s="896"/>
      <c r="BS45" s="891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896"/>
      <c r="CF45" s="4"/>
      <c r="CG45" s="4"/>
      <c r="CH45" s="4"/>
      <c r="CI45" s="4"/>
      <c r="CJ45" s="6" t="s">
        <v>32</v>
      </c>
      <c r="CK45" s="6" t="s">
        <v>32</v>
      </c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</row>
    <row r="46" spans="1:121" ht="15">
      <c r="A46" s="882">
        <v>6407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</v>
      </c>
      <c r="G46" s="879" t="s">
        <v>1086</v>
      </c>
      <c r="H46" s="879" t="s">
        <v>18</v>
      </c>
      <c r="I46" s="879" t="s">
        <v>891</v>
      </c>
      <c r="J46" s="846">
        <v>0</v>
      </c>
      <c r="K46" s="846">
        <v>2</v>
      </c>
      <c r="L46" s="816" t="str">
        <f t="shared" si="39"/>
        <v>L</v>
      </c>
      <c r="M46" s="816">
        <f t="shared" si="40"/>
        <v>2</v>
      </c>
      <c r="N46" s="816" t="str">
        <f t="shared" si="41"/>
        <v>U</v>
      </c>
      <c r="O46" s="816">
        <f t="shared" si="31"/>
        <v>0.25</v>
      </c>
      <c r="P46" s="829">
        <f t="shared" si="32"/>
        <v>-1</v>
      </c>
      <c r="Q46" s="830">
        <v>-0.37</v>
      </c>
      <c r="R46" s="871">
        <f t="shared" si="42"/>
        <v>-1.63</v>
      </c>
      <c r="S46" s="830">
        <v>2.4900000000000002</v>
      </c>
      <c r="T46" s="871">
        <f t="shared" si="34"/>
        <v>-0.49000000000000021</v>
      </c>
      <c r="U46" s="868">
        <f t="shared" si="35"/>
        <v>1.06</v>
      </c>
      <c r="V46" s="868">
        <f t="shared" si="36"/>
        <v>1.4300000000000002</v>
      </c>
      <c r="W46" s="829">
        <v>11</v>
      </c>
      <c r="X46" s="829">
        <v>15</v>
      </c>
      <c r="Y46" s="829">
        <v>2</v>
      </c>
      <c r="Z46" s="829">
        <v>6</v>
      </c>
      <c r="AA46" s="829">
        <v>54</v>
      </c>
      <c r="AB46" s="829">
        <v>46</v>
      </c>
      <c r="AC46" s="829"/>
      <c r="AD46" s="816" t="str">
        <f t="array" ref="AD46">IF($J46="","",IF(SUM(IF(ISNUMBER(VALUE(RIGHT($AG46:$DX46,1))),VALUE(RIGHT($AG46:$DX46,1)),0))=$J46,"T","F"))</f>
        <v>T</v>
      </c>
      <c r="AE46" s="831">
        <f t="array" ref="AE46">IF($J46="","",SUM(IF(LEFT($AG46:$DX46,1)="s",1,0))-SUM(IF(RIGHT(LEFT($AG46:$DX46,2))="-",1,0)))</f>
        <v>0</v>
      </c>
      <c r="AF46" s="816">
        <f t="array" ref="AF46">IF($J46="","",SUM(IF(LEFT($AG46:$DX46,1)="X",1,0)))</f>
        <v>11</v>
      </c>
      <c r="AG46" s="891" t="s">
        <v>34</v>
      </c>
      <c r="AH46" s="891" t="s">
        <v>32</v>
      </c>
      <c r="AI46" s="891" t="s">
        <v>32</v>
      </c>
      <c r="AJ46" s="891" t="s">
        <v>1877</v>
      </c>
      <c r="AK46" s="891" t="s">
        <v>34</v>
      </c>
      <c r="AL46" s="904" t="s">
        <v>34</v>
      </c>
      <c r="AM46" s="891" t="s">
        <v>1877</v>
      </c>
      <c r="AN46" s="891" t="s">
        <v>34</v>
      </c>
      <c r="AO46" s="891" t="s">
        <v>34</v>
      </c>
      <c r="AP46" s="891" t="s">
        <v>34</v>
      </c>
      <c r="AQ46" s="891" t="s">
        <v>1877</v>
      </c>
      <c r="AR46" s="891" t="s">
        <v>32</v>
      </c>
      <c r="AS46" s="891" t="s">
        <v>35</v>
      </c>
      <c r="AT46" s="891" t="s">
        <v>1884</v>
      </c>
      <c r="AU46" s="891" t="s">
        <v>34</v>
      </c>
      <c r="AV46" s="891" t="s">
        <v>32</v>
      </c>
      <c r="AW46" s="891" t="s">
        <v>32</v>
      </c>
      <c r="AX46" s="891" t="s">
        <v>36</v>
      </c>
      <c r="AY46" s="891" t="s">
        <v>32</v>
      </c>
      <c r="AZ46" s="891" t="s">
        <v>1877</v>
      </c>
      <c r="BA46" s="891" t="s">
        <v>35</v>
      </c>
      <c r="BB46" s="891" t="s">
        <v>34</v>
      </c>
      <c r="BC46" s="891" t="s">
        <v>35</v>
      </c>
      <c r="BD46" s="891" t="s">
        <v>36</v>
      </c>
      <c r="BE46" s="891" t="s">
        <v>32</v>
      </c>
      <c r="BF46" s="891" t="s">
        <v>36</v>
      </c>
      <c r="BG46" s="910"/>
      <c r="BJ46" s="891"/>
      <c r="BL46" s="891"/>
      <c r="BM46" s="891"/>
      <c r="BN46" s="891"/>
      <c r="BO46" s="891"/>
      <c r="BP46" s="891"/>
      <c r="BQ46" s="892"/>
      <c r="BR46" s="896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896"/>
      <c r="CF46" s="428"/>
      <c r="CG46" s="428"/>
      <c r="CH46" s="428"/>
      <c r="CI46" s="428"/>
      <c r="CJ46" s="230" t="s">
        <v>32</v>
      </c>
      <c r="CK46" s="230" t="s">
        <v>32</v>
      </c>
      <c r="CL46" s="230" t="s">
        <v>32</v>
      </c>
      <c r="CM46" s="230" t="s">
        <v>32</v>
      </c>
      <c r="CN46" s="230" t="s">
        <v>32</v>
      </c>
      <c r="CO46" s="230" t="s">
        <v>32</v>
      </c>
      <c r="CP46" s="230" t="s">
        <v>32</v>
      </c>
    </row>
    <row r="47" spans="1:121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19</v>
      </c>
      <c r="G47" s="879" t="s">
        <v>885</v>
      </c>
      <c r="H47" s="879" t="s">
        <v>22</v>
      </c>
      <c r="I47" s="879" t="s">
        <v>891</v>
      </c>
      <c r="J47" s="846">
        <v>3</v>
      </c>
      <c r="K47" s="846">
        <v>3</v>
      </c>
      <c r="L47" s="816" t="str">
        <f t="shared" si="39"/>
        <v>D</v>
      </c>
      <c r="M47" s="816">
        <f t="shared" si="40"/>
        <v>6</v>
      </c>
      <c r="N47" s="816" t="str">
        <f t="shared" si="41"/>
        <v>O</v>
      </c>
      <c r="O47" s="816">
        <f t="shared" si="31"/>
        <v>-0.75</v>
      </c>
      <c r="P47" s="829">
        <f t="shared" si="32"/>
        <v>-1</v>
      </c>
      <c r="Q47" s="830">
        <v>0.9</v>
      </c>
      <c r="R47" s="871">
        <f t="shared" si="42"/>
        <v>-0.9</v>
      </c>
      <c r="S47" s="830">
        <v>2.65</v>
      </c>
      <c r="T47" s="871">
        <f t="shared" si="34"/>
        <v>3.35</v>
      </c>
      <c r="U47" s="868">
        <f t="shared" si="35"/>
        <v>1.7749999999999999</v>
      </c>
      <c r="V47" s="868">
        <f t="shared" si="36"/>
        <v>0.875</v>
      </c>
      <c r="W47" s="829">
        <v>19</v>
      </c>
      <c r="X47" s="829">
        <v>19</v>
      </c>
      <c r="Y47" s="829">
        <v>7</v>
      </c>
      <c r="Z47" s="829">
        <v>5</v>
      </c>
      <c r="AA47" s="829">
        <v>57</v>
      </c>
      <c r="AB47" s="829">
        <v>43</v>
      </c>
      <c r="AC47" s="829"/>
      <c r="AD47" s="816" t="str">
        <f t="array" ref="AD47">IF($J47="","",IF(SUM(IF(ISNUMBER(VALUE(RIGHT($AG47:$DX47,1))),VALUE(RIGHT($AG47:$DX47,1)),0))=$J47,"T","F"))</f>
        <v>T</v>
      </c>
      <c r="AE47" s="831">
        <f t="array" ref="AE47">IF($J47="","",SUM(IF(LEFT($AG47:$DX47,1)="s",1,0))-SUM(IF(RIGHT(LEFT($AG47:$DX47,2))="-",1,0)))</f>
        <v>0</v>
      </c>
      <c r="AF47" s="816">
        <f t="array" ref="AF47">IF($J47="","",SUM(IF(LEFT($AG47:$DX47,1)="X",1,0)))</f>
        <v>11</v>
      </c>
      <c r="AG47" s="891" t="s">
        <v>34</v>
      </c>
      <c r="AH47" s="891" t="s">
        <v>32</v>
      </c>
      <c r="AI47" s="891" t="s">
        <v>32</v>
      </c>
      <c r="AJ47" s="891" t="s">
        <v>1877</v>
      </c>
      <c r="AK47" s="891" t="s">
        <v>34</v>
      </c>
      <c r="AL47" s="904" t="s">
        <v>34</v>
      </c>
      <c r="AM47" s="891" t="s">
        <v>1877</v>
      </c>
      <c r="AN47" s="891" t="s">
        <v>34</v>
      </c>
      <c r="AO47" s="891" t="s">
        <v>34</v>
      </c>
      <c r="AP47" s="891" t="s">
        <v>34</v>
      </c>
      <c r="AQ47" s="891" t="s">
        <v>32</v>
      </c>
      <c r="AR47" s="891" t="s">
        <v>32</v>
      </c>
      <c r="AS47" s="891" t="s">
        <v>2905</v>
      </c>
      <c r="AT47" s="891" t="s">
        <v>1884</v>
      </c>
      <c r="AU47" s="891" t="s">
        <v>1877</v>
      </c>
      <c r="AV47" s="891" t="s">
        <v>32</v>
      </c>
      <c r="AW47" s="891" t="s">
        <v>32</v>
      </c>
      <c r="AX47" s="891" t="s">
        <v>36</v>
      </c>
      <c r="AY47" s="891" t="s">
        <v>32</v>
      </c>
      <c r="AZ47" s="891" t="s">
        <v>35</v>
      </c>
      <c r="BA47" s="891" t="s">
        <v>35</v>
      </c>
      <c r="BB47" s="891" t="s">
        <v>2904</v>
      </c>
      <c r="BC47" s="891" t="s">
        <v>36</v>
      </c>
      <c r="BD47" s="891" t="s">
        <v>1877</v>
      </c>
      <c r="BE47" s="891" t="s">
        <v>32</v>
      </c>
      <c r="BF47" s="891" t="s">
        <v>36</v>
      </c>
      <c r="BG47" s="891" t="s">
        <v>35</v>
      </c>
      <c r="BJ47" s="891" t="s">
        <v>32</v>
      </c>
      <c r="BL47" s="891"/>
      <c r="BM47" s="891"/>
      <c r="BN47" s="891"/>
      <c r="BO47" s="891"/>
      <c r="BP47" s="891"/>
      <c r="BQ47" s="892"/>
      <c r="BR47" s="896"/>
      <c r="BS47" s="896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428"/>
      <c r="CG47" s="428"/>
      <c r="CH47" s="428"/>
      <c r="CI47" s="428"/>
    </row>
    <row r="48" spans="1:121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14</v>
      </c>
      <c r="G48" s="879" t="s">
        <v>873</v>
      </c>
      <c r="H48" s="879" t="s">
        <v>18</v>
      </c>
      <c r="I48" s="879" t="s">
        <v>891</v>
      </c>
      <c r="J48" s="846">
        <v>2</v>
      </c>
      <c r="K48" s="846">
        <v>3</v>
      </c>
      <c r="L48" s="816" t="str">
        <f t="shared" si="39"/>
        <v>L</v>
      </c>
      <c r="M48" s="816">
        <f t="shared" si="40"/>
        <v>5</v>
      </c>
      <c r="N48" s="816" t="str">
        <f t="shared" si="41"/>
        <v>O</v>
      </c>
      <c r="O48" s="816">
        <f t="shared" si="31"/>
        <v>0</v>
      </c>
      <c r="P48" s="829">
        <f t="shared" si="32"/>
        <v>-1</v>
      </c>
      <c r="Q48" s="830">
        <v>7.0000000000000007E-2</v>
      </c>
      <c r="R48" s="871">
        <f t="shared" si="42"/>
        <v>-1.07</v>
      </c>
      <c r="S48" s="830">
        <v>2.4300000000000002</v>
      </c>
      <c r="T48" s="871">
        <f t="shared" si="34"/>
        <v>2.57</v>
      </c>
      <c r="U48" s="868">
        <f t="shared" si="35"/>
        <v>1.25</v>
      </c>
      <c r="V48" s="868">
        <f t="shared" si="36"/>
        <v>1.1800000000000002</v>
      </c>
      <c r="W48" s="829">
        <v>14</v>
      </c>
      <c r="X48" s="829">
        <v>5</v>
      </c>
      <c r="Y48" s="829">
        <v>4</v>
      </c>
      <c r="Z48" s="829">
        <v>2</v>
      </c>
      <c r="AA48" s="829">
        <v>60</v>
      </c>
      <c r="AB48" s="829">
        <v>40</v>
      </c>
      <c r="AC48" s="829"/>
      <c r="AD48" s="816" t="str">
        <f t="array" ref="AD48">IF($J48="","",IF(SUM(IF(ISNUMBER(VALUE(RIGHT($AG48:$DX48,1))),VALUE(RIGHT($AG48:$DX48,1)),0))=$J48,"T","F"))</f>
        <v>T</v>
      </c>
      <c r="AE48" s="831">
        <f t="array" ref="AE48">IF($J48="","",SUM(IF(LEFT($AG48:$DX48,1)="s",1,0))-SUM(IF(RIGHT(LEFT($AG48:$DX48,2))="-",1,0)))</f>
        <v>0</v>
      </c>
      <c r="AF48" s="816">
        <f t="array" ref="AF48">IF($J48="","",SUM(IF(LEFT($AG48:$DX48,1)="X",1,0)))</f>
        <v>11</v>
      </c>
      <c r="AG48" s="891" t="s">
        <v>34</v>
      </c>
      <c r="AH48" s="891" t="s">
        <v>32</v>
      </c>
      <c r="AI48" s="891" t="s">
        <v>32</v>
      </c>
      <c r="AJ48" s="891" t="s">
        <v>1877</v>
      </c>
      <c r="AK48" s="891" t="s">
        <v>34</v>
      </c>
      <c r="AL48" s="891" t="s">
        <v>34</v>
      </c>
      <c r="AM48" s="891" t="s">
        <v>34</v>
      </c>
      <c r="AN48" s="891" t="s">
        <v>34</v>
      </c>
      <c r="AO48" s="891" t="s">
        <v>32</v>
      </c>
      <c r="AP48" s="891" t="s">
        <v>1877</v>
      </c>
      <c r="AQ48" s="891" t="s">
        <v>1877</v>
      </c>
      <c r="AR48" s="891" t="s">
        <v>32</v>
      </c>
      <c r="AS48" s="904" t="s">
        <v>35</v>
      </c>
      <c r="AT48" s="891" t="s">
        <v>1884</v>
      </c>
      <c r="AU48" s="904" t="s">
        <v>34</v>
      </c>
      <c r="AV48" s="891" t="s">
        <v>32</v>
      </c>
      <c r="AW48" s="891" t="s">
        <v>2940</v>
      </c>
      <c r="AX48" s="891" t="s">
        <v>1877</v>
      </c>
      <c r="AY48" s="891" t="s">
        <v>32</v>
      </c>
      <c r="AZ48" s="891" t="s">
        <v>32</v>
      </c>
      <c r="BA48" s="891" t="s">
        <v>36</v>
      </c>
      <c r="BB48" s="891" t="s">
        <v>34</v>
      </c>
      <c r="BC48" s="891" t="s">
        <v>2941</v>
      </c>
      <c r="BD48" s="891" t="s">
        <v>36</v>
      </c>
      <c r="BE48" s="891" t="s">
        <v>32</v>
      </c>
      <c r="BF48" s="891" t="s">
        <v>35</v>
      </c>
      <c r="BG48" s="891" t="s">
        <v>34</v>
      </c>
      <c r="BH48" t="s">
        <v>32</v>
      </c>
      <c r="BJ48" s="910"/>
      <c r="BL48" s="891"/>
      <c r="BM48" s="891"/>
      <c r="BN48" s="891"/>
      <c r="BO48" s="891"/>
      <c r="BP48" s="891"/>
      <c r="BQ48" s="892"/>
      <c r="BR48" s="896"/>
      <c r="BS48" s="891"/>
      <c r="BT48" s="896"/>
      <c r="BU48" s="896"/>
      <c r="BV48" s="896"/>
      <c r="BW48" s="896"/>
      <c r="BX48" s="896"/>
      <c r="BY48" s="891"/>
      <c r="BZ48" s="891"/>
      <c r="CA48" s="891"/>
      <c r="CB48" s="891"/>
      <c r="CC48" s="891"/>
      <c r="CD48" s="891"/>
      <c r="CE48" s="891"/>
      <c r="CF48" s="428"/>
      <c r="CG48" s="428"/>
      <c r="CH48" s="428"/>
      <c r="CI48" s="428"/>
    </row>
    <row r="49" spans="1:87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17</v>
      </c>
      <c r="G49" s="879" t="s">
        <v>875</v>
      </c>
      <c r="H49" s="879" t="s">
        <v>18</v>
      </c>
      <c r="I49" s="879" t="s">
        <v>891</v>
      </c>
      <c r="J49" s="846">
        <v>0</v>
      </c>
      <c r="K49" s="846">
        <v>0</v>
      </c>
      <c r="L49" s="816" t="str">
        <f t="shared" si="39"/>
        <v>D</v>
      </c>
      <c r="M49" s="816">
        <f t="shared" si="40"/>
        <v>0</v>
      </c>
      <c r="N49" s="816" t="str">
        <f t="shared" si="41"/>
        <v>U</v>
      </c>
      <c r="O49" s="816">
        <f t="shared" si="31"/>
        <v>-0.5</v>
      </c>
      <c r="P49" s="829">
        <f t="shared" si="32"/>
        <v>-1</v>
      </c>
      <c r="Q49" s="830">
        <v>0.55000000000000004</v>
      </c>
      <c r="R49" s="871">
        <f t="shared" si="42"/>
        <v>-0.55000000000000004</v>
      </c>
      <c r="S49" s="830">
        <v>2.75</v>
      </c>
      <c r="T49" s="871">
        <f t="shared" si="34"/>
        <v>-2.75</v>
      </c>
      <c r="U49" s="868">
        <f t="shared" si="35"/>
        <v>1.65</v>
      </c>
      <c r="V49" s="868">
        <f t="shared" si="36"/>
        <v>1.1000000000000001</v>
      </c>
      <c r="W49" s="829">
        <v>11</v>
      </c>
      <c r="X49" s="829">
        <v>17</v>
      </c>
      <c r="Y49" s="829">
        <v>5</v>
      </c>
      <c r="Z49" s="829">
        <v>3</v>
      </c>
      <c r="AA49" s="829">
        <v>47</v>
      </c>
      <c r="AB49" s="829">
        <v>53</v>
      </c>
      <c r="AC49" s="829"/>
      <c r="AD49" s="816" t="str">
        <f t="array" ref="AD49">IF($J49="","",IF(SUM(IF(ISNUMBER(VALUE(RIGHT($AG49:$DX49,1))),VALUE(RIGHT($AG49:$DX49,1)),0))=$J49,"T","F"))</f>
        <v>T</v>
      </c>
      <c r="AE49" s="831">
        <f t="array" ref="AE49">IF($J49="","",SUM(IF(LEFT($AG49:$DX49,1)="s",1,0))-SUM(IF(RIGHT(LEFT($AG49:$DX49,2))="-",1,0)))</f>
        <v>0</v>
      </c>
      <c r="AF49" s="816">
        <f t="array" ref="AF49">IF($J49="","",SUM(IF(LEFT($AG49:$DX49,1)="X",1,0)))</f>
        <v>11</v>
      </c>
      <c r="AG49" s="891" t="s">
        <v>34</v>
      </c>
      <c r="AH49" s="891" t="s">
        <v>32</v>
      </c>
      <c r="AI49" s="891" t="s">
        <v>32</v>
      </c>
      <c r="AJ49" s="891" t="s">
        <v>1877</v>
      </c>
      <c r="AK49" s="891" t="s">
        <v>34</v>
      </c>
      <c r="AL49" s="891" t="s">
        <v>34</v>
      </c>
      <c r="AM49" s="891" t="s">
        <v>34</v>
      </c>
      <c r="AN49" s="891" t="s">
        <v>34</v>
      </c>
      <c r="AO49" s="891" t="s">
        <v>1877</v>
      </c>
      <c r="AP49" s="891" t="s">
        <v>1877</v>
      </c>
      <c r="AQ49" s="891" t="s">
        <v>32</v>
      </c>
      <c r="AR49" s="891" t="s">
        <v>32</v>
      </c>
      <c r="AS49" s="891" t="s">
        <v>34</v>
      </c>
      <c r="AT49" s="891" t="s">
        <v>1884</v>
      </c>
      <c r="AU49" s="891" t="s">
        <v>34</v>
      </c>
      <c r="AV49" s="891" t="s">
        <v>32</v>
      </c>
      <c r="AW49" s="904" t="s">
        <v>35</v>
      </c>
      <c r="AX49" s="891" t="s">
        <v>1877</v>
      </c>
      <c r="AY49" s="891" t="s">
        <v>32</v>
      </c>
      <c r="AZ49" s="891" t="s">
        <v>32</v>
      </c>
      <c r="BA49" s="891" t="s">
        <v>36</v>
      </c>
      <c r="BB49" s="891" t="s">
        <v>34</v>
      </c>
      <c r="BC49" s="891" t="s">
        <v>36</v>
      </c>
      <c r="BD49" s="891" t="s">
        <v>36</v>
      </c>
      <c r="BE49" s="891" t="s">
        <v>32</v>
      </c>
      <c r="BF49" s="891" t="s">
        <v>35</v>
      </c>
      <c r="BG49" s="891" t="s">
        <v>35</v>
      </c>
      <c r="BH49" s="891" t="s">
        <v>32</v>
      </c>
      <c r="BI49" s="891"/>
      <c r="BJ49" s="910" t="s">
        <v>32</v>
      </c>
      <c r="BK49" s="891"/>
      <c r="BL49" s="891"/>
      <c r="BM49" s="891"/>
      <c r="BN49" s="891"/>
      <c r="BO49" s="891"/>
      <c r="BP49" s="891"/>
      <c r="BQ49" s="892"/>
      <c r="BR49" s="896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896"/>
      <c r="CF49" s="428"/>
      <c r="CG49" s="428"/>
      <c r="CH49" s="428"/>
      <c r="CI49" s="428"/>
    </row>
    <row r="50" spans="1:87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21</v>
      </c>
      <c r="G50" s="879" t="s">
        <v>890</v>
      </c>
      <c r="H50" s="879" t="s">
        <v>22</v>
      </c>
      <c r="I50" s="879" t="s">
        <v>891</v>
      </c>
      <c r="J50" s="846">
        <v>1</v>
      </c>
      <c r="K50" s="908">
        <v>0</v>
      </c>
      <c r="L50" s="816" t="str">
        <f t="shared" si="39"/>
        <v>W</v>
      </c>
      <c r="M50" s="816">
        <f t="shared" si="40"/>
        <v>1</v>
      </c>
      <c r="N50" s="816" t="str">
        <f t="shared" si="41"/>
        <v>U</v>
      </c>
      <c r="O50" s="816">
        <f t="shared" si="31"/>
        <v>-0.75</v>
      </c>
      <c r="P50" s="829">
        <f t="shared" si="32"/>
        <v>0.5</v>
      </c>
      <c r="Q50" s="830">
        <v>0.83</v>
      </c>
      <c r="R50" s="871">
        <f t="shared" si="42"/>
        <v>0.17000000000000004</v>
      </c>
      <c r="S50" s="830">
        <v>2.65</v>
      </c>
      <c r="T50" s="871">
        <f t="shared" si="34"/>
        <v>-1.65</v>
      </c>
      <c r="U50" s="868">
        <f t="shared" si="35"/>
        <v>1.74</v>
      </c>
      <c r="V50" s="868">
        <f t="shared" si="36"/>
        <v>0.90999999999999992</v>
      </c>
      <c r="W50" s="829">
        <v>28</v>
      </c>
      <c r="X50" s="829">
        <v>3</v>
      </c>
      <c r="Y50" s="829">
        <v>9</v>
      </c>
      <c r="Z50" s="829">
        <v>0</v>
      </c>
      <c r="AA50" s="829">
        <v>68</v>
      </c>
      <c r="AB50" s="829">
        <v>32</v>
      </c>
      <c r="AC50" s="829"/>
      <c r="AD50" s="816" t="str">
        <f t="array" ref="AD50">IF($J50="","",IF(SUM(IF(ISNUMBER(VALUE(RIGHT($AG50:$DX50,1))),VALUE(RIGHT($AG50:$DX50,1)),0))=$J50,"T","F"))</f>
        <v>T</v>
      </c>
      <c r="AE50" s="831">
        <f t="array" ref="AE50">IF($J50="","",SUM(IF(LEFT($AG50:$DX50,1)="s",1,0))-SUM(IF(RIGHT(LEFT($AG50:$DX50,2))="-",1,0)))</f>
        <v>0</v>
      </c>
      <c r="AF50" s="816">
        <f t="array" ref="AF50">IF($J50="","",SUM(IF(LEFT($AG50:$DX50,1)="X",1,0)))</f>
        <v>11</v>
      </c>
      <c r="AG50" s="891" t="s">
        <v>34</v>
      </c>
      <c r="AH50" s="891" t="s">
        <v>32</v>
      </c>
      <c r="AI50" s="891" t="s">
        <v>32</v>
      </c>
      <c r="AJ50" s="891" t="s">
        <v>1877</v>
      </c>
      <c r="AK50" s="891" t="s">
        <v>34</v>
      </c>
      <c r="AL50" s="891" t="s">
        <v>34</v>
      </c>
      <c r="AM50" s="891" t="s">
        <v>1877</v>
      </c>
      <c r="AN50" s="891" t="s">
        <v>34</v>
      </c>
      <c r="AO50" s="891" t="s">
        <v>1877</v>
      </c>
      <c r="AP50" s="891" t="s">
        <v>32</v>
      </c>
      <c r="AQ50" s="891" t="s">
        <v>32</v>
      </c>
      <c r="AR50" s="891" t="s">
        <v>1877</v>
      </c>
      <c r="AS50" s="891" t="s">
        <v>32</v>
      </c>
      <c r="AT50" s="891" t="s">
        <v>1884</v>
      </c>
      <c r="AU50" s="891" t="s">
        <v>34</v>
      </c>
      <c r="AV50" s="891" t="s">
        <v>32</v>
      </c>
      <c r="AW50" s="904" t="s">
        <v>34</v>
      </c>
      <c r="AX50" s="891" t="s">
        <v>36</v>
      </c>
      <c r="AY50" s="891" t="s">
        <v>32</v>
      </c>
      <c r="AZ50" s="891" t="s">
        <v>34</v>
      </c>
      <c r="BA50" s="891" t="s">
        <v>35</v>
      </c>
      <c r="BB50" s="891" t="s">
        <v>35</v>
      </c>
      <c r="BC50" s="891" t="s">
        <v>3071</v>
      </c>
      <c r="BD50" s="891" t="s">
        <v>35</v>
      </c>
      <c r="BE50" s="891" t="s">
        <v>32</v>
      </c>
      <c r="BF50" s="891" t="s">
        <v>36</v>
      </c>
      <c r="BG50" s="891" t="s">
        <v>34</v>
      </c>
      <c r="BH50" s="891"/>
      <c r="BI50" s="891"/>
      <c r="BJ50" s="910"/>
      <c r="BK50" s="891"/>
      <c r="BL50" s="891"/>
      <c r="BM50" s="891"/>
      <c r="BN50" s="891"/>
      <c r="BO50" s="891"/>
      <c r="BP50" s="891"/>
      <c r="BQ50" s="892"/>
      <c r="BR50" s="896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428"/>
      <c r="CG50" s="428"/>
      <c r="CH50" s="428"/>
      <c r="CI50" s="428"/>
    </row>
    <row r="51" spans="1:87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9</v>
      </c>
      <c r="G51" s="879" t="s">
        <v>1083</v>
      </c>
      <c r="H51" s="879" t="s">
        <v>18</v>
      </c>
      <c r="I51" s="879" t="s">
        <v>891</v>
      </c>
      <c r="J51" s="846">
        <v>2</v>
      </c>
      <c r="K51" s="846">
        <v>0</v>
      </c>
      <c r="L51" s="816" t="str">
        <f t="shared" si="39"/>
        <v>W</v>
      </c>
      <c r="M51" s="816">
        <f t="shared" si="40"/>
        <v>2</v>
      </c>
      <c r="N51" s="816" t="str">
        <f t="shared" si="41"/>
        <v>U</v>
      </c>
      <c r="O51" s="816">
        <f t="shared" si="31"/>
        <v>0</v>
      </c>
      <c r="P51" s="829">
        <f t="shared" si="32"/>
        <v>1</v>
      </c>
      <c r="Q51" s="830">
        <v>-0.05</v>
      </c>
      <c r="R51" s="871">
        <f t="shared" ref="R51:R63" si="51">IF(ISBLANK(Q51),"",J51-K51-Q51)</f>
        <v>2.0499999999999998</v>
      </c>
      <c r="S51" s="830">
        <v>2.63</v>
      </c>
      <c r="T51" s="871">
        <f t="shared" si="34"/>
        <v>-0.62999999999999989</v>
      </c>
      <c r="U51" s="868">
        <f t="shared" si="35"/>
        <v>1.29</v>
      </c>
      <c r="V51" s="868">
        <f t="shared" si="36"/>
        <v>1.3399999999999999</v>
      </c>
      <c r="W51" s="829">
        <v>16</v>
      </c>
      <c r="X51" s="829">
        <v>12</v>
      </c>
      <c r="Y51" s="829">
        <v>3</v>
      </c>
      <c r="Z51" s="829">
        <v>1</v>
      </c>
      <c r="AA51" s="829">
        <v>45</v>
      </c>
      <c r="AB51" s="829">
        <v>55</v>
      </c>
      <c r="AC51" s="829"/>
      <c r="AD51" s="816" t="str">
        <f t="array" ref="AD51">IF($J51="","",IF(SUM(IF(ISNUMBER(VALUE(RIGHT($AG51:$DX51,1))),VALUE(RIGHT($AG51:$DX51,1)),0))=$J51,"T","F"))</f>
        <v>T</v>
      </c>
      <c r="AE51" s="831">
        <f t="array" ref="AE51">IF($J51="","",SUM(IF(LEFT($AG51:$DX51,1)="s",1,0))-SUM(IF(RIGHT(LEFT($AG51:$DX51,2))="-",1,0)))</f>
        <v>0</v>
      </c>
      <c r="AF51" s="816">
        <f t="array" ref="AF51">IF($J51="","",SUM(IF(LEFT($AG51:$DX51,1)="X",1,0)))</f>
        <v>11</v>
      </c>
      <c r="AG51" s="891" t="s">
        <v>34</v>
      </c>
      <c r="AH51" s="891" t="s">
        <v>32</v>
      </c>
      <c r="AI51" s="891" t="s">
        <v>32</v>
      </c>
      <c r="AJ51" s="891" t="s">
        <v>1877</v>
      </c>
      <c r="AK51" s="891" t="s">
        <v>34</v>
      </c>
      <c r="AL51" s="891" t="s">
        <v>34</v>
      </c>
      <c r="AM51" s="891" t="s">
        <v>1877</v>
      </c>
      <c r="AN51" s="891" t="s">
        <v>34</v>
      </c>
      <c r="AO51" s="891" t="s">
        <v>34</v>
      </c>
      <c r="AP51" s="891" t="s">
        <v>32</v>
      </c>
      <c r="AQ51" s="891" t="s">
        <v>36</v>
      </c>
      <c r="AR51" s="891" t="s">
        <v>32</v>
      </c>
      <c r="AS51" s="891" t="s">
        <v>32</v>
      </c>
      <c r="AT51" s="891" t="s">
        <v>1884</v>
      </c>
      <c r="AU51" s="891" t="s">
        <v>34</v>
      </c>
      <c r="AV51" s="891" t="s">
        <v>32</v>
      </c>
      <c r="AW51" s="891" t="s">
        <v>34</v>
      </c>
      <c r="AX51" s="891" t="s">
        <v>36</v>
      </c>
      <c r="AY51" s="891" t="s">
        <v>32</v>
      </c>
      <c r="AZ51" s="891" t="s">
        <v>35</v>
      </c>
      <c r="BA51" s="891" t="s">
        <v>35</v>
      </c>
      <c r="BB51" s="891" t="s">
        <v>34</v>
      </c>
      <c r="BC51" s="891" t="s">
        <v>3099</v>
      </c>
      <c r="BD51" s="891" t="s">
        <v>1877</v>
      </c>
      <c r="BE51" s="891" t="s">
        <v>32</v>
      </c>
      <c r="BF51" s="891" t="s">
        <v>1877</v>
      </c>
      <c r="BG51" s="891" t="s">
        <v>36</v>
      </c>
      <c r="BH51" s="891"/>
      <c r="BI51" s="891"/>
      <c r="BJ51" s="910"/>
      <c r="BK51" s="891"/>
      <c r="BL51" s="891"/>
      <c r="BM51" s="891"/>
      <c r="BN51" s="891"/>
      <c r="BO51" s="891"/>
      <c r="BP51" s="891" t="s">
        <v>32</v>
      </c>
      <c r="BQ51" s="892" t="s">
        <v>32</v>
      </c>
      <c r="BR51" s="896" t="s">
        <v>32</v>
      </c>
      <c r="BS51" s="896" t="s">
        <v>32</v>
      </c>
      <c r="BT51" s="896" t="s">
        <v>32</v>
      </c>
      <c r="BU51" s="896" t="s">
        <v>32</v>
      </c>
      <c r="BV51" s="896" t="s">
        <v>32</v>
      </c>
      <c r="BW51" s="896" t="s">
        <v>32</v>
      </c>
      <c r="BX51" s="896" t="s">
        <v>32</v>
      </c>
      <c r="BY51" s="896"/>
      <c r="BZ51" s="896"/>
      <c r="CA51" s="896"/>
      <c r="CB51" s="896"/>
      <c r="CC51" s="896"/>
      <c r="CD51" s="896"/>
      <c r="CE51" s="896"/>
      <c r="CF51" s="428"/>
      <c r="CG51" s="428"/>
      <c r="CH51" s="428"/>
      <c r="CI51" s="428"/>
    </row>
    <row r="52" spans="1:87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2</v>
      </c>
      <c r="G52" s="879" t="s">
        <v>886</v>
      </c>
      <c r="H52" s="879" t="s">
        <v>22</v>
      </c>
      <c r="I52" s="879" t="s">
        <v>891</v>
      </c>
      <c r="J52" s="846">
        <v>2</v>
      </c>
      <c r="K52" s="846">
        <v>1</v>
      </c>
      <c r="L52" s="816" t="str">
        <f t="shared" si="39"/>
        <v>W</v>
      </c>
      <c r="M52" s="816">
        <f t="shared" si="40"/>
        <v>3</v>
      </c>
      <c r="N52" s="816" t="str">
        <f t="shared" si="41"/>
        <v>O</v>
      </c>
      <c r="O52" s="816">
        <f t="shared" si="31"/>
        <v>-0.25</v>
      </c>
      <c r="P52" s="829">
        <f t="shared" si="32"/>
        <v>1</v>
      </c>
      <c r="Q52" s="830">
        <v>0.34</v>
      </c>
      <c r="R52" s="871">
        <f t="shared" si="51"/>
        <v>0.65999999999999992</v>
      </c>
      <c r="S52" s="830">
        <v>2.41</v>
      </c>
      <c r="T52" s="871">
        <f t="shared" si="34"/>
        <v>0.58999999999999986</v>
      </c>
      <c r="U52" s="868">
        <f t="shared" si="35"/>
        <v>1.375</v>
      </c>
      <c r="V52" s="868">
        <f t="shared" si="36"/>
        <v>1.0350000000000001</v>
      </c>
      <c r="W52" s="829">
        <v>12</v>
      </c>
      <c r="X52" s="829">
        <v>6</v>
      </c>
      <c r="Y52" s="829">
        <v>5</v>
      </c>
      <c r="Z52" s="829">
        <v>3</v>
      </c>
      <c r="AA52" s="829">
        <v>51</v>
      </c>
      <c r="AB52" s="829">
        <v>49</v>
      </c>
      <c r="AC52" s="829"/>
      <c r="AD52" s="816" t="str">
        <f t="array" ref="AD52">IF($J52="","",IF(SUM(IF(ISNUMBER(VALUE(RIGHT($AG52:$DX52,1))),VALUE(RIGHT($AG52:$DX52,1)),0))=$J52,"T","F"))</f>
        <v>T</v>
      </c>
      <c r="AE52" s="831">
        <f t="array" ref="AE52">IF($J52="","",SUM(IF(LEFT($AG52:$DX52,1)="s",1,0))-SUM(IF(RIGHT(LEFT($AG52:$DX52,2))="-",1,0)))</f>
        <v>0</v>
      </c>
      <c r="AF52" s="816">
        <f t="array" ref="AF52">IF($J52="","",SUM(IF(LEFT($AG52:$DX52,1)="X",1,0)))</f>
        <v>11</v>
      </c>
      <c r="AG52" s="891" t="s">
        <v>34</v>
      </c>
      <c r="AH52" s="891" t="s">
        <v>32</v>
      </c>
      <c r="AI52" s="891" t="s">
        <v>32</v>
      </c>
      <c r="AJ52" s="891" t="s">
        <v>1877</v>
      </c>
      <c r="AK52" s="891" t="s">
        <v>3114</v>
      </c>
      <c r="AL52" s="891" t="s">
        <v>34</v>
      </c>
      <c r="AM52" s="891" t="s">
        <v>1877</v>
      </c>
      <c r="AN52" s="891" t="s">
        <v>34</v>
      </c>
      <c r="AO52" s="904" t="s">
        <v>34</v>
      </c>
      <c r="AP52" s="891" t="s">
        <v>32</v>
      </c>
      <c r="AQ52" s="891" t="s">
        <v>32</v>
      </c>
      <c r="AR52" s="891" t="s">
        <v>1877</v>
      </c>
      <c r="AS52" s="891" t="s">
        <v>32</v>
      </c>
      <c r="AT52" s="891" t="s">
        <v>1884</v>
      </c>
      <c r="AU52" s="891" t="s">
        <v>34</v>
      </c>
      <c r="AV52" s="891" t="s">
        <v>32</v>
      </c>
      <c r="AW52" s="891" t="s">
        <v>34</v>
      </c>
      <c r="AX52" s="891" t="s">
        <v>36</v>
      </c>
      <c r="AY52" s="891" t="s">
        <v>1877</v>
      </c>
      <c r="AZ52" s="891" t="s">
        <v>35</v>
      </c>
      <c r="BA52" s="891" t="s">
        <v>35</v>
      </c>
      <c r="BB52" s="904" t="s">
        <v>3114</v>
      </c>
      <c r="BC52" s="891" t="s">
        <v>35</v>
      </c>
      <c r="BD52" s="891" t="s">
        <v>32</v>
      </c>
      <c r="BE52" s="891" t="s">
        <v>32</v>
      </c>
      <c r="BF52" s="891" t="s">
        <v>36</v>
      </c>
      <c r="BG52" s="891" t="s">
        <v>36</v>
      </c>
      <c r="BH52" s="891" t="s">
        <v>32</v>
      </c>
      <c r="BI52" s="891"/>
      <c r="BJ52" s="910" t="s">
        <v>32</v>
      </c>
      <c r="BK52" s="891"/>
      <c r="BL52" s="891"/>
      <c r="BM52" s="891"/>
      <c r="BN52" s="891"/>
      <c r="BO52" s="891"/>
      <c r="BP52" s="891"/>
      <c r="BQ52" s="892"/>
      <c r="BR52" s="896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428"/>
      <c r="CG52" s="428"/>
      <c r="CH52" s="428"/>
      <c r="CI52" s="428"/>
    </row>
    <row r="53" spans="1:87" ht="15">
      <c r="A53" s="882">
        <v>6448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15</v>
      </c>
      <c r="G53" s="879" t="s">
        <v>881</v>
      </c>
      <c r="H53" s="879" t="s">
        <v>18</v>
      </c>
      <c r="I53" s="879" t="s">
        <v>891</v>
      </c>
      <c r="J53" s="846">
        <v>3</v>
      </c>
      <c r="K53" s="846">
        <v>0</v>
      </c>
      <c r="L53" s="816" t="str">
        <f t="shared" si="39"/>
        <v>W</v>
      </c>
      <c r="M53" s="816">
        <f t="shared" si="40"/>
        <v>3</v>
      </c>
      <c r="N53" s="816" t="str">
        <f t="shared" si="41"/>
        <v>O</v>
      </c>
      <c r="O53" s="816">
        <f t="shared" si="31"/>
        <v>-0.25</v>
      </c>
      <c r="P53" s="829">
        <f t="shared" si="32"/>
        <v>1</v>
      </c>
      <c r="Q53" s="830">
        <v>0.26</v>
      </c>
      <c r="R53" s="871">
        <f t="shared" si="51"/>
        <v>2.74</v>
      </c>
      <c r="S53" s="830">
        <v>2.5099999999999998</v>
      </c>
      <c r="T53" s="871">
        <f t="shared" si="34"/>
        <v>0.49000000000000021</v>
      </c>
      <c r="U53" s="868">
        <f t="shared" si="35"/>
        <v>1.3849999999999998</v>
      </c>
      <c r="V53" s="868">
        <f t="shared" si="36"/>
        <v>1.125</v>
      </c>
      <c r="W53" s="829">
        <v>13</v>
      </c>
      <c r="X53" s="829">
        <v>9</v>
      </c>
      <c r="Y53" s="829">
        <v>5</v>
      </c>
      <c r="Z53" s="829">
        <v>1</v>
      </c>
      <c r="AA53" s="829">
        <v>49</v>
      </c>
      <c r="AB53" s="829">
        <v>51</v>
      </c>
      <c r="AC53" s="829"/>
      <c r="AD53" s="816" t="str">
        <f t="array" ref="AD53">IF($J53="","",IF(SUM(IF(ISNUMBER(VALUE(RIGHT($AG53:$DX53,1))),VALUE(RIGHT($AG53:$DX53,1)),0))=$J53,"T","F"))</f>
        <v>T</v>
      </c>
      <c r="AE53" s="831">
        <f t="array" ref="AE53">IF($J53="","",SUM(IF(LEFT($AG53:$DX53,1)="s",1,0))-SUM(IF(RIGHT(LEFT($AG53:$DX53,2))="-",1,0)))</f>
        <v>0</v>
      </c>
      <c r="AF53" s="816">
        <f t="array" ref="AF53">IF($J53="","",SUM(IF(LEFT($AG53:$DX53,1)="X",1,0)))</f>
        <v>11</v>
      </c>
      <c r="AG53" s="891" t="s">
        <v>3160</v>
      </c>
      <c r="AH53" s="891" t="s">
        <v>32</v>
      </c>
      <c r="AI53" s="891" t="s">
        <v>32</v>
      </c>
      <c r="AJ53" s="891" t="s">
        <v>1877</v>
      </c>
      <c r="AK53" s="891" t="s">
        <v>34</v>
      </c>
      <c r="AL53" s="891" t="s">
        <v>34</v>
      </c>
      <c r="AM53" s="891" t="s">
        <v>1877</v>
      </c>
      <c r="AN53" s="891" t="s">
        <v>34</v>
      </c>
      <c r="AO53" s="891" t="s">
        <v>34</v>
      </c>
      <c r="AP53" s="891" t="s">
        <v>32</v>
      </c>
      <c r="AQ53" s="891" t="s">
        <v>1877</v>
      </c>
      <c r="AR53" s="891" t="s">
        <v>32</v>
      </c>
      <c r="AS53" s="891" t="s">
        <v>32</v>
      </c>
      <c r="AT53" s="891" t="s">
        <v>1884</v>
      </c>
      <c r="AU53" s="891" t="s">
        <v>34</v>
      </c>
      <c r="AV53" s="891" t="s">
        <v>32</v>
      </c>
      <c r="AW53" s="891" t="s">
        <v>34</v>
      </c>
      <c r="AX53" s="891" t="s">
        <v>36</v>
      </c>
      <c r="AY53" s="891" t="s">
        <v>32</v>
      </c>
      <c r="AZ53" s="904" t="s">
        <v>35</v>
      </c>
      <c r="BA53" s="891" t="s">
        <v>35</v>
      </c>
      <c r="BB53" s="891" t="s">
        <v>3165</v>
      </c>
      <c r="BC53" s="891" t="s">
        <v>35</v>
      </c>
      <c r="BD53" s="891" t="s">
        <v>1877</v>
      </c>
      <c r="BE53" s="891" t="s">
        <v>32</v>
      </c>
      <c r="BF53" s="891" t="s">
        <v>36</v>
      </c>
      <c r="BG53" s="891" t="s">
        <v>3148</v>
      </c>
      <c r="BH53" s="891" t="s">
        <v>32</v>
      </c>
      <c r="BI53" s="891"/>
      <c r="BJ53" s="910" t="s">
        <v>32</v>
      </c>
      <c r="BK53" s="891"/>
      <c r="BL53" s="891"/>
      <c r="BM53" s="891"/>
      <c r="BN53" s="891"/>
      <c r="BO53" s="891"/>
      <c r="BP53" s="891"/>
      <c r="BQ53" s="892"/>
      <c r="BR53" s="896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428"/>
      <c r="CG53" s="428"/>
      <c r="CH53" s="428"/>
      <c r="CI53" s="428"/>
    </row>
    <row r="54" spans="1:87" ht="15">
      <c r="A54" s="882">
        <v>6455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6</v>
      </c>
      <c r="G54" s="879" t="s">
        <v>876</v>
      </c>
      <c r="H54" s="879" t="s">
        <v>18</v>
      </c>
      <c r="I54" s="879" t="s">
        <v>891</v>
      </c>
      <c r="J54" s="846">
        <v>2</v>
      </c>
      <c r="K54" s="846">
        <v>2</v>
      </c>
      <c r="L54" s="816" t="str">
        <f t="shared" si="39"/>
        <v>D</v>
      </c>
      <c r="M54" s="816">
        <f t="shared" si="40"/>
        <v>4</v>
      </c>
      <c r="N54" s="816" t="str">
        <f t="shared" si="41"/>
        <v>O</v>
      </c>
      <c r="O54" s="816">
        <f t="shared" si="31"/>
        <v>0.25</v>
      </c>
      <c r="P54" s="829">
        <f t="shared" si="32"/>
        <v>0.5</v>
      </c>
      <c r="Q54" s="830">
        <v>-0.23</v>
      </c>
      <c r="R54" s="871">
        <f t="shared" si="51"/>
        <v>0.23</v>
      </c>
      <c r="S54" s="830">
        <v>2.8</v>
      </c>
      <c r="T54" s="871">
        <f t="shared" si="34"/>
        <v>1.2000000000000002</v>
      </c>
      <c r="U54" s="868">
        <f t="shared" si="35"/>
        <v>1.2849999999999999</v>
      </c>
      <c r="V54" s="868">
        <f t="shared" si="36"/>
        <v>1.5149999999999999</v>
      </c>
      <c r="W54" s="829">
        <v>16</v>
      </c>
      <c r="X54" s="829">
        <v>11</v>
      </c>
      <c r="Y54" s="829">
        <v>7</v>
      </c>
      <c r="Z54" s="829">
        <v>5</v>
      </c>
      <c r="AA54" s="829">
        <v>41</v>
      </c>
      <c r="AB54" s="829">
        <v>59</v>
      </c>
      <c r="AC54" s="829"/>
      <c r="AD54" s="816" t="str">
        <f t="array" ref="AD54">IF($J54="","",IF(SUM(IF(ISNUMBER(VALUE(RIGHT($AG54:$DX54,1))),VALUE(RIGHT($AG54:$DX54,1)),0))=$J54,"T","F"))</f>
        <v>T</v>
      </c>
      <c r="AE54" s="831">
        <f t="array" ref="AE54">IF($J54="","",SUM(IF(LEFT($AG54:$DX54,1)="s",1,0))-SUM(IF(RIGHT(LEFT($AG54:$DX54,2))="-",1,0)))</f>
        <v>0</v>
      </c>
      <c r="AF54" s="816">
        <f t="array" ref="AF54">IF($J54="","",SUM(IF(LEFT($AG54:$DX54,1)="X",1,0)))</f>
        <v>11</v>
      </c>
      <c r="AG54" s="891" t="s">
        <v>34</v>
      </c>
      <c r="AH54" s="891" t="s">
        <v>32</v>
      </c>
      <c r="AI54" s="891" t="s">
        <v>32</v>
      </c>
      <c r="AJ54" s="891" t="s">
        <v>1877</v>
      </c>
      <c r="AK54" s="891" t="s">
        <v>34</v>
      </c>
      <c r="AL54" s="891" t="s">
        <v>34</v>
      </c>
      <c r="AM54" s="891" t="s">
        <v>1877</v>
      </c>
      <c r="AN54" s="891" t="s">
        <v>34</v>
      </c>
      <c r="AO54" s="891" t="s">
        <v>34</v>
      </c>
      <c r="AP54" s="891" t="s">
        <v>32</v>
      </c>
      <c r="AQ54" s="891" t="s">
        <v>1877</v>
      </c>
      <c r="AR54" s="891" t="s">
        <v>32</v>
      </c>
      <c r="AS54" s="891" t="s">
        <v>32</v>
      </c>
      <c r="AT54" s="891" t="s">
        <v>1884</v>
      </c>
      <c r="AU54" s="891" t="s">
        <v>34</v>
      </c>
      <c r="AV54" s="891" t="s">
        <v>32</v>
      </c>
      <c r="AW54" s="891" t="s">
        <v>34</v>
      </c>
      <c r="AX54" s="891" t="s">
        <v>36</v>
      </c>
      <c r="AY54" s="891" t="s">
        <v>32</v>
      </c>
      <c r="AZ54" s="891" t="s">
        <v>35</v>
      </c>
      <c r="BA54" s="891" t="s">
        <v>3179</v>
      </c>
      <c r="BB54" s="891" t="s">
        <v>34</v>
      </c>
      <c r="BC54" s="891" t="s">
        <v>3178</v>
      </c>
      <c r="BD54" s="891" t="s">
        <v>1877</v>
      </c>
      <c r="BE54" s="891" t="s">
        <v>32</v>
      </c>
      <c r="BF54" s="891" t="s">
        <v>36</v>
      </c>
      <c r="BG54" s="891" t="s">
        <v>36</v>
      </c>
      <c r="BH54" s="891"/>
      <c r="BI54" s="891"/>
      <c r="BJ54" s="910"/>
      <c r="BK54" s="891"/>
      <c r="BL54" s="891"/>
      <c r="BM54" s="891"/>
      <c r="BN54" s="891"/>
      <c r="BO54" s="891"/>
      <c r="BP54" s="891"/>
      <c r="BQ54" s="892"/>
      <c r="BR54" s="896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428"/>
      <c r="CG54" s="428"/>
      <c r="CH54" s="428"/>
      <c r="CI54" s="428"/>
    </row>
    <row r="55" spans="1:87" ht="15">
      <c r="A55" s="882">
        <v>6462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8</v>
      </c>
      <c r="G55" s="879" t="s">
        <v>880</v>
      </c>
      <c r="H55" s="879" t="s">
        <v>22</v>
      </c>
      <c r="I55" s="879" t="s">
        <v>891</v>
      </c>
      <c r="J55" s="846">
        <v>1</v>
      </c>
      <c r="K55" s="846">
        <v>2</v>
      </c>
      <c r="L55" s="816" t="str">
        <f t="shared" si="39"/>
        <v>L</v>
      </c>
      <c r="M55" s="816">
        <f t="shared" si="40"/>
        <v>3</v>
      </c>
      <c r="N55" s="816" t="str">
        <f t="shared" si="41"/>
        <v>O</v>
      </c>
      <c r="O55" s="816">
        <f t="shared" si="31"/>
        <v>0</v>
      </c>
      <c r="P55" s="829">
        <f t="shared" si="32"/>
        <v>-1</v>
      </c>
      <c r="Q55" s="830">
        <v>-0.08</v>
      </c>
      <c r="R55" s="871">
        <f t="shared" si="51"/>
        <v>-0.92</v>
      </c>
      <c r="S55" s="830">
        <v>2.4500000000000002</v>
      </c>
      <c r="T55" s="871">
        <f t="shared" si="34"/>
        <v>0.54999999999999982</v>
      </c>
      <c r="U55" s="868">
        <f t="shared" si="35"/>
        <v>1.1850000000000001</v>
      </c>
      <c r="V55" s="868">
        <f t="shared" si="36"/>
        <v>1.2650000000000001</v>
      </c>
      <c r="W55" s="829">
        <v>14</v>
      </c>
      <c r="X55" s="829">
        <v>14</v>
      </c>
      <c r="Y55" s="829">
        <v>3</v>
      </c>
      <c r="Z55" s="829">
        <v>3</v>
      </c>
      <c r="AA55" s="829">
        <v>52</v>
      </c>
      <c r="AB55" s="829">
        <v>48</v>
      </c>
      <c r="AC55" s="829"/>
      <c r="AD55" s="816" t="str">
        <f t="array" ref="AD55">IF($J55="","",IF(SUM(IF(ISNUMBER(VALUE(RIGHT($AG55:$DX55,1))),VALUE(RIGHT($AG55:$DX55,1)),0))=$J55,"T","F"))</f>
        <v>T</v>
      </c>
      <c r="AE55" s="831">
        <f t="array" ref="AE55">IF($J55="","",SUM(IF(LEFT($AG55:$DX55,1)="s",1,0))-SUM(IF(RIGHT(LEFT($AG55:$DX55,2))="-",1,0)))</f>
        <v>0</v>
      </c>
      <c r="AF55" s="816">
        <f t="array" ref="AF55">IF($J55="","",SUM(IF(LEFT($AG55:$DX55,1)="X",1,0)))</f>
        <v>11</v>
      </c>
      <c r="AG55" s="891" t="s">
        <v>34</v>
      </c>
      <c r="AH55" s="891" t="s">
        <v>32</v>
      </c>
      <c r="AI55" s="891" t="s">
        <v>32</v>
      </c>
      <c r="AJ55" s="891" t="s">
        <v>1877</v>
      </c>
      <c r="AK55" s="891" t="s">
        <v>34</v>
      </c>
      <c r="AL55" s="891" t="s">
        <v>34</v>
      </c>
      <c r="AM55" s="891" t="s">
        <v>36</v>
      </c>
      <c r="AN55" s="891" t="s">
        <v>34</v>
      </c>
      <c r="AO55" s="891" t="s">
        <v>34</v>
      </c>
      <c r="AP55" s="891" t="s">
        <v>32</v>
      </c>
      <c r="AQ55" s="891" t="s">
        <v>1877</v>
      </c>
      <c r="AR55" s="891" t="s">
        <v>32</v>
      </c>
      <c r="AS55" s="891" t="s">
        <v>32</v>
      </c>
      <c r="AT55" s="891" t="s">
        <v>1884</v>
      </c>
      <c r="AU55" s="891" t="s">
        <v>34</v>
      </c>
      <c r="AV55" s="891" t="s">
        <v>32</v>
      </c>
      <c r="AW55" s="891" t="s">
        <v>35</v>
      </c>
      <c r="AX55" s="891" t="s">
        <v>1877</v>
      </c>
      <c r="AY55" s="891" t="s">
        <v>32</v>
      </c>
      <c r="AZ55" s="891" t="s">
        <v>34</v>
      </c>
      <c r="BA55" s="891" t="s">
        <v>35</v>
      </c>
      <c r="BB55" s="891" t="s">
        <v>34</v>
      </c>
      <c r="BC55" s="891" t="s">
        <v>3227</v>
      </c>
      <c r="BD55" s="891" t="s">
        <v>1877</v>
      </c>
      <c r="BE55" s="891" t="s">
        <v>32</v>
      </c>
      <c r="BF55" s="891" t="s">
        <v>36</v>
      </c>
      <c r="BG55" s="891" t="s">
        <v>35</v>
      </c>
      <c r="BH55" s="891" t="s">
        <v>32</v>
      </c>
      <c r="BI55" s="891"/>
      <c r="BJ55" s="910"/>
      <c r="BK55" s="891"/>
      <c r="BL55" s="891"/>
      <c r="BM55" s="891"/>
      <c r="BN55" s="891"/>
      <c r="BO55" s="891"/>
      <c r="BP55" s="891"/>
      <c r="BQ55" s="892"/>
      <c r="BR55" s="896"/>
      <c r="BS55" s="896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428"/>
      <c r="CG55" s="428"/>
      <c r="CH55" s="428"/>
      <c r="CI55" s="428"/>
    </row>
    <row r="56" spans="1:87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10</v>
      </c>
      <c r="G56" s="879" t="s">
        <v>883</v>
      </c>
      <c r="H56" s="879" t="s">
        <v>18</v>
      </c>
      <c r="I56" s="879" t="s">
        <v>891</v>
      </c>
      <c r="J56" s="846">
        <v>1</v>
      </c>
      <c r="K56" s="846">
        <v>1</v>
      </c>
      <c r="L56" s="816" t="str">
        <f t="shared" si="39"/>
        <v>D</v>
      </c>
      <c r="M56" s="816">
        <f t="shared" si="40"/>
        <v>2</v>
      </c>
      <c r="N56" s="816" t="str">
        <f t="shared" si="41"/>
        <v>U</v>
      </c>
      <c r="O56" s="816">
        <f t="shared" si="31"/>
        <v>0</v>
      </c>
      <c r="P56" s="829">
        <f t="shared" si="32"/>
        <v>0</v>
      </c>
      <c r="Q56" s="830">
        <v>0.1</v>
      </c>
      <c r="R56" s="871">
        <f t="shared" si="51"/>
        <v>-0.1</v>
      </c>
      <c r="S56" s="830">
        <v>2.48</v>
      </c>
      <c r="T56" s="871">
        <f t="shared" si="34"/>
        <v>-0.48</v>
      </c>
      <c r="U56" s="868">
        <f t="shared" si="35"/>
        <v>1.29</v>
      </c>
      <c r="V56" s="868">
        <f t="shared" si="36"/>
        <v>1.19</v>
      </c>
      <c r="W56" s="829">
        <v>18</v>
      </c>
      <c r="X56" s="829">
        <v>16</v>
      </c>
      <c r="Y56" s="829">
        <v>5</v>
      </c>
      <c r="Z56" s="829">
        <v>4</v>
      </c>
      <c r="AA56" s="829">
        <v>56</v>
      </c>
      <c r="AB56" s="829">
        <v>44</v>
      </c>
      <c r="AC56" s="829"/>
      <c r="AD56" s="816" t="str">
        <f t="array" ref="AD56">IF($J56="","",IF(SUM(IF(ISNUMBER(VALUE(RIGHT($AG56:$DX56,1))),VALUE(RIGHT($AG56:$DX56,1)),0))=$J56,"T","F"))</f>
        <v>T</v>
      </c>
      <c r="AE56" s="831">
        <f t="array" ref="AE56">IF($J56="","",SUM(IF(LEFT($AG56:$DX56,1)="s",1,0))-SUM(IF(RIGHT(LEFT($AG56:$DX56,2))="-",1,0)))</f>
        <v>0</v>
      </c>
      <c r="AF56" s="816">
        <f t="array" ref="AF56">IF($J56="","",SUM(IF(LEFT($AG56:$DX56,1)="X",1,0)))</f>
        <v>11</v>
      </c>
      <c r="AG56" s="891" t="s">
        <v>34</v>
      </c>
      <c r="AH56" s="891" t="s">
        <v>1877</v>
      </c>
      <c r="AI56" s="891" t="s">
        <v>32</v>
      </c>
      <c r="AJ56" s="891" t="s">
        <v>32</v>
      </c>
      <c r="AK56" s="891" t="s">
        <v>34</v>
      </c>
      <c r="AL56" s="891" t="s">
        <v>34</v>
      </c>
      <c r="AM56" s="891" t="s">
        <v>1877</v>
      </c>
      <c r="AN56" s="891" t="s">
        <v>34</v>
      </c>
      <c r="AO56" s="891" t="s">
        <v>35</v>
      </c>
      <c r="AP56" s="891" t="s">
        <v>32</v>
      </c>
      <c r="AQ56" s="891" t="s">
        <v>36</v>
      </c>
      <c r="AR56" s="891" t="s">
        <v>32</v>
      </c>
      <c r="AS56" s="891" t="s">
        <v>32</v>
      </c>
      <c r="AT56" s="891" t="s">
        <v>1884</v>
      </c>
      <c r="AU56" s="891" t="s">
        <v>34</v>
      </c>
      <c r="AV56" s="891" t="s">
        <v>32</v>
      </c>
      <c r="AW56" s="891" t="s">
        <v>34</v>
      </c>
      <c r="AX56" s="891" t="s">
        <v>1877</v>
      </c>
      <c r="AY56" s="891" t="s">
        <v>32</v>
      </c>
      <c r="AZ56" s="891" t="s">
        <v>34</v>
      </c>
      <c r="BA56" s="904" t="s">
        <v>35</v>
      </c>
      <c r="BB56" s="891" t="s">
        <v>35</v>
      </c>
      <c r="BC56" s="891" t="s">
        <v>34</v>
      </c>
      <c r="BD56" s="891" t="s">
        <v>32</v>
      </c>
      <c r="BE56" s="891" t="s">
        <v>32</v>
      </c>
      <c r="BF56" s="904" t="s">
        <v>3254</v>
      </c>
      <c r="BG56" s="891" t="s">
        <v>36</v>
      </c>
      <c r="BH56" s="891" t="s">
        <v>32</v>
      </c>
      <c r="BI56" s="891"/>
      <c r="BJ56" s="910"/>
      <c r="BK56" s="891"/>
      <c r="BL56" s="891"/>
      <c r="BM56" s="891"/>
      <c r="BN56" s="891"/>
      <c r="BO56" s="891"/>
      <c r="BP56" s="891"/>
      <c r="BQ56" s="892"/>
      <c r="BR56" s="896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428"/>
      <c r="CG56" s="428"/>
      <c r="CH56" s="428"/>
      <c r="CI56" s="428"/>
    </row>
    <row r="57" spans="1:87" ht="15">
      <c r="A57" s="882">
        <v>6476</v>
      </c>
      <c r="B57" s="884"/>
      <c r="C57" s="884"/>
      <c r="D57" s="884"/>
      <c r="E57" s="884"/>
      <c r="F57" s="884">
        <f ca="1">IF(I57="","",IF(I57=Table!$C$1,VLOOKUP(G57,Table!$B$9:$AE$32,Table!$AE$6-1,FALSE),""))</f>
        <v>3</v>
      </c>
      <c r="G57" s="879" t="s">
        <v>1085</v>
      </c>
      <c r="H57" s="879" t="s">
        <v>18</v>
      </c>
      <c r="I57" s="879" t="s">
        <v>891</v>
      </c>
      <c r="J57" s="846">
        <v>1</v>
      </c>
      <c r="K57" s="846">
        <v>4</v>
      </c>
      <c r="L57" s="816" t="str">
        <f t="shared" ref="L57:L58" si="52">IF(J57="","",IF(J57&gt;K57,"W",IF(J57=K57,"D",IF(J57&lt;K57,"L"))))</f>
        <v>L</v>
      </c>
      <c r="M57" s="816">
        <f t="shared" ref="M57:M58" si="53">IF(J57="","",J57+K57)</f>
        <v>5</v>
      </c>
      <c r="N57" s="816" t="str">
        <f t="shared" si="41"/>
        <v>O</v>
      </c>
      <c r="O57" s="816">
        <f t="shared" ref="O57" si="54">IF(Q57="","",IF(SIGN(Q57)&lt;&gt;1,VLOOKUP(ABS(Q57),SUP_HDC,3,TRUE),-VLOOKUP(ABS(Q57),SUP_HDC,3,TRUE)))</f>
        <v>0.25</v>
      </c>
      <c r="P57" s="829">
        <f t="shared" ref="P57" si="55">IF(O57="","",IF((J57-K57+O57)&gt;=0.5,1,IF((J57-K57+O57)=0.25,0.5,IF((J57-K57+O57)&lt;=-0.5,-1,IF((J57-K57+O57)=-0.25,-0.5,0)))))</f>
        <v>-1</v>
      </c>
      <c r="Q57" s="830">
        <v>-0.23</v>
      </c>
      <c r="R57" s="871">
        <f t="shared" ref="R57" si="56">IF(ISBLANK(Q57),"",J57-K57-Q57)</f>
        <v>-2.77</v>
      </c>
      <c r="S57" s="830">
        <v>3.05</v>
      </c>
      <c r="T57" s="871">
        <f t="shared" ref="T57" si="57">IF(ISBLANK(S57),"",J57+K57-S57)</f>
        <v>1.9500000000000002</v>
      </c>
      <c r="U57" s="868">
        <f t="shared" ref="U57" si="58">IF(Q57="","",(Q57+S57)/2)</f>
        <v>1.41</v>
      </c>
      <c r="V57" s="868">
        <f t="shared" ref="V57" si="59">IF(Q57="","",S57-U57)</f>
        <v>1.64</v>
      </c>
      <c r="W57" s="829">
        <v>14</v>
      </c>
      <c r="X57" s="829">
        <v>16</v>
      </c>
      <c r="Y57" s="829">
        <v>7</v>
      </c>
      <c r="Z57" s="829">
        <v>8</v>
      </c>
      <c r="AA57" s="829">
        <v>47</v>
      </c>
      <c r="AB57" s="829">
        <v>53</v>
      </c>
      <c r="AC57" s="829"/>
      <c r="AD57" s="816" t="str">
        <f t="array" ref="AD57">IF($J57="","",IF(SUM(IF(ISNUMBER(VALUE(RIGHT($AG57:$DX57,1))),VALUE(RIGHT($AG57:$DX57,1)),0))=$J57,"T","F"))</f>
        <v>T</v>
      </c>
      <c r="AE57" s="831">
        <f t="array" ref="AE57">IF($J57="","",SUM(IF(LEFT($AG57:$DX57,1)="s",1,0))-SUM(IF(RIGHT(LEFT($AG57:$DX57,2))="-",1,0)))</f>
        <v>0</v>
      </c>
      <c r="AF57" s="816">
        <f t="array" ref="AF57">IF($J57="","",SUM(IF(LEFT($AG57:$DX57,1)="X",1,0)))</f>
        <v>11</v>
      </c>
      <c r="AG57" s="891" t="s">
        <v>34</v>
      </c>
      <c r="AH57" s="891" t="s">
        <v>32</v>
      </c>
      <c r="AI57" s="891" t="s">
        <v>32</v>
      </c>
      <c r="AJ57" s="891" t="s">
        <v>1877</v>
      </c>
      <c r="AK57" s="891" t="s">
        <v>34</v>
      </c>
      <c r="AL57" s="891" t="s">
        <v>34</v>
      </c>
      <c r="AM57" s="891" t="s">
        <v>1877</v>
      </c>
      <c r="AN57" s="891" t="s">
        <v>34</v>
      </c>
      <c r="AO57" s="891" t="s">
        <v>32</v>
      </c>
      <c r="AP57" s="891" t="s">
        <v>32</v>
      </c>
      <c r="AQ57" s="891" t="s">
        <v>1877</v>
      </c>
      <c r="AR57" s="891" t="s">
        <v>32</v>
      </c>
      <c r="AS57" s="891" t="s">
        <v>1877</v>
      </c>
      <c r="AT57" s="891" t="s">
        <v>1884</v>
      </c>
      <c r="AU57" s="891" t="s">
        <v>34</v>
      </c>
      <c r="AV57" s="891" t="s">
        <v>32</v>
      </c>
      <c r="AW57" s="891" t="s">
        <v>34</v>
      </c>
      <c r="AX57" s="891" t="s">
        <v>36</v>
      </c>
      <c r="AY57" s="891" t="s">
        <v>1877</v>
      </c>
      <c r="AZ57" s="891" t="s">
        <v>34</v>
      </c>
      <c r="BA57" s="891" t="s">
        <v>35</v>
      </c>
      <c r="BB57" s="891" t="s">
        <v>34</v>
      </c>
      <c r="BC57" s="904" t="s">
        <v>3341</v>
      </c>
      <c r="BD57" s="891" t="s">
        <v>36</v>
      </c>
      <c r="BE57" s="891" t="s">
        <v>32</v>
      </c>
      <c r="BF57" s="891" t="s">
        <v>3328</v>
      </c>
      <c r="BG57" s="891" t="s">
        <v>35</v>
      </c>
      <c r="BH57" s="891"/>
      <c r="BI57" s="891"/>
      <c r="BJ57" s="910"/>
      <c r="BK57" s="891"/>
      <c r="BL57" s="891"/>
      <c r="BM57" s="891"/>
      <c r="BN57" s="891"/>
      <c r="BO57" s="891"/>
      <c r="BP57" s="891"/>
      <c r="BQ57" s="892"/>
      <c r="BR57" s="896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428"/>
      <c r="CG57" s="428"/>
      <c r="CH57" s="428"/>
      <c r="CI57" s="428"/>
    </row>
    <row r="58" spans="1:87" ht="15">
      <c r="A58" s="882">
        <v>6483</v>
      </c>
      <c r="B58" s="884"/>
      <c r="C58" s="884"/>
      <c r="D58" s="884"/>
      <c r="E58" s="884"/>
      <c r="F58" s="884">
        <f ca="1">IF(I58="","",IF(I58=Table!$C$1,VLOOKUP(G58,Table!$B$9:$AE$32,Table!$AE$6-1,FALSE),""))</f>
        <v>16</v>
      </c>
      <c r="G58" s="879" t="s">
        <v>872</v>
      </c>
      <c r="H58" s="879" t="s">
        <v>22</v>
      </c>
      <c r="I58" s="879" t="s">
        <v>891</v>
      </c>
      <c r="J58" s="846">
        <v>3</v>
      </c>
      <c r="K58" s="846">
        <v>1</v>
      </c>
      <c r="L58" s="816" t="str">
        <f t="shared" si="52"/>
        <v>W</v>
      </c>
      <c r="M58" s="816">
        <f t="shared" si="53"/>
        <v>4</v>
      </c>
      <c r="N58" s="816" t="str">
        <f t="shared" si="41"/>
        <v>O</v>
      </c>
      <c r="O58" s="816">
        <f t="shared" ref="O58" si="60">IF(Q58="","",IF(SIGN(Q58)&lt;&gt;1,VLOOKUP(ABS(Q58),SUP_HDC,3,TRUE),-VLOOKUP(ABS(Q58),SUP_HDC,3,TRUE)))</f>
        <v>-0.5</v>
      </c>
      <c r="P58" s="829">
        <f t="shared" ref="P58" si="61">IF(O58="","",IF((J58-K58+O58)&gt;=0.5,1,IF((J58-K58+O58)=0.25,0.5,IF((J58-K58+O58)&lt;=-0.5,-1,IF((J58-K58+O58)=-0.25,-0.5,0)))))</f>
        <v>1</v>
      </c>
      <c r="Q58" s="830">
        <v>0.43</v>
      </c>
      <c r="R58" s="871">
        <f t="shared" ref="R58" si="62">IF(ISBLANK(Q58),"",J58-K58-Q58)</f>
        <v>1.57</v>
      </c>
      <c r="S58" s="830">
        <v>2.75</v>
      </c>
      <c r="T58" s="871">
        <f t="shared" ref="T58" si="63">IF(ISBLANK(S58),"",J58+K58-S58)</f>
        <v>1.25</v>
      </c>
      <c r="U58" s="868">
        <f t="shared" ref="U58" si="64">IF(Q58="","",(Q58+S58)/2)</f>
        <v>1.59</v>
      </c>
      <c r="V58" s="868">
        <f t="shared" ref="V58" si="65">IF(Q58="","",S58-U58)</f>
        <v>1.1599999999999999</v>
      </c>
      <c r="W58" s="829">
        <v>24</v>
      </c>
      <c r="X58" s="829">
        <v>14</v>
      </c>
      <c r="Y58" s="829">
        <v>7</v>
      </c>
      <c r="Z58" s="829">
        <v>3</v>
      </c>
      <c r="AA58" s="829">
        <v>50</v>
      </c>
      <c r="AB58" s="829">
        <v>50</v>
      </c>
      <c r="AC58" s="829"/>
      <c r="AD58" s="816" t="str">
        <f t="array" ref="AD58">IF($J58="","",IF(SUM(IF(ISNUMBER(VALUE(RIGHT($AG58:$DX58,1))),VALUE(RIGHT($AG58:$DX58,1)),0))=$J58,"T","F"))</f>
        <v>T</v>
      </c>
      <c r="AE58" s="831">
        <f t="array" ref="AE58">IF($J58="","",SUM(IF(LEFT($AG58:$DX58,1)="s",1,0))-SUM(IF(RIGHT(LEFT($AG58:$DX58,2))="-",1,0)))</f>
        <v>0</v>
      </c>
      <c r="AF58" s="816">
        <f t="array" ref="AF58">IF($J58="","",SUM(IF(LEFT($AG58:$DX58,1)="X",1,0)))</f>
        <v>11</v>
      </c>
      <c r="AG58" s="891" t="s">
        <v>34</v>
      </c>
      <c r="AH58" s="891" t="s">
        <v>32</v>
      </c>
      <c r="AI58" s="891" t="s">
        <v>32</v>
      </c>
      <c r="AJ58" s="891" t="s">
        <v>1877</v>
      </c>
      <c r="AK58" s="891" t="s">
        <v>34</v>
      </c>
      <c r="AL58" s="891" t="s">
        <v>34</v>
      </c>
      <c r="AM58" s="891" t="s">
        <v>3379</v>
      </c>
      <c r="AN58" s="891" t="s">
        <v>34</v>
      </c>
      <c r="AO58" s="891" t="s">
        <v>35</v>
      </c>
      <c r="AP58" s="891" t="s">
        <v>32</v>
      </c>
      <c r="AQ58" s="891" t="s">
        <v>1877</v>
      </c>
      <c r="AR58" s="891" t="s">
        <v>32</v>
      </c>
      <c r="AS58" s="891" t="s">
        <v>1877</v>
      </c>
      <c r="AT58" s="891" t="s">
        <v>32</v>
      </c>
      <c r="AU58" s="891" t="s">
        <v>34</v>
      </c>
      <c r="AV58" s="891" t="s">
        <v>32</v>
      </c>
      <c r="AW58" s="891" t="s">
        <v>36</v>
      </c>
      <c r="AX58" s="891" t="s">
        <v>32</v>
      </c>
      <c r="AY58" s="891" t="s">
        <v>32</v>
      </c>
      <c r="AZ58" s="891" t="s">
        <v>34</v>
      </c>
      <c r="BA58" s="891" t="s">
        <v>36</v>
      </c>
      <c r="BB58" s="891" t="s">
        <v>3380</v>
      </c>
      <c r="BC58" s="891" t="s">
        <v>35</v>
      </c>
      <c r="BD58" s="891" t="s">
        <v>1877</v>
      </c>
      <c r="BE58" s="891" t="s">
        <v>32</v>
      </c>
      <c r="BF58" s="891" t="s">
        <v>35</v>
      </c>
      <c r="BG58" s="891" t="s">
        <v>36</v>
      </c>
      <c r="BH58" s="891">
        <v>1</v>
      </c>
      <c r="BI58" s="891"/>
      <c r="BJ58" s="910"/>
      <c r="BK58" s="891"/>
      <c r="BL58" s="891"/>
      <c r="BM58" s="891"/>
      <c r="BN58" s="891"/>
      <c r="BO58" s="891"/>
      <c r="BP58" s="891"/>
      <c r="BQ58" s="892"/>
      <c r="BR58" s="896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428"/>
      <c r="CG58" s="428"/>
      <c r="CH58" s="428"/>
      <c r="CI58" s="428"/>
    </row>
    <row r="59" spans="1:87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11</v>
      </c>
      <c r="G59" s="879" t="s">
        <v>874</v>
      </c>
      <c r="H59" s="879" t="s">
        <v>22</v>
      </c>
      <c r="I59" s="879" t="s">
        <v>891</v>
      </c>
      <c r="J59" s="846">
        <v>3</v>
      </c>
      <c r="K59" s="846">
        <v>1</v>
      </c>
      <c r="L59" s="816" t="str">
        <f t="shared" si="39"/>
        <v>W</v>
      </c>
      <c r="M59" s="816">
        <f t="shared" si="40"/>
        <v>4</v>
      </c>
      <c r="N59" s="816" t="str">
        <f t="shared" si="41"/>
        <v>O</v>
      </c>
      <c r="O59" s="816">
        <f t="shared" si="31"/>
        <v>-0.25</v>
      </c>
      <c r="P59" s="829">
        <f t="shared" si="32"/>
        <v>1</v>
      </c>
      <c r="Q59" s="830">
        <v>0.33</v>
      </c>
      <c r="R59" s="816">
        <f t="shared" si="51"/>
        <v>1.67</v>
      </c>
      <c r="S59" s="830">
        <v>2.61</v>
      </c>
      <c r="T59" s="871">
        <f t="shared" si="34"/>
        <v>1.3900000000000001</v>
      </c>
      <c r="U59" s="868">
        <f t="shared" si="35"/>
        <v>1.47</v>
      </c>
      <c r="V59" s="868">
        <f t="shared" si="36"/>
        <v>1.1399999999999999</v>
      </c>
      <c r="W59" s="829">
        <v>12</v>
      </c>
      <c r="X59" s="829">
        <v>15</v>
      </c>
      <c r="Y59" s="829">
        <v>6</v>
      </c>
      <c r="Z59" s="829">
        <v>5</v>
      </c>
      <c r="AA59" s="829">
        <v>44</v>
      </c>
      <c r="AB59" s="829">
        <v>56</v>
      </c>
      <c r="AC59" s="829"/>
      <c r="AD59" s="816" t="str">
        <f t="array" ref="AD59">IF($J59="","",IF(SUM(IF(ISNUMBER(VALUE(RIGHT($AG59:$DX59,1))),VALUE(RIGHT($AG59:$DX59,1)),0))=$J59,"T","F"))</f>
        <v>T</v>
      </c>
      <c r="AE59" s="831">
        <f t="array" ref="AE59">IF($J59="","",SUM(IF(LEFT($AG59:$DX59,1)="s",1,0))-SUM(IF(RIGHT(LEFT($AG59:$DX59,2))="-",1,0)))</f>
        <v>0</v>
      </c>
      <c r="AF59" s="816">
        <f t="array" ref="AF59">IF($J59="","",SUM(IF(LEFT($AG59:$DX59,1)="X",1,0)))</f>
        <v>11</v>
      </c>
      <c r="AG59" s="891" t="s">
        <v>34</v>
      </c>
      <c r="AH59" s="891" t="s">
        <v>1877</v>
      </c>
      <c r="AI59" s="891" t="s">
        <v>32</v>
      </c>
      <c r="AJ59" s="891" t="s">
        <v>32</v>
      </c>
      <c r="AK59" s="891" t="s">
        <v>34</v>
      </c>
      <c r="AL59" s="891" t="s">
        <v>34</v>
      </c>
      <c r="AM59" s="891" t="s">
        <v>34</v>
      </c>
      <c r="AN59" s="891" t="s">
        <v>34</v>
      </c>
      <c r="AO59" s="891" t="s">
        <v>34</v>
      </c>
      <c r="AP59" s="891" t="s">
        <v>32</v>
      </c>
      <c r="AQ59" s="891" t="s">
        <v>1877</v>
      </c>
      <c r="AR59" s="891" t="s">
        <v>32</v>
      </c>
      <c r="AS59" s="891" t="s">
        <v>36</v>
      </c>
      <c r="AT59" s="891" t="s">
        <v>32</v>
      </c>
      <c r="AU59" s="891" t="s">
        <v>34</v>
      </c>
      <c r="AV59" s="891" t="s">
        <v>32</v>
      </c>
      <c r="AW59" s="891" t="s">
        <v>1877</v>
      </c>
      <c r="AX59" s="891" t="s">
        <v>32</v>
      </c>
      <c r="AY59" s="891" t="s">
        <v>32</v>
      </c>
      <c r="AZ59" s="891" t="s">
        <v>35</v>
      </c>
      <c r="BA59" s="891" t="s">
        <v>36</v>
      </c>
      <c r="BB59" s="904" t="s">
        <v>3412</v>
      </c>
      <c r="BC59" s="891" t="s">
        <v>3413</v>
      </c>
      <c r="BD59" s="891" t="s">
        <v>1877</v>
      </c>
      <c r="BE59" s="891" t="s">
        <v>32</v>
      </c>
      <c r="BF59" s="891" t="s">
        <v>35</v>
      </c>
      <c r="BG59" s="891" t="s">
        <v>36</v>
      </c>
      <c r="BH59" s="891"/>
      <c r="BI59" s="891"/>
      <c r="BJ59" s="910"/>
      <c r="BK59" s="891"/>
      <c r="BL59" s="891"/>
      <c r="BM59" s="891"/>
      <c r="BN59" s="891"/>
      <c r="BO59" s="891"/>
      <c r="BP59" s="891"/>
      <c r="BQ59" s="892"/>
      <c r="BR59" s="896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428"/>
      <c r="CG59" s="428"/>
      <c r="CH59" s="428"/>
      <c r="CI59" s="428"/>
    </row>
    <row r="60" spans="1:87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22</v>
      </c>
      <c r="G60" s="879" t="s">
        <v>1087</v>
      </c>
      <c r="H60" s="879" t="s">
        <v>18</v>
      </c>
      <c r="I60" s="879" t="s">
        <v>891</v>
      </c>
      <c r="J60" s="846">
        <v>2</v>
      </c>
      <c r="K60" s="846">
        <v>1</v>
      </c>
      <c r="L60" s="816" t="str">
        <f t="shared" si="39"/>
        <v>W</v>
      </c>
      <c r="M60" s="816">
        <f t="shared" si="40"/>
        <v>3</v>
      </c>
      <c r="N60" s="816" t="str">
        <f t="shared" si="41"/>
        <v>O</v>
      </c>
      <c r="O60" s="816">
        <f t="shared" si="31"/>
        <v>-1</v>
      </c>
      <c r="P60" s="829">
        <f t="shared" si="32"/>
        <v>0</v>
      </c>
      <c r="Q60" s="830">
        <v>1.07</v>
      </c>
      <c r="R60" s="816">
        <f t="shared" si="51"/>
        <v>-7.0000000000000062E-2</v>
      </c>
      <c r="S60" s="830">
        <v>3.02</v>
      </c>
      <c r="T60" s="871">
        <f t="shared" si="34"/>
        <v>-2.0000000000000018E-2</v>
      </c>
      <c r="U60" s="868">
        <f t="shared" si="35"/>
        <v>2.0449999999999999</v>
      </c>
      <c r="V60" s="868">
        <f t="shared" si="36"/>
        <v>0.97500000000000009</v>
      </c>
      <c r="W60" s="829">
        <v>17</v>
      </c>
      <c r="X60" s="829">
        <v>12</v>
      </c>
      <c r="Y60" s="829">
        <v>4</v>
      </c>
      <c r="Z60" s="829">
        <v>3</v>
      </c>
      <c r="AA60" s="829">
        <v>54</v>
      </c>
      <c r="AB60" s="829">
        <v>46</v>
      </c>
      <c r="AC60" s="829"/>
      <c r="AD60" s="816" t="str">
        <f t="array" ref="AD60">IF($J60="","",IF(SUM(IF(ISNUMBER(VALUE(RIGHT($AG60:$DX60,1))),VALUE(RIGHT($AG60:$DX60,1)),0))=$J60,"T","F"))</f>
        <v>T</v>
      </c>
      <c r="AE60" s="831">
        <f t="array" ref="AE60">IF($J60="","",SUM(IF(LEFT($AG60:$DX60,1)="s",1,0))-SUM(IF(RIGHT(LEFT($AG60:$DX60,2))="-",1,0)))</f>
        <v>0</v>
      </c>
      <c r="AF60" s="816">
        <f t="array" ref="AF60">IF($J60="","",SUM(IF(LEFT($AG60:$DX60,1)="X",1,0)))</f>
        <v>11</v>
      </c>
      <c r="AG60" s="891" t="s">
        <v>3425</v>
      </c>
      <c r="AH60" s="891" t="s">
        <v>1877</v>
      </c>
      <c r="AI60" s="891" t="s">
        <v>32</v>
      </c>
      <c r="AJ60" s="891" t="s">
        <v>32</v>
      </c>
      <c r="AK60" s="891" t="s">
        <v>34</v>
      </c>
      <c r="AL60" s="891" t="s">
        <v>34</v>
      </c>
      <c r="AM60" s="891" t="s">
        <v>36</v>
      </c>
      <c r="AN60" s="891" t="s">
        <v>35</v>
      </c>
      <c r="AO60" s="891" t="s">
        <v>35</v>
      </c>
      <c r="AP60" s="891" t="s">
        <v>32</v>
      </c>
      <c r="AQ60" s="891" t="s">
        <v>1877</v>
      </c>
      <c r="AR60" s="891" t="s">
        <v>32</v>
      </c>
      <c r="AS60" s="891" t="s">
        <v>1877</v>
      </c>
      <c r="AT60" s="891" t="s">
        <v>32</v>
      </c>
      <c r="AU60" s="891" t="s">
        <v>3429</v>
      </c>
      <c r="AV60" s="891" t="s">
        <v>1877</v>
      </c>
      <c r="AW60" s="891" t="s">
        <v>34</v>
      </c>
      <c r="AX60" s="891" t="s">
        <v>32</v>
      </c>
      <c r="AY60" s="891" t="s">
        <v>32</v>
      </c>
      <c r="AZ60" s="891" t="s">
        <v>34</v>
      </c>
      <c r="BA60" s="891" t="s">
        <v>36</v>
      </c>
      <c r="BB60" s="891" t="s">
        <v>3435</v>
      </c>
      <c r="BC60" s="891" t="s">
        <v>3429</v>
      </c>
      <c r="BD60" s="891" t="s">
        <v>36</v>
      </c>
      <c r="BE60" s="891" t="s">
        <v>32</v>
      </c>
      <c r="BF60" s="891" t="s">
        <v>34</v>
      </c>
      <c r="BG60" s="891" t="s">
        <v>35</v>
      </c>
      <c r="BH60" s="891"/>
      <c r="BI60" s="891"/>
      <c r="BJ60" s="910"/>
      <c r="BK60" s="891"/>
      <c r="BL60" s="891"/>
      <c r="BM60" s="891"/>
      <c r="BN60" s="891"/>
      <c r="BO60" s="891"/>
      <c r="BP60" s="891"/>
      <c r="BQ60" s="892"/>
      <c r="BR60" s="896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428"/>
      <c r="CG60" s="428"/>
      <c r="CH60" s="428"/>
      <c r="CI60" s="428"/>
    </row>
    <row r="61" spans="1:87" ht="15">
      <c r="A61" s="882">
        <v>6504</v>
      </c>
      <c r="B61" s="884"/>
      <c r="C61" s="884"/>
      <c r="D61" s="884"/>
      <c r="E61" s="884"/>
      <c r="F61" s="884">
        <f ca="1">IF(I61="","",IF(I61=Table!$C$1,VLOOKUP(G61,Table!$B$9:$AE$32,Table!$AE$6-1,FALSE),""))</f>
        <v>18</v>
      </c>
      <c r="G61" s="879" t="s">
        <v>887</v>
      </c>
      <c r="H61" s="879" t="s">
        <v>18</v>
      </c>
      <c r="I61" s="879" t="s">
        <v>891</v>
      </c>
      <c r="J61" s="846">
        <v>2</v>
      </c>
      <c r="K61" s="846">
        <v>1</v>
      </c>
      <c r="L61" s="816" t="str">
        <f t="shared" ref="L61" si="66">IF(J61="","",IF(J61&gt;K61,"W",IF(J61=K61,"D",IF(J61&lt;K61,"L"))))</f>
        <v>W</v>
      </c>
      <c r="M61" s="816">
        <f t="shared" ref="M61" si="67">IF(J61="","",J61+K61)</f>
        <v>3</v>
      </c>
      <c r="N61" s="816" t="str">
        <f t="shared" si="41"/>
        <v>O</v>
      </c>
      <c r="O61" s="816">
        <f t="shared" ref="O61:O63" si="68">IF(Q61="","",IF(SIGN(Q61)&lt;&gt;1,VLOOKUP(ABS(Q61),SUP_HDC,3,TRUE),-VLOOKUP(ABS(Q61),SUP_HDC,3,TRUE)))</f>
        <v>-0.25</v>
      </c>
      <c r="P61" s="829">
        <f t="shared" ref="P61:P63" si="69">IF(O61="","",IF((J61-K61+O61)&gt;=0.5,1,IF((J61-K61+O61)=0.25,0.5,IF((J61-K61+O61)&lt;=-0.5,-1,IF((J61-K61+O61)=-0.25,-0.5,0)))))</f>
        <v>1</v>
      </c>
      <c r="Q61" s="830">
        <v>0.2</v>
      </c>
      <c r="R61" s="816">
        <f t="shared" ref="R61" si="70">IF(ISBLANK(Q61),"",J61-K61-Q61)</f>
        <v>0.8</v>
      </c>
      <c r="S61" s="830">
        <v>2.98</v>
      </c>
      <c r="T61" s="871">
        <f t="shared" ref="T61" si="71">IF(ISBLANK(S61),"",J61+K61-S61)</f>
        <v>2.0000000000000018E-2</v>
      </c>
      <c r="U61" s="868">
        <f t="shared" ref="U61:U72" si="72">IF(Q61="","",(Q61+S61)/2)</f>
        <v>1.59</v>
      </c>
      <c r="V61" s="868">
        <f t="shared" ref="V61:V72" si="73">IF(Q61="","",S61-U61)</f>
        <v>1.39</v>
      </c>
      <c r="W61" s="829">
        <v>16</v>
      </c>
      <c r="X61" s="829">
        <v>12</v>
      </c>
      <c r="Y61" s="829">
        <v>4</v>
      </c>
      <c r="Z61" s="829">
        <v>3</v>
      </c>
      <c r="AA61" s="829">
        <v>45</v>
      </c>
      <c r="AB61" s="829">
        <v>55</v>
      </c>
      <c r="AC61" s="829"/>
      <c r="AD61" s="816" t="str">
        <f t="array" ref="AD61">IF($J61="","",IF(SUM(IF(ISNUMBER(VALUE(RIGHT($AG61:$CJ61,1))),VALUE(RIGHT($AG61:$CJ61,1)),0))=$J61,"T","F"))</f>
        <v>T</v>
      </c>
      <c r="AE61" s="831">
        <f t="array" ref="AE61">IF($J61="","",SUM(IF(LEFT($AG61:$DV61,1)="s",1,0))-SUM(IF(RIGHT(LEFT($AG61:$DV61,2))="-",1,0)))</f>
        <v>0</v>
      </c>
      <c r="AF61" s="816">
        <f t="array" ref="AF61">IF($J61="","",SUM(IF(LEFT($AG61:$DB61,1)="X",1,0)))</f>
        <v>11</v>
      </c>
      <c r="AG61" s="891" t="s">
        <v>34</v>
      </c>
      <c r="AH61" s="891" t="s">
        <v>32</v>
      </c>
      <c r="AI61" s="891" t="s">
        <v>32</v>
      </c>
      <c r="AJ61" s="891" t="s">
        <v>1877</v>
      </c>
      <c r="AK61" s="891" t="s">
        <v>34</v>
      </c>
      <c r="AL61" s="891" t="s">
        <v>34</v>
      </c>
      <c r="AM61" s="891" t="s">
        <v>34</v>
      </c>
      <c r="AN61" s="891" t="s">
        <v>32</v>
      </c>
      <c r="AO61" s="891" t="s">
        <v>34</v>
      </c>
      <c r="AP61" s="891" t="s">
        <v>1877</v>
      </c>
      <c r="AQ61" s="906" t="s">
        <v>3476</v>
      </c>
      <c r="AR61" s="891" t="s">
        <v>32</v>
      </c>
      <c r="AS61" s="891" t="s">
        <v>1877</v>
      </c>
      <c r="AT61" s="891" t="s">
        <v>32</v>
      </c>
      <c r="AU61" s="891" t="s">
        <v>34</v>
      </c>
      <c r="AV61" s="891" t="s">
        <v>36</v>
      </c>
      <c r="AW61" s="891" t="s">
        <v>35</v>
      </c>
      <c r="AX61" s="891" t="s">
        <v>32</v>
      </c>
      <c r="AY61" s="891" t="s">
        <v>32</v>
      </c>
      <c r="AZ61" s="891" t="s">
        <v>34</v>
      </c>
      <c r="BA61" s="891" t="s">
        <v>35</v>
      </c>
      <c r="BB61" s="891" t="s">
        <v>3465</v>
      </c>
      <c r="BC61" s="904" t="s">
        <v>3475</v>
      </c>
      <c r="BD61" s="891" t="s">
        <v>1877</v>
      </c>
      <c r="BE61" s="891" t="s">
        <v>32</v>
      </c>
      <c r="BF61" s="891" t="s">
        <v>36</v>
      </c>
      <c r="BG61" s="891" t="s">
        <v>35</v>
      </c>
      <c r="BH61" s="891"/>
      <c r="BI61" s="891"/>
      <c r="BJ61" s="910"/>
      <c r="BK61" s="891"/>
      <c r="BL61" s="891"/>
      <c r="BM61" s="891"/>
      <c r="BN61" s="891"/>
      <c r="BO61" s="891"/>
      <c r="BP61" s="891"/>
      <c r="BQ61" s="892"/>
      <c r="BR61" s="896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428"/>
      <c r="CG61" s="428"/>
      <c r="CH61" s="428"/>
      <c r="CI61" s="428"/>
    </row>
    <row r="62" spans="1:87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4</v>
      </c>
      <c r="G62" s="879" t="s">
        <v>1084</v>
      </c>
      <c r="H62" s="879" t="s">
        <v>22</v>
      </c>
      <c r="I62" s="879" t="s">
        <v>891</v>
      </c>
      <c r="J62" s="846">
        <v>0</v>
      </c>
      <c r="K62" s="846">
        <v>0</v>
      </c>
      <c r="L62" s="816" t="str">
        <f t="shared" si="39"/>
        <v>D</v>
      </c>
      <c r="M62" s="816">
        <f t="shared" si="40"/>
        <v>0</v>
      </c>
      <c r="N62" s="816" t="str">
        <f t="shared" si="41"/>
        <v>U</v>
      </c>
      <c r="O62" s="816">
        <f t="shared" si="68"/>
        <v>0</v>
      </c>
      <c r="P62" s="829">
        <f t="shared" si="69"/>
        <v>0</v>
      </c>
      <c r="Q62" s="830">
        <v>0.08</v>
      </c>
      <c r="R62" s="816">
        <f t="shared" si="51"/>
        <v>-0.08</v>
      </c>
      <c r="S62" s="830">
        <v>2.58</v>
      </c>
      <c r="T62" s="871">
        <f t="shared" si="34"/>
        <v>-2.58</v>
      </c>
      <c r="U62" s="868">
        <f t="shared" si="72"/>
        <v>1.33</v>
      </c>
      <c r="V62" s="868">
        <f t="shared" si="73"/>
        <v>1.25</v>
      </c>
      <c r="W62" s="829">
        <v>17</v>
      </c>
      <c r="X62" s="829">
        <v>7</v>
      </c>
      <c r="Y62" s="829">
        <v>6</v>
      </c>
      <c r="Z62" s="829">
        <v>1</v>
      </c>
      <c r="AA62" s="829">
        <v>57</v>
      </c>
      <c r="AB62" s="829">
        <v>43</v>
      </c>
      <c r="AC62" s="829"/>
      <c r="AD62" s="816" t="str">
        <f t="array" ref="AD62">IF($J62="","",IF(SUM(IF(ISNUMBER(VALUE(RIGHT($AG62:$CJ62,1))),VALUE(RIGHT($AG62:$CJ62,1)),0))=$J62,"T","F"))</f>
        <v>T</v>
      </c>
      <c r="AE62" s="831">
        <f t="array" ref="AE62">IF($J62="","",SUM(IF(LEFT($AG62:$DV62,1)="s",1,0))-SUM(IF(RIGHT(LEFT($AG62:$DV62,2))="-",1,0)))</f>
        <v>0</v>
      </c>
      <c r="AF62" s="816">
        <f t="array" ref="AF62">IF($J62="","",SUM(IF(LEFT($AG62:$DB62,1)="X",1,0)))</f>
        <v>11</v>
      </c>
      <c r="AG62" s="891" t="s">
        <v>34</v>
      </c>
      <c r="AH62" s="891" t="s">
        <v>32</v>
      </c>
      <c r="AI62" s="891" t="s">
        <v>32</v>
      </c>
      <c r="AJ62" s="891" t="s">
        <v>1877</v>
      </c>
      <c r="AK62" s="891" t="s">
        <v>35</v>
      </c>
      <c r="AL62" s="891" t="s">
        <v>34</v>
      </c>
      <c r="AM62" s="891" t="s">
        <v>34</v>
      </c>
      <c r="AN62" s="891" t="s">
        <v>3490</v>
      </c>
      <c r="AO62" s="891" t="s">
        <v>34</v>
      </c>
      <c r="AP62" s="891" t="s">
        <v>32</v>
      </c>
      <c r="AQ62" s="891" t="s">
        <v>1877</v>
      </c>
      <c r="AR62" s="891" t="s">
        <v>32</v>
      </c>
      <c r="AS62" s="891" t="s">
        <v>1877</v>
      </c>
      <c r="AT62" s="891" t="s">
        <v>32</v>
      </c>
      <c r="AU62" s="891" t="s">
        <v>34</v>
      </c>
      <c r="AV62" s="891" t="s">
        <v>36</v>
      </c>
      <c r="AW62" s="891" t="s">
        <v>34</v>
      </c>
      <c r="AX62" s="891" t="s">
        <v>32</v>
      </c>
      <c r="AY62" s="891" t="s">
        <v>32</v>
      </c>
      <c r="AZ62" s="891" t="s">
        <v>34</v>
      </c>
      <c r="BA62" s="891" t="s">
        <v>35</v>
      </c>
      <c r="BB62" s="891" t="s">
        <v>35</v>
      </c>
      <c r="BC62" s="891" t="s">
        <v>34</v>
      </c>
      <c r="BD62" s="891" t="s">
        <v>1877</v>
      </c>
      <c r="BE62" s="891" t="s">
        <v>32</v>
      </c>
      <c r="BF62" s="891" t="s">
        <v>36</v>
      </c>
      <c r="BG62" s="891" t="s">
        <v>36</v>
      </c>
      <c r="BH62" s="891"/>
      <c r="BI62" s="891"/>
      <c r="BJ62" s="910"/>
      <c r="BK62" s="891"/>
      <c r="BL62" s="891"/>
      <c r="BM62" s="891"/>
      <c r="BN62" s="891"/>
      <c r="BO62" s="891"/>
      <c r="BP62" s="891"/>
      <c r="BQ62" s="892"/>
      <c r="BR62" s="896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428"/>
      <c r="CG62" s="428"/>
      <c r="CH62" s="428"/>
      <c r="CI62" s="428"/>
    </row>
    <row r="63" spans="1:87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20</v>
      </c>
      <c r="G63" s="879" t="s">
        <v>882</v>
      </c>
      <c r="H63" s="879" t="s">
        <v>22</v>
      </c>
      <c r="I63" s="879" t="s">
        <v>891</v>
      </c>
      <c r="J63" s="846">
        <v>1</v>
      </c>
      <c r="K63" s="846">
        <v>2</v>
      </c>
      <c r="L63" s="816" t="str">
        <f t="shared" si="39"/>
        <v>L</v>
      </c>
      <c r="M63" s="816">
        <f t="shared" si="40"/>
        <v>3</v>
      </c>
      <c r="N63" s="816" t="str">
        <f t="shared" si="41"/>
        <v>O</v>
      </c>
      <c r="O63" s="816">
        <f t="shared" si="68"/>
        <v>-0.75</v>
      </c>
      <c r="P63" s="829">
        <f t="shared" si="69"/>
        <v>-1</v>
      </c>
      <c r="Q63" s="830">
        <v>0.9</v>
      </c>
      <c r="R63" s="816">
        <f t="shared" si="51"/>
        <v>-1.9</v>
      </c>
      <c r="S63" s="830">
        <v>2.98</v>
      </c>
      <c r="T63" s="871">
        <f t="shared" si="34"/>
        <v>2.0000000000000018E-2</v>
      </c>
      <c r="U63" s="868">
        <f t="shared" si="72"/>
        <v>1.94</v>
      </c>
      <c r="V63" s="868">
        <f t="shared" si="73"/>
        <v>1.04</v>
      </c>
      <c r="W63" s="829">
        <v>16</v>
      </c>
      <c r="X63" s="829">
        <v>16</v>
      </c>
      <c r="Y63" s="829">
        <v>6</v>
      </c>
      <c r="Z63" s="829">
        <v>4</v>
      </c>
      <c r="AA63" s="829">
        <v>54</v>
      </c>
      <c r="AB63" s="829">
        <v>46</v>
      </c>
      <c r="AC63" s="829"/>
      <c r="AD63" s="816" t="str">
        <f t="array" ref="AD63">IF($J63="","",IF(SUM(IF(ISNUMBER(VALUE(RIGHT($AG63:$CJ63,1))),VALUE(RIGHT($AG63:$CJ63,1)),0))=$J63,"T","F"))</f>
        <v>T</v>
      </c>
      <c r="AE63" s="831">
        <f t="array" ref="AE63">IF($J63="","",SUM(IF(LEFT($AG63:$DV63,1)="s",1,0))-SUM(IF(RIGHT(LEFT($AG63:$DV63,2))="-",1,0)))</f>
        <v>0</v>
      </c>
      <c r="AF63" s="816">
        <f t="array" ref="AF63">IF($J63="","",SUM(IF(LEFT($AG63:$DB63,1)="X",1,0)))</f>
        <v>11</v>
      </c>
      <c r="AG63" s="904" t="s">
        <v>34</v>
      </c>
      <c r="AH63" s="891" t="s">
        <v>32</v>
      </c>
      <c r="AI63" s="891" t="s">
        <v>32</v>
      </c>
      <c r="AJ63" s="891" t="s">
        <v>1877</v>
      </c>
      <c r="AK63" s="891" t="s">
        <v>34</v>
      </c>
      <c r="AL63" s="891" t="s">
        <v>34</v>
      </c>
      <c r="AM63" s="891" t="s">
        <v>34</v>
      </c>
      <c r="AN63" s="891" t="s">
        <v>1877</v>
      </c>
      <c r="AO63" s="891" t="s">
        <v>32</v>
      </c>
      <c r="AP63" s="891" t="s">
        <v>32</v>
      </c>
      <c r="AQ63" s="891" t="s">
        <v>36</v>
      </c>
      <c r="AR63" s="891" t="s">
        <v>32</v>
      </c>
      <c r="AS63" s="891" t="s">
        <v>1877</v>
      </c>
      <c r="AT63" s="891" t="s">
        <v>1877</v>
      </c>
      <c r="AU63" s="891" t="s">
        <v>34</v>
      </c>
      <c r="AV63" s="891" t="s">
        <v>36</v>
      </c>
      <c r="AW63" s="891" t="s">
        <v>35</v>
      </c>
      <c r="AX63" s="891" t="s">
        <v>32</v>
      </c>
      <c r="AY63" s="891" t="s">
        <v>32</v>
      </c>
      <c r="AZ63" s="891" t="s">
        <v>34</v>
      </c>
      <c r="BA63" s="891" t="s">
        <v>35</v>
      </c>
      <c r="BB63" s="891" t="s">
        <v>34</v>
      </c>
      <c r="BC63" s="891" t="s">
        <v>34</v>
      </c>
      <c r="BD63" s="891" t="s">
        <v>32</v>
      </c>
      <c r="BE63" s="891" t="s">
        <v>32</v>
      </c>
      <c r="BF63" s="891" t="s">
        <v>3520</v>
      </c>
      <c r="BG63" s="891" t="s">
        <v>36</v>
      </c>
      <c r="BH63" s="891"/>
      <c r="BI63" s="891"/>
      <c r="BJ63" s="910"/>
      <c r="BK63" s="891"/>
      <c r="BL63" s="891"/>
      <c r="BM63" s="891"/>
      <c r="BN63" s="891"/>
      <c r="BO63" s="891"/>
      <c r="BP63" s="891"/>
      <c r="BQ63" s="892"/>
      <c r="BR63" s="896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</row>
    <row r="64" spans="1:87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12</v>
      </c>
      <c r="G64" s="879" t="s">
        <v>879</v>
      </c>
      <c r="H64" s="879" t="s">
        <v>18</v>
      </c>
      <c r="I64" s="879" t="s">
        <v>891</v>
      </c>
      <c r="J64" s="846">
        <v>1</v>
      </c>
      <c r="K64" s="846">
        <v>0</v>
      </c>
      <c r="L64" s="816" t="str">
        <f t="shared" si="39"/>
        <v>W</v>
      </c>
      <c r="M64" s="816">
        <f t="shared" si="40"/>
        <v>1</v>
      </c>
      <c r="N64" s="816" t="str">
        <f t="shared" si="41"/>
        <v>U</v>
      </c>
      <c r="O64" s="816">
        <f t="shared" ref="O64:O66" si="74">IF(Q64="","",IF(SIGN(Q64)&lt;&gt;1,VLOOKUP(ABS(Q64),SUP_HDC,3,TRUE),-VLOOKUP(ABS(Q64),SUP_HDC,3,TRUE)))</f>
        <v>-0.5</v>
      </c>
      <c r="P64" s="829">
        <f t="shared" ref="P64:P66" si="75">IF(O64="","",IF((J64-K64+O64)&gt;=0.5,1,IF((J64-K64+O64)=0.25,0.5,IF((J64-K64+O64)&lt;=-0.5,-1,IF((J64-K64+O64)=-0.25,-0.5,0)))))</f>
        <v>1</v>
      </c>
      <c r="Q64" s="830">
        <v>0.48</v>
      </c>
      <c r="R64" s="816">
        <f t="shared" ref="R64:R66" si="76">IF(ISBLANK(Q64),"",J64-K64-Q64)</f>
        <v>0.52</v>
      </c>
      <c r="S64" s="830">
        <v>2.8</v>
      </c>
      <c r="T64" s="871">
        <f t="shared" ref="T64:T66" si="77">IF(ISBLANK(S64),"",J64+K64-S64)</f>
        <v>-1.7999999999999998</v>
      </c>
      <c r="U64" s="868">
        <f t="shared" ref="U64:U66" si="78">IF(Q64="","",(Q64+S64)/2)</f>
        <v>1.64</v>
      </c>
      <c r="V64" s="868">
        <f t="shared" ref="V64:V66" si="79">IF(Q64="","",S64-U64)</f>
        <v>1.1599999999999999</v>
      </c>
      <c r="W64" s="829">
        <v>16</v>
      </c>
      <c r="X64" s="829">
        <v>16</v>
      </c>
      <c r="Y64" s="829">
        <v>6</v>
      </c>
      <c r="Z64" s="829">
        <v>4</v>
      </c>
      <c r="AA64" s="829">
        <v>54</v>
      </c>
      <c r="AB64" s="829">
        <v>46</v>
      </c>
      <c r="AC64" s="829"/>
      <c r="AD64" s="816" t="str">
        <f t="array" ref="AD64">IF($J64="","",IF(SUM(IF(ISNUMBER(VALUE(RIGHT($AG64:$CJ64,1))),VALUE(RIGHT($AG64:$CJ64,1)),0))=$J64,"T","F"))</f>
        <v>T</v>
      </c>
      <c r="AE64" s="831">
        <f t="array" ref="AE64">IF($J64="","",SUM(IF(LEFT($AG64:$DV64,1)="s",1,0))-SUM(IF(RIGHT(LEFT($AG64:$DV64,2))="-",1,0)))</f>
        <v>0</v>
      </c>
      <c r="AF64" s="816">
        <f t="array" ref="AF64">IF($J64="","",SUM(IF(LEFT($AG64:$DB64,1)="X",1,0)))</f>
        <v>11</v>
      </c>
      <c r="AG64" s="891" t="s">
        <v>34</v>
      </c>
      <c r="AH64" s="891" t="s">
        <v>32</v>
      </c>
      <c r="AI64" s="891" t="s">
        <v>32</v>
      </c>
      <c r="AJ64" s="891" t="s">
        <v>1877</v>
      </c>
      <c r="AK64" s="891" t="s">
        <v>34</v>
      </c>
      <c r="AL64" s="904" t="s">
        <v>34</v>
      </c>
      <c r="AM64" s="891" t="s">
        <v>34</v>
      </c>
      <c r="AN64" s="891" t="s">
        <v>34</v>
      </c>
      <c r="AO64" s="891" t="s">
        <v>35</v>
      </c>
      <c r="AP64" s="891" t="s">
        <v>32</v>
      </c>
      <c r="AQ64" s="891" t="s">
        <v>32</v>
      </c>
      <c r="AR64" s="891" t="s">
        <v>32</v>
      </c>
      <c r="AS64" s="891" t="s">
        <v>36</v>
      </c>
      <c r="AT64" s="891" t="s">
        <v>32</v>
      </c>
      <c r="AU64" s="891" t="s">
        <v>34</v>
      </c>
      <c r="AV64" s="891" t="s">
        <v>1877</v>
      </c>
      <c r="AW64" s="891" t="s">
        <v>36</v>
      </c>
      <c r="AX64" s="891" t="s">
        <v>32</v>
      </c>
      <c r="AY64" s="891" t="s">
        <v>32</v>
      </c>
      <c r="AZ64" s="891" t="s">
        <v>35</v>
      </c>
      <c r="BA64" s="891" t="s">
        <v>34</v>
      </c>
      <c r="BB64" s="891" t="s">
        <v>3544</v>
      </c>
      <c r="BC64" s="891" t="s">
        <v>34</v>
      </c>
      <c r="BD64" s="891" t="s">
        <v>1877</v>
      </c>
      <c r="BE64" s="891" t="s">
        <v>32</v>
      </c>
      <c r="BF64" s="891" t="s">
        <v>1877</v>
      </c>
      <c r="BG64" s="891" t="s">
        <v>35</v>
      </c>
      <c r="BH64" s="891"/>
      <c r="BI64" s="891"/>
      <c r="BJ64" s="910"/>
      <c r="BK64" s="891"/>
      <c r="BL64" s="891"/>
      <c r="BM64" s="891"/>
      <c r="BN64" s="891"/>
      <c r="BO64" s="891"/>
      <c r="BP64" s="891"/>
      <c r="BQ64" s="892"/>
      <c r="BR64" s="896"/>
      <c r="BS64" s="896"/>
      <c r="BT64" s="896"/>
      <c r="BU64" s="896"/>
      <c r="BV64" s="896"/>
      <c r="BW64" s="896"/>
      <c r="BX64" s="896"/>
      <c r="BY64" s="896"/>
      <c r="BZ64" s="896"/>
      <c r="CA64" s="896"/>
      <c r="CB64" s="896"/>
      <c r="CC64" s="896"/>
      <c r="CD64" s="896"/>
      <c r="CE64" s="896"/>
    </row>
    <row r="65" spans="1:83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7</v>
      </c>
      <c r="G65" s="879" t="s">
        <v>888</v>
      </c>
      <c r="H65" s="879" t="s">
        <v>22</v>
      </c>
      <c r="I65" s="879" t="s">
        <v>891</v>
      </c>
      <c r="J65" s="846">
        <v>2</v>
      </c>
      <c r="K65" s="846">
        <v>1</v>
      </c>
      <c r="L65" s="816" t="str">
        <f t="shared" si="39"/>
        <v>W</v>
      </c>
      <c r="M65" s="816">
        <f t="shared" si="40"/>
        <v>3</v>
      </c>
      <c r="N65" s="816" t="str">
        <f t="shared" si="41"/>
        <v>O</v>
      </c>
      <c r="O65" s="816">
        <f t="shared" si="74"/>
        <v>0</v>
      </c>
      <c r="P65" s="829">
        <f t="shared" si="75"/>
        <v>1</v>
      </c>
      <c r="Q65" s="830">
        <v>-0.1</v>
      </c>
      <c r="R65" s="816">
        <f t="shared" si="76"/>
        <v>1.1000000000000001</v>
      </c>
      <c r="S65" s="830">
        <v>2.85</v>
      </c>
      <c r="T65" s="871">
        <f t="shared" si="77"/>
        <v>0.14999999999999991</v>
      </c>
      <c r="U65" s="868">
        <f t="shared" si="78"/>
        <v>1.375</v>
      </c>
      <c r="V65" s="868">
        <f t="shared" si="79"/>
        <v>1.4750000000000001</v>
      </c>
      <c r="W65" s="829">
        <v>14</v>
      </c>
      <c r="X65" s="829">
        <v>15</v>
      </c>
      <c r="Y65" s="829">
        <v>4</v>
      </c>
      <c r="Z65" s="829">
        <v>6</v>
      </c>
      <c r="AA65" s="829">
        <v>37</v>
      </c>
      <c r="AB65" s="829">
        <v>63</v>
      </c>
      <c r="AC65" s="829"/>
      <c r="AD65" s="816" t="str">
        <f t="array" ref="AD65">IF($J65="","",IF(SUM(IF(ISNUMBER(VALUE(RIGHT($AG65:$CJ65,1))),VALUE(RIGHT($AG65:$CJ65,1)),0))=$J65,"T","F"))</f>
        <v>T</v>
      </c>
      <c r="AE65" s="831">
        <f t="array" ref="AE65">IF($J65="","",SUM(IF(LEFT($AG65:$DV65,1)="s",1,0))-SUM(IF(RIGHT(LEFT($AG65:$DV65,2))="-",1,0)))</f>
        <v>0</v>
      </c>
      <c r="AF65" s="816">
        <f t="array" ref="AF65">IF($J65="","",SUM(IF(LEFT($AG65:$DB65,1)="X",1,0)))</f>
        <v>11</v>
      </c>
      <c r="AG65" s="891" t="s">
        <v>34</v>
      </c>
      <c r="AH65" s="891" t="s">
        <v>32</v>
      </c>
      <c r="AI65" s="891" t="s">
        <v>32</v>
      </c>
      <c r="AJ65" s="891" t="s">
        <v>1877</v>
      </c>
      <c r="AK65" s="891" t="s">
        <v>34</v>
      </c>
      <c r="AL65" s="891" t="s">
        <v>3575</v>
      </c>
      <c r="AM65" s="891" t="s">
        <v>34</v>
      </c>
      <c r="AN65" s="891" t="s">
        <v>3571</v>
      </c>
      <c r="AO65" s="891" t="s">
        <v>34</v>
      </c>
      <c r="AP65" s="891" t="s">
        <v>32</v>
      </c>
      <c r="AQ65" s="891" t="s">
        <v>1877</v>
      </c>
      <c r="AR65" s="891" t="s">
        <v>32</v>
      </c>
      <c r="AS65" s="891" t="s">
        <v>1877</v>
      </c>
      <c r="AT65" s="891" t="s">
        <v>32</v>
      </c>
      <c r="AU65" s="891" t="s">
        <v>3571</v>
      </c>
      <c r="AV65" s="891" t="s">
        <v>35</v>
      </c>
      <c r="AW65" s="891" t="s">
        <v>34</v>
      </c>
      <c r="AX65" s="891" t="s">
        <v>36</v>
      </c>
      <c r="AY65" s="891" t="s">
        <v>32</v>
      </c>
      <c r="AZ65" s="891" t="s">
        <v>32</v>
      </c>
      <c r="BA65" s="891" t="s">
        <v>34</v>
      </c>
      <c r="BB65" s="891" t="s">
        <v>35</v>
      </c>
      <c r="BC65" s="904" t="s">
        <v>35</v>
      </c>
      <c r="BD65" s="891" t="s">
        <v>36</v>
      </c>
      <c r="BE65" s="891" t="s">
        <v>32</v>
      </c>
      <c r="BF65" s="891" t="s">
        <v>1877</v>
      </c>
      <c r="BG65" s="891" t="s">
        <v>36</v>
      </c>
      <c r="BH65" s="891"/>
      <c r="BI65" s="891"/>
      <c r="BJ65" s="910"/>
      <c r="BK65" s="891"/>
      <c r="BL65" s="891"/>
      <c r="BM65" s="891"/>
      <c r="BN65" s="891"/>
      <c r="BO65" s="891"/>
      <c r="BP65" s="891"/>
      <c r="BQ65" s="892"/>
      <c r="BR65" s="896"/>
      <c r="BS65" s="896"/>
      <c r="BT65" s="896"/>
      <c r="BU65" s="896"/>
      <c r="BV65" s="896"/>
      <c r="BW65" s="896"/>
      <c r="BX65" s="896"/>
      <c r="BY65" s="896"/>
      <c r="BZ65" s="896"/>
      <c r="CA65" s="896"/>
      <c r="CB65" s="896"/>
      <c r="CC65" s="896"/>
      <c r="CD65" s="896"/>
      <c r="CE65" s="896"/>
    </row>
    <row r="66" spans="1:83" ht="15">
      <c r="A66" s="882">
        <v>6540</v>
      </c>
      <c r="B66" s="884"/>
      <c r="C66" s="884"/>
      <c r="D66" s="884"/>
      <c r="E66" s="884"/>
      <c r="F66" s="884">
        <f ca="1">IF(I66="","",IF(I66=Table!$C$1,VLOOKUP(G66,Table!$B$9:$AE$32,Table!$AE$6-1,FALSE),""))</f>
        <v>4</v>
      </c>
      <c r="G66" s="879" t="s">
        <v>1084</v>
      </c>
      <c r="H66" s="879" t="s">
        <v>3587</v>
      </c>
      <c r="I66" s="879" t="s">
        <v>891</v>
      </c>
      <c r="J66" s="846">
        <v>0</v>
      </c>
      <c r="K66" s="846">
        <v>1</v>
      </c>
      <c r="L66" s="816" t="str">
        <f t="shared" ref="L66" si="80">IF(J66="","",IF(J66&gt;K66,"W",IF(J66=K66,"D",IF(J66&lt;K66,"L"))))</f>
        <v>L</v>
      </c>
      <c r="M66" s="816">
        <f t="shared" ref="M66" si="81">IF(J66="","",J66+K66)</f>
        <v>1</v>
      </c>
      <c r="N66" s="816" t="str">
        <f t="shared" si="41"/>
        <v>U</v>
      </c>
      <c r="O66" s="816">
        <f t="shared" si="74"/>
        <v>0.25</v>
      </c>
      <c r="P66" s="829">
        <f t="shared" si="75"/>
        <v>-1</v>
      </c>
      <c r="Q66" s="830">
        <v>-0.15</v>
      </c>
      <c r="R66" s="816">
        <f t="shared" si="76"/>
        <v>-0.85</v>
      </c>
      <c r="S66" s="830">
        <v>2.33</v>
      </c>
      <c r="T66" s="871">
        <f t="shared" si="77"/>
        <v>-1.33</v>
      </c>
      <c r="U66" s="868">
        <f t="shared" si="78"/>
        <v>1.0900000000000001</v>
      </c>
      <c r="V66" s="868">
        <f t="shared" si="79"/>
        <v>1.24</v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IF($J66="","",IF(SUM(IF(ISNUMBER(VALUE(RIGHT($AG66:$CJ66,1))),VALUE(RIGHT($AG66:$CJ66,1)),0))=$J66,"T","F"))</f>
        <v>T</v>
      </c>
      <c r="AE66" s="831">
        <f t="array" ref="AE66">IF($J66="","",SUM(IF(LEFT($AG66:$DV66,1)="s",1,0))-SUM(IF(RIGHT(LEFT($AG66:$DV66,2))="-",1,0)))</f>
        <v>0</v>
      </c>
      <c r="AF66" s="816">
        <f t="array" ref="AF66">IF($J66="","",SUM(IF(LEFT($AG66:$DB66,1)="X",1,0)))</f>
        <v>11</v>
      </c>
      <c r="AG66" s="891" t="s">
        <v>3589</v>
      </c>
      <c r="AH66" s="891"/>
      <c r="AI66" s="891"/>
      <c r="AJ66" s="891" t="s">
        <v>3591</v>
      </c>
      <c r="AK66" s="891" t="s">
        <v>3590</v>
      </c>
      <c r="AL66" s="891" t="s">
        <v>3590</v>
      </c>
      <c r="AM66" s="891" t="s">
        <v>3590</v>
      </c>
      <c r="AN66" s="891" t="s">
        <v>3590</v>
      </c>
      <c r="AO66" s="891" t="s">
        <v>3611</v>
      </c>
      <c r="AP66" s="891"/>
      <c r="AQ66" s="891"/>
      <c r="AR66" s="891"/>
      <c r="AS66" s="891" t="s">
        <v>3591</v>
      </c>
      <c r="AT66" s="891"/>
      <c r="AU66" s="891" t="s">
        <v>3590</v>
      </c>
      <c r="AV66" s="891" t="s">
        <v>3591</v>
      </c>
      <c r="AW66" s="891" t="s">
        <v>3591</v>
      </c>
      <c r="AX66" s="891"/>
      <c r="AY66" s="891"/>
      <c r="AZ66" s="891" t="s">
        <v>3608</v>
      </c>
      <c r="BA66" s="891" t="s">
        <v>3590</v>
      </c>
      <c r="BB66" s="891" t="s">
        <v>871</v>
      </c>
      <c r="BC66" s="904" t="s">
        <v>3590</v>
      </c>
      <c r="BD66" s="891" t="s">
        <v>2997</v>
      </c>
      <c r="BE66" s="891"/>
      <c r="BF66" s="891" t="s">
        <v>2997</v>
      </c>
      <c r="BG66" s="891" t="s">
        <v>2997</v>
      </c>
      <c r="BH66" s="891"/>
      <c r="BI66" s="891"/>
      <c r="BJ66" s="910"/>
      <c r="BK66" s="891"/>
      <c r="BL66" s="891"/>
      <c r="BM66" s="891"/>
      <c r="BN66" s="891"/>
      <c r="BO66" s="891"/>
      <c r="BP66" s="891"/>
      <c r="BQ66" s="892"/>
      <c r="BR66" s="896"/>
      <c r="BS66" s="896"/>
      <c r="BT66" s="896"/>
      <c r="BU66" s="896"/>
      <c r="BV66" s="896"/>
      <c r="BW66" s="896"/>
      <c r="BX66" s="896"/>
      <c r="BY66" s="896"/>
      <c r="BZ66" s="896"/>
      <c r="CA66" s="896"/>
      <c r="CB66" s="896"/>
      <c r="CC66" s="896"/>
      <c r="CD66" s="896"/>
      <c r="CE66" s="896"/>
    </row>
    <row r="67" spans="1:83" ht="15">
      <c r="A67" s="882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34"/>
        <v/>
      </c>
      <c r="U67" s="868" t="str">
        <f t="shared" si="72"/>
        <v/>
      </c>
      <c r="V67" s="868" t="str">
        <f t="shared" si="73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IF($J67="","",IF(SUM(IF(ISNUMBER(VALUE(RIGHT($AG67:$CJ67,1))),VALUE(RIGHT($AG67:$CJ67,1)),0))=$J67,"T","F"))</f>
        <v/>
      </c>
      <c r="AE67" s="831" t="str">
        <f t="array" ref="AE67">IF($J67="","",SUM(IF(LEFT($AG67:$DV67,1)="s",1,0))-SUM(IF(RIGHT(LEFT($AG67:$DV67,2))="-",1,0)))</f>
        <v/>
      </c>
      <c r="AF67" s="816" t="str">
        <f t="array" ref="AF67">IF($J67="","",SUM(IF(LEFT($AG67:$DB67,1)="X",1,0)))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3"/>
      <c r="BR67" s="896"/>
      <c r="BS67" s="896"/>
      <c r="BT67" s="896"/>
      <c r="BU67" s="896"/>
      <c r="BV67" s="896"/>
      <c r="BW67" s="896"/>
      <c r="BX67" s="896"/>
      <c r="BY67" s="896"/>
      <c r="BZ67" s="896"/>
      <c r="CA67" s="896"/>
      <c r="CB67" s="896"/>
      <c r="CC67" s="896"/>
      <c r="CD67" s="896"/>
      <c r="CE67" s="896"/>
    </row>
    <row r="68" spans="1:83" ht="15">
      <c r="A68" s="882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34"/>
        <v/>
      </c>
      <c r="U68" s="868" t="str">
        <f t="shared" si="72"/>
        <v/>
      </c>
      <c r="V68" s="868" t="str">
        <f t="shared" si="73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IF($J68="","",IF(SUM(IF(ISNUMBER(VALUE(RIGHT($AG68:$CJ68,1))),VALUE(RIGHT($AG68:$CJ68,1)),0))=$J68,"T","F"))</f>
        <v/>
      </c>
      <c r="AE68" s="831" t="str">
        <f t="array" ref="AE68">IF($J68="","",SUM(IF(LEFT($AG68:$DV68,1)="s",1,0))-SUM(IF(RIGHT(LEFT($AG68:$DV68,2))="-",1,0)))</f>
        <v/>
      </c>
      <c r="AF68" s="816" t="str">
        <f t="array" ref="AF68">IF($J68="","",SUM(IF(LEFT($AG68:$DB68,1)="X",1,0)))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3"/>
      <c r="BR68" s="896"/>
      <c r="BS68" s="896"/>
      <c r="BT68" s="897"/>
      <c r="BU68" s="897"/>
      <c r="BV68" s="897"/>
      <c r="BW68" s="897"/>
      <c r="BX68" s="897"/>
      <c r="BY68" s="896"/>
      <c r="BZ68" s="896"/>
      <c r="CA68" s="896"/>
      <c r="CB68" s="896"/>
      <c r="CC68" s="896"/>
      <c r="CD68" s="896"/>
      <c r="CE68" s="896"/>
    </row>
    <row r="69" spans="1:83" ht="15">
      <c r="A69" s="882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80"/>
      <c r="H69" s="879"/>
      <c r="I69" s="879"/>
      <c r="J69" s="428"/>
      <c r="K69" s="428"/>
      <c r="T69" s="871" t="str">
        <f t="shared" si="34"/>
        <v/>
      </c>
      <c r="U69" s="868" t="str">
        <f t="shared" si="72"/>
        <v/>
      </c>
      <c r="V69" s="868" t="str">
        <f t="shared" si="73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IF($J69="","",IF(SUM(IF(ISNUMBER(VALUE(RIGHT($AG69:$CJ69,1))),VALUE(RIGHT($AG69:$CJ69,1)),0))=$J69,"T","F"))</f>
        <v/>
      </c>
      <c r="AE69" s="831" t="str">
        <f t="array" ref="AE69">IF($J69="","",SUM(IF(LEFT($AG69:$DV69,1)="s",1,0))-SUM(IF(RIGHT(LEFT($AG69:$DV69,2))="-",1,0)))</f>
        <v/>
      </c>
      <c r="AF69" s="816" t="str">
        <f t="array" ref="AF69">IF($J69="","",SUM(IF(LEFT($AG69:$DB69,1)="X",1,0)))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3"/>
      <c r="BR69" s="896"/>
      <c r="BS69" s="896"/>
      <c r="BT69" s="897"/>
      <c r="BU69" s="897"/>
      <c r="BV69" s="897"/>
      <c r="BW69" s="897"/>
      <c r="BX69" s="897"/>
      <c r="BY69" s="896"/>
      <c r="BZ69" s="896"/>
      <c r="CA69" s="896"/>
      <c r="CB69" s="896"/>
      <c r="CC69" s="896"/>
      <c r="CD69" s="896"/>
      <c r="CE69" s="896"/>
    </row>
    <row r="70" spans="1:83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 t="str">
        <f>IF(I70="","",IF(I70=Table!$C$1,VLOOKUP(G70,Table!$B$9:$AE$32,Table!$AE$6-1,FALSE),""))</f>
        <v/>
      </c>
      <c r="G70" s="879"/>
      <c r="H70" s="879"/>
      <c r="I70" s="879"/>
      <c r="J70" s="428"/>
      <c r="K70" s="428"/>
      <c r="T70" s="871" t="str">
        <f t="shared" si="34"/>
        <v/>
      </c>
      <c r="U70" s="868" t="str">
        <f t="shared" si="72"/>
        <v/>
      </c>
      <c r="V70" s="868" t="str">
        <f t="shared" si="73"/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IF($J70="","",IF(SUM(IF(ISNUMBER(VALUE(RIGHT($AG70:$CJ70,1))),VALUE(RIGHT($AG70:$CJ70,1)),0))=$J70,"T","F"))</f>
        <v/>
      </c>
      <c r="AE70" s="831" t="str">
        <f t="array" ref="AE70">IF($J70="","",SUM(IF(LEFT($AG70:$DV70,1)="s",1,0))-SUM(IF(RIGHT(LEFT($AG70:$DV70,2))="-",1,0)))</f>
        <v/>
      </c>
      <c r="AF70" s="816" t="str">
        <f t="array" ref="AF70">IF($J70="","",SUM(IF(LEFT($AG70:$DB70,1)="X",1,0)))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3"/>
      <c r="BR70" s="896"/>
      <c r="BS70" s="896"/>
      <c r="BT70" s="897"/>
      <c r="BU70" s="897"/>
      <c r="BV70" s="897"/>
      <c r="BW70" s="897"/>
      <c r="BX70" s="897"/>
      <c r="BY70" s="896"/>
      <c r="BZ70" s="896"/>
      <c r="CA70" s="896"/>
      <c r="CB70" s="896"/>
      <c r="CC70" s="896"/>
      <c r="CD70" s="896"/>
      <c r="CE70" s="896"/>
    </row>
    <row r="71" spans="1:83" ht="15">
      <c r="A71" s="881"/>
      <c r="B71" s="884"/>
      <c r="C71" s="884"/>
      <c r="D71" s="884" t="str">
        <f>IF(I71=Table!$C$1,VLOOKUP(G71,Table!$B$38:$AO$61,Table!$AO$35-1,FALSE),"")</f>
        <v/>
      </c>
      <c r="E71" s="884"/>
      <c r="F71" s="884" t="str">
        <f>IF(I71="","",IF(I71=Table!$C$1,VLOOKUP(G71,Table!$B$9:$AE$32,Table!$AE$6-1,FALSE),""))</f>
        <v/>
      </c>
      <c r="G71" s="879"/>
      <c r="H71" s="879"/>
      <c r="I71" s="879"/>
      <c r="J71" s="428"/>
      <c r="K71" s="428"/>
      <c r="T71" s="871" t="str">
        <f t="shared" si="34"/>
        <v/>
      </c>
      <c r="U71" s="868" t="str">
        <f t="shared" si="72"/>
        <v/>
      </c>
      <c r="V71" s="868" t="str">
        <f t="shared" si="73"/>
        <v/>
      </c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IF($J71="","",IF(SUM(IF(ISNUMBER(VALUE(RIGHT($AG71:$CJ71,1))),VALUE(RIGHT($AG71:$CJ71,1)),0))=$J71,"T","F"))</f>
        <v/>
      </c>
      <c r="AE71" s="831" t="str">
        <f t="array" ref="AE71">IF($J71="","",SUM(IF(LEFT($AG71:$DV71,1)="s",1,0))-SUM(IF(RIGHT(LEFT($AG71:$DV71,2))="-",1,0)))</f>
        <v/>
      </c>
      <c r="AF71" s="816" t="str">
        <f t="array" ref="AF71">IF($J71="","",SUM(IF(LEFT($AG71:$DB71,1)="X",1,0)))</f>
        <v/>
      </c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3"/>
      <c r="BR71" s="896"/>
      <c r="BS71" s="896"/>
      <c r="BT71" s="897"/>
      <c r="BU71" s="897"/>
      <c r="BV71" s="897"/>
      <c r="BW71" s="897"/>
      <c r="BX71" s="897"/>
      <c r="BY71" s="896"/>
      <c r="BZ71" s="896"/>
      <c r="CA71" s="896"/>
      <c r="CB71" s="896"/>
      <c r="CC71" s="896"/>
      <c r="CD71" s="896"/>
      <c r="CE71" s="896"/>
    </row>
    <row r="72" spans="1:83" ht="15">
      <c r="A72" s="881"/>
      <c r="B72" s="884"/>
      <c r="C72" s="884"/>
      <c r="D72" s="884" t="str">
        <f>IF(I72=Table!$C$1,VLOOKUP(G72,Table!$B$38:$AO$61,Table!$AO$35-1,FALSE),"")</f>
        <v/>
      </c>
      <c r="E72" s="884"/>
      <c r="F72" s="884" t="str">
        <f>IF(I72="","",IF(I72=Table!$C$1,VLOOKUP(G72,Table!$B$9:$AE$32,Table!$AE$6-1,FALSE),""))</f>
        <v/>
      </c>
      <c r="G72" s="879"/>
      <c r="H72" s="879"/>
      <c r="I72" s="879"/>
      <c r="J72" s="428"/>
      <c r="K72" s="428"/>
      <c r="T72" s="871" t="str">
        <f t="shared" si="34"/>
        <v/>
      </c>
      <c r="U72" s="868" t="str">
        <f t="shared" si="72"/>
        <v/>
      </c>
      <c r="V72" s="868" t="str">
        <f t="shared" si="73"/>
        <v/>
      </c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IF($J72="","",IF(SUM(IF(ISNUMBER(VALUE(RIGHT($AG72:$CJ72,1))),VALUE(RIGHT($AG72:$CJ72,1)),0))=$J72,"T","F"))</f>
        <v/>
      </c>
      <c r="AE72" s="831" t="str">
        <f t="array" ref="AE72">IF($J72="","",SUM(IF(LEFT($AG72:$DV72,1)="s",1,0))-SUM(IF(RIGHT(LEFT($AG72:$DV72,2))="-",1,0)))</f>
        <v/>
      </c>
      <c r="AF72" s="816" t="str">
        <f t="array" ref="AF72">IF($J72="","",SUM(IF(LEFT($AG72:$DB72,1)="X",1,0)))</f>
        <v/>
      </c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3"/>
      <c r="BR72" s="896"/>
      <c r="BS72" s="896"/>
      <c r="BT72" s="897"/>
      <c r="BU72" s="897"/>
      <c r="BV72" s="897"/>
      <c r="BW72" s="897"/>
      <c r="BX72" s="897"/>
      <c r="BY72" s="896"/>
      <c r="BZ72" s="896"/>
      <c r="CA72" s="896"/>
      <c r="CB72" s="896"/>
      <c r="CC72" s="896"/>
      <c r="CD72" s="896"/>
      <c r="CE72" s="896"/>
    </row>
    <row r="73" spans="1:83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1"/>
      <c r="AH73" s="891"/>
      <c r="AI73" s="891"/>
      <c r="AJ73" s="891"/>
      <c r="AK73" s="891"/>
      <c r="AL73" s="891"/>
      <c r="AM73" s="891"/>
      <c r="AN73" s="891"/>
      <c r="AO73" s="891"/>
      <c r="AP73" s="891"/>
      <c r="AQ73" s="891"/>
      <c r="AR73" s="891"/>
      <c r="AS73" s="891"/>
      <c r="AT73" s="891"/>
      <c r="AU73" s="891"/>
      <c r="AV73" s="891"/>
      <c r="AW73" s="891"/>
      <c r="AX73" s="891"/>
      <c r="AY73" s="891"/>
      <c r="AZ73" s="891"/>
      <c r="BA73" s="891"/>
      <c r="BB73" s="891"/>
      <c r="BC73" s="891"/>
      <c r="BD73" s="891"/>
      <c r="BE73" s="891"/>
      <c r="BF73" s="891"/>
      <c r="BG73" s="891"/>
      <c r="BH73" s="891"/>
      <c r="BI73" s="891"/>
      <c r="BJ73" s="891"/>
      <c r="BK73" s="891"/>
      <c r="BL73" s="891"/>
      <c r="BM73" s="891"/>
      <c r="BN73" s="891"/>
      <c r="BO73" s="891"/>
      <c r="BP73" s="891"/>
      <c r="BQ73" s="893"/>
      <c r="BR73" s="896"/>
      <c r="BS73" s="896"/>
      <c r="BT73" s="897"/>
      <c r="BU73" s="897"/>
      <c r="BV73" s="897"/>
      <c r="BW73" s="897"/>
      <c r="BX73" s="897"/>
      <c r="BY73" s="896"/>
      <c r="BZ73" s="896"/>
      <c r="CA73" s="896"/>
      <c r="CB73" s="896"/>
      <c r="CC73" s="896"/>
      <c r="CD73" s="896"/>
      <c r="CE73" s="896"/>
    </row>
    <row r="74" spans="1:83" ht="15">
      <c r="A74" s="843"/>
      <c r="E74" s="816"/>
      <c r="G74" s="828"/>
      <c r="H74" s="828"/>
      <c r="I74" s="828"/>
      <c r="J74" s="428"/>
      <c r="K74" s="428"/>
      <c r="T74" s="829"/>
      <c r="U74" s="829"/>
      <c r="V74" s="829"/>
      <c r="W74" s="829"/>
      <c r="X74" s="829"/>
      <c r="Y74" s="829"/>
      <c r="Z74" s="829"/>
      <c r="AA74" s="829"/>
      <c r="AB74" s="829"/>
      <c r="AC74" s="829"/>
      <c r="AE74" s="831"/>
      <c r="AG74" s="891"/>
      <c r="AH74" s="891"/>
      <c r="AI74" s="891"/>
      <c r="AJ74" s="891"/>
      <c r="AK74" s="891"/>
      <c r="AL74" s="891"/>
      <c r="AM74" s="891"/>
      <c r="AN74" s="891"/>
      <c r="AO74" s="891"/>
      <c r="AP74" s="891"/>
      <c r="AQ74" s="891"/>
      <c r="AR74" s="891"/>
      <c r="AS74" s="891"/>
      <c r="AT74" s="891"/>
      <c r="AU74" s="891"/>
      <c r="AV74" s="891"/>
      <c r="AW74" s="891"/>
      <c r="AX74" s="891"/>
      <c r="AY74" s="891"/>
      <c r="AZ74" s="891"/>
      <c r="BA74" s="891"/>
      <c r="BB74" s="891"/>
      <c r="BC74" s="891"/>
      <c r="BD74" s="891"/>
      <c r="BE74" s="891"/>
      <c r="BF74" s="891"/>
      <c r="BG74" s="891"/>
      <c r="BH74" s="891"/>
      <c r="BI74" s="891"/>
      <c r="BJ74" s="891"/>
      <c r="BK74" s="891"/>
      <c r="BL74" s="891"/>
      <c r="BM74" s="891"/>
      <c r="BN74" s="891"/>
      <c r="BO74" s="891"/>
      <c r="BP74" s="891"/>
      <c r="BQ74" s="893"/>
      <c r="BR74" s="896"/>
      <c r="BS74" s="896"/>
      <c r="BT74" s="897"/>
      <c r="BU74" s="897"/>
      <c r="BV74" s="897"/>
      <c r="BW74" s="897"/>
      <c r="BX74" s="897"/>
      <c r="BY74" s="896"/>
      <c r="BZ74" s="896"/>
      <c r="CA74" s="896"/>
      <c r="CB74" s="896"/>
      <c r="CC74" s="896"/>
      <c r="CD74" s="896"/>
      <c r="CE74" s="896"/>
    </row>
    <row r="75" spans="1:83" ht="15">
      <c r="A75" s="843"/>
      <c r="E75" s="816"/>
      <c r="G75" s="828"/>
      <c r="H75" s="828"/>
      <c r="I75" s="828"/>
      <c r="J75" s="428"/>
      <c r="K75" s="428"/>
      <c r="T75" s="829"/>
      <c r="U75" s="829"/>
      <c r="V75" s="829"/>
      <c r="W75" s="829"/>
      <c r="X75" s="829"/>
      <c r="Y75" s="829"/>
      <c r="Z75" s="829"/>
      <c r="AA75" s="829"/>
      <c r="AB75" s="829"/>
      <c r="AC75" s="829"/>
      <c r="AE75" s="831"/>
      <c r="AG75" s="896"/>
      <c r="AH75" s="896"/>
      <c r="AI75" s="896"/>
      <c r="AJ75" s="893"/>
      <c r="AK75" s="896"/>
      <c r="AL75" s="896"/>
      <c r="AM75" s="896"/>
      <c r="AN75" s="896"/>
      <c r="AO75" s="896"/>
      <c r="AP75" s="896"/>
      <c r="AQ75" s="896"/>
      <c r="AR75" s="896"/>
      <c r="AS75" s="896"/>
      <c r="AT75" s="896"/>
      <c r="AU75" s="896"/>
      <c r="AV75" s="896"/>
      <c r="AW75" s="896"/>
      <c r="AX75" s="896"/>
      <c r="AY75" s="896"/>
      <c r="AZ75" s="896"/>
      <c r="BA75" s="896"/>
      <c r="BB75" s="896"/>
      <c r="BC75" s="896"/>
      <c r="BD75" s="896"/>
      <c r="BE75" s="893"/>
      <c r="BF75" s="893"/>
      <c r="BG75" s="893"/>
      <c r="BH75" s="893"/>
      <c r="BI75" s="893"/>
      <c r="BJ75" s="893"/>
      <c r="BK75" s="896"/>
      <c r="BL75" s="896"/>
      <c r="BM75" s="896"/>
      <c r="BN75" s="893"/>
      <c r="BO75" s="896"/>
      <c r="BP75" s="896"/>
      <c r="BQ75" s="893"/>
      <c r="BR75" s="896"/>
      <c r="BS75" s="896"/>
      <c r="BT75" s="897"/>
      <c r="BU75" s="897"/>
      <c r="BV75" s="897"/>
      <c r="BW75" s="897"/>
      <c r="BX75" s="897"/>
      <c r="BY75" s="896"/>
      <c r="BZ75" s="896"/>
      <c r="CA75" s="896"/>
      <c r="CB75" s="896"/>
      <c r="CC75" s="896"/>
      <c r="CD75" s="896"/>
      <c r="CE75" s="896"/>
    </row>
    <row r="76" spans="1:83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ref="L76:L133" si="82">IF(J76="","",IF(J76&gt;K76,"W",IF(J76=K76,"D",IF(J76&lt;K76,"L"))))</f>
        <v/>
      </c>
      <c r="M76" s="816" t="str">
        <f t="shared" ref="M76:M133" si="83">IF(J76="","",J76+K76)</f>
        <v/>
      </c>
      <c r="N76" s="816" t="str">
        <f t="shared" ref="N76:N133" si="84">IF($J76="","",IF($M76&gt;N$19,"O",IF($M76&lt;N$19,"U",IF($M76=N$19,"-"))))</f>
        <v/>
      </c>
      <c r="R76" s="816" t="str">
        <f t="shared" ref="R76:R133" si="85">IF(ISBLANK(Q76),"",J76-K76-Q76)</f>
        <v/>
      </c>
      <c r="T76" s="829" t="str">
        <f t="shared" ref="T76:T133" si="86">IF(ISBLANK(S76),"",J76+K76-S76)</f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IF($J76="","",IF(SUM(IF(ISNUMBER(VALUE(RIGHT($AG76:$CJ76,1))),VALUE(RIGHT($AG76:$CJ76,1)),0))=$J76,"T","F"))</f>
        <v/>
      </c>
      <c r="AE76" s="831" t="str">
        <f t="array" ref="AE76">IF($J76="","",SUM(IF(LEFT($AG76:$DV76,1)="s",1,0))-SUM(IF(RIGHT(LEFT($AG76:$DV76,2))="-",1,0)))</f>
        <v/>
      </c>
      <c r="AF76" s="816" t="str">
        <f t="array" ref="AF76">IF($J76="","",SUM(IF(LEFT($AG76:$DB76,1)="X",1,0)))</f>
        <v/>
      </c>
      <c r="AG76" s="897"/>
      <c r="AH76" s="897"/>
      <c r="AI76" s="897"/>
      <c r="AJ76" s="893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3"/>
      <c r="BF76" s="893"/>
      <c r="BG76" s="893"/>
      <c r="BH76" s="893"/>
      <c r="BI76" s="893"/>
      <c r="BJ76" s="893"/>
      <c r="BK76" s="897"/>
      <c r="BL76" s="897"/>
      <c r="BM76" s="897"/>
      <c r="BN76" s="893"/>
      <c r="BO76" s="897"/>
      <c r="BP76" s="897"/>
      <c r="BQ76" s="893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</row>
    <row r="77" spans="1:83" ht="15">
      <c r="A77" s="843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828"/>
      <c r="H77" s="828"/>
      <c r="I77" s="828"/>
      <c r="J77" s="428"/>
      <c r="K77" s="428"/>
      <c r="L77" s="816" t="str">
        <f t="shared" si="82"/>
        <v/>
      </c>
      <c r="M77" s="816" t="str">
        <f t="shared" si="83"/>
        <v/>
      </c>
      <c r="N77" s="816" t="str">
        <f t="shared" si="84"/>
        <v/>
      </c>
      <c r="R77" s="816" t="str">
        <f t="shared" si="85"/>
        <v/>
      </c>
      <c r="T77" s="829" t="str">
        <f t="shared" si="86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IF($J77="","",IF(SUM(IF(ISNUMBER(VALUE(RIGHT($AG77:$CJ77,1))),VALUE(RIGHT($AG77:$CJ77,1)),0))=$J77,"T","F"))</f>
        <v/>
      </c>
      <c r="AE77" s="831" t="str">
        <f t="array" ref="AE77">IF($J77="","",SUM(IF(LEFT($AG77:$DV77,1)="s",1,0))-SUM(IF(RIGHT(LEFT($AG77:$DV77,2))="-",1,0)))</f>
        <v/>
      </c>
      <c r="AF77" s="816" t="str">
        <f t="array" ref="AF77">IF($J77="","",SUM(IF(LEFT($AG77:$DB77,1)="X",1,0)))</f>
        <v/>
      </c>
      <c r="AG77" s="897"/>
      <c r="AH77" s="897"/>
      <c r="AI77" s="897"/>
      <c r="AJ77" s="893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3"/>
      <c r="BF77" s="893"/>
      <c r="BG77" s="893"/>
      <c r="BH77" s="893"/>
      <c r="BI77" s="893"/>
      <c r="BJ77" s="893"/>
      <c r="BK77" s="897"/>
      <c r="BL77" s="897"/>
      <c r="BM77" s="897"/>
      <c r="BN77" s="893"/>
      <c r="BO77" s="897"/>
      <c r="BP77" s="897"/>
      <c r="BQ77" s="893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</row>
    <row r="78" spans="1:83" ht="15">
      <c r="A78" s="843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828"/>
      <c r="H78" s="828"/>
      <c r="I78" s="828"/>
      <c r="J78" s="428"/>
      <c r="K78" s="428"/>
      <c r="L78" s="816" t="str">
        <f t="shared" si="82"/>
        <v/>
      </c>
      <c r="M78" s="816" t="str">
        <f t="shared" si="83"/>
        <v/>
      </c>
      <c r="N78" s="816" t="str">
        <f t="shared" si="84"/>
        <v/>
      </c>
      <c r="R78" s="816" t="str">
        <f t="shared" si="85"/>
        <v/>
      </c>
      <c r="T78" s="829" t="str">
        <f t="shared" si="86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IF($J78="","",IF(SUM(IF(ISNUMBER(VALUE(RIGHT($AG78:$CJ78,1))),VALUE(RIGHT($AG78:$CJ78,1)),0))=$J78,"T","F"))</f>
        <v/>
      </c>
      <c r="AE78" s="831" t="str">
        <f t="array" ref="AE78">IF($J78="","",SUM(IF(LEFT($AG78:$DV78,1)="s",1,0))-SUM(IF(RIGHT(LEFT($AG78:$DV78,2))="-",1,0)))</f>
        <v/>
      </c>
      <c r="AF78" s="816" t="str">
        <f t="array" ref="AF78">IF($J78="","",SUM(IF(LEFT($AG78:$DB78,1)="X",1,0)))</f>
        <v/>
      </c>
      <c r="AG78" s="897"/>
      <c r="AH78" s="897"/>
      <c r="AI78" s="897"/>
      <c r="AJ78" s="893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3"/>
      <c r="BF78" s="893"/>
      <c r="BG78" s="893"/>
      <c r="BH78" s="893"/>
      <c r="BI78" s="893"/>
      <c r="BJ78" s="893"/>
      <c r="BK78" s="897"/>
      <c r="BL78" s="897"/>
      <c r="BM78" s="897"/>
      <c r="BN78" s="893"/>
      <c r="BO78" s="897"/>
      <c r="BP78" s="897"/>
      <c r="BQ78" s="893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</row>
    <row r="79" spans="1:83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428"/>
      <c r="K79" s="428"/>
      <c r="L79" s="816" t="str">
        <f t="shared" si="82"/>
        <v/>
      </c>
      <c r="M79" s="816" t="str">
        <f t="shared" si="83"/>
        <v/>
      </c>
      <c r="N79" s="816" t="str">
        <f t="shared" si="84"/>
        <v/>
      </c>
      <c r="R79" s="816" t="str">
        <f t="shared" si="85"/>
        <v/>
      </c>
      <c r="T79" s="829" t="str">
        <f t="shared" si="86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IF($J79="","",IF(SUM(IF(ISNUMBER(VALUE(RIGHT($AG79:$CJ79,1))),VALUE(RIGHT($AG79:$CJ79,1)),0))=$J79,"T","F"))</f>
        <v/>
      </c>
      <c r="AE79" s="831" t="str">
        <f t="array" ref="AE79">IF($J79="","",SUM(IF(LEFT($AG79:$DV79,1)="s",1,0))-SUM(IF(RIGHT(LEFT($AG79:$DV79,2))="-",1,0)))</f>
        <v/>
      </c>
      <c r="AF79" s="816" t="str">
        <f t="array" ref="AF79">IF($J79="","",SUM(IF(LEFT($AG79:$DB79,1)="X",1,0)))</f>
        <v/>
      </c>
      <c r="AG79" s="897"/>
      <c r="AH79" s="897"/>
      <c r="AI79" s="897"/>
      <c r="AJ79" s="893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3"/>
      <c r="BF79" s="893"/>
      <c r="BG79" s="893"/>
      <c r="BH79" s="893"/>
      <c r="BI79" s="893"/>
      <c r="BJ79" s="893"/>
      <c r="BK79" s="897"/>
      <c r="BL79" s="897"/>
      <c r="BM79" s="897"/>
      <c r="BN79" s="893"/>
      <c r="BO79" s="897"/>
      <c r="BP79" s="897"/>
      <c r="BQ79" s="893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</row>
    <row r="80" spans="1:83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428"/>
      <c r="K80" s="428"/>
      <c r="L80" s="816" t="str">
        <f t="shared" si="82"/>
        <v/>
      </c>
      <c r="M80" s="816" t="str">
        <f t="shared" si="83"/>
        <v/>
      </c>
      <c r="N80" s="816" t="str">
        <f t="shared" si="84"/>
        <v/>
      </c>
      <c r="R80" s="816" t="str">
        <f t="shared" si="85"/>
        <v/>
      </c>
      <c r="T80" s="829" t="str">
        <f t="shared" si="86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IF($J80="","",IF(SUM(IF(ISNUMBER(VALUE(RIGHT($AG80:$CJ80,1))),VALUE(RIGHT($AG80:$CJ80,1)),0))=$J80,"T","F"))</f>
        <v/>
      </c>
      <c r="AE80" s="831" t="str">
        <f t="array" ref="AE80">IF($J80="","",SUM(IF(LEFT($AG80:$DV80,1)="s",1,0))-SUM(IF(RIGHT(LEFT($AG80:$DV80,2))="-",1,0)))</f>
        <v/>
      </c>
      <c r="AF80" s="816" t="str">
        <f t="array" ref="AF80">IF($J80="","",SUM(IF(LEFT($AG80:$DB80,1)="X",1,0)))</f>
        <v/>
      </c>
      <c r="AG80" s="897"/>
      <c r="AH80" s="897"/>
      <c r="AI80" s="897"/>
      <c r="AJ80" s="893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3"/>
      <c r="BF80" s="893"/>
      <c r="BG80" s="893"/>
      <c r="BH80" s="893"/>
      <c r="BI80" s="893"/>
      <c r="BJ80" s="893"/>
      <c r="BK80" s="897"/>
      <c r="BL80" s="897"/>
      <c r="BM80" s="897"/>
      <c r="BN80" s="893"/>
      <c r="BO80" s="897"/>
      <c r="BP80" s="897"/>
      <c r="BQ80" s="893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</row>
    <row r="81" spans="1:83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82"/>
        <v/>
      </c>
      <c r="M81" s="816" t="str">
        <f t="shared" si="83"/>
        <v/>
      </c>
      <c r="N81" s="816" t="str">
        <f t="shared" si="84"/>
        <v/>
      </c>
      <c r="R81" s="816" t="str">
        <f t="shared" si="85"/>
        <v/>
      </c>
      <c r="T81" s="829" t="str">
        <f t="shared" si="86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IF($J81="","",IF(SUM(IF(ISNUMBER(VALUE(RIGHT($AG81:$CJ81,1))),VALUE(RIGHT($AG81:$CJ81,1)),0))=$J81,"T","F"))</f>
        <v/>
      </c>
      <c r="AE81" s="831" t="str">
        <f t="array" ref="AE81">IF($J81="","",SUM(IF(LEFT($AG81:$DV81,1)="s",1,0))-SUM(IF(RIGHT(LEFT($AG81:$DV81,2))="-",1,0)))</f>
        <v/>
      </c>
      <c r="AF81" s="816" t="str">
        <f t="array" ref="AF81">IF($J81="","",SUM(IF(LEFT($AG81:$DB81,1)="X",1,0)))</f>
        <v/>
      </c>
      <c r="AG81" s="897"/>
      <c r="AH81" s="897"/>
      <c r="AI81" s="897"/>
      <c r="AJ81" s="893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3"/>
      <c r="BF81" s="893"/>
      <c r="BG81" s="893"/>
      <c r="BH81" s="893"/>
      <c r="BI81" s="893"/>
      <c r="BJ81" s="893"/>
      <c r="BK81" s="897"/>
      <c r="BL81" s="897"/>
      <c r="BM81" s="897"/>
      <c r="BN81" s="893"/>
      <c r="BO81" s="897"/>
      <c r="BP81" s="897"/>
      <c r="BQ81" s="893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</row>
    <row r="82" spans="1:83" ht="15">
      <c r="A82" s="844"/>
      <c r="D82" s="816" t="str">
        <f>IF(I82=Table!$C$1,VLOOKUP(G82,Table!$B$38:$AO$61,Table!$AO$35-1,FALSE),"")</f>
        <v/>
      </c>
      <c r="E82" s="816"/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82"/>
        <v/>
      </c>
      <c r="M82" s="816" t="str">
        <f t="shared" si="83"/>
        <v/>
      </c>
      <c r="N82" s="816" t="str">
        <f t="shared" si="84"/>
        <v/>
      </c>
      <c r="R82" s="816" t="str">
        <f t="shared" si="85"/>
        <v/>
      </c>
      <c r="T82" s="829" t="str">
        <f t="shared" si="86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IF($J82="","",IF(SUM(IF(ISNUMBER(VALUE(RIGHT($AG82:$CJ82,1))),VALUE(RIGHT($AG82:$CJ82,1)),0))=$J82,"T","F"))</f>
        <v/>
      </c>
      <c r="AE82" s="831" t="str">
        <f t="array" ref="AE82">IF($J82="","",SUM(IF(LEFT($AG82:$DV82,1)="s",1,0))-SUM(IF(RIGHT(LEFT($AG82:$DV82,2))="-",1,0)))</f>
        <v/>
      </c>
      <c r="AF82" s="816" t="str">
        <f t="array" ref="AF82">IF($J82="","",SUM(IF(LEFT($AG82:$DB82,1)="X",1,0)))</f>
        <v/>
      </c>
      <c r="AG82" s="897"/>
      <c r="AH82" s="897"/>
      <c r="AI82" s="897"/>
      <c r="AJ82" s="893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3"/>
      <c r="BF82" s="893"/>
      <c r="BG82" s="893"/>
      <c r="BH82" s="893"/>
      <c r="BI82" s="893"/>
      <c r="BJ82" s="893"/>
      <c r="BK82" s="897"/>
      <c r="BL82" s="897"/>
      <c r="BM82" s="897"/>
      <c r="BN82" s="893"/>
      <c r="BO82" s="897"/>
      <c r="BP82" s="897"/>
      <c r="BQ82" s="893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</row>
    <row r="83" spans="1:83" ht="15">
      <c r="A83" s="844"/>
      <c r="D83" s="816" t="str">
        <f>IF(I83=Table!$C$1,VLOOKUP(G83,Table!$B$38:$AO$61,Table!$AO$35-1,FALSE),"")</f>
        <v/>
      </c>
      <c r="E83" s="816"/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82"/>
        <v/>
      </c>
      <c r="M83" s="816" t="str">
        <f t="shared" si="83"/>
        <v/>
      </c>
      <c r="N83" s="816" t="str">
        <f t="shared" si="84"/>
        <v/>
      </c>
      <c r="R83" s="816" t="str">
        <f t="shared" si="85"/>
        <v/>
      </c>
      <c r="T83" s="829" t="str">
        <f t="shared" si="86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IF($J83="","",IF(SUM(IF(ISNUMBER(VALUE(RIGHT($AG83:$CJ83,1))),VALUE(RIGHT($AG83:$CJ83,1)),0))=$J83,"T","F"))</f>
        <v/>
      </c>
      <c r="AE83" s="831" t="str">
        <f t="array" ref="AE83">IF($J83="","",SUM(IF(LEFT($AG83:$DV83,1)="s",1,0))-SUM(IF(RIGHT(LEFT($AG83:$DV83,2))="-",1,0)))</f>
        <v/>
      </c>
      <c r="AF83" s="816" t="str">
        <f t="array" ref="AF83">IF($J83="","",SUM(IF(LEFT($AG83:$DB83,1)="X",1,0)))</f>
        <v/>
      </c>
      <c r="AG83" s="897"/>
      <c r="AH83" s="897"/>
      <c r="AI83" s="897"/>
      <c r="AJ83" s="893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3"/>
      <c r="BF83" s="893"/>
      <c r="BG83" s="893"/>
      <c r="BH83" s="893"/>
      <c r="BI83" s="893"/>
      <c r="BJ83" s="893"/>
      <c r="BK83" s="897"/>
      <c r="BL83" s="897"/>
      <c r="BM83" s="897"/>
      <c r="BN83" s="893"/>
      <c r="BO83" s="897"/>
      <c r="BP83" s="897"/>
      <c r="BQ83" s="893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</row>
    <row r="84" spans="1:83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82"/>
        <v/>
      </c>
      <c r="M84" s="816" t="str">
        <f t="shared" si="83"/>
        <v/>
      </c>
      <c r="N84" s="816" t="str">
        <f t="shared" si="84"/>
        <v/>
      </c>
      <c r="R84" s="816" t="str">
        <f t="shared" si="85"/>
        <v/>
      </c>
      <c r="T84" s="829" t="str">
        <f t="shared" si="86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IF($J84="","",IF(SUM(IF(ISNUMBER(VALUE(RIGHT($AG84:$CJ84,1))),VALUE(RIGHT($AG84:$CJ84,1)),0))=$J84,"T","F"))</f>
        <v/>
      </c>
      <c r="AE84" s="831" t="str">
        <f t="array" ref="AE84">IF($J84="","",SUM(IF(LEFT($AG84:$DV84,1)="s",1,0))-SUM(IF(RIGHT(LEFT($AG84:$DV84,2))="-",1,0)))</f>
        <v/>
      </c>
      <c r="AF84" s="816" t="str">
        <f t="array" ref="AF84">IF($J84="","",SUM(IF(LEFT($AG84:$DB84,1)="X",1,0)))</f>
        <v/>
      </c>
      <c r="AG84" s="897"/>
      <c r="AH84" s="897"/>
      <c r="AI84" s="897"/>
      <c r="AJ84" s="893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3"/>
      <c r="BF84" s="893"/>
      <c r="BG84" s="893"/>
      <c r="BH84" s="893"/>
      <c r="BI84" s="893"/>
      <c r="BJ84" s="893"/>
      <c r="BK84" s="897"/>
      <c r="BL84" s="897"/>
      <c r="BM84" s="897"/>
      <c r="BN84" s="893"/>
      <c r="BO84" s="897"/>
      <c r="BP84" s="897"/>
      <c r="BQ84" s="893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</row>
    <row r="85" spans="1:83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82"/>
        <v/>
      </c>
      <c r="M85" s="816" t="str">
        <f t="shared" si="83"/>
        <v/>
      </c>
      <c r="N85" s="816" t="str">
        <f t="shared" si="84"/>
        <v/>
      </c>
      <c r="R85" s="816" t="str">
        <f t="shared" si="85"/>
        <v/>
      </c>
      <c r="T85" s="829" t="str">
        <f t="shared" si="86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IF($J85="","",IF(SUM(IF(ISNUMBER(VALUE(RIGHT($AG85:$CJ85,1))),VALUE(RIGHT($AG85:$CJ85,1)),0))=$J85,"T","F"))</f>
        <v/>
      </c>
      <c r="AE85" s="831" t="str">
        <f t="array" ref="AE85">IF($J85="","",SUM(IF(LEFT($AG85:$DV85,1)="s",1,0))-SUM(IF(RIGHT(LEFT($AG85:$DV85,2))="-",1,0)))</f>
        <v/>
      </c>
      <c r="AF85" s="816" t="str">
        <f t="array" ref="AF85">IF($J85="","",SUM(IF(LEFT($AG85:$DB85,1)="X",1,0)))</f>
        <v/>
      </c>
      <c r="AG85" s="897"/>
      <c r="AH85" s="897"/>
      <c r="AI85" s="897"/>
      <c r="AJ85" s="893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3"/>
      <c r="BF85" s="893"/>
      <c r="BG85" s="893"/>
      <c r="BH85" s="893"/>
      <c r="BI85" s="893"/>
      <c r="BJ85" s="893"/>
      <c r="BK85" s="897"/>
      <c r="BL85" s="897"/>
      <c r="BM85" s="897"/>
      <c r="BN85" s="893"/>
      <c r="BO85" s="897"/>
      <c r="BP85" s="897"/>
      <c r="BQ85" s="893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</row>
    <row r="86" spans="1:83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82"/>
        <v/>
      </c>
      <c r="M86" s="816" t="str">
        <f t="shared" si="83"/>
        <v/>
      </c>
      <c r="N86" s="816" t="str">
        <f t="shared" si="84"/>
        <v/>
      </c>
      <c r="R86" s="816" t="str">
        <f t="shared" si="85"/>
        <v/>
      </c>
      <c r="T86" s="829" t="str">
        <f t="shared" si="86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IF($J86="","",IF(SUM(IF(ISNUMBER(VALUE(RIGHT($AG86:$CJ86,1))),VALUE(RIGHT($AG86:$CJ86,1)),0))=$J86,"T","F"))</f>
        <v/>
      </c>
      <c r="AE86" s="831" t="str">
        <f t="array" ref="AE86">IF($J86="","",SUM(IF(LEFT($AG86:$DV86,1)="s",1,0))-SUM(IF(RIGHT(LEFT($AG86:$DV86,2))="-",1,0)))</f>
        <v/>
      </c>
      <c r="AF86" s="816" t="str">
        <f t="array" ref="AF86">IF($J86="","",SUM(IF(LEFT($AG86:$DB86,1)="X",1,0)))</f>
        <v/>
      </c>
      <c r="AG86" s="897"/>
      <c r="AH86" s="897"/>
      <c r="AI86" s="897"/>
      <c r="AJ86" s="893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3"/>
      <c r="BF86" s="893"/>
      <c r="BG86" s="893"/>
      <c r="BH86" s="893"/>
      <c r="BI86" s="893"/>
      <c r="BJ86" s="893"/>
      <c r="BK86" s="897"/>
      <c r="BL86" s="897"/>
      <c r="BM86" s="897"/>
      <c r="BN86" s="893"/>
      <c r="BO86" s="897"/>
      <c r="BP86" s="897"/>
      <c r="BQ86" s="893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</row>
    <row r="87" spans="1:83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230"/>
      <c r="H87" s="230"/>
      <c r="I87" s="230"/>
      <c r="J87" s="230"/>
      <c r="K87" s="230"/>
      <c r="L87" s="816" t="str">
        <f t="shared" si="82"/>
        <v/>
      </c>
      <c r="M87" s="816" t="str">
        <f t="shared" si="83"/>
        <v/>
      </c>
      <c r="N87" s="816" t="str">
        <f t="shared" si="84"/>
        <v/>
      </c>
      <c r="R87" s="816" t="str">
        <f t="shared" si="85"/>
        <v/>
      </c>
      <c r="T87" s="829" t="str">
        <f t="shared" si="86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IF($J87="","",IF(SUM(IF(ISNUMBER(VALUE(RIGHT($AG87:$CJ87,1))),VALUE(RIGHT($AG87:$CJ87,1)),0))=$J87,"T","F"))</f>
        <v/>
      </c>
      <c r="AE87" s="831" t="str">
        <f t="array" ref="AE87">IF($J87="","",SUM(IF(LEFT($AG87:$DV87,1)="s",1,0))-SUM(IF(RIGHT(LEFT($AG87:$DV87,2))="-",1,0)))</f>
        <v/>
      </c>
      <c r="AF87" s="816" t="str">
        <f t="array" ref="AF87">IF($J87="","",SUM(IF(LEFT($AG87:$DB87,1)="X",1,0)))</f>
        <v/>
      </c>
      <c r="AG87" s="897"/>
      <c r="AH87" s="897"/>
      <c r="AI87" s="897"/>
      <c r="AJ87" s="893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3"/>
      <c r="BF87" s="893"/>
      <c r="BG87" s="893"/>
      <c r="BH87" s="893"/>
      <c r="BI87" s="893"/>
      <c r="BJ87" s="893"/>
      <c r="BK87" s="897"/>
      <c r="BL87" s="897"/>
      <c r="BM87" s="897"/>
      <c r="BN87" s="893"/>
      <c r="BO87" s="897"/>
      <c r="BP87" s="897"/>
      <c r="BQ87" s="893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</row>
    <row r="88" spans="1:83" ht="15">
      <c r="A88" s="844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230"/>
      <c r="H88" s="230"/>
      <c r="I88" s="230"/>
      <c r="J88" s="230"/>
      <c r="K88" s="230"/>
      <c r="L88" s="816" t="str">
        <f t="shared" si="82"/>
        <v/>
      </c>
      <c r="M88" s="816" t="str">
        <f t="shared" si="83"/>
        <v/>
      </c>
      <c r="N88" s="816" t="str">
        <f t="shared" si="84"/>
        <v/>
      </c>
      <c r="R88" s="816" t="str">
        <f t="shared" si="85"/>
        <v/>
      </c>
      <c r="T88" s="829" t="str">
        <f t="shared" si="86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IF($J88="","",IF(SUM(IF(ISNUMBER(VALUE(RIGHT($AG88:$CJ88,1))),VALUE(RIGHT($AG88:$CJ88,1)),0))=$J88,"T","F"))</f>
        <v/>
      </c>
      <c r="AE88" s="831" t="str">
        <f t="array" ref="AE88">IF($J88="","",SUM(IF(LEFT($AG88:$DV88,1)="s",1,0))-SUM(IF(RIGHT(LEFT($AG88:$DV88,2))="-",1,0)))</f>
        <v/>
      </c>
      <c r="AF88" s="816" t="str">
        <f t="array" ref="AF88">IF($J88="","",SUM(IF(LEFT($AG88:$DB88,1)="X",1,0)))</f>
        <v/>
      </c>
      <c r="AG88" s="897"/>
      <c r="AH88" s="897"/>
      <c r="AI88" s="897"/>
      <c r="AJ88" s="893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3"/>
      <c r="BF88" s="893"/>
      <c r="BG88" s="893"/>
      <c r="BH88" s="893"/>
      <c r="BI88" s="893"/>
      <c r="BJ88" s="893"/>
      <c r="BK88" s="897"/>
      <c r="BL88" s="897"/>
      <c r="BM88" s="897"/>
      <c r="BN88" s="893"/>
      <c r="BO88" s="897"/>
      <c r="BP88" s="897"/>
      <c r="BQ88" s="893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</row>
    <row r="89" spans="1:83" ht="15">
      <c r="A89" s="844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787"/>
      <c r="H89" s="833"/>
      <c r="I89" s="833"/>
      <c r="J89" s="833"/>
      <c r="K89" s="833"/>
      <c r="L89" s="816" t="str">
        <f t="shared" si="82"/>
        <v/>
      </c>
      <c r="M89" s="816" t="str">
        <f t="shared" si="83"/>
        <v/>
      </c>
      <c r="N89" s="816" t="str">
        <f t="shared" si="84"/>
        <v/>
      </c>
      <c r="R89" s="816" t="str">
        <f t="shared" si="85"/>
        <v/>
      </c>
      <c r="T89" s="829" t="str">
        <f t="shared" si="86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IF($J89="","",IF(SUM(IF(ISNUMBER(VALUE(RIGHT($AG89:$CJ89,1))),VALUE(RIGHT($AG89:$CJ89,1)),0))=$J89,"T","F"))</f>
        <v/>
      </c>
      <c r="AE89" s="831" t="str">
        <f t="array" ref="AE89">IF($J89="","",SUM(IF(LEFT($AG89:$DV89,1)="s",1,0))-SUM(IF(RIGHT(LEFT($AG89:$DV89,2))="-",1,0)))</f>
        <v/>
      </c>
      <c r="AF89" s="816" t="str">
        <f t="array" ref="AF89">IF($J89="","",SUM(IF(LEFT($AG89:$DB89,1)="X",1,0)))</f>
        <v/>
      </c>
      <c r="AG89" s="897"/>
      <c r="AH89" s="897"/>
      <c r="AI89" s="897"/>
      <c r="AJ89" s="893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3"/>
      <c r="BF89" s="893"/>
      <c r="BG89" s="893"/>
      <c r="BH89" s="893"/>
      <c r="BI89" s="893"/>
      <c r="BJ89" s="893"/>
      <c r="BK89" s="897"/>
      <c r="BL89" s="897"/>
      <c r="BM89" s="897"/>
      <c r="BN89" s="893"/>
      <c r="BO89" s="897"/>
      <c r="BP89" s="897"/>
      <c r="BQ89" s="893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</row>
    <row r="90" spans="1:83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82"/>
        <v/>
      </c>
      <c r="M90" s="816" t="str">
        <f t="shared" si="83"/>
        <v/>
      </c>
      <c r="N90" s="816" t="str">
        <f t="shared" si="84"/>
        <v/>
      </c>
      <c r="R90" s="816" t="str">
        <f t="shared" si="85"/>
        <v/>
      </c>
      <c r="T90" s="829" t="str">
        <f t="shared" si="86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IF($J90="","",IF(SUM(IF(ISNUMBER(VALUE(RIGHT($AG90:$CJ90,1))),VALUE(RIGHT($AG90:$CJ90,1)),0))=$J90,"T","F"))</f>
        <v/>
      </c>
      <c r="AE90" s="831" t="str">
        <f t="array" ref="AE90">IF($J90="","",SUM(IF(LEFT($AG90:$DV90,1)="s",1,0))-SUM(IF(RIGHT(LEFT($AG90:$DV90,2))="-",1,0)))</f>
        <v/>
      </c>
      <c r="AF90" s="816" t="str">
        <f t="array" ref="AF90">IF($J90="","",SUM(IF(LEFT($AG90:$DB90,1)="X",1,0)))</f>
        <v/>
      </c>
      <c r="AG90" s="897"/>
      <c r="AH90" s="897"/>
      <c r="AI90" s="897"/>
      <c r="AJ90" s="893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3"/>
      <c r="BF90" s="893"/>
      <c r="BG90" s="893"/>
      <c r="BH90" s="893"/>
      <c r="BI90" s="893"/>
      <c r="BJ90" s="893"/>
      <c r="BK90" s="897"/>
      <c r="BL90" s="897"/>
      <c r="BM90" s="897"/>
      <c r="BN90" s="893"/>
      <c r="BO90" s="897"/>
      <c r="BP90" s="897"/>
      <c r="BQ90" s="893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</row>
    <row r="91" spans="1:83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82"/>
        <v/>
      </c>
      <c r="M91" s="816" t="str">
        <f t="shared" si="83"/>
        <v/>
      </c>
      <c r="N91" s="816" t="str">
        <f t="shared" si="84"/>
        <v/>
      </c>
      <c r="R91" s="816" t="str">
        <f t="shared" si="85"/>
        <v/>
      </c>
      <c r="T91" s="829" t="str">
        <f t="shared" si="86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IF($J91="","",IF(SUM(IF(ISNUMBER(VALUE(RIGHT($AG91:$CJ91,1))),VALUE(RIGHT($AG91:$CJ91,1)),0))=$J91,"T","F"))</f>
        <v/>
      </c>
      <c r="AE91" s="831" t="str">
        <f t="array" ref="AE91">IF($J91="","",SUM(IF(LEFT($AG91:$DV91,1)="s",1,0))-SUM(IF(RIGHT(LEFT($AG91:$DV91,2))="-",1,0)))</f>
        <v/>
      </c>
      <c r="AF91" s="816" t="str">
        <f t="array" ref="AF91">IF($J91="","",SUM(IF(LEFT($AG91:$DB91,1)="X",1,0)))</f>
        <v/>
      </c>
      <c r="AG91" s="897"/>
      <c r="AH91" s="897"/>
      <c r="AI91" s="897"/>
      <c r="AJ91" s="893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3"/>
      <c r="BF91" s="893"/>
      <c r="BG91" s="893"/>
      <c r="BH91" s="893"/>
      <c r="BI91" s="893"/>
      <c r="BJ91" s="893"/>
      <c r="BK91" s="897"/>
      <c r="BL91" s="897"/>
      <c r="BM91" s="897"/>
      <c r="BN91" s="893"/>
      <c r="BO91" s="897"/>
      <c r="BP91" s="897"/>
      <c r="BQ91" s="893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</row>
    <row r="92" spans="1:83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82"/>
        <v/>
      </c>
      <c r="M92" s="816" t="str">
        <f t="shared" si="83"/>
        <v/>
      </c>
      <c r="N92" s="816" t="str">
        <f t="shared" si="84"/>
        <v/>
      </c>
      <c r="R92" s="816" t="str">
        <f t="shared" si="85"/>
        <v/>
      </c>
      <c r="T92" s="829" t="str">
        <f t="shared" si="86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IF($J92="","",IF(SUM(IF(ISNUMBER(VALUE(RIGHT($AG92:$CJ92,1))),VALUE(RIGHT($AG92:$CJ92,1)),0))=$J92,"T","F"))</f>
        <v/>
      </c>
      <c r="AE92" s="831" t="str">
        <f t="array" ref="AE92">IF($J92="","",SUM(IF(LEFT($AG92:$DV92,1)="s",1,0))-SUM(IF(RIGHT(LEFT($AG92:$DV92,2))="-",1,0)))</f>
        <v/>
      </c>
      <c r="AF92" s="816" t="str">
        <f t="array" ref="AF92">IF($J92="","",SUM(IF(LEFT($AG92:$DB92,1)="X",1,0)))</f>
        <v/>
      </c>
      <c r="AG92" s="897"/>
      <c r="AH92" s="897"/>
      <c r="AI92" s="897"/>
      <c r="AJ92" s="893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3"/>
      <c r="BF92" s="893"/>
      <c r="BG92" s="893"/>
      <c r="BH92" s="893"/>
      <c r="BI92" s="893"/>
      <c r="BJ92" s="893"/>
      <c r="BK92" s="897"/>
      <c r="BL92" s="897"/>
      <c r="BM92" s="897"/>
      <c r="BN92" s="893"/>
      <c r="BO92" s="897"/>
      <c r="BP92" s="897"/>
      <c r="BQ92" s="893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</row>
    <row r="93" spans="1:83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82"/>
        <v/>
      </c>
      <c r="M93" s="816" t="str">
        <f t="shared" si="83"/>
        <v/>
      </c>
      <c r="N93" s="816" t="str">
        <f t="shared" si="84"/>
        <v/>
      </c>
      <c r="R93" s="816" t="str">
        <f t="shared" si="85"/>
        <v/>
      </c>
      <c r="T93" s="829" t="str">
        <f t="shared" si="86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IF($J93="","",IF(SUM(IF(ISNUMBER(VALUE(RIGHT($AG93:$CJ93,1))),VALUE(RIGHT($AG93:$CJ93,1)),0))=$J93,"T","F"))</f>
        <v/>
      </c>
      <c r="AE93" s="831" t="str">
        <f t="array" ref="AE93">IF($J93="","",SUM(IF(LEFT($AG93:$DV93,1)="s",1,0))-SUM(IF(RIGHT(LEFT($AG93:$DV93,2))="-",1,0)))</f>
        <v/>
      </c>
      <c r="AF93" s="816" t="str">
        <f t="array" ref="AF93">IF($J93="","",SUM(IF(LEFT($AG93:$DB93,1)="X",1,0)))</f>
        <v/>
      </c>
      <c r="AG93" s="897"/>
      <c r="AH93" s="897"/>
      <c r="AI93" s="897"/>
      <c r="AJ93" s="893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3"/>
      <c r="BF93" s="893"/>
      <c r="BG93" s="893"/>
      <c r="BH93" s="893"/>
      <c r="BI93" s="893"/>
      <c r="BJ93" s="893"/>
      <c r="BK93" s="897"/>
      <c r="BL93" s="897"/>
      <c r="BM93" s="897"/>
      <c r="BN93" s="893"/>
      <c r="BO93" s="897"/>
      <c r="BP93" s="897"/>
      <c r="BQ93" s="893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</row>
    <row r="94" spans="1:83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82"/>
        <v/>
      </c>
      <c r="M94" s="816" t="str">
        <f t="shared" si="83"/>
        <v/>
      </c>
      <c r="N94" s="816" t="str">
        <f t="shared" si="84"/>
        <v/>
      </c>
      <c r="R94" s="816" t="str">
        <f t="shared" si="85"/>
        <v/>
      </c>
      <c r="T94" s="829" t="str">
        <f t="shared" si="86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IF($J94="","",IF(SUM(IF(ISNUMBER(VALUE(RIGHT($AG94:$CJ94,1))),VALUE(RIGHT($AG94:$CJ94,1)),0))=$J94,"T","F"))</f>
        <v/>
      </c>
      <c r="AE94" s="831" t="str">
        <f t="array" ref="AE94">IF($J94="","",SUM(IF(LEFT($AG94:$DV94,1)="s",1,0))-SUM(IF(RIGHT(LEFT($AG94:$DV94,2))="-",1,0)))</f>
        <v/>
      </c>
      <c r="AF94" s="816" t="str">
        <f t="array" ref="AF94">IF($J94="","",SUM(IF(LEFT($AG94:$DB94,1)="X",1,0)))</f>
        <v/>
      </c>
      <c r="AG94" s="897"/>
      <c r="AH94" s="897"/>
      <c r="AI94" s="897"/>
      <c r="AJ94" s="893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3"/>
      <c r="BF94" s="893"/>
      <c r="BG94" s="893"/>
      <c r="BH94" s="893"/>
      <c r="BI94" s="893"/>
      <c r="BJ94" s="893"/>
      <c r="BK94" s="897"/>
      <c r="BL94" s="897"/>
      <c r="BM94" s="897"/>
      <c r="BN94" s="893"/>
      <c r="BO94" s="897"/>
      <c r="BP94" s="897"/>
      <c r="BQ94" s="893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</row>
    <row r="95" spans="1:83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82"/>
        <v/>
      </c>
      <c r="M95" s="816" t="str">
        <f t="shared" si="83"/>
        <v/>
      </c>
      <c r="N95" s="816" t="str">
        <f t="shared" si="84"/>
        <v/>
      </c>
      <c r="R95" s="816" t="str">
        <f t="shared" si="85"/>
        <v/>
      </c>
      <c r="T95" s="829" t="str">
        <f t="shared" si="86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IF($J95="","",IF(SUM(IF(ISNUMBER(VALUE(RIGHT($AG95:$CJ95,1))),VALUE(RIGHT($AG95:$CJ95,1)),0))=$J95,"T","F"))</f>
        <v/>
      </c>
      <c r="AE95" s="831" t="str">
        <f t="array" ref="AE95">IF($J95="","",SUM(IF(LEFT($AG95:$DV95,1)="s",1,0))-SUM(IF(RIGHT(LEFT($AG95:$DV95,2))="-",1,0)))</f>
        <v/>
      </c>
      <c r="AF95" s="816" t="str">
        <f t="array" ref="AF95">IF($J95="","",SUM(IF(LEFT($AG95:$DB95,1)="X",1,0)))</f>
        <v/>
      </c>
      <c r="AG95" s="897"/>
      <c r="AH95" s="897"/>
      <c r="AI95" s="897"/>
      <c r="AJ95" s="893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3"/>
      <c r="BF95" s="893"/>
      <c r="BG95" s="893"/>
      <c r="BH95" s="893"/>
      <c r="BI95" s="893"/>
      <c r="BJ95" s="893"/>
      <c r="BK95" s="897"/>
      <c r="BL95" s="897"/>
      <c r="BM95" s="897"/>
      <c r="BN95" s="893"/>
      <c r="BO95" s="897"/>
      <c r="BP95" s="897"/>
      <c r="BQ95" s="893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</row>
    <row r="96" spans="1:83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82"/>
        <v/>
      </c>
      <c r="M96" s="816" t="str">
        <f t="shared" si="83"/>
        <v/>
      </c>
      <c r="N96" s="816" t="str">
        <f t="shared" si="84"/>
        <v/>
      </c>
      <c r="R96" s="816" t="str">
        <f t="shared" si="85"/>
        <v/>
      </c>
      <c r="T96" s="829" t="str">
        <f t="shared" si="86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IF($J96="","",IF(SUM(IF(ISNUMBER(VALUE(RIGHT($AG96:$CJ96,1))),VALUE(RIGHT($AG96:$CJ96,1)),0))=$J96,"T","F"))</f>
        <v/>
      </c>
      <c r="AE96" s="831" t="str">
        <f t="array" ref="AE96">IF($J96="","",SUM(IF(LEFT($AG96:$DV96,1)="s",1,0))-SUM(IF(RIGHT(LEFT($AG96:$DV96,2))="-",1,0)))</f>
        <v/>
      </c>
      <c r="AF96" s="816" t="str">
        <f t="array" ref="AF96">IF($J96="","",SUM(IF(LEFT($AG96:$DB96,1)="X",1,0)))</f>
        <v/>
      </c>
      <c r="AG96" s="897"/>
      <c r="AH96" s="897"/>
      <c r="AI96" s="897"/>
      <c r="AJ96" s="893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3"/>
      <c r="BF96" s="893"/>
      <c r="BG96" s="893"/>
      <c r="BH96" s="893"/>
      <c r="BI96" s="893"/>
      <c r="BJ96" s="893"/>
      <c r="BK96" s="897"/>
      <c r="BL96" s="897"/>
      <c r="BM96" s="897"/>
      <c r="BN96" s="893"/>
      <c r="BO96" s="897"/>
      <c r="BP96" s="897"/>
      <c r="BQ96" s="893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</row>
    <row r="97" spans="1:83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82"/>
        <v/>
      </c>
      <c r="M97" s="816" t="str">
        <f t="shared" si="83"/>
        <v/>
      </c>
      <c r="N97" s="816" t="str">
        <f t="shared" si="84"/>
        <v/>
      </c>
      <c r="R97" s="816" t="str">
        <f t="shared" si="85"/>
        <v/>
      </c>
      <c r="T97" s="829" t="str">
        <f t="shared" si="86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IF($J97="","",IF(SUM(IF(ISNUMBER(VALUE(RIGHT($AG97:$CJ97,1))),VALUE(RIGHT($AG97:$CJ97,1)),0))=$J97,"T","F"))</f>
        <v/>
      </c>
      <c r="AE97" s="831" t="str">
        <f t="array" ref="AE97">IF($J97="","",SUM(IF(LEFT($AG97:$DV97,1)="s",1,0))-SUM(IF(RIGHT(LEFT($AG97:$DV97,2))="-",1,0)))</f>
        <v/>
      </c>
      <c r="AF97" s="816" t="str">
        <f t="array" ref="AF97">IF($J97="","",SUM(IF(LEFT($AG97:$DB97,1)="X",1,0)))</f>
        <v/>
      </c>
      <c r="AG97" s="897"/>
      <c r="AH97" s="897"/>
      <c r="AI97" s="897"/>
      <c r="AJ97" s="893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3"/>
      <c r="BF97" s="893"/>
      <c r="BG97" s="893"/>
      <c r="BH97" s="893"/>
      <c r="BI97" s="893"/>
      <c r="BJ97" s="893"/>
      <c r="BK97" s="897"/>
      <c r="BL97" s="897"/>
      <c r="BM97" s="897"/>
      <c r="BN97" s="893"/>
      <c r="BO97" s="897"/>
      <c r="BP97" s="897"/>
      <c r="BQ97" s="893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</row>
    <row r="98" spans="1:83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82"/>
        <v/>
      </c>
      <c r="M98" s="816" t="str">
        <f t="shared" si="83"/>
        <v/>
      </c>
      <c r="N98" s="816" t="str">
        <f t="shared" si="84"/>
        <v/>
      </c>
      <c r="R98" s="816" t="str">
        <f t="shared" si="85"/>
        <v/>
      </c>
      <c r="T98" s="829" t="str">
        <f t="shared" si="86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IF($J98="","",IF(SUM(IF(ISNUMBER(VALUE(RIGHT($AG98:$CJ98,1))),VALUE(RIGHT($AG98:$CJ98,1)),0))=$J98,"T","F"))</f>
        <v/>
      </c>
      <c r="AE98" s="831" t="str">
        <f t="array" ref="AE98">IF($J98="","",SUM(IF(LEFT($AG98:$DV98,1)="s",1,0))-SUM(IF(RIGHT(LEFT($AG98:$DV98,2))="-",1,0)))</f>
        <v/>
      </c>
      <c r="AF98" s="816" t="str">
        <f t="array" ref="AF98">IF($J98="","",SUM(IF(LEFT($AG98:$DB98,1)="X",1,0)))</f>
        <v/>
      </c>
      <c r="AG98" s="897"/>
      <c r="AH98" s="897"/>
      <c r="AI98" s="897"/>
      <c r="AJ98" s="893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3"/>
      <c r="BF98" s="893"/>
      <c r="BG98" s="893"/>
      <c r="BH98" s="893"/>
      <c r="BI98" s="893"/>
      <c r="BJ98" s="893"/>
      <c r="BK98" s="897"/>
      <c r="BL98" s="897"/>
      <c r="BM98" s="897"/>
      <c r="BN98" s="893"/>
      <c r="BO98" s="897"/>
      <c r="BP98" s="897"/>
      <c r="BQ98" s="893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</row>
    <row r="99" spans="1:83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82"/>
        <v/>
      </c>
      <c r="M99" s="816" t="str">
        <f t="shared" si="83"/>
        <v/>
      </c>
      <c r="N99" s="816" t="str">
        <f t="shared" si="84"/>
        <v/>
      </c>
      <c r="R99" s="816" t="str">
        <f t="shared" si="85"/>
        <v/>
      </c>
      <c r="T99" s="829" t="str">
        <f t="shared" si="86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IF($J99="","",IF(SUM(IF(ISNUMBER(VALUE(RIGHT($AG99:$CJ99,1))),VALUE(RIGHT($AG99:$CJ99,1)),0))=$J99,"T","F"))</f>
        <v/>
      </c>
      <c r="AE99" s="831" t="str">
        <f t="array" ref="AE99">IF($J99="","",SUM(IF(LEFT($AG99:$DV99,1)="s",1,0))-SUM(IF(RIGHT(LEFT($AG99:$DV99,2))="-",1,0)))</f>
        <v/>
      </c>
      <c r="AF99" s="816" t="str">
        <f t="array" ref="AF99">IF($J99="","",SUM(IF(LEFT($AG99:$DB99,1)="X",1,0)))</f>
        <v/>
      </c>
      <c r="AG99" s="897"/>
      <c r="AH99" s="897"/>
      <c r="AI99" s="897"/>
      <c r="AJ99" s="893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3"/>
      <c r="BF99" s="893"/>
      <c r="BG99" s="893"/>
      <c r="BH99" s="893"/>
      <c r="BI99" s="893"/>
      <c r="BJ99" s="893"/>
      <c r="BK99" s="897"/>
      <c r="BL99" s="897"/>
      <c r="BM99" s="897"/>
      <c r="BN99" s="893"/>
      <c r="BO99" s="897"/>
      <c r="BP99" s="897"/>
      <c r="BQ99" s="893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</row>
    <row r="100" spans="1:83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82"/>
        <v/>
      </c>
      <c r="M100" s="816" t="str">
        <f t="shared" si="83"/>
        <v/>
      </c>
      <c r="N100" s="816" t="str">
        <f t="shared" si="84"/>
        <v/>
      </c>
      <c r="R100" s="816" t="str">
        <f t="shared" si="85"/>
        <v/>
      </c>
      <c r="T100" s="829" t="str">
        <f t="shared" si="86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IF($J100="","",IF(SUM(IF(ISNUMBER(VALUE(RIGHT($AG100:$CJ100,1))),VALUE(RIGHT($AG100:$CJ100,1)),0))=$J100,"T","F"))</f>
        <v/>
      </c>
      <c r="AE100" s="831" t="str">
        <f t="array" ref="AE100">IF($J100="","",SUM(IF(LEFT($AG100:$DV100,1)="s",1,0))-SUM(IF(RIGHT(LEFT($AG100:$DV100,2))="-",1,0)))</f>
        <v/>
      </c>
      <c r="AF100" s="816" t="str">
        <f t="array" ref="AF100">IF($J100="","",SUM(IF(LEFT($AG100:$DB100,1)="X",1,0)))</f>
        <v/>
      </c>
      <c r="AG100" s="897"/>
      <c r="AH100" s="897"/>
      <c r="AI100" s="897"/>
      <c r="AJ100" s="893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3"/>
      <c r="BF100" s="893"/>
      <c r="BG100" s="893"/>
      <c r="BH100" s="893"/>
      <c r="BI100" s="893"/>
      <c r="BJ100" s="893"/>
      <c r="BK100" s="897"/>
      <c r="BL100" s="897"/>
      <c r="BM100" s="897"/>
      <c r="BN100" s="893"/>
      <c r="BO100" s="897"/>
      <c r="BP100" s="897"/>
      <c r="BQ100" s="893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</row>
    <row r="101" spans="1:83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82"/>
        <v/>
      </c>
      <c r="M101" s="816" t="str">
        <f t="shared" si="83"/>
        <v/>
      </c>
      <c r="N101" s="816" t="str">
        <f t="shared" si="84"/>
        <v/>
      </c>
      <c r="R101" s="816" t="str">
        <f t="shared" si="85"/>
        <v/>
      </c>
      <c r="T101" s="829" t="str">
        <f t="shared" si="86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IF($J101="","",IF(SUM(IF(ISNUMBER(VALUE(RIGHT($AG101:$CJ101,1))),VALUE(RIGHT($AG101:$CJ101,1)),0))=$J101,"T","F"))</f>
        <v/>
      </c>
      <c r="AE101" s="831" t="str">
        <f t="array" ref="AE101">IF($J101="","",SUM(IF(LEFT($AG101:$DV101,1)="s",1,0))-SUM(IF(RIGHT(LEFT($AG101:$DV101,2))="-",1,0)))</f>
        <v/>
      </c>
      <c r="AF101" s="816" t="str">
        <f t="array" ref="AF101">IF($J101="","",SUM(IF(LEFT($AG101:$DB101,1)="X",1,0)))</f>
        <v/>
      </c>
      <c r="AG101" s="897"/>
      <c r="AH101" s="897"/>
      <c r="AI101" s="897"/>
      <c r="AJ101" s="893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3"/>
      <c r="BF101" s="893"/>
      <c r="BG101" s="893"/>
      <c r="BH101" s="893"/>
      <c r="BI101" s="893"/>
      <c r="BJ101" s="893"/>
      <c r="BK101" s="897"/>
      <c r="BL101" s="897"/>
      <c r="BM101" s="897"/>
      <c r="BN101" s="893"/>
      <c r="BO101" s="897"/>
      <c r="BP101" s="897"/>
      <c r="BQ101" s="893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</row>
    <row r="102" spans="1:83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82"/>
        <v/>
      </c>
      <c r="M102" s="816" t="str">
        <f t="shared" si="83"/>
        <v/>
      </c>
      <c r="N102" s="816" t="str">
        <f t="shared" si="84"/>
        <v/>
      </c>
      <c r="R102" s="816" t="str">
        <f t="shared" si="85"/>
        <v/>
      </c>
      <c r="T102" s="829" t="str">
        <f t="shared" si="86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IF($J102="","",IF(SUM(IF(ISNUMBER(VALUE(RIGHT($AG102:$CJ102,1))),VALUE(RIGHT($AG102:$CJ102,1)),0))=$J102,"T","F"))</f>
        <v/>
      </c>
      <c r="AE102" s="831" t="str">
        <f t="array" ref="AE102">IF($J102="","",SUM(IF(LEFT($AG102:$DV102,1)="s",1,0))-SUM(IF(RIGHT(LEFT($AG102:$DV102,2))="-",1,0)))</f>
        <v/>
      </c>
      <c r="AF102" s="816" t="str">
        <f t="array" ref="AF102">IF($J102="","",SUM(IF(LEFT($AG102:$DB102,1)="X",1,0)))</f>
        <v/>
      </c>
      <c r="AG102" s="897"/>
      <c r="AH102" s="897"/>
      <c r="AI102" s="897"/>
      <c r="AJ102" s="893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3"/>
      <c r="BF102" s="893"/>
      <c r="BG102" s="893"/>
      <c r="BH102" s="893"/>
      <c r="BI102" s="893"/>
      <c r="BJ102" s="893"/>
      <c r="BK102" s="897"/>
      <c r="BL102" s="897"/>
      <c r="BM102" s="897"/>
      <c r="BN102" s="893"/>
      <c r="BO102" s="897"/>
      <c r="BP102" s="897"/>
      <c r="BQ102" s="893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</row>
    <row r="103" spans="1:83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82"/>
        <v/>
      </c>
      <c r="M103" s="816" t="str">
        <f t="shared" si="83"/>
        <v/>
      </c>
      <c r="N103" s="816" t="str">
        <f t="shared" si="84"/>
        <v/>
      </c>
      <c r="R103" s="816" t="str">
        <f t="shared" si="85"/>
        <v/>
      </c>
      <c r="T103" s="829" t="str">
        <f t="shared" si="86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IF($J103="","",IF(SUM(IF(ISNUMBER(VALUE(RIGHT($AG103:$CJ103,1))),VALUE(RIGHT($AG103:$CJ103,1)),0))=$J103,"T","F"))</f>
        <v/>
      </c>
      <c r="AE103" s="831" t="str">
        <f t="array" ref="AE103">IF($J103="","",SUM(IF(LEFT($AG103:$DV103,1)="s",1,0))-SUM(IF(RIGHT(LEFT($AG103:$DV103,2))="-",1,0)))</f>
        <v/>
      </c>
      <c r="AF103" s="816" t="str">
        <f t="array" ref="AF103">IF($J103="","",SUM(IF(LEFT($AG103:$DB103,1)="X",1,0)))</f>
        <v/>
      </c>
      <c r="AG103" s="897"/>
      <c r="AH103" s="897"/>
      <c r="AI103" s="897"/>
      <c r="AJ103" s="893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3"/>
      <c r="BF103" s="893"/>
      <c r="BG103" s="893"/>
      <c r="BH103" s="893"/>
      <c r="BI103" s="893"/>
      <c r="BJ103" s="893"/>
      <c r="BK103" s="897"/>
      <c r="BL103" s="897"/>
      <c r="BM103" s="897"/>
      <c r="BN103" s="893"/>
      <c r="BO103" s="897"/>
      <c r="BP103" s="897"/>
      <c r="BQ103" s="893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</row>
    <row r="104" spans="1:83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82"/>
        <v/>
      </c>
      <c r="M104" s="816" t="str">
        <f t="shared" si="83"/>
        <v/>
      </c>
      <c r="N104" s="816" t="str">
        <f t="shared" si="84"/>
        <v/>
      </c>
      <c r="R104" s="816" t="str">
        <f t="shared" si="85"/>
        <v/>
      </c>
      <c r="T104" s="829" t="str">
        <f t="shared" si="86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IF($J104="","",IF(SUM(IF(ISNUMBER(VALUE(RIGHT($AG104:$CJ104,1))),VALUE(RIGHT($AG104:$CJ104,1)),0))=$J104,"T","F"))</f>
        <v/>
      </c>
      <c r="AE104" s="831" t="str">
        <f t="array" ref="AE104">IF($J104="","",SUM(IF(LEFT($AG104:$DV104,1)="s",1,0))-SUM(IF(RIGHT(LEFT($AG104:$DV104,2))="-",1,0)))</f>
        <v/>
      </c>
      <c r="AF104" s="816" t="str">
        <f t="array" ref="AF104">IF($J104="","",SUM(IF(LEFT($AG104:$DB104,1)="X",1,0)))</f>
        <v/>
      </c>
      <c r="AG104" s="897"/>
      <c r="AH104" s="897"/>
      <c r="AI104" s="897"/>
      <c r="AJ104" s="893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3"/>
      <c r="BF104" s="893"/>
      <c r="BG104" s="893"/>
      <c r="BH104" s="893"/>
      <c r="BI104" s="893"/>
      <c r="BJ104" s="893"/>
      <c r="BK104" s="897"/>
      <c r="BL104" s="897"/>
      <c r="BM104" s="897"/>
      <c r="BN104" s="893"/>
      <c r="BO104" s="897"/>
      <c r="BP104" s="897"/>
      <c r="BQ104" s="893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</row>
    <row r="105" spans="1:83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82"/>
        <v/>
      </c>
      <c r="M105" s="816" t="str">
        <f t="shared" si="83"/>
        <v/>
      </c>
      <c r="N105" s="816" t="str">
        <f t="shared" si="84"/>
        <v/>
      </c>
      <c r="R105" s="816" t="str">
        <f t="shared" si="85"/>
        <v/>
      </c>
      <c r="T105" s="829" t="str">
        <f t="shared" si="86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IF($J105="","",IF(SUM(IF(ISNUMBER(VALUE(RIGHT($AG105:$CJ105,1))),VALUE(RIGHT($AG105:$CJ105,1)),0))=$J105,"T","F"))</f>
        <v/>
      </c>
      <c r="AE105" s="831" t="str">
        <f t="array" ref="AE105">IF($J105="","",SUM(IF(LEFT($AG105:$DV105,1)="s",1,0))-SUM(IF(RIGHT(LEFT($AG105:$DV105,2))="-",1,0)))</f>
        <v/>
      </c>
      <c r="AF105" s="816" t="str">
        <f t="array" ref="AF105">IF($J105="","",SUM(IF(LEFT($AG105:$DB105,1)="X",1,0)))</f>
        <v/>
      </c>
      <c r="AG105" s="897"/>
      <c r="AH105" s="897"/>
      <c r="AI105" s="897"/>
      <c r="AJ105" s="893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3"/>
      <c r="BF105" s="893"/>
      <c r="BG105" s="893"/>
      <c r="BH105" s="893"/>
      <c r="BI105" s="893"/>
      <c r="BJ105" s="893"/>
      <c r="BK105" s="897"/>
      <c r="BL105" s="897"/>
      <c r="BM105" s="897"/>
      <c r="BN105" s="893"/>
      <c r="BO105" s="897"/>
      <c r="BP105" s="897"/>
      <c r="BQ105" s="893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</row>
    <row r="106" spans="1:83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82"/>
        <v/>
      </c>
      <c r="M106" s="816" t="str">
        <f t="shared" si="83"/>
        <v/>
      </c>
      <c r="N106" s="816" t="str">
        <f t="shared" si="84"/>
        <v/>
      </c>
      <c r="R106" s="816" t="str">
        <f t="shared" si="85"/>
        <v/>
      </c>
      <c r="T106" s="829" t="str">
        <f t="shared" si="86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IF($J106="","",IF(SUM(IF(ISNUMBER(VALUE(RIGHT($AG106:$CJ106,1))),VALUE(RIGHT($AG106:$CJ106,1)),0))=$J106,"T","F"))</f>
        <v/>
      </c>
      <c r="AE106" s="831" t="str">
        <f t="array" ref="AE106">IF($J106="","",SUM(IF(LEFT($AG106:$DV106,1)="s",1,0))-SUM(IF(RIGHT(LEFT($AG106:$DV106,2))="-",1,0)))</f>
        <v/>
      </c>
      <c r="AF106" s="816" t="str">
        <f t="array" ref="AF106">IF($J106="","",SUM(IF(LEFT($AG106:$DB106,1)="X",1,0)))</f>
        <v/>
      </c>
      <c r="AG106" s="897"/>
      <c r="AH106" s="897"/>
      <c r="AI106" s="897"/>
      <c r="AJ106" s="893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3"/>
      <c r="BF106" s="893"/>
      <c r="BG106" s="893"/>
      <c r="BH106" s="893"/>
      <c r="BI106" s="893"/>
      <c r="BJ106" s="893"/>
      <c r="BK106" s="897"/>
      <c r="BL106" s="897"/>
      <c r="BM106" s="897"/>
      <c r="BN106" s="893"/>
      <c r="BO106" s="897"/>
      <c r="BP106" s="897"/>
      <c r="BQ106" s="893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</row>
    <row r="107" spans="1:83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82"/>
        <v/>
      </c>
      <c r="M107" s="816" t="str">
        <f t="shared" si="83"/>
        <v/>
      </c>
      <c r="N107" s="816" t="str">
        <f t="shared" si="84"/>
        <v/>
      </c>
      <c r="R107" s="816" t="str">
        <f t="shared" si="85"/>
        <v/>
      </c>
      <c r="T107" s="829" t="str">
        <f t="shared" si="86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IF($J107="","",IF(SUM(IF(ISNUMBER(VALUE(RIGHT($AG107:$CJ107,1))),VALUE(RIGHT($AG107:$CJ107,1)),0))=$J107,"T","F"))</f>
        <v/>
      </c>
      <c r="AE107" s="831" t="str">
        <f t="array" ref="AE107">IF($J107="","",SUM(IF(LEFT($AG107:$DV107,1)="s",1,0))-SUM(IF(RIGHT(LEFT($AG107:$DV107,2))="-",1,0)))</f>
        <v/>
      </c>
      <c r="AF107" s="816" t="str">
        <f t="array" ref="AF107">IF($J107="","",SUM(IF(LEFT($AG107:$DB107,1)="X",1,0)))</f>
        <v/>
      </c>
      <c r="AG107" s="897"/>
      <c r="AH107" s="897"/>
      <c r="AI107" s="897"/>
      <c r="AJ107" s="893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3"/>
      <c r="BF107" s="893"/>
      <c r="BG107" s="893"/>
      <c r="BH107" s="893"/>
      <c r="BI107" s="893"/>
      <c r="BJ107" s="893"/>
      <c r="BK107" s="897"/>
      <c r="BL107" s="897"/>
      <c r="BM107" s="897"/>
      <c r="BN107" s="893"/>
      <c r="BO107" s="897"/>
      <c r="BP107" s="897"/>
      <c r="BQ107" s="893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</row>
    <row r="108" spans="1:83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82"/>
        <v/>
      </c>
      <c r="M108" s="816" t="str">
        <f t="shared" si="83"/>
        <v/>
      </c>
      <c r="N108" s="816" t="str">
        <f t="shared" si="84"/>
        <v/>
      </c>
      <c r="R108" s="816" t="str">
        <f t="shared" si="85"/>
        <v/>
      </c>
      <c r="T108" s="829" t="str">
        <f t="shared" si="86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IF($J108="","",IF(SUM(IF(ISNUMBER(VALUE(RIGHT($AG108:$CJ108,1))),VALUE(RIGHT($AG108:$CJ108,1)),0))=$J108,"T","F"))</f>
        <v/>
      </c>
      <c r="AE108" s="816" t="str">
        <f t="array" ref="AE108">IF($J108="","",SUM(IF(LEFT($AG108:$DV108,1)="s",1,0))-SUM(IF(RIGHT(LEFT($AG108:$DV108,2))="-",1,0)))</f>
        <v/>
      </c>
      <c r="AF108" s="816" t="str">
        <f t="array" ref="AF108">IF($J108="","",SUM(IF(LEFT($AG108:$DB108,1)="X",1,0)))</f>
        <v/>
      </c>
      <c r="AG108" s="897"/>
      <c r="AH108" s="897"/>
      <c r="AI108" s="897"/>
      <c r="AJ108" s="893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3"/>
      <c r="BF108" s="893"/>
      <c r="BG108" s="893"/>
      <c r="BH108" s="893"/>
      <c r="BI108" s="893"/>
      <c r="BJ108" s="893"/>
      <c r="BK108" s="897"/>
      <c r="BL108" s="897"/>
      <c r="BM108" s="897"/>
      <c r="BN108" s="893"/>
      <c r="BO108" s="897"/>
      <c r="BP108" s="897"/>
      <c r="BQ108" s="893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</row>
    <row r="109" spans="1:83" ht="15">
      <c r="A109" s="845"/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82"/>
        <v/>
      </c>
      <c r="M109" s="816" t="str">
        <f t="shared" si="83"/>
        <v/>
      </c>
      <c r="N109" s="816" t="str">
        <f t="shared" si="84"/>
        <v/>
      </c>
      <c r="R109" s="816" t="str">
        <f t="shared" si="85"/>
        <v/>
      </c>
      <c r="T109" s="829" t="str">
        <f t="shared" si="86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IF($J109="","",IF(SUM(IF(ISNUMBER(VALUE(RIGHT($AG109:$CJ109,1))),VALUE(RIGHT($AG109:$CJ109,1)),0))=$J109,"T","F"))</f>
        <v/>
      </c>
      <c r="AE109" s="816" t="str">
        <f t="array" ref="AE109">IF($J109="","",SUM(IF(LEFT($AG109:$DV109,1)="s",1,0))-SUM(IF(RIGHT(LEFT($AG109:$DV109,2))="-",1,0)))</f>
        <v/>
      </c>
      <c r="AF109" s="816" t="str">
        <f t="array" ref="AF109">IF($J109="","",SUM(IF(LEFT($AG109:$DB109,1)="X",1,0)))</f>
        <v/>
      </c>
      <c r="AG109" s="897"/>
      <c r="AH109" s="897"/>
      <c r="AI109" s="897"/>
      <c r="AJ109" s="893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3"/>
      <c r="BF109" s="893"/>
      <c r="BG109" s="893"/>
      <c r="BH109" s="893"/>
      <c r="BI109" s="893"/>
      <c r="BJ109" s="893"/>
      <c r="BK109" s="897"/>
      <c r="BL109" s="897"/>
      <c r="BM109" s="897"/>
      <c r="BN109" s="893"/>
      <c r="BO109" s="897"/>
      <c r="BP109" s="897"/>
      <c r="BQ109" s="893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</row>
    <row r="110" spans="1:83" ht="15">
      <c r="A110" s="845"/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82"/>
        <v/>
      </c>
      <c r="M110" s="816" t="str">
        <f t="shared" si="83"/>
        <v/>
      </c>
      <c r="N110" s="816" t="str">
        <f t="shared" si="84"/>
        <v/>
      </c>
      <c r="R110" s="816" t="str">
        <f t="shared" si="85"/>
        <v/>
      </c>
      <c r="T110" s="829" t="str">
        <f t="shared" si="86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IF($J110="","",IF(SUM(IF(ISNUMBER(VALUE(RIGHT($AG110:$CJ110,1))),VALUE(RIGHT($AG110:$CJ110,1)),0))=$J110,"T","F"))</f>
        <v/>
      </c>
      <c r="AE110" s="816" t="str">
        <f t="array" ref="AE110">IF($J110="","",SUM(IF(LEFT($AG110:$DV110,1)="s",1,0))-SUM(IF(RIGHT(LEFT($AG110:$DV110,2))="-",1,0)))</f>
        <v/>
      </c>
      <c r="AF110" s="816" t="str">
        <f t="array" ref="AF110">IF($J110="","",SUM(IF(LEFT($AG110:$DB110,1)="X",1,0)))</f>
        <v/>
      </c>
      <c r="AG110" s="897"/>
      <c r="AH110" s="897"/>
      <c r="AI110" s="897"/>
      <c r="AJ110" s="893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3"/>
      <c r="BF110" s="893"/>
      <c r="BG110" s="893"/>
      <c r="BH110" s="893"/>
      <c r="BI110" s="893"/>
      <c r="BJ110" s="893"/>
      <c r="BK110" s="897"/>
      <c r="BL110" s="897"/>
      <c r="BM110" s="897"/>
      <c r="BN110" s="893"/>
      <c r="BO110" s="897"/>
      <c r="BP110" s="897"/>
      <c r="BQ110" s="893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</row>
    <row r="111" spans="1:83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82"/>
        <v/>
      </c>
      <c r="M111" s="816" t="str">
        <f t="shared" si="83"/>
        <v/>
      </c>
      <c r="N111" s="816" t="str">
        <f t="shared" si="84"/>
        <v/>
      </c>
      <c r="R111" s="816" t="str">
        <f t="shared" si="85"/>
        <v/>
      </c>
      <c r="T111" s="829" t="str">
        <f t="shared" si="86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IF($J111="","",IF(SUM(IF(ISNUMBER(VALUE(RIGHT($AG111:$CJ111,1))),VALUE(RIGHT($AG111:$CJ111,1)),0))=$J111,"T","F"))</f>
        <v/>
      </c>
      <c r="AE111" s="816" t="str">
        <f t="array" ref="AE111">IF($J111="","",SUM(IF(LEFT($AG111:$DV111,1)="s",1,0))-SUM(IF(RIGHT(LEFT($AG111:$DV111,2))="-",1,0)))</f>
        <v/>
      </c>
      <c r="AF111" s="816" t="str">
        <f t="array" ref="AF111">IF($J111="","",SUM(IF(LEFT($AG111:$DB111,1)="X",1,0)))</f>
        <v/>
      </c>
      <c r="AG111" s="897"/>
      <c r="AH111" s="897"/>
      <c r="AI111" s="897"/>
      <c r="AJ111" s="893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3"/>
      <c r="BF111" s="893"/>
      <c r="BG111" s="893"/>
      <c r="BH111" s="893"/>
      <c r="BI111" s="893"/>
      <c r="BJ111" s="893"/>
      <c r="BK111" s="897"/>
      <c r="BL111" s="897"/>
      <c r="BM111" s="897"/>
      <c r="BN111" s="893"/>
      <c r="BO111" s="897"/>
      <c r="BP111" s="897"/>
      <c r="BQ111" s="893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</row>
    <row r="112" spans="1:83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82"/>
        <v/>
      </c>
      <c r="M112" s="816" t="str">
        <f t="shared" si="83"/>
        <v/>
      </c>
      <c r="N112" s="816" t="str">
        <f t="shared" si="84"/>
        <v/>
      </c>
      <c r="R112" s="816" t="str">
        <f t="shared" si="85"/>
        <v/>
      </c>
      <c r="T112" s="829" t="str">
        <f t="shared" si="86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IF($J112="","",IF(SUM(IF(ISNUMBER(VALUE(RIGHT($AG112:$CJ112,1))),VALUE(RIGHT($AG112:$CJ112,1)),0))=$J112,"T","F"))</f>
        <v/>
      </c>
      <c r="AE112" s="816" t="str">
        <f t="array" ref="AE112">IF($J112="","",SUM(IF(LEFT($AG112:$DV112,1)="s",1,0))-SUM(IF(RIGHT(LEFT($AG112:$DV112,2))="-",1,0)))</f>
        <v/>
      </c>
      <c r="AF112" s="816" t="str">
        <f t="array" ref="AF112">IF($J112="","",SUM(IF(LEFT($AG112:$DB112,1)="X",1,0)))</f>
        <v/>
      </c>
      <c r="AG112" s="897"/>
      <c r="AH112" s="897"/>
      <c r="AI112" s="897"/>
      <c r="AJ112" s="893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3"/>
      <c r="BF112" s="893"/>
      <c r="BG112" s="893"/>
      <c r="BH112" s="893"/>
      <c r="BI112" s="893"/>
      <c r="BJ112" s="893"/>
      <c r="BK112" s="897"/>
      <c r="BL112" s="897"/>
      <c r="BM112" s="897"/>
      <c r="BN112" s="893"/>
      <c r="BO112" s="897"/>
      <c r="BP112" s="897"/>
      <c r="BQ112" s="893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</row>
    <row r="113" spans="4:83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82"/>
        <v/>
      </c>
      <c r="M113" s="816" t="str">
        <f t="shared" si="83"/>
        <v/>
      </c>
      <c r="N113" s="816" t="str">
        <f t="shared" si="84"/>
        <v/>
      </c>
      <c r="R113" s="816" t="str">
        <f t="shared" si="85"/>
        <v/>
      </c>
      <c r="T113" s="829" t="str">
        <f t="shared" si="86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IF($J113="","",IF(SUM(IF(ISNUMBER(VALUE(RIGHT($AG113:$CJ113,1))),VALUE(RIGHT($AG113:$CJ113,1)),0))=$J113,"T","F"))</f>
        <v/>
      </c>
      <c r="AE113" s="816" t="str">
        <f t="array" ref="AE113">IF($J113="","",SUM(IF(LEFT($AG113:$DV113,1)="s",1,0))-SUM(IF(RIGHT(LEFT($AG113:$DV113,2))="-",1,0)))</f>
        <v/>
      </c>
      <c r="AF113" s="816" t="str">
        <f t="array" ref="AF113">IF($J113="","",SUM(IF(LEFT($AG113:$DB113,1)="X",1,0)))</f>
        <v/>
      </c>
      <c r="AG113" s="897"/>
      <c r="AH113" s="897"/>
      <c r="AI113" s="897"/>
      <c r="AJ113" s="893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3"/>
      <c r="BF113" s="893"/>
      <c r="BG113" s="893"/>
      <c r="BH113" s="893"/>
      <c r="BI113" s="893"/>
      <c r="BJ113" s="893"/>
      <c r="BK113" s="897"/>
      <c r="BL113" s="897"/>
      <c r="BM113" s="897"/>
      <c r="BN113" s="893"/>
      <c r="BO113" s="897"/>
      <c r="BP113" s="897"/>
      <c r="BQ113" s="893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</row>
    <row r="114" spans="4:83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82"/>
        <v/>
      </c>
      <c r="M114" s="816" t="str">
        <f t="shared" si="83"/>
        <v/>
      </c>
      <c r="N114" s="816" t="str">
        <f t="shared" si="84"/>
        <v/>
      </c>
      <c r="R114" s="816" t="str">
        <f t="shared" si="85"/>
        <v/>
      </c>
      <c r="T114" s="829" t="str">
        <f t="shared" si="86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IF($J114="","",IF(SUM(IF(ISNUMBER(VALUE(RIGHT($AG114:$CJ114,1))),VALUE(RIGHT($AG114:$CJ114,1)),0))=$J114,"T","F"))</f>
        <v/>
      </c>
      <c r="AE114" s="816" t="str">
        <f t="array" ref="AE114">IF($J114="","",SUM(IF(LEFT($AG114:$DV114,1)="s",1,0))-SUM(IF(RIGHT(LEFT($AG114:$DV114,2))="-",1,0)))</f>
        <v/>
      </c>
      <c r="AF114" s="816" t="str">
        <f t="array" ref="AF114">IF($J114="","",SUM(IF(LEFT($AG114:$DB114,1)="X",1,0)))</f>
        <v/>
      </c>
      <c r="AG114" s="897"/>
      <c r="AH114" s="897"/>
      <c r="AI114" s="897"/>
      <c r="AJ114" s="893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3"/>
      <c r="BF114" s="893"/>
      <c r="BG114" s="893"/>
      <c r="BH114" s="893"/>
      <c r="BI114" s="893"/>
      <c r="BJ114" s="893"/>
      <c r="BK114" s="897"/>
      <c r="BL114" s="897"/>
      <c r="BM114" s="897"/>
      <c r="BN114" s="893"/>
      <c r="BO114" s="897"/>
      <c r="BP114" s="897"/>
      <c r="BQ114" s="893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</row>
    <row r="115" spans="4:83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82"/>
        <v/>
      </c>
      <c r="M115" s="816" t="str">
        <f t="shared" si="83"/>
        <v/>
      </c>
      <c r="N115" s="816" t="str">
        <f t="shared" si="84"/>
        <v/>
      </c>
      <c r="R115" s="816" t="str">
        <f t="shared" si="85"/>
        <v/>
      </c>
      <c r="T115" s="829" t="str">
        <f t="shared" si="86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IF($J115="","",IF(SUM(IF(ISNUMBER(VALUE(RIGHT($AG115:$CJ115,1))),VALUE(RIGHT($AG115:$CJ115,1)),0))=$J115,"T","F"))</f>
        <v/>
      </c>
      <c r="AE115" s="816" t="str">
        <f t="array" ref="AE115">IF($J115="","",SUM(IF(LEFT($AG115:$DV115,1)="s",1,0))-SUM(IF(RIGHT(LEFT($AG115:$DV115,2))="-",1,0)))</f>
        <v/>
      </c>
      <c r="AF115" s="816" t="str">
        <f t="array" ref="AF115">IF($J115="","",SUM(IF(LEFT($AG115:$DB115,1)="X",1,0)))</f>
        <v/>
      </c>
      <c r="AG115" s="897"/>
      <c r="AH115" s="897"/>
      <c r="AI115" s="897"/>
      <c r="AJ115" s="893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3"/>
      <c r="BF115" s="893"/>
      <c r="BG115" s="893"/>
      <c r="BH115" s="893"/>
      <c r="BI115" s="893"/>
      <c r="BJ115" s="893"/>
      <c r="BK115" s="897"/>
      <c r="BL115" s="897"/>
      <c r="BM115" s="897"/>
      <c r="BN115" s="893"/>
      <c r="BO115" s="897"/>
      <c r="BP115" s="897"/>
      <c r="BQ115" s="893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</row>
    <row r="116" spans="4:83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82"/>
        <v/>
      </c>
      <c r="M116" s="816" t="str">
        <f t="shared" si="83"/>
        <v/>
      </c>
      <c r="N116" s="816" t="str">
        <f t="shared" si="84"/>
        <v/>
      </c>
      <c r="R116" s="816" t="str">
        <f t="shared" si="85"/>
        <v/>
      </c>
      <c r="T116" s="829" t="str">
        <f t="shared" si="86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IF($J116="","",IF(SUM(IF(ISNUMBER(VALUE(RIGHT($AG116:$CJ116,1))),VALUE(RIGHT($AG116:$CJ116,1)),0))=$J116,"T","F"))</f>
        <v/>
      </c>
      <c r="AE116" s="816" t="str">
        <f t="array" ref="AE116">IF($J116="","",SUM(IF(LEFT($AG116:$DV116,1)="s",1,0))-SUM(IF(RIGHT(LEFT($AG116:$DV116,2))="-",1,0)))</f>
        <v/>
      </c>
      <c r="AF116" s="816" t="str">
        <f t="array" ref="AF116">IF($J116="","",SUM(IF(LEFT($AG116:$DB116,1)="X",1,0)))</f>
        <v/>
      </c>
      <c r="AG116" s="897"/>
      <c r="AH116" s="897"/>
      <c r="AI116" s="897"/>
      <c r="AJ116" s="893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3"/>
      <c r="BF116" s="893"/>
      <c r="BG116" s="893"/>
      <c r="BH116" s="893"/>
      <c r="BI116" s="893"/>
      <c r="BJ116" s="893"/>
      <c r="BK116" s="897"/>
      <c r="BL116" s="897"/>
      <c r="BM116" s="897"/>
      <c r="BN116" s="893"/>
      <c r="BO116" s="897"/>
      <c r="BP116" s="897"/>
      <c r="BQ116" s="893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</row>
    <row r="117" spans="4:83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82"/>
        <v/>
      </c>
      <c r="M117" s="816" t="str">
        <f t="shared" si="83"/>
        <v/>
      </c>
      <c r="N117" s="816" t="str">
        <f t="shared" si="84"/>
        <v/>
      </c>
      <c r="R117" s="816" t="str">
        <f t="shared" si="85"/>
        <v/>
      </c>
      <c r="T117" s="829" t="str">
        <f t="shared" si="86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IF($J117="","",IF(SUM(IF(ISNUMBER(VALUE(RIGHT($AG117:$CJ117,1))),VALUE(RIGHT($AG117:$CJ117,1)),0))=$J117,"T","F"))</f>
        <v/>
      </c>
      <c r="AE117" s="816" t="str">
        <f t="array" ref="AE117">IF($J117="","",SUM(IF(LEFT($AG117:$DV117,1)="s",1,0))-SUM(IF(RIGHT(LEFT($AG117:$DV117,2))="-",1,0)))</f>
        <v/>
      </c>
      <c r="AF117" s="816" t="str">
        <f t="array" ref="AF117">IF($J117="","",SUM(IF(LEFT($AG117:$DB117,1)="X",1,0)))</f>
        <v/>
      </c>
      <c r="AG117" s="897"/>
      <c r="AH117" s="897"/>
      <c r="AI117" s="897"/>
      <c r="AJ117" s="893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3"/>
      <c r="BF117" s="893"/>
      <c r="BG117" s="893"/>
      <c r="BH117" s="893"/>
      <c r="BI117" s="893"/>
      <c r="BJ117" s="893"/>
      <c r="BK117" s="897"/>
      <c r="BL117" s="897"/>
      <c r="BM117" s="897"/>
      <c r="BN117" s="893"/>
      <c r="BO117" s="897"/>
      <c r="BP117" s="897"/>
      <c r="BQ117" s="893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</row>
    <row r="118" spans="4:83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82"/>
        <v/>
      </c>
      <c r="M118" s="816" t="str">
        <f t="shared" si="83"/>
        <v/>
      </c>
      <c r="N118" s="816" t="str">
        <f t="shared" si="84"/>
        <v/>
      </c>
      <c r="R118" s="816" t="str">
        <f t="shared" si="85"/>
        <v/>
      </c>
      <c r="T118" s="829" t="str">
        <f t="shared" si="86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IF($J118="","",IF(SUM(IF(ISNUMBER(VALUE(RIGHT($AG118:$CJ118,1))),VALUE(RIGHT($AG118:$CJ118,1)),0))=$J118,"T","F"))</f>
        <v/>
      </c>
      <c r="AE118" s="816" t="str">
        <f t="array" ref="AE118">IF($J118="","",SUM(IF(LEFT($AG118:$DV118,1)="s",1,0))-SUM(IF(RIGHT(LEFT($AG118:$DV118,2))="-",1,0)))</f>
        <v/>
      </c>
      <c r="AF118" s="816" t="str">
        <f t="array" ref="AF118">IF($J118="","",SUM(IF(LEFT($AG118:$DB118,1)="X",1,0)))</f>
        <v/>
      </c>
      <c r="AG118" s="897"/>
      <c r="AH118" s="897"/>
      <c r="AI118" s="897"/>
      <c r="AJ118" s="893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3"/>
      <c r="BF118" s="893"/>
      <c r="BG118" s="893"/>
      <c r="BH118" s="893"/>
      <c r="BI118" s="893"/>
      <c r="BJ118" s="893"/>
      <c r="BK118" s="897"/>
      <c r="BL118" s="897"/>
      <c r="BM118" s="897"/>
      <c r="BN118" s="893"/>
      <c r="BO118" s="897"/>
      <c r="BP118" s="897"/>
      <c r="BQ118" s="893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</row>
    <row r="119" spans="4:83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82"/>
        <v/>
      </c>
      <c r="M119" s="816" t="str">
        <f t="shared" si="83"/>
        <v/>
      </c>
      <c r="N119" s="816" t="str">
        <f t="shared" si="84"/>
        <v/>
      </c>
      <c r="R119" s="816" t="str">
        <f t="shared" si="85"/>
        <v/>
      </c>
      <c r="T119" s="829" t="str">
        <f t="shared" si="86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IF($J119="","",IF(SUM(IF(ISNUMBER(VALUE(RIGHT($AG119:$CJ119,1))),VALUE(RIGHT($AG119:$CJ119,1)),0))=$J119,"T","F"))</f>
        <v/>
      </c>
      <c r="AE119" s="816" t="str">
        <f t="array" ref="AE119">IF($J119="","",SUM(IF(LEFT($AG119:$DV119,1)="s",1,0))-SUM(IF(RIGHT(LEFT($AG119:$DV119,2))="-",1,0)))</f>
        <v/>
      </c>
      <c r="AF119" s="816" t="str">
        <f t="array" ref="AF119">IF($J119="","",SUM(IF(LEFT($AG119:$DB119,1)="X",1,0)))</f>
        <v/>
      </c>
      <c r="AG119" s="897"/>
      <c r="AH119" s="897"/>
      <c r="AI119" s="897"/>
      <c r="AJ119" s="893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3"/>
      <c r="BF119" s="893"/>
      <c r="BG119" s="893"/>
      <c r="BH119" s="893"/>
      <c r="BI119" s="893"/>
      <c r="BJ119" s="893"/>
      <c r="BK119" s="897"/>
      <c r="BL119" s="897"/>
      <c r="BM119" s="897"/>
      <c r="BN119" s="893"/>
      <c r="BO119" s="897"/>
      <c r="BP119" s="897"/>
      <c r="BQ119" s="893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</row>
    <row r="120" spans="4:83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82"/>
        <v/>
      </c>
      <c r="M120" s="816" t="str">
        <f t="shared" si="83"/>
        <v/>
      </c>
      <c r="N120" s="816" t="str">
        <f t="shared" si="84"/>
        <v/>
      </c>
      <c r="R120" s="816" t="str">
        <f t="shared" si="85"/>
        <v/>
      </c>
      <c r="T120" s="829" t="str">
        <f t="shared" si="86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IF($J120="","",IF(SUM(IF(ISNUMBER(VALUE(RIGHT($AG120:$CJ120,1))),VALUE(RIGHT($AG120:$CJ120,1)),0))=$J120,"T","F"))</f>
        <v/>
      </c>
      <c r="AE120" s="816" t="str">
        <f t="array" ref="AE120">IF($J120="","",SUM(IF(LEFT($AG120:$DV120,1)="s",1,0))-SUM(IF(RIGHT(LEFT($AG120:$DV120,2))="-",1,0)))</f>
        <v/>
      </c>
      <c r="AF120" s="816" t="str">
        <f t="array" ref="AF120">IF($J120="","",SUM(IF(LEFT($AG120:$DB120,1)="X",1,0)))</f>
        <v/>
      </c>
      <c r="AG120" s="897"/>
      <c r="AH120" s="897"/>
      <c r="AI120" s="897"/>
      <c r="AJ120" s="893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3"/>
      <c r="BF120" s="893"/>
      <c r="BG120" s="893"/>
      <c r="BH120" s="893"/>
      <c r="BI120" s="893"/>
      <c r="BJ120" s="893"/>
      <c r="BK120" s="897"/>
      <c r="BL120" s="897"/>
      <c r="BM120" s="897"/>
      <c r="BN120" s="893"/>
      <c r="BO120" s="897"/>
      <c r="BP120" s="897"/>
      <c r="BQ120" s="893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</row>
    <row r="121" spans="4:83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82"/>
        <v/>
      </c>
      <c r="M121" s="816" t="str">
        <f t="shared" si="83"/>
        <v/>
      </c>
      <c r="N121" s="816" t="str">
        <f t="shared" si="84"/>
        <v/>
      </c>
      <c r="R121" s="816" t="str">
        <f t="shared" si="85"/>
        <v/>
      </c>
      <c r="T121" s="829" t="str">
        <f t="shared" si="86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IF($J121="","",IF(SUM(IF(ISNUMBER(VALUE(RIGHT($AG121:$CJ121,1))),VALUE(RIGHT($AG121:$CJ121,1)),0))=$J121,"T","F"))</f>
        <v/>
      </c>
      <c r="AE121" s="816" t="str">
        <f t="array" ref="AE121">IF($J121="","",SUM(IF(LEFT($AG121:$DV121,1)="s",1,0))-SUM(IF(RIGHT(LEFT($AG121:$DV121,2))="-",1,0)))</f>
        <v/>
      </c>
      <c r="AF121" s="816" t="str">
        <f t="array" ref="AF121">IF($J121="","",SUM(IF(LEFT($AG121:$DB121,1)="X",1,0)))</f>
        <v/>
      </c>
      <c r="AG121" s="897"/>
      <c r="AH121" s="897"/>
      <c r="AI121" s="897"/>
      <c r="AJ121" s="893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3"/>
      <c r="BF121" s="893"/>
      <c r="BG121" s="893"/>
      <c r="BH121" s="893"/>
      <c r="BI121" s="893"/>
      <c r="BJ121" s="893"/>
      <c r="BK121" s="897"/>
      <c r="BL121" s="897"/>
      <c r="BM121" s="897"/>
      <c r="BN121" s="893"/>
      <c r="BO121" s="897"/>
      <c r="BP121" s="897"/>
      <c r="BQ121" s="893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</row>
    <row r="122" spans="4:83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82"/>
        <v/>
      </c>
      <c r="M122" s="816" t="str">
        <f t="shared" si="83"/>
        <v/>
      </c>
      <c r="N122" s="816" t="str">
        <f t="shared" si="84"/>
        <v/>
      </c>
      <c r="R122" s="816" t="str">
        <f t="shared" si="85"/>
        <v/>
      </c>
      <c r="T122" s="829" t="str">
        <f t="shared" si="86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IF($J122="","",IF(SUM(IF(ISNUMBER(VALUE(RIGHT($AG122:$CJ122,1))),VALUE(RIGHT($AG122:$CJ122,1)),0))=$J122,"T","F"))</f>
        <v/>
      </c>
      <c r="AE122" s="816" t="str">
        <f t="array" ref="AE122">IF($J122="","",SUM(IF(LEFT($AG122:$DV122,1)="s",1,0))-SUM(IF(RIGHT(LEFT($AG122:$DV122,2))="-",1,0)))</f>
        <v/>
      </c>
      <c r="AF122" s="816" t="str">
        <f t="array" ref="AF122">IF($J122="","",SUM(IF(LEFT($AG122:$DB122,1)="X",1,0)))</f>
        <v/>
      </c>
      <c r="AG122" s="897"/>
      <c r="AH122" s="897"/>
      <c r="AI122" s="897"/>
      <c r="AJ122" s="893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3"/>
      <c r="BF122" s="893"/>
      <c r="BG122" s="893"/>
      <c r="BH122" s="893"/>
      <c r="BI122" s="893"/>
      <c r="BJ122" s="893"/>
      <c r="BK122" s="897"/>
      <c r="BL122" s="897"/>
      <c r="BM122" s="897"/>
      <c r="BN122" s="893"/>
      <c r="BO122" s="897"/>
      <c r="BP122" s="897"/>
      <c r="BQ122" s="893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</row>
    <row r="123" spans="4:83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82"/>
        <v/>
      </c>
      <c r="M123" s="816" t="str">
        <f t="shared" si="83"/>
        <v/>
      </c>
      <c r="N123" s="816" t="str">
        <f t="shared" si="84"/>
        <v/>
      </c>
      <c r="R123" s="816" t="str">
        <f t="shared" si="85"/>
        <v/>
      </c>
      <c r="T123" s="829" t="str">
        <f t="shared" si="86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IF($J123="","",IF(SUM(IF(ISNUMBER(VALUE(RIGHT($AG123:$CJ123,1))),VALUE(RIGHT($AG123:$CJ123,1)),0))=$J123,"T","F"))</f>
        <v/>
      </c>
      <c r="AE123" s="816" t="str">
        <f t="array" ref="AE123">IF($J123="","",SUM(IF(LEFT($AG123:$DV123,1)="s",1,0))-SUM(IF(RIGHT(LEFT($AG123:$DV123,2))="-",1,0)))</f>
        <v/>
      </c>
      <c r="AF123" s="816" t="str">
        <f t="array" ref="AF123">IF($J123="","",SUM(IF(LEFT($AG123:$DB123,1)="X",1,0)))</f>
        <v/>
      </c>
      <c r="AG123" s="897"/>
      <c r="AH123" s="897"/>
      <c r="AI123" s="897"/>
      <c r="AJ123" s="893"/>
      <c r="AK123" s="897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7"/>
      <c r="BE123" s="893"/>
      <c r="BF123" s="893"/>
      <c r="BG123" s="893"/>
      <c r="BH123" s="893"/>
      <c r="BI123" s="893"/>
      <c r="BJ123" s="893"/>
      <c r="BK123" s="897"/>
      <c r="BL123" s="897"/>
      <c r="BM123" s="897"/>
      <c r="BN123" s="893"/>
      <c r="BO123" s="897"/>
      <c r="BP123" s="897"/>
      <c r="BQ123" s="893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</row>
    <row r="124" spans="4:83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82"/>
        <v/>
      </c>
      <c r="M124" s="816" t="str">
        <f t="shared" si="83"/>
        <v/>
      </c>
      <c r="N124" s="816" t="str">
        <f t="shared" si="84"/>
        <v/>
      </c>
      <c r="R124" s="816" t="str">
        <f t="shared" si="85"/>
        <v/>
      </c>
      <c r="T124" s="829" t="str">
        <f t="shared" si="86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IF($J124="","",IF(SUM(IF(ISNUMBER(VALUE(RIGHT($AG124:$CJ124,1))),VALUE(RIGHT($AG124:$CJ124,1)),0))=$J124,"T","F"))</f>
        <v/>
      </c>
      <c r="AE124" s="816" t="str">
        <f t="array" ref="AE124">IF($J124="","",SUM(IF(LEFT($AG124:$DV124,1)="s",1,0))-SUM(IF(RIGHT(LEFT($AG124:$DV124,2))="-",1,0)))</f>
        <v/>
      </c>
      <c r="AF124" s="816" t="str">
        <f t="array" ref="AF124">IF($J124="","",SUM(IF(LEFT($AG124:$DB124,1)="X",1,0)))</f>
        <v/>
      </c>
      <c r="AG124" s="897"/>
      <c r="AH124" s="897"/>
      <c r="AI124" s="897"/>
      <c r="AJ124" s="893"/>
      <c r="AK124" s="897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7"/>
      <c r="BE124" s="893"/>
      <c r="BF124" s="893"/>
      <c r="BG124" s="893"/>
      <c r="BH124" s="893"/>
      <c r="BI124" s="893"/>
      <c r="BJ124" s="893"/>
      <c r="BK124" s="897"/>
      <c r="BL124" s="897"/>
      <c r="BM124" s="897"/>
      <c r="BN124" s="893"/>
      <c r="BO124" s="897"/>
      <c r="BP124" s="897"/>
      <c r="BQ124" s="893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</row>
    <row r="125" spans="4:83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82"/>
        <v/>
      </c>
      <c r="M125" s="816" t="str">
        <f t="shared" si="83"/>
        <v/>
      </c>
      <c r="N125" s="816" t="str">
        <f t="shared" si="84"/>
        <v/>
      </c>
      <c r="R125" s="816" t="str">
        <f t="shared" si="85"/>
        <v/>
      </c>
      <c r="T125" s="829" t="str">
        <f t="shared" si="86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IF($J125="","",IF(SUM(IF(ISNUMBER(VALUE(RIGHT($AG125:$CJ125,1))),VALUE(RIGHT($AG125:$CJ125,1)),0))=$J125,"T","F"))</f>
        <v/>
      </c>
      <c r="AE125" s="816" t="str">
        <f t="array" ref="AE125">IF($J125="","",SUM(IF(LEFT($AG125:$DV125,1)="s",1,0))-SUM(IF(RIGHT(LEFT($AG125:$DV125,2))="-",1,0)))</f>
        <v/>
      </c>
      <c r="AF125" s="816" t="str">
        <f t="array" ref="AF125">IF($J125="","",SUM(IF(LEFT($AG125:$DB125,1)="X",1,0)))</f>
        <v/>
      </c>
      <c r="AG125" s="897"/>
      <c r="AH125" s="897"/>
      <c r="AI125" s="897"/>
      <c r="AJ125" s="893"/>
      <c r="AK125" s="897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7"/>
      <c r="BD125" s="897"/>
      <c r="BE125" s="893"/>
      <c r="BF125" s="893"/>
      <c r="BG125" s="893"/>
      <c r="BH125" s="893"/>
      <c r="BI125" s="893"/>
      <c r="BJ125" s="893"/>
      <c r="BK125" s="897"/>
      <c r="BL125" s="897"/>
      <c r="BM125" s="897"/>
      <c r="BN125" s="893"/>
      <c r="BO125" s="897"/>
      <c r="BP125" s="897"/>
      <c r="BQ125" s="893"/>
      <c r="BR125" s="897"/>
      <c r="BS125" s="897"/>
      <c r="BT125" s="897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  <c r="CE125" s="897"/>
    </row>
    <row r="126" spans="4:83" ht="1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82"/>
        <v/>
      </c>
      <c r="M126" s="816" t="str">
        <f t="shared" si="83"/>
        <v/>
      </c>
      <c r="N126" s="816" t="str">
        <f t="shared" si="84"/>
        <v/>
      </c>
      <c r="R126" s="816" t="str">
        <f t="shared" si="85"/>
        <v/>
      </c>
      <c r="T126" s="829" t="str">
        <f t="shared" si="86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IF($J126="","",IF(SUM(IF(ISNUMBER(VALUE(RIGHT($AG126:$CJ126,1))),VALUE(RIGHT($AG126:$CJ126,1)),0))=$J126,"T","F"))</f>
        <v/>
      </c>
      <c r="AE126" s="816" t="str">
        <f t="array" ref="AE126">IF($J126="","",SUM(IF(LEFT($AG126:$DV126,1)="s",1,0))-SUM(IF(RIGHT(LEFT($AG126:$DV126,2))="-",1,0)))</f>
        <v/>
      </c>
      <c r="AF126" s="816" t="str">
        <f t="array" ref="AF126">IF($J126="","",SUM(IF(LEFT($AG126:$DB126,1)="X",1,0)))</f>
        <v/>
      </c>
      <c r="AG126" s="897"/>
      <c r="AH126" s="897"/>
      <c r="AI126" s="897"/>
      <c r="AJ126" s="893"/>
      <c r="AK126" s="897"/>
      <c r="AL126" s="897"/>
      <c r="AM126" s="897"/>
      <c r="AN126" s="897"/>
      <c r="AO126" s="897"/>
      <c r="AP126" s="897"/>
      <c r="AQ126" s="897"/>
      <c r="AR126" s="897"/>
      <c r="AS126" s="897"/>
      <c r="AT126" s="897"/>
      <c r="AU126" s="897"/>
      <c r="AV126" s="897"/>
      <c r="AW126" s="897"/>
      <c r="AX126" s="897"/>
      <c r="AY126" s="897"/>
      <c r="AZ126" s="897"/>
      <c r="BA126" s="897"/>
      <c r="BB126" s="897"/>
      <c r="BC126" s="897"/>
      <c r="BD126" s="897"/>
      <c r="BE126" s="893"/>
      <c r="BF126" s="893"/>
      <c r="BG126" s="893"/>
      <c r="BH126" s="893"/>
      <c r="BI126" s="893"/>
      <c r="BJ126" s="893"/>
      <c r="BK126" s="897"/>
      <c r="BL126" s="897"/>
      <c r="BM126" s="897"/>
      <c r="BN126" s="893"/>
      <c r="BO126" s="897"/>
      <c r="BP126" s="897"/>
      <c r="BQ126" s="893"/>
      <c r="BR126" s="897"/>
      <c r="BS126" s="897"/>
      <c r="BT126" s="897"/>
      <c r="BU126" s="897"/>
      <c r="BV126" s="897"/>
      <c r="BW126" s="897"/>
      <c r="BX126" s="897"/>
      <c r="BY126" s="897"/>
      <c r="BZ126" s="897"/>
      <c r="CA126" s="897"/>
      <c r="CB126" s="897"/>
      <c r="CC126" s="897"/>
      <c r="CD126" s="897"/>
      <c r="CE126" s="897"/>
    </row>
    <row r="127" spans="4:83" ht="15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82"/>
        <v/>
      </c>
      <c r="M127" s="816" t="str">
        <f t="shared" si="83"/>
        <v/>
      </c>
      <c r="N127" s="816" t="str">
        <f t="shared" si="84"/>
        <v/>
      </c>
      <c r="R127" s="816" t="str">
        <f t="shared" si="85"/>
        <v/>
      </c>
      <c r="T127" s="829" t="str">
        <f t="shared" si="86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IF($J127="","",IF(SUM(IF(ISNUMBER(VALUE(RIGHT($AG127:$CJ127,1))),VALUE(RIGHT($AG127:$CJ127,1)),0))=$J127,"T","F"))</f>
        <v/>
      </c>
      <c r="AE127" s="816" t="str">
        <f t="array" ref="AE127">IF($J127="","",SUM(IF(LEFT($AG127:$DV127,1)="s",1,0))-SUM(IF(RIGHT(LEFT($AG127:$DV127,2))="-",1,0)))</f>
        <v/>
      </c>
      <c r="AF127" s="816" t="str">
        <f t="array" ref="AF127">IF($J127="","",SUM(IF(LEFT($AG127:$DB127,1)="X",1,0)))</f>
        <v/>
      </c>
      <c r="AG127" s="897"/>
      <c r="AH127" s="897"/>
      <c r="AI127" s="897"/>
      <c r="AJ127" s="893"/>
      <c r="AK127" s="897"/>
      <c r="AL127" s="897"/>
      <c r="AM127" s="897"/>
      <c r="AN127" s="897"/>
      <c r="AO127" s="897"/>
      <c r="AP127" s="897"/>
      <c r="AQ127" s="897"/>
      <c r="AR127" s="897"/>
      <c r="AS127" s="897"/>
      <c r="AT127" s="897"/>
      <c r="AU127" s="897"/>
      <c r="AV127" s="897"/>
      <c r="AW127" s="897"/>
      <c r="AX127" s="897"/>
      <c r="AY127" s="897"/>
      <c r="AZ127" s="897"/>
      <c r="BA127" s="897"/>
      <c r="BB127" s="897"/>
      <c r="BC127" s="897"/>
      <c r="BD127" s="897"/>
      <c r="BE127" s="893"/>
      <c r="BF127" s="893"/>
      <c r="BG127" s="893"/>
      <c r="BH127" s="893"/>
      <c r="BI127" s="893"/>
      <c r="BJ127" s="893"/>
      <c r="BK127" s="897"/>
      <c r="BL127" s="897"/>
      <c r="BM127" s="897"/>
      <c r="BN127" s="893"/>
      <c r="BO127" s="897"/>
      <c r="BP127" s="897"/>
      <c r="BQ127" s="893"/>
      <c r="BR127" s="897"/>
      <c r="BS127" s="897"/>
      <c r="BT127" s="897"/>
      <c r="BU127" s="897"/>
      <c r="BV127" s="897"/>
      <c r="BW127" s="897"/>
      <c r="BX127" s="897"/>
      <c r="BY127" s="897"/>
      <c r="BZ127" s="897"/>
      <c r="CA127" s="897"/>
      <c r="CB127" s="897"/>
      <c r="CC127" s="897"/>
      <c r="CD127" s="897"/>
      <c r="CE127" s="897"/>
    </row>
    <row r="128" spans="4:83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82"/>
        <v/>
      </c>
      <c r="M128" s="816" t="str">
        <f t="shared" si="83"/>
        <v/>
      </c>
      <c r="N128" s="816" t="str">
        <f t="shared" si="84"/>
        <v/>
      </c>
      <c r="R128" s="816" t="str">
        <f t="shared" si="85"/>
        <v/>
      </c>
      <c r="T128" s="829" t="str">
        <f t="shared" si="86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IF($J128="","",IF(SUM(IF(ISNUMBER(VALUE(RIGHT($AG128:$CJ128,1))),VALUE(RIGHT($AG128:$CJ128,1)),0))=$J128,"T","F"))</f>
        <v/>
      </c>
      <c r="AE128" s="816" t="str">
        <f t="array" ref="AE128">IF($J128="","",SUM(IF(LEFT($AG128:$DV128,1)="s",1,0))-SUM(IF(RIGHT(LEFT($AG128:$DV128,2))="-",1,0)))</f>
        <v/>
      </c>
      <c r="AF128" s="816" t="str">
        <f t="array" ref="AF128">IF($J128="","",SUM(IF(LEFT($AG128:$DB128,1)="X",1,0)))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82"/>
        <v/>
      </c>
      <c r="M129" s="816" t="str">
        <f t="shared" si="83"/>
        <v/>
      </c>
      <c r="N129" s="816" t="str">
        <f t="shared" si="84"/>
        <v/>
      </c>
      <c r="R129" s="816" t="str">
        <f t="shared" si="85"/>
        <v/>
      </c>
      <c r="T129" s="829" t="str">
        <f t="shared" si="86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IF($J129="","",IF(SUM(IF(ISNUMBER(VALUE(RIGHT($AG129:$CJ129,1))),VALUE(RIGHT($AG129:$CJ129,1)),0))=$J129,"T","F"))</f>
        <v/>
      </c>
      <c r="AE129" s="816" t="str">
        <f t="array" ref="AE129">IF($J129="","",SUM(IF(LEFT($AG129:$DV129,1)="s",1,0))-SUM(IF(RIGHT(LEFT($AG129:$DV129,2))="-",1,0)))</f>
        <v/>
      </c>
      <c r="AF129" s="816" t="str">
        <f t="array" ref="AF129">IF($J129="","",SUM(IF(LEFT($AG129:$DB129,1)="X",1,0)))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82"/>
        <v/>
      </c>
      <c r="M130" s="816" t="str">
        <f t="shared" si="83"/>
        <v/>
      </c>
      <c r="N130" s="816" t="str">
        <f t="shared" si="84"/>
        <v/>
      </c>
      <c r="R130" s="816" t="str">
        <f t="shared" si="85"/>
        <v/>
      </c>
      <c r="T130" s="829" t="str">
        <f t="shared" si="86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IF($J130="","",IF(SUM(IF(ISNUMBER(VALUE(RIGHT($AG130:$CJ130,1))),VALUE(RIGHT($AG130:$CJ130,1)),0))=$J130,"T","F"))</f>
        <v/>
      </c>
      <c r="AE130" s="816" t="str">
        <f t="array" ref="AE130">IF($J130="","",SUM(IF(LEFT($AG130:$DV130,1)="s",1,0))-SUM(IF(RIGHT(LEFT($AG130:$DV130,2))="-",1,0)))</f>
        <v/>
      </c>
      <c r="AF130" s="816" t="str">
        <f t="array" ref="AF130">IF($J130="","",SUM(IF(LEFT($AG130:$DB130,1)="X",1,0)))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82"/>
        <v/>
      </c>
      <c r="M131" s="816" t="str">
        <f t="shared" si="83"/>
        <v/>
      </c>
      <c r="N131" s="816" t="str">
        <f t="shared" si="84"/>
        <v/>
      </c>
      <c r="R131" s="816" t="str">
        <f t="shared" si="85"/>
        <v/>
      </c>
      <c r="T131" s="829" t="str">
        <f t="shared" si="86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IF($J131="","",IF(SUM(IF(ISNUMBER(VALUE(RIGHT($AG131:$CJ131,1))),VALUE(RIGHT($AG131:$CJ131,1)),0))=$J131,"T","F"))</f>
        <v/>
      </c>
      <c r="AE131" s="816" t="str">
        <f t="array" ref="AE131">IF($J131="","",SUM(IF(LEFT($AG131:$DV131,1)="s",1,0))-SUM(IF(RIGHT(LEFT($AG131:$DV131,2))="-",1,0)))</f>
        <v/>
      </c>
      <c r="AF131" s="816" t="str">
        <f t="array" ref="AF131">IF($J131="","",SUM(IF(LEFT($AG131:$DB131,1)="X",1,0)))</f>
        <v/>
      </c>
    </row>
    <row r="132" spans="4:32">
      <c r="D132" s="816" t="str">
        <f>IF(I132=Table!$C$1,VLOOKUP(G132,Table!$B$38:$AO$61,Table!$AO$35-1,FALSE),"")</f>
        <v/>
      </c>
      <c r="E132" s="816" t="s">
        <v>32</v>
      </c>
      <c r="F132" s="816" t="str">
        <f>IF(I132="","",IF(I132=Table!$C$1,VLOOKUP(G132,Table!$B$9:$AE$32,Table!$AE$6-1,FALSE),""))</f>
        <v/>
      </c>
      <c r="G132" s="833"/>
      <c r="H132" s="833"/>
      <c r="I132" s="833"/>
      <c r="J132" s="833"/>
      <c r="K132" s="833"/>
      <c r="L132" s="816" t="str">
        <f t="shared" si="82"/>
        <v/>
      </c>
      <c r="M132" s="816" t="str">
        <f t="shared" si="83"/>
        <v/>
      </c>
      <c r="N132" s="816" t="str">
        <f t="shared" si="84"/>
        <v/>
      </c>
      <c r="R132" s="816" t="str">
        <f t="shared" si="85"/>
        <v/>
      </c>
      <c r="T132" s="829" t="str">
        <f t="shared" si="86"/>
        <v/>
      </c>
      <c r="U132" s="829"/>
      <c r="V132" s="829"/>
      <c r="W132" s="829"/>
      <c r="X132" s="829"/>
      <c r="Y132" s="829"/>
      <c r="Z132" s="829"/>
      <c r="AA132" s="829"/>
      <c r="AB132" s="829"/>
      <c r="AC132" s="829"/>
      <c r="AD132" s="816" t="str">
        <f t="array" ref="AD132">IF($J132="","",IF(SUM(IF(ISNUMBER(VALUE(RIGHT($AG132:$CJ132,1))),VALUE(RIGHT($AG132:$CJ132,1)),0))=$J132,"T","F"))</f>
        <v/>
      </c>
      <c r="AE132" s="816" t="str">
        <f t="array" ref="AE132">IF($J132="","",SUM(IF(LEFT($AG132:$DV132,1)="s",1,0))-SUM(IF(RIGHT(LEFT($AG132:$DV132,2))="-",1,0)))</f>
        <v/>
      </c>
      <c r="AF132" s="816" t="str">
        <f t="array" ref="AF132">IF($J132="","",SUM(IF(LEFT($AG132:$DB132,1)="X",1,0)))</f>
        <v/>
      </c>
    </row>
    <row r="133" spans="4:32">
      <c r="D133" s="816" t="str">
        <f>IF(I133=Table!$C$1,VLOOKUP(G133,Table!$B$38:$AO$61,Table!$AO$35-1,FALSE),"")</f>
        <v/>
      </c>
      <c r="E133" s="816" t="s">
        <v>32</v>
      </c>
      <c r="F133" s="816" t="str">
        <f>IF(I133="","",IF(I133=Table!$C$1,VLOOKUP(G133,Table!$B$9:$AE$32,Table!$AE$6-1,FALSE),""))</f>
        <v/>
      </c>
      <c r="G133" s="833"/>
      <c r="H133" s="833"/>
      <c r="I133" s="833"/>
      <c r="J133" s="833"/>
      <c r="K133" s="833"/>
      <c r="L133" s="816" t="str">
        <f t="shared" si="82"/>
        <v/>
      </c>
      <c r="M133" s="816" t="str">
        <f t="shared" si="83"/>
        <v/>
      </c>
      <c r="N133" s="816" t="str">
        <f t="shared" si="84"/>
        <v/>
      </c>
      <c r="R133" s="816" t="str">
        <f t="shared" si="85"/>
        <v/>
      </c>
      <c r="T133" s="829" t="str">
        <f t="shared" si="86"/>
        <v/>
      </c>
      <c r="U133" s="829"/>
      <c r="V133" s="829"/>
      <c r="W133" s="829"/>
      <c r="X133" s="829"/>
      <c r="Y133" s="829"/>
      <c r="Z133" s="829"/>
      <c r="AA133" s="829"/>
      <c r="AB133" s="829"/>
      <c r="AC133" s="829"/>
      <c r="AD133" s="816" t="str">
        <f t="array" ref="AD133">IF($J133="","",IF(SUM(IF(ISNUMBER(VALUE(RIGHT($AG133:$CJ133,1))),VALUE(RIGHT($AG133:$CJ133,1)),0))=$J133,"T","F"))</f>
        <v/>
      </c>
      <c r="AE133" s="816" t="str">
        <f t="array" ref="AE133">IF($J133="","",SUM(IF(LEFT($AG133:$DV133,1)="s",1,0))-SUM(IF(RIGHT(LEFT($AG133:$DV133,2))="-",1,0)))</f>
        <v/>
      </c>
      <c r="AF133" s="816" t="str">
        <f t="array" ref="AF133">IF($J133="","",SUM(IF(LEFT($AG133:$DB133,1)="X",1,0)))</f>
        <v/>
      </c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  <row r="239" spans="7:29">
      <c r="G239" s="833"/>
      <c r="H239" s="833"/>
      <c r="I239" s="833"/>
      <c r="J239" s="833"/>
      <c r="K239" s="833"/>
      <c r="T239" s="829"/>
      <c r="U239" s="829"/>
      <c r="V239" s="829"/>
      <c r="W239" s="829"/>
      <c r="X239" s="829"/>
      <c r="Y239" s="829"/>
      <c r="Z239" s="829"/>
      <c r="AA239" s="829"/>
      <c r="AB239" s="829"/>
      <c r="AC239" s="829"/>
    </row>
    <row r="240" spans="7:29">
      <c r="G240" s="833"/>
      <c r="H240" s="833"/>
      <c r="I240" s="833"/>
      <c r="J240" s="833"/>
      <c r="K240" s="833"/>
      <c r="T240" s="829"/>
      <c r="U240" s="829"/>
      <c r="V240" s="829"/>
      <c r="W240" s="829"/>
      <c r="X240" s="829"/>
      <c r="Y240" s="829"/>
      <c r="Z240" s="829"/>
      <c r="AA240" s="829"/>
      <c r="AB240" s="829"/>
      <c r="AC240" s="829"/>
    </row>
  </sheetData>
  <autoFilter ref="A22:DH80"/>
  <mergeCells count="3">
    <mergeCell ref="W19:X19"/>
    <mergeCell ref="Y19:Z19"/>
    <mergeCell ref="AA19:AB19"/>
  </mergeCells>
  <phoneticPr fontId="21" type="noConversion"/>
  <conditionalFormatting sqref="AD23:AD310">
    <cfRule type="cellIs" dxfId="543" priority="48" operator="equal">
      <formula>"T"</formula>
    </cfRule>
  </conditionalFormatting>
  <conditionalFormatting sqref="N23:N310">
    <cfRule type="cellIs" dxfId="542" priority="55" stopIfTrue="1" operator="equal">
      <formula>"U"</formula>
    </cfRule>
    <cfRule type="cellIs" dxfId="541" priority="56" stopIfTrue="1" operator="equal">
      <formula>"O"</formula>
    </cfRule>
  </conditionalFormatting>
  <conditionalFormatting sqref="L23:L310">
    <cfRule type="cellIs" dxfId="540" priority="53" stopIfTrue="1" operator="equal">
      <formula>"W"</formula>
    </cfRule>
    <cfRule type="cellIs" dxfId="539" priority="54" stopIfTrue="1" operator="equal">
      <formula>"D"</formula>
    </cfRule>
  </conditionalFormatting>
  <conditionalFormatting sqref="AF23:AF310">
    <cfRule type="cellIs" dxfId="538" priority="51" stopIfTrue="1" operator="notEqual">
      <formula>11</formula>
    </cfRule>
    <cfRule type="cellIs" dxfId="537" priority="52" stopIfTrue="1" operator="between">
      <formula>0</formula>
      <formula>20</formula>
    </cfRule>
  </conditionalFormatting>
  <conditionalFormatting sqref="AE23:AE310">
    <cfRule type="cellIs" dxfId="536" priority="49" stopIfTrue="1" operator="notEqual">
      <formula>0</formula>
    </cfRule>
    <cfRule type="cellIs" dxfId="535" priority="50" stopIfTrue="1" operator="between">
      <formula>0</formula>
      <formula>20</formula>
    </cfRule>
  </conditionalFormatting>
  <conditionalFormatting sqref="CG19:CX19">
    <cfRule type="expression" dxfId="534" priority="44">
      <formula>CG19="G"</formula>
    </cfRule>
    <cfRule type="expression" dxfId="533" priority="45">
      <formula>CG19="M"</formula>
    </cfRule>
    <cfRule type="expression" dxfId="532" priority="46">
      <formula>CG19="D"</formula>
    </cfRule>
    <cfRule type="expression" dxfId="531" priority="47">
      <formula>CG19="A"</formula>
    </cfRule>
  </conditionalFormatting>
  <conditionalFormatting sqref="BL19:CF19 AG19:BG19 BJ19">
    <cfRule type="expression" dxfId="530" priority="40">
      <formula>AG19="G"</formula>
    </cfRule>
    <cfRule type="expression" dxfId="529" priority="41">
      <formula>OR(AG19="M",AG19="CM",AG19="LM",AG19="RM",AG19="DM",AG19="AM")</formula>
    </cfRule>
    <cfRule type="expression" dxfId="528" priority="42">
      <formula>OR(AG19="D",AG19="CB",AG19="LB",AG19="RB")</formula>
    </cfRule>
    <cfRule type="expression" dxfId="527" priority="43">
      <formula>OR(AG19="A",AG19="CF",AG19="SS",AG19="ST",AG19="RW",AG19="LW")</formula>
    </cfRule>
  </conditionalFormatting>
  <conditionalFormatting sqref="BL23:BW40 BL45:BW48 BL43:BN44 BP43:BW44 BL41:BN41 BP41:BW41 BO41:BO44 AT41:AT42 BK49:BW70 BK49:BP74 AG23:BG41 BJ23:BJ41 BG43:BG48 BG49:BI74 BJ43:BJ74 BG72:BJ72 AG43:BF74">
    <cfRule type="expression" dxfId="526" priority="38">
      <formula>IF(ISNUMBER(VALUE(RIGHT(AG23,1))),1,0)</formula>
    </cfRule>
  </conditionalFormatting>
  <conditionalFormatting sqref="BY16:CE16 BP16:BT16 AG16:BG16 BJ16">
    <cfRule type="top10" dxfId="525" priority="57" stopIfTrue="1" rank="5"/>
  </conditionalFormatting>
  <conditionalFormatting sqref="BY15:CE15 BP15:BT15 AG15:BG15 BJ15">
    <cfRule type="top10" dxfId="524" priority="58" rank="11"/>
  </conditionalFormatting>
  <conditionalFormatting sqref="BY17:CE17 BP17:BT17 AG17:BG17 BJ17">
    <cfRule type="top10" dxfId="523" priority="59" stopIfTrue="1" rank="5"/>
  </conditionalFormatting>
  <conditionalFormatting sqref="BY14:CE14 BP14:BT14 AG14:BG14 BJ14">
    <cfRule type="top10" dxfId="522" priority="60" rank="11"/>
  </conditionalFormatting>
  <conditionalFormatting sqref="BK72:BM72">
    <cfRule type="expression" dxfId="521" priority="35">
      <formula>IF(ISNUMBER(VALUE(RIGHT(BK72,1))),1,0)</formula>
    </cfRule>
  </conditionalFormatting>
  <conditionalFormatting sqref="AG19:BG19 BJ19">
    <cfRule type="cellIs" dxfId="520" priority="23" operator="equal">
      <formula>"M"</formula>
    </cfRule>
  </conditionalFormatting>
  <conditionalFormatting sqref="AG19:BG19 BJ19">
    <cfRule type="cellIs" dxfId="519" priority="22" operator="equal">
      <formula>"D"</formula>
    </cfRule>
  </conditionalFormatting>
  <conditionalFormatting sqref="AG19:BG19 BJ19">
    <cfRule type="cellIs" dxfId="518" priority="20" operator="equal">
      <formula>"G"</formula>
    </cfRule>
    <cfRule type="cellIs" dxfId="517" priority="21" operator="equal">
      <formula>"A"</formula>
    </cfRule>
  </conditionalFormatting>
  <conditionalFormatting sqref="AG19:BG19 BJ19">
    <cfRule type="containsText" dxfId="516" priority="17" operator="containsText" text="FW">
      <formula>NOT(ISERROR(SEARCH("FW",AG19)))</formula>
    </cfRule>
    <cfRule type="containsText" dxfId="515" priority="18" operator="containsText" text="MF">
      <formula>NOT(ISERROR(SEARCH("MF",AG19)))</formula>
    </cfRule>
    <cfRule type="containsText" dxfId="514" priority="19" operator="containsText" text="DF">
      <formula>NOT(ISERROR(SEARCH("DF",AG19)))</formula>
    </cfRule>
  </conditionalFormatting>
  <conditionalFormatting sqref="BH16:BI16 BK16:BO16">
    <cfRule type="top10" dxfId="513" priority="24" stopIfTrue="1" rank="5"/>
  </conditionalFormatting>
  <conditionalFormatting sqref="BH15:BI15 BK15:BO15">
    <cfRule type="top10" dxfId="512" priority="25" rank="11"/>
  </conditionalFormatting>
  <conditionalFormatting sqref="BH17:BI17 BK17:BO17">
    <cfRule type="top10" dxfId="511" priority="26" stopIfTrue="1" rank="5"/>
  </conditionalFormatting>
  <conditionalFormatting sqref="BH14:BI14 BK14:BO14">
    <cfRule type="top10" dxfId="510" priority="27" rank="11"/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$I23:$I242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76B94783-285C-4D4A-8E7F-A5C6CB6F4D9C}">
            <xm:f>IF(ISNUMBER(VALUE(RIGHT('Fagiano Okayama'!AM42,1))),1,0)</xm:f>
            <x14:dxf>
              <font>
                <b/>
                <i val="0"/>
                <color rgb="FF00B0F0"/>
              </font>
            </x14:dxf>
          </x14:cfRule>
          <xm:sqref>AM42:AS42</xm:sqref>
        </x14:conditionalFormatting>
        <x14:conditionalFormatting xmlns:xm="http://schemas.microsoft.com/office/excel/2006/main">
          <x14:cfRule type="expression" priority="1" id="{E5B94679-B735-43EB-89FD-64445A641761}">
            <xm:f>IF(ISNUMBER(VALUE(RIGHT('V-Varen Nagasaki'!BA42,1))),1,0)</xm:f>
            <x14:dxf>
              <font>
                <b/>
                <i val="0"/>
                <color rgb="FF00B0F0"/>
              </font>
            </x14:dxf>
          </x14:cfRule>
          <xm:sqref>BP42:BV42 BK42:BN42 AZ42:BF42</xm:sqref>
        </x14:conditionalFormatting>
        <x14:conditionalFormatting xmlns:xm="http://schemas.microsoft.com/office/excel/2006/main">
          <x14:cfRule type="expression" priority="530" id="{E5B94679-B735-43EB-89FD-64445A641761}">
            <xm:f>IF(ISNUMBER(VALUE(RIGHT('V-Varen Nagasaki'!BJ42,1))),1,0)</xm:f>
            <x14:dxf>
              <font>
                <b/>
                <i val="0"/>
                <color rgb="FF00B0F0"/>
              </font>
            </x14:dxf>
          </x14:cfRule>
          <xm:sqref>BG42</xm:sqref>
        </x14:conditionalFormatting>
        <x14:conditionalFormatting xmlns:xm="http://schemas.microsoft.com/office/excel/2006/main">
          <x14:cfRule type="expression" priority="733" id="{E5B94679-B735-43EB-89FD-64445A641761}">
            <xm:f>IF(ISNUMBER(VALUE(RIGHT('V-Varen Nagasaki'!BI42,1))),1,0)</xm:f>
            <x14:dxf>
              <font>
                <b/>
                <i val="0"/>
                <color rgb="FF00B0F0"/>
              </font>
            </x14:dxf>
          </x14:cfRule>
          <xm:sqref>BJ42</xm:sqref>
        </x14:conditionalFormatting>
        <x14:conditionalFormatting xmlns:xm="http://schemas.microsoft.com/office/excel/2006/main">
          <x14:cfRule type="expression" priority="1052" id="{E5B94679-B735-43EB-89FD-64445A641761}">
            <xm:f>IF(ISNUMBER(VALUE(RIGHT('V-Varen Nagasaki'!BJ42,1))),1,0)</xm:f>
            <x14:dxf>
              <font>
                <b/>
                <i val="0"/>
                <color rgb="FF00B0F0"/>
              </font>
            </x14:dxf>
          </x14:cfRule>
          <xm:sqref>BH42:BI42</xm:sqref>
        </x14:conditionalFormatting>
        <x14:conditionalFormatting xmlns:xm="http://schemas.microsoft.com/office/excel/2006/main">
          <x14:cfRule type="expression" priority="1139" id="{E5B94679-B735-43EB-89FD-64445A641761}">
            <xm:f>IF(ISNUMBER(VALUE(RIGHT('V-Varen Nagasaki'!AG42,1))),1,0)</xm:f>
            <x14:dxf>
              <font>
                <b/>
                <i val="0"/>
                <color rgb="FF00B0F0"/>
              </font>
            </x14:dxf>
          </x14:cfRule>
          <xm:sqref>AG42:AL42 AU42:AY42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DR235"/>
  <sheetViews>
    <sheetView zoomScale="90" zoomScaleNormal="90" workbookViewId="0">
      <pane xSplit="32" ySplit="22" topLeftCell="AN41" activePane="bottomRight" state="frozen"/>
      <selection activeCell="AX21" sqref="AX21"/>
      <selection pane="topRight" activeCell="AX21" sqref="AX21"/>
      <selection pane="bottomLeft" activeCell="AX21" sqref="AX21"/>
      <selection pane="bottomRight" activeCell="BC34" sqref="BC34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47" width="3.75" style="230" customWidth="1"/>
    <col min="48" max="49" width="3.75" bestFit="1" customWidth="1"/>
    <col min="50" max="56" width="3.75" style="230" customWidth="1"/>
    <col min="57" max="57" width="4" customWidth="1"/>
    <col min="58" max="64" width="3.75" style="230" customWidth="1"/>
    <col min="65" max="65" width="3.75" bestFit="1" customWidth="1"/>
    <col min="66" max="66" width="3.75" customWidth="1"/>
    <col min="67" max="67" width="3.75" style="230" customWidth="1"/>
    <col min="68" max="68" width="3.75" bestFit="1" customWidth="1"/>
    <col min="69" max="69" width="3.75" style="230" customWidth="1"/>
    <col min="70" max="70" width="3.75" bestFit="1" customWidth="1"/>
    <col min="71" max="103" width="3.75" style="230" customWidth="1"/>
    <col min="104" max="16384" width="5.75" style="230"/>
  </cols>
  <sheetData>
    <row r="1" spans="1:91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e">
        <f>#REF!</f>
        <v>#REF!</v>
      </c>
      <c r="AH1" s="814" t="e">
        <f>#REF!</f>
        <v>#REF!</v>
      </c>
      <c r="AI1" s="814" t="e">
        <f>#REF!</f>
        <v>#REF!</v>
      </c>
      <c r="AJ1" s="814" t="e">
        <f>#REF!</f>
        <v>#REF!</v>
      </c>
      <c r="AK1" s="814" t="e">
        <f>#REF!</f>
        <v>#REF!</v>
      </c>
      <c r="AL1" s="814"/>
      <c r="AM1" s="814" t="str">
        <f>AG20</f>
        <v>Takuya Masuda</v>
      </c>
      <c r="AN1" s="814"/>
      <c r="AO1" s="814" t="str">
        <f>AI20</f>
        <v>Tatsuro Okuda</v>
      </c>
      <c r="AP1" s="814"/>
      <c r="AQ1" s="814" t="str">
        <f>AK20</f>
        <v>Masakazu Tashiro</v>
      </c>
      <c r="AR1" s="814" t="str">
        <f>AL20</f>
        <v>Ryota Takasugi</v>
      </c>
      <c r="AS1" s="814" t="e">
        <f>#REF!</f>
        <v>#REF!</v>
      </c>
      <c r="AT1" s="814" t="str">
        <f>AN20</f>
        <v>Daichi Inui</v>
      </c>
      <c r="AU1" s="814" t="str">
        <f>AO20</f>
        <v>Fumitaka Kitatani</v>
      </c>
      <c r="AX1" s="814" t="str">
        <f>AR20</f>
        <v>Ryutaro Iio</v>
      </c>
      <c r="AY1" s="814">
        <f>BU20</f>
        <v>0</v>
      </c>
      <c r="AZ1" s="814"/>
      <c r="BA1" s="814" t="str">
        <f>AT20</f>
        <v>Shuto Kono</v>
      </c>
      <c r="BB1" s="814" t="str">
        <f>BM20</f>
        <v>Yu Kimura</v>
      </c>
      <c r="BC1" s="814"/>
      <c r="BD1" s="814"/>
      <c r="BF1" s="814" t="str">
        <f>AM20</f>
        <v>Daichi Tagami</v>
      </c>
      <c r="BG1" s="814"/>
      <c r="BH1" s="814"/>
      <c r="BI1" s="814"/>
      <c r="BJ1" s="814"/>
      <c r="BK1" s="814"/>
      <c r="BL1" s="814"/>
      <c r="BO1" s="814" t="str">
        <f>BJ20</f>
        <v>Junki Hata</v>
      </c>
      <c r="BQ1" s="814" t="e">
        <f>#REF!</f>
        <v>#REF!</v>
      </c>
      <c r="BS1" s="814">
        <f>BS20</f>
        <v>0</v>
      </c>
      <c r="BT1" s="814">
        <f>BT20</f>
        <v>0</v>
      </c>
      <c r="BU1" s="814" t="e">
        <f>#REF!</f>
        <v>#REF!</v>
      </c>
      <c r="BV1" s="814"/>
      <c r="BW1" s="814"/>
      <c r="BX1" s="814"/>
      <c r="BY1" s="814"/>
      <c r="BZ1" s="814">
        <f t="shared" ref="BZ1:CM1" si="0">BZ20</f>
        <v>0</v>
      </c>
      <c r="CA1" s="814">
        <f t="shared" si="0"/>
        <v>0</v>
      </c>
      <c r="CB1" s="814">
        <f t="shared" si="0"/>
        <v>0</v>
      </c>
      <c r="CC1" s="814">
        <f t="shared" si="0"/>
        <v>0</v>
      </c>
      <c r="CD1" s="814">
        <f t="shared" si="0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  <c r="CM1" s="814">
        <f t="shared" si="0"/>
        <v>0</v>
      </c>
    </row>
    <row r="2" spans="1:91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SUM(IF(L$23:L$237="",0,1)*IF(ISBLANK($T$1),1,IF($I$23:$I$237=$T$1,1,0)))</f>
        <v>43</v>
      </c>
      <c r="AG2" s="874">
        <f t="array" ref="AG2">SUM(IF(ISBLANK(AG$24:AG$237),0,IF(AG$24:AG$237="susp",0,1))*IF(ISBLANK($T$1),1,IF($I$23:$I$237=$T$1,1,0)))</f>
        <v>42</v>
      </c>
      <c r="AH2" s="874">
        <f t="array" ref="AH2">SUM(IF(ISBLANK(AH$24:AH$237),0,IF(AH$24:AH$237="susp",0,1))*IF(ISBLANK($T$1),1,IF($I$23:$I$237=$T$1,1,0)))</f>
        <v>42</v>
      </c>
      <c r="AI2" s="874">
        <f t="array" ref="AI2">SUM(IF(ISBLANK(AI$24:AI$237),0,IF(AI$24:AI$237="susp",0,1))*IF(ISBLANK($T$1),1,IF($I$23:$I$237=$T$1,1,0)))</f>
        <v>41</v>
      </c>
      <c r="AJ2" s="874">
        <f t="array" ref="AJ2">SUM(IF(ISBLANK(AJ$24:AJ$237),0,IF(AJ$24:AJ$237="susp",0,1))*IF(ISBLANK($T$1),1,IF($I$23:$I$237=$T$1,1,0)))</f>
        <v>41</v>
      </c>
      <c r="AK2" s="874">
        <f t="array" ref="AK2">SUM(IF(ISBLANK(AK$24:AK$237),0,IF(AK$24:AK$237="susp",0,1))*IF(ISBLANK($T$1),1,IF($I$23:$I$237=$T$1,1,0)))</f>
        <v>42</v>
      </c>
      <c r="AM2" s="874">
        <f t="array" ref="AM2">SUM(IF(ISBLANK(AM$23:AM$237),0,IF(AM$23:AM$237="susp",0,1))*IF(ISBLANK($T$1),1,IF($I$23:$I$237=$T$1,1,0)))</f>
        <v>42</v>
      </c>
      <c r="AO2" s="874">
        <f t="array" ref="AO2">SUM(IF(ISBLANK(AO$23:AO$237),0,IF(AO$23:AO$237="susp",0,1))*IF(ISBLANK($T$1),1,IF($I$23:$I$237=$T$1,1,0)))</f>
        <v>43</v>
      </c>
      <c r="AQ2" s="874">
        <f t="array" ref="AQ2">SUM(IF(ISBLANK(AQ$23:AQ$237),0,IF(AQ$23:AQ$237="susp",0,1))*IF(ISBLANK($T$1),1,IF($I$23:$I$237=$T$1,1,0)))</f>
        <v>43</v>
      </c>
      <c r="AR2" s="874">
        <f t="array" ref="AR2">SUM(IF(ISBLANK(AR$23:AR$237),0,IF(AR$23:AR$237="susp",0,1))*IF(ISBLANK($T$1),1,IF($I$23:$I$237=$T$1,1,0)))</f>
        <v>43</v>
      </c>
      <c r="AS2" s="874">
        <f t="array" ref="AS2">SUM(IF(ISBLANK(AS$23:AS$237),0,IF(AS$23:AS$237="susp",0,1))*IF(ISBLANK($T$1),1,IF($I$23:$I$237=$T$1,1,0)))</f>
        <v>43</v>
      </c>
      <c r="AT2" s="874">
        <f t="array" ref="AT2">SUM(IF(ISBLANK(AT$23:AT$237),0,IF(AT$23:AT$237="susp",0,1))*IF(ISBLANK($T$1),1,IF($I$23:$I$237=$T$1,1,0)))</f>
        <v>42</v>
      </c>
      <c r="AU2" s="874">
        <f t="array" ref="AU2">SUM(IF(ISBLANK(AU$31:AU$237),0,IF(AU$31:AU$237="susp",0,1))*IF(ISBLANK($T$1),1,IF($I$23:$I$237=$T$1,1,0)))</f>
        <v>34</v>
      </c>
      <c r="AX2" s="874">
        <f t="array" ref="AX2">SUM(IF(ISBLANK(AX$23:AX$237),0,IF(AX$23:AX$237="susp",0,1))*IF(ISBLANK($T$1),1,IF($I$23:$I$237=$T$1,1,0)))</f>
        <v>43</v>
      </c>
      <c r="AY2" s="874">
        <f t="array" ref="AY2">SUM(IF(ISBLANK(AY$23:AY$237),0,IF(AY$23:AY$237="susp",0,1))*IF(ISBLANK($T$1),1,IF($I$23:$I$237=$T$1,1,0)))</f>
        <v>43</v>
      </c>
      <c r="BA2" s="874">
        <f t="array" ref="BA2">SUM(IF(ISBLANK(BA$23:BA$237),0,IF(BA$23:BA$237="susp",0,1))*IF(ISBLANK($T$1),1,IF($I$23:$I$237=$T$1,1,0)))</f>
        <v>43</v>
      </c>
      <c r="BB2" s="874">
        <f t="array" ref="BB2">SUM(IF(ISBLANK(BB$23:BB$237),0,IF(BB$23:BB$237="susp",0,1))*IF(ISBLANK($T$1),1,IF($I$23:$I$237=$T$1,1,0)))</f>
        <v>43</v>
      </c>
      <c r="BF2" s="874">
        <f t="array" ref="BF2">SUM(IF(ISBLANK(BF$23:BF$237),0,IF(BF$23:BF$237="susp",0,1))*IF(ISBLANK($T$1),1,IF($I$23:$I$237=$T$1,1,0)))</f>
        <v>43</v>
      </c>
      <c r="BO2" s="874">
        <f t="array" ref="BO2">SUM(IF(ISBLANK(BO$23:BO$237),0,IF(BO$23:BO$237="susp",0,1))*IF(ISBLANK($T$1),1,IF($I$23:$I$237=$T$1,1,0)))</f>
        <v>1</v>
      </c>
      <c r="BQ2" s="874">
        <f t="array" ref="BQ2">SUM(IF(ISBLANK(BQ$68:BQ$237),0,IF(BQ$68:BQ$237="susp",0,1))*IF(ISBLANK($T$1),1,IF($I$23:$I$237=$T$1,1,0)))</f>
        <v>0</v>
      </c>
      <c r="BS2" s="874">
        <f t="array" ref="BS2">SUM(IF(ISBLANK(BS$23:BS$237),0,IF(BS$23:BS$237="susp",0,1))*IF(ISBLANK($T$1),1,IF($I$23:$I$237=$T$1,1,0)))</f>
        <v>1</v>
      </c>
      <c r="BT2" s="874">
        <f t="array" ref="BT2">SUM(IF(ISBLANK(BT$23:BT$237),0,IF(BT$23:BT$237="susp",0,1))*IF(ISBLANK($T$1),1,IF($I$23:$I$237=$T$1,1,0)))</f>
        <v>1</v>
      </c>
      <c r="BU2" s="874">
        <f t="array" ref="BU2">SUM(IF(ISBLANK(BU$40:BU$237),0,IF(BU$40:BU$237="susp",0,1))*IF(ISBLANK($T$1),1,IF($I$23:$I$237=$T$1,1,0)))</f>
        <v>1</v>
      </c>
      <c r="BZ2" s="874">
        <f t="array" ref="BZ2">SUM(IF(ISBLANK(BZ$23:BZ$237),0,IF(BZ$23:BZ$237="susp",0,1))*IF(ISBLANK($T$1),1,IF($I$23:$I$237=$T$1,1,0)))</f>
        <v>1</v>
      </c>
      <c r="CA2" s="874">
        <f t="array" ref="CA2">SUM(IF(ISBLANK(CA$23:CA$237),0,IF(CA$23:CA$237="susp",0,1))*IF(ISBLANK($T$1),1,IF($I$23:$I$237=$T$1,1,0)))</f>
        <v>0</v>
      </c>
      <c r="CB2" s="874">
        <f t="array" ref="CB2">SUM(IF(ISBLANK(CB$23:CB$237),0,IF(CB$23:CB$237="susp",0,1))*IF(ISBLANK($T$1),1,IF($I$23:$I$237=$T$1,1,0)))</f>
        <v>0</v>
      </c>
      <c r="CC2" s="874">
        <f t="array" ref="CC2">SUM(IF(ISBLANK(CC$23:CC$237),0,IF(CC$23:CC$237="susp",0,1))*IF(ISBLANK($T$1),1,IF($I$23:$I$237=$T$1,1,0)))</f>
        <v>0</v>
      </c>
      <c r="CD2" s="874">
        <f t="array" ref="CD2">SUM(IF(ISBLANK(CD$23:CD$237),0,IF(CD$23:CD$237="susp",0,1))*IF(ISBLANK($T$1),1,IF($I$23:$I$237=$T$1,1,0)))</f>
        <v>0</v>
      </c>
      <c r="CE2" s="874">
        <f t="array" ref="CE2">SUM(IF(ISBLANK(CE$23:CE$237),0,IF(CE$23:CE$237="susp",0,1))*IF(ISBLANK($T$1),1,IF($I$23:$I$237=$T$1,1,0)))</f>
        <v>0</v>
      </c>
      <c r="CF2" s="874">
        <f t="array" ref="CF2">SUM(IF(ISBLANK(CF$23:CF$237),0,IF(CF$23:CF$237="susp",0,1))*IF(ISBLANK($T$1),1,IF($I$23:$I$237=$T$1,1,0)))</f>
        <v>0</v>
      </c>
      <c r="CG2" s="874">
        <f t="array" ref="CG2">SUM(IF(ISBLANK(CG$23:CG$237),0,IF(CG$23:CG$237="susp",0,1))*IF(ISBLANK($T$1),1,IF($I$23:$I$237=$T$1,1,0)))</f>
        <v>0</v>
      </c>
      <c r="CH2" s="874">
        <f t="array" ref="CH2">SUM(IF(ISBLANK(CH$23:CH$237),0,IF(CH$23:CH$237="susp",0,1))*IF(ISBLANK($T$1),1,IF($I$23:$I$237=$T$1,1,0)))</f>
        <v>0</v>
      </c>
      <c r="CI2" s="874">
        <f t="array" ref="CI2">SUM(IF(ISBLANK(CI$23:CI$237),0,IF(CI$23:CI$237="susp",0,1))*IF(ISBLANK($T$1),1,IF($I$23:$I$237=$T$1,1,0)))</f>
        <v>0</v>
      </c>
      <c r="CJ2" s="874">
        <f t="array" ref="CJ2">SUM(IF(ISBLANK(CJ$23:CJ$237),0,IF(CJ$23:CJ$237="susp",0,1))*IF(ISBLANK($T$1),1,IF($I$23:$I$237=$T$1,1,0)))</f>
        <v>0</v>
      </c>
      <c r="CK2" s="874">
        <f t="array" ref="CK2">SUM(IF(ISBLANK(CK$23:CK$237),0,IF(CK$23:CK$237="susp",0,1))*IF(ISBLANK($T$1),1,IF($I$23:$I$237=$T$1,1,0)))</f>
        <v>16</v>
      </c>
      <c r="CL2" s="874">
        <f t="array" ref="CL2">SUM(IF(ISBLANK(CL$23:CL$237),0,IF(CL$23:CL$237="susp",0,1))*IF(ISBLANK($T$1),1,IF($I$23:$I$237=$T$1,1,0)))</f>
        <v>16</v>
      </c>
      <c r="CM2" s="874">
        <f t="array" ref="CM2">SUM(IF(ISBLANK(CM$23:CM$237),0,IF(CM$23:CM$237="susp",0,1))*IF(ISBLANK($T$1),1,IF($I$23:$I$237=$T$1,1,0)))</f>
        <v>15</v>
      </c>
    </row>
    <row r="3" spans="1:91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SUM(IF(L$23:L$237="W",1,0)*IF(ISBLANK($T$1),1,IF($I$23:$I$237=$T$1,1,0)))</f>
        <v>24</v>
      </c>
      <c r="AG3" s="874" t="e">
        <f t="array" ref="AG3">SUM(IF(ISTEXT(AG$24:AG$237),1,0)*IF(($L$23:$L$237)="W",1,0)*IF(ISBLANK($T$1),1,IF($I$23:$I$237=$T$1,1,0)))</f>
        <v>#N/A</v>
      </c>
      <c r="AH3" s="874" t="e">
        <f t="array" ref="AH3">SUM(IF(ISTEXT(AH$24:AH$237),1,0)*IF(($L$23:$L$237)="W",1,0)*IF(ISBLANK($T$1),1,IF($I$23:$I$237=$T$1,1,0)))</f>
        <v>#N/A</v>
      </c>
      <c r="AI3" s="874" t="e">
        <f t="array" ref="AI3">SUM(IF(ISTEXT(AI$24:AI$237),1,0)*IF(($L$23:$L$237)="W",1,0)*IF(ISBLANK($T$1),1,IF($I$23:$I$237=$T$1,1,0)))</f>
        <v>#N/A</v>
      </c>
      <c r="AJ3" s="874" t="e">
        <f t="array" ref="AJ3">SUM(IF(ISTEXT(AJ$24:AJ$237),1,0)*IF(($L$23:$L$237)="W",1,0)*IF(ISBLANK($T$1),1,IF($I$23:$I$237=$T$1,1,0)))</f>
        <v>#N/A</v>
      </c>
      <c r="AK3" s="874" t="e">
        <f t="array" ref="AK3">SUM(IF(ISTEXT(AK$24:AK$237),1,0)*IF(($L$23:$L$237)="W",1,0)*IF(ISBLANK($T$1),1,IF($I$23:$I$237=$T$1,1,0)))</f>
        <v>#N/A</v>
      </c>
      <c r="AM3" s="874">
        <f t="array" ref="AM3">SUM(IF(ISTEXT(AM$23:AM$237),1,0)*IF(($L$23:$L$237)="W",1,0)*IF(ISBLANK($T$1),1,IF($I$23:$I$237=$T$1,1,0)))</f>
        <v>23</v>
      </c>
      <c r="AO3" s="874">
        <f t="array" ref="AO3">SUM(IF(ISTEXT(AO$23:AO$237),1,0)*IF(($L$23:$L$237)="W",1,0)*IF(ISBLANK($T$1),1,IF($I$23:$I$237=$T$1,1,0)))</f>
        <v>24</v>
      </c>
      <c r="AQ3" s="874">
        <f t="array" ref="AQ3">SUM(IF(ISTEXT(AQ$23:AQ$237),1,0)*IF(($L$23:$L$237)="W",1,0)*IF(ISBLANK($T$1),1,IF($I$23:$I$237=$T$1,1,0)))</f>
        <v>24</v>
      </c>
      <c r="AR3" s="874">
        <f t="array" ref="AR3">SUM(IF(ISTEXT(AR$23:AR$237),1,0)*IF(($L$23:$L$237)="W",1,0)*IF(ISBLANK($T$1),1,IF($I$23:$I$237=$T$1,1,0)))</f>
        <v>24</v>
      </c>
      <c r="AS3" s="874">
        <f t="array" ref="AS3">SUM(IF(ISTEXT(AS$23:AS$237),1,0)*IF(($L$23:$L$237)="W",1,0)*IF(ISBLANK($T$1),1,IF($I$23:$I$237=$T$1,1,0)))</f>
        <v>24</v>
      </c>
      <c r="AT3" s="874">
        <f t="array" ref="AT3">SUM(IF(ISTEXT(AT$23:AT$237),1,0)*IF(($L$23:$L$237)="W",1,0)*IF(ISBLANK($T$1),1,IF($I$23:$I$237=$T$1,1,0)))</f>
        <v>23</v>
      </c>
      <c r="AU3" s="874" t="e">
        <f t="array" ref="AU3">SUM(IF(ISTEXT(AU$31:AU$237),1,0)*IF(($L$23:$L$237)="W",1,0)*IF(ISBLANK($T$1),1,IF($I$23:$I$237=$T$1,1,0)))</f>
        <v>#N/A</v>
      </c>
      <c r="AX3" s="874">
        <f t="array" ref="AX3">SUM(IF(ISTEXT(AX$23:AX$237),1,0)*IF(($L$23:$L$237)="W",1,0)*IF(ISBLANK($T$1),1,IF($I$23:$I$237=$T$1,1,0)))</f>
        <v>24</v>
      </c>
      <c r="AY3" s="874">
        <f t="array" ref="AY3">SUM(IF(ISTEXT(AY$23:AY$237),1,0)*IF(($L$23:$L$237)="W",1,0)*IF(ISBLANK($T$1),1,IF($I$23:$I$237=$T$1,1,0)))</f>
        <v>24</v>
      </c>
      <c r="BA3" s="874">
        <f t="array" ref="BA3">SUM(IF(ISTEXT(BA$23:BA$237),1,0)*IF(($L$23:$L$237)="W",1,0)*IF(ISBLANK($T$1),1,IF($I$23:$I$237=$T$1,1,0)))</f>
        <v>24</v>
      </c>
      <c r="BB3" s="874">
        <f t="array" ref="BB3">SUM(IF(ISTEXT(BB$23:BB$237),1,0)*IF(($L$23:$L$237)="W",1,0)*IF(ISBLANK($T$1),1,IF($I$23:$I$237=$T$1,1,0)))</f>
        <v>24</v>
      </c>
      <c r="BF3" s="874">
        <f t="array" ref="BF3">SUM(IF(ISTEXT(BF$23:BF$237),1,0)*IF(($L$23:$L$237)="W",1,0)*IF(ISBLANK($T$1),1,IF($I$23:$I$237=$T$1,1,0)))</f>
        <v>24</v>
      </c>
      <c r="BO3" s="874">
        <f t="array" ref="BO3">SUM(IF(ISTEXT(BO$23:BO$237),1,0)*IF(($L$23:$L$237)="W",1,0)*IF(ISBLANK($T$1),1,IF($I$23:$I$237=$T$1,1,0)))</f>
        <v>0</v>
      </c>
      <c r="BQ3" s="874" t="e">
        <f t="array" ref="BQ3">SUM(IF(ISTEXT(BQ$68:BQ$237),1,0)*IF(($L$23:$L$237)="W",1,0)*IF(ISBLANK($T$1),1,IF($I$23:$I$237=$T$1,1,0)))</f>
        <v>#N/A</v>
      </c>
      <c r="BS3" s="874">
        <f t="array" ref="BS3">SUM(IF(ISTEXT(BS$23:BS$237),1,0)*IF(($L$23:$L$237)="W",1,0)*IF(ISBLANK($T$1),1,IF($I$23:$I$237=$T$1,1,0)))</f>
        <v>0</v>
      </c>
      <c r="BT3" s="874">
        <f t="array" ref="BT3">SUM(IF(ISTEXT(BT$23:BT$237),1,0)*IF(($L$23:$L$237)="W",1,0)*IF(ISBLANK($T$1),1,IF($I$23:$I$237=$T$1,1,0)))</f>
        <v>0</v>
      </c>
      <c r="BU3" s="874" t="e">
        <f t="array" ref="BU3">SUM(IF(ISTEXT(BU$40:BU$237),1,0)*IF(($L$23:$L$237)="W",1,0)*IF(ISBLANK($T$1),1,IF($I$23:$I$237=$T$1,1,0)))</f>
        <v>#N/A</v>
      </c>
      <c r="BZ3" s="874">
        <f t="array" ref="BZ3">SUM(IF(ISTEXT(BZ$23:BZ$237),1,0)*IF(($L$23:$L$237)="W",1,0)*IF(ISBLANK($T$1),1,IF($I$23:$I$237=$T$1,1,0)))</f>
        <v>0</v>
      </c>
      <c r="CA3" s="874">
        <f t="array" ref="CA3">SUM(IF(ISTEXT(CA$23:CA$237),1,0)*IF(($L$23:$L$237)="W",1,0)*IF(ISBLANK($T$1),1,IF($I$23:$I$237=$T$1,1,0)))</f>
        <v>0</v>
      </c>
      <c r="CB3" s="874">
        <f t="array" ref="CB3">SUM(IF(ISTEXT(CB$23:CB$237),1,0)*IF(($L$23:$L$237)="W",1,0)*IF(ISBLANK($T$1),1,IF($I$23:$I$237=$T$1,1,0)))</f>
        <v>0</v>
      </c>
      <c r="CC3" s="874">
        <f t="array" ref="CC3">SUM(IF(ISTEXT(CC$23:CC$237),1,0)*IF(($L$23:$L$237)="W",1,0)*IF(ISBLANK($T$1),1,IF($I$23:$I$237=$T$1,1,0)))</f>
        <v>0</v>
      </c>
      <c r="CD3" s="874">
        <f t="array" ref="CD3">SUM(IF(ISTEXT(CD$23:CD$237),1,0)*IF(($L$23:$L$237)="W",1,0)*IF(ISBLANK($T$1),1,IF($I$23:$I$237=$T$1,1,0)))</f>
        <v>0</v>
      </c>
      <c r="CE3" s="874">
        <f t="array" ref="CE3">SUM(IF(ISTEXT(CE$23:CE$237),1,0)*IF(($L$23:$L$237)="W",1,0)*IF(ISBLANK($T$1),1,IF($I$23:$I$237=$T$1,1,0)))</f>
        <v>0</v>
      </c>
      <c r="CF3" s="874">
        <f t="array" ref="CF3">SUM(IF(ISTEXT(CF$23:CF$237),1,0)*IF(($L$23:$L$237)="W",1,0)*IF(ISBLANK($T$1),1,IF($I$23:$I$237=$T$1,1,0)))</f>
        <v>0</v>
      </c>
      <c r="CG3" s="874">
        <f t="array" ref="CG3">SUM(IF(ISTEXT(CG$23:CG$237),1,0)*IF(($L$23:$L$237)="W",1,0)*IF(ISBLANK($T$1),1,IF($I$23:$I$237=$T$1,1,0)))</f>
        <v>0</v>
      </c>
      <c r="CH3" s="874">
        <f t="array" ref="CH3">SUM(IF(ISTEXT(CH$23:CH$237),1,0)*IF(($L$23:$L$237)="W",1,0)*IF(ISBLANK($T$1),1,IF($I$23:$I$237=$T$1,1,0)))</f>
        <v>0</v>
      </c>
      <c r="CI3" s="874">
        <f t="array" ref="CI3">SUM(IF(ISTEXT(CI$23:CI$237),1,0)*IF(($L$23:$L$237)="W",1,0)*IF(ISBLANK($T$1),1,IF($I$23:$I$237=$T$1,1,0)))</f>
        <v>0</v>
      </c>
      <c r="CJ3" s="874">
        <f t="array" ref="CJ3">SUM(IF(ISTEXT(CJ$23:CJ$237),1,0)*IF(($L$23:$L$237)="W",1,0)*IF(ISBLANK($T$1),1,IF($I$23:$I$237=$T$1,1,0)))</f>
        <v>0</v>
      </c>
      <c r="CK3" s="874">
        <f t="array" ref="CK3">SUM(IF(ISTEXT(CK$23:CK$237),1,0)*IF(($L$23:$L$237)="W",1,0)*IF(ISBLANK($T$1),1,IF($I$23:$I$237=$T$1,1,0)))</f>
        <v>8</v>
      </c>
      <c r="CL3" s="874">
        <f t="array" ref="CL3">SUM(IF(ISTEXT(CL$23:CL$237),1,0)*IF(($L$23:$L$237)="W",1,0)*IF(ISBLANK($T$1),1,IF($I$23:$I$237=$T$1,1,0)))</f>
        <v>8</v>
      </c>
      <c r="CM3" s="874">
        <f t="array" ref="CM3">SUM(IF(ISTEXT(CM$23:CM$237),1,0)*IF(($L$23:$L$237)="W",1,0)*IF(ISBLANK($T$1),1,IF($I$23:$I$237=$T$1,1,0)))</f>
        <v>7</v>
      </c>
    </row>
    <row r="4" spans="1:91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SUM(IF(L$23:L$237="D",1,0)*IF(ISBLANK($T$1),1,IF($I$23:$I$237=$T$1,1,0)))</f>
        <v>9</v>
      </c>
      <c r="AG4" s="874" t="e">
        <f t="array" ref="AG4">SUM(IF(ISTEXT(AG$24:AG$237),1,0)*IF(($L$23:$L$237)="D",1,0)*IF(ISBLANK($T$1),1,IF($I$23:$I$237=$T$1,1,0)))</f>
        <v>#N/A</v>
      </c>
      <c r="AH4" s="874" t="e">
        <f t="array" ref="AH4">SUM(IF(ISTEXT(AH$24:AH$237),1,0)*IF(($L$23:$L$237)="D",1,0)*IF(ISBLANK($T$1),1,IF($I$23:$I$237=$T$1,1,0)))</f>
        <v>#N/A</v>
      </c>
      <c r="AI4" s="874" t="e">
        <f t="array" ref="AI4">SUM(IF(ISTEXT(AI$24:AI$237),1,0)*IF(($L$23:$L$237)="D",1,0)*IF(ISBLANK($T$1),1,IF($I$23:$I$237=$T$1,1,0)))</f>
        <v>#N/A</v>
      </c>
      <c r="AJ4" s="874" t="e">
        <f t="array" ref="AJ4">SUM(IF(ISTEXT(AJ$24:AJ$237),1,0)*IF(($L$23:$L$237)="D",1,0)*IF(ISBLANK($T$1),1,IF($I$23:$I$237=$T$1,1,0)))</f>
        <v>#N/A</v>
      </c>
      <c r="AK4" s="874" t="e">
        <f t="array" ref="AK4">SUM(IF(ISTEXT(AK$24:AK$237),1,0)*IF(($L$23:$L$237)="D",1,0)*IF(ISBLANK($T$1),1,IF($I$23:$I$237=$T$1,1,0)))</f>
        <v>#N/A</v>
      </c>
      <c r="AM4" s="874">
        <f t="array" ref="AM4">SUM(IF(ISTEXT(AM$23:AM$237),1,0)*IF(($L$23:$L$237)="D",1,0)*IF(ISBLANK($T$1),1,IF($I$23:$I$237=$T$1,1,0)))</f>
        <v>9</v>
      </c>
      <c r="AO4" s="874">
        <f t="array" ref="AO4">SUM(IF(ISTEXT(AO$23:AO$237),1,0)*IF(($L$23:$L$237)="D",1,0)*IF(ISBLANK($T$1),1,IF($I$23:$I$237=$T$1,1,0)))</f>
        <v>9</v>
      </c>
      <c r="AQ4" s="874">
        <f t="array" ref="AQ4">SUM(IF(ISTEXT(AQ$23:AQ$237),1,0)*IF(($L$23:$L$237)="D",1,0)*IF(ISBLANK($T$1),1,IF($I$23:$I$237=$T$1,1,0)))</f>
        <v>9</v>
      </c>
      <c r="AR4" s="874">
        <f t="array" ref="AR4">SUM(IF(ISTEXT(AR$23:AR$237),1,0)*IF(($L$23:$L$237)="D",1,0)*IF(ISBLANK($T$1),1,IF($I$23:$I$237=$T$1,1,0)))</f>
        <v>9</v>
      </c>
      <c r="AS4" s="874">
        <f t="array" ref="AS4">SUM(IF(ISTEXT(AS$23:AS$237),1,0)*IF(($L$23:$L$237)="D",1,0)*IF(ISBLANK($T$1),1,IF($I$23:$I$237=$T$1,1,0)))</f>
        <v>9</v>
      </c>
      <c r="AT4" s="874">
        <f t="array" ref="AT4">SUM(IF(ISTEXT(AT$23:AT$237),1,0)*IF(($L$23:$L$237)="D",1,0)*IF(ISBLANK($T$1),1,IF($I$23:$I$237=$T$1,1,0)))</f>
        <v>9</v>
      </c>
      <c r="AU4" s="874" t="e">
        <f t="array" ref="AU4">SUM(IF(ISTEXT(AU$31:AU$237),1,0)*IF(($L$23:$L$237)="D",1,0)*IF(ISBLANK($T$1),1,IF($I$23:$I$237=$T$1,1,0)))</f>
        <v>#N/A</v>
      </c>
      <c r="AX4" s="874">
        <f t="array" ref="AX4">SUM(IF(ISTEXT(AX$23:AX$237),1,0)*IF(($L$23:$L$237)="D",1,0)*IF(ISBLANK($T$1),1,IF($I$23:$I$237=$T$1,1,0)))</f>
        <v>9</v>
      </c>
      <c r="AY4" s="874">
        <f t="array" ref="AY4">SUM(IF(ISTEXT(AY$23:AY$237),1,0)*IF(($L$23:$L$237)="D",1,0)*IF(ISBLANK($T$1),1,IF($I$23:$I$237=$T$1,1,0)))</f>
        <v>9</v>
      </c>
      <c r="BA4" s="874">
        <f t="array" ref="BA4">SUM(IF(ISTEXT(BA$23:BA$237),1,0)*IF(($L$23:$L$237)="D",1,0)*IF(ISBLANK($T$1),1,IF($I$23:$I$237=$T$1,1,0)))</f>
        <v>9</v>
      </c>
      <c r="BB4" s="874">
        <f t="array" ref="BB4">SUM(IF(ISTEXT(BB$23:BB$237),1,0)*IF(($L$23:$L$237)="D",1,0)*IF(ISBLANK($T$1),1,IF($I$23:$I$237=$T$1,1,0)))</f>
        <v>9</v>
      </c>
      <c r="BF4" s="874">
        <f t="array" ref="BF4">SUM(IF(ISTEXT(BF$23:BF$237),1,0)*IF(($L$23:$L$237)="D",1,0)*IF(ISBLANK($T$1),1,IF($I$23:$I$237=$T$1,1,0)))</f>
        <v>9</v>
      </c>
      <c r="BO4" s="874">
        <f t="array" ref="BO4">SUM(IF(ISTEXT(BO$23:BO$237),1,0)*IF(($L$23:$L$237)="D",1,0)*IF(ISBLANK($T$1),1,IF($I$23:$I$237=$T$1,1,0)))</f>
        <v>0</v>
      </c>
      <c r="BQ4" s="874" t="e">
        <f t="array" ref="BQ4">SUM(IF(ISTEXT(BQ$68:BQ$237),1,0)*IF(($L$23:$L$237)="D",1,0)*IF(ISBLANK($T$1),1,IF($I$23:$I$237=$T$1,1,0)))</f>
        <v>#N/A</v>
      </c>
      <c r="BS4" s="874">
        <f t="array" ref="BS4">SUM(IF(ISTEXT(BS$23:BS$237),1,0)*IF(($L$23:$L$237)="D",1,0)*IF(ISBLANK($T$1),1,IF($I$23:$I$237=$T$1,1,0)))</f>
        <v>0</v>
      </c>
      <c r="BT4" s="874">
        <f t="array" ref="BT4">SUM(IF(ISTEXT(BT$23:BT$237),1,0)*IF(($L$23:$L$237)="D",1,0)*IF(ISBLANK($T$1),1,IF($I$23:$I$237=$T$1,1,0)))</f>
        <v>0</v>
      </c>
      <c r="BU4" s="874" t="e">
        <f t="array" ref="BU4">SUM(IF(ISTEXT(BU$40:BU$237),1,0)*IF(($L$23:$L$237)="D",1,0)*IF(ISBLANK($T$1),1,IF($I$23:$I$237=$T$1,1,0)))</f>
        <v>#N/A</v>
      </c>
      <c r="BZ4" s="874">
        <f t="array" ref="BZ4">SUM(IF(ISTEXT(BZ$23:BZ$237),1,0)*IF(($L$23:$L$237)="D",1,0)*IF(ISBLANK($T$1),1,IF($I$23:$I$237=$T$1,1,0)))</f>
        <v>0</v>
      </c>
      <c r="CA4" s="874">
        <f t="array" ref="CA4">SUM(IF(ISTEXT(CA$23:CA$237),1,0)*IF(($L$23:$L$237)="D",1,0)*IF(ISBLANK($T$1),1,IF($I$23:$I$237=$T$1,1,0)))</f>
        <v>0</v>
      </c>
      <c r="CB4" s="874">
        <f t="array" ref="CB4">SUM(IF(ISTEXT(CB$23:CB$237),1,0)*IF(($L$23:$L$237)="D",1,0)*IF(ISBLANK($T$1),1,IF($I$23:$I$237=$T$1,1,0)))</f>
        <v>0</v>
      </c>
      <c r="CC4" s="874">
        <f t="array" ref="CC4">SUM(IF(ISTEXT(CC$23:CC$237),1,0)*IF(($L$23:$L$237)="D",1,0)*IF(ISBLANK($T$1),1,IF($I$23:$I$237=$T$1,1,0)))</f>
        <v>0</v>
      </c>
      <c r="CD4" s="874">
        <f t="array" ref="CD4">SUM(IF(ISTEXT(CD$23:CD$237),1,0)*IF(($L$23:$L$237)="D",1,0)*IF(ISBLANK($T$1),1,IF($I$23:$I$237=$T$1,1,0)))</f>
        <v>0</v>
      </c>
      <c r="CE4" s="874">
        <f t="array" ref="CE4">SUM(IF(ISTEXT(CE$23:CE$237),1,0)*IF(($L$23:$L$237)="D",1,0)*IF(ISBLANK($T$1),1,IF($I$23:$I$237=$T$1,1,0)))</f>
        <v>0</v>
      </c>
      <c r="CF4" s="874">
        <f t="array" ref="CF4">SUM(IF(ISTEXT(CF$23:CF$237),1,0)*IF(($L$23:$L$237)="D",1,0)*IF(ISBLANK($T$1),1,IF($I$23:$I$237=$T$1,1,0)))</f>
        <v>0</v>
      </c>
      <c r="CG4" s="874">
        <f t="array" ref="CG4">SUM(IF(ISTEXT(CG$23:CG$237),1,0)*IF(($L$23:$L$237)="D",1,0)*IF(ISBLANK($T$1),1,IF($I$23:$I$237=$T$1,1,0)))</f>
        <v>0</v>
      </c>
      <c r="CH4" s="874">
        <f t="array" ref="CH4">SUM(IF(ISTEXT(CH$23:CH$237),1,0)*IF(($L$23:$L$237)="D",1,0)*IF(ISBLANK($T$1),1,IF($I$23:$I$237=$T$1,1,0)))</f>
        <v>0</v>
      </c>
      <c r="CI4" s="874">
        <f t="array" ref="CI4">SUM(IF(ISTEXT(CI$23:CI$237),1,0)*IF(($L$23:$L$237)="D",1,0)*IF(ISBLANK($T$1),1,IF($I$23:$I$237=$T$1,1,0)))</f>
        <v>0</v>
      </c>
      <c r="CJ4" s="874">
        <f t="array" ref="CJ4">SUM(IF(ISTEXT(CJ$23:CJ$237),1,0)*IF(($L$23:$L$237)="D",1,0)*IF(ISBLANK($T$1),1,IF($I$23:$I$237=$T$1,1,0)))</f>
        <v>0</v>
      </c>
      <c r="CK4" s="874">
        <f t="array" ref="CK4">SUM(IF(ISTEXT(CK$23:CK$237),1,0)*IF(($L$23:$L$237)="D",1,0)*IF(ISBLANK($T$1),1,IF($I$23:$I$237=$T$1,1,0)))</f>
        <v>4</v>
      </c>
      <c r="CL4" s="874">
        <f t="array" ref="CL4">SUM(IF(ISTEXT(CL$23:CL$237),1,0)*IF(($L$23:$L$237)="D",1,0)*IF(ISBLANK($T$1),1,IF($I$23:$I$237=$T$1,1,0)))</f>
        <v>4</v>
      </c>
      <c r="CM4" s="874">
        <f t="array" ref="CM4">SUM(IF(ISTEXT(CM$23:CM$237),1,0)*IF(($L$23:$L$237)="D",1,0)*IF(ISBLANK($T$1),1,IF($I$23:$I$237=$T$1,1,0)))</f>
        <v>4</v>
      </c>
    </row>
    <row r="5" spans="1:91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SUM(IF(L$23:L$237="L",1,0)*IF(ISBLANK($T$1),1,IF($I$23:$I$237=$T$1,1,0)))</f>
        <v>10</v>
      </c>
      <c r="AG5" s="874" t="e">
        <f t="array" ref="AG5">SUM(IF(ISTEXT(AG$24:AG$237),1,0)*IF(($L$23:$L$237)="L",1,0)*IF(ISBLANK($T$1),1,IF($I$23:$I$237=$T$1,1,0)))</f>
        <v>#N/A</v>
      </c>
      <c r="AH5" s="874" t="e">
        <f t="array" ref="AH5">SUM(IF(ISTEXT(AH$24:AH$237),1,0)*IF(($L$23:$L$237)="L",1,0)*IF(ISBLANK($T$1),1,IF($I$23:$I$237=$T$1,1,0)))</f>
        <v>#N/A</v>
      </c>
      <c r="AI5" s="874" t="e">
        <f t="array" ref="AI5">SUM(IF(ISTEXT(AI$24:AI$237),1,0)*IF(($L$23:$L$237)="L",1,0)*IF(ISBLANK($T$1),1,IF($I$23:$I$237=$T$1,1,0)))</f>
        <v>#N/A</v>
      </c>
      <c r="AJ5" s="874" t="e">
        <f t="array" ref="AJ5">SUM(IF(ISTEXT(AJ$24:AJ$237),1,0)*IF(($L$23:$L$237)="L",1,0)*IF(ISBLANK($T$1),1,IF($I$23:$I$237=$T$1,1,0)))</f>
        <v>#N/A</v>
      </c>
      <c r="AK5" s="874" t="e">
        <f t="array" ref="AK5">SUM(IF(ISTEXT(AK$24:AK$237),1,0)*IF(($L$23:$L$237)="L",1,0)*IF(ISBLANK($T$1),1,IF($I$23:$I$237=$T$1,1,0)))</f>
        <v>#N/A</v>
      </c>
      <c r="AM5" s="874">
        <f t="array" ref="AM5">SUM(IF(ISTEXT(AM$23:AM$237),1,0)*IF(($L$23:$L$237)="L",1,0)*IF(ISBLANK($T$1),1,IF($I$23:$I$237=$T$1,1,0)))</f>
        <v>10</v>
      </c>
      <c r="AO5" s="874">
        <f t="array" ref="AO5">SUM(IF(ISTEXT(AO$23:AO$237),1,0)*IF(($L$23:$L$237)="L",1,0)*IF(ISBLANK($T$1),1,IF($I$23:$I$237=$T$1,1,0)))</f>
        <v>10</v>
      </c>
      <c r="AQ5" s="874">
        <f t="array" ref="AQ5">SUM(IF(ISTEXT(AQ$23:AQ$237),1,0)*IF(($L$23:$L$237)="L",1,0)*IF(ISBLANK($T$1),1,IF($I$23:$I$237=$T$1,1,0)))</f>
        <v>10</v>
      </c>
      <c r="AR5" s="874">
        <f t="array" ref="AR5">SUM(IF(ISTEXT(AR$23:AR$237),1,0)*IF(($L$23:$L$237)="L",1,0)*IF(ISBLANK($T$1),1,IF($I$23:$I$237=$T$1,1,0)))</f>
        <v>10</v>
      </c>
      <c r="AS5" s="874">
        <f t="array" ref="AS5">SUM(IF(ISTEXT(AS$23:AS$237),1,0)*IF(($L$23:$L$237)="L",1,0)*IF(ISBLANK($T$1),1,IF($I$23:$I$237=$T$1,1,0)))</f>
        <v>10</v>
      </c>
      <c r="AT5" s="874">
        <f t="array" ref="AT5">SUM(IF(ISTEXT(AT$23:AT$237),1,0)*IF(($L$23:$L$237)="L",1,0)*IF(ISBLANK($T$1),1,IF($I$23:$I$237=$T$1,1,0)))</f>
        <v>10</v>
      </c>
      <c r="AU5" s="874" t="e">
        <f t="array" ref="AU5">SUM(IF(ISTEXT(AU$31:AU$237),1,0)*IF(($L$23:$L$237)="L",1,0)*IF(ISBLANK($T$1),1,IF($I$23:$I$237=$T$1,1,0)))</f>
        <v>#N/A</v>
      </c>
      <c r="AX5" s="874">
        <f t="array" ref="AX5">SUM(IF(ISTEXT(AX$23:AX$237),1,0)*IF(($L$23:$L$237)="L",1,0)*IF(ISBLANK($T$1),1,IF($I$23:$I$237=$T$1,1,0)))</f>
        <v>10</v>
      </c>
      <c r="AY5" s="874">
        <f t="array" ref="AY5">SUM(IF(ISTEXT(AY$23:AY$237),1,0)*IF(($L$23:$L$237)="L",1,0)*IF(ISBLANK($T$1),1,IF($I$23:$I$237=$T$1,1,0)))</f>
        <v>10</v>
      </c>
      <c r="BA5" s="874">
        <f t="array" ref="BA5">SUM(IF(ISTEXT(BA$23:BA$237),1,0)*IF(($L$23:$L$237)="L",1,0)*IF(ISBLANK($T$1),1,IF($I$23:$I$237=$T$1,1,0)))</f>
        <v>10</v>
      </c>
      <c r="BB5" s="874">
        <f t="array" ref="BB5">SUM(IF(ISTEXT(BB$23:BB$237),1,0)*IF(($L$23:$L$237)="L",1,0)*IF(ISBLANK($T$1),1,IF($I$23:$I$237=$T$1,1,0)))</f>
        <v>10</v>
      </c>
      <c r="BF5" s="874">
        <f t="array" ref="BF5">SUM(IF(ISTEXT(BF$23:BF$237),1,0)*IF(($L$23:$L$237)="L",1,0)*IF(ISBLANK($T$1),1,IF($I$23:$I$237=$T$1,1,0)))</f>
        <v>10</v>
      </c>
      <c r="BO5" s="874">
        <f t="array" ref="BO5">SUM(IF(ISTEXT(BO$23:BO$237),1,0)*IF(($L$23:$L$237)="L",1,0)*IF(ISBLANK($T$1),1,IF($I$23:$I$237=$T$1,1,0)))</f>
        <v>1</v>
      </c>
      <c r="BQ5" s="874" t="e">
        <f t="array" ref="BQ5">SUM(IF(ISTEXT(BQ$68:BQ$237),1,0)*IF(($L$23:$L$237)="L",1,0)*IF(ISBLANK($T$1),1,IF($I$23:$I$237=$T$1,1,0)))</f>
        <v>#N/A</v>
      </c>
      <c r="BS5" s="874">
        <f t="array" ref="BS5">SUM(IF(ISTEXT(BS$23:BS$237),1,0)*IF(($L$23:$L$237)="L",1,0)*IF(ISBLANK($T$1),1,IF($I$23:$I$237=$T$1,1,0)))</f>
        <v>1</v>
      </c>
      <c r="BT5" s="874">
        <f t="array" ref="BT5">SUM(IF(ISTEXT(BT$23:BT$237),1,0)*IF(($L$23:$L$237)="L",1,0)*IF(ISBLANK($T$1),1,IF($I$23:$I$237=$T$1,1,0)))</f>
        <v>1</v>
      </c>
      <c r="BU5" s="874" t="e">
        <f t="array" ref="BU5">SUM(IF(ISTEXT(BU$40:BU$237),1,0)*IF(($L$23:$L$237)="L",1,0)*IF(ISBLANK($T$1),1,IF($I$23:$I$237=$T$1,1,0)))</f>
        <v>#N/A</v>
      </c>
      <c r="BZ5" s="874">
        <f t="array" ref="BZ5">SUM(IF(ISTEXT(BZ$23:BZ$237),1,0)*IF(($L$23:$L$237)="L",1,0)*IF(ISBLANK($T$1),1,IF($I$23:$I$237=$T$1,1,0)))</f>
        <v>1</v>
      </c>
      <c r="CA5" s="874">
        <f t="array" ref="CA5">SUM(IF(ISTEXT(CA$23:CA$237),1,0)*IF(($L$23:$L$237)="L",1,0)*IF(ISBLANK($T$1),1,IF($I$23:$I$237=$T$1,1,0)))</f>
        <v>0</v>
      </c>
      <c r="CB5" s="874">
        <f t="array" ref="CB5">SUM(IF(ISTEXT(CB$23:CB$237),1,0)*IF(($L$23:$L$237)="L",1,0)*IF(ISBLANK($T$1),1,IF($I$23:$I$237=$T$1,1,0)))</f>
        <v>0</v>
      </c>
      <c r="CC5" s="874">
        <f t="array" ref="CC5">SUM(IF(ISTEXT(CC$23:CC$237),1,0)*IF(($L$23:$L$237)="L",1,0)*IF(ISBLANK($T$1),1,IF($I$23:$I$237=$T$1,1,0)))</f>
        <v>0</v>
      </c>
      <c r="CD5" s="874">
        <f t="array" ref="CD5">SUM(IF(ISTEXT(CD$23:CD$237),1,0)*IF(($L$23:$L$237)="L",1,0)*IF(ISBLANK($T$1),1,IF($I$23:$I$237=$T$1,1,0)))</f>
        <v>0</v>
      </c>
      <c r="CE5" s="874">
        <f t="array" ref="CE5">SUM(IF(ISTEXT(CE$23:CE$237),1,0)*IF(($L$23:$L$237)="L",1,0)*IF(ISBLANK($T$1),1,IF($I$23:$I$237=$T$1,1,0)))</f>
        <v>0</v>
      </c>
      <c r="CF5" s="874">
        <f t="array" ref="CF5">SUM(IF(ISTEXT(CF$23:CF$237),1,0)*IF(($L$23:$L$237)="L",1,0)*IF(ISBLANK($T$1),1,IF($I$23:$I$237=$T$1,1,0)))</f>
        <v>0</v>
      </c>
      <c r="CG5" s="874">
        <f t="array" ref="CG5">SUM(IF(ISTEXT(CG$23:CG$237),1,0)*IF(($L$23:$L$237)="L",1,0)*IF(ISBLANK($T$1),1,IF($I$23:$I$237=$T$1,1,0)))</f>
        <v>0</v>
      </c>
      <c r="CH5" s="874">
        <f t="array" ref="CH5">SUM(IF(ISTEXT(CH$23:CH$237),1,0)*IF(($L$23:$L$237)="L",1,0)*IF(ISBLANK($T$1),1,IF($I$23:$I$237=$T$1,1,0)))</f>
        <v>0</v>
      </c>
      <c r="CI5" s="874">
        <f t="array" ref="CI5">SUM(IF(ISTEXT(CI$23:CI$237),1,0)*IF(($L$23:$L$237)="L",1,0)*IF(ISBLANK($T$1),1,IF($I$23:$I$237=$T$1,1,0)))</f>
        <v>0</v>
      </c>
      <c r="CJ5" s="874">
        <f t="array" ref="CJ5">SUM(IF(ISTEXT(CJ$23:CJ$237),1,0)*IF(($L$23:$L$237)="L",1,0)*IF(ISBLANK($T$1),1,IF($I$23:$I$237=$T$1,1,0)))</f>
        <v>0</v>
      </c>
      <c r="CK5" s="874">
        <f t="array" ref="CK5">SUM(IF(ISTEXT(CK$23:CK$237),1,0)*IF(($L$23:$L$237)="L",1,0)*IF(ISBLANK($T$1),1,IF($I$23:$I$237=$T$1,1,0)))</f>
        <v>4</v>
      </c>
      <c r="CL5" s="874">
        <f t="array" ref="CL5">SUM(IF(ISTEXT(CL$23:CL$237),1,0)*IF(($L$23:$L$237)="L",1,0)*IF(ISBLANK($T$1),1,IF($I$23:$I$237=$T$1,1,0)))</f>
        <v>4</v>
      </c>
      <c r="CM5" s="874">
        <f t="array" ref="CM5">SUM(IF(ISTEXT(CM$23:CM$237),1,0)*IF(($L$23:$L$237)="L",1,0)*IF(ISBLANK($T$1),1,IF($I$23:$I$237=$T$1,1,0)))</f>
        <v>4</v>
      </c>
    </row>
    <row r="6" spans="1:91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 t="shared" ref="AF6:AK6" si="1">AF$3*3+AF$4</f>
        <v>81</v>
      </c>
      <c r="AG6" s="874" t="e">
        <f t="shared" si="1"/>
        <v>#N/A</v>
      </c>
      <c r="AH6" s="874" t="e">
        <f t="shared" si="1"/>
        <v>#N/A</v>
      </c>
      <c r="AI6" s="874" t="e">
        <f t="shared" si="1"/>
        <v>#N/A</v>
      </c>
      <c r="AJ6" s="874" t="e">
        <f t="shared" si="1"/>
        <v>#N/A</v>
      </c>
      <c r="AK6" s="874" t="e">
        <f t="shared" si="1"/>
        <v>#N/A</v>
      </c>
      <c r="AM6" s="874">
        <f>AM$3*3+AM$4</f>
        <v>78</v>
      </c>
      <c r="AO6" s="874">
        <f>AO$3*3+AO$4</f>
        <v>81</v>
      </c>
      <c r="AQ6" s="874">
        <f>AQ$3*3+AQ$4</f>
        <v>81</v>
      </c>
      <c r="AR6" s="874">
        <f>AR$3*3+AR$4</f>
        <v>81</v>
      </c>
      <c r="AS6" s="874">
        <f>AS$3*3+AS$4</f>
        <v>81</v>
      </c>
      <c r="AT6" s="874">
        <f>AT$3*3+AT$4</f>
        <v>78</v>
      </c>
      <c r="AU6" s="874" t="e">
        <f>AU$3*3+AU$4</f>
        <v>#N/A</v>
      </c>
      <c r="AX6" s="874">
        <f>AX$3*3+AX$4</f>
        <v>81</v>
      </c>
      <c r="AY6" s="874">
        <f>AY$3*3+AY$4</f>
        <v>81</v>
      </c>
      <c r="BA6" s="874">
        <f>BA$3*3+BA$4</f>
        <v>81</v>
      </c>
      <c r="BB6" s="874">
        <f>BB$3*3+BB$4</f>
        <v>81</v>
      </c>
      <c r="BF6" s="874">
        <f>BF$3*3+BF$4</f>
        <v>81</v>
      </c>
      <c r="BO6" s="874">
        <f>BO$3*3+BO$4</f>
        <v>0</v>
      </c>
      <c r="BQ6" s="874" t="e">
        <f>BQ$3*3+BQ$4</f>
        <v>#N/A</v>
      </c>
      <c r="BS6" s="874">
        <f>BS$3*3+BS$4</f>
        <v>0</v>
      </c>
      <c r="BT6" s="874">
        <f>BT$3*3+BT$4</f>
        <v>0</v>
      </c>
      <c r="BU6" s="874" t="e">
        <f>BU$3*3+BU$4</f>
        <v>#N/A</v>
      </c>
      <c r="BZ6" s="874">
        <f t="shared" ref="BZ6:CM6" si="2">BZ$3*3+BZ$4</f>
        <v>0</v>
      </c>
      <c r="CA6" s="874">
        <f t="shared" si="2"/>
        <v>0</v>
      </c>
      <c r="CB6" s="874">
        <f t="shared" si="2"/>
        <v>0</v>
      </c>
      <c r="CC6" s="874">
        <f t="shared" si="2"/>
        <v>0</v>
      </c>
      <c r="CD6" s="874">
        <f t="shared" si="2"/>
        <v>0</v>
      </c>
      <c r="CE6" s="874">
        <f t="shared" si="2"/>
        <v>0</v>
      </c>
      <c r="CF6" s="874">
        <f t="shared" si="2"/>
        <v>0</v>
      </c>
      <c r="CG6" s="874">
        <f t="shared" si="2"/>
        <v>0</v>
      </c>
      <c r="CH6" s="874">
        <f t="shared" si="2"/>
        <v>0</v>
      </c>
      <c r="CI6" s="874">
        <f t="shared" si="2"/>
        <v>0</v>
      </c>
      <c r="CJ6" s="874">
        <f t="shared" si="2"/>
        <v>0</v>
      </c>
      <c r="CK6" s="874">
        <f t="shared" si="2"/>
        <v>28</v>
      </c>
      <c r="CL6" s="874">
        <f t="shared" si="2"/>
        <v>28</v>
      </c>
      <c r="CM6" s="874">
        <f t="shared" si="2"/>
        <v>25</v>
      </c>
    </row>
    <row r="7" spans="1:91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AK7" si="3">AF6/AF2</f>
        <v>1.8837209302325582</v>
      </c>
      <c r="AG7" s="874" t="e">
        <f t="shared" si="3"/>
        <v>#N/A</v>
      </c>
      <c r="AH7" s="874" t="e">
        <f t="shared" si="3"/>
        <v>#N/A</v>
      </c>
      <c r="AI7" s="874" t="e">
        <f t="shared" si="3"/>
        <v>#N/A</v>
      </c>
      <c r="AJ7" s="874" t="e">
        <f t="shared" si="3"/>
        <v>#N/A</v>
      </c>
      <c r="AK7" s="874" t="e">
        <f t="shared" si="3"/>
        <v>#N/A</v>
      </c>
      <c r="AM7" s="874">
        <f>AM6/AM2</f>
        <v>1.8571428571428572</v>
      </c>
      <c r="AO7" s="874">
        <f>AO6/AO2</f>
        <v>1.8837209302325582</v>
      </c>
      <c r="AQ7" s="874">
        <f>AQ6/AQ2</f>
        <v>1.8837209302325582</v>
      </c>
      <c r="AR7" s="874">
        <f>AR6/AR2</f>
        <v>1.8837209302325582</v>
      </c>
      <c r="AS7" s="874">
        <f>AS6/AS2</f>
        <v>1.8837209302325582</v>
      </c>
      <c r="AT7" s="874">
        <f>AT6/AT2</f>
        <v>1.8571428571428572</v>
      </c>
      <c r="AU7" s="874" t="e">
        <f>AU6/AU2</f>
        <v>#N/A</v>
      </c>
      <c r="AX7" s="874">
        <f>AX6/AX2</f>
        <v>1.8837209302325582</v>
      </c>
      <c r="AY7" s="874">
        <f>AY6/AY2</f>
        <v>1.8837209302325582</v>
      </c>
      <c r="BA7" s="874">
        <f>BA6/BA2</f>
        <v>1.8837209302325582</v>
      </c>
      <c r="BB7" s="874">
        <f>BB6/BB2</f>
        <v>1.8837209302325582</v>
      </c>
      <c r="BF7" s="874">
        <f>BF6/BF2</f>
        <v>1.8837209302325582</v>
      </c>
      <c r="BO7" s="874">
        <f>BO6/BO2</f>
        <v>0</v>
      </c>
      <c r="BQ7" s="874" t="e">
        <f>BQ6/BQ2</f>
        <v>#N/A</v>
      </c>
      <c r="BS7" s="874">
        <f>BS6/BS2</f>
        <v>0</v>
      </c>
      <c r="BT7" s="874">
        <f>BT6/BT2</f>
        <v>0</v>
      </c>
      <c r="BU7" s="874" t="e">
        <f>BU6/BU2</f>
        <v>#N/A</v>
      </c>
      <c r="BZ7" s="874">
        <f t="shared" ref="BZ7:CM7" si="4">BZ6/BZ2</f>
        <v>0</v>
      </c>
      <c r="CA7" s="874" t="e">
        <f t="shared" si="4"/>
        <v>#DIV/0!</v>
      </c>
      <c r="CB7" s="874" t="e">
        <f t="shared" si="4"/>
        <v>#DIV/0!</v>
      </c>
      <c r="CC7" s="874" t="e">
        <f t="shared" si="4"/>
        <v>#DIV/0!</v>
      </c>
      <c r="CD7" s="874" t="e">
        <f t="shared" si="4"/>
        <v>#DIV/0!</v>
      </c>
      <c r="CE7" s="874" t="e">
        <f t="shared" si="4"/>
        <v>#DIV/0!</v>
      </c>
      <c r="CF7" s="874" t="e">
        <f t="shared" si="4"/>
        <v>#DIV/0!</v>
      </c>
      <c r="CG7" s="874" t="e">
        <f t="shared" si="4"/>
        <v>#DIV/0!</v>
      </c>
      <c r="CH7" s="874" t="e">
        <f t="shared" si="4"/>
        <v>#DIV/0!</v>
      </c>
      <c r="CI7" s="874" t="e">
        <f t="shared" si="4"/>
        <v>#DIV/0!</v>
      </c>
      <c r="CJ7" s="874" t="e">
        <f t="shared" si="4"/>
        <v>#DIV/0!</v>
      </c>
      <c r="CK7" s="874">
        <f t="shared" si="4"/>
        <v>1.75</v>
      </c>
      <c r="CL7" s="874">
        <f t="shared" si="4"/>
        <v>1.75</v>
      </c>
      <c r="CM7" s="874">
        <f t="shared" si="4"/>
        <v>1.6666666666666667</v>
      </c>
    </row>
    <row r="8" spans="1:91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SUM(IF(($T$23:$T$237)="",0,$T$23:$T$237)*IF(ISBLANK($T$1),1,IF($I$23:$I$237=$T$1,1,0)))</f>
        <v>5.0000000000000009</v>
      </c>
      <c r="AG8" s="874" t="e">
        <f t="array" ref="AG8">SUM(IF(ISTEXT(AG$24:AG$237),1,0)*IF(($T$23:$T$237)="",0,$T$23:$T$237)*IF(ISBLANK($T$1),1,IF($I$23:$I$237=$T$1,1,0)))</f>
        <v>#N/A</v>
      </c>
      <c r="AH8" s="874" t="e">
        <f t="array" ref="AH8">SUM(IF(ISTEXT(AH$24:AH$237),1,0)*IF(($T$23:$T$237)="",0,$T$23:$T$237)*IF(ISBLANK($T$1),1,IF($I$23:$I$237=$T$1,1,0)))</f>
        <v>#N/A</v>
      </c>
      <c r="AI8" s="874" t="e">
        <f t="array" ref="AI8">SUM(IF(ISTEXT(AI$24:AI$237),1,0)*IF(($T$23:$T$237)="",0,$T$23:$T$237)*IF(ISBLANK($T$1),1,IF($I$23:$I$237=$T$1,1,0)))</f>
        <v>#N/A</v>
      </c>
      <c r="AJ8" s="874" t="e">
        <f t="array" ref="AJ8">SUM(IF(ISTEXT(AJ$24:AJ$237),1,0)*IF(($T$23:$T$237)="",0,$T$23:$T$237)*IF(ISBLANK($T$1),1,IF($I$23:$I$237=$T$1,1,0)))</f>
        <v>#N/A</v>
      </c>
      <c r="AK8" s="874" t="e">
        <f t="array" ref="AK8">SUM(IF(ISTEXT(AK$24:AK$237),1,0)*IF(($T$23:$T$237)="",0,$T$23:$T$237)*IF(ISBLANK($T$1),1,IF($I$23:$I$237=$T$1,1,0)))</f>
        <v>#N/A</v>
      </c>
      <c r="AM8" s="874">
        <f t="array" ref="AM8">SUM(IF(ISTEXT(AM$23:AM$237),1,0)*IF(($T$23:$T$237)="",0,$T$23:$T$237)*IF(ISBLANK($T$1),1,IF($I$23:$I$237=$T$1,1,0)))</f>
        <v>4.3499999999999988</v>
      </c>
      <c r="AO8" s="874">
        <f t="array" ref="AO8">SUM(IF(ISTEXT(AO$23:AO$237),1,0)*IF(($T$23:$T$237)="",0,$T$23:$T$237)*IF(ISBLANK($T$1),1,IF($I$23:$I$237=$T$1,1,0)))</f>
        <v>5.0000000000000009</v>
      </c>
      <c r="AQ8" s="874">
        <f t="array" ref="AQ8">SUM(IF(ISTEXT(AQ$23:AQ$237),1,0)*IF(($T$23:$T$237)="",0,$T$23:$T$237)*IF(ISBLANK($T$1),1,IF($I$23:$I$237=$T$1,1,0)))</f>
        <v>5.0000000000000009</v>
      </c>
      <c r="AR8" s="874">
        <f t="array" ref="AR8">SUM(IF(ISTEXT(AR$23:AR$237),1,0)*IF(($T$23:$T$237)="",0,$T$23:$T$237)*IF(ISBLANK($T$1),1,IF($I$23:$I$237=$T$1,1,0)))</f>
        <v>5.0000000000000009</v>
      </c>
      <c r="AS8" s="874">
        <f t="array" ref="AS8">SUM(IF(ISTEXT(AS$23:AS$237),1,0)*IF(($T$23:$T$237)="",0,$T$23:$T$237)*IF(ISBLANK($T$1),1,IF($I$23:$I$237=$T$1,1,0)))</f>
        <v>5.0000000000000009</v>
      </c>
      <c r="AT8" s="874">
        <f t="array" ref="AT8">SUM(IF(ISTEXT(AT$23:AT$237),1,0)*IF(($T$23:$T$237)="",0,$T$23:$T$237)*IF(ISBLANK($T$1),1,IF($I$23:$I$237=$T$1,1,0)))</f>
        <v>4.3499999999999988</v>
      </c>
      <c r="AU8" s="874" t="e">
        <f t="array" ref="AU8">SUM(IF(ISTEXT(AU$31:AU$237),1,0)*IF(($T$23:$T$237)="",0,$T$23:$T$237)*IF(ISBLANK($T$1),1,IF($I$23:$I$237=$T$1,1,0)))</f>
        <v>#N/A</v>
      </c>
      <c r="AX8" s="874">
        <f t="array" ref="AX8">SUM(IF(ISTEXT(AX$23:AX$237),1,0)*IF(($T$23:$T$237)="",0,$T$23:$T$237)*IF(ISBLANK($T$1),1,IF($I$23:$I$237=$T$1,1,0)))</f>
        <v>5.0000000000000009</v>
      </c>
      <c r="AY8" s="874">
        <f t="array" ref="AY8">SUM(IF(ISTEXT(AY$23:AY$237),1,0)*IF(($T$23:$T$237)="",0,$T$23:$T$237)*IF(ISBLANK($T$1),1,IF($I$23:$I$237=$T$1,1,0)))</f>
        <v>5.0000000000000009</v>
      </c>
      <c r="BA8" s="874">
        <f t="array" ref="BA8">SUM(IF(ISTEXT(BA$23:BA$237),1,0)*IF(($T$23:$T$237)="",0,$T$23:$T$237)*IF(ISBLANK($T$1),1,IF($I$23:$I$237=$T$1,1,0)))</f>
        <v>5.0000000000000009</v>
      </c>
      <c r="BB8" s="874">
        <f t="array" ref="BB8">SUM(IF(ISTEXT(BB$23:BB$237),1,0)*IF(($T$23:$T$237)="",0,$T$23:$T$237)*IF(ISBLANK($T$1),1,IF($I$23:$I$237=$T$1,1,0)))</f>
        <v>5.0000000000000009</v>
      </c>
      <c r="BF8" s="874">
        <f t="array" ref="BF8">SUM(IF(ISTEXT(BF$23:BF$237),1,0)*IF(($T$23:$T$237)="",0,$T$23:$T$237)*IF(ISBLANK($T$1),1,IF($I$23:$I$237=$T$1,1,0)))</f>
        <v>5.0000000000000009</v>
      </c>
      <c r="BO8" s="874">
        <f t="array" ref="BO8">SUM(IF(ISTEXT(BO$23:BO$237),1,0)*IF(($T$23:$T$237)="",0,$T$23:$T$237)*IF(ISBLANK($T$1),1,IF($I$23:$I$237=$T$1,1,0)))</f>
        <v>-0.10000000000000009</v>
      </c>
      <c r="BQ8" s="874" t="e">
        <f t="array" ref="BQ8">SUM(IF(ISTEXT(BQ$68:BQ$237),1,0)*IF(($T$23:$T$237)="",0,$T$23:$T$237)*IF(ISBLANK($T$1),1,IF($I$23:$I$237=$T$1,1,0)))</f>
        <v>#N/A</v>
      </c>
      <c r="BS8" s="874">
        <f t="array" ref="BS8">SUM(IF(ISTEXT(BS$23:BS$237),1,0)*IF(($T$23:$T$237)="",0,$T$23:$T$237)*IF(ISBLANK($T$1),1,IF($I$23:$I$237=$T$1,1,0)))</f>
        <v>0.89999999999999991</v>
      </c>
      <c r="BT8" s="874">
        <f t="array" ref="BT8">SUM(IF(ISTEXT(BT$23:BT$237),1,0)*IF(($T$23:$T$237)="",0,$T$23:$T$237)*IF(ISBLANK($T$1),1,IF($I$23:$I$237=$T$1,1,0)))</f>
        <v>0.89999999999999991</v>
      </c>
      <c r="BU8" s="874" t="e">
        <f t="array" ref="BU8">SUM(IF(ISTEXT(BU$40:BU$237),1,0)*IF(($T$23:$T$237)="",0,$T$23:$T$237)*IF(ISBLANK($T$1),1,IF($I$23:$I$237=$T$1,1,0)))</f>
        <v>#N/A</v>
      </c>
      <c r="BZ8" s="874">
        <f t="array" ref="BZ8">SUM(IF(ISTEXT(BZ$23:BZ$237),1,0)*IF(($T$23:$T$237)="",0,$T$23:$T$237)*IF(ISBLANK($T$1),1,IF($I$23:$I$237=$T$1,1,0)))</f>
        <v>0.89999999999999991</v>
      </c>
      <c r="CA8" s="874">
        <f t="array" ref="CA8">SUM(IF(ISTEXT(CA$23:CA$237),1,0)*IF(($T$23:$T$237)="",0,$T$23:$T$237)*IF(ISBLANK($T$1),1,IF($I$23:$I$237=$T$1,1,0)))</f>
        <v>0</v>
      </c>
      <c r="CB8" s="874">
        <f t="array" ref="CB8">SUM(IF(ISTEXT(CB$23:CB$237),1,0)*IF(($T$23:$T$237)="",0,$T$23:$T$237)*IF(ISBLANK($T$1),1,IF($I$23:$I$237=$T$1,1,0)))</f>
        <v>0</v>
      </c>
      <c r="CC8" s="874">
        <f t="array" ref="CC8">SUM(IF(ISTEXT(CC$23:CC$237),1,0)*IF(($T$23:$T$237)="",0,$T$23:$T$237)*IF(ISBLANK($T$1),1,IF($I$23:$I$237=$T$1,1,0)))</f>
        <v>0</v>
      </c>
      <c r="CD8" s="874">
        <f t="array" ref="CD8">SUM(IF(ISTEXT(CD$23:CD$237),1,0)*IF(($T$23:$T$237)="",0,$T$23:$T$237)*IF(ISBLANK($T$1),1,IF($I$23:$I$237=$T$1,1,0)))</f>
        <v>0</v>
      </c>
      <c r="CE8" s="874">
        <f t="array" ref="CE8">SUM(IF(ISTEXT(CE$23:CE$237),1,0)*IF(($T$23:$T$237)="",0,$T$23:$T$237)*IF(ISBLANK($T$1),1,IF($I$23:$I$237=$T$1,1,0)))</f>
        <v>0</v>
      </c>
      <c r="CF8" s="874">
        <f t="array" ref="CF8">SUM(IF(ISTEXT(CF$23:CF$237),1,0)*IF(($T$23:$T$237)="",0,$T$23:$T$237)*IF(ISBLANK($T$1),1,IF($I$23:$I$237=$T$1,1,0)))</f>
        <v>0</v>
      </c>
      <c r="CG8" s="874">
        <f t="array" ref="CG8">SUM(IF(ISTEXT(CG$23:CG$237),1,0)*IF(($T$23:$T$237)="",0,$T$23:$T$237)*IF(ISBLANK($T$1),1,IF($I$23:$I$237=$T$1,1,0)))</f>
        <v>0</v>
      </c>
      <c r="CH8" s="874">
        <f t="array" ref="CH8">SUM(IF(ISTEXT(CH$23:CH$237),1,0)*IF(($T$23:$T$237)="",0,$T$23:$T$237)*IF(ISBLANK($T$1),1,IF($I$23:$I$237=$T$1,1,0)))</f>
        <v>0</v>
      </c>
      <c r="CI8" s="874">
        <f t="array" ref="CI8">SUM(IF(ISTEXT(CI$23:CI$237),1,0)*IF(($T$23:$T$237)="",0,$T$23:$T$237)*IF(ISBLANK($T$1),1,IF($I$23:$I$237=$T$1,1,0)))</f>
        <v>0</v>
      </c>
      <c r="CJ8" s="874">
        <f t="array" ref="CJ8">SUM(IF(ISTEXT(CJ$23:CJ$237),1,0)*IF(($T$23:$T$237)="",0,$T$23:$T$237)*IF(ISBLANK($T$1),1,IF($I$23:$I$237=$T$1,1,0)))</f>
        <v>0</v>
      </c>
      <c r="CK8" s="874">
        <f t="array" ref="CK8">SUM(IF(ISTEXT(CK$23:CK$237),1,0)*IF(($T$23:$T$237)="",0,$T$23:$T$237)*IF(ISBLANK($T$1),1,IF($I$23:$I$237=$T$1,1,0)))</f>
        <v>7.6599999999999984</v>
      </c>
      <c r="CL8" s="874">
        <f t="array" ref="CL8">SUM(IF(ISTEXT(CL$23:CL$237),1,0)*IF(($T$23:$T$237)="",0,$T$23:$T$237)*IF(ISBLANK($T$1),1,IF($I$23:$I$237=$T$1,1,0)))</f>
        <v>7.6599999999999984</v>
      </c>
      <c r="CM8" s="874">
        <f t="array" ref="CM8">SUM(IF(ISTEXT(CM$23:CM$237),1,0)*IF(($T$23:$T$237)="",0,$T$23:$T$237)*IF(ISBLANK($T$1),1,IF($I$23:$I$237=$T$1,1,0)))</f>
        <v>8.9099999999999984</v>
      </c>
    </row>
    <row r="9" spans="1:91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AK9" si="5">AF8/AF2</f>
        <v>0.11627906976744189</v>
      </c>
      <c r="AG9" s="874" t="e">
        <f t="shared" si="5"/>
        <v>#N/A</v>
      </c>
      <c r="AH9" s="874" t="e">
        <f t="shared" si="5"/>
        <v>#N/A</v>
      </c>
      <c r="AI9" s="874" t="e">
        <f t="shared" si="5"/>
        <v>#N/A</v>
      </c>
      <c r="AJ9" s="874" t="e">
        <f t="shared" si="5"/>
        <v>#N/A</v>
      </c>
      <c r="AK9" s="874" t="e">
        <f t="shared" si="5"/>
        <v>#N/A</v>
      </c>
      <c r="AM9" s="874">
        <f>AM8/AM2</f>
        <v>0.10357142857142854</v>
      </c>
      <c r="AO9" s="874">
        <f>AO8/AO2</f>
        <v>0.11627906976744189</v>
      </c>
      <c r="AQ9" s="874">
        <f>AQ8/AQ2</f>
        <v>0.11627906976744189</v>
      </c>
      <c r="AR9" s="874">
        <f>AR8/AR2</f>
        <v>0.11627906976744189</v>
      </c>
      <c r="AS9" s="874">
        <f>AS8/AS2</f>
        <v>0.11627906976744189</v>
      </c>
      <c r="AT9" s="874">
        <f>AT8/AT2</f>
        <v>0.10357142857142854</v>
      </c>
      <c r="AU9" s="874" t="e">
        <f>AU8/AU2</f>
        <v>#N/A</v>
      </c>
      <c r="AX9" s="874">
        <f>AX8/AX2</f>
        <v>0.11627906976744189</v>
      </c>
      <c r="AY9" s="874">
        <f>AY8/AY2</f>
        <v>0.11627906976744189</v>
      </c>
      <c r="BA9" s="874">
        <f>BA8/BA2</f>
        <v>0.11627906976744189</v>
      </c>
      <c r="BB9" s="874">
        <f>BB8/BB2</f>
        <v>0.11627906976744189</v>
      </c>
      <c r="BF9" s="874">
        <f>BF8/BF2</f>
        <v>0.11627906976744189</v>
      </c>
      <c r="BO9" s="874">
        <f>BO8/BO2</f>
        <v>-0.10000000000000009</v>
      </c>
      <c r="BQ9" s="874" t="e">
        <f>BQ8/BQ2</f>
        <v>#N/A</v>
      </c>
      <c r="BS9" s="874">
        <f>BS8/BS2</f>
        <v>0.89999999999999991</v>
      </c>
      <c r="BT9" s="874">
        <f>BT8/BT2</f>
        <v>0.89999999999999991</v>
      </c>
      <c r="BU9" s="874" t="e">
        <f>BU8/BU2</f>
        <v>#N/A</v>
      </c>
      <c r="BZ9" s="874">
        <f t="shared" ref="BZ9:CM9" si="6">BZ8/BZ2</f>
        <v>0.89999999999999991</v>
      </c>
      <c r="CA9" s="874" t="e">
        <f t="shared" si="6"/>
        <v>#DIV/0!</v>
      </c>
      <c r="CB9" s="874" t="e">
        <f t="shared" si="6"/>
        <v>#DIV/0!</v>
      </c>
      <c r="CC9" s="874" t="e">
        <f t="shared" si="6"/>
        <v>#DIV/0!</v>
      </c>
      <c r="CD9" s="874" t="e">
        <f t="shared" si="6"/>
        <v>#DIV/0!</v>
      </c>
      <c r="CE9" s="874" t="e">
        <f t="shared" si="6"/>
        <v>#DIV/0!</v>
      </c>
      <c r="CF9" s="874" t="e">
        <f t="shared" si="6"/>
        <v>#DIV/0!</v>
      </c>
      <c r="CG9" s="874" t="e">
        <f t="shared" si="6"/>
        <v>#DIV/0!</v>
      </c>
      <c r="CH9" s="874" t="e">
        <f t="shared" si="6"/>
        <v>#DIV/0!</v>
      </c>
      <c r="CI9" s="874" t="e">
        <f t="shared" si="6"/>
        <v>#DIV/0!</v>
      </c>
      <c r="CJ9" s="874" t="e">
        <f t="shared" si="6"/>
        <v>#DIV/0!</v>
      </c>
      <c r="CK9" s="874">
        <f t="shared" si="6"/>
        <v>0.4787499999999999</v>
      </c>
      <c r="CL9" s="874">
        <f t="shared" si="6"/>
        <v>0.4787499999999999</v>
      </c>
      <c r="CM9" s="874">
        <f t="shared" si="6"/>
        <v>0.59399999999999986</v>
      </c>
    </row>
    <row r="10" spans="1:91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SUM(IF(ISBLANK($T$1),$J$23:$J$237,IF($I$23:$I$237=$T$1,$J$23:$J$237,0)))</f>
        <v>59</v>
      </c>
      <c r="AG10" s="874">
        <f t="array" ref="AG10">SUM(IF(ISBLANK(AG$24:AG$237),0,IF(ISNUMBER(VALUE(RIGHT(AG$24:AG$237,1))),RIGHT(AG$24:AG$237,1),0)*IF(ISBLANK($T$1),1,IF($I$23:$I$237=$T$1,1,0))))</f>
        <v>0</v>
      </c>
      <c r="AH10" s="874">
        <f t="array" ref="AH10">SUM(IF(ISBLANK(AH$24:AH$237),0,IF(ISNUMBER(VALUE(RIGHT(AH$24:AH$237,1))),RIGHT(AH$24:AH$237,1),0)*IF(ISBLANK($T$1),1,IF($I$23:$I$237=$T$1,1,0))))</f>
        <v>0</v>
      </c>
      <c r="AI10" s="874">
        <f t="array" ref="AI10">SUM(IF(ISBLANK(AI$24:AI$237),0,IF(ISNUMBER(VALUE(RIGHT(AI$24:AI$237,1))),RIGHT(AI$24:AI$237,1),0)*IF(ISBLANK($T$1),1,IF($I$23:$I$237=$T$1,1,0))))</f>
        <v>0</v>
      </c>
      <c r="AJ10" s="874">
        <f t="array" ref="AJ10">SUM(IF(ISBLANK(AJ$24:AJ$237),0,IF(ISNUMBER(VALUE(RIGHT(AJ$24:AJ$237,1))),RIGHT(AJ$24:AJ$237,1),0)*IF(ISBLANK($T$1),1,IF($I$23:$I$237=$T$1,1,0))))</f>
        <v>0</v>
      </c>
      <c r="AK10" s="874">
        <f t="array" ref="AK10">SUM(IF(ISBLANK(AK$24:AK$237),0,IF(ISNUMBER(VALUE(RIGHT(AK$24:AK$237,1))),RIGHT(AK$24:AK$237,1),0)*IF(ISBLANK($T$1),1,IF($I$23:$I$237=$T$1,1,0))))</f>
        <v>0</v>
      </c>
      <c r="AM10" s="874">
        <f t="array" ref="AM10">SUM(IF(ISBLANK(AM$23:AM$237),0,IF(ISNUMBER(VALUE(RIGHT(AM$23:AM$237,1))),RIGHT(AM$23:AM$237,1),0)*IF(ISBLANK($T$1),1,IF($I$23:$I$237=$T$1,1,0))))</f>
        <v>1</v>
      </c>
      <c r="AO10" s="874">
        <f t="array" ref="AO10">SUM(IF(ISBLANK(AO$23:AO$237),0,IF(ISNUMBER(VALUE(RIGHT(AO$23:AO$237,1))),RIGHT(AO$23:AO$237,1),0)*IF(ISBLANK($T$1),1,IF($I$23:$I$237=$T$1,1,0))))</f>
        <v>0</v>
      </c>
      <c r="AQ10" s="874">
        <f t="array" ref="AQ10">SUM(IF(ISBLANK(AQ$23:AQ$237),0,IF(ISNUMBER(VALUE(RIGHT(AQ$23:AQ$237,1))),RIGHT(AQ$23:AQ$237,1),0)*IF(ISBLANK($T$1),1,IF($I$23:$I$237=$T$1,1,0))))</f>
        <v>0</v>
      </c>
      <c r="AR10" s="874">
        <f t="array" ref="AR10">SUM(IF(ISBLANK(AR$23:AR$237),0,IF(ISNUMBER(VALUE(RIGHT(AR$23:AR$237,1))),RIGHT(AR$23:AR$237,1),0)*IF(ISBLANK($T$1),1,IF($I$23:$I$237=$T$1,1,0))))</f>
        <v>3</v>
      </c>
      <c r="AS10" s="874">
        <f t="array" ref="AS10">SUM(IF(ISBLANK(AS$23:AS$237),0,IF(ISNUMBER(VALUE(RIGHT(AS$23:AS$237,1))),RIGHT(AS$23:AS$237,1),0)*IF(ISBLANK($T$1),1,IF($I$23:$I$237=$T$1,1,0))))</f>
        <v>1</v>
      </c>
      <c r="AT10" s="874">
        <f t="array" ref="AT10">SUM(IF(ISBLANK(AT$23:AT$237),0,IF(ISNUMBER(VALUE(RIGHT(AT$23:AT$237,1))),RIGHT(AT$23:AT$237,1),0)*IF(ISBLANK($T$1),1,IF($I$23:$I$237=$T$1,1,0))))</f>
        <v>3</v>
      </c>
      <c r="AU10" s="874">
        <f t="array" ref="AU10">SUM(IF(ISBLANK(AU$31:AU$237),0,IF(ISNUMBER(VALUE(RIGHT(AU$31:AU$237,1))),RIGHT(AU$31:AU$237,1),0)*IF(ISBLANK($T$1),1,IF($I$23:$I$237=$T$1,1,0))))</f>
        <v>0</v>
      </c>
      <c r="AX10" s="874">
        <f t="array" ref="AX10">SUM(IF(ISBLANK(AX$23:AX$237),0,IF(ISNUMBER(VALUE(RIGHT(AX$23:AX$237,1))),RIGHT(AX$23:AX$237,1),0)*IF(ISBLANK($T$1),1,IF($I$23:$I$237=$T$1,1,0))))</f>
        <v>0</v>
      </c>
      <c r="AY10" s="874">
        <f t="array" ref="AY10">SUM(IF(ISBLANK(AY$23:AY$237),0,IF(ISNUMBER(VALUE(RIGHT(AY$23:AY$237,1))),RIGHT(AY$23:AY$237,1),0)*IF(ISBLANK($T$1),1,IF($I$23:$I$237=$T$1,1,0))))</f>
        <v>0</v>
      </c>
      <c r="BA10" s="874">
        <f t="array" ref="BA10">SUM(IF(ISBLANK(BA$23:BA$237),0,IF(ISNUMBER(VALUE(RIGHT(BA$23:BA$237,1))),RIGHT(BA$23:BA$237,1),0)*IF(ISBLANK($T$1),1,IF($I$23:$I$237=$T$1,1,0))))</f>
        <v>2</v>
      </c>
      <c r="BB10" s="874">
        <f t="array" ref="BB10">SUM(IF(ISBLANK(BB$23:BB$237),0,IF(ISNUMBER(VALUE(RIGHT(BB$23:BB$237,1))),RIGHT(BB$23:BB$237,1),0)*IF(ISBLANK($T$1),1,IF($I$23:$I$237=$T$1,1,0))))</f>
        <v>8</v>
      </c>
      <c r="BF10" s="874">
        <f t="array" ref="BF10">SUM(IF(ISBLANK(BF$23:BF$237),0,IF(ISNUMBER(VALUE(RIGHT(BF$23:BF$237,1))),RIGHT(BF$23:BF$237,1),0)*IF(ISBLANK($T$1),1,IF($I$23:$I$237=$T$1,1,0))))</f>
        <v>4</v>
      </c>
      <c r="BO10" s="874">
        <f t="array" ref="BO10">SUM(IF(ISBLANK(BO$23:BO$237),0,IF(ISNUMBER(VALUE(RIGHT(BO$23:BO$237,1))),RIGHT(BO$23:BO$237,1),0)*IF(ISBLANK($T$1),1,IF($I$23:$I$237=$T$1,1,0))))</f>
        <v>0</v>
      </c>
      <c r="BQ10" s="874">
        <f t="array" ref="BQ10">SUM(IF(ISBLANK(BQ$68:BQ$237),0,IF(ISNUMBER(VALUE(RIGHT(BQ$68:BQ$237,1))),RIGHT(BQ$68:BQ$237,1),0)*IF(ISBLANK($T$1),1,IF($I$23:$I$237=$T$1,1,0))))</f>
        <v>0</v>
      </c>
      <c r="BS10" s="874">
        <f t="array" ref="BS10">SUM(IF(ISBLANK(BS$23:BS$237),0,IF(ISNUMBER(VALUE(RIGHT(BS$23:BS$237,1))),RIGHT(BS$23:BS$237,1),0)*IF(ISBLANK($T$1),1,IF($I$23:$I$237=$T$1,1,0))))</f>
        <v>0</v>
      </c>
      <c r="BT10" s="874">
        <f t="array" ref="BT10">SUM(IF(ISBLANK(BT$23:BT$237),0,IF(ISNUMBER(VALUE(RIGHT(BT$23:BT$237,1))),RIGHT(BT$23:BT$237,1),0)*IF(ISBLANK($T$1),1,IF($I$23:$I$237=$T$1,1,0))))</f>
        <v>0</v>
      </c>
      <c r="BU10" s="874">
        <f t="array" ref="BU10">SUM(IF(ISBLANK(BU$40:BU$237),0,IF(ISNUMBER(VALUE(RIGHT(BU$40:BU$237,1))),RIGHT(BU$40:BU$237,1),0)*IF(ISBLANK($T$1),1,IF($I$23:$I$237=$T$1,1,0))))</f>
        <v>0</v>
      </c>
      <c r="BZ10" s="874">
        <f t="array" ref="BZ10">SUM(IF(ISBLANK(BZ$23:BZ$237),0,IF(ISNUMBER(VALUE(RIGHT(BZ$23:BZ$237,1))),RIGHT(BZ$23:BZ$237,1),0)*IF(ISBLANK($T$1),1,IF($I$23:$I$237=$T$1,1,0))))</f>
        <v>0</v>
      </c>
      <c r="CA10" s="874">
        <f t="array" ref="CA10">SUM(IF(ISBLANK(CA$23:CA$237),0,IF(ISNUMBER(VALUE(RIGHT(CA$23:CA$237,1))),RIGHT(CA$23:CA$237,1),0)*IF(ISBLANK($T$1),1,IF($I$23:$I$237=$T$1,1,0))))</f>
        <v>0</v>
      </c>
      <c r="CB10" s="874">
        <f t="array" ref="CB10">SUM(IF(ISBLANK(CB$23:CB$237),0,IF(ISNUMBER(VALUE(RIGHT(CB$23:CB$237,1))),RIGHT(CB$23:CB$237,1),0)*IF(ISBLANK($T$1),1,IF($I$23:$I$237=$T$1,1,0))))</f>
        <v>0</v>
      </c>
      <c r="CC10" s="874">
        <f t="array" ref="CC10">SUM(IF(ISBLANK(CC$23:CC$237),0,IF(ISNUMBER(VALUE(RIGHT(CC$23:CC$237,1))),RIGHT(CC$23:CC$237,1),0)*IF(ISBLANK($T$1),1,IF($I$23:$I$237=$T$1,1,0))))</f>
        <v>0</v>
      </c>
      <c r="CD10" s="874">
        <f t="array" ref="CD10">SUM(IF(ISBLANK(CD$23:CD$237),0,IF(ISNUMBER(VALUE(RIGHT(CD$23:CD$237,1))),RIGHT(CD$23:CD$237,1),0)*IF(ISBLANK($T$1),1,IF($I$23:$I$237=$T$1,1,0))))</f>
        <v>0</v>
      </c>
      <c r="CE10" s="874">
        <f t="array" ref="CE10">SUM(IF(ISBLANK(CE$23:CE$237),0,IF(ISNUMBER(VALUE(RIGHT(CE$23:CE$237,1))),RIGHT(CE$23:CE$237,1),0)*IF(ISBLANK($T$1),1,IF($I$23:$I$237=$T$1,1,0))))</f>
        <v>0</v>
      </c>
      <c r="CF10" s="874">
        <f t="array" ref="CF10">SUM(IF(ISBLANK(CF$23:CF$237),0,IF(ISNUMBER(VALUE(RIGHT(CF$23:CF$237,1))),RIGHT(CF$23:CF$237,1),0)*IF(ISBLANK($T$1),1,IF($I$23:$I$237=$T$1,1,0))))</f>
        <v>0</v>
      </c>
      <c r="CG10" s="874">
        <f t="array" ref="CG10">SUM(IF(ISBLANK(CG$23:CG$237),0,IF(ISNUMBER(VALUE(RIGHT(CG$23:CG$237,1))),RIGHT(CG$23:CG$237,1),0)*IF(ISBLANK($T$1),1,IF($I$23:$I$237=$T$1,1,0))))</f>
        <v>0</v>
      </c>
      <c r="CH10" s="874">
        <f t="array" ref="CH10">SUM(IF(ISBLANK(CH$23:CH$237),0,IF(ISNUMBER(VALUE(RIGHT(CH$23:CH$237,1))),RIGHT(CH$23:CH$237,1),0)*IF(ISBLANK($T$1),1,IF($I$23:$I$237=$T$1,1,0))))</f>
        <v>0</v>
      </c>
      <c r="CI10" s="874">
        <f t="array" ref="CI10">SUM(IF(ISBLANK(CI$23:CI$237),0,IF(ISNUMBER(VALUE(RIGHT(CI$23:CI$237,1))),RIGHT(CI$23:CI$237,1),0)*IF(ISBLANK($T$1),1,IF($I$23:$I$237=$T$1,1,0))))</f>
        <v>0</v>
      </c>
      <c r="CJ10" s="874">
        <f t="array" ref="CJ10">SUM(IF(ISBLANK(CJ$23:CJ$237),0,IF(ISNUMBER(VALUE(RIGHT(CJ$23:CJ$237,1))),RIGHT(CJ$23:CJ$237,1),0)*IF(ISBLANK($T$1),1,IF($I$23:$I$237=$T$1,1,0))))</f>
        <v>0</v>
      </c>
      <c r="CK10" s="874">
        <f t="array" ref="CK10">SUM(IF(ISBLANK(CK$23:CK$237),0,IF(ISNUMBER(VALUE(RIGHT(CK$23:CK$237,1))),RIGHT(CK$23:CK$237,1),0)*IF(ISBLANK($T$1),1,IF($I$23:$I$237=$T$1,1,0))))</f>
        <v>0</v>
      </c>
      <c r="CL10" s="874">
        <f t="array" ref="CL10">SUM(IF(ISBLANK(CL$23:CL$237),0,IF(ISNUMBER(VALUE(RIGHT(CL$23:CL$237,1))),RIGHT(CL$23:CL$237,1),0)*IF(ISBLANK($T$1),1,IF($I$23:$I$237=$T$1,1,0))))</f>
        <v>0</v>
      </c>
      <c r="CM10" s="874">
        <f t="array" ref="CM10">SUM(IF(ISBLANK(CM$23:CM$237),0,IF(ISNUMBER(VALUE(RIGHT(CM$23:CM$237,1))),RIGHT(CM$23:CM$237,1),0)*IF(ISBLANK($T$1),1,IF($I$23:$I$237=$T$1,1,0))))</f>
        <v>0</v>
      </c>
    </row>
    <row r="11" spans="1:91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AK11" si="7">AF10/AF2</f>
        <v>1.3720930232558139</v>
      </c>
      <c r="AG11" s="874">
        <f t="shared" si="7"/>
        <v>0</v>
      </c>
      <c r="AH11" s="874">
        <f t="shared" si="7"/>
        <v>0</v>
      </c>
      <c r="AI11" s="874">
        <f t="shared" si="7"/>
        <v>0</v>
      </c>
      <c r="AJ11" s="874">
        <f t="shared" si="7"/>
        <v>0</v>
      </c>
      <c r="AK11" s="874">
        <f t="shared" si="7"/>
        <v>0</v>
      </c>
      <c r="AM11" s="874">
        <f>AM10/AM2</f>
        <v>2.3809523809523808E-2</v>
      </c>
      <c r="AO11" s="874">
        <f>AO10/AO2</f>
        <v>0</v>
      </c>
      <c r="AQ11" s="874">
        <f>AQ10/AQ2</f>
        <v>0</v>
      </c>
      <c r="AR11" s="874">
        <f>AR10/AR2</f>
        <v>6.9767441860465115E-2</v>
      </c>
      <c r="AS11" s="874">
        <f>AS10/AS2</f>
        <v>2.3255813953488372E-2</v>
      </c>
      <c r="AT11" s="874">
        <f>AT10/AT2</f>
        <v>7.1428571428571425E-2</v>
      </c>
      <c r="AU11" s="874">
        <f>AU10/AU2</f>
        <v>0</v>
      </c>
      <c r="AX11" s="874">
        <f>AX10/AX2</f>
        <v>0</v>
      </c>
      <c r="AY11" s="874">
        <f>AY10/AY2</f>
        <v>0</v>
      </c>
      <c r="BA11" s="874">
        <f>BA10/BA2</f>
        <v>4.6511627906976744E-2</v>
      </c>
      <c r="BB11" s="874">
        <f>BB10/BB2</f>
        <v>0.18604651162790697</v>
      </c>
      <c r="BF11" s="874">
        <f>BF10/BF2</f>
        <v>9.3023255813953487E-2</v>
      </c>
      <c r="BO11" s="874">
        <f>BO10/BO2</f>
        <v>0</v>
      </c>
      <c r="BQ11" s="874" t="e">
        <f>BQ10/BQ2</f>
        <v>#DIV/0!</v>
      </c>
      <c r="BS11" s="874">
        <f>BS10/BS2</f>
        <v>0</v>
      </c>
      <c r="BT11" s="874">
        <f>BT10/BT2</f>
        <v>0</v>
      </c>
      <c r="BU11" s="874">
        <f>BU10/BU2</f>
        <v>0</v>
      </c>
      <c r="BZ11" s="874">
        <f t="shared" ref="BZ11:CM11" si="8">BZ10/BZ2</f>
        <v>0</v>
      </c>
      <c r="CA11" s="874" t="e">
        <f t="shared" si="8"/>
        <v>#DIV/0!</v>
      </c>
      <c r="CB11" s="874" t="e">
        <f t="shared" si="8"/>
        <v>#DIV/0!</v>
      </c>
      <c r="CC11" s="874" t="e">
        <f t="shared" si="8"/>
        <v>#DIV/0!</v>
      </c>
      <c r="CD11" s="874" t="e">
        <f t="shared" si="8"/>
        <v>#DIV/0!</v>
      </c>
      <c r="CE11" s="874" t="e">
        <f t="shared" si="8"/>
        <v>#DIV/0!</v>
      </c>
      <c r="CF11" s="874" t="e">
        <f t="shared" si="8"/>
        <v>#DIV/0!</v>
      </c>
      <c r="CG11" s="874" t="e">
        <f t="shared" si="8"/>
        <v>#DIV/0!</v>
      </c>
      <c r="CH11" s="874" t="e">
        <f t="shared" si="8"/>
        <v>#DIV/0!</v>
      </c>
      <c r="CI11" s="874" t="e">
        <f t="shared" si="8"/>
        <v>#DIV/0!</v>
      </c>
      <c r="CJ11" s="874" t="e">
        <f t="shared" si="8"/>
        <v>#DIV/0!</v>
      </c>
      <c r="CK11" s="874">
        <f t="shared" si="8"/>
        <v>0</v>
      </c>
      <c r="CL11" s="874">
        <f t="shared" si="8"/>
        <v>0</v>
      </c>
      <c r="CM11" s="874">
        <f t="shared" si="8"/>
        <v>0</v>
      </c>
    </row>
    <row r="12" spans="1:91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SUM(IF(ISBLANK($T$1),$K$23:$K$237,IF($I$23:$I$237=$T$1,$K$23:$K$237,0)))</f>
        <v>41</v>
      </c>
      <c r="AG12" s="874" t="e">
        <f t="array" ref="AG12">SUM(IF(ISBLANK(AG$24:AG$237),0,$K23:$K237)*IF(ISBLANK($T$1),1,IF($I$23:$I$237=$T$1,1,0)))</f>
        <v>#N/A</v>
      </c>
      <c r="AH12" s="874" t="e">
        <f t="array" ref="AH12">SUM(IF(ISBLANK(AH$24:AH$237),0,$K23:$K237)*IF(ISBLANK($T$1),1,IF($I$23:$I$237=$T$1,1,0)))</f>
        <v>#N/A</v>
      </c>
      <c r="AI12" s="874" t="e">
        <f t="array" ref="AI12">SUM(IF(ISBLANK(AI$24:AI$237),0,$K23:$K237)*IF(ISBLANK($T$1),1,IF($I$23:$I$237=$T$1,1,0)))</f>
        <v>#N/A</v>
      </c>
      <c r="AJ12" s="874" t="e">
        <f t="array" ref="AJ12">SUM(IF(ISBLANK(AJ$24:AJ$237),0,$K23:$K237)*IF(ISBLANK($T$1),1,IF($I$23:$I$237=$T$1,1,0)))</f>
        <v>#N/A</v>
      </c>
      <c r="AK12" s="874" t="e">
        <f t="array" ref="AK12">SUM(IF(ISBLANK(AK$24:AK$237),0,$K23:$K237)*IF(ISBLANK($T$1),1,IF($I$23:$I$237=$T$1,1,0)))</f>
        <v>#N/A</v>
      </c>
      <c r="AM12" s="874">
        <f t="array" ref="AM12">SUM(IF(ISBLANK(AM$23:AM$237),0,$K23:$K237)*IF(ISBLANK($T$1),1,IF($I$23:$I$237=$T$1,1,0)))</f>
        <v>41</v>
      </c>
      <c r="AO12" s="874">
        <f t="array" ref="AO12">SUM(IF(ISBLANK(AO$23:AO$237),0,$K23:$K237)*IF(ISBLANK($T$1),1,IF($I$23:$I$237=$T$1,1,0)))</f>
        <v>41</v>
      </c>
      <c r="AQ12" s="874">
        <f t="array" ref="AQ12">SUM(IF(ISBLANK(AQ$23:AQ$237),0,$K23:$K237)*IF(ISBLANK($T$1),1,IF($I$23:$I$237=$T$1,1,0)))</f>
        <v>41</v>
      </c>
      <c r="AR12" s="874">
        <f t="array" ref="AR12">SUM(IF(ISBLANK(AR$23:AR$237),0,$K23:$K237)*IF(ISBLANK($T$1),1,IF($I$23:$I$237=$T$1,1,0)))</f>
        <v>41</v>
      </c>
      <c r="AS12" s="874">
        <f t="array" ref="AS12">SUM(IF(ISBLANK(AS$23:AS$237),0,$K23:$K237)*IF(ISBLANK($T$1),1,IF($I$23:$I$237=$T$1,1,0)))</f>
        <v>41</v>
      </c>
      <c r="AT12" s="874">
        <f t="array" ref="AT12">SUM(IF(ISBLANK(AT$23:AT$237),0,$K23:$K237)*IF(ISBLANK($T$1),1,IF($I$23:$I$237=$T$1,1,0)))</f>
        <v>41</v>
      </c>
      <c r="AU12" s="874" t="e">
        <f t="array" ref="AU12">SUM(IF(ISBLANK(AU$31:AU$237),0,$K23:$K237)*IF(ISBLANK($T$1),1,IF($I$23:$I$237=$T$1,1,0)))</f>
        <v>#N/A</v>
      </c>
      <c r="AX12" s="874">
        <f t="array" ref="AX12">SUM(IF(ISBLANK(AX$23:AX$237),0,$K23:$K237)*IF(ISBLANK($T$1),1,IF($I$23:$I$237=$T$1,1,0)))</f>
        <v>41</v>
      </c>
      <c r="AY12" s="874">
        <f t="array" ref="AY12">SUM(IF(ISBLANK(AY$23:AY$237),0,$K23:$K237)*IF(ISBLANK($T$1),1,IF($I$23:$I$237=$T$1,1,0)))</f>
        <v>41</v>
      </c>
      <c r="BA12" s="874">
        <f t="array" ref="BA12">SUM(IF(ISBLANK(BA$23:BA$237),0,$K23:$K237)*IF(ISBLANK($T$1),1,IF($I$23:$I$237=$T$1,1,0)))</f>
        <v>41</v>
      </c>
      <c r="BB12" s="874">
        <f t="array" ref="BB12">SUM(IF(ISBLANK(BB$23:BB$237),0,$K23:$K237)*IF(ISBLANK($T$1),1,IF($I$23:$I$237=$T$1,1,0)))</f>
        <v>41</v>
      </c>
      <c r="BF12" s="874">
        <f t="array" ref="BF12">SUM(IF(ISBLANK(BF$23:BF$237),0,$K23:$K237)*IF(ISBLANK($T$1),1,IF($I$23:$I$237=$T$1,1,0)))</f>
        <v>41</v>
      </c>
      <c r="BO12" s="874">
        <f t="array" ref="BO12">SUM(IF(ISBLANK(BO$23:BO$237),0,$K23:$K237)*IF(ISBLANK($T$1),1,IF($I$23:$I$237=$T$1,1,0)))</f>
        <v>2</v>
      </c>
      <c r="BQ12" s="874" t="e">
        <f t="array" ref="BQ12">SUM(IF(ISBLANK(BQ$68:BQ$237),0,$K23:$K237)*IF(ISBLANK($T$1),1,IF($I$23:$I$237=$T$1,1,0)))</f>
        <v>#N/A</v>
      </c>
      <c r="BS12" s="874">
        <f t="array" ref="BS12">SUM(IF(ISBLANK(BS$23:BS$237),0,$K23:$K237)*IF(ISBLANK($T$1),1,IF($I$23:$I$237=$T$1,1,0)))</f>
        <v>2</v>
      </c>
      <c r="BT12" s="874">
        <f t="array" ref="BT12">SUM(IF(ISBLANK(BT$23:BT$237),0,$K23:$K237)*IF(ISBLANK($T$1),1,IF($I$23:$I$237=$T$1,1,0)))</f>
        <v>2</v>
      </c>
      <c r="BU12" s="874" t="e">
        <f t="array" ref="BU12">SUM(IF(ISBLANK(BU$40:BU$237),0,$K23:$K237)*IF(ISBLANK($T$1),1,IF($I$23:$I$237=$T$1,1,0)))</f>
        <v>#N/A</v>
      </c>
      <c r="BZ12" s="874">
        <f t="array" ref="BZ12">SUM(IF(ISBLANK(BZ$23:BZ$237),0,$K23:$K237)*IF(ISBLANK($T$1),1,IF($I$23:$I$237=$T$1,1,0)))</f>
        <v>2</v>
      </c>
      <c r="CA12" s="874">
        <f t="array" ref="CA12">SUM(IF(ISBLANK(CA$23:CA$237),0,$K23:$K237)*IF(ISBLANK($T$1),1,IF($I$23:$I$237=$T$1,1,0)))</f>
        <v>0</v>
      </c>
      <c r="CB12" s="874">
        <f t="array" ref="CB12">SUM(IF(ISBLANK(CB$23:CB$237),0,$K23:$K237)*IF(ISBLANK($T$1),1,IF($I$23:$I$237=$T$1,1,0)))</f>
        <v>0</v>
      </c>
      <c r="CC12" s="874">
        <f t="array" ref="CC12">SUM(IF(ISBLANK(CC$23:CC$237),0,$K23:$K237)*IF(ISBLANK($T$1),1,IF($I$23:$I$237=$T$1,1,0)))</f>
        <v>0</v>
      </c>
      <c r="CD12" s="874">
        <f t="array" ref="CD12">SUM(IF(ISBLANK(CD$23:CD$237),0,$K23:$K237)*IF(ISBLANK($T$1),1,IF($I$23:$I$237=$T$1,1,0)))</f>
        <v>0</v>
      </c>
      <c r="CE12" s="874">
        <f t="array" ref="CE12">SUM(IF(ISBLANK(CE$23:CE$237),0,$K23:$K237)*IF(ISBLANK($T$1),1,IF($I$23:$I$237=$T$1,1,0)))</f>
        <v>0</v>
      </c>
      <c r="CF12" s="874">
        <f t="array" ref="CF12">SUM(IF(ISBLANK(CF$23:CF$237),0,$K23:$K237)*IF(ISBLANK($T$1),1,IF($I$23:$I$237=$T$1,1,0)))</f>
        <v>0</v>
      </c>
      <c r="CG12" s="874">
        <f t="array" ref="CG12">SUM(IF(ISBLANK(CG$23:CG$237),0,$K23:$K237)*IF(ISBLANK($T$1),1,IF($I$23:$I$237=$T$1,1,0)))</f>
        <v>0</v>
      </c>
      <c r="CH12" s="874">
        <f t="array" ref="CH12">SUM(IF(ISBLANK(CH$23:CH$237),0,$K23:$K237)*IF(ISBLANK($T$1),1,IF($I$23:$I$237=$T$1,1,0)))</f>
        <v>0</v>
      </c>
      <c r="CI12" s="874">
        <f t="array" ref="CI12">SUM(IF(ISBLANK(CI$23:CI$237),0,$K23:$K237)*IF(ISBLANK($T$1),1,IF($I$23:$I$237=$T$1,1,0)))</f>
        <v>0</v>
      </c>
      <c r="CJ12" s="874">
        <f t="array" ref="CJ12">SUM(IF(ISBLANK(CJ$23:CJ$237),0,$K23:$K237)*IF(ISBLANK($T$1),1,IF($I$23:$I$237=$T$1,1,0)))</f>
        <v>0</v>
      </c>
      <c r="CK12" s="874">
        <f t="array" ref="CK12">SUM(IF(ISBLANK(CK$23:CK$237),0,$K23:$K237)*IF(ISBLANK($T$1),1,IF($I$23:$I$237=$T$1,1,0)))</f>
        <v>20</v>
      </c>
      <c r="CL12" s="874">
        <f t="array" ref="CL12">SUM(IF(ISBLANK(CL$23:CL$237),0,$K23:$K237)*IF(ISBLANK($T$1),1,IF($I$23:$I$237=$T$1,1,0)))</f>
        <v>20</v>
      </c>
      <c r="CM12" s="874">
        <f t="array" ref="CM12">SUM(IF(ISBLANK(CM$23:CM$237),0,$K23:$K237)*IF(ISBLANK($T$1),1,IF($I$23:$I$237=$T$1,1,0)))</f>
        <v>20</v>
      </c>
    </row>
    <row r="13" spans="1:91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AK13" si="9">AF12/AF2</f>
        <v>0.95348837209302328</v>
      </c>
      <c r="AG13" s="874" t="e">
        <f t="shared" si="9"/>
        <v>#N/A</v>
      </c>
      <c r="AH13" s="874" t="e">
        <f t="shared" si="9"/>
        <v>#N/A</v>
      </c>
      <c r="AI13" s="874" t="e">
        <f t="shared" si="9"/>
        <v>#N/A</v>
      </c>
      <c r="AJ13" s="874" t="e">
        <f t="shared" si="9"/>
        <v>#N/A</v>
      </c>
      <c r="AK13" s="874" t="e">
        <f t="shared" si="9"/>
        <v>#N/A</v>
      </c>
      <c r="AM13" s="874">
        <f>AM12/AM2</f>
        <v>0.97619047619047616</v>
      </c>
      <c r="AO13" s="874">
        <f>AO12/AO2</f>
        <v>0.95348837209302328</v>
      </c>
      <c r="AQ13" s="874">
        <f>AQ12/AQ2</f>
        <v>0.95348837209302328</v>
      </c>
      <c r="AR13" s="874">
        <f>AR12/AR2</f>
        <v>0.95348837209302328</v>
      </c>
      <c r="AS13" s="874">
        <f>AS12/AS2</f>
        <v>0.95348837209302328</v>
      </c>
      <c r="AT13" s="874">
        <f>AT12/AT2</f>
        <v>0.97619047619047616</v>
      </c>
      <c r="AU13" s="874" t="e">
        <f>AU12/AU2</f>
        <v>#N/A</v>
      </c>
      <c r="AX13" s="874">
        <f>AX12/AX2</f>
        <v>0.95348837209302328</v>
      </c>
      <c r="AY13" s="874">
        <f>AY12/AY2</f>
        <v>0.95348837209302328</v>
      </c>
      <c r="BA13" s="874">
        <f>BA12/BA2</f>
        <v>0.95348837209302328</v>
      </c>
      <c r="BB13" s="874">
        <f>BB12/BB2</f>
        <v>0.95348837209302328</v>
      </c>
      <c r="BF13" s="874">
        <f>BF12/BF2</f>
        <v>0.95348837209302328</v>
      </c>
      <c r="BO13" s="874">
        <f>BO12/BO2</f>
        <v>2</v>
      </c>
      <c r="BQ13" s="874" t="e">
        <f>BQ12/BQ2</f>
        <v>#N/A</v>
      </c>
      <c r="BS13" s="874">
        <f>BS12/BS2</f>
        <v>2</v>
      </c>
      <c r="BT13" s="874">
        <f>BT12/BT2</f>
        <v>2</v>
      </c>
      <c r="BU13" s="874" t="e">
        <f>BU12/BU2</f>
        <v>#N/A</v>
      </c>
      <c r="BZ13" s="874">
        <f t="shared" ref="BZ13:CM13" si="10">BZ12/BZ2</f>
        <v>2</v>
      </c>
      <c r="CA13" s="874" t="e">
        <f t="shared" si="10"/>
        <v>#DIV/0!</v>
      </c>
      <c r="CB13" s="874" t="e">
        <f t="shared" si="10"/>
        <v>#DIV/0!</v>
      </c>
      <c r="CC13" s="874" t="e">
        <f t="shared" si="10"/>
        <v>#DIV/0!</v>
      </c>
      <c r="CD13" s="874" t="e">
        <f t="shared" si="10"/>
        <v>#DIV/0!</v>
      </c>
      <c r="CE13" s="874" t="e">
        <f t="shared" si="10"/>
        <v>#DIV/0!</v>
      </c>
      <c r="CF13" s="874" t="e">
        <f t="shared" si="10"/>
        <v>#DIV/0!</v>
      </c>
      <c r="CG13" s="874" t="e">
        <f t="shared" si="10"/>
        <v>#DIV/0!</v>
      </c>
      <c r="CH13" s="874" t="e">
        <f t="shared" si="10"/>
        <v>#DIV/0!</v>
      </c>
      <c r="CI13" s="874" t="e">
        <f t="shared" si="10"/>
        <v>#DIV/0!</v>
      </c>
      <c r="CJ13" s="874" t="e">
        <f t="shared" si="10"/>
        <v>#DIV/0!</v>
      </c>
      <c r="CK13" s="874">
        <f t="shared" si="10"/>
        <v>1.25</v>
      </c>
      <c r="CL13" s="874">
        <f t="shared" si="10"/>
        <v>1.25</v>
      </c>
      <c r="CM13" s="874">
        <f t="shared" si="10"/>
        <v>1.3333333333333333</v>
      </c>
    </row>
    <row r="14" spans="1:91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902">
        <f t="shared" ref="AG14:BM14" si="11">AG15+AG16</f>
        <v>42</v>
      </c>
      <c r="AH14" s="902">
        <f t="shared" si="11"/>
        <v>0</v>
      </c>
      <c r="AI14" s="902">
        <f t="shared" si="11"/>
        <v>0</v>
      </c>
      <c r="AJ14" s="902">
        <f t="shared" si="11"/>
        <v>1</v>
      </c>
      <c r="AK14" s="902">
        <f t="shared" si="11"/>
        <v>31</v>
      </c>
      <c r="AL14" s="902">
        <f t="shared" si="11"/>
        <v>28</v>
      </c>
      <c r="AM14" s="902">
        <f t="shared" si="11"/>
        <v>25</v>
      </c>
      <c r="AN14" s="902">
        <f t="shared" si="11"/>
        <v>40</v>
      </c>
      <c r="AO14" s="902">
        <f t="shared" si="11"/>
        <v>15</v>
      </c>
      <c r="AP14" s="902">
        <f t="shared" si="11"/>
        <v>7</v>
      </c>
      <c r="AQ14" s="902">
        <f t="shared" si="11"/>
        <v>8</v>
      </c>
      <c r="AR14" s="902">
        <f t="shared" si="11"/>
        <v>39</v>
      </c>
      <c r="AS14" s="902">
        <f t="shared" si="11"/>
        <v>32</v>
      </c>
      <c r="AT14" s="902">
        <f t="shared" si="11"/>
        <v>31</v>
      </c>
      <c r="AU14" s="902">
        <f t="shared" si="11"/>
        <v>14</v>
      </c>
      <c r="AV14" s="902">
        <f t="shared" si="11"/>
        <v>2</v>
      </c>
      <c r="AW14" s="902">
        <f t="shared" si="11"/>
        <v>37</v>
      </c>
      <c r="AX14" s="902">
        <f t="shared" si="11"/>
        <v>12</v>
      </c>
      <c r="AY14" s="902">
        <f t="shared" si="11"/>
        <v>11</v>
      </c>
      <c r="AZ14" s="902">
        <f t="shared" ref="AZ14" si="12">AZ15+AZ16</f>
        <v>1</v>
      </c>
      <c r="BA14" s="902">
        <f t="shared" si="11"/>
        <v>20</v>
      </c>
      <c r="BB14" s="902">
        <f t="shared" si="11"/>
        <v>37</v>
      </c>
      <c r="BC14" s="902">
        <f t="shared" si="11"/>
        <v>0</v>
      </c>
      <c r="BD14" s="902">
        <f t="shared" si="11"/>
        <v>1</v>
      </c>
      <c r="BE14" s="902">
        <f t="shared" si="11"/>
        <v>12</v>
      </c>
      <c r="BF14" s="902">
        <f t="shared" si="11"/>
        <v>38</v>
      </c>
      <c r="BG14" s="902">
        <f t="shared" si="11"/>
        <v>4</v>
      </c>
      <c r="BH14" s="902">
        <f t="shared" ref="BH14:BK14" si="13">BH15+BH16</f>
        <v>5</v>
      </c>
      <c r="BI14" s="902">
        <f t="shared" si="13"/>
        <v>32</v>
      </c>
      <c r="BJ14" s="902">
        <f t="shared" si="13"/>
        <v>6</v>
      </c>
      <c r="BK14" s="902">
        <f t="shared" si="13"/>
        <v>12</v>
      </c>
      <c r="BL14" s="902">
        <f t="shared" si="11"/>
        <v>41</v>
      </c>
      <c r="BM14" s="902">
        <f t="shared" si="11"/>
        <v>18</v>
      </c>
      <c r="BN14" s="889"/>
      <c r="BO14" s="889"/>
      <c r="BP14" s="889"/>
      <c r="BQ14" s="889"/>
      <c r="BR14" s="889"/>
      <c r="BS14" s="889"/>
      <c r="BT14" s="889"/>
      <c r="BU14" s="889"/>
      <c r="BV14" s="890"/>
      <c r="BW14" s="890"/>
      <c r="BX14" s="890"/>
      <c r="BY14" s="890"/>
      <c r="BZ14" s="889"/>
      <c r="CA14" s="889"/>
      <c r="CB14" s="889"/>
      <c r="CC14" s="889"/>
      <c r="CD14" s="889"/>
      <c r="CE14" s="889"/>
      <c r="CF14" s="889"/>
    </row>
    <row r="15" spans="1:91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AVERAGEIFS($Q$23:$Q$204,$H$23:$H$204,"H",$I$23:$I$204,Table!$C$1)</f>
        <v>7.6190476190476211E-2</v>
      </c>
      <c r="S15" s="858">
        <f>AVERAGEIFS($Q$23:$Q$204,$H$23:$H$204,"A",$I$23:$I$204,Table!$C$1)</f>
        <v>-0.11761904761904758</v>
      </c>
      <c r="AF15" s="848" t="s">
        <v>821</v>
      </c>
      <c r="AG15" s="903">
        <f t="array" ref="AG15">SUM(IF(LEFT(AG23:AG158,1)="X",1,0))</f>
        <v>42</v>
      </c>
      <c r="AH15" s="903">
        <f t="array" ref="AH15">SUM(IF(LEFT(AH23:AH158,1)="X",1,0))</f>
        <v>0</v>
      </c>
      <c r="AI15" s="903">
        <f t="array" ref="AI15">SUM(IF(LEFT(AI23:AI158,1)="X",1,0))</f>
        <v>0</v>
      </c>
      <c r="AJ15" s="903">
        <f t="array" ref="AJ15">SUM(IF(LEFT(AJ23:AJ158,1)="X",1,0))</f>
        <v>1</v>
      </c>
      <c r="AK15" s="903">
        <f t="array" ref="AK15">SUM(IF(LEFT(AK23:AK158,1)="X",1,0))</f>
        <v>26</v>
      </c>
      <c r="AL15" s="903">
        <f t="array" ref="AL15">SUM(IF(LEFT(AL23:AL158,1)="X",1,0))</f>
        <v>28</v>
      </c>
      <c r="AM15" s="903">
        <f t="array" ref="AM15">SUM(IF(LEFT(AM23:AM158,1)="X",1,0))</f>
        <v>23</v>
      </c>
      <c r="AN15" s="903">
        <f t="array" ref="AN15">SUM(IF(LEFT(AN23:AN158,1)="X",1,0))</f>
        <v>40</v>
      </c>
      <c r="AO15" s="903">
        <f t="array" ref="AO15">SUM(IF(LEFT(AO23:AO158,1)="X",1,0))</f>
        <v>12</v>
      </c>
      <c r="AP15" s="903">
        <f t="array" ref="AP15">SUM(IF(LEFT(AP23:AP158,1)="X",1,0))</f>
        <v>3</v>
      </c>
      <c r="AQ15" s="903">
        <f t="array" ref="AQ15">SUM(IF(LEFT(AQ23:AQ158,1)="X",1,0))</f>
        <v>6</v>
      </c>
      <c r="AR15" s="903">
        <f t="array" ref="AR15">SUM(IF(LEFT(AR23:AR158,1)="X",1,0))</f>
        <v>39</v>
      </c>
      <c r="AS15" s="903">
        <f t="array" ref="AS15">SUM(IF(LEFT(AS23:AS158,1)="X",1,0))</f>
        <v>21</v>
      </c>
      <c r="AT15" s="903">
        <f t="array" ref="AT15">SUM(IF(LEFT(AT23:AT158,1)="X",1,0))</f>
        <v>25</v>
      </c>
      <c r="AU15" s="903">
        <f t="array" ref="AU15">SUM(IF(LEFT(AU23:AU158,1)="X",1,0))</f>
        <v>12</v>
      </c>
      <c r="AV15" s="903">
        <f t="array" ref="AV15">SUM(IF(LEFT(AV23:AV158,1)="X",1,0))</f>
        <v>0</v>
      </c>
      <c r="AW15" s="903">
        <f t="array" ref="AW15">SUM(IF(LEFT(AW23:AW158,1)="X",1,0))</f>
        <v>37</v>
      </c>
      <c r="AX15" s="903">
        <f t="array" ref="AX15">SUM(IF(LEFT(AX23:AX158,1)="X",1,0))</f>
        <v>6</v>
      </c>
      <c r="AY15" s="903">
        <f t="array" ref="AY15">SUM(IF(LEFT(AY23:AY158,1)="X",1,0))</f>
        <v>4</v>
      </c>
      <c r="AZ15" s="903">
        <f t="array" ref="AZ15">SUM(IF(LEFT(AZ23:AZ158,1)="X",1,0))</f>
        <v>1</v>
      </c>
      <c r="BA15" s="903">
        <f t="array" ref="BA15">SUM(IF(LEFT(BA23:BA158,1)="X",1,0))</f>
        <v>9</v>
      </c>
      <c r="BB15" s="903">
        <f t="array" ref="BB15">SUM(IF(LEFT(BB23:BB158,1)="X",1,0))</f>
        <v>11</v>
      </c>
      <c r="BC15" s="903">
        <f t="array" ref="BC15">SUM(IF(LEFT(BC23:BC158,1)="X",1,0))</f>
        <v>0</v>
      </c>
      <c r="BD15" s="903">
        <f t="array" ref="BD15">SUM(IF(LEFT(BD23:BD158,1)="X",1,0))</f>
        <v>1</v>
      </c>
      <c r="BE15" s="903">
        <f t="array" ref="BE15">SUM(IF(LEFT(BE23:BE158,1)="X",1,0))</f>
        <v>6</v>
      </c>
      <c r="BF15" s="903">
        <f t="array" ref="BF15">SUM(IF(LEFT(BF23:BF158,1)="X",1,0))</f>
        <v>34</v>
      </c>
      <c r="BG15" s="903">
        <f t="array" ref="BG15">SUM(IF(LEFT(BG23:BG158,1)="X",1,0))</f>
        <v>2</v>
      </c>
      <c r="BH15" s="903">
        <f t="array" ref="BH15">SUM(IF(LEFT(BH23:BH158,1)="X",1,0))</f>
        <v>0</v>
      </c>
      <c r="BI15" s="903">
        <f t="array" ref="BI15">SUM(IF(LEFT(BI23:BI158,1)="X",1,0))</f>
        <v>25</v>
      </c>
      <c r="BJ15" s="903">
        <f t="array" ref="BJ15">SUM(IF(LEFT(BJ23:BJ158,1)="X",1,0))</f>
        <v>1</v>
      </c>
      <c r="BK15" s="903">
        <f t="array" ref="BK15">SUM(IF(LEFT(BK23:BK158,1)="X",1,0))</f>
        <v>4</v>
      </c>
      <c r="BL15" s="903">
        <f t="array" ref="BL15">SUM(IF(LEFT(BL23:BL158,1)="X",1,0))</f>
        <v>41</v>
      </c>
      <c r="BM15" s="903">
        <f t="array" ref="BM15">SUM(IF(LEFT(BM23:BM158,1)="X",1,0))</f>
        <v>13</v>
      </c>
      <c r="BN15" s="889"/>
      <c r="BO15" s="889"/>
      <c r="BP15" s="889"/>
      <c r="BQ15" s="889"/>
      <c r="BR15" s="889"/>
      <c r="BS15" s="889"/>
      <c r="BT15" s="889"/>
      <c r="BU15" s="889"/>
      <c r="BV15" s="890"/>
      <c r="BW15" s="890"/>
      <c r="BX15" s="890"/>
      <c r="BY15" s="890"/>
      <c r="BZ15" s="889"/>
      <c r="CA15" s="889"/>
      <c r="CB15" s="889"/>
      <c r="CC15" s="889"/>
      <c r="CD15" s="889"/>
      <c r="CE15" s="889"/>
      <c r="CF15" s="889"/>
    </row>
    <row r="16" spans="1:91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AVERAGEIF($H$23:$H$201,"=H",$J$23:$J$201)</f>
        <v>1.4545454545454546</v>
      </c>
      <c r="J16" s="858">
        <f>AVERAGEIF($H$23:$H$205,"=H",$K$23:$K$205)</f>
        <v>0.54545454545454541</v>
      </c>
      <c r="K16" s="858">
        <f>I16-J16</f>
        <v>0.90909090909090917</v>
      </c>
      <c r="L16" s="857">
        <f>COUNTIFS($L$23:$L$201,"=W",$H$23:$H$201,"=H")</f>
        <v>15</v>
      </c>
      <c r="M16" s="857">
        <f>COUNTIFS($L$23:$L$201,"=D",$H$23:$H$201,"=H")</f>
        <v>5</v>
      </c>
      <c r="N16" s="863">
        <f>COUNTIFS($L$23:$L$201,"=L",$H$23:$H$201,"=H")</f>
        <v>2</v>
      </c>
      <c r="O16" s="858">
        <f>SUM(I16:J16)</f>
        <v>2</v>
      </c>
      <c r="Q16" s="861" t="s">
        <v>212</v>
      </c>
      <c r="R16" s="858">
        <f>AVERAGEIFS($S$23:$S$202,$H$23:$H$202,"H",$I$23:$I$202,Table!$C$1)</f>
        <v>2.2571428571428576</v>
      </c>
      <c r="S16" s="858">
        <f>AVERAGEIFS($S$23:$S$202,$H$23:$H$202,"A",$I$23:$I$202,Table!$C$1)</f>
        <v>2.2666666666666666</v>
      </c>
      <c r="AF16" s="848" t="s">
        <v>724</v>
      </c>
      <c r="AG16" s="903">
        <f t="array" ref="AG16">SUM(IF(LEFT(AG23:AG159,1)="s",1,0))</f>
        <v>0</v>
      </c>
      <c r="AH16" s="903">
        <f t="array" ref="AH16">SUM(IF(LEFT(AH23:AH159,1)="s",1,0))</f>
        <v>0</v>
      </c>
      <c r="AI16" s="903">
        <f t="array" ref="AI16">SUM(IF(LEFT(AI23:AI159,1)="s",1,0))</f>
        <v>0</v>
      </c>
      <c r="AJ16" s="903">
        <f t="array" ref="AJ16">SUM(IF(LEFT(AJ23:AJ159,1)="s",1,0))</f>
        <v>0</v>
      </c>
      <c r="AK16" s="903">
        <f t="array" ref="AK16">SUM(IF(LEFT(AK23:AK159,1)="s",1,0))</f>
        <v>5</v>
      </c>
      <c r="AL16" s="903">
        <f t="array" ref="AL16">SUM(IF(LEFT(AL23:AL159,1)="s",1,0))</f>
        <v>0</v>
      </c>
      <c r="AM16" s="903">
        <f t="array" ref="AM16">SUM(IF(LEFT(AM23:AM159,1)="s",1,0))</f>
        <v>2</v>
      </c>
      <c r="AN16" s="903">
        <f t="array" ref="AN16">SUM(IF(LEFT(AN23:AN159,1)="s",1,0))</f>
        <v>0</v>
      </c>
      <c r="AO16" s="903">
        <f t="array" ref="AO16">SUM(IF(LEFT(AO23:AO159,1)="s",1,0))</f>
        <v>3</v>
      </c>
      <c r="AP16" s="903">
        <f t="array" ref="AP16">SUM(IF(LEFT(AP23:AP159,1)="s",1,0))</f>
        <v>4</v>
      </c>
      <c r="AQ16" s="903">
        <f t="array" ref="AQ16">SUM(IF(LEFT(AQ23:AQ159,1)="s",1,0))</f>
        <v>2</v>
      </c>
      <c r="AR16" s="903">
        <f t="array" ref="AR16">SUM(IF(LEFT(AR23:AR159,1)="s",1,0))</f>
        <v>0</v>
      </c>
      <c r="AS16" s="903">
        <f t="array" ref="AS16">SUM(IF(LEFT(AS23:AS159,1)="s",1,0))</f>
        <v>11</v>
      </c>
      <c r="AT16" s="903">
        <f t="array" ref="AT16">SUM(IF(LEFT(AT23:AT159,1)="s",1,0))</f>
        <v>6</v>
      </c>
      <c r="AU16" s="903">
        <f t="array" ref="AU16">SUM(IF(LEFT(AU23:AU159,1)="s",1,0))</f>
        <v>2</v>
      </c>
      <c r="AV16" s="903">
        <f t="array" ref="AV16">SUM(IF(LEFT(AV23:AV159,1)="s",1,0))</f>
        <v>2</v>
      </c>
      <c r="AW16" s="903">
        <f t="array" ref="AW16">SUM(IF(LEFT(AW23:AW159,1)="s",1,0))</f>
        <v>0</v>
      </c>
      <c r="AX16" s="903">
        <f t="array" ref="AX16">SUM(IF(LEFT(AX23:AX159,1)="s",1,0))</f>
        <v>6</v>
      </c>
      <c r="AY16" s="903">
        <f t="array" ref="AY16">SUM(IF(LEFT(AY23:AY159,1)="s",1,0))</f>
        <v>7</v>
      </c>
      <c r="AZ16" s="903">
        <f t="array" ref="AZ16">SUM(IF(LEFT(AZ23:AZ159,1)="s",1,0))</f>
        <v>0</v>
      </c>
      <c r="BA16" s="903">
        <f t="array" ref="BA16">SUM(IF(LEFT(BA23:BA159,1)="s",1,0))</f>
        <v>11</v>
      </c>
      <c r="BB16" s="903">
        <f t="array" ref="BB16">SUM(IF(LEFT(BB23:BB159,1)="s",1,0))</f>
        <v>26</v>
      </c>
      <c r="BC16" s="903">
        <f t="array" ref="BC16">SUM(IF(LEFT(BC23:BC159,1)="s",1,0))</f>
        <v>0</v>
      </c>
      <c r="BD16" s="903">
        <f t="array" ref="BD16">SUM(IF(LEFT(BD23:BD159,1)="s",1,0))</f>
        <v>0</v>
      </c>
      <c r="BE16" s="903">
        <f t="array" ref="BE16">SUM(IF(LEFT(BE23:BE159,1)="s",1,0))</f>
        <v>6</v>
      </c>
      <c r="BF16" s="903">
        <f t="array" ref="BF16">SUM(IF(LEFT(BF23:BF159,1)="s",1,0))</f>
        <v>4</v>
      </c>
      <c r="BG16" s="903">
        <f t="array" ref="BG16">SUM(IF(LEFT(BG23:BG159,1)="s",1,0))</f>
        <v>2</v>
      </c>
      <c r="BH16" s="903">
        <f t="array" ref="BH16">SUM(IF(LEFT(BH23:BH159,1)="s",1,0))</f>
        <v>5</v>
      </c>
      <c r="BI16" s="903">
        <f t="array" ref="BI16">SUM(IF(LEFT(BI23:BI159,1)="s",1,0))</f>
        <v>7</v>
      </c>
      <c r="BJ16" s="903">
        <f t="array" ref="BJ16">SUM(IF(LEFT(BJ23:BJ159,1)="s",1,0))</f>
        <v>5</v>
      </c>
      <c r="BK16" s="903">
        <f t="array" ref="BK16">SUM(IF(LEFT(BK23:BK159,1)="s",1,0))</f>
        <v>8</v>
      </c>
      <c r="BL16" s="903">
        <f t="array" ref="BL16">SUM(IF(LEFT(BL23:BL159,1)="s",1,0))</f>
        <v>0</v>
      </c>
      <c r="BM16" s="903">
        <f t="array" ref="BM16">SUM(IF(LEFT(BM23:BM159,1)="s",1,0))</f>
        <v>5</v>
      </c>
      <c r="BN16" s="889"/>
      <c r="BO16" s="889"/>
      <c r="BP16" s="889"/>
      <c r="BQ16" s="889"/>
      <c r="BR16" s="889"/>
      <c r="BS16" s="889"/>
      <c r="BT16" s="889"/>
      <c r="BU16" s="889"/>
      <c r="BV16" s="890"/>
      <c r="BW16" s="890"/>
      <c r="BX16" s="890"/>
      <c r="BY16" s="890"/>
      <c r="BZ16" s="889"/>
      <c r="CA16" s="889"/>
      <c r="CB16" s="889"/>
      <c r="CC16" s="889"/>
      <c r="CD16" s="889"/>
      <c r="CE16" s="889"/>
      <c r="CF16" s="889"/>
    </row>
    <row r="17" spans="1:117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21</v>
      </c>
      <c r="I17" s="860">
        <f>AVERAGEIF($H$23:$H$201,"=A",$J$23:$J$201)</f>
        <v>1.2857142857142858</v>
      </c>
      <c r="J17" s="860">
        <f>AVERAGEIF($H$23:$H$205,"=A",$K$23:$K$205)</f>
        <v>1.3809523809523809</v>
      </c>
      <c r="K17" s="858">
        <f>I17-J17</f>
        <v>-9.5238095238095122E-2</v>
      </c>
      <c r="L17" s="857">
        <f>COUNTIFS($L$23:$L$201,"=W",$H$23:$H$201,"=A")</f>
        <v>9</v>
      </c>
      <c r="M17" s="857">
        <f>COUNTIFS($L$23:$L$201,"=D",$H$23:$H$201,"=A")</f>
        <v>4</v>
      </c>
      <c r="N17" s="863">
        <f>COUNTIFS($L$23:$L$201,"=L",$H$23:$H$201,"=A")</f>
        <v>8</v>
      </c>
      <c r="O17" s="858">
        <f>SUM(I17:J17)</f>
        <v>2.666666666666667</v>
      </c>
      <c r="Q17" s="848"/>
      <c r="R17" s="859"/>
      <c r="S17" s="855"/>
      <c r="AF17" s="848" t="s">
        <v>718</v>
      </c>
      <c r="AG17" s="903">
        <f t="array" ref="AG17">SUM(IF(ISNUMBER(VALUE(RIGHT(AG23:AG167,1))),VALUE(RIGHT(AG23:AG167,1)),0))</f>
        <v>0</v>
      </c>
      <c r="AH17" s="903">
        <f t="array" ref="AH17">SUM(IF(ISNUMBER(VALUE(RIGHT(AH23:AH167,1))),VALUE(RIGHT(AH23:AH167,1)),0))</f>
        <v>0</v>
      </c>
      <c r="AI17" s="903">
        <f t="array" ref="AI17">SUM(IF(ISNUMBER(VALUE(RIGHT(AI23:AI167,1))),VALUE(RIGHT(AI23:AI167,1)),0))</f>
        <v>0</v>
      </c>
      <c r="AJ17" s="903">
        <f t="array" ref="AJ17">SUM(IF(ISNUMBER(VALUE(RIGHT(AJ23:AJ167,1))),VALUE(RIGHT(AJ23:AJ167,1)),0))</f>
        <v>0</v>
      </c>
      <c r="AK17" s="903">
        <f t="array" ref="AK17">SUM(IF(ISNUMBER(VALUE(RIGHT(AK23:AK167,1))),VALUE(RIGHT(AK23:AK167,1)),0))</f>
        <v>0</v>
      </c>
      <c r="AL17" s="903">
        <f t="array" ref="AL17">SUM(IF(ISNUMBER(VALUE(RIGHT(AL23:AL167,1))),VALUE(RIGHT(AL23:AL167,1)),0))</f>
        <v>2</v>
      </c>
      <c r="AM17" s="903">
        <f t="array" ref="AM17">SUM(IF(ISNUMBER(VALUE(RIGHT(AM23:AM167,1))),VALUE(RIGHT(AM23:AM167,1)),0))</f>
        <v>1</v>
      </c>
      <c r="AN17" s="903">
        <f t="array" ref="AN17">SUM(IF(ISNUMBER(VALUE(RIGHT(AN23:AN167,1))),VALUE(RIGHT(AN23:AN167,1)),0))</f>
        <v>4</v>
      </c>
      <c r="AO17" s="903">
        <f t="array" ref="AO17">SUM(IF(ISNUMBER(VALUE(RIGHT(AO23:AO167,1))),VALUE(RIGHT(AO23:AO167,1)),0))</f>
        <v>0</v>
      </c>
      <c r="AP17" s="903">
        <f t="array" ref="AP17">SUM(IF(ISNUMBER(VALUE(RIGHT(AP23:AP167,1))),VALUE(RIGHT(AP23:AP167,1)),0))</f>
        <v>0</v>
      </c>
      <c r="AQ17" s="903">
        <f t="array" ref="AQ17">SUM(IF(ISNUMBER(VALUE(RIGHT(AQ23:AQ167,1))),VALUE(RIGHT(AQ23:AQ167,1)),0))</f>
        <v>0</v>
      </c>
      <c r="AR17" s="903">
        <f t="array" ref="AR17">SUM(IF(ISNUMBER(VALUE(RIGHT(AR23:AR167,1))),VALUE(RIGHT(AR23:AR167,1)),0))</f>
        <v>3</v>
      </c>
      <c r="AS17" s="903">
        <f t="array" ref="AS17">SUM(IF(ISNUMBER(VALUE(RIGHT(AS23:AS167,1))),VALUE(RIGHT(AS23:AS167,1)),0))</f>
        <v>1</v>
      </c>
      <c r="AT17" s="903">
        <f t="array" ref="AT17">SUM(IF(ISNUMBER(VALUE(RIGHT(AT23:AT167,1))),VALUE(RIGHT(AT23:AT167,1)),0))</f>
        <v>3</v>
      </c>
      <c r="AU17" s="903">
        <f t="array" ref="AU17">SUM(IF(ISNUMBER(VALUE(RIGHT(AU23:AU167,1))),VALUE(RIGHT(AU23:AU167,1)),0))</f>
        <v>0</v>
      </c>
      <c r="AV17" s="903">
        <f t="array" ref="AV17">SUM(IF(ISNUMBER(VALUE(RIGHT(AV23:AV167,1))),VALUE(RIGHT(AV23:AV167,1)),0))</f>
        <v>0</v>
      </c>
      <c r="AW17" s="903">
        <f t="array" ref="AW17">SUM(IF(ISNUMBER(VALUE(RIGHT(AW23:AW167,1))),VALUE(RIGHT(AW23:AW167,1)),0))</f>
        <v>2</v>
      </c>
      <c r="AX17" s="903">
        <f t="array" ref="AX17">SUM(IF(ISNUMBER(VALUE(RIGHT(AX23:AX167,1))),VALUE(RIGHT(AX23:AX167,1)),0))</f>
        <v>0</v>
      </c>
      <c r="AY17" s="903">
        <f t="array" ref="AY17">SUM(IF(ISNUMBER(VALUE(RIGHT(AY23:AY167,1))),VALUE(RIGHT(AY23:AY167,1)),0))</f>
        <v>0</v>
      </c>
      <c r="AZ17" s="903">
        <f t="array" ref="AZ17">SUM(IF(ISNUMBER(VALUE(RIGHT(AZ23:AZ167,1))),VALUE(RIGHT(AZ23:AZ167,1)),0))</f>
        <v>1</v>
      </c>
      <c r="BA17" s="903">
        <f t="array" ref="BA17">SUM(IF(ISNUMBER(VALUE(RIGHT(BA23:BA167,1))),VALUE(RIGHT(BA23:BA167,1)),0))</f>
        <v>2</v>
      </c>
      <c r="BB17" s="903">
        <f t="array" ref="BB17">SUM(IF(ISNUMBER(VALUE(RIGHT(BB23:BB167,1))),VALUE(RIGHT(BB23:BB167,1)),0))</f>
        <v>8</v>
      </c>
      <c r="BC17" s="903">
        <f t="array" ref="BC17">SUM(IF(ISNUMBER(VALUE(RIGHT(BC23:BC167,1))),VALUE(RIGHT(BC23:BC167,1)),0))</f>
        <v>0</v>
      </c>
      <c r="BD17" s="903">
        <f t="array" ref="BD17">SUM(IF(ISNUMBER(VALUE(RIGHT(BD23:BD167,1))),VALUE(RIGHT(BD23:BD167,1)),0))</f>
        <v>0</v>
      </c>
      <c r="BE17" s="903">
        <f t="array" ref="BE17">SUM(IF(ISNUMBER(VALUE(RIGHT(BE23:BE167,1))),VALUE(RIGHT(BE23:BE167,1)),0))</f>
        <v>0</v>
      </c>
      <c r="BF17" s="903">
        <f t="array" ref="BF17">SUM(IF(ISNUMBER(VALUE(RIGHT(BF23:BF167,1))),VALUE(RIGHT(BF23:BF167,1)),0))</f>
        <v>4</v>
      </c>
      <c r="BG17" s="903">
        <f t="array" ref="BG17">SUM(IF(ISNUMBER(VALUE(RIGHT(BG23:BG167,1))),VALUE(RIGHT(BG23:BG167,1)),0))</f>
        <v>0</v>
      </c>
      <c r="BH17" s="903">
        <f t="array" ref="BH17">SUM(IF(ISNUMBER(VALUE(RIGHT(BH23:BH167,1))),VALUE(RIGHT(BH23:BH167,1)),0))</f>
        <v>1</v>
      </c>
      <c r="BI17" s="903">
        <f t="array" ref="BI17">SUM(IF(ISNUMBER(VALUE(RIGHT(BI23:BI167,1))),VALUE(RIGHT(BI23:BI167,1)),0))</f>
        <v>11</v>
      </c>
      <c r="BJ17" s="903">
        <f t="array" ref="BJ17">SUM(IF(ISNUMBER(VALUE(RIGHT(BJ23:BJ167,1))),VALUE(RIGHT(BJ23:BJ167,1)),0))</f>
        <v>0</v>
      </c>
      <c r="BK17" s="903">
        <f t="array" ref="BK17">SUM(IF(ISNUMBER(VALUE(RIGHT(BK23:BK167,1))),VALUE(RIGHT(BK23:BK167,1)),0))</f>
        <v>3</v>
      </c>
      <c r="BL17" s="903">
        <f t="array" ref="BL17">SUM(IF(ISNUMBER(VALUE(RIGHT(BL23:BL167,1))),VALUE(RIGHT(BL23:BL167,1)),0))</f>
        <v>5</v>
      </c>
      <c r="BM17" s="903">
        <f t="array" ref="BM17">SUM(IF(ISNUMBER(VALUE(RIGHT(BM23:BM167,1))),VALUE(RIGHT(BM23:BM167,1)),0))</f>
        <v>5</v>
      </c>
      <c r="BN17" s="889"/>
      <c r="BO17" s="889"/>
      <c r="BP17" s="889"/>
      <c r="BQ17" s="889"/>
      <c r="BR17" s="889"/>
      <c r="BS17" s="889"/>
      <c r="BT17" s="889"/>
      <c r="BU17" s="889"/>
      <c r="BV17" s="890"/>
      <c r="BW17" s="890"/>
      <c r="BX17" s="890"/>
      <c r="BY17" s="890"/>
      <c r="BZ17" s="889"/>
      <c r="CA17" s="889"/>
      <c r="CB17" s="889"/>
      <c r="CC17" s="889"/>
      <c r="CD17" s="889"/>
      <c r="CE17" s="889"/>
      <c r="CF17" s="889"/>
    </row>
    <row r="18" spans="1:117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AVERAGEIFS($Y$23:$Y$204,$H$23:$H$204,"H",$I$23:$I$204,Table!$C$1)</f>
        <v>4.0476190476190474</v>
      </c>
      <c r="S18" s="858">
        <f>AVERAGEIFS($Y$23:$Y$204,$H$23:$H$204,"A",$I$23:$I$204,Table!$C$1)</f>
        <v>3.9047619047619047</v>
      </c>
      <c r="AG18" s="876">
        <v>1</v>
      </c>
      <c r="AH18" s="876">
        <v>21</v>
      </c>
      <c r="AI18" s="876">
        <v>22</v>
      </c>
      <c r="AJ18" s="876">
        <v>31</v>
      </c>
      <c r="AK18" s="876">
        <v>2</v>
      </c>
      <c r="AL18" s="876">
        <v>4</v>
      </c>
      <c r="AM18" s="876">
        <v>5</v>
      </c>
      <c r="AN18" s="876">
        <v>13</v>
      </c>
      <c r="AO18" s="876">
        <v>23</v>
      </c>
      <c r="AP18" s="876">
        <v>27</v>
      </c>
      <c r="AQ18" s="876">
        <v>29</v>
      </c>
      <c r="AR18" s="876">
        <v>3</v>
      </c>
      <c r="AS18" s="876">
        <v>6</v>
      </c>
      <c r="AT18" s="876">
        <v>7</v>
      </c>
      <c r="AU18" s="876">
        <v>10</v>
      </c>
      <c r="AV18" s="876">
        <v>14</v>
      </c>
      <c r="AW18" s="876">
        <v>15</v>
      </c>
      <c r="AX18" s="876">
        <v>16</v>
      </c>
      <c r="AY18" s="876">
        <v>17</v>
      </c>
      <c r="AZ18" s="876">
        <v>35</v>
      </c>
      <c r="BA18" s="876">
        <v>18</v>
      </c>
      <c r="BB18" s="876">
        <v>20</v>
      </c>
      <c r="BC18" s="876">
        <v>24</v>
      </c>
      <c r="BD18" s="874">
        <v>25</v>
      </c>
      <c r="BE18" s="874">
        <v>26</v>
      </c>
      <c r="BF18" s="876">
        <v>28</v>
      </c>
      <c r="BG18" s="874">
        <v>30</v>
      </c>
      <c r="BH18" s="876">
        <v>39</v>
      </c>
      <c r="BI18" s="876">
        <v>9</v>
      </c>
      <c r="BJ18" s="874">
        <v>11</v>
      </c>
      <c r="BK18" s="874">
        <v>37</v>
      </c>
      <c r="BL18" s="876">
        <v>19</v>
      </c>
      <c r="BM18" s="876">
        <v>8</v>
      </c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</row>
    <row r="19" spans="1:117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AVERAGEIFS($Z$23:$Z$202,$H$23:$H$202,"H",$I$23:$I$202,Table!$C$1)</f>
        <v>2.7619047619047619</v>
      </c>
      <c r="S19" s="858">
        <f>AVERAGEIFS($Z$23:$Z$202,$H$23:$H$202,"A",$I$23:$I$202,Table!$C$1)</f>
        <v>3.5714285714285716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2216</v>
      </c>
      <c r="AH19" s="901" t="s">
        <v>2216</v>
      </c>
      <c r="AI19" s="901" t="s">
        <v>2216</v>
      </c>
      <c r="AJ19" s="901" t="s">
        <v>2216</v>
      </c>
      <c r="AK19" s="901" t="s">
        <v>2207</v>
      </c>
      <c r="AL19" s="901" t="s">
        <v>2207</v>
      </c>
      <c r="AM19" s="901" t="s">
        <v>2218</v>
      </c>
      <c r="AN19" s="901" t="s">
        <v>2207</v>
      </c>
      <c r="AO19" s="901" t="s">
        <v>2207</v>
      </c>
      <c r="AP19" s="901" t="s">
        <v>2217</v>
      </c>
      <c r="AQ19" s="901" t="s">
        <v>2222</v>
      </c>
      <c r="AR19" s="901" t="s">
        <v>2222</v>
      </c>
      <c r="AS19" s="901" t="s">
        <v>2209</v>
      </c>
      <c r="AT19" s="901" t="s">
        <v>2211</v>
      </c>
      <c r="AU19" s="901" t="s">
        <v>2210</v>
      </c>
      <c r="AV19" s="901" t="s">
        <v>2211</v>
      </c>
      <c r="AW19" s="901" t="s">
        <v>2209</v>
      </c>
      <c r="AX19" s="901" t="s">
        <v>2210</v>
      </c>
      <c r="AY19" s="901" t="s">
        <v>2213</v>
      </c>
      <c r="AZ19" s="901" t="s">
        <v>3486</v>
      </c>
      <c r="BA19" s="901" t="s">
        <v>2219</v>
      </c>
      <c r="BB19" s="901" t="s">
        <v>2219</v>
      </c>
      <c r="BC19" s="901" t="s">
        <v>2219</v>
      </c>
      <c r="BD19" s="901" t="s">
        <v>2219</v>
      </c>
      <c r="BE19" s="901" t="s">
        <v>2219</v>
      </c>
      <c r="BF19" s="901" t="s">
        <v>2219</v>
      </c>
      <c r="BG19" s="901" t="s">
        <v>2209</v>
      </c>
      <c r="BH19" s="901" t="s">
        <v>1999</v>
      </c>
      <c r="BI19" s="901" t="s">
        <v>2214</v>
      </c>
      <c r="BJ19" s="901" t="s">
        <v>2220</v>
      </c>
      <c r="BK19" s="901" t="s">
        <v>3126</v>
      </c>
      <c r="BL19" s="901" t="s">
        <v>2214</v>
      </c>
      <c r="BM19" s="901" t="s">
        <v>2214</v>
      </c>
      <c r="BS19" s="877"/>
      <c r="BT19" s="877"/>
      <c r="BU19" s="877"/>
      <c r="BV19" s="428"/>
      <c r="BW19" s="428"/>
      <c r="BX19" s="428"/>
      <c r="BY19" s="428"/>
      <c r="BZ19" s="877"/>
      <c r="CA19" s="877"/>
      <c r="CB19" s="877"/>
      <c r="CC19" s="877"/>
      <c r="CD19" s="877"/>
      <c r="CE19" s="877"/>
      <c r="CF19" s="877"/>
      <c r="CG19" s="428"/>
      <c r="CH19" s="876"/>
      <c r="CI19" s="876"/>
      <c r="CJ19" s="876"/>
    </row>
    <row r="20" spans="1:117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2</v>
      </c>
      <c r="G20" s="822" t="str">
        <f ca="1">MID(CELL("filename",A1),FIND("]",CELL("filename",A1))+1,LEN(CELL("filename",A1))-FIND("]",CELL("filename",A1)))</f>
        <v>V-Varen Nagasaki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2619</v>
      </c>
      <c r="AH20" s="887" t="s">
        <v>2620</v>
      </c>
      <c r="AI20" s="887" t="s">
        <v>2621</v>
      </c>
      <c r="AJ20" s="887" t="s">
        <v>2622</v>
      </c>
      <c r="AK20" s="887" t="s">
        <v>2623</v>
      </c>
      <c r="AL20" s="887" t="s">
        <v>3388</v>
      </c>
      <c r="AM20" s="887" t="s">
        <v>2624</v>
      </c>
      <c r="AN20" s="887" t="s">
        <v>3389</v>
      </c>
      <c r="AO20" s="887" t="s">
        <v>2625</v>
      </c>
      <c r="AP20" s="887" t="s">
        <v>2626</v>
      </c>
      <c r="AQ20" s="887" t="s">
        <v>2627</v>
      </c>
      <c r="AR20" s="887" t="s">
        <v>3298</v>
      </c>
      <c r="AS20" s="887" t="s">
        <v>2628</v>
      </c>
      <c r="AT20" s="887" t="s">
        <v>2629</v>
      </c>
      <c r="AU20" s="887" t="s">
        <v>2630</v>
      </c>
      <c r="AV20" s="887" t="s">
        <v>2631</v>
      </c>
      <c r="AW20" s="887" t="s">
        <v>3348</v>
      </c>
      <c r="AX20" s="887" t="s">
        <v>2632</v>
      </c>
      <c r="AY20" s="887" t="s">
        <v>2633</v>
      </c>
      <c r="AZ20" s="887" t="s">
        <v>3487</v>
      </c>
      <c r="BA20" s="887" t="s">
        <v>2634</v>
      </c>
      <c r="BB20" s="887" t="s">
        <v>2635</v>
      </c>
      <c r="BC20" s="887" t="s">
        <v>2636</v>
      </c>
      <c r="BD20" s="887" t="s">
        <v>2637</v>
      </c>
      <c r="BE20" s="887" t="s">
        <v>2638</v>
      </c>
      <c r="BF20" s="887" t="s">
        <v>2639</v>
      </c>
      <c r="BG20" s="887" t="s">
        <v>2640</v>
      </c>
      <c r="BH20" s="887" t="s">
        <v>2933</v>
      </c>
      <c r="BI20" s="887" t="s">
        <v>3141</v>
      </c>
      <c r="BJ20" s="887" t="s">
        <v>2641</v>
      </c>
      <c r="BK20" s="887" t="s">
        <v>3134</v>
      </c>
      <c r="BL20" s="887" t="s">
        <v>2642</v>
      </c>
      <c r="BM20" s="887" t="s">
        <v>2643</v>
      </c>
      <c r="BN20" s="819" t="s">
        <v>3098</v>
      </c>
      <c r="BS20" s="864"/>
      <c r="BT20" s="864"/>
      <c r="BU20" s="864"/>
      <c r="BV20" s="847"/>
      <c r="BW20" s="847"/>
      <c r="BX20" s="847"/>
      <c r="BY20" s="847"/>
      <c r="BZ20" s="864"/>
      <c r="CA20" s="864"/>
      <c r="CB20" s="864"/>
      <c r="CC20" s="864"/>
      <c r="CD20" s="864"/>
      <c r="CE20" s="864"/>
      <c r="CF20" s="86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</row>
    <row r="21" spans="1:117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1321</v>
      </c>
      <c r="AH21" s="886" t="s">
        <v>1040</v>
      </c>
      <c r="AI21" s="886" t="s">
        <v>1322</v>
      </c>
      <c r="AJ21" s="886" t="s">
        <v>1041</v>
      </c>
      <c r="AK21" s="886" t="s">
        <v>1323</v>
      </c>
      <c r="AL21" s="886" t="s">
        <v>1324</v>
      </c>
      <c r="AM21" s="886" t="s">
        <v>2276</v>
      </c>
      <c r="AN21" s="886" t="s">
        <v>1325</v>
      </c>
      <c r="AO21" s="886" t="s">
        <v>997</v>
      </c>
      <c r="AP21" s="886" t="s">
        <v>1326</v>
      </c>
      <c r="AQ21" s="886" t="s">
        <v>1327</v>
      </c>
      <c r="AR21" s="886" t="s">
        <v>1746</v>
      </c>
      <c r="AS21" s="886" t="s">
        <v>1328</v>
      </c>
      <c r="AT21" s="886" t="s">
        <v>1747</v>
      </c>
      <c r="AU21" s="886" t="s">
        <v>1043</v>
      </c>
      <c r="AV21" s="886" t="s">
        <v>1329</v>
      </c>
      <c r="AW21" s="886" t="s">
        <v>2277</v>
      </c>
      <c r="AX21" s="886" t="s">
        <v>1045</v>
      </c>
      <c r="AY21" s="886" t="s">
        <v>1330</v>
      </c>
      <c r="AZ21" s="886" t="s">
        <v>1263</v>
      </c>
      <c r="BA21" s="886" t="s">
        <v>1331</v>
      </c>
      <c r="BB21" s="886" t="s">
        <v>1044</v>
      </c>
      <c r="BC21" s="886" t="s">
        <v>1332</v>
      </c>
      <c r="BD21" s="886" t="s">
        <v>1047</v>
      </c>
      <c r="BE21" s="886" t="s">
        <v>1081</v>
      </c>
      <c r="BF21" s="886" t="s">
        <v>1749</v>
      </c>
      <c r="BG21" s="886" t="s">
        <v>2100</v>
      </c>
      <c r="BH21" s="886" t="s">
        <v>2934</v>
      </c>
      <c r="BI21" s="886" t="s">
        <v>2687</v>
      </c>
      <c r="BJ21" s="886" t="s">
        <v>1082</v>
      </c>
      <c r="BK21" s="886" t="s">
        <v>3133</v>
      </c>
      <c r="BL21" s="886" t="s">
        <v>1750</v>
      </c>
      <c r="BM21" s="886" t="s">
        <v>1748</v>
      </c>
      <c r="BS21" s="864"/>
      <c r="BT21" s="864"/>
      <c r="BU21" s="864"/>
      <c r="BV21" s="847"/>
      <c r="BW21" s="847"/>
      <c r="BX21" s="847"/>
      <c r="BY21" s="847"/>
      <c r="BZ21" s="864"/>
      <c r="CA21" s="864"/>
      <c r="CB21" s="864"/>
      <c r="CC21" s="864"/>
      <c r="CD21" s="864"/>
      <c r="CE21" s="864"/>
      <c r="CF21" s="86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</row>
    <row r="22" spans="1:117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D22" s="829"/>
      <c r="BF22" s="829"/>
      <c r="BI22" s="829"/>
      <c r="BJ22" s="829"/>
      <c r="BK22" s="829"/>
      <c r="BL22" s="829"/>
      <c r="BM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</row>
    <row r="23" spans="1:117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22</v>
      </c>
      <c r="G23" s="879" t="s">
        <v>1087</v>
      </c>
      <c r="H23" s="879" t="s">
        <v>22</v>
      </c>
      <c r="I23" s="879" t="s">
        <v>891</v>
      </c>
      <c r="J23" s="846">
        <v>4</v>
      </c>
      <c r="K23" s="846">
        <v>0</v>
      </c>
      <c r="L23" s="816" t="str">
        <f t="shared" ref="L23:L42" si="14">IF(J23="","",IF(J23&gt;K23,"W",IF(J23=K23,"D",IF(J23&lt;K23,"L"))))</f>
        <v>W</v>
      </c>
      <c r="M23" s="816">
        <f t="shared" ref="M23:M42" si="15">IF(J23="","",J23+K23)</f>
        <v>4</v>
      </c>
      <c r="N23" s="816" t="str">
        <f t="shared" ref="N23:N41" si="16">IF($J23="","",IF($M23&gt;N$19,"O",IF($M23&lt;N$19,"U",IF($M23=N$19,"-"))))</f>
        <v>O</v>
      </c>
      <c r="O23" s="816">
        <f t="shared" ref="O23:O42" si="17">IF(Q23="","",IF(SIGN(Q23)&lt;&gt;1,VLOOKUP(ABS(Q23),SUP_HDC,3,TRUE),-VLOOKUP(ABS(Q23),SUP_HDC,3,TRUE)))</f>
        <v>-0.5</v>
      </c>
      <c r="P23" s="829">
        <f t="shared" ref="P23:P42" si="18">IF(O23="","",IF((J23-K23+O23)&gt;=0.5,1,IF((J23-K23+O23)=0.25,0.5,IF((J23-K23+O23)&lt;=-0.5,-1,IF((J23-K23+O23)=-0.25,-0.5,0)))))</f>
        <v>1</v>
      </c>
      <c r="Q23" s="830">
        <v>0.48</v>
      </c>
      <c r="R23" s="871">
        <f t="shared" ref="R23:R42" si="19">IF(ISBLANK(Q23),"",J23-K23-Q23)</f>
        <v>3.52</v>
      </c>
      <c r="S23" s="830">
        <v>2.17</v>
      </c>
      <c r="T23" s="871">
        <f t="shared" ref="T23:T42" si="20">IF(ISBLANK(S23),"",J23+K23-S23)</f>
        <v>1.83</v>
      </c>
      <c r="U23" s="868">
        <f t="shared" ref="U23:U42" si="21">IF(Q23="","",(Q23+S23)/2)</f>
        <v>1.325</v>
      </c>
      <c r="V23" s="868">
        <f t="shared" ref="V23:V42" si="22">IF(Q23="","",S23-U23)</f>
        <v>0.84499999999999997</v>
      </c>
      <c r="W23" s="816">
        <v>10</v>
      </c>
      <c r="X23" s="816">
        <v>12</v>
      </c>
      <c r="Y23" s="829">
        <v>5</v>
      </c>
      <c r="Z23" s="829">
        <v>6</v>
      </c>
      <c r="AA23" s="829">
        <v>44</v>
      </c>
      <c r="AB23" s="829">
        <v>56</v>
      </c>
      <c r="AC23" s="829"/>
      <c r="AD23" s="816" t="str">
        <f t="array" ref="AD23">IF($J23="","",IF(SUM(IF(ISNUMBER(VALUE(RIGHT($AG23:$DY23,1))),VALUE(RIGHT($AG23:$DY23,1)),0))=$J23,"T","F"))</f>
        <v>T</v>
      </c>
      <c r="AE23" s="831">
        <f t="array" ref="AE23">IF($J23="","",SUM(IF(LEFT($AG23:$DY23,1)="s",1,0))-SUM(IF(RIGHT(LEFT($AG23:$DY23,2))="-",1,0)))</f>
        <v>0</v>
      </c>
      <c r="AF23" s="816">
        <f t="array" ref="AF23">IF($J23="","",SUM(IF(LEFT($AG23:$DY23,1)="X",1,0)))</f>
        <v>11</v>
      </c>
      <c r="AG23" s="891" t="s">
        <v>34</v>
      </c>
      <c r="AH23" s="891" t="s">
        <v>32</v>
      </c>
      <c r="AI23" s="891" t="s">
        <v>32</v>
      </c>
      <c r="AJ23" s="891" t="s">
        <v>1877</v>
      </c>
      <c r="AK23" s="891" t="s">
        <v>34</v>
      </c>
      <c r="AL23" s="891" t="s">
        <v>32</v>
      </c>
      <c r="AM23" s="891" t="s">
        <v>34</v>
      </c>
      <c r="AN23" s="891" t="s">
        <v>1879</v>
      </c>
      <c r="AO23" s="891" t="s">
        <v>32</v>
      </c>
      <c r="AP23" s="891" t="s">
        <v>1877</v>
      </c>
      <c r="AQ23" s="891" t="s">
        <v>1877</v>
      </c>
      <c r="AR23" s="891" t="s">
        <v>35</v>
      </c>
      <c r="AS23" s="891" t="s">
        <v>34</v>
      </c>
      <c r="AT23" s="891" t="s">
        <v>32</v>
      </c>
      <c r="AU23" s="891" t="s">
        <v>1877</v>
      </c>
      <c r="AV23" s="891" t="s">
        <v>32</v>
      </c>
      <c r="AW23" s="904" t="s">
        <v>1879</v>
      </c>
      <c r="AX23" s="891" t="s">
        <v>32</v>
      </c>
      <c r="AY23" s="891" t="s">
        <v>36</v>
      </c>
      <c r="AZ23" s="891"/>
      <c r="BA23" s="891" t="s">
        <v>35</v>
      </c>
      <c r="BB23" s="891" t="s">
        <v>36</v>
      </c>
      <c r="BC23" s="891" t="s">
        <v>32</v>
      </c>
      <c r="BD23" s="891" t="s">
        <v>32</v>
      </c>
      <c r="BE23" s="891" t="s">
        <v>32</v>
      </c>
      <c r="BF23" s="904" t="s">
        <v>34</v>
      </c>
      <c r="BG23" s="891"/>
      <c r="BH23" s="910"/>
      <c r="BI23" s="891" t="s">
        <v>1879</v>
      </c>
      <c r="BJ23" s="891" t="s">
        <v>36</v>
      </c>
      <c r="BK23" s="891"/>
      <c r="BL23" s="891" t="s">
        <v>1878</v>
      </c>
      <c r="BM23" s="891" t="s">
        <v>32</v>
      </c>
      <c r="BS23" s="891"/>
      <c r="BT23" s="891"/>
      <c r="BU23" s="891"/>
      <c r="BV23" s="896"/>
      <c r="BW23" s="896"/>
      <c r="BX23" s="896"/>
      <c r="BY23" s="896"/>
      <c r="BZ23" s="896"/>
      <c r="CA23" s="896"/>
      <c r="CB23" s="896"/>
      <c r="CC23" s="896"/>
      <c r="CD23" s="896"/>
      <c r="CE23" s="896"/>
      <c r="CF23" s="896"/>
      <c r="CG23" s="428"/>
      <c r="CH23" s="428"/>
      <c r="CI23" s="428"/>
      <c r="CJ23" s="428"/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</row>
    <row r="24" spans="1:117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10</v>
      </c>
      <c r="G24" s="879" t="s">
        <v>883</v>
      </c>
      <c r="H24" s="879" t="s">
        <v>22</v>
      </c>
      <c r="I24" s="879" t="s">
        <v>891</v>
      </c>
      <c r="J24" s="846">
        <v>1</v>
      </c>
      <c r="K24" s="846">
        <v>1</v>
      </c>
      <c r="L24" s="816" t="str">
        <f t="shared" si="14"/>
        <v>D</v>
      </c>
      <c r="M24" s="816">
        <f t="shared" si="15"/>
        <v>2</v>
      </c>
      <c r="N24" s="816" t="str">
        <f t="shared" si="16"/>
        <v>U</v>
      </c>
      <c r="O24" s="816">
        <f t="shared" si="17"/>
        <v>0</v>
      </c>
      <c r="P24" s="829">
        <f t="shared" si="18"/>
        <v>0</v>
      </c>
      <c r="Q24" s="830">
        <v>-0.03</v>
      </c>
      <c r="R24" s="871">
        <f t="shared" si="19"/>
        <v>0.03</v>
      </c>
      <c r="S24" s="830">
        <v>2.1</v>
      </c>
      <c r="T24" s="871">
        <f t="shared" si="20"/>
        <v>-0.10000000000000009</v>
      </c>
      <c r="U24" s="868">
        <f t="shared" si="21"/>
        <v>1.0350000000000001</v>
      </c>
      <c r="V24" s="868">
        <f t="shared" si="22"/>
        <v>1.0649999999999999</v>
      </c>
      <c r="W24" s="829">
        <v>13</v>
      </c>
      <c r="X24" s="829">
        <v>13</v>
      </c>
      <c r="Y24" s="829">
        <v>4</v>
      </c>
      <c r="Z24" s="829">
        <v>2</v>
      </c>
      <c r="AA24" s="829">
        <v>52</v>
      </c>
      <c r="AB24" s="829">
        <v>48</v>
      </c>
      <c r="AD24" s="816" t="str">
        <f t="array" ref="AD24">IF($J24="","",IF(SUM(IF(ISNUMBER(VALUE(RIGHT($AG24:$DY24,1))),VALUE(RIGHT($AG24:$DY24,1)),0))=$J24,"T","F"))</f>
        <v>T</v>
      </c>
      <c r="AE24" s="831">
        <f t="array" ref="AE24">IF($J24="","",SUM(IF(LEFT($AG24:$DY24,1)="s",1,0))-SUM(IF(RIGHT(LEFT($AG24:$DY24,2))="-",1,0)))</f>
        <v>0</v>
      </c>
      <c r="AF24" s="816">
        <f t="array" ref="AF24">IF($J24="","",SUM(IF(LEFT($AG24:$DY24,1)="X",1,0)))</f>
        <v>11</v>
      </c>
      <c r="AG24" s="891" t="s">
        <v>34</v>
      </c>
      <c r="AH24" s="891" t="s">
        <v>32</v>
      </c>
      <c r="AI24" s="891" t="s">
        <v>32</v>
      </c>
      <c r="AJ24" s="891" t="s">
        <v>1877</v>
      </c>
      <c r="AK24" s="891" t="s">
        <v>34</v>
      </c>
      <c r="AL24" s="891" t="s">
        <v>32</v>
      </c>
      <c r="AM24" s="891" t="s">
        <v>34</v>
      </c>
      <c r="AN24" s="904" t="s">
        <v>34</v>
      </c>
      <c r="AO24" s="891" t="s">
        <v>32</v>
      </c>
      <c r="AP24" s="891" t="s">
        <v>1877</v>
      </c>
      <c r="AQ24" s="891" t="s">
        <v>32</v>
      </c>
      <c r="AR24" s="891" t="s">
        <v>34</v>
      </c>
      <c r="AS24" s="891" t="s">
        <v>34</v>
      </c>
      <c r="AT24" s="891" t="s">
        <v>36</v>
      </c>
      <c r="AU24" s="891" t="s">
        <v>32</v>
      </c>
      <c r="AV24" s="891" t="s">
        <v>32</v>
      </c>
      <c r="AW24" s="891" t="s">
        <v>34</v>
      </c>
      <c r="AX24" s="891" t="s">
        <v>32</v>
      </c>
      <c r="AY24" s="891" t="s">
        <v>1877</v>
      </c>
      <c r="AZ24" s="891"/>
      <c r="BA24" s="891" t="s">
        <v>35</v>
      </c>
      <c r="BB24" s="891" t="s">
        <v>1943</v>
      </c>
      <c r="BC24" s="891" t="s">
        <v>32</v>
      </c>
      <c r="BD24" s="891" t="s">
        <v>32</v>
      </c>
      <c r="BE24" s="891" t="s">
        <v>1877</v>
      </c>
      <c r="BF24" s="891" t="s">
        <v>34</v>
      </c>
      <c r="BG24" s="891"/>
      <c r="BH24" s="910"/>
      <c r="BI24" s="891" t="s">
        <v>32</v>
      </c>
      <c r="BJ24" s="904" t="s">
        <v>36</v>
      </c>
      <c r="BK24" s="891"/>
      <c r="BL24" s="891" t="s">
        <v>35</v>
      </c>
      <c r="BM24" s="891" t="s">
        <v>35</v>
      </c>
      <c r="BO24" s="891"/>
      <c r="BP24" s="891"/>
      <c r="BQ24" s="891"/>
      <c r="BR24" s="891"/>
      <c r="BS24" s="891"/>
      <c r="BT24" s="891"/>
      <c r="BU24" s="891"/>
      <c r="BV24" s="896"/>
      <c r="BW24" s="896"/>
      <c r="BX24" s="896"/>
      <c r="BY24" s="896"/>
      <c r="BZ24" s="896"/>
      <c r="CA24" s="896"/>
      <c r="CB24" s="896"/>
      <c r="CC24" s="896"/>
      <c r="CD24" s="896"/>
      <c r="CE24" s="896"/>
      <c r="CF24" s="896"/>
      <c r="CG24" s="428"/>
      <c r="CH24" s="428"/>
      <c r="CI24" s="428"/>
      <c r="CJ24" s="428"/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</row>
    <row r="25" spans="1:117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7</v>
      </c>
      <c r="G25" s="879" t="s">
        <v>888</v>
      </c>
      <c r="H25" s="879" t="s">
        <v>18</v>
      </c>
      <c r="I25" s="879" t="s">
        <v>891</v>
      </c>
      <c r="J25" s="908">
        <v>1</v>
      </c>
      <c r="K25" s="846">
        <v>3</v>
      </c>
      <c r="L25" s="816" t="str">
        <f t="shared" si="14"/>
        <v>L</v>
      </c>
      <c r="M25" s="816">
        <f t="shared" si="15"/>
        <v>4</v>
      </c>
      <c r="N25" s="816" t="str">
        <f t="shared" si="16"/>
        <v>O</v>
      </c>
      <c r="O25" s="816">
        <f t="shared" si="17"/>
        <v>0.25</v>
      </c>
      <c r="P25" s="829">
        <f t="shared" si="18"/>
        <v>-1</v>
      </c>
      <c r="Q25" s="830">
        <v>-0.3</v>
      </c>
      <c r="R25" s="871">
        <f t="shared" si="19"/>
        <v>-1.7</v>
      </c>
      <c r="S25" s="830">
        <v>1.98</v>
      </c>
      <c r="T25" s="871">
        <f t="shared" si="20"/>
        <v>2.02</v>
      </c>
      <c r="U25" s="868">
        <f t="shared" si="21"/>
        <v>0.84</v>
      </c>
      <c r="V25" s="868">
        <f t="shared" si="22"/>
        <v>1.1400000000000001</v>
      </c>
      <c r="W25" s="829">
        <v>6</v>
      </c>
      <c r="X25" s="829">
        <v>13</v>
      </c>
      <c r="Y25" s="829">
        <v>3</v>
      </c>
      <c r="Z25" s="829">
        <v>3</v>
      </c>
      <c r="AA25" s="829">
        <v>39</v>
      </c>
      <c r="AB25" s="829">
        <v>61</v>
      </c>
      <c r="AC25" s="829"/>
      <c r="AD25" s="816" t="str">
        <f t="array" ref="AD25">IF($J25="","",IF(SUM(IF(ISNUMBER(VALUE(RIGHT($AG25:$DY25,1))),VALUE(RIGHT($AG25:$DY25,1)),0))=$J25,"T","F"))</f>
        <v>T</v>
      </c>
      <c r="AE25" s="831">
        <f t="array" ref="AE25">IF($J25="","",SUM(IF(LEFT($AG25:$DY25,1)="s",1,0))-SUM(IF(RIGHT(LEFT($AG25:$DY25,2))="-",1,0)))</f>
        <v>0</v>
      </c>
      <c r="AF25" s="816">
        <f t="array" ref="AF25">IF($J25="","",SUM(IF(LEFT($AG25:$DY25,1)="X",1,0)))</f>
        <v>11</v>
      </c>
      <c r="AG25" s="891" t="s">
        <v>34</v>
      </c>
      <c r="AH25" s="891" t="s">
        <v>32</v>
      </c>
      <c r="AI25" s="891" t="s">
        <v>32</v>
      </c>
      <c r="AJ25" s="891" t="s">
        <v>1877</v>
      </c>
      <c r="AK25" s="909" t="s">
        <v>34</v>
      </c>
      <c r="AL25" s="891" t="s">
        <v>32</v>
      </c>
      <c r="AM25" s="909" t="s">
        <v>34</v>
      </c>
      <c r="AN25" s="891" t="s">
        <v>34</v>
      </c>
      <c r="AO25" s="891" t="s">
        <v>32</v>
      </c>
      <c r="AP25" s="891" t="s">
        <v>1877</v>
      </c>
      <c r="AQ25" s="891" t="s">
        <v>1877</v>
      </c>
      <c r="AR25" s="891" t="s">
        <v>34</v>
      </c>
      <c r="AS25" s="891" t="s">
        <v>35</v>
      </c>
      <c r="AT25" s="891" t="s">
        <v>1979</v>
      </c>
      <c r="AU25" s="891" t="s">
        <v>36</v>
      </c>
      <c r="AV25" s="891" t="s">
        <v>32</v>
      </c>
      <c r="AW25" s="904" t="s">
        <v>34</v>
      </c>
      <c r="AX25" s="891" t="s">
        <v>32</v>
      </c>
      <c r="AY25" s="891" t="s">
        <v>32</v>
      </c>
      <c r="AZ25" s="891"/>
      <c r="BA25" s="891" t="s">
        <v>35</v>
      </c>
      <c r="BB25" s="891" t="s">
        <v>36</v>
      </c>
      <c r="BC25" s="891" t="s">
        <v>32</v>
      </c>
      <c r="BD25" s="891" t="s">
        <v>32</v>
      </c>
      <c r="BE25" s="891" t="s">
        <v>32</v>
      </c>
      <c r="BF25" s="891" t="s">
        <v>34</v>
      </c>
      <c r="BG25" s="891"/>
      <c r="BH25" s="910"/>
      <c r="BI25" s="891" t="s">
        <v>32</v>
      </c>
      <c r="BJ25" s="891" t="s">
        <v>1978</v>
      </c>
      <c r="BK25" s="891"/>
      <c r="BL25" s="904" t="s">
        <v>34</v>
      </c>
      <c r="BM25" s="891" t="s">
        <v>1877</v>
      </c>
      <c r="BO25" s="891"/>
      <c r="BP25" s="891"/>
      <c r="BQ25" s="891"/>
      <c r="BR25" s="891"/>
      <c r="BS25" s="891"/>
      <c r="BT25" s="891"/>
      <c r="BU25" s="891"/>
      <c r="BV25" s="896"/>
      <c r="BW25" s="896"/>
      <c r="BX25" s="896"/>
      <c r="BY25" s="896"/>
      <c r="BZ25" s="896"/>
      <c r="CA25" s="896"/>
      <c r="CB25" s="896"/>
      <c r="CC25" s="896"/>
      <c r="CD25" s="896"/>
      <c r="CE25" s="896"/>
      <c r="CF25" s="896"/>
      <c r="CG25" s="428"/>
      <c r="CH25" s="428"/>
      <c r="CI25" s="428"/>
      <c r="CJ25" s="428"/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</row>
    <row r="26" spans="1:117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17</v>
      </c>
      <c r="G26" s="879" t="s">
        <v>875</v>
      </c>
      <c r="H26" s="879" t="s">
        <v>22</v>
      </c>
      <c r="I26" s="879" t="s">
        <v>891</v>
      </c>
      <c r="J26" s="846">
        <v>2</v>
      </c>
      <c r="K26" s="846">
        <v>1</v>
      </c>
      <c r="L26" s="816" t="str">
        <f t="shared" si="14"/>
        <v>W</v>
      </c>
      <c r="M26" s="816">
        <f t="shared" si="15"/>
        <v>3</v>
      </c>
      <c r="N26" s="816" t="str">
        <f t="shared" si="16"/>
        <v>O</v>
      </c>
      <c r="O26" s="816">
        <f t="shared" si="17"/>
        <v>-0.25</v>
      </c>
      <c r="P26" s="829">
        <f t="shared" si="18"/>
        <v>1</v>
      </c>
      <c r="Q26" s="830">
        <v>0.15</v>
      </c>
      <c r="R26" s="871">
        <f t="shared" si="19"/>
        <v>0.85</v>
      </c>
      <c r="S26" s="830">
        <v>2.04</v>
      </c>
      <c r="T26" s="871">
        <f t="shared" si="20"/>
        <v>0.96</v>
      </c>
      <c r="U26" s="868">
        <f t="shared" si="21"/>
        <v>1.095</v>
      </c>
      <c r="V26" s="868">
        <f t="shared" si="22"/>
        <v>0.94500000000000006</v>
      </c>
      <c r="W26" s="829">
        <v>11</v>
      </c>
      <c r="X26" s="829">
        <v>13</v>
      </c>
      <c r="Y26" s="829">
        <v>5</v>
      </c>
      <c r="Z26" s="829">
        <v>2</v>
      </c>
      <c r="AA26" s="829">
        <v>54</v>
      </c>
      <c r="AB26" s="829">
        <v>46</v>
      </c>
      <c r="AC26" s="829"/>
      <c r="AD26" s="816" t="str">
        <f t="array" ref="AD26">IF($J26="","",IF(SUM(IF(ISNUMBER(VALUE(RIGHT($AG26:$DY26,1))),VALUE(RIGHT($AG26:$DY26,1)),0))=$J26,"T","F"))</f>
        <v>T</v>
      </c>
      <c r="AE26" s="831">
        <f t="array" ref="AE26">IF($J26="","",SUM(IF(LEFT($AG26:$DY26,1)="s",1,0))-SUM(IF(RIGHT(LEFT($AG26:$DY26,2))="-",1,0)))</f>
        <v>0</v>
      </c>
      <c r="AF26" s="816">
        <f t="array" ref="AF26">IF($J26="","",SUM(IF(LEFT($AG26:$DY26,1)="X",1,0)))</f>
        <v>11</v>
      </c>
      <c r="AG26" s="891" t="s">
        <v>34</v>
      </c>
      <c r="AH26" s="891" t="s">
        <v>32</v>
      </c>
      <c r="AI26" s="891" t="s">
        <v>32</v>
      </c>
      <c r="AJ26" s="891" t="s">
        <v>1877</v>
      </c>
      <c r="AK26" s="891" t="s">
        <v>2096</v>
      </c>
      <c r="AL26" s="891" t="s">
        <v>32</v>
      </c>
      <c r="AM26" s="891" t="s">
        <v>2099</v>
      </c>
      <c r="AN26" s="891" t="s">
        <v>34</v>
      </c>
      <c r="AO26" s="891" t="s">
        <v>34</v>
      </c>
      <c r="AP26" s="891" t="s">
        <v>32</v>
      </c>
      <c r="AQ26" s="891" t="s">
        <v>1877</v>
      </c>
      <c r="AR26" s="891" t="s">
        <v>34</v>
      </c>
      <c r="AS26" s="891" t="s">
        <v>34</v>
      </c>
      <c r="AT26" s="891" t="s">
        <v>35</v>
      </c>
      <c r="AU26" s="891" t="s">
        <v>35</v>
      </c>
      <c r="AV26" s="891" t="s">
        <v>1877</v>
      </c>
      <c r="AW26" s="891" t="s">
        <v>34</v>
      </c>
      <c r="AX26" s="891" t="s">
        <v>32</v>
      </c>
      <c r="AY26" s="891" t="s">
        <v>32</v>
      </c>
      <c r="AZ26" s="891"/>
      <c r="BA26" s="891" t="s">
        <v>1877</v>
      </c>
      <c r="BB26" s="891" t="s">
        <v>36</v>
      </c>
      <c r="BC26" s="891" t="s">
        <v>32</v>
      </c>
      <c r="BD26" s="891" t="s">
        <v>32</v>
      </c>
      <c r="BE26" s="891" t="s">
        <v>32</v>
      </c>
      <c r="BF26" s="891" t="s">
        <v>2102</v>
      </c>
      <c r="BG26" s="891" t="s">
        <v>36</v>
      </c>
      <c r="BH26" s="910"/>
      <c r="BI26" s="891" t="s">
        <v>36</v>
      </c>
      <c r="BJ26" s="891" t="s">
        <v>32</v>
      </c>
      <c r="BK26" s="891"/>
      <c r="BL26" s="891" t="s">
        <v>34</v>
      </c>
      <c r="BM26" s="891" t="s">
        <v>2101</v>
      </c>
      <c r="BO26" s="891"/>
      <c r="BP26" s="891"/>
      <c r="BQ26" s="891"/>
      <c r="BR26" s="891"/>
      <c r="BS26" s="891"/>
      <c r="BT26" s="891"/>
      <c r="BU26" s="891"/>
      <c r="BV26" s="896"/>
      <c r="BW26" s="896"/>
      <c r="BX26" s="896"/>
      <c r="BY26" s="896"/>
      <c r="BZ26" s="896"/>
      <c r="CA26" s="896"/>
      <c r="CB26" s="896"/>
      <c r="CC26" s="896"/>
      <c r="CD26" s="896"/>
      <c r="CE26" s="896"/>
      <c r="CF26" s="896"/>
      <c r="CG26" s="4"/>
      <c r="CH26" s="4"/>
      <c r="CI26" s="4"/>
      <c r="CJ26" s="4"/>
      <c r="CK26" s="4" t="s">
        <v>32</v>
      </c>
      <c r="CL26" s="4" t="s">
        <v>32</v>
      </c>
      <c r="CM26" s="4" t="s">
        <v>32</v>
      </c>
      <c r="CN26" s="6" t="s">
        <v>32</v>
      </c>
      <c r="CO26" s="6" t="s">
        <v>32</v>
      </c>
      <c r="CP26" s="6" t="s">
        <v>32</v>
      </c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20"/>
    </row>
    <row r="27" spans="1:117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12</v>
      </c>
      <c r="G27" s="879" t="s">
        <v>879</v>
      </c>
      <c r="H27" s="879" t="s">
        <v>18</v>
      </c>
      <c r="I27" s="879" t="s">
        <v>891</v>
      </c>
      <c r="J27" s="846">
        <v>1</v>
      </c>
      <c r="K27" s="846">
        <v>0</v>
      </c>
      <c r="L27" s="816" t="str">
        <f t="shared" si="14"/>
        <v>W</v>
      </c>
      <c r="M27" s="816">
        <f t="shared" si="15"/>
        <v>1</v>
      </c>
      <c r="N27" s="816" t="str">
        <f t="shared" si="16"/>
        <v>U</v>
      </c>
      <c r="O27" s="816">
        <f t="shared" si="17"/>
        <v>0.25</v>
      </c>
      <c r="P27" s="829">
        <f t="shared" si="18"/>
        <v>1</v>
      </c>
      <c r="Q27" s="830">
        <v>-0.18</v>
      </c>
      <c r="R27" s="871">
        <f t="shared" si="19"/>
        <v>1.18</v>
      </c>
      <c r="S27" s="830">
        <v>2.13</v>
      </c>
      <c r="T27" s="871">
        <f t="shared" si="20"/>
        <v>-1.1299999999999999</v>
      </c>
      <c r="U27" s="868">
        <f t="shared" si="21"/>
        <v>0.97499999999999998</v>
      </c>
      <c r="V27" s="868">
        <f t="shared" si="22"/>
        <v>1.1549999999999998</v>
      </c>
      <c r="W27" s="829">
        <v>15</v>
      </c>
      <c r="X27" s="829">
        <v>10</v>
      </c>
      <c r="Y27" s="829">
        <v>3</v>
      </c>
      <c r="Z27" s="829">
        <v>1</v>
      </c>
      <c r="AA27" s="829">
        <v>40</v>
      </c>
      <c r="AB27" s="829">
        <v>60</v>
      </c>
      <c r="AC27" s="829"/>
      <c r="AD27" s="816" t="str">
        <f t="array" ref="AD27">IF($J27="","",IF(SUM(IF(ISNUMBER(VALUE(RIGHT($AG27:$DY27,1))),VALUE(RIGHT($AG27:$DY27,1)),0))=$J27,"T","F"))</f>
        <v>T</v>
      </c>
      <c r="AE27" s="831">
        <f t="array" ref="AE27">IF($J27="","",SUM(IF(LEFT($AG27:$DY27,1)="s",1,0))-SUM(IF(RIGHT(LEFT($AG27:$DY27,2))="-",1,0)))</f>
        <v>0</v>
      </c>
      <c r="AF27" s="816">
        <f t="array" ref="AF27">IF($J27="","",SUM(IF(LEFT($AG27:$DY27,1)="X",1,0)))</f>
        <v>11</v>
      </c>
      <c r="AG27" s="891" t="s">
        <v>34</v>
      </c>
      <c r="AH27" s="891" t="s">
        <v>32</v>
      </c>
      <c r="AI27" s="891" t="s">
        <v>32</v>
      </c>
      <c r="AJ27" s="891" t="s">
        <v>1877</v>
      </c>
      <c r="AK27" s="891" t="s">
        <v>35</v>
      </c>
      <c r="AL27" s="891" t="s">
        <v>32</v>
      </c>
      <c r="AM27" s="891" t="s">
        <v>34</v>
      </c>
      <c r="AN27" s="891" t="s">
        <v>34</v>
      </c>
      <c r="AO27" s="891" t="s">
        <v>36</v>
      </c>
      <c r="AP27" s="891" t="s">
        <v>32</v>
      </c>
      <c r="AQ27" s="891" t="s">
        <v>1877</v>
      </c>
      <c r="AR27" s="891" t="s">
        <v>34</v>
      </c>
      <c r="AS27" s="891" t="s">
        <v>32</v>
      </c>
      <c r="AT27" s="891" t="s">
        <v>35</v>
      </c>
      <c r="AU27" s="891" t="s">
        <v>35</v>
      </c>
      <c r="AV27" s="891" t="s">
        <v>32</v>
      </c>
      <c r="AW27" s="891" t="s">
        <v>34</v>
      </c>
      <c r="AX27" s="891" t="s">
        <v>36</v>
      </c>
      <c r="AY27" s="891" t="s">
        <v>32</v>
      </c>
      <c r="AZ27" s="891"/>
      <c r="BA27" s="891" t="s">
        <v>1877</v>
      </c>
      <c r="BB27" s="904" t="s">
        <v>36</v>
      </c>
      <c r="BC27" s="891" t="s">
        <v>32</v>
      </c>
      <c r="BD27" s="891" t="s">
        <v>32</v>
      </c>
      <c r="BE27" s="891" t="s">
        <v>32</v>
      </c>
      <c r="BF27" s="891" t="s">
        <v>34</v>
      </c>
      <c r="BG27" s="891" t="s">
        <v>32</v>
      </c>
      <c r="BH27" s="910"/>
      <c r="BI27" s="904" t="s">
        <v>2140</v>
      </c>
      <c r="BJ27" s="891" t="s">
        <v>32</v>
      </c>
      <c r="BK27" s="891"/>
      <c r="BL27" s="891" t="s">
        <v>34</v>
      </c>
      <c r="BM27" s="891" t="s">
        <v>1877</v>
      </c>
      <c r="BO27" s="891"/>
      <c r="BP27" s="891"/>
      <c r="BQ27" s="891"/>
      <c r="BR27" s="891"/>
      <c r="BS27" s="891"/>
      <c r="BT27" s="891"/>
      <c r="BU27" s="891"/>
      <c r="BV27" s="896"/>
      <c r="BW27" s="896"/>
      <c r="BX27" s="896"/>
      <c r="BY27" s="896"/>
      <c r="BZ27" s="896"/>
      <c r="CA27" s="896"/>
      <c r="CB27" s="896"/>
      <c r="CC27" s="896"/>
      <c r="CD27" s="896"/>
      <c r="CE27" s="896"/>
      <c r="CF27" s="896"/>
      <c r="CG27" s="865"/>
      <c r="CH27" s="865"/>
      <c r="CI27" s="865"/>
      <c r="CJ27" s="865"/>
      <c r="CK27" s="865" t="s">
        <v>32</v>
      </c>
      <c r="CL27" s="865" t="s">
        <v>32</v>
      </c>
      <c r="CM27" s="865" t="s">
        <v>32</v>
      </c>
      <c r="CN27" s="4" t="s">
        <v>32</v>
      </c>
      <c r="CO27" s="6" t="s">
        <v>32</v>
      </c>
      <c r="CP27" s="6" t="s">
        <v>32</v>
      </c>
      <c r="CQ27" s="6" t="s">
        <v>32</v>
      </c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</row>
    <row r="28" spans="1:117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11</v>
      </c>
      <c r="G28" s="879" t="s">
        <v>874</v>
      </c>
      <c r="H28" s="879" t="s">
        <v>22</v>
      </c>
      <c r="I28" s="879" t="s">
        <v>891</v>
      </c>
      <c r="J28" s="846">
        <v>2</v>
      </c>
      <c r="K28" s="846">
        <v>0</v>
      </c>
      <c r="L28" s="816" t="str">
        <f t="shared" si="14"/>
        <v>W</v>
      </c>
      <c r="M28" s="816">
        <f t="shared" si="15"/>
        <v>2</v>
      </c>
      <c r="N28" s="816" t="str">
        <f t="shared" si="16"/>
        <v>U</v>
      </c>
      <c r="O28" s="816">
        <f t="shared" si="17"/>
        <v>0</v>
      </c>
      <c r="P28" s="829">
        <f t="shared" si="18"/>
        <v>1</v>
      </c>
      <c r="Q28" s="830">
        <v>-0.08</v>
      </c>
      <c r="R28" s="871">
        <f t="shared" si="19"/>
        <v>2.08</v>
      </c>
      <c r="S28" s="830">
        <v>2.0299999999999998</v>
      </c>
      <c r="T28" s="871">
        <f t="shared" si="20"/>
        <v>-2.9999999999999805E-2</v>
      </c>
      <c r="U28" s="868">
        <f t="shared" si="21"/>
        <v>0.97499999999999987</v>
      </c>
      <c r="V28" s="868">
        <f t="shared" si="22"/>
        <v>1.0549999999999999</v>
      </c>
      <c r="W28" s="829">
        <v>12</v>
      </c>
      <c r="X28" s="829">
        <v>16</v>
      </c>
      <c r="Y28" s="829">
        <v>2</v>
      </c>
      <c r="Z28" s="829">
        <v>5</v>
      </c>
      <c r="AA28" s="829">
        <v>43</v>
      </c>
      <c r="AB28" s="829">
        <v>57</v>
      </c>
      <c r="AC28" s="829"/>
      <c r="AD28" s="816" t="str">
        <f t="array" ref="AD28">IF($J28="","",IF(SUM(IF(ISNUMBER(VALUE(RIGHT($AG28:$DY28,1))),VALUE(RIGHT($AG28:$DY28,1)),0))=$J28,"T","F"))</f>
        <v>T</v>
      </c>
      <c r="AE28" s="831">
        <f t="array" ref="AE28">IF($J28="","",SUM(IF(LEFT($AG28:$DY28,1)="s",1,0))-SUM(IF(RIGHT(LEFT($AG28:$DY28,2))="-",1,0)))</f>
        <v>0</v>
      </c>
      <c r="AF28" s="816">
        <f t="array" ref="AF28">IF($J28="","",SUM(IF(LEFT($AG28:$DY28,1)="X",1,0)))</f>
        <v>11</v>
      </c>
      <c r="AG28" s="891" t="s">
        <v>34</v>
      </c>
      <c r="AH28" s="891" t="s">
        <v>32</v>
      </c>
      <c r="AI28" s="891" t="s">
        <v>32</v>
      </c>
      <c r="AJ28" s="891" t="s">
        <v>1877</v>
      </c>
      <c r="AK28" s="891" t="s">
        <v>34</v>
      </c>
      <c r="AL28" s="891" t="s">
        <v>32</v>
      </c>
      <c r="AM28" s="891" t="s">
        <v>34</v>
      </c>
      <c r="AN28" s="891" t="s">
        <v>34</v>
      </c>
      <c r="AO28" s="891" t="s">
        <v>32</v>
      </c>
      <c r="AP28" s="891" t="s">
        <v>32</v>
      </c>
      <c r="AQ28" s="891" t="s">
        <v>1877</v>
      </c>
      <c r="AR28" s="891" t="s">
        <v>34</v>
      </c>
      <c r="AS28" s="891" t="s">
        <v>36</v>
      </c>
      <c r="AT28" s="891" t="s">
        <v>35</v>
      </c>
      <c r="AU28" s="891" t="s">
        <v>35</v>
      </c>
      <c r="AV28" s="891" t="s">
        <v>32</v>
      </c>
      <c r="AW28" s="891" t="s">
        <v>34</v>
      </c>
      <c r="AX28" s="891" t="s">
        <v>1877</v>
      </c>
      <c r="AY28" s="891" t="s">
        <v>32</v>
      </c>
      <c r="AZ28" s="891"/>
      <c r="BA28" s="891" t="s">
        <v>1877</v>
      </c>
      <c r="BB28" s="891" t="s">
        <v>36</v>
      </c>
      <c r="BC28" s="891" t="s">
        <v>32</v>
      </c>
      <c r="BD28" s="891" t="s">
        <v>32</v>
      </c>
      <c r="BE28" s="891" t="s">
        <v>32</v>
      </c>
      <c r="BF28" s="904" t="s">
        <v>34</v>
      </c>
      <c r="BG28" s="891" t="s">
        <v>32</v>
      </c>
      <c r="BH28" s="910"/>
      <c r="BI28" s="891" t="s">
        <v>2161</v>
      </c>
      <c r="BJ28" s="891" t="s">
        <v>32</v>
      </c>
      <c r="BK28" s="891"/>
      <c r="BL28" s="891" t="s">
        <v>2170</v>
      </c>
      <c r="BM28" s="891" t="s">
        <v>36</v>
      </c>
      <c r="BO28" s="891"/>
      <c r="BP28" s="891"/>
      <c r="BQ28" s="891"/>
      <c r="BR28" s="891"/>
      <c r="BS28" s="891"/>
      <c r="BT28" s="891"/>
      <c r="BU28" s="891"/>
      <c r="BV28" s="896"/>
      <c r="BW28" s="896"/>
      <c r="BX28" s="896"/>
      <c r="BY28" s="896"/>
      <c r="BZ28" s="896"/>
      <c r="CA28" s="896"/>
      <c r="CB28" s="896"/>
      <c r="CC28" s="896"/>
      <c r="CD28" s="896"/>
      <c r="CE28" s="896"/>
      <c r="CF28" s="896"/>
      <c r="CG28" s="4"/>
      <c r="CH28" s="4"/>
      <c r="CI28" s="4"/>
      <c r="CJ28" s="4"/>
      <c r="CK28" s="4" t="s">
        <v>32</v>
      </c>
      <c r="CL28" s="4" t="s">
        <v>32</v>
      </c>
      <c r="CM28" s="4" t="s">
        <v>32</v>
      </c>
      <c r="CN28" s="4" t="s">
        <v>32</v>
      </c>
      <c r="CO28" s="6" t="s">
        <v>32</v>
      </c>
      <c r="CP28" s="6" t="s">
        <v>32</v>
      </c>
      <c r="CQ28" s="6" t="s">
        <v>32</v>
      </c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</row>
    <row r="29" spans="1:117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8</v>
      </c>
      <c r="G29" s="879" t="s">
        <v>880</v>
      </c>
      <c r="H29" s="879" t="s">
        <v>18</v>
      </c>
      <c r="I29" s="879" t="s">
        <v>891</v>
      </c>
      <c r="J29" s="846">
        <v>0</v>
      </c>
      <c r="K29" s="846">
        <v>3</v>
      </c>
      <c r="L29" s="816" t="str">
        <f t="shared" si="14"/>
        <v>L</v>
      </c>
      <c r="M29" s="816">
        <f t="shared" si="15"/>
        <v>3</v>
      </c>
      <c r="N29" s="816" t="str">
        <f t="shared" si="16"/>
        <v>O</v>
      </c>
      <c r="O29" s="816">
        <f t="shared" si="17"/>
        <v>0.5</v>
      </c>
      <c r="P29" s="829">
        <f t="shared" si="18"/>
        <v>-1</v>
      </c>
      <c r="Q29" s="830">
        <v>-0.49</v>
      </c>
      <c r="R29" s="871">
        <f t="shared" si="19"/>
        <v>-2.5099999999999998</v>
      </c>
      <c r="S29" s="830">
        <v>2.25</v>
      </c>
      <c r="T29" s="871">
        <f t="shared" si="20"/>
        <v>0.75</v>
      </c>
      <c r="U29" s="868">
        <f t="shared" si="21"/>
        <v>0.88</v>
      </c>
      <c r="V29" s="868">
        <f t="shared" si="22"/>
        <v>1.37</v>
      </c>
      <c r="W29" s="829">
        <v>11</v>
      </c>
      <c r="X29" s="829">
        <v>17</v>
      </c>
      <c r="Y29" s="829">
        <v>6</v>
      </c>
      <c r="Z29" s="829">
        <v>6</v>
      </c>
      <c r="AA29" s="829">
        <v>58</v>
      </c>
      <c r="AB29" s="829">
        <v>42</v>
      </c>
      <c r="AC29" s="829"/>
      <c r="AD29" s="816" t="str">
        <f t="array" ref="AD29">IF($J29="","",IF(SUM(IF(ISNUMBER(VALUE(RIGHT($AG29:$DY29,1))),VALUE(RIGHT($AG29:$DY29,1)),0))=$J29,"T","F"))</f>
        <v>T</v>
      </c>
      <c r="AE29" s="831">
        <f t="array" ref="AE29">IF($J29="","",SUM(IF(LEFT($AG29:$DY29,1)="s",1,0))-SUM(IF(RIGHT(LEFT($AG29:$DY29,2))="-",1,0)))</f>
        <v>0</v>
      </c>
      <c r="AF29" s="816">
        <f t="array" ref="AF29">IF($J29="","",SUM(IF(LEFT($AG29:$DY29,1)="X",1,0)))</f>
        <v>11</v>
      </c>
      <c r="AG29" s="891" t="s">
        <v>34</v>
      </c>
      <c r="AH29" s="891" t="s">
        <v>32</v>
      </c>
      <c r="AI29" s="891" t="s">
        <v>32</v>
      </c>
      <c r="AJ29" s="891" t="s">
        <v>1877</v>
      </c>
      <c r="AK29" s="891" t="s">
        <v>34</v>
      </c>
      <c r="AL29" s="891" t="s">
        <v>32</v>
      </c>
      <c r="AM29" s="891" t="s">
        <v>34</v>
      </c>
      <c r="AN29" s="891" t="s">
        <v>34</v>
      </c>
      <c r="AO29" s="891" t="s">
        <v>32</v>
      </c>
      <c r="AP29" s="891" t="s">
        <v>32</v>
      </c>
      <c r="AQ29" s="891" t="s">
        <v>32</v>
      </c>
      <c r="AR29" s="891" t="s">
        <v>34</v>
      </c>
      <c r="AS29" s="906" t="s">
        <v>2190</v>
      </c>
      <c r="AT29" s="891" t="s">
        <v>35</v>
      </c>
      <c r="AU29" s="891" t="s">
        <v>35</v>
      </c>
      <c r="AV29" s="891" t="s">
        <v>32</v>
      </c>
      <c r="AW29" s="891" t="s">
        <v>35</v>
      </c>
      <c r="AX29" s="891" t="s">
        <v>1877</v>
      </c>
      <c r="AY29" s="891" t="s">
        <v>36</v>
      </c>
      <c r="AZ29" s="891"/>
      <c r="BA29" s="891" t="s">
        <v>1877</v>
      </c>
      <c r="BB29" s="891" t="s">
        <v>36</v>
      </c>
      <c r="BC29" s="891" t="s">
        <v>32</v>
      </c>
      <c r="BD29" s="891" t="s">
        <v>32</v>
      </c>
      <c r="BE29" s="891" t="s">
        <v>32</v>
      </c>
      <c r="BF29" s="891" t="s">
        <v>34</v>
      </c>
      <c r="BG29" s="891" t="s">
        <v>32</v>
      </c>
      <c r="BH29" s="910"/>
      <c r="BI29" s="891" t="s">
        <v>32</v>
      </c>
      <c r="BJ29" s="891" t="s">
        <v>1877</v>
      </c>
      <c r="BK29" s="891"/>
      <c r="BL29" s="891" t="s">
        <v>34</v>
      </c>
      <c r="BM29" s="891" t="s">
        <v>34</v>
      </c>
      <c r="BO29" s="891"/>
      <c r="BP29" s="891"/>
      <c r="BQ29" s="891"/>
      <c r="BR29" s="891"/>
      <c r="BS29" s="891"/>
      <c r="BT29" s="891"/>
      <c r="BU29" s="891"/>
      <c r="BV29" s="896"/>
      <c r="BW29" s="896"/>
      <c r="BX29" s="896"/>
      <c r="BY29" s="896"/>
      <c r="BZ29" s="896"/>
      <c r="CA29" s="896"/>
      <c r="CB29" s="896"/>
      <c r="CC29" s="896"/>
      <c r="CD29" s="896"/>
      <c r="CE29" s="896"/>
      <c r="CF29" s="891"/>
      <c r="CG29" s="4"/>
      <c r="CH29" s="4"/>
      <c r="CI29" s="4"/>
      <c r="CJ29" s="4"/>
      <c r="CK29" s="4" t="s">
        <v>32</v>
      </c>
      <c r="CL29" s="4" t="s">
        <v>32</v>
      </c>
      <c r="CM29" s="4" t="s">
        <v>32</v>
      </c>
      <c r="CN29" s="4" t="s">
        <v>32</v>
      </c>
      <c r="CO29" s="6" t="s">
        <v>32</v>
      </c>
      <c r="CP29" s="6" t="s">
        <v>32</v>
      </c>
      <c r="CQ29" s="6" t="s">
        <v>32</v>
      </c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</row>
    <row r="30" spans="1:117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4</v>
      </c>
      <c r="G30" s="879" t="s">
        <v>1084</v>
      </c>
      <c r="H30" s="879" t="s">
        <v>22</v>
      </c>
      <c r="I30" s="879" t="s">
        <v>891</v>
      </c>
      <c r="J30" s="846">
        <v>0</v>
      </c>
      <c r="K30" s="846">
        <v>1</v>
      </c>
      <c r="L30" s="816" t="str">
        <f t="shared" si="14"/>
        <v>L</v>
      </c>
      <c r="M30" s="816">
        <f t="shared" si="15"/>
        <v>1</v>
      </c>
      <c r="N30" s="816" t="str">
        <f t="shared" si="16"/>
        <v>U</v>
      </c>
      <c r="O30" s="816">
        <f t="shared" si="17"/>
        <v>0.25</v>
      </c>
      <c r="P30" s="829">
        <f t="shared" si="18"/>
        <v>-1</v>
      </c>
      <c r="Q30" s="830">
        <v>-0.19</v>
      </c>
      <c r="R30" s="871">
        <f t="shared" si="19"/>
        <v>-0.81</v>
      </c>
      <c r="S30" s="830">
        <v>2.17</v>
      </c>
      <c r="T30" s="871">
        <f t="shared" si="20"/>
        <v>-1.17</v>
      </c>
      <c r="U30" s="868">
        <f t="shared" si="21"/>
        <v>0.99</v>
      </c>
      <c r="V30" s="868">
        <f t="shared" si="22"/>
        <v>1.18</v>
      </c>
      <c r="W30" s="829">
        <v>10</v>
      </c>
      <c r="X30" s="829">
        <v>16</v>
      </c>
      <c r="Y30" s="829">
        <v>2</v>
      </c>
      <c r="Z30" s="829">
        <v>5</v>
      </c>
      <c r="AA30" s="829">
        <v>44</v>
      </c>
      <c r="AB30" s="829">
        <v>56</v>
      </c>
      <c r="AC30" s="829"/>
      <c r="AD30" s="816" t="str">
        <f t="array" ref="AD30">IF($J30="","",IF(SUM(IF(ISNUMBER(VALUE(RIGHT($AG30:$DY30,1))),VALUE(RIGHT($AG30:$DY30,1)),0))=$J30,"T","F"))</f>
        <v>T</v>
      </c>
      <c r="AE30" s="831">
        <f t="array" ref="AE30">IF($J30="","",SUM(IF(LEFT($AG30:$DY30,1)="s",1,0))-SUM(IF(RIGHT(LEFT($AG30:$DY30,2))="-",1,0)))</f>
        <v>0</v>
      </c>
      <c r="AF30" s="816">
        <f t="array" ref="AF30">IF($J30="","",SUM(IF(LEFT($AG30:$DY30,1)="X",1,0)))</f>
        <v>11</v>
      </c>
      <c r="AG30" s="891" t="s">
        <v>34</v>
      </c>
      <c r="AH30" s="891" t="s">
        <v>32</v>
      </c>
      <c r="AI30" s="891" t="s">
        <v>32</v>
      </c>
      <c r="AJ30" s="891" t="s">
        <v>1877</v>
      </c>
      <c r="AK30" s="891" t="s">
        <v>34</v>
      </c>
      <c r="AL30" s="891" t="s">
        <v>32</v>
      </c>
      <c r="AM30" s="891" t="s">
        <v>35</v>
      </c>
      <c r="AN30" s="891" t="s">
        <v>34</v>
      </c>
      <c r="AO30" s="906" t="s">
        <v>2245</v>
      </c>
      <c r="AP30" s="891" t="s">
        <v>32</v>
      </c>
      <c r="AQ30" s="891" t="s">
        <v>1877</v>
      </c>
      <c r="AR30" s="891" t="s">
        <v>34</v>
      </c>
      <c r="AS30" s="891" t="s">
        <v>34</v>
      </c>
      <c r="AT30" s="891" t="s">
        <v>1877</v>
      </c>
      <c r="AU30" s="891" t="s">
        <v>1877</v>
      </c>
      <c r="AV30" s="891" t="s">
        <v>36</v>
      </c>
      <c r="AW30" s="891" t="s">
        <v>2612</v>
      </c>
      <c r="AX30" s="891" t="s">
        <v>34</v>
      </c>
      <c r="AY30" s="891" t="s">
        <v>32</v>
      </c>
      <c r="AZ30" s="891"/>
      <c r="BA30" s="891" t="s">
        <v>36</v>
      </c>
      <c r="BB30" s="891" t="s">
        <v>35</v>
      </c>
      <c r="BC30" s="891" t="s">
        <v>32</v>
      </c>
      <c r="BD30" s="891" t="s">
        <v>32</v>
      </c>
      <c r="BE30" s="891" t="s">
        <v>32</v>
      </c>
      <c r="BF30" s="891" t="s">
        <v>34</v>
      </c>
      <c r="BG30" s="891" t="s">
        <v>32</v>
      </c>
      <c r="BH30" s="910"/>
      <c r="BI30" s="891" t="s">
        <v>32</v>
      </c>
      <c r="BJ30" s="891" t="s">
        <v>32</v>
      </c>
      <c r="BK30" s="891"/>
      <c r="BL30" s="891" t="s">
        <v>34</v>
      </c>
      <c r="BM30" s="891" t="s">
        <v>35</v>
      </c>
      <c r="BO30" s="891"/>
      <c r="BP30" s="891"/>
      <c r="BQ30" s="891"/>
      <c r="BR30" s="891"/>
      <c r="BS30" s="891"/>
      <c r="BT30" s="891"/>
      <c r="BU30" s="891"/>
      <c r="BV30" s="896"/>
      <c r="BW30" s="896"/>
      <c r="BX30" s="896"/>
      <c r="BY30" s="896"/>
      <c r="BZ30" s="896"/>
      <c r="CA30" s="896"/>
      <c r="CB30" s="896"/>
      <c r="CC30" s="896"/>
      <c r="CD30" s="896"/>
      <c r="CE30" s="896"/>
      <c r="CF30" s="896"/>
      <c r="CG30" s="428"/>
      <c r="CH30" s="428"/>
      <c r="CI30" s="428"/>
      <c r="CJ30" s="428"/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</row>
    <row r="31" spans="1:117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15</v>
      </c>
      <c r="G31" s="879" t="s">
        <v>881</v>
      </c>
      <c r="H31" s="879" t="s">
        <v>18</v>
      </c>
      <c r="I31" s="879" t="s">
        <v>891</v>
      </c>
      <c r="J31" s="846">
        <v>0</v>
      </c>
      <c r="K31" s="846">
        <v>1</v>
      </c>
      <c r="L31" s="816" t="str">
        <f t="shared" si="14"/>
        <v>L</v>
      </c>
      <c r="M31" s="816">
        <f t="shared" si="15"/>
        <v>1</v>
      </c>
      <c r="N31" s="816" t="str">
        <f t="shared" si="16"/>
        <v>U</v>
      </c>
      <c r="O31" s="816">
        <f t="shared" si="17"/>
        <v>0.25</v>
      </c>
      <c r="P31" s="829">
        <f t="shared" si="18"/>
        <v>-1</v>
      </c>
      <c r="Q31" s="830">
        <v>-0.14000000000000001</v>
      </c>
      <c r="R31" s="871">
        <f t="shared" si="19"/>
        <v>-0.86</v>
      </c>
      <c r="S31" s="830">
        <v>2.04</v>
      </c>
      <c r="T31" s="871">
        <f t="shared" si="20"/>
        <v>-1.04</v>
      </c>
      <c r="U31" s="868">
        <f t="shared" si="21"/>
        <v>0.95</v>
      </c>
      <c r="V31" s="868">
        <f t="shared" si="22"/>
        <v>1.0900000000000001</v>
      </c>
      <c r="W31" s="829">
        <v>8</v>
      </c>
      <c r="X31" s="829">
        <v>9</v>
      </c>
      <c r="Y31" s="829">
        <v>2</v>
      </c>
      <c r="Z31" s="829">
        <v>4</v>
      </c>
      <c r="AA31" s="829">
        <v>50</v>
      </c>
      <c r="AB31" s="829">
        <v>50</v>
      </c>
      <c r="AC31" s="829"/>
      <c r="AD31" s="816" t="str">
        <f t="array" ref="AD31">IF($J31="","",IF(SUM(IF(ISNUMBER(VALUE(RIGHT($AG31:$DY31,1))),VALUE(RIGHT($AG31:$DY31,1)),0))=$J31,"T","F"))</f>
        <v>T</v>
      </c>
      <c r="AE31" s="831">
        <f t="array" ref="AE31">IF($J31="","",SUM(IF(LEFT($AG31:$DY31,1)="s",1,0))-SUM(IF(RIGHT(LEFT($AG31:$DY31,2))="-",1,0)))</f>
        <v>0</v>
      </c>
      <c r="AF31" s="816">
        <f t="array" ref="AF31">IF($J31="","",SUM(IF(LEFT($AG31:$DY31,1)="X",1,0)))</f>
        <v>11</v>
      </c>
      <c r="AG31" s="891" t="s">
        <v>34</v>
      </c>
      <c r="AH31" s="891" t="s">
        <v>1877</v>
      </c>
      <c r="AI31" s="891" t="s">
        <v>32</v>
      </c>
      <c r="AJ31" s="891" t="s">
        <v>32</v>
      </c>
      <c r="AK31" s="891" t="s">
        <v>34</v>
      </c>
      <c r="AL31" s="891" t="s">
        <v>32</v>
      </c>
      <c r="AM31" s="891" t="s">
        <v>2431</v>
      </c>
      <c r="AN31" s="891" t="s">
        <v>34</v>
      </c>
      <c r="AO31" s="891" t="s">
        <v>34</v>
      </c>
      <c r="AP31" s="891" t="s">
        <v>32</v>
      </c>
      <c r="AQ31" s="891" t="s">
        <v>32</v>
      </c>
      <c r="AR31" s="904" t="s">
        <v>34</v>
      </c>
      <c r="AS31" s="891" t="s">
        <v>1877</v>
      </c>
      <c r="AT31" s="891" t="s">
        <v>35</v>
      </c>
      <c r="AU31" s="891" t="s">
        <v>36</v>
      </c>
      <c r="AV31" s="891" t="s">
        <v>32</v>
      </c>
      <c r="AW31" s="891" t="s">
        <v>34</v>
      </c>
      <c r="AX31" s="891" t="s">
        <v>35</v>
      </c>
      <c r="AY31" s="891" t="s">
        <v>1877</v>
      </c>
      <c r="AZ31" s="891"/>
      <c r="BA31" s="891" t="s">
        <v>36</v>
      </c>
      <c r="BB31" s="891" t="s">
        <v>1877</v>
      </c>
      <c r="BC31" s="891" t="s">
        <v>32</v>
      </c>
      <c r="BD31" s="891" t="s">
        <v>32</v>
      </c>
      <c r="BE31" s="891" t="s">
        <v>32</v>
      </c>
      <c r="BF31" s="891" t="s">
        <v>34</v>
      </c>
      <c r="BG31" s="891" t="s">
        <v>32</v>
      </c>
      <c r="BH31" s="910"/>
      <c r="BI31" s="891" t="s">
        <v>36</v>
      </c>
      <c r="BJ31" s="891" t="s">
        <v>32</v>
      </c>
      <c r="BK31" s="891"/>
      <c r="BL31" s="891" t="s">
        <v>34</v>
      </c>
      <c r="BM31" s="904" t="s">
        <v>35</v>
      </c>
      <c r="BN31" s="891"/>
      <c r="BO31" s="891"/>
      <c r="BP31" s="891"/>
      <c r="BQ31" s="891"/>
      <c r="BR31" s="891"/>
      <c r="BS31" s="896"/>
      <c r="BT31" s="896"/>
      <c r="BU31" s="891"/>
      <c r="BV31" s="896"/>
      <c r="BW31" s="896"/>
      <c r="BX31" s="896"/>
      <c r="BY31" s="896"/>
      <c r="BZ31" s="896"/>
      <c r="CA31" s="896"/>
      <c r="CB31" s="896"/>
      <c r="CC31" s="896"/>
      <c r="CD31" s="896"/>
      <c r="CE31" s="896"/>
      <c r="CF31" s="896"/>
      <c r="CG31" s="428"/>
      <c r="CH31" s="428"/>
      <c r="CI31" s="428"/>
      <c r="CJ31" s="428"/>
    </row>
    <row r="32" spans="1:117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20</v>
      </c>
      <c r="G32" s="879" t="s">
        <v>882</v>
      </c>
      <c r="H32" s="879" t="s">
        <v>18</v>
      </c>
      <c r="I32" s="879" t="s">
        <v>891</v>
      </c>
      <c r="J32" s="846">
        <v>3</v>
      </c>
      <c r="K32" s="846">
        <v>0</v>
      </c>
      <c r="L32" s="816" t="str">
        <f t="shared" si="14"/>
        <v>W</v>
      </c>
      <c r="M32" s="816">
        <f t="shared" si="15"/>
        <v>3</v>
      </c>
      <c r="N32" s="816" t="str">
        <f t="shared" si="16"/>
        <v>O</v>
      </c>
      <c r="O32" s="816">
        <f t="shared" si="17"/>
        <v>0</v>
      </c>
      <c r="P32" s="829">
        <f t="shared" si="18"/>
        <v>1</v>
      </c>
      <c r="Q32" s="830">
        <v>-0.1</v>
      </c>
      <c r="R32" s="871">
        <f t="shared" si="19"/>
        <v>3.1</v>
      </c>
      <c r="S32" s="830">
        <v>2.35</v>
      </c>
      <c r="T32" s="871">
        <f t="shared" si="20"/>
        <v>0.64999999999999991</v>
      </c>
      <c r="U32" s="868">
        <f t="shared" si="21"/>
        <v>1.125</v>
      </c>
      <c r="V32" s="868">
        <f t="shared" si="22"/>
        <v>1.2250000000000001</v>
      </c>
      <c r="W32" s="829">
        <v>15</v>
      </c>
      <c r="X32" s="829">
        <v>10</v>
      </c>
      <c r="Y32" s="829">
        <v>6</v>
      </c>
      <c r="Z32" s="829">
        <v>0</v>
      </c>
      <c r="AA32" s="829">
        <v>45</v>
      </c>
      <c r="AB32" s="829">
        <v>55</v>
      </c>
      <c r="AC32" s="829"/>
      <c r="AD32" s="816" t="str">
        <f t="array" ref="AD32">IF($J32="","",IF(SUM(IF(ISNUMBER(VALUE(RIGHT($AG32:$DY32,1))),VALUE(RIGHT($AG32:$DY32,1)),0))=$J32,"T","F"))</f>
        <v>T</v>
      </c>
      <c r="AE32" s="831">
        <f t="array" ref="AE32">IF($J32="","",SUM(IF(LEFT($AG32:$DY32,1)="s",1,0))-SUM(IF(RIGHT(LEFT($AG32:$DY32,2))="-",1,0)))</f>
        <v>0</v>
      </c>
      <c r="AF32" s="816">
        <f t="array" ref="AF32">IF($J32="","",SUM(IF(LEFT($AG32:$DY32,1)="X",1,0)))</f>
        <v>11</v>
      </c>
      <c r="AG32" s="891" t="s">
        <v>2334</v>
      </c>
      <c r="AH32" s="891" t="s">
        <v>2351</v>
      </c>
      <c r="AI32" s="891"/>
      <c r="AJ32" s="891"/>
      <c r="AK32" s="891" t="s">
        <v>2334</v>
      </c>
      <c r="AL32" s="891" t="s">
        <v>2334</v>
      </c>
      <c r="AM32" s="891"/>
      <c r="AN32" s="891" t="s">
        <v>2334</v>
      </c>
      <c r="AO32" s="891" t="s">
        <v>2351</v>
      </c>
      <c r="AP32" s="891"/>
      <c r="AQ32" s="891" t="s">
        <v>2351</v>
      </c>
      <c r="AR32" s="891" t="s">
        <v>2334</v>
      </c>
      <c r="AS32" s="891" t="s">
        <v>2336</v>
      </c>
      <c r="AT32" s="891"/>
      <c r="AU32" s="891"/>
      <c r="AV32" s="891"/>
      <c r="AW32" s="891" t="s">
        <v>2334</v>
      </c>
      <c r="AX32" s="891" t="s">
        <v>2350</v>
      </c>
      <c r="AY32" s="891" t="s">
        <v>2354</v>
      </c>
      <c r="AZ32" s="891"/>
      <c r="BA32" s="891" t="s">
        <v>2351</v>
      </c>
      <c r="BB32" s="891" t="s">
        <v>871</v>
      </c>
      <c r="BC32" s="891"/>
      <c r="BD32" s="891"/>
      <c r="BE32" s="891"/>
      <c r="BF32" s="891" t="s">
        <v>2350</v>
      </c>
      <c r="BG32" s="891"/>
      <c r="BH32" s="910"/>
      <c r="BI32" s="891" t="s">
        <v>2355</v>
      </c>
      <c r="BJ32" s="891"/>
      <c r="BK32" s="891"/>
      <c r="BL32" s="891" t="s">
        <v>2334</v>
      </c>
      <c r="BM32" s="891" t="s">
        <v>2350</v>
      </c>
      <c r="BN32" s="891"/>
      <c r="BO32" s="891"/>
      <c r="BP32" s="891"/>
      <c r="BQ32" s="891"/>
      <c r="BR32" s="891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896"/>
      <c r="CF32" s="896"/>
      <c r="CG32" s="428"/>
      <c r="CH32" s="428"/>
      <c r="CI32" s="428"/>
      <c r="CJ32" s="428"/>
      <c r="CK32" s="230" t="s">
        <v>32</v>
      </c>
      <c r="CL32" s="230" t="s">
        <v>32</v>
      </c>
      <c r="CM32" s="230" t="s">
        <v>32</v>
      </c>
      <c r="CN32" s="230" t="s">
        <v>32</v>
      </c>
      <c r="CO32" s="230" t="s">
        <v>32</v>
      </c>
      <c r="CP32" s="230" t="s">
        <v>32</v>
      </c>
      <c r="CQ32" s="230" t="s">
        <v>32</v>
      </c>
    </row>
    <row r="33" spans="1:122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13</v>
      </c>
      <c r="G33" s="879" t="s">
        <v>884</v>
      </c>
      <c r="H33" s="879" t="s">
        <v>22</v>
      </c>
      <c r="I33" s="879" t="s">
        <v>891</v>
      </c>
      <c r="J33" s="846">
        <v>3</v>
      </c>
      <c r="K33" s="846">
        <v>0</v>
      </c>
      <c r="L33" s="816" t="str">
        <f t="shared" si="14"/>
        <v>W</v>
      </c>
      <c r="M33" s="816">
        <f t="shared" si="15"/>
        <v>3</v>
      </c>
      <c r="N33" s="816" t="str">
        <f t="shared" si="16"/>
        <v>O</v>
      </c>
      <c r="O33" s="816">
        <f t="shared" si="17"/>
        <v>-0.25</v>
      </c>
      <c r="P33" s="829">
        <f t="shared" si="18"/>
        <v>1</v>
      </c>
      <c r="Q33" s="830">
        <v>0.23</v>
      </c>
      <c r="R33" s="871">
        <f t="shared" si="19"/>
        <v>2.77</v>
      </c>
      <c r="S33" s="830">
        <v>2.13</v>
      </c>
      <c r="T33" s="871">
        <f t="shared" si="20"/>
        <v>0.87000000000000011</v>
      </c>
      <c r="U33" s="868">
        <f t="shared" si="21"/>
        <v>1.18</v>
      </c>
      <c r="V33" s="868">
        <f t="shared" si="22"/>
        <v>0.95</v>
      </c>
      <c r="W33" s="829">
        <v>14</v>
      </c>
      <c r="X33" s="829">
        <v>10</v>
      </c>
      <c r="Y33" s="829">
        <v>6</v>
      </c>
      <c r="Z33" s="829">
        <v>1</v>
      </c>
      <c r="AA33" s="829">
        <v>35</v>
      </c>
      <c r="AB33" s="829">
        <v>65</v>
      </c>
      <c r="AC33" s="829"/>
      <c r="AD33" s="816" t="str">
        <f t="array" ref="AD33">IF($J33="","",IF(SUM(IF(ISNUMBER(VALUE(RIGHT($AG33:$DY33,1))),VALUE(RIGHT($AG33:$DY33,1)),0))=$J33,"T","F"))</f>
        <v>T</v>
      </c>
      <c r="AE33" s="831">
        <f t="array" ref="AE33">IF($J33="","",SUM(IF(LEFT($AG33:$DY33,1)="s",1,0))-SUM(IF(RIGHT(LEFT($AG33:$DY33,2))="-",1,0)))</f>
        <v>0</v>
      </c>
      <c r="AF33" s="816">
        <f t="array" ref="AF33">IF($J33="","",SUM(IF(LEFT($AG33:$DY33,1)="X",1,0)))</f>
        <v>11</v>
      </c>
      <c r="AG33" s="891" t="s">
        <v>34</v>
      </c>
      <c r="AH33" s="891" t="s">
        <v>1877</v>
      </c>
      <c r="AI33" s="891" t="s">
        <v>32</v>
      </c>
      <c r="AJ33" s="891" t="s">
        <v>32</v>
      </c>
      <c r="AK33" s="891" t="s">
        <v>34</v>
      </c>
      <c r="AL33" s="891" t="s">
        <v>34</v>
      </c>
      <c r="AM33" s="891" t="s">
        <v>32</v>
      </c>
      <c r="AN33" s="891" t="s">
        <v>34</v>
      </c>
      <c r="AO33" s="891" t="s">
        <v>1877</v>
      </c>
      <c r="AP33" s="891" t="s">
        <v>32</v>
      </c>
      <c r="AQ33" s="891" t="s">
        <v>32</v>
      </c>
      <c r="AR33" s="891" t="s">
        <v>35</v>
      </c>
      <c r="AS33" s="891" t="s">
        <v>34</v>
      </c>
      <c r="AT33" s="891" t="s">
        <v>32</v>
      </c>
      <c r="AU33" s="891" t="s">
        <v>1877</v>
      </c>
      <c r="AV33" s="891" t="s">
        <v>32</v>
      </c>
      <c r="AW33" s="891" t="s">
        <v>34</v>
      </c>
      <c r="AX33" s="891" t="s">
        <v>1877</v>
      </c>
      <c r="AY33" s="891" t="s">
        <v>34</v>
      </c>
      <c r="AZ33" s="891"/>
      <c r="BA33" s="891" t="s">
        <v>36</v>
      </c>
      <c r="BB33" s="891" t="s">
        <v>2411</v>
      </c>
      <c r="BC33" s="891" t="s">
        <v>32</v>
      </c>
      <c r="BD33" s="891" t="s">
        <v>32</v>
      </c>
      <c r="BE33" s="891" t="s">
        <v>32</v>
      </c>
      <c r="BF33" s="891" t="s">
        <v>36</v>
      </c>
      <c r="BG33" s="891" t="s">
        <v>32</v>
      </c>
      <c r="BH33" s="910"/>
      <c r="BI33" s="891" t="s">
        <v>2410</v>
      </c>
      <c r="BJ33" s="891" t="s">
        <v>32</v>
      </c>
      <c r="BK33" s="891"/>
      <c r="BL33" s="891" t="s">
        <v>34</v>
      </c>
      <c r="BM33" s="891" t="s">
        <v>36</v>
      </c>
      <c r="BN33" s="891"/>
      <c r="BO33" s="891"/>
      <c r="BP33" s="891"/>
      <c r="BQ33" s="891"/>
      <c r="BR33" s="891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428"/>
      <c r="CH33" s="428"/>
      <c r="CI33" s="428"/>
      <c r="CJ33" s="428"/>
    </row>
    <row r="34" spans="1:122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14</v>
      </c>
      <c r="G34" s="879" t="s">
        <v>873</v>
      </c>
      <c r="H34" s="879" t="s">
        <v>22</v>
      </c>
      <c r="I34" s="879" t="s">
        <v>891</v>
      </c>
      <c r="J34" s="846">
        <v>0</v>
      </c>
      <c r="K34" s="846">
        <v>0</v>
      </c>
      <c r="L34" s="816" t="str">
        <f t="shared" si="14"/>
        <v>D</v>
      </c>
      <c r="M34" s="816">
        <f t="shared" si="15"/>
        <v>0</v>
      </c>
      <c r="N34" s="816" t="str">
        <f t="shared" si="16"/>
        <v>U</v>
      </c>
      <c r="O34" s="816">
        <f t="shared" si="17"/>
        <v>-0.25</v>
      </c>
      <c r="P34" s="829">
        <f t="shared" si="18"/>
        <v>-0.5</v>
      </c>
      <c r="Q34" s="830">
        <v>0.23</v>
      </c>
      <c r="R34" s="871">
        <f t="shared" si="19"/>
        <v>-0.23</v>
      </c>
      <c r="S34" s="830">
        <v>2.09</v>
      </c>
      <c r="T34" s="871">
        <f t="shared" si="20"/>
        <v>-2.09</v>
      </c>
      <c r="U34" s="868">
        <f t="shared" si="21"/>
        <v>1.1599999999999999</v>
      </c>
      <c r="V34" s="868">
        <f t="shared" si="22"/>
        <v>0.92999999999999994</v>
      </c>
      <c r="W34" s="829">
        <v>12</v>
      </c>
      <c r="X34" s="829">
        <v>10</v>
      </c>
      <c r="Y34" s="829">
        <v>3</v>
      </c>
      <c r="Z34" s="829">
        <v>1</v>
      </c>
      <c r="AA34" s="829">
        <v>54</v>
      </c>
      <c r="AB34" s="829">
        <v>46</v>
      </c>
      <c r="AC34" s="829"/>
      <c r="AD34" s="816" t="str">
        <f t="array" ref="AD34">IF($J34="","",IF(SUM(IF(ISNUMBER(VALUE(RIGHT($AG34:$DY34,1))),VALUE(RIGHT($AG34:$DY34,1)),0))=$J34,"T","F"))</f>
        <v>T</v>
      </c>
      <c r="AE34" s="831">
        <f t="array" ref="AE34">IF($J34="","",SUM(IF(LEFT($AG34:$DY34,1)="s",1,0))-SUM(IF(RIGHT(LEFT($AG34:$DY34,2))="-",1,0)))</f>
        <v>0</v>
      </c>
      <c r="AF34" s="816">
        <f t="array" ref="AF34">IF($J34="","",SUM(IF(LEFT($AG34:$DY34,1)="X",1,0)))</f>
        <v>11</v>
      </c>
      <c r="AG34" s="891" t="s">
        <v>34</v>
      </c>
      <c r="AH34" s="891" t="s">
        <v>1877</v>
      </c>
      <c r="AI34" s="891" t="s">
        <v>32</v>
      </c>
      <c r="AJ34" s="891" t="s">
        <v>32</v>
      </c>
      <c r="AK34" s="891" t="s">
        <v>34</v>
      </c>
      <c r="AL34" s="891" t="s">
        <v>32</v>
      </c>
      <c r="AM34" s="891" t="s">
        <v>32</v>
      </c>
      <c r="AN34" s="891" t="s">
        <v>34</v>
      </c>
      <c r="AO34" s="891" t="s">
        <v>34</v>
      </c>
      <c r="AP34" s="891" t="s">
        <v>32</v>
      </c>
      <c r="AQ34" s="891" t="s">
        <v>35</v>
      </c>
      <c r="AR34" s="891" t="s">
        <v>1877</v>
      </c>
      <c r="AS34" s="891" t="s">
        <v>1877</v>
      </c>
      <c r="AT34" s="891" t="s">
        <v>32</v>
      </c>
      <c r="AU34" s="904" t="s">
        <v>35</v>
      </c>
      <c r="AV34" s="891" t="s">
        <v>32</v>
      </c>
      <c r="AW34" s="891" t="s">
        <v>34</v>
      </c>
      <c r="AX34" s="891" t="s">
        <v>36</v>
      </c>
      <c r="AY34" s="891" t="s">
        <v>36</v>
      </c>
      <c r="AZ34" s="891"/>
      <c r="BA34" s="891" t="s">
        <v>36</v>
      </c>
      <c r="BB34" s="891" t="s">
        <v>35</v>
      </c>
      <c r="BC34" s="891" t="s">
        <v>32</v>
      </c>
      <c r="BD34" s="891" t="s">
        <v>32</v>
      </c>
      <c r="BE34" s="891" t="s">
        <v>32</v>
      </c>
      <c r="BF34" s="891" t="s">
        <v>34</v>
      </c>
      <c r="BG34" s="891" t="s">
        <v>32</v>
      </c>
      <c r="BH34" s="910"/>
      <c r="BI34" s="891" t="s">
        <v>34</v>
      </c>
      <c r="BJ34" s="891" t="s">
        <v>32</v>
      </c>
      <c r="BK34" s="891"/>
      <c r="BL34" s="891" t="s">
        <v>34</v>
      </c>
      <c r="BM34" s="891" t="s">
        <v>1877</v>
      </c>
      <c r="BN34" s="891"/>
      <c r="BO34" s="891"/>
      <c r="BP34" s="891"/>
      <c r="BQ34" s="891"/>
      <c r="BR34" s="891"/>
      <c r="BS34" s="891"/>
      <c r="BT34" s="891"/>
      <c r="BU34" s="891"/>
      <c r="BV34" s="896"/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428"/>
      <c r="CH34" s="428"/>
      <c r="CI34" s="428"/>
      <c r="CJ34" s="428"/>
      <c r="CN34" s="4" t="s">
        <v>32</v>
      </c>
      <c r="CO34" s="6" t="s">
        <v>32</v>
      </c>
      <c r="CP34" s="6" t="s">
        <v>32</v>
      </c>
      <c r="CQ34" s="6" t="s">
        <v>32</v>
      </c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</row>
    <row r="35" spans="1:122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6</v>
      </c>
      <c r="G35" s="879" t="s">
        <v>876</v>
      </c>
      <c r="H35" s="879" t="s">
        <v>18</v>
      </c>
      <c r="I35" s="879" t="s">
        <v>891</v>
      </c>
      <c r="J35" s="846">
        <v>0</v>
      </c>
      <c r="K35" s="846">
        <v>5</v>
      </c>
      <c r="L35" s="816" t="str">
        <f t="shared" si="14"/>
        <v>L</v>
      </c>
      <c r="M35" s="816">
        <f t="shared" si="15"/>
        <v>5</v>
      </c>
      <c r="N35" s="816" t="str">
        <f t="shared" si="16"/>
        <v>O</v>
      </c>
      <c r="O35" s="816">
        <f t="shared" si="17"/>
        <v>0.25</v>
      </c>
      <c r="P35" s="829">
        <f t="shared" si="18"/>
        <v>-1</v>
      </c>
      <c r="Q35" s="830">
        <v>-0.17</v>
      </c>
      <c r="R35" s="871">
        <f t="shared" si="19"/>
        <v>-4.83</v>
      </c>
      <c r="S35" s="830">
        <v>2.2999999999999998</v>
      </c>
      <c r="T35" s="871">
        <f t="shared" si="20"/>
        <v>2.7</v>
      </c>
      <c r="U35" s="868">
        <f t="shared" si="21"/>
        <v>1.0649999999999999</v>
      </c>
      <c r="V35" s="868">
        <f t="shared" si="22"/>
        <v>1.2349999999999999</v>
      </c>
      <c r="W35" s="829">
        <v>15</v>
      </c>
      <c r="X35" s="829">
        <v>19</v>
      </c>
      <c r="Y35" s="829">
        <v>4</v>
      </c>
      <c r="Z35" s="829">
        <v>7</v>
      </c>
      <c r="AA35" s="829">
        <v>42</v>
      </c>
      <c r="AB35" s="829">
        <v>58</v>
      </c>
      <c r="AC35" s="829"/>
      <c r="AD35" s="816" t="str">
        <f t="array" ref="AD35">IF($J35="","",IF(SUM(IF(ISNUMBER(VALUE(RIGHT($AG35:$DY35,1))),VALUE(RIGHT($AG35:$DY35,1)),0))=$J35,"T","F"))</f>
        <v>T</v>
      </c>
      <c r="AE35" s="831">
        <f t="array" ref="AE35">IF($J35="","",SUM(IF(LEFT($AG35:$DY35,1)="s",1,0))-SUM(IF(RIGHT(LEFT($AG35:$DY35,2))="-",1,0)))</f>
        <v>0</v>
      </c>
      <c r="AF35" s="816">
        <f t="array" ref="AF35">IF($J35="","",SUM(IF(LEFT($AG35:$DY35,1)="X",1,0)))</f>
        <v>11</v>
      </c>
      <c r="AG35" s="891" t="s">
        <v>34</v>
      </c>
      <c r="AH35" s="891" t="s">
        <v>1877</v>
      </c>
      <c r="AI35" s="891" t="s">
        <v>32</v>
      </c>
      <c r="AJ35" s="891" t="s">
        <v>32</v>
      </c>
      <c r="AK35" s="891" t="s">
        <v>34</v>
      </c>
      <c r="AL35" s="891" t="s">
        <v>34</v>
      </c>
      <c r="AM35" s="891" t="s">
        <v>32</v>
      </c>
      <c r="AN35" s="891" t="s">
        <v>34</v>
      </c>
      <c r="AO35" s="891" t="s">
        <v>1877</v>
      </c>
      <c r="AP35" s="891" t="s">
        <v>1877</v>
      </c>
      <c r="AQ35" s="891" t="s">
        <v>32</v>
      </c>
      <c r="AR35" s="891" t="s">
        <v>34</v>
      </c>
      <c r="AS35" s="891" t="s">
        <v>35</v>
      </c>
      <c r="AT35" s="891" t="s">
        <v>32</v>
      </c>
      <c r="AU35" s="891" t="s">
        <v>32</v>
      </c>
      <c r="AV35" s="891" t="s">
        <v>32</v>
      </c>
      <c r="AW35" s="891" t="s">
        <v>34</v>
      </c>
      <c r="AX35" s="891" t="s">
        <v>36</v>
      </c>
      <c r="AY35" s="891" t="s">
        <v>35</v>
      </c>
      <c r="AZ35" s="891"/>
      <c r="BA35" s="891" t="s">
        <v>1877</v>
      </c>
      <c r="BB35" s="891" t="s">
        <v>35</v>
      </c>
      <c r="BC35" s="891" t="s">
        <v>32</v>
      </c>
      <c r="BD35" s="891" t="s">
        <v>32</v>
      </c>
      <c r="BE35" s="891" t="s">
        <v>32</v>
      </c>
      <c r="BF35" s="891" t="s">
        <v>36</v>
      </c>
      <c r="BG35" s="891" t="s">
        <v>32</v>
      </c>
      <c r="BH35" s="910"/>
      <c r="BI35" s="904" t="s">
        <v>34</v>
      </c>
      <c r="BJ35" s="891" t="s">
        <v>32</v>
      </c>
      <c r="BK35" s="891"/>
      <c r="BL35" s="891" t="s">
        <v>34</v>
      </c>
      <c r="BM35" s="891" t="s">
        <v>36</v>
      </c>
      <c r="BN35" s="891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1"/>
      <c r="CC35" s="891"/>
      <c r="CD35" s="896"/>
      <c r="CE35" s="896"/>
      <c r="CF35" s="896"/>
      <c r="CG35" s="428"/>
      <c r="CH35" s="428"/>
      <c r="CI35" s="428"/>
      <c r="CJ35" s="428"/>
      <c r="CK35" s="230" t="s">
        <v>32</v>
      </c>
      <c r="CL35" s="230" t="s">
        <v>32</v>
      </c>
      <c r="CM35" s="230" t="s">
        <v>32</v>
      </c>
      <c r="CN35" s="230" t="s">
        <v>32</v>
      </c>
      <c r="CO35" s="230" t="s">
        <v>32</v>
      </c>
      <c r="CP35" s="230" t="s">
        <v>32</v>
      </c>
      <c r="CQ35" s="230" t="s">
        <v>32</v>
      </c>
    </row>
    <row r="36" spans="1:122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9</v>
      </c>
      <c r="G36" s="879" t="s">
        <v>1083</v>
      </c>
      <c r="H36" s="879" t="s">
        <v>22</v>
      </c>
      <c r="I36" s="879" t="s">
        <v>891</v>
      </c>
      <c r="J36" s="846">
        <v>2</v>
      </c>
      <c r="K36" s="846">
        <v>1</v>
      </c>
      <c r="L36" s="816" t="str">
        <f t="shared" si="14"/>
        <v>W</v>
      </c>
      <c r="M36" s="816">
        <f t="shared" si="15"/>
        <v>3</v>
      </c>
      <c r="N36" s="816" t="str">
        <f t="shared" si="16"/>
        <v>O</v>
      </c>
      <c r="O36" s="816">
        <f t="shared" si="17"/>
        <v>0.25</v>
      </c>
      <c r="P36" s="829">
        <f t="shared" si="18"/>
        <v>1</v>
      </c>
      <c r="Q36" s="830">
        <v>-0.15</v>
      </c>
      <c r="R36" s="871">
        <f t="shared" si="19"/>
        <v>1.1499999999999999</v>
      </c>
      <c r="S36" s="830">
        <v>2.09</v>
      </c>
      <c r="T36" s="871">
        <f t="shared" si="20"/>
        <v>0.91000000000000014</v>
      </c>
      <c r="U36" s="868">
        <f t="shared" si="21"/>
        <v>0.97</v>
      </c>
      <c r="V36" s="868">
        <f t="shared" si="22"/>
        <v>1.1199999999999999</v>
      </c>
      <c r="W36" s="829">
        <v>17</v>
      </c>
      <c r="X36" s="829">
        <v>11</v>
      </c>
      <c r="Y36" s="829">
        <v>7</v>
      </c>
      <c r="Z36" s="829">
        <v>3</v>
      </c>
      <c r="AA36" s="829">
        <v>38</v>
      </c>
      <c r="AB36" s="829">
        <v>62</v>
      </c>
      <c r="AC36" s="829"/>
      <c r="AD36" s="816" t="str">
        <f t="array" ref="AD36">IF($J36="","",IF(SUM(IF(ISNUMBER(VALUE(RIGHT($AG36:$DY36,1))),VALUE(RIGHT($AG36:$DY36,1)),0))=$J36,"T","F"))</f>
        <v>T</v>
      </c>
      <c r="AE36" s="831">
        <f t="array" ref="AE36">IF($J36="","",SUM(IF(LEFT($AG36:$DY36,1)="s",1,0))-SUM(IF(RIGHT(LEFT($AG36:$DY36,2))="-",1,0)))</f>
        <v>0</v>
      </c>
      <c r="AF36" s="816">
        <f t="array" ref="AF36">IF($J36="","",SUM(IF(LEFT($AG36:$DY36,1)="X",1,0)))</f>
        <v>11</v>
      </c>
      <c r="AG36" s="891" t="s">
        <v>34</v>
      </c>
      <c r="AH36" s="891" t="s">
        <v>1877</v>
      </c>
      <c r="AI36" s="891" t="s">
        <v>32</v>
      </c>
      <c r="AJ36" s="891" t="s">
        <v>32</v>
      </c>
      <c r="AK36" s="891" t="s">
        <v>1877</v>
      </c>
      <c r="AL36" s="891" t="s">
        <v>34</v>
      </c>
      <c r="AM36" s="891" t="s">
        <v>32</v>
      </c>
      <c r="AN36" s="904" t="s">
        <v>34</v>
      </c>
      <c r="AO36" s="891" t="s">
        <v>34</v>
      </c>
      <c r="AP36" s="891" t="s">
        <v>32</v>
      </c>
      <c r="AQ36" s="891" t="s">
        <v>32</v>
      </c>
      <c r="AR36" s="891" t="s">
        <v>34</v>
      </c>
      <c r="AS36" s="891" t="s">
        <v>36</v>
      </c>
      <c r="AT36" s="891" t="s">
        <v>32</v>
      </c>
      <c r="AU36" s="891" t="s">
        <v>35</v>
      </c>
      <c r="AV36" s="891" t="s">
        <v>32</v>
      </c>
      <c r="AW36" s="891" t="s">
        <v>34</v>
      </c>
      <c r="AX36" s="891" t="s">
        <v>36</v>
      </c>
      <c r="AY36" s="891" t="s">
        <v>34</v>
      </c>
      <c r="AZ36" s="891"/>
      <c r="BA36" s="891" t="s">
        <v>35</v>
      </c>
      <c r="BB36" s="891" t="s">
        <v>2495</v>
      </c>
      <c r="BC36" s="891" t="s">
        <v>32</v>
      </c>
      <c r="BD36" s="891" t="s">
        <v>32</v>
      </c>
      <c r="BE36" s="891" t="s">
        <v>32</v>
      </c>
      <c r="BF36" s="891" t="s">
        <v>1877</v>
      </c>
      <c r="BG36" s="891" t="s">
        <v>32</v>
      </c>
      <c r="BH36" s="910"/>
      <c r="BI36" s="904" t="s">
        <v>2484</v>
      </c>
      <c r="BJ36" s="891" t="s">
        <v>32</v>
      </c>
      <c r="BK36" s="891"/>
      <c r="BL36" s="891" t="s">
        <v>35</v>
      </c>
      <c r="BM36" s="891" t="s">
        <v>1877</v>
      </c>
      <c r="BN36" s="891"/>
      <c r="BO36" s="891"/>
      <c r="BP36" s="891"/>
      <c r="BQ36" s="891"/>
      <c r="BR36" s="891"/>
      <c r="BS36" s="891"/>
      <c r="BT36" s="891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896"/>
      <c r="CF36" s="896"/>
      <c r="CG36" s="428"/>
      <c r="CH36" s="428"/>
      <c r="CI36" s="428"/>
      <c r="CJ36" s="428"/>
      <c r="CO36" s="4" t="s">
        <v>32</v>
      </c>
      <c r="CP36" s="4" t="s">
        <v>32</v>
      </c>
      <c r="CQ36" s="4" t="s">
        <v>32</v>
      </c>
      <c r="CR36" s="4" t="s">
        <v>32</v>
      </c>
      <c r="CS36" s="4" t="s">
        <v>32</v>
      </c>
      <c r="CT36" s="4" t="s">
        <v>32</v>
      </c>
      <c r="CU36" s="6" t="s">
        <v>32</v>
      </c>
      <c r="CV36" s="6" t="s">
        <v>32</v>
      </c>
      <c r="CW36" s="6" t="s">
        <v>32</v>
      </c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</row>
    <row r="37" spans="1:122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18</v>
      </c>
      <c r="G37" s="879" t="s">
        <v>887</v>
      </c>
      <c r="H37" s="879" t="s">
        <v>18</v>
      </c>
      <c r="I37" s="879" t="s">
        <v>891</v>
      </c>
      <c r="J37" s="846">
        <v>4</v>
      </c>
      <c r="K37" s="846">
        <v>4</v>
      </c>
      <c r="L37" s="816" t="str">
        <f t="shared" si="14"/>
        <v>D</v>
      </c>
      <c r="M37" s="816">
        <f t="shared" si="15"/>
        <v>8</v>
      </c>
      <c r="N37" s="816" t="str">
        <f t="shared" si="16"/>
        <v>O</v>
      </c>
      <c r="O37" s="816">
        <f t="shared" si="17"/>
        <v>0.25</v>
      </c>
      <c r="P37" s="829">
        <f t="shared" si="18"/>
        <v>0.5</v>
      </c>
      <c r="Q37" s="830">
        <v>-0.17</v>
      </c>
      <c r="R37" s="871">
        <f t="shared" si="19"/>
        <v>0.17</v>
      </c>
      <c r="S37" s="830">
        <v>2.39</v>
      </c>
      <c r="T37" s="871">
        <f t="shared" si="20"/>
        <v>5.6099999999999994</v>
      </c>
      <c r="U37" s="868">
        <f t="shared" si="21"/>
        <v>1.1100000000000001</v>
      </c>
      <c r="V37" s="868">
        <f t="shared" si="22"/>
        <v>1.28</v>
      </c>
      <c r="W37" s="829">
        <v>8</v>
      </c>
      <c r="X37" s="829">
        <v>21</v>
      </c>
      <c r="Y37" s="829">
        <v>6</v>
      </c>
      <c r="Z37" s="829">
        <v>9</v>
      </c>
      <c r="AA37" s="829">
        <v>25</v>
      </c>
      <c r="AB37" s="829">
        <v>75</v>
      </c>
      <c r="AC37" s="829"/>
      <c r="AD37" s="816" t="str">
        <f t="array" ref="AD37">IF($J37="","",IF(SUM(IF(ISNUMBER(VALUE(RIGHT($AG37:$DY37,1))),VALUE(RIGHT($AG37:$DY37,1)),0))=$J37,"T","F"))</f>
        <v>T</v>
      </c>
      <c r="AE37" s="831">
        <f t="array" ref="AE37">IF($J37="","",SUM(IF(LEFT($AG37:$DY37,1)="s",1,0))-SUM(IF(RIGHT(LEFT($AG37:$DY37,2))="-",1,0)))</f>
        <v>0</v>
      </c>
      <c r="AF37" s="816">
        <f t="array" ref="AF37">IF($J37="","",SUM(IF(LEFT($AG37:$DY37,1)="X",1,0)))</f>
        <v>11</v>
      </c>
      <c r="AG37" s="891" t="s">
        <v>34</v>
      </c>
      <c r="AH37" s="891" t="s">
        <v>1877</v>
      </c>
      <c r="AI37" s="891" t="s">
        <v>32</v>
      </c>
      <c r="AJ37" s="891" t="s">
        <v>32</v>
      </c>
      <c r="AK37" s="891" t="s">
        <v>36</v>
      </c>
      <c r="AL37" s="891" t="s">
        <v>34</v>
      </c>
      <c r="AM37" s="891" t="s">
        <v>32</v>
      </c>
      <c r="AN37" s="891" t="s">
        <v>34</v>
      </c>
      <c r="AO37" s="891" t="s">
        <v>35</v>
      </c>
      <c r="AP37" s="891" t="s">
        <v>32</v>
      </c>
      <c r="AQ37" s="891" t="s">
        <v>32</v>
      </c>
      <c r="AR37" s="891" t="s">
        <v>2523</v>
      </c>
      <c r="AS37" s="891" t="s">
        <v>35</v>
      </c>
      <c r="AT37" s="891" t="s">
        <v>32</v>
      </c>
      <c r="AU37" s="891" t="s">
        <v>1877</v>
      </c>
      <c r="AV37" s="891" t="s">
        <v>32</v>
      </c>
      <c r="AW37" s="891" t="s">
        <v>34</v>
      </c>
      <c r="AX37" s="891" t="s">
        <v>34</v>
      </c>
      <c r="AY37" s="891" t="s">
        <v>36</v>
      </c>
      <c r="AZ37" s="891"/>
      <c r="BA37" s="891" t="s">
        <v>1877</v>
      </c>
      <c r="BB37" s="891" t="s">
        <v>1877</v>
      </c>
      <c r="BC37" s="891" t="s">
        <v>32</v>
      </c>
      <c r="BD37" s="891" t="s">
        <v>32</v>
      </c>
      <c r="BE37" s="891" t="s">
        <v>32</v>
      </c>
      <c r="BF37" s="891" t="s">
        <v>2522</v>
      </c>
      <c r="BG37" s="891" t="s">
        <v>32</v>
      </c>
      <c r="BH37" s="910"/>
      <c r="BI37" s="891" t="s">
        <v>36</v>
      </c>
      <c r="BJ37" s="891" t="s">
        <v>32</v>
      </c>
      <c r="BK37" s="891"/>
      <c r="BL37" s="891" t="s">
        <v>34</v>
      </c>
      <c r="BM37" s="891" t="s">
        <v>2521</v>
      </c>
      <c r="BN37" s="891"/>
      <c r="BO37" s="891"/>
      <c r="BP37" s="891"/>
      <c r="BQ37" s="891"/>
      <c r="BR37" s="891"/>
      <c r="BS37" s="891"/>
      <c r="BT37" s="891"/>
      <c r="BU37" s="891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428"/>
      <c r="CH37" s="428"/>
      <c r="CI37" s="428"/>
      <c r="CJ37" s="428"/>
      <c r="CK37" s="230" t="s">
        <v>32</v>
      </c>
      <c r="CL37" s="230" t="s">
        <v>32</v>
      </c>
      <c r="CM37" s="230" t="s">
        <v>32</v>
      </c>
      <c r="CN37" s="230" t="s">
        <v>32</v>
      </c>
      <c r="CO37" s="230" t="s">
        <v>32</v>
      </c>
      <c r="CP37" s="230" t="s">
        <v>32</v>
      </c>
      <c r="CQ37" s="230" t="s">
        <v>32</v>
      </c>
    </row>
    <row r="38" spans="1:122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5</v>
      </c>
      <c r="G38" s="879" t="s">
        <v>889</v>
      </c>
      <c r="H38" s="879" t="s">
        <v>22</v>
      </c>
      <c r="I38" s="879" t="s">
        <v>891</v>
      </c>
      <c r="J38" s="846">
        <v>1</v>
      </c>
      <c r="K38" s="846">
        <v>0</v>
      </c>
      <c r="L38" s="816" t="str">
        <f t="shared" si="14"/>
        <v>W</v>
      </c>
      <c r="M38" s="816">
        <f t="shared" si="15"/>
        <v>1</v>
      </c>
      <c r="N38" s="816" t="str">
        <f t="shared" si="16"/>
        <v>U</v>
      </c>
      <c r="O38" s="816">
        <f t="shared" si="17"/>
        <v>0</v>
      </c>
      <c r="P38" s="829">
        <f t="shared" si="18"/>
        <v>1</v>
      </c>
      <c r="Q38" s="830">
        <v>0.04</v>
      </c>
      <c r="R38" s="871">
        <f t="shared" si="19"/>
        <v>0.96</v>
      </c>
      <c r="S38" s="830">
        <v>2.33</v>
      </c>
      <c r="T38" s="871">
        <f t="shared" si="20"/>
        <v>-1.33</v>
      </c>
      <c r="U38" s="868">
        <f t="shared" si="21"/>
        <v>1.1850000000000001</v>
      </c>
      <c r="V38" s="868">
        <f t="shared" si="22"/>
        <v>1.145</v>
      </c>
      <c r="W38" s="829">
        <v>10</v>
      </c>
      <c r="X38" s="829">
        <v>28</v>
      </c>
      <c r="Y38" s="829">
        <v>4</v>
      </c>
      <c r="Z38" s="829">
        <v>2</v>
      </c>
      <c r="AA38" s="829">
        <v>36</v>
      </c>
      <c r="AB38" s="829">
        <v>64</v>
      </c>
      <c r="AC38" s="829"/>
      <c r="AD38" s="816" t="str">
        <f t="array" ref="AD38">IF($J38="","",IF(SUM(IF(ISNUMBER(VALUE(RIGHT($AG38:$DY38,1))),VALUE(RIGHT($AG38:$DY38,1)),0))=$J38,"T","F"))</f>
        <v>T</v>
      </c>
      <c r="AE38" s="831">
        <f t="array" ref="AE38">IF($J38="","",SUM(IF(LEFT($AG38:$DY38,1)="s",1,0))-SUM(IF(RIGHT(LEFT($AG38:$DY38,2))="-",1,0)))</f>
        <v>0</v>
      </c>
      <c r="AF38" s="816">
        <f t="array" ref="AF38">IF($J38="","",SUM(IF(LEFT($AG38:$DY38,1)="X",1,0)))</f>
        <v>11</v>
      </c>
      <c r="AG38" s="891" t="s">
        <v>34</v>
      </c>
      <c r="AH38" s="891" t="s">
        <v>1877</v>
      </c>
      <c r="AI38" s="891" t="s">
        <v>32</v>
      </c>
      <c r="AJ38" s="891" t="s">
        <v>32</v>
      </c>
      <c r="AK38" s="891" t="s">
        <v>1877</v>
      </c>
      <c r="AL38" s="891" t="s">
        <v>34</v>
      </c>
      <c r="AM38" s="891" t="s">
        <v>32</v>
      </c>
      <c r="AN38" s="891" t="s">
        <v>34</v>
      </c>
      <c r="AO38" s="891" t="s">
        <v>34</v>
      </c>
      <c r="AP38" s="891" t="s">
        <v>32</v>
      </c>
      <c r="AQ38" s="891" t="s">
        <v>32</v>
      </c>
      <c r="AR38" s="891" t="s">
        <v>34</v>
      </c>
      <c r="AS38" s="891" t="s">
        <v>32</v>
      </c>
      <c r="AT38" s="891" t="s">
        <v>1877</v>
      </c>
      <c r="AU38" s="891" t="s">
        <v>34</v>
      </c>
      <c r="AV38" s="891" t="s">
        <v>32</v>
      </c>
      <c r="AW38" s="891" t="s">
        <v>35</v>
      </c>
      <c r="AX38" s="891" t="s">
        <v>36</v>
      </c>
      <c r="AY38" s="891" t="s">
        <v>36</v>
      </c>
      <c r="AZ38" s="891"/>
      <c r="BA38" s="891" t="s">
        <v>1877</v>
      </c>
      <c r="BB38" s="891" t="s">
        <v>36</v>
      </c>
      <c r="BC38" s="891" t="s">
        <v>32</v>
      </c>
      <c r="BD38" s="891" t="s">
        <v>32</v>
      </c>
      <c r="BE38" s="891" t="s">
        <v>32</v>
      </c>
      <c r="BF38" s="891" t="s">
        <v>34</v>
      </c>
      <c r="BG38" s="891" t="s">
        <v>32</v>
      </c>
      <c r="BH38" s="910"/>
      <c r="BI38" s="904" t="s">
        <v>35</v>
      </c>
      <c r="BJ38" s="891" t="s">
        <v>32</v>
      </c>
      <c r="BK38" s="891"/>
      <c r="BL38" s="891" t="s">
        <v>34</v>
      </c>
      <c r="BM38" s="891" t="s">
        <v>2539</v>
      </c>
      <c r="BN38" s="891"/>
      <c r="BO38" s="891"/>
      <c r="BP38" s="891"/>
      <c r="BQ38" s="891"/>
      <c r="BR38" s="891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428"/>
      <c r="CH38" s="428"/>
      <c r="CI38" s="428"/>
      <c r="CJ38" s="428"/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</row>
    <row r="39" spans="1:122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1</v>
      </c>
      <c r="G39" s="879" t="s">
        <v>1086</v>
      </c>
      <c r="H39" s="879" t="s">
        <v>18</v>
      </c>
      <c r="I39" s="879" t="s">
        <v>891</v>
      </c>
      <c r="J39" s="846">
        <v>1</v>
      </c>
      <c r="K39" s="846">
        <v>1</v>
      </c>
      <c r="L39" s="816" t="str">
        <f t="shared" si="14"/>
        <v>D</v>
      </c>
      <c r="M39" s="816">
        <f t="shared" si="15"/>
        <v>2</v>
      </c>
      <c r="N39" s="816" t="str">
        <f t="shared" si="16"/>
        <v>U</v>
      </c>
      <c r="O39" s="816">
        <f t="shared" si="17"/>
        <v>0.5</v>
      </c>
      <c r="P39" s="829">
        <f t="shared" si="18"/>
        <v>1</v>
      </c>
      <c r="Q39" s="830">
        <v>-0.67</v>
      </c>
      <c r="R39" s="871">
        <f t="shared" si="19"/>
        <v>0.67</v>
      </c>
      <c r="S39" s="830">
        <v>2.38</v>
      </c>
      <c r="T39" s="871">
        <f t="shared" si="20"/>
        <v>-0.37999999999999989</v>
      </c>
      <c r="U39" s="868">
        <f t="shared" si="21"/>
        <v>0.85499999999999998</v>
      </c>
      <c r="V39" s="868">
        <f t="shared" si="22"/>
        <v>1.5249999999999999</v>
      </c>
      <c r="W39" s="829">
        <v>9</v>
      </c>
      <c r="X39" s="829">
        <v>18</v>
      </c>
      <c r="Y39" s="829">
        <v>4</v>
      </c>
      <c r="Z39" s="829">
        <v>3</v>
      </c>
      <c r="AA39" s="829">
        <v>46</v>
      </c>
      <c r="AB39" s="829">
        <v>54</v>
      </c>
      <c r="AC39" s="829"/>
      <c r="AD39" s="816" t="str">
        <f t="array" ref="AD39">IF($J39="","",IF(SUM(IF(ISNUMBER(VALUE(RIGHT($AG39:$DY39,1))),VALUE(RIGHT($AG39:$DY39,1)),0))=$J39,"T","F"))</f>
        <v>T</v>
      </c>
      <c r="AE39" s="831">
        <f t="array" ref="AE39">IF($J39="","",SUM(IF(LEFT($AG39:$DY39,1)="s",1,0))-SUM(IF(RIGHT(LEFT($AG39:$DY39,2))="-",1,0)))</f>
        <v>0</v>
      </c>
      <c r="AF39" s="816">
        <f t="array" ref="AF39">IF($J39="","",SUM(IF(LEFT($AG39:$DY39,1)="X",1,0)))</f>
        <v>11</v>
      </c>
      <c r="AG39" s="891" t="s">
        <v>34</v>
      </c>
      <c r="AH39" s="891" t="s">
        <v>1877</v>
      </c>
      <c r="AI39" s="891" t="s">
        <v>32</v>
      </c>
      <c r="AJ39" s="891" t="s">
        <v>32</v>
      </c>
      <c r="AK39" s="891" t="s">
        <v>36</v>
      </c>
      <c r="AL39" s="891" t="s">
        <v>34</v>
      </c>
      <c r="AM39" s="891" t="s">
        <v>32</v>
      </c>
      <c r="AN39" s="891" t="s">
        <v>34</v>
      </c>
      <c r="AO39" s="891" t="s">
        <v>35</v>
      </c>
      <c r="AP39" s="891" t="s">
        <v>32</v>
      </c>
      <c r="AQ39" s="891" t="s">
        <v>32</v>
      </c>
      <c r="AR39" s="891" t="s">
        <v>34</v>
      </c>
      <c r="AS39" s="891" t="s">
        <v>32</v>
      </c>
      <c r="AT39" s="891" t="s">
        <v>36</v>
      </c>
      <c r="AU39" s="904" t="s">
        <v>34</v>
      </c>
      <c r="AV39" s="891" t="s">
        <v>32</v>
      </c>
      <c r="AW39" s="891" t="s">
        <v>2564</v>
      </c>
      <c r="AX39" s="891" t="s">
        <v>35</v>
      </c>
      <c r="AY39" s="891" t="s">
        <v>36</v>
      </c>
      <c r="AZ39" s="891"/>
      <c r="BA39" s="891" t="s">
        <v>1877</v>
      </c>
      <c r="BB39" s="891" t="s">
        <v>2565</v>
      </c>
      <c r="BC39" s="891" t="s">
        <v>32</v>
      </c>
      <c r="BD39" s="891" t="s">
        <v>32</v>
      </c>
      <c r="BE39" s="891" t="s">
        <v>32</v>
      </c>
      <c r="BF39" s="891" t="s">
        <v>34</v>
      </c>
      <c r="BG39" s="891" t="s">
        <v>1877</v>
      </c>
      <c r="BH39" s="910"/>
      <c r="BI39" s="891" t="s">
        <v>2563</v>
      </c>
      <c r="BJ39" s="891" t="s">
        <v>1877</v>
      </c>
      <c r="BK39" s="891"/>
      <c r="BL39" s="891" t="s">
        <v>34</v>
      </c>
      <c r="BM39" s="891" t="s">
        <v>35</v>
      </c>
      <c r="BN39" s="891"/>
      <c r="BO39" s="891"/>
      <c r="BP39" s="891"/>
      <c r="BQ39" s="891"/>
      <c r="BR39" s="891"/>
      <c r="BS39" s="896"/>
      <c r="BT39" s="891"/>
      <c r="BU39" s="891"/>
      <c r="BV39" s="896"/>
      <c r="BW39" s="896"/>
      <c r="BX39" s="896"/>
      <c r="BY39" s="896"/>
      <c r="BZ39" s="896"/>
      <c r="CA39" s="896"/>
      <c r="CB39" s="896"/>
      <c r="CC39" s="896"/>
      <c r="CD39" s="896"/>
      <c r="CE39" s="896"/>
      <c r="CF39" s="896"/>
      <c r="CG39" s="428"/>
      <c r="CH39" s="428"/>
      <c r="CI39" s="428"/>
      <c r="CJ39" s="428"/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</row>
    <row r="40" spans="1:122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21</v>
      </c>
      <c r="G40" s="879" t="s">
        <v>890</v>
      </c>
      <c r="H40" s="879" t="s">
        <v>22</v>
      </c>
      <c r="I40" s="879" t="s">
        <v>891</v>
      </c>
      <c r="J40" s="846">
        <v>1</v>
      </c>
      <c r="K40" s="846">
        <v>0</v>
      </c>
      <c r="L40" s="816" t="str">
        <f t="shared" si="14"/>
        <v>W</v>
      </c>
      <c r="M40" s="816">
        <f t="shared" si="15"/>
        <v>1</v>
      </c>
      <c r="N40" s="816" t="str">
        <f t="shared" si="16"/>
        <v>U</v>
      </c>
      <c r="O40" s="816">
        <f t="shared" si="17"/>
        <v>-0.25</v>
      </c>
      <c r="P40" s="829">
        <f t="shared" si="18"/>
        <v>1</v>
      </c>
      <c r="Q40" s="830">
        <v>0.2</v>
      </c>
      <c r="R40" s="871">
        <f t="shared" si="19"/>
        <v>0.8</v>
      </c>
      <c r="S40" s="830">
        <v>2.25</v>
      </c>
      <c r="T40" s="871">
        <f t="shared" si="20"/>
        <v>-1.25</v>
      </c>
      <c r="U40" s="868">
        <f t="shared" si="21"/>
        <v>1.2250000000000001</v>
      </c>
      <c r="V40" s="868">
        <f t="shared" si="22"/>
        <v>1.0249999999999999</v>
      </c>
      <c r="W40" s="829">
        <v>10</v>
      </c>
      <c r="X40" s="829">
        <v>13</v>
      </c>
      <c r="Y40" s="829">
        <v>4</v>
      </c>
      <c r="Z40" s="829">
        <v>4</v>
      </c>
      <c r="AA40" s="829">
        <v>52</v>
      </c>
      <c r="AB40" s="829">
        <v>48</v>
      </c>
      <c r="AC40" s="829"/>
      <c r="AD40" s="816" t="str">
        <f t="array" ref="AD40">IF($J40="","",IF(SUM(IF(ISNUMBER(VALUE(RIGHT($AG40:$DY40,1))),VALUE(RIGHT($AG40:$DY40,1)),0))=$J40,"T","F"))</f>
        <v>T</v>
      </c>
      <c r="AE40" s="831">
        <f t="array" ref="AE40">IF($J40="","",SUM(IF(LEFT($AG40:$DY40,1)="s",1,0))-SUM(IF(RIGHT(LEFT($AG40:$DY40,2))="-",1,0)))</f>
        <v>0</v>
      </c>
      <c r="AF40" s="816">
        <f t="array" ref="AF40">IF($J40="","",SUM(IF(LEFT($AG40:$DY40,1)="X",1,0)))</f>
        <v>11</v>
      </c>
      <c r="AG40" s="891" t="s">
        <v>34</v>
      </c>
      <c r="AH40" s="891" t="s">
        <v>1877</v>
      </c>
      <c r="AI40" s="891" t="s">
        <v>32</v>
      </c>
      <c r="AJ40" s="891" t="s">
        <v>32</v>
      </c>
      <c r="AK40" s="891" t="s">
        <v>34</v>
      </c>
      <c r="AL40" s="904" t="s">
        <v>34</v>
      </c>
      <c r="AM40" s="891" t="s">
        <v>32</v>
      </c>
      <c r="AN40" s="891" t="s">
        <v>34</v>
      </c>
      <c r="AO40" s="891" t="s">
        <v>36</v>
      </c>
      <c r="AP40" s="891" t="s">
        <v>32</v>
      </c>
      <c r="AQ40" s="891" t="s">
        <v>36</v>
      </c>
      <c r="AR40" s="891" t="s">
        <v>34</v>
      </c>
      <c r="AS40" s="891" t="s">
        <v>32</v>
      </c>
      <c r="AT40" s="891" t="s">
        <v>35</v>
      </c>
      <c r="AU40" s="891" t="s">
        <v>32</v>
      </c>
      <c r="AV40" s="891" t="s">
        <v>32</v>
      </c>
      <c r="AW40" s="891" t="s">
        <v>34</v>
      </c>
      <c r="AX40" s="891" t="s">
        <v>35</v>
      </c>
      <c r="AY40" s="891" t="s">
        <v>32</v>
      </c>
      <c r="AZ40" s="891"/>
      <c r="BA40" s="891" t="s">
        <v>36</v>
      </c>
      <c r="BB40" s="891" t="s">
        <v>34</v>
      </c>
      <c r="BC40" s="891" t="s">
        <v>32</v>
      </c>
      <c r="BD40" s="891" t="s">
        <v>1877</v>
      </c>
      <c r="BE40" s="891" t="s">
        <v>32</v>
      </c>
      <c r="BF40" s="891" t="s">
        <v>34</v>
      </c>
      <c r="BG40" s="891" t="s">
        <v>1877</v>
      </c>
      <c r="BH40" s="910"/>
      <c r="BI40" s="891" t="s">
        <v>2611</v>
      </c>
      <c r="BJ40" s="891" t="s">
        <v>1877</v>
      </c>
      <c r="BK40" s="891"/>
      <c r="BL40" s="891" t="s">
        <v>32</v>
      </c>
      <c r="BM40" s="891" t="s">
        <v>2600</v>
      </c>
      <c r="BN40" s="891"/>
      <c r="BO40" s="891"/>
      <c r="BP40" s="891"/>
      <c r="BQ40" s="891"/>
      <c r="BR40" s="891"/>
      <c r="BS40" s="896"/>
      <c r="BT40" s="891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4"/>
      <c r="CH40" s="4"/>
      <c r="CI40" s="4"/>
      <c r="CJ40" s="4"/>
      <c r="CK40" s="6" t="s">
        <v>32</v>
      </c>
      <c r="CL40" s="6" t="s">
        <v>32</v>
      </c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</row>
    <row r="41" spans="1:122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16</v>
      </c>
      <c r="G41" s="879" t="s">
        <v>872</v>
      </c>
      <c r="H41" s="879" t="s">
        <v>22</v>
      </c>
      <c r="I41" s="879" t="s">
        <v>891</v>
      </c>
      <c r="J41" s="846">
        <v>0</v>
      </c>
      <c r="K41" s="846">
        <v>0</v>
      </c>
      <c r="L41" s="816" t="str">
        <f t="shared" si="14"/>
        <v>D</v>
      </c>
      <c r="M41" s="816">
        <f t="shared" si="15"/>
        <v>0</v>
      </c>
      <c r="N41" s="816" t="str">
        <f t="shared" si="16"/>
        <v>U</v>
      </c>
      <c r="O41" s="816">
        <f t="shared" si="17"/>
        <v>0</v>
      </c>
      <c r="P41" s="829">
        <f t="shared" si="18"/>
        <v>0</v>
      </c>
      <c r="Q41" s="830">
        <v>-0.04</v>
      </c>
      <c r="R41" s="871">
        <f t="shared" si="19"/>
        <v>0.04</v>
      </c>
      <c r="S41" s="830">
        <v>2.2200000000000002</v>
      </c>
      <c r="T41" s="871">
        <f t="shared" si="20"/>
        <v>-2.2200000000000002</v>
      </c>
      <c r="U41" s="868">
        <f t="shared" si="21"/>
        <v>1.0900000000000001</v>
      </c>
      <c r="V41" s="868">
        <f t="shared" si="22"/>
        <v>1.1300000000000001</v>
      </c>
      <c r="W41" s="829">
        <v>10</v>
      </c>
      <c r="X41" s="829">
        <v>11</v>
      </c>
      <c r="Y41" s="829">
        <v>2</v>
      </c>
      <c r="Z41" s="829">
        <v>3</v>
      </c>
      <c r="AA41" s="829">
        <v>58</v>
      </c>
      <c r="AB41" s="829">
        <v>42</v>
      </c>
      <c r="AC41" s="829"/>
      <c r="AD41" s="816" t="str">
        <f t="array" ref="AD41">IF($J41="","",IF(SUM(IF(ISNUMBER(VALUE(RIGHT($AG41:$DY41,1))),VALUE(RIGHT($AG41:$DY41,1)),0))=$J41,"T","F"))</f>
        <v>T</v>
      </c>
      <c r="AE41" s="831">
        <f t="array" ref="AE41">IF($J41="","",SUM(IF(LEFT($AG41:$DY41,1)="s",1,0))-SUM(IF(RIGHT(LEFT($AG41:$DY41,2))="-",1,0)))</f>
        <v>0</v>
      </c>
      <c r="AF41" s="816">
        <f t="array" ref="AF41">IF($J41="","",SUM(IF(LEFT($AG41:$DY41,1)="X",1,0)))</f>
        <v>11</v>
      </c>
      <c r="AG41" s="891" t="s">
        <v>34</v>
      </c>
      <c r="AH41" s="891" t="s">
        <v>32</v>
      </c>
      <c r="AI41" s="891" t="s">
        <v>32</v>
      </c>
      <c r="AJ41" s="891" t="s">
        <v>1877</v>
      </c>
      <c r="AK41" s="891" t="s">
        <v>34</v>
      </c>
      <c r="AL41" s="891" t="s">
        <v>34</v>
      </c>
      <c r="AM41" s="891" t="s">
        <v>36</v>
      </c>
      <c r="AN41" s="891" t="s">
        <v>34</v>
      </c>
      <c r="AO41" s="891" t="s">
        <v>1877</v>
      </c>
      <c r="AP41" s="891" t="s">
        <v>32</v>
      </c>
      <c r="AQ41" s="891" t="s">
        <v>36</v>
      </c>
      <c r="AR41" s="891" t="s">
        <v>34</v>
      </c>
      <c r="AS41" s="891" t="s">
        <v>32</v>
      </c>
      <c r="AT41" s="891" t="s">
        <v>34</v>
      </c>
      <c r="AU41" s="891" t="s">
        <v>32</v>
      </c>
      <c r="AV41" s="891" t="s">
        <v>32</v>
      </c>
      <c r="AW41" s="891" t="s">
        <v>34</v>
      </c>
      <c r="AX41" s="891" t="s">
        <v>1877</v>
      </c>
      <c r="AY41" s="891" t="s">
        <v>32</v>
      </c>
      <c r="AZ41" s="891"/>
      <c r="BA41" s="891" t="s">
        <v>36</v>
      </c>
      <c r="BB41" s="891" t="s">
        <v>35</v>
      </c>
      <c r="BC41" s="891" t="s">
        <v>32</v>
      </c>
      <c r="BD41" s="891" t="s">
        <v>1877</v>
      </c>
      <c r="BE41" s="891" t="s">
        <v>32</v>
      </c>
      <c r="BF41" s="891" t="s">
        <v>35</v>
      </c>
      <c r="BG41" s="891" t="s">
        <v>34</v>
      </c>
      <c r="BH41" s="910"/>
      <c r="BI41" s="891" t="s">
        <v>32</v>
      </c>
      <c r="BJ41" s="891" t="s">
        <v>32</v>
      </c>
      <c r="BK41" s="891"/>
      <c r="BL41" s="891" t="s">
        <v>32</v>
      </c>
      <c r="BM41" s="891" t="s">
        <v>35</v>
      </c>
      <c r="BN41" s="891"/>
      <c r="BO41" s="891"/>
      <c r="BP41" s="891"/>
      <c r="BQ41" s="891"/>
      <c r="BR41" s="891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428"/>
      <c r="CH41" s="428"/>
      <c r="CI41" s="428"/>
      <c r="CJ41" s="428"/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  <c r="CP41" s="230" t="s">
        <v>32</v>
      </c>
      <c r="CQ41" s="230" t="s">
        <v>32</v>
      </c>
    </row>
    <row r="42" spans="1:122" ht="15">
      <c r="A42" s="912">
        <v>6382</v>
      </c>
      <c r="B42" s="894"/>
      <c r="C42" s="894"/>
      <c r="D42" s="894"/>
      <c r="E42" s="894"/>
      <c r="F42" s="894"/>
      <c r="G42" s="828" t="s">
        <v>874</v>
      </c>
      <c r="H42" s="828" t="s">
        <v>22</v>
      </c>
      <c r="I42" s="828" t="s">
        <v>2649</v>
      </c>
      <c r="J42" s="895">
        <v>0</v>
      </c>
      <c r="K42" s="895">
        <v>0</v>
      </c>
      <c r="L42" s="816" t="str">
        <f t="shared" si="14"/>
        <v>D</v>
      </c>
      <c r="M42" s="816">
        <f t="shared" si="15"/>
        <v>0</v>
      </c>
      <c r="N42" s="816" t="str">
        <f t="shared" ref="N42:N65" si="23">IF($J42="","",IF($M42&gt;N$19,"O",IF($M42&lt;N$19,"U",IF($M42=N$19,"-"))))</f>
        <v>U</v>
      </c>
      <c r="O42" s="816" t="str">
        <f t="shared" si="17"/>
        <v/>
      </c>
      <c r="P42" s="829" t="str">
        <f t="shared" si="18"/>
        <v/>
      </c>
      <c r="Q42" s="830"/>
      <c r="R42" s="871" t="str">
        <f t="shared" si="19"/>
        <v/>
      </c>
      <c r="S42" s="830"/>
      <c r="T42" s="871" t="str">
        <f t="shared" si="20"/>
        <v/>
      </c>
      <c r="U42" s="868" t="str">
        <f t="shared" si="21"/>
        <v/>
      </c>
      <c r="V42" s="868" t="str">
        <f t="shared" si="22"/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IF($J42="","",IF(SUM(IF(ISNUMBER(VALUE(RIGHT($AG42:$DY42,1))),VALUE(RIGHT($AG42:$DY42,1)),0))=$J42,"T","F"))</f>
        <v>T</v>
      </c>
      <c r="AE42" s="831">
        <f t="array" ref="AE42">IF($J42="","",SUM(IF(LEFT($AG42:$DY42,1)="s",1,0))-SUM(IF(RIGHT(LEFT($AG42:$DY42,2))="-",1,0)))</f>
        <v>0</v>
      </c>
      <c r="AF42" s="816">
        <f t="array" ref="AF42">IF($J42="","",SUM(IF(LEFT($AG42:$DY42,1)="X",1,0)))</f>
        <v>11</v>
      </c>
      <c r="AG42" s="891" t="s">
        <v>32</v>
      </c>
      <c r="AH42" s="891" t="s">
        <v>1877</v>
      </c>
      <c r="AI42" s="891" t="s">
        <v>32</v>
      </c>
      <c r="AJ42" s="891" t="s">
        <v>34</v>
      </c>
      <c r="AK42" s="891" t="s">
        <v>32</v>
      </c>
      <c r="AL42" s="891" t="s">
        <v>32</v>
      </c>
      <c r="AM42" s="891" t="s">
        <v>34</v>
      </c>
      <c r="AN42" s="891" t="s">
        <v>32</v>
      </c>
      <c r="AO42" s="891" t="s">
        <v>35</v>
      </c>
      <c r="AP42" s="891" t="s">
        <v>34</v>
      </c>
      <c r="AQ42" s="891" t="s">
        <v>34</v>
      </c>
      <c r="AR42" s="891" t="s">
        <v>32</v>
      </c>
      <c r="AS42" s="891" t="s">
        <v>1877</v>
      </c>
      <c r="AT42" s="891" t="s">
        <v>36</v>
      </c>
      <c r="AU42" s="891" t="s">
        <v>32</v>
      </c>
      <c r="AV42" s="891" t="s">
        <v>36</v>
      </c>
      <c r="AW42" s="891" t="s">
        <v>32</v>
      </c>
      <c r="AX42" s="891" t="s">
        <v>34</v>
      </c>
      <c r="AY42" s="891" t="s">
        <v>36</v>
      </c>
      <c r="AZ42" s="891"/>
      <c r="BA42" s="891" t="s">
        <v>34</v>
      </c>
      <c r="BB42" s="891" t="s">
        <v>32</v>
      </c>
      <c r="BC42" s="891" t="s">
        <v>32</v>
      </c>
      <c r="BD42" s="891" t="s">
        <v>35</v>
      </c>
      <c r="BE42" s="891" t="s">
        <v>34</v>
      </c>
      <c r="BF42" s="891" t="s">
        <v>1877</v>
      </c>
      <c r="BG42" s="891" t="s">
        <v>1877</v>
      </c>
      <c r="BH42" s="910"/>
      <c r="BI42" s="891" t="s">
        <v>32</v>
      </c>
      <c r="BJ42" s="891" t="s">
        <v>34</v>
      </c>
      <c r="BK42" s="891"/>
      <c r="BL42" s="891" t="s">
        <v>35</v>
      </c>
      <c r="BM42" s="891"/>
      <c r="BN42" s="891"/>
      <c r="BO42" s="891"/>
      <c r="BP42" s="891"/>
      <c r="BQ42" s="891"/>
      <c r="BR42" s="896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428"/>
      <c r="CG42" s="428"/>
      <c r="CH42" s="428"/>
      <c r="CI42" s="428"/>
    </row>
    <row r="43" spans="1:122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3</v>
      </c>
      <c r="G43" s="879" t="s">
        <v>1085</v>
      </c>
      <c r="H43" s="879" t="s">
        <v>18</v>
      </c>
      <c r="I43" s="879" t="s">
        <v>891</v>
      </c>
      <c r="J43" s="846">
        <v>0</v>
      </c>
      <c r="K43" s="846">
        <v>2</v>
      </c>
      <c r="L43" s="816" t="str">
        <f t="shared" ref="L43:L65" si="24">IF(J43="","",IF(J43&gt;K43,"W",IF(J43=K43,"D",IF(J43&lt;K43,"L"))))</f>
        <v>L</v>
      </c>
      <c r="M43" s="816">
        <f t="shared" ref="M43:M65" si="25">IF(J43="","",J43+K43)</f>
        <v>2</v>
      </c>
      <c r="N43" s="816" t="str">
        <f t="shared" si="23"/>
        <v>U</v>
      </c>
      <c r="O43" s="816">
        <f t="shared" ref="O43:O52" si="26">IF(Q43="","",IF(SIGN(Q43)&lt;&gt;1,VLOOKUP(ABS(Q43),SUP_HDC,3,TRUE),-VLOOKUP(ABS(Q43),SUP_HDC,3,TRUE)))</f>
        <v>0.25</v>
      </c>
      <c r="P43" s="829">
        <f t="shared" ref="P43:P52" si="27">IF(O43="","",IF((J43-K43+O43)&gt;=0.5,1,IF((J43-K43+O43)=0.25,0.5,IF((J43-K43+O43)&lt;=-0.5,-1,IF((J43-K43+O43)=-0.25,-0.5,0)))))</f>
        <v>-1</v>
      </c>
      <c r="Q43" s="830">
        <v>-0.38</v>
      </c>
      <c r="R43" s="871">
        <f t="shared" ref="R43:R48" si="28">IF(ISBLANK(Q43),"",J43-K43-Q43)</f>
        <v>-1.62</v>
      </c>
      <c r="S43" s="830">
        <v>2.63</v>
      </c>
      <c r="T43" s="871">
        <f t="shared" ref="T43:T52" si="29">IF(ISBLANK(S43),"",J43+K43-S43)</f>
        <v>-0.62999999999999989</v>
      </c>
      <c r="U43" s="868">
        <f t="shared" ref="U43:U52" si="30">IF(Q43="","",(Q43+S43)/2)</f>
        <v>1.125</v>
      </c>
      <c r="V43" s="868">
        <f t="shared" ref="V43:V52" si="31">IF(Q43="","",S43-U43)</f>
        <v>1.5049999999999999</v>
      </c>
      <c r="W43" s="829">
        <v>13</v>
      </c>
      <c r="X43" s="829">
        <v>8</v>
      </c>
      <c r="Y43" s="829">
        <v>1</v>
      </c>
      <c r="Z43" s="829">
        <v>1</v>
      </c>
      <c r="AA43" s="829">
        <v>47</v>
      </c>
      <c r="AB43" s="829">
        <v>53</v>
      </c>
      <c r="AC43" s="829"/>
      <c r="AD43" s="816" t="str">
        <f t="array" ref="AD43">IF($J43="","",IF(SUM(IF(ISNUMBER(VALUE(RIGHT($AG43:$DY43,1))),VALUE(RIGHT($AG43:$DY43,1)),0))=$J43,"T","F"))</f>
        <v>T</v>
      </c>
      <c r="AE43" s="831">
        <f t="array" ref="AE43">IF($J43="","",SUM(IF(LEFT($AG43:$DY43,1)="s",1,0))-SUM(IF(RIGHT(LEFT($AG43:$DY43,2))="-",1,0)))</f>
        <v>0</v>
      </c>
      <c r="AF43" s="816">
        <f t="array" ref="AF43">IF($J43="","",SUM(IF(LEFT($AG43:$DY43,1)="X",1,0)))</f>
        <v>11</v>
      </c>
      <c r="AG43" s="891" t="s">
        <v>34</v>
      </c>
      <c r="AH43" s="891" t="s">
        <v>32</v>
      </c>
      <c r="AI43" s="891" t="s">
        <v>32</v>
      </c>
      <c r="AJ43" s="891" t="s">
        <v>1877</v>
      </c>
      <c r="AK43" s="891" t="s">
        <v>34</v>
      </c>
      <c r="AL43" s="891" t="s">
        <v>34</v>
      </c>
      <c r="AM43" s="891" t="s">
        <v>36</v>
      </c>
      <c r="AN43" s="891" t="s">
        <v>34</v>
      </c>
      <c r="AO43" s="891" t="s">
        <v>32</v>
      </c>
      <c r="AP43" s="891" t="s">
        <v>32</v>
      </c>
      <c r="AQ43" s="891" t="s">
        <v>1877</v>
      </c>
      <c r="AR43" s="891" t="s">
        <v>34</v>
      </c>
      <c r="AS43" s="891" t="s">
        <v>32</v>
      </c>
      <c r="AT43" s="891" t="s">
        <v>35</v>
      </c>
      <c r="AU43" s="891" t="s">
        <v>32</v>
      </c>
      <c r="AV43" s="891" t="s">
        <v>32</v>
      </c>
      <c r="AW43" s="891" t="s">
        <v>34</v>
      </c>
      <c r="AX43" s="891" t="s">
        <v>1877</v>
      </c>
      <c r="AY43" s="891" t="s">
        <v>32</v>
      </c>
      <c r="AZ43" s="891"/>
      <c r="BA43" s="891" t="s">
        <v>32</v>
      </c>
      <c r="BB43" s="891" t="s">
        <v>35</v>
      </c>
      <c r="BC43" s="891" t="s">
        <v>32</v>
      </c>
      <c r="BD43" s="891" t="s">
        <v>32</v>
      </c>
      <c r="BE43" s="891" t="s">
        <v>36</v>
      </c>
      <c r="BF43" s="891" t="s">
        <v>34</v>
      </c>
      <c r="BG43" s="891" t="s">
        <v>35</v>
      </c>
      <c r="BH43" s="910"/>
      <c r="BI43" s="891" t="s">
        <v>36</v>
      </c>
      <c r="BJ43" s="891" t="s">
        <v>32</v>
      </c>
      <c r="BK43" s="891"/>
      <c r="BL43" s="891" t="s">
        <v>34</v>
      </c>
      <c r="BM43" s="891" t="s">
        <v>1877</v>
      </c>
      <c r="BN43" s="891"/>
      <c r="BO43" s="891"/>
      <c r="BP43" s="891"/>
      <c r="BQ43" s="891"/>
      <c r="BR43" s="891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428"/>
      <c r="CH43" s="428"/>
      <c r="CI43" s="428"/>
      <c r="CJ43" s="428"/>
    </row>
    <row r="44" spans="1:122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19</v>
      </c>
      <c r="G44" s="879" t="s">
        <v>885</v>
      </c>
      <c r="H44" s="879" t="s">
        <v>18</v>
      </c>
      <c r="I44" s="879" t="s">
        <v>891</v>
      </c>
      <c r="J44" s="846">
        <v>1</v>
      </c>
      <c r="K44" s="846">
        <v>0</v>
      </c>
      <c r="L44" s="816" t="str">
        <f t="shared" si="24"/>
        <v>W</v>
      </c>
      <c r="M44" s="816">
        <f t="shared" si="25"/>
        <v>1</v>
      </c>
      <c r="N44" s="816" t="str">
        <f t="shared" si="23"/>
        <v>U</v>
      </c>
      <c r="O44" s="816">
        <f t="shared" si="26"/>
        <v>-0.25</v>
      </c>
      <c r="P44" s="829">
        <f t="shared" si="27"/>
        <v>1</v>
      </c>
      <c r="Q44" s="830">
        <v>0.2</v>
      </c>
      <c r="R44" s="871">
        <f t="shared" si="28"/>
        <v>0.8</v>
      </c>
      <c r="S44" s="830">
        <v>2.13</v>
      </c>
      <c r="T44" s="871">
        <f t="shared" si="29"/>
        <v>-1.1299999999999999</v>
      </c>
      <c r="U44" s="868">
        <f t="shared" si="30"/>
        <v>1.165</v>
      </c>
      <c r="V44" s="868">
        <f t="shared" si="31"/>
        <v>0.96499999999999986</v>
      </c>
      <c r="W44" s="829">
        <v>13</v>
      </c>
      <c r="X44" s="829">
        <v>8</v>
      </c>
      <c r="Y44" s="829">
        <v>4</v>
      </c>
      <c r="Z44" s="829">
        <v>1</v>
      </c>
      <c r="AA44" s="829">
        <v>54</v>
      </c>
      <c r="AB44" s="829">
        <v>46</v>
      </c>
      <c r="AC44" s="829"/>
      <c r="AD44" s="816" t="str">
        <f t="array" ref="AD44">IF($J44="","",IF(SUM(IF(ISNUMBER(VALUE(RIGHT($AG44:$DY44,1))),VALUE(RIGHT($AG44:$DY44,1)),0))=$J44,"T","F"))</f>
        <v>T</v>
      </c>
      <c r="AE44" s="831">
        <f t="array" ref="AE44">IF($J44="","",SUM(IF(LEFT($AG44:$DY44,1)="s",1,0))-SUM(IF(RIGHT(LEFT($AG44:$DY44,2))="-",1,0)))</f>
        <v>0</v>
      </c>
      <c r="AF44" s="816">
        <f t="array" ref="AF44">IF($J44="","",SUM(IF(LEFT($AG44:$DY44,1)="X",1,0)))</f>
        <v>11</v>
      </c>
      <c r="AG44" s="891" t="s">
        <v>34</v>
      </c>
      <c r="AH44" s="891" t="s">
        <v>32</v>
      </c>
      <c r="AI44" s="891" t="s">
        <v>32</v>
      </c>
      <c r="AJ44" s="891" t="s">
        <v>1877</v>
      </c>
      <c r="AK44" s="891" t="s">
        <v>34</v>
      </c>
      <c r="AL44" s="891" t="s">
        <v>34</v>
      </c>
      <c r="AM44" s="891" t="s">
        <v>1877</v>
      </c>
      <c r="AN44" s="891" t="s">
        <v>34</v>
      </c>
      <c r="AO44" s="891" t="s">
        <v>32</v>
      </c>
      <c r="AP44" s="891" t="s">
        <v>32</v>
      </c>
      <c r="AQ44" s="891" t="s">
        <v>32</v>
      </c>
      <c r="AR44" s="891" t="s">
        <v>34</v>
      </c>
      <c r="AS44" s="891" t="s">
        <v>32</v>
      </c>
      <c r="AT44" s="891" t="s">
        <v>36</v>
      </c>
      <c r="AU44" s="891" t="s">
        <v>32</v>
      </c>
      <c r="AV44" s="891" t="s">
        <v>32</v>
      </c>
      <c r="AW44" s="891" t="s">
        <v>34</v>
      </c>
      <c r="AX44" s="891" t="s">
        <v>1877</v>
      </c>
      <c r="AY44" s="891" t="s">
        <v>32</v>
      </c>
      <c r="AZ44" s="891"/>
      <c r="BA44" s="891" t="s">
        <v>1877</v>
      </c>
      <c r="BB44" s="891" t="s">
        <v>35</v>
      </c>
      <c r="BC44" s="891" t="s">
        <v>32</v>
      </c>
      <c r="BD44" s="891" t="s">
        <v>32</v>
      </c>
      <c r="BE44" s="891" t="s">
        <v>35</v>
      </c>
      <c r="BF44" s="891" t="s">
        <v>36</v>
      </c>
      <c r="BG44" s="891" t="s">
        <v>32</v>
      </c>
      <c r="BH44" s="910"/>
      <c r="BI44" s="904" t="s">
        <v>34</v>
      </c>
      <c r="BJ44" s="891" t="s">
        <v>36</v>
      </c>
      <c r="BK44" s="891"/>
      <c r="BL44" s="891" t="s">
        <v>2810</v>
      </c>
      <c r="BM44" s="891" t="s">
        <v>35</v>
      </c>
      <c r="BN44" s="891"/>
      <c r="BO44" s="891"/>
      <c r="BP44" s="891"/>
      <c r="BQ44" s="891"/>
      <c r="BR44" s="891"/>
      <c r="BS44" s="896"/>
      <c r="BT44" s="891"/>
      <c r="BU44" s="896"/>
      <c r="BV44" s="896"/>
      <c r="BW44" s="896"/>
      <c r="BX44" s="896"/>
      <c r="BY44" s="896"/>
      <c r="BZ44" s="891"/>
      <c r="CA44" s="891"/>
      <c r="CB44" s="891"/>
      <c r="CC44" s="891"/>
      <c r="CD44" s="891"/>
      <c r="CE44" s="891"/>
      <c r="CF44" s="891"/>
      <c r="CG44" s="428"/>
      <c r="CH44" s="428"/>
      <c r="CI44" s="428"/>
      <c r="CJ44" s="428"/>
    </row>
    <row r="45" spans="1:122" ht="15">
      <c r="A45" s="882">
        <v>6400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15</v>
      </c>
      <c r="G45" s="879" t="s">
        <v>881</v>
      </c>
      <c r="H45" s="879" t="s">
        <v>22</v>
      </c>
      <c r="I45" s="879" t="s">
        <v>891</v>
      </c>
      <c r="J45" s="846">
        <v>2</v>
      </c>
      <c r="K45" s="846">
        <v>0</v>
      </c>
      <c r="L45" s="816" t="str">
        <f t="shared" si="24"/>
        <v>W</v>
      </c>
      <c r="M45" s="816">
        <f t="shared" si="25"/>
        <v>2</v>
      </c>
      <c r="N45" s="816" t="str">
        <f t="shared" si="23"/>
        <v>U</v>
      </c>
      <c r="O45" s="816">
        <f t="shared" si="26"/>
        <v>-0.25</v>
      </c>
      <c r="P45" s="829">
        <f t="shared" si="27"/>
        <v>1</v>
      </c>
      <c r="Q45" s="830">
        <v>0.34</v>
      </c>
      <c r="R45" s="871">
        <f t="shared" si="28"/>
        <v>1.66</v>
      </c>
      <c r="S45" s="830">
        <v>2.17</v>
      </c>
      <c r="T45" s="871">
        <f t="shared" si="29"/>
        <v>-0.16999999999999993</v>
      </c>
      <c r="U45" s="868">
        <f t="shared" si="30"/>
        <v>1.2549999999999999</v>
      </c>
      <c r="V45" s="868">
        <f t="shared" si="31"/>
        <v>0.91500000000000004</v>
      </c>
      <c r="W45" s="829">
        <v>8</v>
      </c>
      <c r="X45" s="829">
        <v>11</v>
      </c>
      <c r="Y45" s="829">
        <v>3</v>
      </c>
      <c r="Z45" s="829">
        <v>2</v>
      </c>
      <c r="AA45" s="829">
        <v>39</v>
      </c>
      <c r="AB45" s="829">
        <v>61</v>
      </c>
      <c r="AC45" s="829"/>
      <c r="AD45" s="816" t="str">
        <f t="array" ref="AD45">IF($J45="","",IF(SUM(IF(ISNUMBER(VALUE(RIGHT($AG45:$DY45,1))),VALUE(RIGHT($AG45:$DY45,1)),0))=$J45,"T","F"))</f>
        <v>T</v>
      </c>
      <c r="AE45" s="831">
        <f t="array" ref="AE45">IF($J45="","",SUM(IF(LEFT($AG45:$DY45,1)="s",1,0))-SUM(IF(RIGHT(LEFT($AG45:$DY45,2))="-",1,0)))</f>
        <v>0</v>
      </c>
      <c r="AF45" s="816">
        <f t="array" ref="AF45">IF($J45="","",SUM(IF(LEFT($AG45:$DY45,1)="X",1,0)))</f>
        <v>11</v>
      </c>
      <c r="AG45" s="891" t="s">
        <v>34</v>
      </c>
      <c r="AH45" s="891" t="s">
        <v>32</v>
      </c>
      <c r="AI45" s="891" t="s">
        <v>32</v>
      </c>
      <c r="AJ45" s="891" t="s">
        <v>1877</v>
      </c>
      <c r="AK45" s="891" t="s">
        <v>34</v>
      </c>
      <c r="AL45" s="891" t="s">
        <v>34</v>
      </c>
      <c r="AM45" s="891" t="s">
        <v>32</v>
      </c>
      <c r="AN45" s="891" t="s">
        <v>2832</v>
      </c>
      <c r="AO45" s="891" t="s">
        <v>32</v>
      </c>
      <c r="AP45" s="891" t="s">
        <v>1877</v>
      </c>
      <c r="AQ45" s="891" t="s">
        <v>1877</v>
      </c>
      <c r="AR45" s="904" t="s">
        <v>34</v>
      </c>
      <c r="AS45" s="891" t="s">
        <v>36</v>
      </c>
      <c r="AT45" s="891" t="s">
        <v>35</v>
      </c>
      <c r="AU45" s="891" t="s">
        <v>32</v>
      </c>
      <c r="AV45" s="891" t="s">
        <v>32</v>
      </c>
      <c r="AW45" s="891" t="s">
        <v>34</v>
      </c>
      <c r="AX45" s="891" t="s">
        <v>32</v>
      </c>
      <c r="AY45" s="891" t="s">
        <v>32</v>
      </c>
      <c r="AZ45" s="891"/>
      <c r="BA45" s="891" t="s">
        <v>32</v>
      </c>
      <c r="BB45" s="891" t="s">
        <v>36</v>
      </c>
      <c r="BC45" s="891" t="s">
        <v>32</v>
      </c>
      <c r="BD45" s="891" t="s">
        <v>32</v>
      </c>
      <c r="BE45" s="904" t="s">
        <v>35</v>
      </c>
      <c r="BF45" s="891" t="s">
        <v>34</v>
      </c>
      <c r="BG45" s="891" t="s">
        <v>32</v>
      </c>
      <c r="BH45" s="910"/>
      <c r="BI45" s="904" t="s">
        <v>35</v>
      </c>
      <c r="BJ45" s="891" t="s">
        <v>36</v>
      </c>
      <c r="BK45" s="891"/>
      <c r="BL45" s="891" t="s">
        <v>2832</v>
      </c>
      <c r="BM45" s="891" t="s">
        <v>1877</v>
      </c>
      <c r="BN45" s="891"/>
      <c r="BO45" s="891"/>
      <c r="BP45" s="891"/>
      <c r="BQ45" s="891"/>
      <c r="BR45" s="891"/>
      <c r="BS45" s="896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896"/>
      <c r="CF45" s="896"/>
      <c r="CG45" s="428"/>
      <c r="CH45" s="428"/>
      <c r="CI45" s="428"/>
      <c r="CJ45" s="428"/>
    </row>
    <row r="46" spans="1:122" ht="15">
      <c r="A46" s="882">
        <v>6406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8</v>
      </c>
      <c r="G46" s="879" t="s">
        <v>880</v>
      </c>
      <c r="H46" s="879" t="s">
        <v>22</v>
      </c>
      <c r="I46" s="879" t="s">
        <v>891</v>
      </c>
      <c r="J46" s="846">
        <v>1</v>
      </c>
      <c r="K46" s="846">
        <v>0</v>
      </c>
      <c r="L46" s="816" t="str">
        <f t="shared" si="24"/>
        <v>W</v>
      </c>
      <c r="M46" s="816">
        <f t="shared" si="25"/>
        <v>1</v>
      </c>
      <c r="N46" s="816" t="str">
        <f t="shared" si="23"/>
        <v>U</v>
      </c>
      <c r="O46" s="816">
        <f t="shared" si="26"/>
        <v>0.25</v>
      </c>
      <c r="P46" s="829">
        <f t="shared" si="27"/>
        <v>1</v>
      </c>
      <c r="Q46" s="830">
        <v>-0.26</v>
      </c>
      <c r="R46" s="871">
        <f t="shared" si="28"/>
        <v>1.26</v>
      </c>
      <c r="S46" s="830">
        <v>2.04</v>
      </c>
      <c r="T46" s="871">
        <f t="shared" si="29"/>
        <v>-1.04</v>
      </c>
      <c r="U46" s="868">
        <f t="shared" si="30"/>
        <v>0.89</v>
      </c>
      <c r="V46" s="868">
        <f t="shared" si="31"/>
        <v>1.1499999999999999</v>
      </c>
      <c r="W46" s="829">
        <v>9</v>
      </c>
      <c r="X46" s="829">
        <v>12</v>
      </c>
      <c r="Y46" s="829">
        <v>1</v>
      </c>
      <c r="Z46" s="829">
        <v>1</v>
      </c>
      <c r="AA46" s="829">
        <v>50</v>
      </c>
      <c r="AB46" s="829">
        <v>50</v>
      </c>
      <c r="AC46" s="829"/>
      <c r="AD46" s="816" t="str">
        <f t="array" ref="AD46">IF($J46="","",IF(SUM(IF(ISNUMBER(VALUE(RIGHT($AG46:$DY46,1))),VALUE(RIGHT($AG46:$DY46,1)),0))=$J46,"T","F"))</f>
        <v>T</v>
      </c>
      <c r="AE46" s="831">
        <f t="array" ref="AE46">IF($J46="","",SUM(IF(LEFT($AG46:$DY46,1)="s",1,0))-SUM(IF(RIGHT(LEFT($AG46:$DY46,2))="-",1,0)))</f>
        <v>0</v>
      </c>
      <c r="AF46" s="816">
        <f t="array" ref="AF46">IF($J46="","",SUM(IF(LEFT($AG46:$DY46,1)="X",1,0)))</f>
        <v>11</v>
      </c>
      <c r="AG46" s="891" t="s">
        <v>34</v>
      </c>
      <c r="AH46" s="891" t="s">
        <v>32</v>
      </c>
      <c r="AI46" s="891" t="s">
        <v>32</v>
      </c>
      <c r="AJ46" s="891" t="s">
        <v>1877</v>
      </c>
      <c r="AK46" s="891" t="s">
        <v>35</v>
      </c>
      <c r="AL46" s="891" t="s">
        <v>34</v>
      </c>
      <c r="AM46" s="891" t="s">
        <v>32</v>
      </c>
      <c r="AN46" s="891" t="s">
        <v>34</v>
      </c>
      <c r="AO46" s="891" t="s">
        <v>34</v>
      </c>
      <c r="AP46" s="891" t="s">
        <v>36</v>
      </c>
      <c r="AQ46" s="891" t="s">
        <v>34</v>
      </c>
      <c r="AR46" s="891" t="s">
        <v>2883</v>
      </c>
      <c r="AS46" s="891" t="s">
        <v>36</v>
      </c>
      <c r="AT46" s="904" t="s">
        <v>35</v>
      </c>
      <c r="AU46" s="891" t="s">
        <v>32</v>
      </c>
      <c r="AV46" s="891" t="s">
        <v>32</v>
      </c>
      <c r="AW46" s="891" t="s">
        <v>35</v>
      </c>
      <c r="AX46" s="891" t="s">
        <v>32</v>
      </c>
      <c r="AY46" s="891" t="s">
        <v>32</v>
      </c>
      <c r="AZ46" s="891"/>
      <c r="BA46" s="891" t="s">
        <v>1877</v>
      </c>
      <c r="BB46" s="891" t="s">
        <v>36</v>
      </c>
      <c r="BC46" s="891" t="s">
        <v>32</v>
      </c>
      <c r="BD46" s="891" t="s">
        <v>32</v>
      </c>
      <c r="BE46" s="891" t="s">
        <v>32</v>
      </c>
      <c r="BF46" s="891" t="s">
        <v>1877</v>
      </c>
      <c r="BG46" s="891" t="s">
        <v>32</v>
      </c>
      <c r="BH46" s="910"/>
      <c r="BI46" s="904" t="s">
        <v>34</v>
      </c>
      <c r="BJ46" s="891" t="s">
        <v>32</v>
      </c>
      <c r="BK46" s="891"/>
      <c r="BL46" s="891" t="s">
        <v>34</v>
      </c>
      <c r="BM46" s="891" t="s">
        <v>1877</v>
      </c>
      <c r="BN46" s="891"/>
      <c r="BO46" s="891"/>
      <c r="BP46" s="891"/>
      <c r="BQ46" s="891"/>
      <c r="BR46" s="891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896"/>
      <c r="CF46" s="896"/>
      <c r="CG46" s="428"/>
      <c r="CH46" s="428"/>
      <c r="CI46" s="428"/>
      <c r="CJ46" s="428"/>
    </row>
    <row r="47" spans="1:122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10</v>
      </c>
      <c r="G47" s="879" t="s">
        <v>883</v>
      </c>
      <c r="H47" s="879" t="s">
        <v>18</v>
      </c>
      <c r="I47" s="879" t="s">
        <v>891</v>
      </c>
      <c r="J47" s="846">
        <v>1</v>
      </c>
      <c r="K47" s="846">
        <v>2</v>
      </c>
      <c r="L47" s="816" t="str">
        <f t="shared" si="24"/>
        <v>L</v>
      </c>
      <c r="M47" s="816">
        <f t="shared" si="25"/>
        <v>3</v>
      </c>
      <c r="N47" s="816" t="str">
        <f t="shared" si="23"/>
        <v>O</v>
      </c>
      <c r="O47" s="816">
        <f t="shared" si="26"/>
        <v>0.25</v>
      </c>
      <c r="P47" s="829">
        <f t="shared" si="27"/>
        <v>-1</v>
      </c>
      <c r="Q47" s="830">
        <v>-0.21</v>
      </c>
      <c r="R47" s="871">
        <f t="shared" si="28"/>
        <v>-0.79</v>
      </c>
      <c r="S47" s="830">
        <v>2.1</v>
      </c>
      <c r="T47" s="871">
        <f t="shared" si="29"/>
        <v>0.89999999999999991</v>
      </c>
      <c r="U47" s="868">
        <f t="shared" si="30"/>
        <v>0.94500000000000006</v>
      </c>
      <c r="V47" s="868">
        <f t="shared" si="31"/>
        <v>1.155</v>
      </c>
      <c r="W47" s="829">
        <v>12</v>
      </c>
      <c r="X47" s="829">
        <v>10</v>
      </c>
      <c r="Y47" s="829">
        <v>4</v>
      </c>
      <c r="Z47" s="829">
        <v>4</v>
      </c>
      <c r="AA47" s="829">
        <v>53</v>
      </c>
      <c r="AB47" s="829">
        <v>47</v>
      </c>
      <c r="AC47" s="829"/>
      <c r="AD47" s="816" t="str">
        <f t="array" ref="AD47">IF($J47="","",IF(SUM(IF(ISNUMBER(VALUE(RIGHT($AG47:$DY47,1))),VALUE(RIGHT($AG47:$DY47,1)),0))=$J47,"T","F"))</f>
        <v>T</v>
      </c>
      <c r="AE47" s="831">
        <f t="array" ref="AE47">IF($J47="","",SUM(IF(LEFT($AG47:$DY47,1)="s",1,0))-SUM(IF(RIGHT(LEFT($AG47:$DY47,2))="-",1,0)))</f>
        <v>0</v>
      </c>
      <c r="AF47" s="816">
        <f t="array" ref="AF47">IF($J47="","",SUM(IF(LEFT($AG47:$DY47,1)="X",1,0)))</f>
        <v>11</v>
      </c>
      <c r="AG47" s="891" t="s">
        <v>34</v>
      </c>
      <c r="AH47" s="891" t="s">
        <v>32</v>
      </c>
      <c r="AI47" s="891" t="s">
        <v>32</v>
      </c>
      <c r="AJ47" s="891" t="s">
        <v>1877</v>
      </c>
      <c r="AK47" s="891" t="s">
        <v>35</v>
      </c>
      <c r="AL47" s="891" t="s">
        <v>2911</v>
      </c>
      <c r="AM47" s="891" t="s">
        <v>32</v>
      </c>
      <c r="AN47" s="904" t="s">
        <v>34</v>
      </c>
      <c r="AO47" s="891" t="s">
        <v>35</v>
      </c>
      <c r="AP47" s="904" t="s">
        <v>36</v>
      </c>
      <c r="AQ47" s="891" t="s">
        <v>34</v>
      </c>
      <c r="AR47" s="891" t="s">
        <v>34</v>
      </c>
      <c r="AS47" s="891" t="s">
        <v>36</v>
      </c>
      <c r="AT47" s="904" t="s">
        <v>35</v>
      </c>
      <c r="AU47" s="891" t="s">
        <v>32</v>
      </c>
      <c r="AV47" s="891" t="s">
        <v>32</v>
      </c>
      <c r="AW47" s="891" t="s">
        <v>34</v>
      </c>
      <c r="AX47" s="891" t="s">
        <v>1877</v>
      </c>
      <c r="AY47" s="891" t="s">
        <v>32</v>
      </c>
      <c r="AZ47" s="891"/>
      <c r="BA47" s="891" t="s">
        <v>32</v>
      </c>
      <c r="BB47" s="891" t="s">
        <v>36</v>
      </c>
      <c r="BC47" s="891" t="s">
        <v>32</v>
      </c>
      <c r="BD47" s="891" t="s">
        <v>32</v>
      </c>
      <c r="BE47" s="891" t="s">
        <v>32</v>
      </c>
      <c r="BF47" s="891" t="s">
        <v>1877</v>
      </c>
      <c r="BG47" s="891" t="s">
        <v>32</v>
      </c>
      <c r="BH47" s="891"/>
      <c r="BI47" s="891" t="s">
        <v>34</v>
      </c>
      <c r="BJ47" s="891" t="s">
        <v>32</v>
      </c>
      <c r="BK47" s="891"/>
      <c r="BL47" s="891" t="s">
        <v>34</v>
      </c>
      <c r="BM47" s="891" t="s">
        <v>1877</v>
      </c>
      <c r="BN47" s="891"/>
      <c r="BO47" s="891"/>
      <c r="BP47" s="891"/>
      <c r="BQ47" s="891"/>
      <c r="BR47" s="891"/>
      <c r="BS47" s="896" t="s">
        <v>32</v>
      </c>
      <c r="BT47" s="896" t="s">
        <v>32</v>
      </c>
      <c r="BU47" s="896" t="s">
        <v>32</v>
      </c>
      <c r="BV47" s="896" t="s">
        <v>32</v>
      </c>
      <c r="BW47" s="896" t="s">
        <v>32</v>
      </c>
      <c r="BX47" s="896" t="s">
        <v>32</v>
      </c>
      <c r="BY47" s="896" t="s">
        <v>32</v>
      </c>
      <c r="BZ47" s="896" t="s">
        <v>32</v>
      </c>
      <c r="CA47" s="896"/>
      <c r="CB47" s="896"/>
      <c r="CC47" s="896"/>
      <c r="CD47" s="896"/>
      <c r="CE47" s="896"/>
      <c r="CF47" s="896"/>
      <c r="CG47" s="428"/>
      <c r="CH47" s="428"/>
      <c r="CI47" s="428"/>
      <c r="CJ47" s="428"/>
    </row>
    <row r="48" spans="1:122" ht="15">
      <c r="A48" s="882">
        <v>6421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13</v>
      </c>
      <c r="G48" s="879" t="s">
        <v>884</v>
      </c>
      <c r="H48" s="879" t="s">
        <v>18</v>
      </c>
      <c r="I48" s="879" t="s">
        <v>891</v>
      </c>
      <c r="J48" s="846">
        <v>0</v>
      </c>
      <c r="K48" s="846">
        <v>2</v>
      </c>
      <c r="L48" s="816" t="str">
        <f t="shared" si="24"/>
        <v>L</v>
      </c>
      <c r="M48" s="816">
        <f t="shared" si="25"/>
        <v>2</v>
      </c>
      <c r="N48" s="816" t="str">
        <f t="shared" si="23"/>
        <v>U</v>
      </c>
      <c r="O48" s="816">
        <f t="shared" si="26"/>
        <v>0</v>
      </c>
      <c r="P48" s="829">
        <f t="shared" si="27"/>
        <v>-1</v>
      </c>
      <c r="Q48" s="830">
        <v>-0.08</v>
      </c>
      <c r="R48" s="871">
        <f t="shared" si="28"/>
        <v>-1.92</v>
      </c>
      <c r="S48" s="830">
        <v>2.1</v>
      </c>
      <c r="T48" s="871">
        <f t="shared" si="29"/>
        <v>-0.10000000000000009</v>
      </c>
      <c r="U48" s="868">
        <f t="shared" si="30"/>
        <v>1.01</v>
      </c>
      <c r="V48" s="868">
        <f t="shared" si="31"/>
        <v>1.0900000000000001</v>
      </c>
      <c r="W48" s="829">
        <v>21</v>
      </c>
      <c r="X48" s="829">
        <v>18</v>
      </c>
      <c r="Y48" s="829">
        <v>5</v>
      </c>
      <c r="Z48" s="829">
        <v>8</v>
      </c>
      <c r="AA48" s="829">
        <v>50</v>
      </c>
      <c r="AB48" s="829">
        <v>50</v>
      </c>
      <c r="AC48" s="829"/>
      <c r="AD48" s="816" t="str">
        <f t="array" ref="AD48">IF($J48="","",IF(SUM(IF(ISNUMBER(VALUE(RIGHT($AG48:$DY48,1))),VALUE(RIGHT($AG48:$DY48,1)),0))=$J48,"T","F"))</f>
        <v>T</v>
      </c>
      <c r="AE48" s="831">
        <f t="array" ref="AE48">IF($J48="","",SUM(IF(LEFT($AG48:$DY48,1)="s",1,0))-SUM(IF(RIGHT(LEFT($AG48:$DY48,2))="-",1,0)))</f>
        <v>0</v>
      </c>
      <c r="AF48" s="816">
        <f t="array" ref="AF48">IF($J48="","",SUM(IF(LEFT($AG48:$DY48,1)="X",1,0)))</f>
        <v>11</v>
      </c>
      <c r="AG48" s="891" t="s">
        <v>34</v>
      </c>
      <c r="AH48" s="891" t="s">
        <v>32</v>
      </c>
      <c r="AI48" s="891" t="s">
        <v>32</v>
      </c>
      <c r="AJ48" s="891" t="s">
        <v>1877</v>
      </c>
      <c r="AK48" s="891" t="s">
        <v>1877</v>
      </c>
      <c r="AL48" s="891" t="s">
        <v>34</v>
      </c>
      <c r="AM48" s="891" t="s">
        <v>32</v>
      </c>
      <c r="AN48" s="891" t="s">
        <v>34</v>
      </c>
      <c r="AO48" s="891" t="s">
        <v>32</v>
      </c>
      <c r="AP48" s="891" t="s">
        <v>34</v>
      </c>
      <c r="AQ48" s="891" t="s">
        <v>35</v>
      </c>
      <c r="AR48" s="891" t="s">
        <v>34</v>
      </c>
      <c r="AS48" s="891" t="s">
        <v>36</v>
      </c>
      <c r="AT48" s="891" t="s">
        <v>36</v>
      </c>
      <c r="AU48" s="891" t="s">
        <v>35</v>
      </c>
      <c r="AV48" s="891" t="s">
        <v>32</v>
      </c>
      <c r="AW48" s="891" t="s">
        <v>34</v>
      </c>
      <c r="AX48" s="891" t="s">
        <v>32</v>
      </c>
      <c r="AY48" s="891" t="s">
        <v>32</v>
      </c>
      <c r="AZ48" s="891"/>
      <c r="BA48" s="891" t="s">
        <v>1877</v>
      </c>
      <c r="BB48" s="891" t="s">
        <v>35</v>
      </c>
      <c r="BC48" s="891" t="s">
        <v>32</v>
      </c>
      <c r="BD48" s="891" t="s">
        <v>32</v>
      </c>
      <c r="BE48" s="891" t="s">
        <v>32</v>
      </c>
      <c r="BF48" s="891" t="s">
        <v>1877</v>
      </c>
      <c r="BG48" s="891" t="s">
        <v>32</v>
      </c>
      <c r="BH48" s="891" t="s">
        <v>32</v>
      </c>
      <c r="BI48" s="891" t="s">
        <v>34</v>
      </c>
      <c r="BJ48" s="891" t="s">
        <v>32</v>
      </c>
      <c r="BK48" s="891"/>
      <c r="BL48" s="891" t="s">
        <v>34</v>
      </c>
      <c r="BM48" s="906" t="s">
        <v>2975</v>
      </c>
      <c r="BN48" s="891" t="s">
        <v>32</v>
      </c>
      <c r="BO48" s="891" t="s">
        <v>32</v>
      </c>
      <c r="BP48" s="891"/>
      <c r="BQ48" s="891"/>
      <c r="BR48" s="891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428"/>
      <c r="CH48" s="428"/>
      <c r="CI48" s="428"/>
      <c r="CJ48" s="428"/>
    </row>
    <row r="49" spans="1:95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18</v>
      </c>
      <c r="G49" s="879" t="s">
        <v>887</v>
      </c>
      <c r="H49" s="879" t="s">
        <v>22</v>
      </c>
      <c r="I49" s="879" t="s">
        <v>891</v>
      </c>
      <c r="J49" s="846">
        <v>2</v>
      </c>
      <c r="K49" s="846">
        <v>1</v>
      </c>
      <c r="L49" s="816" t="str">
        <f t="shared" si="24"/>
        <v>W</v>
      </c>
      <c r="M49" s="816">
        <f t="shared" si="25"/>
        <v>3</v>
      </c>
      <c r="N49" s="816" t="str">
        <f t="shared" si="23"/>
        <v>O</v>
      </c>
      <c r="O49" s="816">
        <f t="shared" si="26"/>
        <v>0</v>
      </c>
      <c r="P49" s="829">
        <f t="shared" si="27"/>
        <v>1</v>
      </c>
      <c r="Q49" s="830">
        <v>0.1</v>
      </c>
      <c r="R49" s="871">
        <f t="shared" ref="R49:R65" si="32">IF(ISBLANK(Q49),"",J49-K49-Q49)</f>
        <v>0.9</v>
      </c>
      <c r="S49" s="830">
        <v>2.48</v>
      </c>
      <c r="T49" s="871">
        <f t="shared" si="29"/>
        <v>0.52</v>
      </c>
      <c r="U49" s="868">
        <f t="shared" si="30"/>
        <v>1.29</v>
      </c>
      <c r="V49" s="868">
        <f t="shared" si="31"/>
        <v>1.19</v>
      </c>
      <c r="W49" s="829">
        <v>15</v>
      </c>
      <c r="X49" s="829">
        <v>13</v>
      </c>
      <c r="Y49" s="829">
        <v>6</v>
      </c>
      <c r="Z49" s="829">
        <v>3</v>
      </c>
      <c r="AA49" s="829">
        <v>32</v>
      </c>
      <c r="AB49" s="829">
        <v>68</v>
      </c>
      <c r="AC49" s="829"/>
      <c r="AD49" s="816" t="str">
        <f t="array" ref="AD49">IF($J49="","",IF(SUM(IF(ISNUMBER(VALUE(RIGHT($AG49:$DY49,1))),VALUE(RIGHT($AG49:$DY49,1)),0))=$J49,"T","F"))</f>
        <v>T</v>
      </c>
      <c r="AE49" s="831">
        <f t="array" ref="AE49">IF($J49="","",SUM(IF(LEFT($AG49:$DY49,1)="s",1,0))-SUM(IF(RIGHT(LEFT($AG49:$DY49,2))="-",1,0)))</f>
        <v>0</v>
      </c>
      <c r="AF49" s="816">
        <f t="array" ref="AF49">IF($J49="","",SUM(IF(LEFT($AG49:$DY49,1)="X",1,0)))</f>
        <v>11</v>
      </c>
      <c r="AG49" s="891" t="s">
        <v>34</v>
      </c>
      <c r="AH49" s="891" t="s">
        <v>32</v>
      </c>
      <c r="AI49" s="891" t="s">
        <v>32</v>
      </c>
      <c r="AJ49" s="891" t="s">
        <v>1877</v>
      </c>
      <c r="AK49" s="891" t="s">
        <v>1877</v>
      </c>
      <c r="AL49" s="891" t="s">
        <v>34</v>
      </c>
      <c r="AM49" s="891" t="s">
        <v>32</v>
      </c>
      <c r="AN49" s="891" t="s">
        <v>34</v>
      </c>
      <c r="AO49" s="891" t="s">
        <v>34</v>
      </c>
      <c r="AP49" s="891" t="s">
        <v>32</v>
      </c>
      <c r="AQ49" s="891" t="s">
        <v>32</v>
      </c>
      <c r="AR49" s="891" t="s">
        <v>34</v>
      </c>
      <c r="AS49" s="904" t="s">
        <v>34</v>
      </c>
      <c r="AT49" s="891" t="s">
        <v>3014</v>
      </c>
      <c r="AU49" s="891" t="s">
        <v>32</v>
      </c>
      <c r="AV49" s="891" t="s">
        <v>32</v>
      </c>
      <c r="AW49" s="891" t="s">
        <v>1877</v>
      </c>
      <c r="AX49" s="891" t="s">
        <v>1877</v>
      </c>
      <c r="AY49" s="891" t="s">
        <v>32</v>
      </c>
      <c r="AZ49" s="891"/>
      <c r="BA49" s="891" t="s">
        <v>32</v>
      </c>
      <c r="BB49" s="891" t="s">
        <v>3015</v>
      </c>
      <c r="BC49" s="891" t="s">
        <v>32</v>
      </c>
      <c r="BD49" s="891" t="s">
        <v>32</v>
      </c>
      <c r="BE49" s="891" t="s">
        <v>35</v>
      </c>
      <c r="BF49" s="891" t="s">
        <v>34</v>
      </c>
      <c r="BG49" s="891" t="s">
        <v>32</v>
      </c>
      <c r="BH49" s="891" t="s">
        <v>36</v>
      </c>
      <c r="BI49" s="891" t="s">
        <v>36</v>
      </c>
      <c r="BJ49" s="891" t="s">
        <v>32</v>
      </c>
      <c r="BK49" s="891"/>
      <c r="BL49" s="891" t="s">
        <v>34</v>
      </c>
      <c r="BM49" s="891" t="s">
        <v>35</v>
      </c>
      <c r="BN49" s="891"/>
      <c r="BO49" s="891"/>
      <c r="BP49" s="891"/>
      <c r="BQ49" s="891"/>
      <c r="BR49" s="891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896"/>
      <c r="CF49" s="896"/>
      <c r="CG49" s="428"/>
      <c r="CH49" s="428"/>
      <c r="CI49" s="428"/>
      <c r="CJ49" s="428"/>
    </row>
    <row r="50" spans="1:95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1</v>
      </c>
      <c r="G50" s="879" t="s">
        <v>1086</v>
      </c>
      <c r="H50" s="879" t="s">
        <v>22</v>
      </c>
      <c r="I50" s="879" t="s">
        <v>891</v>
      </c>
      <c r="J50" s="846">
        <v>0</v>
      </c>
      <c r="K50" s="846">
        <v>2</v>
      </c>
      <c r="L50" s="816" t="str">
        <f t="shared" si="24"/>
        <v>L</v>
      </c>
      <c r="M50" s="816">
        <f t="shared" si="25"/>
        <v>2</v>
      </c>
      <c r="N50" s="816" t="str">
        <f t="shared" si="23"/>
        <v>U</v>
      </c>
      <c r="O50" s="816">
        <f t="shared" si="26"/>
        <v>0.25</v>
      </c>
      <c r="P50" s="829">
        <f t="shared" si="27"/>
        <v>-1</v>
      </c>
      <c r="Q50" s="830">
        <v>-0.23</v>
      </c>
      <c r="R50" s="871">
        <f t="shared" si="32"/>
        <v>-1.77</v>
      </c>
      <c r="S50" s="830">
        <v>2.15</v>
      </c>
      <c r="T50" s="871">
        <f t="shared" si="29"/>
        <v>-0.14999999999999991</v>
      </c>
      <c r="U50" s="868">
        <f t="shared" si="30"/>
        <v>0.96</v>
      </c>
      <c r="V50" s="868">
        <f t="shared" si="31"/>
        <v>1.19</v>
      </c>
      <c r="W50" s="829">
        <v>13</v>
      </c>
      <c r="X50" s="829">
        <v>17</v>
      </c>
      <c r="Y50" s="829">
        <v>1</v>
      </c>
      <c r="Z50" s="829">
        <v>5</v>
      </c>
      <c r="AA50" s="829">
        <v>48</v>
      </c>
      <c r="AB50" s="829">
        <v>52</v>
      </c>
      <c r="AC50" s="829"/>
      <c r="AD50" s="816" t="str">
        <f t="array" ref="AD50">IF($J50="","",IF(SUM(IF(ISNUMBER(VALUE(RIGHT($AG50:$DY50,1))),VALUE(RIGHT($AG50:$DY50,1)),0))=$J50,"T","F"))</f>
        <v>T</v>
      </c>
      <c r="AE50" s="831">
        <f t="array" ref="AE50">IF($J50="","",SUM(IF(LEFT($AG50:$DY50,1)="s",1,0))-SUM(IF(RIGHT(LEFT($AG50:$DY50,2))="-",1,0)))</f>
        <v>0</v>
      </c>
      <c r="AF50" s="816">
        <f t="array" ref="AF50">IF($J50="","",SUM(IF(LEFT($AG50:$DY50,1)="X",1,0)))</f>
        <v>11</v>
      </c>
      <c r="AG50" s="891" t="s">
        <v>34</v>
      </c>
      <c r="AH50" s="891" t="s">
        <v>32</v>
      </c>
      <c r="AI50" s="891" t="s">
        <v>32</v>
      </c>
      <c r="AJ50" s="891" t="s">
        <v>1877</v>
      </c>
      <c r="AK50" s="891" t="s">
        <v>1877</v>
      </c>
      <c r="AL50" s="891" t="s">
        <v>34</v>
      </c>
      <c r="AM50" s="891" t="s">
        <v>32</v>
      </c>
      <c r="AN50" s="891" t="s">
        <v>34</v>
      </c>
      <c r="AO50" s="891" t="s">
        <v>34</v>
      </c>
      <c r="AP50" s="891" t="s">
        <v>32</v>
      </c>
      <c r="AQ50" s="891" t="s">
        <v>1877</v>
      </c>
      <c r="AR50" s="891" t="s">
        <v>34</v>
      </c>
      <c r="AS50" s="891" t="s">
        <v>35</v>
      </c>
      <c r="AT50" s="891" t="s">
        <v>35</v>
      </c>
      <c r="AU50" s="891" t="s">
        <v>32</v>
      </c>
      <c r="AV50" s="891" t="s">
        <v>32</v>
      </c>
      <c r="AW50" s="891" t="s">
        <v>34</v>
      </c>
      <c r="AX50" s="891" t="s">
        <v>32</v>
      </c>
      <c r="AY50" s="891" t="s">
        <v>32</v>
      </c>
      <c r="AZ50" s="891"/>
      <c r="BA50" s="891" t="s">
        <v>36</v>
      </c>
      <c r="BB50" s="891" t="s">
        <v>36</v>
      </c>
      <c r="BC50" s="891" t="s">
        <v>32</v>
      </c>
      <c r="BD50" s="891" t="s">
        <v>32</v>
      </c>
      <c r="BE50" s="891" t="s">
        <v>32</v>
      </c>
      <c r="BF50" s="891" t="s">
        <v>34</v>
      </c>
      <c r="BG50" s="891" t="s">
        <v>32</v>
      </c>
      <c r="BH50" s="891" t="s">
        <v>36</v>
      </c>
      <c r="BI50" s="891" t="s">
        <v>34</v>
      </c>
      <c r="BJ50" s="891" t="s">
        <v>32</v>
      </c>
      <c r="BK50" s="891"/>
      <c r="BL50" s="891" t="s">
        <v>35</v>
      </c>
      <c r="BM50" s="891" t="s">
        <v>1877</v>
      </c>
      <c r="BN50" s="891"/>
      <c r="BO50" s="891"/>
      <c r="BP50" s="891"/>
      <c r="BQ50" s="891"/>
      <c r="BR50" s="891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428"/>
      <c r="CH50" s="428"/>
      <c r="CI50" s="428"/>
      <c r="CJ50" s="428"/>
    </row>
    <row r="51" spans="1:95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4</v>
      </c>
      <c r="G51" s="879" t="s">
        <v>1084</v>
      </c>
      <c r="H51" s="879" t="s">
        <v>18</v>
      </c>
      <c r="I51" s="879" t="s">
        <v>891</v>
      </c>
      <c r="J51" s="846">
        <v>1</v>
      </c>
      <c r="K51" s="846">
        <v>0</v>
      </c>
      <c r="L51" s="816" t="str">
        <f t="shared" si="24"/>
        <v>W</v>
      </c>
      <c r="M51" s="816">
        <f t="shared" si="25"/>
        <v>1</v>
      </c>
      <c r="N51" s="816" t="str">
        <f t="shared" si="23"/>
        <v>U</v>
      </c>
      <c r="O51" s="816">
        <f t="shared" si="26"/>
        <v>0.5</v>
      </c>
      <c r="P51" s="829">
        <f t="shared" si="27"/>
        <v>1</v>
      </c>
      <c r="Q51" s="830">
        <v>-0.7</v>
      </c>
      <c r="R51" s="871">
        <f t="shared" si="32"/>
        <v>1.7</v>
      </c>
      <c r="S51" s="830">
        <v>2.2000000000000002</v>
      </c>
      <c r="T51" s="871">
        <f t="shared" si="29"/>
        <v>-1.2000000000000002</v>
      </c>
      <c r="U51" s="868">
        <f t="shared" si="30"/>
        <v>0.75000000000000011</v>
      </c>
      <c r="V51" s="868">
        <f t="shared" si="31"/>
        <v>1.4500000000000002</v>
      </c>
      <c r="W51" s="829">
        <v>7</v>
      </c>
      <c r="X51" s="829">
        <v>19</v>
      </c>
      <c r="Y51" s="829">
        <v>0</v>
      </c>
      <c r="Z51" s="829">
        <v>3</v>
      </c>
      <c r="AA51" s="829">
        <v>37</v>
      </c>
      <c r="AB51" s="829">
        <v>63</v>
      </c>
      <c r="AC51" s="829"/>
      <c r="AD51" s="816" t="str">
        <f t="array" ref="AD51">IF($J51="","",IF(SUM(IF(ISNUMBER(VALUE(RIGHT($AG51:$DY51,1))),VALUE(RIGHT($AG51:$DY51,1)),0))=$J51,"T","F"))</f>
        <v>T</v>
      </c>
      <c r="AE51" s="831">
        <f t="array" ref="AE51">IF($J51="","",SUM(IF(LEFT($AG51:$DY51,1)="s",1,0))-SUM(IF(RIGHT(LEFT($AG51:$DY51,2))="-",1,0)))</f>
        <v>0</v>
      </c>
      <c r="AF51" s="816">
        <f t="array" ref="AF51">IF($J51="","",SUM(IF(LEFT($AG51:$DY51,1)="X",1,0)))</f>
        <v>11</v>
      </c>
      <c r="AG51" s="904" t="s">
        <v>34</v>
      </c>
      <c r="AH51" s="891" t="s">
        <v>32</v>
      </c>
      <c r="AI51" s="891" t="s">
        <v>32</v>
      </c>
      <c r="AJ51" s="891" t="s">
        <v>1877</v>
      </c>
      <c r="AK51" s="891" t="s">
        <v>35</v>
      </c>
      <c r="AL51" s="891" t="s">
        <v>34</v>
      </c>
      <c r="AM51" s="891" t="s">
        <v>34</v>
      </c>
      <c r="AN51" s="891" t="s">
        <v>34</v>
      </c>
      <c r="AO51" s="891" t="s">
        <v>32</v>
      </c>
      <c r="AP51" s="891" t="s">
        <v>36</v>
      </c>
      <c r="AQ51" s="891" t="s">
        <v>32</v>
      </c>
      <c r="AR51" s="891" t="s">
        <v>34</v>
      </c>
      <c r="AS51" s="891" t="s">
        <v>36</v>
      </c>
      <c r="AT51" s="891" t="s">
        <v>35</v>
      </c>
      <c r="AU51" s="891" t="s">
        <v>32</v>
      </c>
      <c r="AV51" s="891" t="s">
        <v>32</v>
      </c>
      <c r="AW51" s="891" t="s">
        <v>34</v>
      </c>
      <c r="AX51" s="891" t="s">
        <v>32</v>
      </c>
      <c r="AY51" s="891" t="s">
        <v>32</v>
      </c>
      <c r="AZ51" s="891"/>
      <c r="BA51" s="891" t="s">
        <v>1877</v>
      </c>
      <c r="BB51" s="891" t="s">
        <v>36</v>
      </c>
      <c r="BC51" s="891" t="s">
        <v>32</v>
      </c>
      <c r="BD51" s="891" t="s">
        <v>32</v>
      </c>
      <c r="BE51" s="891" t="s">
        <v>32</v>
      </c>
      <c r="BF51" s="891" t="s">
        <v>34</v>
      </c>
      <c r="BG51" s="891" t="s">
        <v>32</v>
      </c>
      <c r="BH51" s="891" t="s">
        <v>1877</v>
      </c>
      <c r="BI51" s="904" t="s">
        <v>34</v>
      </c>
      <c r="BJ51" s="891" t="s">
        <v>32</v>
      </c>
      <c r="BK51" s="891"/>
      <c r="BL51" s="891" t="s">
        <v>35</v>
      </c>
      <c r="BM51" s="891" t="s">
        <v>1877</v>
      </c>
      <c r="BN51" s="891">
        <v>1</v>
      </c>
      <c r="BO51" s="891"/>
      <c r="BP51" s="891"/>
      <c r="BQ51" s="891"/>
      <c r="BR51" s="891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428"/>
      <c r="CH51" s="428"/>
      <c r="CI51" s="428"/>
      <c r="CJ51" s="428"/>
    </row>
    <row r="52" spans="1:95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5</v>
      </c>
      <c r="G52" s="879" t="s">
        <v>889</v>
      </c>
      <c r="H52" s="879" t="s">
        <v>18</v>
      </c>
      <c r="I52" s="879" t="s">
        <v>891</v>
      </c>
      <c r="J52" s="846">
        <v>1</v>
      </c>
      <c r="K52" s="846">
        <v>2</v>
      </c>
      <c r="L52" s="816" t="str">
        <f t="shared" si="24"/>
        <v>L</v>
      </c>
      <c r="M52" s="816">
        <f t="shared" si="25"/>
        <v>3</v>
      </c>
      <c r="N52" s="816" t="str">
        <f t="shared" si="23"/>
        <v>O</v>
      </c>
      <c r="O52" s="816">
        <f t="shared" si="26"/>
        <v>0.25</v>
      </c>
      <c r="P52" s="829">
        <f t="shared" si="27"/>
        <v>-1</v>
      </c>
      <c r="Q52" s="830">
        <v>-0.34</v>
      </c>
      <c r="R52" s="871">
        <f t="shared" si="32"/>
        <v>-0.65999999999999992</v>
      </c>
      <c r="S52" s="830">
        <v>2.41</v>
      </c>
      <c r="T52" s="871">
        <f t="shared" si="29"/>
        <v>0.58999999999999986</v>
      </c>
      <c r="U52" s="868">
        <f t="shared" si="30"/>
        <v>1.0350000000000001</v>
      </c>
      <c r="V52" s="868">
        <f t="shared" si="31"/>
        <v>1.375</v>
      </c>
      <c r="W52" s="829">
        <v>6</v>
      </c>
      <c r="X52" s="829">
        <v>12</v>
      </c>
      <c r="Y52" s="829">
        <v>3</v>
      </c>
      <c r="Z52" s="829">
        <v>5</v>
      </c>
      <c r="AA52" s="829">
        <v>49</v>
      </c>
      <c r="AB52" s="829">
        <v>51</v>
      </c>
      <c r="AC52" s="829"/>
      <c r="AD52" s="816" t="str">
        <f t="array" ref="AD52">IF($J52="","",IF(SUM(IF(ISNUMBER(VALUE(RIGHT($AG52:$DY52,1))),VALUE(RIGHT($AG52:$DY52,1)),0))=$J52,"T","F"))</f>
        <v>T</v>
      </c>
      <c r="AE52" s="831">
        <f t="array" ref="AE52">IF($J52="","",SUM(IF(LEFT($AG52:$DY52,1)="s",1,0))-SUM(IF(RIGHT(LEFT($AG52:$DY52,2))="-",1,0)))</f>
        <v>0</v>
      </c>
      <c r="AF52" s="816">
        <f t="array" ref="AF52">IF($J52="","",SUM(IF(LEFT($AG52:$DY52,1)="X",1,0)))</f>
        <v>11</v>
      </c>
      <c r="AG52" s="891" t="s">
        <v>34</v>
      </c>
      <c r="AH52" s="891" t="s">
        <v>32</v>
      </c>
      <c r="AI52" s="891" t="s">
        <v>32</v>
      </c>
      <c r="AJ52" s="891" t="s">
        <v>1877</v>
      </c>
      <c r="AK52" s="891" t="s">
        <v>35</v>
      </c>
      <c r="AL52" s="891" t="s">
        <v>34</v>
      </c>
      <c r="AM52" s="891" t="s">
        <v>34</v>
      </c>
      <c r="AN52" s="891" t="s">
        <v>34</v>
      </c>
      <c r="AO52" s="891" t="s">
        <v>32</v>
      </c>
      <c r="AP52" s="891" t="s">
        <v>1877</v>
      </c>
      <c r="AQ52" s="891" t="s">
        <v>32</v>
      </c>
      <c r="AR52" s="891" t="s">
        <v>34</v>
      </c>
      <c r="AS52" s="891" t="s">
        <v>1877</v>
      </c>
      <c r="AT52" s="891" t="s">
        <v>35</v>
      </c>
      <c r="AU52" s="891" t="s">
        <v>32</v>
      </c>
      <c r="AV52" s="891" t="s">
        <v>32</v>
      </c>
      <c r="AW52" s="891" t="s">
        <v>34</v>
      </c>
      <c r="AX52" s="891" t="s">
        <v>1877</v>
      </c>
      <c r="AY52" s="891" t="s">
        <v>32</v>
      </c>
      <c r="AZ52" s="891"/>
      <c r="BA52" s="891" t="s">
        <v>36</v>
      </c>
      <c r="BB52" s="891" t="s">
        <v>32</v>
      </c>
      <c r="BC52" s="891" t="s">
        <v>32</v>
      </c>
      <c r="BD52" s="891" t="s">
        <v>32</v>
      </c>
      <c r="BE52" s="891" t="s">
        <v>32</v>
      </c>
      <c r="BF52" s="904" t="s">
        <v>34</v>
      </c>
      <c r="BG52" s="891" t="s">
        <v>32</v>
      </c>
      <c r="BH52" s="891" t="s">
        <v>36</v>
      </c>
      <c r="BI52" s="891" t="s">
        <v>3119</v>
      </c>
      <c r="BJ52" s="891" t="s">
        <v>32</v>
      </c>
      <c r="BK52" s="891" t="s">
        <v>3122</v>
      </c>
      <c r="BL52" s="904" t="s">
        <v>34</v>
      </c>
      <c r="BM52" s="891" t="s">
        <v>35</v>
      </c>
      <c r="BN52" s="891"/>
      <c r="BO52" s="891"/>
      <c r="BP52" s="891"/>
      <c r="BQ52" s="891"/>
      <c r="BR52" s="891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428"/>
      <c r="CH52" s="428"/>
      <c r="CI52" s="428"/>
      <c r="CJ52" s="428"/>
    </row>
    <row r="53" spans="1:95" ht="15">
      <c r="A53" s="882">
        <v>6448</v>
      </c>
      <c r="B53" s="884"/>
      <c r="C53" s="884"/>
      <c r="D53" s="884"/>
      <c r="E53" s="884"/>
      <c r="F53" s="884">
        <f ca="1">IF(I53="","",IF(I53=Table!$C$1,VLOOKUP(G53,Table!$B$9:$AE$32,Table!$AE$6-1,FALSE),""))</f>
        <v>12</v>
      </c>
      <c r="G53" s="879" t="s">
        <v>879</v>
      </c>
      <c r="H53" s="879" t="s">
        <v>22</v>
      </c>
      <c r="I53" s="879" t="s">
        <v>891</v>
      </c>
      <c r="J53" s="846">
        <v>1</v>
      </c>
      <c r="K53" s="846">
        <v>0</v>
      </c>
      <c r="L53" s="816" t="str">
        <f t="shared" si="24"/>
        <v>W</v>
      </c>
      <c r="M53" s="816">
        <f t="shared" si="25"/>
        <v>1</v>
      </c>
      <c r="N53" s="816" t="str">
        <f t="shared" si="23"/>
        <v>U</v>
      </c>
      <c r="O53" s="816">
        <f t="shared" ref="O53" si="33">IF(Q53="","",IF(SIGN(Q53)&lt;&gt;1,VLOOKUP(ABS(Q53),SUP_HDC,3,TRUE),-VLOOKUP(ABS(Q53),SUP_HDC,3,TRUE)))</f>
        <v>0</v>
      </c>
      <c r="P53" s="829">
        <f t="shared" ref="P53" si="34">IF(O53="","",IF((J53-K53+O53)&gt;=0.5,1,IF((J53-K53+O53)=0.25,0.5,IF((J53-K53+O53)&lt;=-0.5,-1,IF((J53-K53+O53)=-0.25,-0.5,0)))))</f>
        <v>1</v>
      </c>
      <c r="Q53" s="830">
        <v>-0.04</v>
      </c>
      <c r="R53" s="871">
        <f t="shared" ref="R53" si="35">IF(ISBLANK(Q53),"",J53-K53-Q53)</f>
        <v>1.04</v>
      </c>
      <c r="S53" s="830">
        <v>2.2000000000000002</v>
      </c>
      <c r="T53" s="871">
        <f t="shared" ref="T53" si="36">IF(ISBLANK(S53),"",J53+K53-S53)</f>
        <v>-1.2000000000000002</v>
      </c>
      <c r="U53" s="868">
        <f t="shared" ref="U53" si="37">IF(Q53="","",(Q53+S53)/2)</f>
        <v>1.08</v>
      </c>
      <c r="V53" s="868">
        <f t="shared" ref="V53" si="38">IF(Q53="","",S53-U53)</f>
        <v>1.1200000000000001</v>
      </c>
      <c r="W53" s="829">
        <v>18</v>
      </c>
      <c r="X53" s="829">
        <v>16</v>
      </c>
      <c r="Y53" s="829">
        <v>5</v>
      </c>
      <c r="Z53" s="829">
        <v>1</v>
      </c>
      <c r="AA53" s="829">
        <v>45</v>
      </c>
      <c r="AB53" s="829">
        <v>55</v>
      </c>
      <c r="AC53" s="829"/>
      <c r="AD53" s="816" t="str">
        <f t="array" ref="AD53">IF($J53="","",IF(SUM(IF(ISNUMBER(VALUE(RIGHT($AG53:$DY53,1))),VALUE(RIGHT($AG53:$DY53,1)),0))=$J53,"T","F"))</f>
        <v>T</v>
      </c>
      <c r="AE53" s="831">
        <f t="array" ref="AE53">IF($J53="","",SUM(IF(LEFT($AG53:$DY53,1)="s",1,0))-SUM(IF(RIGHT(LEFT($AG53:$DY53,2))="-",1,0)))</f>
        <v>0</v>
      </c>
      <c r="AF53" s="816">
        <f t="array" ref="AF53">IF($J53="","",SUM(IF(LEFT($AG53:$DY53,1)="X",1,0)))</f>
        <v>11</v>
      </c>
      <c r="AG53" s="891" t="s">
        <v>34</v>
      </c>
      <c r="AH53" s="891" t="s">
        <v>32</v>
      </c>
      <c r="AI53" s="891" t="s">
        <v>32</v>
      </c>
      <c r="AJ53" s="891" t="s">
        <v>1877</v>
      </c>
      <c r="AK53" s="891" t="s">
        <v>36</v>
      </c>
      <c r="AL53" s="891" t="s">
        <v>34</v>
      </c>
      <c r="AM53" s="891" t="s">
        <v>34</v>
      </c>
      <c r="AN53" s="891" t="s">
        <v>34</v>
      </c>
      <c r="AO53" s="891" t="s">
        <v>32</v>
      </c>
      <c r="AP53" s="891" t="s">
        <v>32</v>
      </c>
      <c r="AQ53" s="891" t="s">
        <v>1877</v>
      </c>
      <c r="AR53" s="904" t="s">
        <v>34</v>
      </c>
      <c r="AS53" s="891" t="s">
        <v>36</v>
      </c>
      <c r="AT53" s="891" t="s">
        <v>1877</v>
      </c>
      <c r="AU53" s="891" t="s">
        <v>35</v>
      </c>
      <c r="AV53" s="891" t="s">
        <v>32</v>
      </c>
      <c r="AW53" s="904" t="s">
        <v>35</v>
      </c>
      <c r="AX53" s="891" t="s">
        <v>32</v>
      </c>
      <c r="AY53" s="891" t="s">
        <v>32</v>
      </c>
      <c r="AZ53" s="891"/>
      <c r="BA53" s="891" t="s">
        <v>35</v>
      </c>
      <c r="BB53" s="891" t="s">
        <v>32</v>
      </c>
      <c r="BC53" s="891" t="s">
        <v>32</v>
      </c>
      <c r="BD53" s="891" t="s">
        <v>32</v>
      </c>
      <c r="BE53" s="891" t="s">
        <v>1877</v>
      </c>
      <c r="BF53" s="891" t="s">
        <v>34</v>
      </c>
      <c r="BG53" s="891" t="s">
        <v>32</v>
      </c>
      <c r="BH53" s="891" t="s">
        <v>3148</v>
      </c>
      <c r="BI53" s="891" t="s">
        <v>3157</v>
      </c>
      <c r="BJ53" s="891" t="s">
        <v>32</v>
      </c>
      <c r="BK53" s="891" t="s">
        <v>34</v>
      </c>
      <c r="BL53" s="891" t="s">
        <v>34</v>
      </c>
      <c r="BM53" s="891" t="s">
        <v>32</v>
      </c>
      <c r="BN53" s="891"/>
      <c r="BO53" s="891"/>
      <c r="BP53" s="891"/>
      <c r="BQ53" s="891"/>
      <c r="BR53" s="891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428"/>
      <c r="CH53" s="428"/>
      <c r="CI53" s="428"/>
      <c r="CJ53" s="428"/>
    </row>
    <row r="54" spans="1:95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17</v>
      </c>
      <c r="G54" s="879" t="s">
        <v>875</v>
      </c>
      <c r="H54" s="879" t="s">
        <v>18</v>
      </c>
      <c r="I54" s="879" t="s">
        <v>891</v>
      </c>
      <c r="J54" s="846">
        <v>2</v>
      </c>
      <c r="K54" s="846">
        <v>1</v>
      </c>
      <c r="L54" s="816" t="str">
        <f t="shared" si="24"/>
        <v>W</v>
      </c>
      <c r="M54" s="816">
        <f t="shared" si="25"/>
        <v>3</v>
      </c>
      <c r="N54" s="816" t="str">
        <f t="shared" si="23"/>
        <v>O</v>
      </c>
      <c r="O54" s="816">
        <f t="shared" ref="O54" si="39">IF(Q54="","",IF(SIGN(Q54)&lt;&gt;1,VLOOKUP(ABS(Q54),SUP_HDC,3,TRUE),-VLOOKUP(ABS(Q54),SUP_HDC,3,TRUE)))</f>
        <v>-0.25</v>
      </c>
      <c r="P54" s="829">
        <f t="shared" ref="P54" si="40">IF(O54="","",IF((J54-K54+O54)&gt;=0.5,1,IF((J54-K54+O54)=0.25,0.5,IF((J54-K54+O54)&lt;=-0.5,-1,IF((J54-K54+O54)=-0.25,-0.5,0)))))</f>
        <v>1</v>
      </c>
      <c r="Q54" s="830">
        <v>0.15</v>
      </c>
      <c r="R54" s="871">
        <f t="shared" ref="R54" si="41">IF(ISBLANK(Q54),"",J54-K54-Q54)</f>
        <v>0.85</v>
      </c>
      <c r="S54" s="830">
        <v>2.38</v>
      </c>
      <c r="T54" s="871">
        <f t="shared" ref="T54" si="42">IF(ISBLANK(S54),"",J54+K54-S54)</f>
        <v>0.62000000000000011</v>
      </c>
      <c r="U54" s="868">
        <f t="shared" ref="U54" si="43">IF(Q54="","",(Q54+S54)/2)</f>
        <v>1.2649999999999999</v>
      </c>
      <c r="V54" s="868">
        <f t="shared" ref="V54" si="44">IF(Q54="","",S54-U54)</f>
        <v>1.115</v>
      </c>
      <c r="W54" s="829">
        <v>11</v>
      </c>
      <c r="X54" s="829">
        <v>16</v>
      </c>
      <c r="Y54" s="829">
        <v>3</v>
      </c>
      <c r="Z54" s="829">
        <v>2</v>
      </c>
      <c r="AA54" s="829">
        <v>46</v>
      </c>
      <c r="AB54" s="829">
        <v>54</v>
      </c>
      <c r="AC54" s="829"/>
      <c r="AD54" s="816" t="str">
        <f t="array" ref="AD54">IF($J54="","",IF(SUM(IF(ISNUMBER(VALUE(RIGHT($AG54:$DY54,1))),VALUE(RIGHT($AG54:$DY54,1)),0))=$J54,"T","F"))</f>
        <v>T</v>
      </c>
      <c r="AE54" s="831">
        <f t="array" ref="AE54">IF($J54="","",SUM(IF(LEFT($AG54:$DY54,1)="s",1,0))-SUM(IF(RIGHT(LEFT($AG54:$DY54,2))="-",1,0)))</f>
        <v>0</v>
      </c>
      <c r="AF54" s="816">
        <f t="array" ref="AF54">IF($J54="","",SUM(IF(LEFT($AG54:$DY54,1)="X",1,0)))</f>
        <v>11</v>
      </c>
      <c r="AG54" s="891" t="s">
        <v>34</v>
      </c>
      <c r="AH54" s="891" t="s">
        <v>32</v>
      </c>
      <c r="AI54" s="891" t="s">
        <v>32</v>
      </c>
      <c r="AJ54" s="891" t="s">
        <v>1877</v>
      </c>
      <c r="AK54" s="891" t="s">
        <v>1877</v>
      </c>
      <c r="AL54" s="891" t="s">
        <v>34</v>
      </c>
      <c r="AM54" s="891" t="s">
        <v>34</v>
      </c>
      <c r="AN54" s="891" t="s">
        <v>34</v>
      </c>
      <c r="AO54" s="891" t="s">
        <v>32</v>
      </c>
      <c r="AP54" s="891" t="s">
        <v>32</v>
      </c>
      <c r="AQ54" s="891" t="s">
        <v>32</v>
      </c>
      <c r="AR54" s="891" t="s">
        <v>34</v>
      </c>
      <c r="AS54" s="891" t="s">
        <v>36</v>
      </c>
      <c r="AT54" s="891" t="s">
        <v>36</v>
      </c>
      <c r="AU54" s="891" t="s">
        <v>34</v>
      </c>
      <c r="AV54" s="891" t="s">
        <v>32</v>
      </c>
      <c r="AW54" s="891" t="s">
        <v>3194</v>
      </c>
      <c r="AX54" s="891" t="s">
        <v>32</v>
      </c>
      <c r="AY54" s="891" t="s">
        <v>32</v>
      </c>
      <c r="AZ54" s="891"/>
      <c r="BA54" s="891" t="s">
        <v>35</v>
      </c>
      <c r="BB54" s="891" t="s">
        <v>1877</v>
      </c>
      <c r="BC54" s="891" t="s">
        <v>32</v>
      </c>
      <c r="BD54" s="891" t="s">
        <v>32</v>
      </c>
      <c r="BE54" s="891" t="s">
        <v>1877</v>
      </c>
      <c r="BF54" s="891" t="s">
        <v>34</v>
      </c>
      <c r="BG54" s="891" t="s">
        <v>32</v>
      </c>
      <c r="BH54" s="891" t="s">
        <v>32</v>
      </c>
      <c r="BI54" s="891" t="s">
        <v>36</v>
      </c>
      <c r="BJ54" s="891" t="s">
        <v>32</v>
      </c>
      <c r="BK54" s="891" t="s">
        <v>3193</v>
      </c>
      <c r="BL54" s="891" t="s">
        <v>35</v>
      </c>
      <c r="BM54" s="891"/>
      <c r="BN54" s="891"/>
      <c r="BO54" s="891"/>
      <c r="BP54" s="891"/>
      <c r="BQ54" s="891"/>
      <c r="BR54" s="891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428"/>
      <c r="CH54" s="428"/>
      <c r="CI54" s="428"/>
      <c r="CJ54" s="428"/>
    </row>
    <row r="55" spans="1:95" ht="15">
      <c r="A55" s="882">
        <v>6462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7</v>
      </c>
      <c r="G55" s="879" t="s">
        <v>888</v>
      </c>
      <c r="H55" s="879" t="s">
        <v>22</v>
      </c>
      <c r="I55" s="879" t="s">
        <v>891</v>
      </c>
      <c r="J55" s="846">
        <v>2</v>
      </c>
      <c r="K55" s="846">
        <v>1</v>
      </c>
      <c r="L55" s="816" t="str">
        <f t="shared" si="24"/>
        <v>W</v>
      </c>
      <c r="M55" s="816">
        <f t="shared" si="25"/>
        <v>3</v>
      </c>
      <c r="N55" s="816" t="str">
        <f t="shared" si="23"/>
        <v>O</v>
      </c>
      <c r="O55" s="816">
        <f>IF(Q55="","",IF(SIGN(Q55)&lt;&gt;1,VLOOKUP(ABS(Q55),SUP_HDC,3,TRUE),-VLOOKUP(ABS(Q55),SUP_HDC,3,TRUE)))</f>
        <v>0.25</v>
      </c>
      <c r="P55" s="829">
        <f>IF(O55="","",IF((J55-K55+O55)&gt;=0.5,1,IF((J55-K55+O55)=0.25,0.5,IF((J55-K55+O55)&lt;=-0.5,-1,IF((J55-K55+O55)=-0.25,-0.5,0)))))</f>
        <v>1</v>
      </c>
      <c r="Q55" s="830">
        <v>-0.3</v>
      </c>
      <c r="R55" s="871">
        <f>IF(ISBLANK(Q55),"",J55-K55-Q55)</f>
        <v>1.3</v>
      </c>
      <c r="S55" s="830">
        <v>2.25</v>
      </c>
      <c r="T55" s="871">
        <f t="shared" ref="T55:T67" si="45">IF(ISBLANK(S55),"",J55+K55-S55)</f>
        <v>0.75</v>
      </c>
      <c r="U55" s="868">
        <f>IF(Q55="","",(Q55+S55)/2)</f>
        <v>0.97499999999999998</v>
      </c>
      <c r="V55" s="868">
        <f>IF(Q55="","",S55-U55)</f>
        <v>1.2749999999999999</v>
      </c>
      <c r="W55" s="829">
        <v>11</v>
      </c>
      <c r="X55" s="829">
        <v>14</v>
      </c>
      <c r="Y55" s="829">
        <v>5</v>
      </c>
      <c r="Z55" s="829">
        <v>2</v>
      </c>
      <c r="AA55" s="829">
        <v>35</v>
      </c>
      <c r="AB55" s="829">
        <v>65</v>
      </c>
      <c r="AC55" s="829"/>
      <c r="AD55" s="816" t="str">
        <f t="array" ref="AD55">IF($J55="","",IF(SUM(IF(ISNUMBER(VALUE(RIGHT($AG55:$DY55,1))),VALUE(RIGHT($AG55:$DY55,1)),0))=$J55,"T","F"))</f>
        <v>T</v>
      </c>
      <c r="AE55" s="831">
        <f t="array" ref="AE55">IF($J55="","",SUM(IF(LEFT($AG55:$DY55,1)="s",1,0))-SUM(IF(RIGHT(LEFT($AG55:$DY55,2))="-",1,0)))</f>
        <v>0</v>
      </c>
      <c r="AF55" s="816">
        <f t="array" ref="AF55">IF($J55="","",SUM(IF(LEFT($AG55:$DY55,1)="X",1,0)))</f>
        <v>11</v>
      </c>
      <c r="AG55" s="891" t="s">
        <v>34</v>
      </c>
      <c r="AH55" s="891" t="s">
        <v>32</v>
      </c>
      <c r="AI55" s="891" t="s">
        <v>32</v>
      </c>
      <c r="AJ55" s="891" t="s">
        <v>1877</v>
      </c>
      <c r="AK55" s="891" t="s">
        <v>36</v>
      </c>
      <c r="AL55" s="891" t="s">
        <v>34</v>
      </c>
      <c r="AM55" s="891" t="s">
        <v>34</v>
      </c>
      <c r="AN55" s="891" t="s">
        <v>34</v>
      </c>
      <c r="AO55" s="891" t="s">
        <v>32</v>
      </c>
      <c r="AP55" s="891" t="s">
        <v>32</v>
      </c>
      <c r="AQ55" s="891" t="s">
        <v>32</v>
      </c>
      <c r="AR55" s="891" t="s">
        <v>34</v>
      </c>
      <c r="AS55" s="891" t="s">
        <v>34</v>
      </c>
      <c r="AT55" s="891" t="s">
        <v>3244</v>
      </c>
      <c r="AU55" s="891" t="s">
        <v>1877</v>
      </c>
      <c r="AV55" s="891" t="s">
        <v>32</v>
      </c>
      <c r="AW55" s="891" t="s">
        <v>35</v>
      </c>
      <c r="AX55" s="891" t="s">
        <v>32</v>
      </c>
      <c r="AY55" s="891" t="s">
        <v>32</v>
      </c>
      <c r="AZ55" s="891"/>
      <c r="BA55" s="891" t="s">
        <v>1877</v>
      </c>
      <c r="BB55" s="891" t="s">
        <v>36</v>
      </c>
      <c r="BC55" s="891" t="s">
        <v>32</v>
      </c>
      <c r="BD55" s="891" t="s">
        <v>32</v>
      </c>
      <c r="BE55" s="891" t="s">
        <v>1877</v>
      </c>
      <c r="BF55" s="891" t="s">
        <v>3243</v>
      </c>
      <c r="BG55" s="891" t="s">
        <v>32</v>
      </c>
      <c r="BH55" s="891" t="s">
        <v>32</v>
      </c>
      <c r="BI55" s="891" t="s">
        <v>36</v>
      </c>
      <c r="BJ55" s="891" t="s">
        <v>32</v>
      </c>
      <c r="BK55" s="891" t="s">
        <v>35</v>
      </c>
      <c r="BL55" s="891" t="s">
        <v>34</v>
      </c>
      <c r="BM55" s="891"/>
      <c r="BN55" s="891"/>
      <c r="BO55" s="891"/>
      <c r="BP55" s="891"/>
      <c r="BQ55" s="891"/>
      <c r="BR55" s="891"/>
      <c r="BS55" s="891"/>
      <c r="BT55" s="891"/>
      <c r="BU55" s="891"/>
      <c r="BV55" s="896"/>
      <c r="BW55" s="896"/>
      <c r="BX55" s="896"/>
      <c r="BY55" s="896"/>
      <c r="BZ55" s="891"/>
      <c r="CA55" s="891"/>
      <c r="CB55" s="891"/>
      <c r="CC55" s="891"/>
      <c r="CD55" s="891"/>
      <c r="CE55" s="891"/>
      <c r="CF55" s="891"/>
      <c r="CG55" s="428"/>
      <c r="CH55" s="428"/>
      <c r="CI55" s="428"/>
      <c r="CJ55" s="428"/>
      <c r="CK55" s="230" t="s">
        <v>32</v>
      </c>
      <c r="CL55" s="230" t="s">
        <v>32</v>
      </c>
      <c r="CM55" s="230" t="s">
        <v>32</v>
      </c>
      <c r="CN55" s="230" t="s">
        <v>32</v>
      </c>
      <c r="CO55" s="230" t="s">
        <v>32</v>
      </c>
      <c r="CP55" s="230" t="s">
        <v>32</v>
      </c>
      <c r="CQ55" s="230" t="s">
        <v>32</v>
      </c>
    </row>
    <row r="56" spans="1:95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9</v>
      </c>
      <c r="G56" s="879" t="s">
        <v>1083</v>
      </c>
      <c r="H56" s="879" t="s">
        <v>18</v>
      </c>
      <c r="I56" s="879" t="s">
        <v>891</v>
      </c>
      <c r="J56" s="846">
        <v>2</v>
      </c>
      <c r="K56" s="846">
        <v>1</v>
      </c>
      <c r="L56" s="816" t="str">
        <f t="shared" si="24"/>
        <v>W</v>
      </c>
      <c r="M56" s="816">
        <f t="shared" si="25"/>
        <v>3</v>
      </c>
      <c r="N56" s="816" t="str">
        <f t="shared" si="23"/>
        <v>O</v>
      </c>
      <c r="O56" s="816">
        <f>IF(Q56="","",IF(SIGN(Q56)&lt;&gt;1,VLOOKUP(ABS(Q56),SUP_HDC,3,TRUE),-VLOOKUP(ABS(Q56),SUP_HDC,3,TRUE)))</f>
        <v>0.25</v>
      </c>
      <c r="P56" s="829">
        <f>IF(O56="","",IF((J56-K56+O56)&gt;=0.5,1,IF((J56-K56+O56)=0.25,0.5,IF((J56-K56+O56)&lt;=-0.5,-1,IF((J56-K56+O56)=-0.25,-0.5,0)))))</f>
        <v>1</v>
      </c>
      <c r="Q56" s="830">
        <v>-0.23</v>
      </c>
      <c r="R56" s="871">
        <f t="shared" si="32"/>
        <v>1.23</v>
      </c>
      <c r="S56" s="830">
        <v>2.4</v>
      </c>
      <c r="T56" s="871">
        <f t="shared" si="45"/>
        <v>0.60000000000000009</v>
      </c>
      <c r="U56" s="868">
        <f>IF(Q56="","",(Q56+S56)/2)</f>
        <v>1.085</v>
      </c>
      <c r="V56" s="868">
        <f>IF(Q56="","",S56-U56)</f>
        <v>1.3149999999999999</v>
      </c>
      <c r="W56" s="829">
        <v>14</v>
      </c>
      <c r="X56" s="829">
        <v>13</v>
      </c>
      <c r="Y56" s="829">
        <v>4</v>
      </c>
      <c r="Z56" s="829">
        <v>4</v>
      </c>
      <c r="AA56" s="829">
        <v>44</v>
      </c>
      <c r="AB56" s="829">
        <v>56</v>
      </c>
      <c r="AC56" s="829"/>
      <c r="AD56" s="816" t="str">
        <f t="array" ref="AD56">IF($J56="","",IF(SUM(IF(ISNUMBER(VALUE(RIGHT($AG56:$DY56,1))),VALUE(RIGHT($AG56:$DY56,1)),0))=$J56,"T","F"))</f>
        <v>T</v>
      </c>
      <c r="AE56" s="831">
        <f t="array" ref="AE56">IF($J56="","",SUM(IF(LEFT($AG56:$DY56,1)="s",1,0))-SUM(IF(RIGHT(LEFT($AG56:$DY56,2))="-",1,0)))</f>
        <v>0</v>
      </c>
      <c r="AF56" s="816">
        <f t="array" ref="AF56">IF($J56="","",SUM(IF(LEFT($AG56:$DY56,1)="X",1,0)))</f>
        <v>11</v>
      </c>
      <c r="AG56" s="891" t="s">
        <v>3260</v>
      </c>
      <c r="AH56" s="891" t="s">
        <v>32</v>
      </c>
      <c r="AI56" s="891" t="s">
        <v>32</v>
      </c>
      <c r="AJ56" s="891" t="s">
        <v>1877</v>
      </c>
      <c r="AK56" s="891" t="s">
        <v>1877</v>
      </c>
      <c r="AL56" s="904" t="s">
        <v>34</v>
      </c>
      <c r="AM56" s="891" t="s">
        <v>34</v>
      </c>
      <c r="AN56" s="891" t="s">
        <v>34</v>
      </c>
      <c r="AO56" s="891" t="s">
        <v>32</v>
      </c>
      <c r="AP56" s="891" t="s">
        <v>32</v>
      </c>
      <c r="AQ56" s="891" t="s">
        <v>35</v>
      </c>
      <c r="AR56" s="891" t="s">
        <v>32</v>
      </c>
      <c r="AS56" s="907" t="s">
        <v>3273</v>
      </c>
      <c r="AT56" s="891" t="s">
        <v>35</v>
      </c>
      <c r="AU56" s="891" t="s">
        <v>35</v>
      </c>
      <c r="AV56" s="891" t="s">
        <v>32</v>
      </c>
      <c r="AW56" s="891" t="s">
        <v>34</v>
      </c>
      <c r="AX56" s="891" t="s">
        <v>32</v>
      </c>
      <c r="AY56" s="891" t="s">
        <v>32</v>
      </c>
      <c r="AZ56" s="891"/>
      <c r="BA56" s="891" t="s">
        <v>1877</v>
      </c>
      <c r="BB56" s="891" t="s">
        <v>36</v>
      </c>
      <c r="BC56" s="891" t="s">
        <v>32</v>
      </c>
      <c r="BD56" s="891" t="s">
        <v>32</v>
      </c>
      <c r="BE56" s="891" t="s">
        <v>1877</v>
      </c>
      <c r="BF56" s="891" t="s">
        <v>34</v>
      </c>
      <c r="BG56" s="891" t="s">
        <v>32</v>
      </c>
      <c r="BH56" s="891" t="s">
        <v>32</v>
      </c>
      <c r="BI56" s="891" t="s">
        <v>3272</v>
      </c>
      <c r="BJ56" s="891" t="s">
        <v>32</v>
      </c>
      <c r="BK56" s="891" t="s">
        <v>36</v>
      </c>
      <c r="BL56" s="891" t="s">
        <v>34</v>
      </c>
      <c r="BM56" s="891"/>
      <c r="BN56" s="891"/>
      <c r="BO56" s="891"/>
      <c r="BP56" s="891"/>
      <c r="BQ56" s="891"/>
      <c r="BR56" s="891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428"/>
      <c r="CH56" s="428"/>
      <c r="CI56" s="428"/>
      <c r="CJ56" s="428"/>
    </row>
    <row r="57" spans="1:95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6</v>
      </c>
      <c r="G57" s="879" t="s">
        <v>876</v>
      </c>
      <c r="H57" s="879" t="s">
        <v>22</v>
      </c>
      <c r="I57" s="879" t="s">
        <v>891</v>
      </c>
      <c r="J57" s="846">
        <v>2</v>
      </c>
      <c r="K57" s="846">
        <v>1</v>
      </c>
      <c r="L57" s="816" t="str">
        <f t="shared" si="24"/>
        <v>W</v>
      </c>
      <c r="M57" s="816">
        <f t="shared" si="25"/>
        <v>3</v>
      </c>
      <c r="N57" s="816" t="str">
        <f t="shared" si="23"/>
        <v>O</v>
      </c>
      <c r="O57" s="816">
        <f>IF(Q57="","",IF(SIGN(Q57)&lt;&gt;1,VLOOKUP(ABS(Q57),SUP_HDC,3,TRUE),-VLOOKUP(ABS(Q57),SUP_HDC,3,TRUE)))</f>
        <v>0.25</v>
      </c>
      <c r="P57" s="829">
        <f>IF(O57="","",IF((J57-K57+O57)&gt;=0.5,1,IF((J57-K57+O57)=0.25,0.5,IF((J57-K57+O57)&lt;=-0.5,-1,IF((J57-K57+O57)=-0.25,-0.5,0)))))</f>
        <v>1</v>
      </c>
      <c r="Q57" s="830">
        <v>-0.16</v>
      </c>
      <c r="R57" s="871">
        <f t="shared" si="32"/>
        <v>1.1599999999999999</v>
      </c>
      <c r="S57" s="830">
        <v>2.5299999999999998</v>
      </c>
      <c r="T57" s="871">
        <f t="shared" si="45"/>
        <v>0.4700000000000002</v>
      </c>
      <c r="U57" s="868">
        <f>IF(Q57="","",(Q57+S57)/2)</f>
        <v>1.1849999999999998</v>
      </c>
      <c r="V57" s="868">
        <f>IF(Q57="","",S57-U57)</f>
        <v>1.345</v>
      </c>
      <c r="W57" s="829">
        <v>13</v>
      </c>
      <c r="X57" s="829">
        <v>17</v>
      </c>
      <c r="Y57" s="829">
        <v>4</v>
      </c>
      <c r="Z57" s="829">
        <v>4</v>
      </c>
      <c r="AA57" s="829">
        <v>37</v>
      </c>
      <c r="AB57" s="829">
        <v>63</v>
      </c>
      <c r="AC57" s="829"/>
      <c r="AD57" s="816" t="str">
        <f t="array" ref="AD57">IF($J57="","",IF(SUM(IF(ISNUMBER(VALUE(RIGHT($AG57:$DY57,1))),VALUE(RIGHT($AG57:$DY57,1)),0))=$J57,"T","F"))</f>
        <v>T</v>
      </c>
      <c r="AE57" s="831">
        <f t="array" ref="AE57">IF($J57="","",SUM(IF(LEFT($AG57:$DY57,1)="s",1,0))-SUM(IF(RIGHT(LEFT($AG57:$DY57,2))="-",1,0)))</f>
        <v>0</v>
      </c>
      <c r="AF57" s="816">
        <f t="array" ref="AF57">IF($J57="","",SUM(IF(LEFT($AG57:$DY57,1)="X",1,0)))</f>
        <v>11</v>
      </c>
      <c r="AG57" s="891" t="s">
        <v>34</v>
      </c>
      <c r="AH57" s="891" t="s">
        <v>32</v>
      </c>
      <c r="AI57" s="891" t="s">
        <v>32</v>
      </c>
      <c r="AJ57" s="891" t="s">
        <v>1877</v>
      </c>
      <c r="AK57" s="891" t="s">
        <v>34</v>
      </c>
      <c r="AL57" s="891" t="s">
        <v>32</v>
      </c>
      <c r="AM57" s="904" t="s">
        <v>34</v>
      </c>
      <c r="AN57" s="891" t="s">
        <v>3322</v>
      </c>
      <c r="AO57" s="891" t="s">
        <v>32</v>
      </c>
      <c r="AP57" s="891" t="s">
        <v>1877</v>
      </c>
      <c r="AQ57" s="891" t="s">
        <v>1877</v>
      </c>
      <c r="AR57" s="891" t="s">
        <v>34</v>
      </c>
      <c r="AS57" s="891" t="s">
        <v>34</v>
      </c>
      <c r="AT57" s="891" t="s">
        <v>35</v>
      </c>
      <c r="AU57" s="891" t="s">
        <v>32</v>
      </c>
      <c r="AV57" s="891" t="s">
        <v>32</v>
      </c>
      <c r="AW57" s="904" t="s">
        <v>35</v>
      </c>
      <c r="AX57" s="891" t="s">
        <v>32</v>
      </c>
      <c r="AY57" s="891" t="s">
        <v>32</v>
      </c>
      <c r="AZ57" s="891"/>
      <c r="BA57" s="891" t="s">
        <v>1877</v>
      </c>
      <c r="BB57" s="891" t="s">
        <v>36</v>
      </c>
      <c r="BC57" s="891" t="s">
        <v>32</v>
      </c>
      <c r="BD57" s="891" t="s">
        <v>32</v>
      </c>
      <c r="BE57" s="891" t="s">
        <v>36</v>
      </c>
      <c r="BF57" s="891" t="s">
        <v>34</v>
      </c>
      <c r="BG57" s="891" t="s">
        <v>32</v>
      </c>
      <c r="BH57" s="891" t="s">
        <v>32</v>
      </c>
      <c r="BI57" s="891" t="s">
        <v>34</v>
      </c>
      <c r="BJ57" s="891" t="s">
        <v>32</v>
      </c>
      <c r="BK57" s="891" t="s">
        <v>36</v>
      </c>
      <c r="BL57" s="891" t="s">
        <v>3342</v>
      </c>
      <c r="BM57" s="891"/>
      <c r="BN57" s="891"/>
      <c r="BO57" s="891"/>
      <c r="BP57" s="891"/>
      <c r="BQ57" s="891"/>
      <c r="BR57" s="891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428"/>
      <c r="CH57" s="428"/>
      <c r="CI57" s="428"/>
      <c r="CJ57" s="428"/>
    </row>
    <row r="58" spans="1:95" ht="15">
      <c r="A58" s="882">
        <v>6483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11</v>
      </c>
      <c r="G58" s="879" t="s">
        <v>874</v>
      </c>
      <c r="H58" s="879" t="s">
        <v>18</v>
      </c>
      <c r="I58" s="879" t="s">
        <v>891</v>
      </c>
      <c r="J58" s="846">
        <v>0</v>
      </c>
      <c r="K58" s="846">
        <v>0</v>
      </c>
      <c r="L58" s="816" t="str">
        <f t="shared" si="24"/>
        <v>D</v>
      </c>
      <c r="M58" s="816">
        <f t="shared" si="25"/>
        <v>0</v>
      </c>
      <c r="N58" s="816" t="str">
        <f t="shared" si="23"/>
        <v>U</v>
      </c>
      <c r="O58" s="816">
        <f t="shared" ref="O58:O65" si="46">IF(Q58="","",IF(SIGN(Q58)&lt;&gt;1,VLOOKUP(ABS(Q58),SUP_HDC,3,TRUE),-VLOOKUP(ABS(Q58),SUP_HDC,3,TRUE)))</f>
        <v>0.25</v>
      </c>
      <c r="P58" s="829">
        <f t="shared" ref="P58:P65" si="47">IF(O58="","",IF((J58-K58+O58)&gt;=0.5,1,IF((J58-K58+O58)=0.25,0.5,IF((J58-K58+O58)&lt;=-0.5,-1,IF((J58-K58+O58)=-0.25,-0.5,0)))))</f>
        <v>0.5</v>
      </c>
      <c r="Q58" s="830">
        <v>-0.2</v>
      </c>
      <c r="R58" s="871">
        <f t="shared" si="32"/>
        <v>0.2</v>
      </c>
      <c r="S58" s="830">
        <v>2.15</v>
      </c>
      <c r="T58" s="871">
        <f t="shared" si="45"/>
        <v>-2.15</v>
      </c>
      <c r="U58" s="868">
        <f t="shared" ref="U58:U67" si="48">IF(Q58="","",(Q58+S58)/2)</f>
        <v>0.97499999999999998</v>
      </c>
      <c r="V58" s="868">
        <f t="shared" ref="V58:V67" si="49">IF(Q58="","",S58-U58)</f>
        <v>1.1749999999999998</v>
      </c>
      <c r="W58" s="829">
        <v>16</v>
      </c>
      <c r="X58" s="829">
        <v>9</v>
      </c>
      <c r="Y58" s="829">
        <v>3</v>
      </c>
      <c r="Z58" s="829">
        <v>2</v>
      </c>
      <c r="AA58" s="829">
        <v>44</v>
      </c>
      <c r="AB58" s="829">
        <v>56</v>
      </c>
      <c r="AC58" s="829"/>
      <c r="AD58" s="816" t="str">
        <f t="array" ref="AD58">IF($J58="","",IF(SUM(IF(ISNUMBER(VALUE(RIGHT($AG58:$CK58,1))),VALUE(RIGHT($AG58:$CK58,1)),0))=$J58,"T","F"))</f>
        <v>T</v>
      </c>
      <c r="AE58" s="831">
        <f t="array" ref="AE58">IF($J58="","",SUM(IF(LEFT($AG58:$DW58,1)="s",1,0))-SUM(IF(RIGHT(LEFT($AG58:$DW58,2))="-",1,0)))</f>
        <v>0</v>
      </c>
      <c r="AF58" s="816">
        <f t="array" ref="AF58">IF($J58="","",SUM(IF(LEFT($AG58:$DC58,1)="X",1,0)))</f>
        <v>11</v>
      </c>
      <c r="AG58" s="891" t="s">
        <v>34</v>
      </c>
      <c r="AH58" s="891" t="s">
        <v>32</v>
      </c>
      <c r="AI58" s="891" t="s">
        <v>32</v>
      </c>
      <c r="AJ58" s="891" t="s">
        <v>1877</v>
      </c>
      <c r="AK58" s="891" t="s">
        <v>34</v>
      </c>
      <c r="AL58" s="891" t="s">
        <v>3358</v>
      </c>
      <c r="AM58" s="891" t="s">
        <v>34</v>
      </c>
      <c r="AN58" s="891" t="s">
        <v>32</v>
      </c>
      <c r="AO58" s="891" t="s">
        <v>32</v>
      </c>
      <c r="AP58" s="891" t="s">
        <v>34</v>
      </c>
      <c r="AQ58" s="891" t="s">
        <v>1877</v>
      </c>
      <c r="AR58" s="891" t="s">
        <v>34</v>
      </c>
      <c r="AS58" s="891" t="s">
        <v>34</v>
      </c>
      <c r="AT58" s="891" t="s">
        <v>35</v>
      </c>
      <c r="AU58" s="891" t="s">
        <v>3358</v>
      </c>
      <c r="AV58" s="891" t="s">
        <v>32</v>
      </c>
      <c r="AW58" s="891" t="s">
        <v>3363</v>
      </c>
      <c r="AX58" s="891" t="s">
        <v>1877</v>
      </c>
      <c r="AY58" s="891" t="s">
        <v>1877</v>
      </c>
      <c r="AZ58" s="891"/>
      <c r="BA58" s="891" t="s">
        <v>36</v>
      </c>
      <c r="BB58" s="891" t="s">
        <v>36</v>
      </c>
      <c r="BC58" s="891" t="s">
        <v>32</v>
      </c>
      <c r="BD58" s="891" t="s">
        <v>32</v>
      </c>
      <c r="BE58" s="891" t="s">
        <v>34</v>
      </c>
      <c r="BF58" s="891" t="s">
        <v>34</v>
      </c>
      <c r="BG58" s="891" t="s">
        <v>32</v>
      </c>
      <c r="BH58" s="891" t="s">
        <v>32</v>
      </c>
      <c r="BI58" s="891" t="s">
        <v>35</v>
      </c>
      <c r="BJ58" s="891" t="s">
        <v>32</v>
      </c>
      <c r="BK58" s="891" t="s">
        <v>36</v>
      </c>
      <c r="BL58" s="891" t="s">
        <v>35</v>
      </c>
      <c r="BM58" s="891"/>
      <c r="BN58" s="891"/>
      <c r="BO58" s="891"/>
      <c r="BP58" s="891"/>
      <c r="BQ58" s="891"/>
      <c r="BR58" s="891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428"/>
      <c r="CH58" s="428"/>
      <c r="CI58" s="428"/>
      <c r="CJ58" s="428"/>
    </row>
    <row r="59" spans="1:95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16</v>
      </c>
      <c r="G59" s="879" t="s">
        <v>872</v>
      </c>
      <c r="H59" s="879" t="s">
        <v>18</v>
      </c>
      <c r="I59" s="879" t="s">
        <v>891</v>
      </c>
      <c r="J59" s="846">
        <v>1</v>
      </c>
      <c r="K59" s="846">
        <v>1</v>
      </c>
      <c r="L59" s="816" t="str">
        <f t="shared" si="24"/>
        <v>D</v>
      </c>
      <c r="M59" s="816">
        <f t="shared" si="25"/>
        <v>2</v>
      </c>
      <c r="N59" s="816" t="str">
        <f t="shared" si="23"/>
        <v>U</v>
      </c>
      <c r="O59" s="816">
        <f t="shared" si="46"/>
        <v>-0.25</v>
      </c>
      <c r="P59" s="829">
        <f t="shared" si="47"/>
        <v>-0.5</v>
      </c>
      <c r="Q59" s="830">
        <v>0.2</v>
      </c>
      <c r="R59" s="871">
        <f t="shared" si="32"/>
        <v>-0.2</v>
      </c>
      <c r="S59" s="830">
        <v>2.34</v>
      </c>
      <c r="T59" s="871">
        <f t="shared" si="45"/>
        <v>-0.33999999999999986</v>
      </c>
      <c r="U59" s="868">
        <f t="shared" si="48"/>
        <v>1.27</v>
      </c>
      <c r="V59" s="868">
        <f t="shared" si="49"/>
        <v>1.0699999999999998</v>
      </c>
      <c r="W59" s="829">
        <v>16</v>
      </c>
      <c r="X59" s="829">
        <v>9</v>
      </c>
      <c r="Y59" s="829">
        <v>4</v>
      </c>
      <c r="Z59" s="829">
        <v>2</v>
      </c>
      <c r="AA59" s="829">
        <v>50</v>
      </c>
      <c r="AB59" s="829">
        <v>50</v>
      </c>
      <c r="AC59" s="829"/>
      <c r="AD59" s="816" t="str">
        <f t="array" ref="AD59">IF($J59="","",IF(SUM(IF(ISNUMBER(VALUE(RIGHT($AG59:$CK59,1))),VALUE(RIGHT($AG59:$CK59,1)),0))=$J59,"T","F"))</f>
        <v>T</v>
      </c>
      <c r="AE59" s="831">
        <f t="array" ref="AE59">IF($J59="","",SUM(IF(LEFT($AG59:$DW59,1)="s",1,0))-SUM(IF(RIGHT(LEFT($AG59:$DW59,2))="-",1,0)))</f>
        <v>0</v>
      </c>
      <c r="AF59" s="816">
        <f t="array" ref="AF59">IF($J59="","",SUM(IF(LEFT($AG59:$DC59,1)="X",1,0)))</f>
        <v>11</v>
      </c>
      <c r="AG59" s="891" t="s">
        <v>34</v>
      </c>
      <c r="AH59" s="891" t="s">
        <v>32</v>
      </c>
      <c r="AI59" s="891" t="s">
        <v>32</v>
      </c>
      <c r="AJ59" s="891" t="s">
        <v>1877</v>
      </c>
      <c r="AK59" s="891" t="s">
        <v>34</v>
      </c>
      <c r="AL59" s="891" t="s">
        <v>32</v>
      </c>
      <c r="AM59" s="891" t="s">
        <v>34</v>
      </c>
      <c r="AN59" s="891" t="s">
        <v>34</v>
      </c>
      <c r="AO59" s="891" t="s">
        <v>32</v>
      </c>
      <c r="AP59" s="891" t="s">
        <v>1877</v>
      </c>
      <c r="AQ59" s="891" t="s">
        <v>1877</v>
      </c>
      <c r="AR59" s="891" t="s">
        <v>34</v>
      </c>
      <c r="AS59" s="891" t="s">
        <v>34</v>
      </c>
      <c r="AT59" s="891" t="s">
        <v>35</v>
      </c>
      <c r="AU59" s="891" t="s">
        <v>32</v>
      </c>
      <c r="AV59" s="891" t="s">
        <v>32</v>
      </c>
      <c r="AW59" s="891" t="s">
        <v>35</v>
      </c>
      <c r="AX59" s="891" t="s">
        <v>32</v>
      </c>
      <c r="AY59" s="891" t="s">
        <v>32</v>
      </c>
      <c r="AZ59" s="891"/>
      <c r="BA59" s="891" t="s">
        <v>1877</v>
      </c>
      <c r="BB59" s="891" t="s">
        <v>36</v>
      </c>
      <c r="BC59" s="891" t="s">
        <v>32</v>
      </c>
      <c r="BD59" s="891" t="s">
        <v>32</v>
      </c>
      <c r="BE59" s="891" t="s">
        <v>36</v>
      </c>
      <c r="BF59" s="891" t="s">
        <v>34</v>
      </c>
      <c r="BG59" s="891" t="s">
        <v>32</v>
      </c>
      <c r="BH59" s="891" t="s">
        <v>32</v>
      </c>
      <c r="BI59" s="891" t="s">
        <v>34</v>
      </c>
      <c r="BJ59" s="891" t="s">
        <v>32</v>
      </c>
      <c r="BK59" s="891" t="s">
        <v>36</v>
      </c>
      <c r="BL59" s="891" t="s">
        <v>35</v>
      </c>
      <c r="BM59" s="891"/>
      <c r="BN59" s="891">
        <v>1</v>
      </c>
      <c r="BO59" s="891"/>
      <c r="BP59" s="891"/>
      <c r="BQ59" s="891"/>
      <c r="BR59" s="891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</row>
    <row r="60" spans="1:95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20</v>
      </c>
      <c r="G60" s="879" t="s">
        <v>882</v>
      </c>
      <c r="H60" s="879" t="s">
        <v>22</v>
      </c>
      <c r="I60" s="879" t="s">
        <v>891</v>
      </c>
      <c r="J60" s="846">
        <v>2</v>
      </c>
      <c r="K60" s="846">
        <v>1</v>
      </c>
      <c r="L60" s="816" t="str">
        <f t="shared" si="24"/>
        <v>W</v>
      </c>
      <c r="M60" s="816">
        <f t="shared" si="25"/>
        <v>3</v>
      </c>
      <c r="N60" s="816" t="str">
        <f t="shared" si="23"/>
        <v>O</v>
      </c>
      <c r="O60" s="816">
        <f t="shared" si="46"/>
        <v>-0.5</v>
      </c>
      <c r="P60" s="829">
        <f t="shared" si="47"/>
        <v>1</v>
      </c>
      <c r="Q60" s="830">
        <v>0.54</v>
      </c>
      <c r="R60" s="871">
        <f t="shared" si="32"/>
        <v>0.45999999999999996</v>
      </c>
      <c r="S60" s="830">
        <v>2.78</v>
      </c>
      <c r="T60" s="871">
        <f t="shared" si="45"/>
        <v>0.2200000000000002</v>
      </c>
      <c r="U60" s="868">
        <f t="shared" si="48"/>
        <v>1.66</v>
      </c>
      <c r="V60" s="868">
        <f t="shared" si="49"/>
        <v>1.1199999999999999</v>
      </c>
      <c r="W60" s="829">
        <v>13</v>
      </c>
      <c r="X60" s="829">
        <v>8</v>
      </c>
      <c r="Y60" s="829">
        <v>2</v>
      </c>
      <c r="Z60" s="829">
        <v>2</v>
      </c>
      <c r="AA60" s="829">
        <v>56</v>
      </c>
      <c r="AB60" s="829">
        <v>44</v>
      </c>
      <c r="AC60" s="829"/>
      <c r="AD60" s="816" t="str">
        <f t="array" ref="AD60">IF($J60="","",IF(SUM(IF(ISNUMBER(VALUE(RIGHT($AG60:$CK60,1))),VALUE(RIGHT($AG60:$CK60,1)),0))=$J60,"T","F"))</f>
        <v>T</v>
      </c>
      <c r="AE60" s="831">
        <f t="array" ref="AE60">IF($J60="","",SUM(IF(LEFT($AG60:$DW60,1)="s",1,0))-SUM(IF(RIGHT(LEFT($AG60:$DW60,2))="-",1,0)))</f>
        <v>0</v>
      </c>
      <c r="AF60" s="816">
        <f t="array" ref="AF60">IF($J60="","",SUM(IF(LEFT($AG60:$DC60,1)="X",1,0)))</f>
        <v>11</v>
      </c>
      <c r="AG60" s="891" t="s">
        <v>34</v>
      </c>
      <c r="AH60" s="891" t="s">
        <v>32</v>
      </c>
      <c r="AI60" s="891" t="s">
        <v>32</v>
      </c>
      <c r="AJ60" s="891" t="s">
        <v>1877</v>
      </c>
      <c r="AK60" s="891" t="s">
        <v>34</v>
      </c>
      <c r="AL60" s="891" t="s">
        <v>3427</v>
      </c>
      <c r="AM60" s="904" t="s">
        <v>34</v>
      </c>
      <c r="AN60" s="891" t="s">
        <v>34</v>
      </c>
      <c r="AO60" s="891" t="s">
        <v>32</v>
      </c>
      <c r="AP60" s="891" t="s">
        <v>1877</v>
      </c>
      <c r="AQ60" s="891" t="s">
        <v>1877</v>
      </c>
      <c r="AR60" s="891" t="s">
        <v>34</v>
      </c>
      <c r="AS60" s="891" t="s">
        <v>34</v>
      </c>
      <c r="AT60" s="891" t="s">
        <v>35</v>
      </c>
      <c r="AU60" s="891" t="s">
        <v>3427</v>
      </c>
      <c r="AV60" s="891" t="s">
        <v>32</v>
      </c>
      <c r="AW60" s="891" t="s">
        <v>34</v>
      </c>
      <c r="AX60" s="891" t="s">
        <v>32</v>
      </c>
      <c r="AY60" s="891" t="s">
        <v>32</v>
      </c>
      <c r="AZ60" s="891"/>
      <c r="BA60" s="891" t="s">
        <v>3441</v>
      </c>
      <c r="BB60" s="891" t="s">
        <v>3441</v>
      </c>
      <c r="BC60" s="891" t="s">
        <v>32</v>
      </c>
      <c r="BD60" s="891" t="s">
        <v>32</v>
      </c>
      <c r="BE60" s="891" t="s">
        <v>1877</v>
      </c>
      <c r="BF60" s="891" t="s">
        <v>34</v>
      </c>
      <c r="BG60" s="891" t="s">
        <v>32</v>
      </c>
      <c r="BH60" s="891" t="s">
        <v>32</v>
      </c>
      <c r="BI60" s="891" t="s">
        <v>35</v>
      </c>
      <c r="BJ60" s="891" t="s">
        <v>32</v>
      </c>
      <c r="BK60" s="891" t="s">
        <v>36</v>
      </c>
      <c r="BL60" s="891" t="s">
        <v>35</v>
      </c>
      <c r="BM60" s="891"/>
      <c r="BN60" s="891"/>
      <c r="BO60" s="891"/>
      <c r="BP60" s="891"/>
      <c r="BQ60" s="891"/>
      <c r="BR60" s="891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</row>
    <row r="61" spans="1:95" ht="15">
      <c r="A61" s="88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3</v>
      </c>
      <c r="G61" s="879" t="s">
        <v>1085</v>
      </c>
      <c r="H61" s="879" t="s">
        <v>22</v>
      </c>
      <c r="I61" s="879" t="s">
        <v>891</v>
      </c>
      <c r="J61" s="846">
        <v>1</v>
      </c>
      <c r="K61" s="846">
        <v>1</v>
      </c>
      <c r="L61" s="816" t="str">
        <f t="shared" si="24"/>
        <v>D</v>
      </c>
      <c r="M61" s="816">
        <f t="shared" si="25"/>
        <v>2</v>
      </c>
      <c r="N61" s="816" t="str">
        <f t="shared" si="23"/>
        <v>U</v>
      </c>
      <c r="O61" s="816">
        <f t="shared" si="46"/>
        <v>0</v>
      </c>
      <c r="P61" s="829">
        <f t="shared" si="47"/>
        <v>0</v>
      </c>
      <c r="Q61" s="830">
        <v>-0.03</v>
      </c>
      <c r="R61" s="871">
        <f t="shared" si="32"/>
        <v>0.03</v>
      </c>
      <c r="S61" s="830">
        <v>2.83</v>
      </c>
      <c r="T61" s="871">
        <f t="shared" si="45"/>
        <v>-0.83000000000000007</v>
      </c>
      <c r="U61" s="868">
        <f t="shared" si="48"/>
        <v>1.4000000000000001</v>
      </c>
      <c r="V61" s="868">
        <f t="shared" si="49"/>
        <v>1.43</v>
      </c>
      <c r="W61" s="829">
        <v>19</v>
      </c>
      <c r="X61" s="829">
        <v>11</v>
      </c>
      <c r="Y61" s="829">
        <v>8</v>
      </c>
      <c r="Z61" s="829">
        <v>2</v>
      </c>
      <c r="AA61" s="829">
        <v>37</v>
      </c>
      <c r="AB61" s="829">
        <v>63</v>
      </c>
      <c r="AC61" s="829"/>
      <c r="AD61" s="816" t="str">
        <f t="array" ref="AD61">IF($J61="","",IF(SUM(IF(ISNUMBER(VALUE(RIGHT($AG61:$CK61,1))),VALUE(RIGHT($AG61:$CK61,1)),0))=$J61,"T","F"))</f>
        <v>T</v>
      </c>
      <c r="AE61" s="831">
        <f t="array" ref="AE61">IF($J61="","",SUM(IF(LEFT($AG61:$DW61,1)="s",1,0))-SUM(IF(RIGHT(LEFT($AG61:$DW61,2))="-",1,0)))</f>
        <v>0</v>
      </c>
      <c r="AF61" s="816">
        <f t="array" ref="AF61">IF($J61="","",SUM(IF(LEFT($AG61:$DC61,1)="X",1,0)))</f>
        <v>11</v>
      </c>
      <c r="AG61" s="891" t="s">
        <v>34</v>
      </c>
      <c r="AH61" s="891" t="s">
        <v>32</v>
      </c>
      <c r="AI61" s="891" t="s">
        <v>32</v>
      </c>
      <c r="AJ61" s="891" t="s">
        <v>1877</v>
      </c>
      <c r="AK61" s="891" t="s">
        <v>1877</v>
      </c>
      <c r="AL61" s="891" t="s">
        <v>34</v>
      </c>
      <c r="AM61" s="891" t="s">
        <v>34</v>
      </c>
      <c r="AN61" s="891" t="s">
        <v>35</v>
      </c>
      <c r="AO61" s="891" t="s">
        <v>32</v>
      </c>
      <c r="AP61" s="891" t="s">
        <v>36</v>
      </c>
      <c r="AQ61" s="891" t="s">
        <v>32</v>
      </c>
      <c r="AR61" s="904" t="s">
        <v>34</v>
      </c>
      <c r="AS61" s="891" t="s">
        <v>34</v>
      </c>
      <c r="AT61" s="891" t="s">
        <v>35</v>
      </c>
      <c r="AU61" s="891" t="s">
        <v>32</v>
      </c>
      <c r="AV61" s="891" t="s">
        <v>32</v>
      </c>
      <c r="AW61" s="891" t="s">
        <v>34</v>
      </c>
      <c r="AX61" s="891" t="s">
        <v>32</v>
      </c>
      <c r="AY61" s="891" t="s">
        <v>32</v>
      </c>
      <c r="AZ61" s="891"/>
      <c r="BA61" s="891" t="s">
        <v>36</v>
      </c>
      <c r="BB61" s="891" t="s">
        <v>36</v>
      </c>
      <c r="BC61" s="891" t="s">
        <v>32</v>
      </c>
      <c r="BD61" s="891" t="s">
        <v>32</v>
      </c>
      <c r="BE61" s="891" t="s">
        <v>1877</v>
      </c>
      <c r="BF61" s="891" t="s">
        <v>34</v>
      </c>
      <c r="BG61" s="891" t="s">
        <v>32</v>
      </c>
      <c r="BH61" s="891" t="s">
        <v>32</v>
      </c>
      <c r="BI61" s="904" t="s">
        <v>3472</v>
      </c>
      <c r="BJ61" s="891" t="s">
        <v>32</v>
      </c>
      <c r="BK61" s="891" t="s">
        <v>1877</v>
      </c>
      <c r="BL61" s="891" t="s">
        <v>35</v>
      </c>
      <c r="BM61" s="891"/>
      <c r="BN61" s="891"/>
      <c r="BO61" s="891"/>
      <c r="BP61" s="891"/>
      <c r="BQ61" s="891"/>
      <c r="BR61" s="891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</row>
    <row r="62" spans="1:95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21</v>
      </c>
      <c r="G62" s="879" t="s">
        <v>890</v>
      </c>
      <c r="H62" s="879" t="s">
        <v>18</v>
      </c>
      <c r="I62" s="879" t="s">
        <v>891</v>
      </c>
      <c r="J62" s="846">
        <v>2</v>
      </c>
      <c r="K62" s="846">
        <v>0</v>
      </c>
      <c r="L62" s="816" t="str">
        <f t="shared" si="24"/>
        <v>W</v>
      </c>
      <c r="M62" s="816">
        <f t="shared" si="25"/>
        <v>2</v>
      </c>
      <c r="N62" s="816" t="str">
        <f t="shared" si="23"/>
        <v>U</v>
      </c>
      <c r="O62" s="816">
        <f t="shared" si="46"/>
        <v>-0.5</v>
      </c>
      <c r="P62" s="829">
        <f t="shared" si="47"/>
        <v>1</v>
      </c>
      <c r="Q62" s="830">
        <v>0.43</v>
      </c>
      <c r="R62" s="871">
        <f t="shared" si="32"/>
        <v>1.57</v>
      </c>
      <c r="S62" s="830">
        <v>2.08</v>
      </c>
      <c r="T62" s="871">
        <f t="shared" si="45"/>
        <v>-8.0000000000000071E-2</v>
      </c>
      <c r="U62" s="868">
        <f t="shared" si="48"/>
        <v>1.2550000000000001</v>
      </c>
      <c r="V62" s="868">
        <f t="shared" si="49"/>
        <v>0.82499999999999996</v>
      </c>
      <c r="W62" s="829">
        <v>12</v>
      </c>
      <c r="X62" s="829">
        <v>13</v>
      </c>
      <c r="Y62" s="829">
        <v>6</v>
      </c>
      <c r="Z62" s="829">
        <v>6</v>
      </c>
      <c r="AA62" s="829">
        <v>45</v>
      </c>
      <c r="AB62" s="829">
        <v>55</v>
      </c>
      <c r="AC62" s="829"/>
      <c r="AD62" s="816" t="str">
        <f t="array" ref="AD62">IF($J62="","",IF(SUM(IF(ISNUMBER(VALUE(RIGHT($AG62:$CK62,1))),VALUE(RIGHT($AG62:$CK62,1)),0))=$J62,"T","F"))</f>
        <v>T</v>
      </c>
      <c r="AE62" s="831">
        <f t="array" ref="AE62">IF($J62="","",SUM(IF(LEFT($AG62:$DW62,1)="s",1,0))-SUM(IF(RIGHT(LEFT($AG62:$DW62,2))="-",1,0)))</f>
        <v>0</v>
      </c>
      <c r="AF62" s="816">
        <f t="array" ref="AF62">IF($J62="","",SUM(IF(LEFT($AG62:$DC62,1)="X",1,0)))</f>
        <v>11</v>
      </c>
      <c r="AG62" s="891" t="s">
        <v>34</v>
      </c>
      <c r="AH62" s="891" t="s">
        <v>32</v>
      </c>
      <c r="AI62" s="891" t="s">
        <v>32</v>
      </c>
      <c r="AJ62" s="891" t="s">
        <v>1877</v>
      </c>
      <c r="AK62" s="891" t="s">
        <v>1877</v>
      </c>
      <c r="AL62" s="891" t="s">
        <v>34</v>
      </c>
      <c r="AM62" s="891" t="s">
        <v>3484</v>
      </c>
      <c r="AN62" s="891" t="s">
        <v>34</v>
      </c>
      <c r="AO62" s="891" t="s">
        <v>32</v>
      </c>
      <c r="AP62" s="891" t="s">
        <v>32</v>
      </c>
      <c r="AQ62" s="891" t="s">
        <v>1877</v>
      </c>
      <c r="AR62" s="891" t="s">
        <v>3485</v>
      </c>
      <c r="AS62" s="891" t="s">
        <v>34</v>
      </c>
      <c r="AT62" s="891" t="s">
        <v>35</v>
      </c>
      <c r="AU62" s="891" t="s">
        <v>32</v>
      </c>
      <c r="AV62" s="891" t="s">
        <v>32</v>
      </c>
      <c r="AW62" s="904" t="s">
        <v>35</v>
      </c>
      <c r="AX62" s="891" t="s">
        <v>32</v>
      </c>
      <c r="AY62" s="891" t="s">
        <v>32</v>
      </c>
      <c r="AZ62" s="891" t="s">
        <v>3484</v>
      </c>
      <c r="BA62" s="891" t="s">
        <v>1877</v>
      </c>
      <c r="BB62" s="891" t="s">
        <v>36</v>
      </c>
      <c r="BC62" s="891" t="s">
        <v>32</v>
      </c>
      <c r="BD62" s="891" t="s">
        <v>32</v>
      </c>
      <c r="BE62" s="891" t="s">
        <v>36</v>
      </c>
      <c r="BF62" s="891" t="s">
        <v>34</v>
      </c>
      <c r="BG62" s="891" t="s">
        <v>32</v>
      </c>
      <c r="BH62" s="891" t="s">
        <v>32</v>
      </c>
      <c r="BI62" s="891" t="s">
        <v>34</v>
      </c>
      <c r="BJ62" s="891" t="s">
        <v>32</v>
      </c>
      <c r="BK62" s="891" t="s">
        <v>36</v>
      </c>
      <c r="BL62" s="891" t="s">
        <v>35</v>
      </c>
      <c r="BM62" s="891"/>
      <c r="BN62" s="891"/>
      <c r="BO62" s="891"/>
      <c r="BP62" s="891"/>
      <c r="BQ62" s="891"/>
      <c r="BR62" s="891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</row>
    <row r="63" spans="1:95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14</v>
      </c>
      <c r="G63" s="879" t="s">
        <v>873</v>
      </c>
      <c r="H63" s="879" t="s">
        <v>18</v>
      </c>
      <c r="I63" s="879" t="s">
        <v>891</v>
      </c>
      <c r="J63" s="846">
        <v>2</v>
      </c>
      <c r="K63" s="846">
        <v>0</v>
      </c>
      <c r="L63" s="816" t="str">
        <f t="shared" si="24"/>
        <v>W</v>
      </c>
      <c r="M63" s="816">
        <f t="shared" si="25"/>
        <v>2</v>
      </c>
      <c r="N63" s="816" t="str">
        <f t="shared" si="23"/>
        <v>U</v>
      </c>
      <c r="O63" s="816">
        <f t="shared" si="46"/>
        <v>-0.25</v>
      </c>
      <c r="P63" s="829">
        <f t="shared" si="47"/>
        <v>1</v>
      </c>
      <c r="Q63" s="830">
        <v>0.33</v>
      </c>
      <c r="R63" s="871">
        <f t="shared" si="32"/>
        <v>1.67</v>
      </c>
      <c r="S63" s="830">
        <v>2.23</v>
      </c>
      <c r="T63" s="871">
        <f t="shared" si="45"/>
        <v>-0.22999999999999998</v>
      </c>
      <c r="U63" s="868">
        <f t="shared" si="48"/>
        <v>1.28</v>
      </c>
      <c r="V63" s="868">
        <f t="shared" si="49"/>
        <v>0.95</v>
      </c>
      <c r="W63" s="829">
        <v>20</v>
      </c>
      <c r="X63" s="829">
        <v>11</v>
      </c>
      <c r="Y63" s="829">
        <v>5</v>
      </c>
      <c r="Z63" s="829">
        <v>0</v>
      </c>
      <c r="AA63" s="829">
        <v>46</v>
      </c>
      <c r="AB63" s="829">
        <v>54</v>
      </c>
      <c r="AC63" s="829"/>
      <c r="AD63" s="816" t="str">
        <f t="array" ref="AD63">IF($J63="","",IF(SUM(IF(ISNUMBER(VALUE(RIGHT($AG63:$CK63,1))),VALUE(RIGHT($AG63:$CK63,1)),0))=$J63,"T","F"))</f>
        <v>T</v>
      </c>
      <c r="AE63" s="831">
        <f t="array" ref="AE63">IF($J63="","",SUM(IF(LEFT($AG63:$DW63,1)="s",1,0))-SUM(IF(RIGHT(LEFT($AG63:$DW63,2))="-",1,0)))</f>
        <v>0</v>
      </c>
      <c r="AF63" s="816">
        <f t="array" ref="AF63">IF($J63="","",SUM(IF(LEFT($AG63:$DC63,1)="X",1,0)))</f>
        <v>11</v>
      </c>
      <c r="AG63" s="891" t="s">
        <v>34</v>
      </c>
      <c r="AH63" s="891" t="s">
        <v>32</v>
      </c>
      <c r="AI63" s="891" t="s">
        <v>32</v>
      </c>
      <c r="AJ63" s="891" t="s">
        <v>1877</v>
      </c>
      <c r="AK63" s="891" t="s">
        <v>1877</v>
      </c>
      <c r="AL63" s="891" t="s">
        <v>34</v>
      </c>
      <c r="AM63" s="891" t="s">
        <v>34</v>
      </c>
      <c r="AN63" s="891" t="s">
        <v>34</v>
      </c>
      <c r="AO63" s="891" t="s">
        <v>32</v>
      </c>
      <c r="AP63" s="891" t="s">
        <v>32</v>
      </c>
      <c r="AQ63" s="891" t="s">
        <v>32</v>
      </c>
      <c r="AR63" s="891" t="s">
        <v>3516</v>
      </c>
      <c r="AS63" s="891" t="s">
        <v>34</v>
      </c>
      <c r="AT63" s="891" t="s">
        <v>35</v>
      </c>
      <c r="AU63" s="891" t="s">
        <v>32</v>
      </c>
      <c r="AV63" s="891" t="s">
        <v>32</v>
      </c>
      <c r="AW63" s="891" t="s">
        <v>35</v>
      </c>
      <c r="AX63" s="891" t="s">
        <v>32</v>
      </c>
      <c r="AY63" s="891" t="s">
        <v>32</v>
      </c>
      <c r="AZ63" s="891" t="s">
        <v>1877</v>
      </c>
      <c r="BA63" s="891" t="s">
        <v>1877</v>
      </c>
      <c r="BB63" s="891" t="s">
        <v>3517</v>
      </c>
      <c r="BC63" s="891" t="s">
        <v>32</v>
      </c>
      <c r="BD63" s="891" t="s">
        <v>32</v>
      </c>
      <c r="BE63" s="891" t="s">
        <v>36</v>
      </c>
      <c r="BF63" s="891" t="s">
        <v>34</v>
      </c>
      <c r="BG63" s="891" t="s">
        <v>32</v>
      </c>
      <c r="BH63" s="891" t="s">
        <v>32</v>
      </c>
      <c r="BI63" s="891" t="s">
        <v>35</v>
      </c>
      <c r="BJ63" s="891" t="s">
        <v>32</v>
      </c>
      <c r="BK63" s="904" t="s">
        <v>36</v>
      </c>
      <c r="BL63" s="891" t="s">
        <v>34</v>
      </c>
      <c r="BM63" s="891"/>
      <c r="BN63" s="891"/>
      <c r="BO63" s="891"/>
      <c r="BP63" s="891"/>
      <c r="BQ63" s="891"/>
      <c r="BR63" s="891"/>
      <c r="BS63" s="896"/>
      <c r="BT63" s="896"/>
      <c r="BU63" s="897"/>
      <c r="BV63" s="897"/>
      <c r="BW63" s="897"/>
      <c r="BX63" s="897"/>
      <c r="BY63" s="897"/>
      <c r="BZ63" s="896"/>
      <c r="CA63" s="896"/>
      <c r="CB63" s="896"/>
      <c r="CC63" s="896"/>
      <c r="CD63" s="896"/>
      <c r="CE63" s="896"/>
      <c r="CF63" s="896"/>
    </row>
    <row r="64" spans="1:95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19</v>
      </c>
      <c r="G64" s="879" t="s">
        <v>885</v>
      </c>
      <c r="H64" s="879" t="s">
        <v>22</v>
      </c>
      <c r="I64" s="879" t="s">
        <v>891</v>
      </c>
      <c r="J64" s="846">
        <v>3</v>
      </c>
      <c r="K64" s="846">
        <v>1</v>
      </c>
      <c r="L64" s="816" t="str">
        <f t="shared" si="24"/>
        <v>W</v>
      </c>
      <c r="M64" s="816">
        <f t="shared" si="25"/>
        <v>4</v>
      </c>
      <c r="N64" s="816" t="str">
        <f t="shared" si="23"/>
        <v>O</v>
      </c>
      <c r="O64" s="816">
        <f t="shared" si="46"/>
        <v>-0.75</v>
      </c>
      <c r="P64" s="829">
        <f t="shared" si="47"/>
        <v>1</v>
      </c>
      <c r="Q64" s="830">
        <v>0.8</v>
      </c>
      <c r="R64" s="871">
        <f t="shared" si="32"/>
        <v>1.2</v>
      </c>
      <c r="S64" s="830">
        <v>2.35</v>
      </c>
      <c r="T64" s="871">
        <f t="shared" si="45"/>
        <v>1.65</v>
      </c>
      <c r="U64" s="868">
        <f t="shared" si="48"/>
        <v>1.5750000000000002</v>
      </c>
      <c r="V64" s="868">
        <f t="shared" si="49"/>
        <v>0.77499999999999991</v>
      </c>
      <c r="W64" s="829">
        <v>18</v>
      </c>
      <c r="X64" s="829">
        <v>4</v>
      </c>
      <c r="Y64" s="829">
        <v>6</v>
      </c>
      <c r="Z64" s="829">
        <v>2</v>
      </c>
      <c r="AA64" s="829">
        <v>42</v>
      </c>
      <c r="AB64" s="829">
        <v>58</v>
      </c>
      <c r="AC64" s="829"/>
      <c r="AD64" s="816" t="str">
        <f t="array" ref="AD64">IF($J64="","",IF(SUM(IF(ISNUMBER(VALUE(RIGHT($AG64:$CK64,1))),VALUE(RIGHT($AG64:$CK64,1)),0))=$J64,"T","F"))</f>
        <v>T</v>
      </c>
      <c r="AE64" s="831">
        <f t="array" ref="AE64">IF($J64="","",SUM(IF(LEFT($AG64:$DW64,1)="s",1,0))-SUM(IF(RIGHT(LEFT($AG64:$DW64,2))="-",1,0)))</f>
        <v>0</v>
      </c>
      <c r="AF64" s="816">
        <f t="array" ref="AF64">IF($J64="","",SUM(IF(LEFT($AG64:$DC64,1)="X",1,0)))</f>
        <v>11</v>
      </c>
      <c r="AG64" s="891" t="s">
        <v>34</v>
      </c>
      <c r="AH64" s="891" t="s">
        <v>32</v>
      </c>
      <c r="AI64" s="891" t="s">
        <v>32</v>
      </c>
      <c r="AJ64" s="891" t="s">
        <v>1877</v>
      </c>
      <c r="AK64" s="891" t="s">
        <v>36</v>
      </c>
      <c r="AL64" s="891" t="s">
        <v>34</v>
      </c>
      <c r="AM64" s="891" t="s">
        <v>34</v>
      </c>
      <c r="AN64" s="891" t="s">
        <v>3552</v>
      </c>
      <c r="AO64" s="891" t="s">
        <v>32</v>
      </c>
      <c r="AP64" s="891" t="s">
        <v>32</v>
      </c>
      <c r="AQ64" s="891" t="s">
        <v>32</v>
      </c>
      <c r="AR64" s="904" t="s">
        <v>34</v>
      </c>
      <c r="AS64" s="891" t="s">
        <v>3553</v>
      </c>
      <c r="AT64" s="891" t="s">
        <v>32</v>
      </c>
      <c r="AU64" s="891" t="s">
        <v>32</v>
      </c>
      <c r="AV64" s="891" t="s">
        <v>32</v>
      </c>
      <c r="AW64" s="891" t="s">
        <v>35</v>
      </c>
      <c r="AX64" s="891" t="s">
        <v>32</v>
      </c>
      <c r="AY64" s="891" t="s">
        <v>32</v>
      </c>
      <c r="AZ64" s="891" t="s">
        <v>1877</v>
      </c>
      <c r="BA64" s="891" t="s">
        <v>35</v>
      </c>
      <c r="BB64" s="891" t="s">
        <v>36</v>
      </c>
      <c r="BC64" s="891" t="s">
        <v>32</v>
      </c>
      <c r="BD64" s="891" t="s">
        <v>32</v>
      </c>
      <c r="BE64" s="891" t="s">
        <v>36</v>
      </c>
      <c r="BF64" s="891" t="s">
        <v>3554</v>
      </c>
      <c r="BG64" s="891" t="s">
        <v>32</v>
      </c>
      <c r="BH64" s="891" t="s">
        <v>1877</v>
      </c>
      <c r="BI64" s="904" t="s">
        <v>34</v>
      </c>
      <c r="BJ64" s="891" t="s">
        <v>32</v>
      </c>
      <c r="BK64" s="891" t="s">
        <v>1877</v>
      </c>
      <c r="BL64" s="891" t="s">
        <v>34</v>
      </c>
      <c r="BM64" s="891"/>
      <c r="BN64" s="891"/>
      <c r="BO64" s="891"/>
      <c r="BP64" s="891"/>
      <c r="BQ64" s="891"/>
      <c r="BR64" s="891"/>
      <c r="BS64" s="896"/>
      <c r="BT64" s="896"/>
      <c r="BU64" s="897"/>
      <c r="BV64" s="897"/>
      <c r="BW64" s="897"/>
      <c r="BX64" s="897"/>
      <c r="BY64" s="897"/>
      <c r="BZ64" s="896"/>
      <c r="CA64" s="896"/>
      <c r="CB64" s="896"/>
      <c r="CC64" s="896"/>
      <c r="CD64" s="896"/>
      <c r="CE64" s="896"/>
      <c r="CF64" s="896"/>
    </row>
    <row r="65" spans="1:84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22</v>
      </c>
      <c r="G65" s="879" t="s">
        <v>1087</v>
      </c>
      <c r="H65" s="879" t="s">
        <v>18</v>
      </c>
      <c r="I65" s="879" t="s">
        <v>891</v>
      </c>
      <c r="J65" s="846">
        <v>4</v>
      </c>
      <c r="K65" s="846">
        <v>1</v>
      </c>
      <c r="L65" s="816" t="str">
        <f t="shared" si="24"/>
        <v>W</v>
      </c>
      <c r="M65" s="816">
        <f t="shared" si="25"/>
        <v>5</v>
      </c>
      <c r="N65" s="816" t="str">
        <f t="shared" si="23"/>
        <v>O</v>
      </c>
      <c r="O65" s="816">
        <f t="shared" si="46"/>
        <v>-0.5</v>
      </c>
      <c r="P65" s="829">
        <f t="shared" si="47"/>
        <v>1</v>
      </c>
      <c r="Q65" s="830">
        <v>0.57999999999999996</v>
      </c>
      <c r="R65" s="871">
        <f t="shared" si="32"/>
        <v>2.42</v>
      </c>
      <c r="S65" s="830">
        <v>2.63</v>
      </c>
      <c r="T65" s="871">
        <f t="shared" si="45"/>
        <v>2.37</v>
      </c>
      <c r="U65" s="868">
        <f t="shared" si="48"/>
        <v>1.605</v>
      </c>
      <c r="V65" s="868">
        <f t="shared" si="49"/>
        <v>1.0249999999999999</v>
      </c>
      <c r="W65" s="829">
        <v>17</v>
      </c>
      <c r="X65" s="829">
        <v>10</v>
      </c>
      <c r="Y65" s="829">
        <v>6</v>
      </c>
      <c r="Z65" s="829">
        <v>4</v>
      </c>
      <c r="AA65" s="829">
        <v>54</v>
      </c>
      <c r="AB65" s="829">
        <v>46</v>
      </c>
      <c r="AC65" s="829"/>
      <c r="AD65" s="816" t="str">
        <f t="array" ref="AD65">IF($J65="","",IF(SUM(IF(ISNUMBER(VALUE(RIGHT($AG65:$CK65,1))),VALUE(RIGHT($AG65:$CK65,1)),0))=$J65,"T","F"))</f>
        <v>T</v>
      </c>
      <c r="AE65" s="831">
        <f t="array" ref="AE65">IF($J65="","",SUM(IF(LEFT($AG65:$DW65,1)="s",1,0))-SUM(IF(RIGHT(LEFT($AG65:$DW65,2))="-",1,0)))</f>
        <v>0</v>
      </c>
      <c r="AF65" s="816">
        <f t="array" ref="AF65">IF($J65="","",SUM(IF(LEFT($AG65:$DC65,1)="X",1,0)))</f>
        <v>11</v>
      </c>
      <c r="AG65" s="891" t="s">
        <v>34</v>
      </c>
      <c r="AH65" s="891" t="s">
        <v>1877</v>
      </c>
      <c r="AI65" s="891" t="s">
        <v>32</v>
      </c>
      <c r="AJ65" s="891" t="s">
        <v>32</v>
      </c>
      <c r="AK65" s="891" t="s">
        <v>34</v>
      </c>
      <c r="AL65" s="891" t="s">
        <v>3571</v>
      </c>
      <c r="AM65" s="891" t="s">
        <v>34</v>
      </c>
      <c r="AN65" s="891" t="s">
        <v>32</v>
      </c>
      <c r="AO65" s="891" t="s">
        <v>32</v>
      </c>
      <c r="AP65" s="891" t="s">
        <v>1877</v>
      </c>
      <c r="AQ65" s="891" t="s">
        <v>1877</v>
      </c>
      <c r="AR65" s="891" t="s">
        <v>34</v>
      </c>
      <c r="AS65" s="891" t="s">
        <v>35</v>
      </c>
      <c r="AT65" s="891" t="s">
        <v>32</v>
      </c>
      <c r="AU65" s="891" t="s">
        <v>32</v>
      </c>
      <c r="AV65" s="891" t="s">
        <v>32</v>
      </c>
      <c r="AW65" s="891" t="s">
        <v>1877</v>
      </c>
      <c r="AX65" s="891" t="s">
        <v>32</v>
      </c>
      <c r="AY65" s="891" t="s">
        <v>32</v>
      </c>
      <c r="AZ65" s="891" t="s">
        <v>32</v>
      </c>
      <c r="BA65" s="891" t="s">
        <v>3580</v>
      </c>
      <c r="BB65" s="904" t="s">
        <v>36</v>
      </c>
      <c r="BC65" s="891" t="s">
        <v>32</v>
      </c>
      <c r="BD65" s="891" t="s">
        <v>32</v>
      </c>
      <c r="BE65" s="891" t="s">
        <v>34</v>
      </c>
      <c r="BF65" s="891" t="s">
        <v>34</v>
      </c>
      <c r="BG65" s="891" t="s">
        <v>36</v>
      </c>
      <c r="BH65" s="891" t="s">
        <v>3578</v>
      </c>
      <c r="BI65" s="891" t="s">
        <v>32</v>
      </c>
      <c r="BJ65" s="891" t="s">
        <v>32</v>
      </c>
      <c r="BK65" s="891" t="s">
        <v>3571</v>
      </c>
      <c r="BL65" s="891" t="s">
        <v>35</v>
      </c>
      <c r="BM65" s="891"/>
      <c r="BN65" s="891">
        <v>1</v>
      </c>
      <c r="BO65" s="891"/>
      <c r="BP65" s="891"/>
      <c r="BQ65" s="891"/>
      <c r="BR65" s="891"/>
      <c r="BS65" s="896"/>
      <c r="BT65" s="896"/>
      <c r="BU65" s="897"/>
      <c r="BV65" s="897"/>
      <c r="BW65" s="897"/>
      <c r="BX65" s="897"/>
      <c r="BY65" s="897"/>
      <c r="BZ65" s="896"/>
      <c r="CA65" s="896"/>
      <c r="CB65" s="896"/>
      <c r="CC65" s="896"/>
      <c r="CD65" s="896"/>
      <c r="CE65" s="896"/>
      <c r="CF65" s="896"/>
    </row>
    <row r="66" spans="1:84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45"/>
        <v/>
      </c>
      <c r="U66" s="868" t="str">
        <f t="shared" si="48"/>
        <v/>
      </c>
      <c r="V66" s="868" t="str">
        <f t="shared" si="49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IF($J66="","",IF(SUM(IF(ISNUMBER(VALUE(RIGHT($AG66:$CK66,1))),VALUE(RIGHT($AG66:$CK66,1)),0))=$J66,"T","F"))</f>
        <v/>
      </c>
      <c r="AE66" s="831" t="str">
        <f t="array" ref="AE66">IF($J66="","",SUM(IF(LEFT($AG66:$DW66,1)="s",1,0))-SUM(IF(RIGHT(LEFT($AG66:$DW66,2))="-",1,0)))</f>
        <v/>
      </c>
      <c r="AF66" s="816" t="str">
        <f t="array" ref="AF66">IF($J66="","",SUM(IF(LEFT($AG66:$DC66,1)="X",1,0)))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1"/>
      <c r="BQ66" s="891"/>
      <c r="BR66" s="891"/>
      <c r="BS66" s="896"/>
      <c r="BT66" s="896"/>
      <c r="BU66" s="897"/>
      <c r="BV66" s="897"/>
      <c r="BW66" s="897"/>
      <c r="BX66" s="897"/>
      <c r="BY66" s="897"/>
      <c r="BZ66" s="896"/>
      <c r="CA66" s="896"/>
      <c r="CB66" s="896"/>
      <c r="CC66" s="896"/>
      <c r="CD66" s="896"/>
      <c r="CE66" s="896"/>
      <c r="CF66" s="896"/>
    </row>
    <row r="67" spans="1:84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45"/>
        <v/>
      </c>
      <c r="U67" s="868" t="str">
        <f t="shared" si="48"/>
        <v/>
      </c>
      <c r="V67" s="868" t="str">
        <f t="shared" si="49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IF($J67="","",IF(SUM(IF(ISNUMBER(VALUE(RIGHT($AG67:$CK67,1))),VALUE(RIGHT($AG67:$CK67,1)),0))=$J67,"T","F"))</f>
        <v/>
      </c>
      <c r="AE67" s="831" t="str">
        <f t="array" ref="AE67">IF($J67="","",SUM(IF(LEFT($AG67:$DW67,1)="s",1,0))-SUM(IF(RIGHT(LEFT($AG67:$DW67,2))="-",1,0)))</f>
        <v/>
      </c>
      <c r="AF67" s="816" t="str">
        <f t="array" ref="AF67">IF($J67="","",SUM(IF(LEFT($AG67:$DC67,1)="X",1,0)))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6"/>
      <c r="BT67" s="896"/>
      <c r="BU67" s="897"/>
      <c r="BV67" s="897"/>
      <c r="BW67" s="897"/>
      <c r="BX67" s="897"/>
      <c r="BY67" s="897"/>
      <c r="BZ67" s="896"/>
      <c r="CA67" s="896"/>
      <c r="CB67" s="896"/>
      <c r="CC67" s="896"/>
      <c r="CD67" s="896"/>
      <c r="CE67" s="896"/>
      <c r="CF67" s="896"/>
    </row>
    <row r="68" spans="1:84" ht="15">
      <c r="A68" s="843"/>
      <c r="E68" s="816"/>
      <c r="G68" s="828"/>
      <c r="H68" s="828"/>
      <c r="I68" s="828"/>
      <c r="J68" s="428"/>
      <c r="K68" s="428"/>
      <c r="T68" s="829"/>
      <c r="U68" s="829"/>
      <c r="V68" s="829"/>
      <c r="W68" s="829"/>
      <c r="X68" s="829"/>
      <c r="Y68" s="829"/>
      <c r="Z68" s="829"/>
      <c r="AA68" s="829"/>
      <c r="AB68" s="829"/>
      <c r="AC68" s="829"/>
      <c r="AE68" s="831"/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6"/>
      <c r="BT68" s="896"/>
      <c r="BU68" s="897"/>
      <c r="BV68" s="897"/>
      <c r="BW68" s="897"/>
      <c r="BX68" s="897"/>
      <c r="BY68" s="897"/>
      <c r="BZ68" s="896"/>
      <c r="CA68" s="896"/>
      <c r="CB68" s="896"/>
      <c r="CC68" s="896"/>
      <c r="CD68" s="896"/>
      <c r="CE68" s="896"/>
      <c r="CF68" s="896"/>
    </row>
    <row r="69" spans="1:84" ht="15">
      <c r="A69" s="843"/>
      <c r="E69" s="816"/>
      <c r="G69" s="828"/>
      <c r="H69" s="828"/>
      <c r="I69" s="828"/>
      <c r="J69" s="428"/>
      <c r="K69" s="428"/>
      <c r="T69" s="829"/>
      <c r="U69" s="829"/>
      <c r="V69" s="829"/>
      <c r="W69" s="829"/>
      <c r="X69" s="829"/>
      <c r="Y69" s="829"/>
      <c r="Z69" s="829"/>
      <c r="AA69" s="829"/>
      <c r="AB69" s="829"/>
      <c r="AC69" s="829"/>
      <c r="AE69" s="831"/>
      <c r="AG69" s="896"/>
      <c r="AH69" s="896"/>
      <c r="AI69" s="896"/>
      <c r="AJ69" s="896"/>
      <c r="AK69" s="896"/>
      <c r="AL69" s="896"/>
      <c r="AM69" s="896"/>
      <c r="AN69" s="896"/>
      <c r="AO69" s="896"/>
      <c r="AP69" s="896"/>
      <c r="AQ69" s="896"/>
      <c r="AR69" s="896"/>
      <c r="AS69" s="896"/>
      <c r="AT69" s="896"/>
      <c r="AU69" s="896"/>
      <c r="AV69" s="896"/>
      <c r="AW69" s="896"/>
      <c r="AX69" s="896"/>
      <c r="AY69" s="896"/>
      <c r="AZ69" s="896"/>
      <c r="BA69" s="896"/>
      <c r="BB69" s="896"/>
      <c r="BC69" s="896"/>
      <c r="BD69" s="896"/>
      <c r="BE69" s="893"/>
      <c r="BF69" s="893"/>
      <c r="BG69" s="893"/>
      <c r="BH69" s="893"/>
      <c r="BI69" s="896"/>
      <c r="BJ69" s="896"/>
      <c r="BK69" s="896"/>
      <c r="BL69" s="892"/>
      <c r="BM69" s="893"/>
      <c r="BN69" s="893"/>
      <c r="BO69" s="896"/>
      <c r="BP69" s="893"/>
      <c r="BQ69" s="896"/>
      <c r="BR69" s="893"/>
      <c r="BS69" s="896"/>
      <c r="BT69" s="896"/>
      <c r="BU69" s="897"/>
      <c r="BV69" s="897"/>
      <c r="BW69" s="897"/>
      <c r="BX69" s="897"/>
      <c r="BY69" s="897"/>
      <c r="BZ69" s="896"/>
      <c r="CA69" s="896"/>
      <c r="CB69" s="896"/>
      <c r="CC69" s="896"/>
      <c r="CD69" s="896"/>
      <c r="CE69" s="896"/>
      <c r="CF69" s="896"/>
    </row>
    <row r="70" spans="1:84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6"/>
      <c r="AH70" s="896"/>
      <c r="AI70" s="896"/>
      <c r="AJ70" s="896"/>
      <c r="AK70" s="896"/>
      <c r="AL70" s="896"/>
      <c r="AM70" s="896"/>
      <c r="AN70" s="896"/>
      <c r="AO70" s="896"/>
      <c r="AP70" s="896"/>
      <c r="AQ70" s="896"/>
      <c r="AR70" s="896"/>
      <c r="AS70" s="896"/>
      <c r="AT70" s="896"/>
      <c r="AU70" s="896"/>
      <c r="AV70" s="896"/>
      <c r="AW70" s="896"/>
      <c r="AX70" s="896"/>
      <c r="AY70" s="896"/>
      <c r="AZ70" s="896"/>
      <c r="BA70" s="896"/>
      <c r="BB70" s="896"/>
      <c r="BC70" s="896"/>
      <c r="BD70" s="896"/>
      <c r="BE70" s="893"/>
      <c r="BF70" s="893"/>
      <c r="BG70" s="893"/>
      <c r="BH70" s="893"/>
      <c r="BI70" s="896"/>
      <c r="BJ70" s="896"/>
      <c r="BK70" s="896"/>
      <c r="BL70" s="892"/>
      <c r="BM70" s="893"/>
      <c r="BN70" s="893"/>
      <c r="BO70" s="896"/>
      <c r="BP70" s="893"/>
      <c r="BQ70" s="896"/>
      <c r="BR70" s="893"/>
      <c r="BS70" s="896"/>
      <c r="BT70" s="896"/>
      <c r="BU70" s="897"/>
      <c r="BV70" s="897"/>
      <c r="BW70" s="897"/>
      <c r="BX70" s="897"/>
      <c r="BY70" s="897"/>
      <c r="BZ70" s="896"/>
      <c r="CA70" s="896"/>
      <c r="CB70" s="896"/>
      <c r="CC70" s="896"/>
      <c r="CD70" s="896"/>
      <c r="CE70" s="896"/>
      <c r="CF70" s="896"/>
    </row>
    <row r="71" spans="1:84" ht="15">
      <c r="A71" s="843"/>
      <c r="D71" s="816" t="str">
        <f>IF(I71=Table!$C$1,VLOOKUP(G71,Table!$B$38:$AO$61,Table!$AO$35-1,FALSE),"")</f>
        <v/>
      </c>
      <c r="E71" s="816"/>
      <c r="F71" s="816" t="str">
        <f>IF(I71="","",IF(I71=Table!$C$1,VLOOKUP(G71,Table!$B$9:$AE$32,Table!$AE$6-1,FALSE),""))</f>
        <v/>
      </c>
      <c r="G71" s="828"/>
      <c r="H71" s="828"/>
      <c r="I71" s="828"/>
      <c r="J71" s="428"/>
      <c r="K71" s="428"/>
      <c r="L71" s="816" t="str">
        <f t="shared" ref="L71:L128" si="50">IF(J71="","",IF(J71&gt;K71,"W",IF(J71=K71,"D",IF(J71&lt;K71,"L"))))</f>
        <v/>
      </c>
      <c r="M71" s="816" t="str">
        <f t="shared" ref="M71:M128" si="51">IF(J71="","",J71+K71)</f>
        <v/>
      </c>
      <c r="N71" s="816" t="str">
        <f t="shared" ref="N71:N102" si="52">IF($J71="","",IF($M71&gt;N$19,"O",IF($M71&lt;N$19,"U",IF($M71=N$19,"-"))))</f>
        <v/>
      </c>
      <c r="R71" s="816" t="str">
        <f t="shared" ref="R71:R128" si="53">IF(ISBLANK(Q71),"",J71-K71-Q71)</f>
        <v/>
      </c>
      <c r="T71" s="829" t="str">
        <f t="shared" ref="T71:T128" si="54">IF(ISBLANK(S71),"",J71+K71-S71)</f>
        <v/>
      </c>
      <c r="U71" s="829"/>
      <c r="V71" s="829"/>
      <c r="W71" s="829"/>
      <c r="X71" s="829"/>
      <c r="Y71" s="829"/>
      <c r="Z71" s="829"/>
      <c r="AA71" s="829"/>
      <c r="AB71" s="829"/>
      <c r="AC71" s="829"/>
      <c r="AD71" s="816" t="str">
        <f t="array" ref="AD71">IF($J71="","",IF(SUM(IF(ISNUMBER(VALUE(RIGHT($AG71:$CK71,1))),VALUE(RIGHT($AG71:$CK71,1)),0))=$J71,"T","F"))</f>
        <v/>
      </c>
      <c r="AE71" s="831" t="str">
        <f t="array" ref="AE71">IF($J71="","",SUM(IF(LEFT($AG71:$DW71,1)="s",1,0))-SUM(IF(RIGHT(LEFT($AG71:$DW71,2))="-",1,0)))</f>
        <v/>
      </c>
      <c r="AF71" s="816" t="str">
        <f t="array" ref="AF71">IF($J71="","",SUM(IF(LEFT($AG71:$DC71,1)="X",1,0)))</f>
        <v/>
      </c>
      <c r="AG71" s="897"/>
      <c r="AH71" s="897"/>
      <c r="AI71" s="897"/>
      <c r="AJ71" s="897"/>
      <c r="AK71" s="897"/>
      <c r="AL71" s="897"/>
      <c r="AM71" s="897"/>
      <c r="AN71" s="897"/>
      <c r="AO71" s="897"/>
      <c r="AP71" s="897"/>
      <c r="AQ71" s="897"/>
      <c r="AR71" s="897"/>
      <c r="AS71" s="897"/>
      <c r="AT71" s="897"/>
      <c r="AU71" s="897"/>
      <c r="AV71" s="897"/>
      <c r="AW71" s="897"/>
      <c r="AX71" s="897"/>
      <c r="AY71" s="897"/>
      <c r="AZ71" s="897"/>
      <c r="BA71" s="897"/>
      <c r="BB71" s="897"/>
      <c r="BC71" s="897"/>
      <c r="BD71" s="897"/>
      <c r="BE71" s="893"/>
      <c r="BF71" s="893"/>
      <c r="BG71" s="893"/>
      <c r="BH71" s="893"/>
      <c r="BI71" s="897"/>
      <c r="BJ71" s="897"/>
      <c r="BK71" s="897"/>
      <c r="BL71" s="892"/>
      <c r="BM71" s="893"/>
      <c r="BN71" s="893"/>
      <c r="BO71" s="897"/>
      <c r="BP71" s="893"/>
      <c r="BQ71" s="897"/>
      <c r="BR71" s="893"/>
      <c r="BS71" s="897"/>
      <c r="BT71" s="897"/>
      <c r="BU71" s="897"/>
      <c r="BV71" s="897"/>
      <c r="BW71" s="897"/>
      <c r="BX71" s="897"/>
      <c r="BY71" s="897"/>
      <c r="BZ71" s="897"/>
      <c r="CA71" s="897"/>
      <c r="CB71" s="897"/>
      <c r="CC71" s="897"/>
      <c r="CD71" s="897"/>
      <c r="CE71" s="897"/>
      <c r="CF71" s="897"/>
    </row>
    <row r="72" spans="1:84" ht="15">
      <c r="A72" s="843"/>
      <c r="D72" s="816" t="str">
        <f>IF(I72=Table!$C$1,VLOOKUP(G72,Table!$B$38:$AO$61,Table!$AO$35-1,FALSE),"")</f>
        <v/>
      </c>
      <c r="E72" s="816"/>
      <c r="F72" s="816" t="str">
        <f>IF(I72="","",IF(I72=Table!$C$1,VLOOKUP(G72,Table!$B$9:$AE$32,Table!$AE$6-1,FALSE),""))</f>
        <v/>
      </c>
      <c r="G72" s="828"/>
      <c r="H72" s="828"/>
      <c r="I72" s="828"/>
      <c r="J72" s="428"/>
      <c r="K72" s="428"/>
      <c r="L72" s="816" t="str">
        <f t="shared" si="50"/>
        <v/>
      </c>
      <c r="M72" s="816" t="str">
        <f t="shared" si="51"/>
        <v/>
      </c>
      <c r="N72" s="816" t="str">
        <f t="shared" si="52"/>
        <v/>
      </c>
      <c r="R72" s="816" t="str">
        <f t="shared" si="53"/>
        <v/>
      </c>
      <c r="T72" s="829" t="str">
        <f t="shared" si="54"/>
        <v/>
      </c>
      <c r="U72" s="829"/>
      <c r="V72" s="829"/>
      <c r="W72" s="829"/>
      <c r="X72" s="829"/>
      <c r="Y72" s="829"/>
      <c r="Z72" s="829"/>
      <c r="AA72" s="829"/>
      <c r="AB72" s="829"/>
      <c r="AC72" s="829"/>
      <c r="AD72" s="816" t="str">
        <f t="array" ref="AD72">IF($J72="","",IF(SUM(IF(ISNUMBER(VALUE(RIGHT($AG72:$CK72,1))),VALUE(RIGHT($AG72:$CK72,1)),0))=$J72,"T","F"))</f>
        <v/>
      </c>
      <c r="AE72" s="831" t="str">
        <f t="array" ref="AE72">IF($J72="","",SUM(IF(LEFT($AG72:$DW72,1)="s",1,0))-SUM(IF(RIGHT(LEFT($AG72:$DW72,2))="-",1,0)))</f>
        <v/>
      </c>
      <c r="AF72" s="816" t="str">
        <f t="array" ref="AF72">IF($J72="","",SUM(IF(LEFT($AG72:$DC72,1)="X",1,0)))</f>
        <v/>
      </c>
      <c r="AG72" s="897"/>
      <c r="AH72" s="897"/>
      <c r="AI72" s="897"/>
      <c r="AJ72" s="897"/>
      <c r="AK72" s="897"/>
      <c r="AL72" s="897"/>
      <c r="AM72" s="897"/>
      <c r="AN72" s="897"/>
      <c r="AO72" s="897"/>
      <c r="AP72" s="897"/>
      <c r="AQ72" s="897"/>
      <c r="AR72" s="897"/>
      <c r="AS72" s="897"/>
      <c r="AT72" s="897"/>
      <c r="AU72" s="897"/>
      <c r="AV72" s="897"/>
      <c r="AW72" s="897"/>
      <c r="AX72" s="897"/>
      <c r="AY72" s="897"/>
      <c r="AZ72" s="897"/>
      <c r="BA72" s="897"/>
      <c r="BB72" s="897"/>
      <c r="BC72" s="897"/>
      <c r="BD72" s="897"/>
      <c r="BE72" s="893"/>
      <c r="BF72" s="893"/>
      <c r="BG72" s="893"/>
      <c r="BH72" s="893"/>
      <c r="BI72" s="897"/>
      <c r="BJ72" s="897"/>
      <c r="BK72" s="897"/>
      <c r="BL72" s="892"/>
      <c r="BM72" s="893"/>
      <c r="BN72" s="893"/>
      <c r="BO72" s="897"/>
      <c r="BP72" s="893"/>
      <c r="BQ72" s="897"/>
      <c r="BR72" s="893"/>
      <c r="BS72" s="897"/>
      <c r="BT72" s="897"/>
      <c r="BU72" s="897"/>
      <c r="BV72" s="897"/>
      <c r="BW72" s="897"/>
      <c r="BX72" s="897"/>
      <c r="BY72" s="897"/>
      <c r="BZ72" s="897"/>
      <c r="CA72" s="897"/>
      <c r="CB72" s="897"/>
      <c r="CC72" s="897"/>
      <c r="CD72" s="897"/>
      <c r="CE72" s="897"/>
      <c r="CF72" s="897"/>
    </row>
    <row r="73" spans="1:84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si="50"/>
        <v/>
      </c>
      <c r="M73" s="816" t="str">
        <f t="shared" si="51"/>
        <v/>
      </c>
      <c r="N73" s="816" t="str">
        <f t="shared" si="52"/>
        <v/>
      </c>
      <c r="R73" s="816" t="str">
        <f t="shared" si="53"/>
        <v/>
      </c>
      <c r="T73" s="829" t="str">
        <f t="shared" si="54"/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IF($J73="","",IF(SUM(IF(ISNUMBER(VALUE(RIGHT($AG73:$CK73,1))),VALUE(RIGHT($AG73:$CK73,1)),0))=$J73,"T","F"))</f>
        <v/>
      </c>
      <c r="AE73" s="831" t="str">
        <f t="array" ref="AE73">IF($J73="","",SUM(IF(LEFT($AG73:$DW73,1)="s",1,0))-SUM(IF(RIGHT(LEFT($AG73:$DW73,2))="-",1,0)))</f>
        <v/>
      </c>
      <c r="AF73" s="816" t="str">
        <f t="array" ref="AF73">IF($J73="","",SUM(IF(LEFT($AG73:$DC73,1)="X",1,0)))</f>
        <v/>
      </c>
      <c r="AG73" s="897"/>
      <c r="AH73" s="897"/>
      <c r="AI73" s="897"/>
      <c r="AJ73" s="897"/>
      <c r="AK73" s="897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7"/>
      <c r="BC73" s="897"/>
      <c r="BD73" s="897"/>
      <c r="BE73" s="893"/>
      <c r="BF73" s="893"/>
      <c r="BG73" s="893"/>
      <c r="BH73" s="893"/>
      <c r="BI73" s="897"/>
      <c r="BJ73" s="897"/>
      <c r="BK73" s="897"/>
      <c r="BL73" s="892"/>
      <c r="BM73" s="893"/>
      <c r="BN73" s="893"/>
      <c r="BO73" s="897"/>
      <c r="BP73" s="893"/>
      <c r="BQ73" s="897"/>
      <c r="BR73" s="893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  <c r="CE73" s="897"/>
      <c r="CF73" s="897"/>
    </row>
    <row r="74" spans="1:84" ht="15">
      <c r="A74" s="844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230"/>
      <c r="H74" s="230"/>
      <c r="I74" s="230"/>
      <c r="J74" s="428"/>
      <c r="K74" s="428"/>
      <c r="L74" s="816" t="str">
        <f t="shared" si="50"/>
        <v/>
      </c>
      <c r="M74" s="816" t="str">
        <f t="shared" si="51"/>
        <v/>
      </c>
      <c r="N74" s="816" t="str">
        <f t="shared" si="52"/>
        <v/>
      </c>
      <c r="R74" s="816" t="str">
        <f t="shared" si="53"/>
        <v/>
      </c>
      <c r="T74" s="829" t="str">
        <f t="shared" si="54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IF($J74="","",IF(SUM(IF(ISNUMBER(VALUE(RIGHT($AG74:$CK74,1))),VALUE(RIGHT($AG74:$CK74,1)),0))=$J74,"T","F"))</f>
        <v/>
      </c>
      <c r="AE74" s="831" t="str">
        <f t="array" ref="AE74">IF($J74="","",SUM(IF(LEFT($AG74:$DW74,1)="s",1,0))-SUM(IF(RIGHT(LEFT($AG74:$DW74,2))="-",1,0)))</f>
        <v/>
      </c>
      <c r="AF74" s="816" t="str">
        <f t="array" ref="AF74">IF($J74="","",SUM(IF(LEFT($AG74:$DC74,1)="X",1,0)))</f>
        <v/>
      </c>
      <c r="AG74" s="897"/>
      <c r="AH74" s="897"/>
      <c r="AI74" s="897"/>
      <c r="AJ74" s="897"/>
      <c r="AK74" s="897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7"/>
      <c r="BE74" s="893"/>
      <c r="BF74" s="893"/>
      <c r="BG74" s="893"/>
      <c r="BH74" s="893"/>
      <c r="BI74" s="897"/>
      <c r="BJ74" s="897"/>
      <c r="BK74" s="897"/>
      <c r="BL74" s="892"/>
      <c r="BM74" s="893"/>
      <c r="BN74" s="893"/>
      <c r="BO74" s="897"/>
      <c r="BP74" s="893"/>
      <c r="BQ74" s="897"/>
      <c r="BR74" s="893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</row>
    <row r="75" spans="1:84" ht="15">
      <c r="A75" s="844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230"/>
      <c r="H75" s="230"/>
      <c r="I75" s="230"/>
      <c r="J75" s="428"/>
      <c r="K75" s="428"/>
      <c r="L75" s="816" t="str">
        <f t="shared" si="50"/>
        <v/>
      </c>
      <c r="M75" s="816" t="str">
        <f t="shared" si="51"/>
        <v/>
      </c>
      <c r="N75" s="816" t="str">
        <f t="shared" si="52"/>
        <v/>
      </c>
      <c r="R75" s="816" t="str">
        <f t="shared" si="53"/>
        <v/>
      </c>
      <c r="T75" s="829" t="str">
        <f t="shared" si="54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IF($J75="","",IF(SUM(IF(ISNUMBER(VALUE(RIGHT($AG75:$CK75,1))),VALUE(RIGHT($AG75:$CK75,1)),0))=$J75,"T","F"))</f>
        <v/>
      </c>
      <c r="AE75" s="831" t="str">
        <f t="array" ref="AE75">IF($J75="","",SUM(IF(LEFT($AG75:$DW75,1)="s",1,0))-SUM(IF(RIGHT(LEFT($AG75:$DW75,2))="-",1,0)))</f>
        <v/>
      </c>
      <c r="AF75" s="816" t="str">
        <f t="array" ref="AF75">IF($J75="","",SUM(IF(LEFT($AG75:$DC75,1)="X",1,0)))</f>
        <v/>
      </c>
      <c r="AG75" s="897"/>
      <c r="AH75" s="897"/>
      <c r="AI75" s="897"/>
      <c r="AJ75" s="897"/>
      <c r="AK75" s="897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3"/>
      <c r="BF75" s="893"/>
      <c r="BG75" s="893"/>
      <c r="BH75" s="893"/>
      <c r="BI75" s="897"/>
      <c r="BJ75" s="897"/>
      <c r="BK75" s="897"/>
      <c r="BL75" s="897"/>
      <c r="BM75" s="893"/>
      <c r="BN75" s="893"/>
      <c r="BO75" s="897"/>
      <c r="BP75" s="893"/>
      <c r="BQ75" s="897"/>
      <c r="BR75" s="893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</row>
    <row r="76" spans="1:84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230"/>
      <c r="K76" s="230"/>
      <c r="L76" s="816" t="str">
        <f t="shared" si="50"/>
        <v/>
      </c>
      <c r="M76" s="816" t="str">
        <f t="shared" si="51"/>
        <v/>
      </c>
      <c r="N76" s="816" t="str">
        <f t="shared" si="52"/>
        <v/>
      </c>
      <c r="R76" s="816" t="str">
        <f t="shared" si="53"/>
        <v/>
      </c>
      <c r="T76" s="829" t="str">
        <f t="shared" si="54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IF($J76="","",IF(SUM(IF(ISNUMBER(VALUE(RIGHT($AG76:$CK76,1))),VALUE(RIGHT($AG76:$CK76,1)),0))=$J76,"T","F"))</f>
        <v/>
      </c>
      <c r="AE76" s="831" t="str">
        <f t="array" ref="AE76">IF($J76="","",SUM(IF(LEFT($AG76:$DW76,1)="s",1,0))-SUM(IF(RIGHT(LEFT($AG76:$DW76,2))="-",1,0)))</f>
        <v/>
      </c>
      <c r="AF76" s="816" t="str">
        <f t="array" ref="AF76">IF($J76="","",SUM(IF(LEFT($AG76:$DC76,1)="X",1,0)))</f>
        <v/>
      </c>
      <c r="AG76" s="897"/>
      <c r="AH76" s="897"/>
      <c r="AI76" s="897"/>
      <c r="AJ76" s="897"/>
      <c r="AK76" s="897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3"/>
      <c r="BF76" s="893"/>
      <c r="BG76" s="893"/>
      <c r="BH76" s="893"/>
      <c r="BI76" s="897"/>
      <c r="BJ76" s="897"/>
      <c r="BK76" s="897"/>
      <c r="BL76" s="897"/>
      <c r="BM76" s="893"/>
      <c r="BN76" s="893"/>
      <c r="BO76" s="897"/>
      <c r="BP76" s="893"/>
      <c r="BQ76" s="897"/>
      <c r="BR76" s="893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</row>
    <row r="77" spans="1:84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230"/>
      <c r="K77" s="230"/>
      <c r="L77" s="816" t="str">
        <f t="shared" si="50"/>
        <v/>
      </c>
      <c r="M77" s="816" t="str">
        <f t="shared" si="51"/>
        <v/>
      </c>
      <c r="N77" s="816" t="str">
        <f t="shared" si="52"/>
        <v/>
      </c>
      <c r="R77" s="816" t="str">
        <f t="shared" si="53"/>
        <v/>
      </c>
      <c r="T77" s="829" t="str">
        <f t="shared" si="54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IF($J77="","",IF(SUM(IF(ISNUMBER(VALUE(RIGHT($AG77:$CK77,1))),VALUE(RIGHT($AG77:$CK77,1)),0))=$J77,"T","F"))</f>
        <v/>
      </c>
      <c r="AE77" s="831" t="str">
        <f t="array" ref="AE77">IF($J77="","",SUM(IF(LEFT($AG77:$DW77,1)="s",1,0))-SUM(IF(RIGHT(LEFT($AG77:$DW77,2))="-",1,0)))</f>
        <v/>
      </c>
      <c r="AF77" s="816" t="str">
        <f t="array" ref="AF77">IF($J77="","",SUM(IF(LEFT($AG77:$DC77,1)="X",1,0)))</f>
        <v/>
      </c>
      <c r="AG77" s="897"/>
      <c r="AH77" s="897"/>
      <c r="AI77" s="897"/>
      <c r="AJ77" s="897"/>
      <c r="AK77" s="897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3"/>
      <c r="BF77" s="893"/>
      <c r="BG77" s="893"/>
      <c r="BH77" s="893"/>
      <c r="BI77" s="897"/>
      <c r="BJ77" s="897"/>
      <c r="BK77" s="897"/>
      <c r="BL77" s="897"/>
      <c r="BM77" s="893"/>
      <c r="BN77" s="893"/>
      <c r="BO77" s="897"/>
      <c r="BP77" s="893"/>
      <c r="BQ77" s="897"/>
      <c r="BR77" s="893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</row>
    <row r="78" spans="1:84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50"/>
        <v/>
      </c>
      <c r="M78" s="816" t="str">
        <f t="shared" si="51"/>
        <v/>
      </c>
      <c r="N78" s="816" t="str">
        <f t="shared" si="52"/>
        <v/>
      </c>
      <c r="R78" s="816" t="str">
        <f t="shared" si="53"/>
        <v/>
      </c>
      <c r="T78" s="829" t="str">
        <f t="shared" si="54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IF($J78="","",IF(SUM(IF(ISNUMBER(VALUE(RIGHT($AG78:$CK78,1))),VALUE(RIGHT($AG78:$CK78,1)),0))=$J78,"T","F"))</f>
        <v/>
      </c>
      <c r="AE78" s="831" t="str">
        <f t="array" ref="AE78">IF($J78="","",SUM(IF(LEFT($AG78:$DW78,1)="s",1,0))-SUM(IF(RIGHT(LEFT($AG78:$DW78,2))="-",1,0)))</f>
        <v/>
      </c>
      <c r="AF78" s="816" t="str">
        <f t="array" ref="AF78">IF($J78="","",SUM(IF(LEFT($AG78:$DC78,1)="X",1,0)))</f>
        <v/>
      </c>
      <c r="AG78" s="897"/>
      <c r="AH78" s="897"/>
      <c r="AI78" s="897"/>
      <c r="AJ78" s="897"/>
      <c r="AK78" s="897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3"/>
      <c r="BF78" s="893"/>
      <c r="BG78" s="893"/>
      <c r="BH78" s="893"/>
      <c r="BI78" s="897"/>
      <c r="BJ78" s="897"/>
      <c r="BK78" s="897"/>
      <c r="BL78" s="897"/>
      <c r="BM78" s="893"/>
      <c r="BN78" s="893"/>
      <c r="BO78" s="897"/>
      <c r="BP78" s="893"/>
      <c r="BQ78" s="897"/>
      <c r="BR78" s="893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</row>
    <row r="79" spans="1:84" ht="15">
      <c r="A79" s="844"/>
      <c r="D79" s="816" t="str">
        <f>IF(I79=Table!$C$1,VLOOKUP(G79,Table!$B$38:$AO$61,Table!$AO$35-1,FALSE),"")</f>
        <v/>
      </c>
      <c r="E79" s="816" t="s">
        <v>32</v>
      </c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50"/>
        <v/>
      </c>
      <c r="M79" s="816" t="str">
        <f t="shared" si="51"/>
        <v/>
      </c>
      <c r="N79" s="816" t="str">
        <f t="shared" si="52"/>
        <v/>
      </c>
      <c r="R79" s="816" t="str">
        <f t="shared" si="53"/>
        <v/>
      </c>
      <c r="T79" s="829" t="str">
        <f t="shared" si="54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IF($J79="","",IF(SUM(IF(ISNUMBER(VALUE(RIGHT($AG79:$CK79,1))),VALUE(RIGHT($AG79:$CK79,1)),0))=$J79,"T","F"))</f>
        <v/>
      </c>
      <c r="AE79" s="831" t="str">
        <f t="array" ref="AE79">IF($J79="","",SUM(IF(LEFT($AG79:$DW79,1)="s",1,0))-SUM(IF(RIGHT(LEFT($AG79:$DW79,2))="-",1,0)))</f>
        <v/>
      </c>
      <c r="AF79" s="816" t="str">
        <f t="array" ref="AF79">IF($J79="","",SUM(IF(LEFT($AG79:$DC79,1)="X",1,0)))</f>
        <v/>
      </c>
      <c r="AG79" s="897"/>
      <c r="AH79" s="897"/>
      <c r="AI79" s="897"/>
      <c r="AJ79" s="897"/>
      <c r="AK79" s="897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3"/>
      <c r="BF79" s="893"/>
      <c r="BG79" s="893"/>
      <c r="BH79" s="893"/>
      <c r="BI79" s="897"/>
      <c r="BJ79" s="897"/>
      <c r="BK79" s="897"/>
      <c r="BL79" s="897"/>
      <c r="BM79" s="893"/>
      <c r="BN79" s="893"/>
      <c r="BO79" s="897"/>
      <c r="BP79" s="893"/>
      <c r="BQ79" s="897"/>
      <c r="BR79" s="893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</row>
    <row r="80" spans="1:84" ht="15">
      <c r="A80" s="844"/>
      <c r="D80" s="816" t="str">
        <f>IF(I80=Table!$C$1,VLOOKUP(G80,Table!$B$38:$AO$61,Table!$AO$35-1,FALSE),"")</f>
        <v/>
      </c>
      <c r="E80" s="816" t="s">
        <v>32</v>
      </c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50"/>
        <v/>
      </c>
      <c r="M80" s="816" t="str">
        <f t="shared" si="51"/>
        <v/>
      </c>
      <c r="N80" s="816" t="str">
        <f t="shared" si="52"/>
        <v/>
      </c>
      <c r="R80" s="816" t="str">
        <f t="shared" si="53"/>
        <v/>
      </c>
      <c r="T80" s="829" t="str">
        <f t="shared" si="54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IF($J80="","",IF(SUM(IF(ISNUMBER(VALUE(RIGHT($AG80:$CK80,1))),VALUE(RIGHT($AG80:$CK80,1)),0))=$J80,"T","F"))</f>
        <v/>
      </c>
      <c r="AE80" s="831" t="str">
        <f t="array" ref="AE80">IF($J80="","",SUM(IF(LEFT($AG80:$DW80,1)="s",1,0))-SUM(IF(RIGHT(LEFT($AG80:$DW80,2))="-",1,0)))</f>
        <v/>
      </c>
      <c r="AF80" s="816" t="str">
        <f t="array" ref="AF80">IF($J80="","",SUM(IF(LEFT($AG80:$DC80,1)="X",1,0)))</f>
        <v/>
      </c>
      <c r="AG80" s="897"/>
      <c r="AH80" s="897"/>
      <c r="AI80" s="897"/>
      <c r="AJ80" s="897"/>
      <c r="AK80" s="897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3"/>
      <c r="BF80" s="893"/>
      <c r="BG80" s="893"/>
      <c r="BH80" s="893"/>
      <c r="BI80" s="897"/>
      <c r="BJ80" s="897"/>
      <c r="BK80" s="897"/>
      <c r="BL80" s="897"/>
      <c r="BM80" s="893"/>
      <c r="BN80" s="893"/>
      <c r="BO80" s="897"/>
      <c r="BP80" s="893"/>
      <c r="BQ80" s="897"/>
      <c r="BR80" s="893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</row>
    <row r="81" spans="1:84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50"/>
        <v/>
      </c>
      <c r="M81" s="816" t="str">
        <f t="shared" si="51"/>
        <v/>
      </c>
      <c r="N81" s="816" t="str">
        <f t="shared" si="52"/>
        <v/>
      </c>
      <c r="R81" s="816" t="str">
        <f t="shared" si="53"/>
        <v/>
      </c>
      <c r="T81" s="829" t="str">
        <f t="shared" si="54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IF($J81="","",IF(SUM(IF(ISNUMBER(VALUE(RIGHT($AG81:$CK81,1))),VALUE(RIGHT($AG81:$CK81,1)),0))=$J81,"T","F"))</f>
        <v/>
      </c>
      <c r="AE81" s="831" t="str">
        <f t="array" ref="AE81">IF($J81="","",SUM(IF(LEFT($AG81:$DW81,1)="s",1,0))-SUM(IF(RIGHT(LEFT($AG81:$DW81,2))="-",1,0)))</f>
        <v/>
      </c>
      <c r="AF81" s="816" t="str">
        <f t="array" ref="AF81">IF($J81="","",SUM(IF(LEFT($AG81:$DC81,1)="X",1,0)))</f>
        <v/>
      </c>
      <c r="AG81" s="897"/>
      <c r="AH81" s="897"/>
      <c r="AI81" s="897"/>
      <c r="AJ81" s="897"/>
      <c r="AK81" s="897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3"/>
      <c r="BF81" s="893"/>
      <c r="BG81" s="893"/>
      <c r="BH81" s="893"/>
      <c r="BI81" s="897"/>
      <c r="BJ81" s="897"/>
      <c r="BK81" s="897"/>
      <c r="BL81" s="897"/>
      <c r="BM81" s="893"/>
      <c r="BN81" s="893"/>
      <c r="BO81" s="897"/>
      <c r="BP81" s="893"/>
      <c r="BQ81" s="897"/>
      <c r="BR81" s="893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</row>
    <row r="82" spans="1:84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50"/>
        <v/>
      </c>
      <c r="M82" s="816" t="str">
        <f t="shared" si="51"/>
        <v/>
      </c>
      <c r="N82" s="816" t="str">
        <f t="shared" si="52"/>
        <v/>
      </c>
      <c r="R82" s="816" t="str">
        <f t="shared" si="53"/>
        <v/>
      </c>
      <c r="T82" s="829" t="str">
        <f t="shared" si="54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IF($J82="","",IF(SUM(IF(ISNUMBER(VALUE(RIGHT($AG82:$CK82,1))),VALUE(RIGHT($AG82:$CK82,1)),0))=$J82,"T","F"))</f>
        <v/>
      </c>
      <c r="AE82" s="831" t="str">
        <f t="array" ref="AE82">IF($J82="","",SUM(IF(LEFT($AG82:$DW82,1)="s",1,0))-SUM(IF(RIGHT(LEFT($AG82:$DW82,2))="-",1,0)))</f>
        <v/>
      </c>
      <c r="AF82" s="816" t="str">
        <f t="array" ref="AF82">IF($J82="","",SUM(IF(LEFT($AG82:$DC82,1)="X",1,0)))</f>
        <v/>
      </c>
      <c r="AG82" s="897"/>
      <c r="AH82" s="897"/>
      <c r="AI82" s="897"/>
      <c r="AJ82" s="897"/>
      <c r="AK82" s="897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3"/>
      <c r="BF82" s="893"/>
      <c r="BG82" s="893"/>
      <c r="BH82" s="893"/>
      <c r="BI82" s="897"/>
      <c r="BJ82" s="897"/>
      <c r="BK82" s="897"/>
      <c r="BL82" s="897"/>
      <c r="BM82" s="893"/>
      <c r="BN82" s="893"/>
      <c r="BO82" s="897"/>
      <c r="BP82" s="893"/>
      <c r="BQ82" s="897"/>
      <c r="BR82" s="893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</row>
    <row r="83" spans="1:84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50"/>
        <v/>
      </c>
      <c r="M83" s="816" t="str">
        <f t="shared" si="51"/>
        <v/>
      </c>
      <c r="N83" s="816" t="str">
        <f t="shared" si="52"/>
        <v/>
      </c>
      <c r="R83" s="816" t="str">
        <f t="shared" si="53"/>
        <v/>
      </c>
      <c r="T83" s="829" t="str">
        <f t="shared" si="54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IF($J83="","",IF(SUM(IF(ISNUMBER(VALUE(RIGHT($AG83:$CK83,1))),VALUE(RIGHT($AG83:$CK83,1)),0))=$J83,"T","F"))</f>
        <v/>
      </c>
      <c r="AE83" s="831" t="str">
        <f t="array" ref="AE83">IF($J83="","",SUM(IF(LEFT($AG83:$DW83,1)="s",1,0))-SUM(IF(RIGHT(LEFT($AG83:$DW83,2))="-",1,0)))</f>
        <v/>
      </c>
      <c r="AF83" s="816" t="str">
        <f t="array" ref="AF83">IF($J83="","",SUM(IF(LEFT($AG83:$DC83,1)="X",1,0)))</f>
        <v/>
      </c>
      <c r="AG83" s="897"/>
      <c r="AH83" s="897"/>
      <c r="AI83" s="897"/>
      <c r="AJ83" s="897"/>
      <c r="AK83" s="897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3"/>
      <c r="BF83" s="893"/>
      <c r="BG83" s="893"/>
      <c r="BH83" s="893"/>
      <c r="BI83" s="897"/>
      <c r="BJ83" s="897"/>
      <c r="BK83" s="897"/>
      <c r="BL83" s="897"/>
      <c r="BM83" s="893"/>
      <c r="BN83" s="893"/>
      <c r="BO83" s="897"/>
      <c r="BP83" s="893"/>
      <c r="BQ83" s="897"/>
      <c r="BR83" s="893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</row>
    <row r="84" spans="1:84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787"/>
      <c r="H84" s="833"/>
      <c r="I84" s="833"/>
      <c r="J84" s="833"/>
      <c r="K84" s="833"/>
      <c r="L84" s="816" t="str">
        <f t="shared" si="50"/>
        <v/>
      </c>
      <c r="M84" s="816" t="str">
        <f t="shared" si="51"/>
        <v/>
      </c>
      <c r="N84" s="816" t="str">
        <f t="shared" si="52"/>
        <v/>
      </c>
      <c r="R84" s="816" t="str">
        <f t="shared" si="53"/>
        <v/>
      </c>
      <c r="T84" s="829" t="str">
        <f t="shared" si="54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IF($J84="","",IF(SUM(IF(ISNUMBER(VALUE(RIGHT($AG84:$CK84,1))),VALUE(RIGHT($AG84:$CK84,1)),0))=$J84,"T","F"))</f>
        <v/>
      </c>
      <c r="AE84" s="831" t="str">
        <f t="array" ref="AE84">IF($J84="","",SUM(IF(LEFT($AG84:$DW84,1)="s",1,0))-SUM(IF(RIGHT(LEFT($AG84:$DW84,2))="-",1,0)))</f>
        <v/>
      </c>
      <c r="AF84" s="816" t="str">
        <f t="array" ref="AF84">IF($J84="","",SUM(IF(LEFT($AG84:$DC84,1)="X",1,0)))</f>
        <v/>
      </c>
      <c r="AG84" s="897"/>
      <c r="AH84" s="897"/>
      <c r="AI84" s="897"/>
      <c r="AJ84" s="897"/>
      <c r="AK84" s="897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3"/>
      <c r="BF84" s="893"/>
      <c r="BG84" s="893"/>
      <c r="BH84" s="893"/>
      <c r="BI84" s="897"/>
      <c r="BJ84" s="897"/>
      <c r="BK84" s="897"/>
      <c r="BL84" s="897"/>
      <c r="BM84" s="893"/>
      <c r="BN84" s="893"/>
      <c r="BO84" s="897"/>
      <c r="BP84" s="893"/>
      <c r="BQ84" s="897"/>
      <c r="BR84" s="893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</row>
    <row r="85" spans="1:84" ht="15">
      <c r="A85" s="845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833"/>
      <c r="H85" s="833"/>
      <c r="I85" s="833"/>
      <c r="J85" s="833"/>
      <c r="K85" s="833"/>
      <c r="L85" s="816" t="str">
        <f t="shared" si="50"/>
        <v/>
      </c>
      <c r="M85" s="816" t="str">
        <f t="shared" si="51"/>
        <v/>
      </c>
      <c r="N85" s="816" t="str">
        <f t="shared" si="52"/>
        <v/>
      </c>
      <c r="R85" s="816" t="str">
        <f t="shared" si="53"/>
        <v/>
      </c>
      <c r="T85" s="829" t="str">
        <f t="shared" si="54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IF($J85="","",IF(SUM(IF(ISNUMBER(VALUE(RIGHT($AG85:$CK85,1))),VALUE(RIGHT($AG85:$CK85,1)),0))=$J85,"T","F"))</f>
        <v/>
      </c>
      <c r="AE85" s="831" t="str">
        <f t="array" ref="AE85">IF($J85="","",SUM(IF(LEFT($AG85:$DW85,1)="s",1,0))-SUM(IF(RIGHT(LEFT($AG85:$DW85,2))="-",1,0)))</f>
        <v/>
      </c>
      <c r="AF85" s="816" t="str">
        <f t="array" ref="AF85">IF($J85="","",SUM(IF(LEFT($AG85:$DC85,1)="X",1,0)))</f>
        <v/>
      </c>
      <c r="AG85" s="897"/>
      <c r="AH85" s="897"/>
      <c r="AI85" s="897"/>
      <c r="AJ85" s="897"/>
      <c r="AK85" s="897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3"/>
      <c r="BF85" s="893"/>
      <c r="BG85" s="893"/>
      <c r="BH85" s="893"/>
      <c r="BI85" s="897"/>
      <c r="BJ85" s="897"/>
      <c r="BK85" s="897"/>
      <c r="BL85" s="897"/>
      <c r="BM85" s="893"/>
      <c r="BN85" s="893"/>
      <c r="BO85" s="897"/>
      <c r="BP85" s="893"/>
      <c r="BQ85" s="897"/>
      <c r="BR85" s="893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</row>
    <row r="86" spans="1:84" ht="15">
      <c r="A86" s="845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833"/>
      <c r="H86" s="833"/>
      <c r="I86" s="833"/>
      <c r="J86" s="833"/>
      <c r="K86" s="833"/>
      <c r="L86" s="816" t="str">
        <f t="shared" si="50"/>
        <v/>
      </c>
      <c r="M86" s="816" t="str">
        <f t="shared" si="51"/>
        <v/>
      </c>
      <c r="N86" s="816" t="str">
        <f t="shared" si="52"/>
        <v/>
      </c>
      <c r="R86" s="816" t="str">
        <f t="shared" si="53"/>
        <v/>
      </c>
      <c r="T86" s="829" t="str">
        <f t="shared" si="54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IF($J86="","",IF(SUM(IF(ISNUMBER(VALUE(RIGHT($AG86:$CK86,1))),VALUE(RIGHT($AG86:$CK86,1)),0))=$J86,"T","F"))</f>
        <v/>
      </c>
      <c r="AE86" s="831" t="str">
        <f t="array" ref="AE86">IF($J86="","",SUM(IF(LEFT($AG86:$DW86,1)="s",1,0))-SUM(IF(RIGHT(LEFT($AG86:$DW86,2))="-",1,0)))</f>
        <v/>
      </c>
      <c r="AF86" s="816" t="str">
        <f t="array" ref="AF86">IF($J86="","",SUM(IF(LEFT($AG86:$DC86,1)="X",1,0)))</f>
        <v/>
      </c>
      <c r="AG86" s="897"/>
      <c r="AH86" s="897"/>
      <c r="AI86" s="897"/>
      <c r="AJ86" s="897"/>
      <c r="AK86" s="897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3"/>
      <c r="BF86" s="893"/>
      <c r="BG86" s="893"/>
      <c r="BH86" s="893"/>
      <c r="BI86" s="897"/>
      <c r="BJ86" s="897"/>
      <c r="BK86" s="897"/>
      <c r="BL86" s="897"/>
      <c r="BM86" s="893"/>
      <c r="BN86" s="893"/>
      <c r="BO86" s="897"/>
      <c r="BP86" s="893"/>
      <c r="BQ86" s="897"/>
      <c r="BR86" s="893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</row>
    <row r="87" spans="1:84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50"/>
        <v/>
      </c>
      <c r="M87" s="816" t="str">
        <f t="shared" si="51"/>
        <v/>
      </c>
      <c r="N87" s="816" t="str">
        <f t="shared" si="52"/>
        <v/>
      </c>
      <c r="R87" s="816" t="str">
        <f t="shared" si="53"/>
        <v/>
      </c>
      <c r="T87" s="829" t="str">
        <f t="shared" si="54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IF($J87="","",IF(SUM(IF(ISNUMBER(VALUE(RIGHT($AG87:$CK87,1))),VALUE(RIGHT($AG87:$CK87,1)),0))=$J87,"T","F"))</f>
        <v/>
      </c>
      <c r="AE87" s="831" t="str">
        <f t="array" ref="AE87">IF($J87="","",SUM(IF(LEFT($AG87:$DW87,1)="s",1,0))-SUM(IF(RIGHT(LEFT($AG87:$DW87,2))="-",1,0)))</f>
        <v/>
      </c>
      <c r="AF87" s="816" t="str">
        <f t="array" ref="AF87">IF($J87="","",SUM(IF(LEFT($AG87:$DC87,1)="X",1,0)))</f>
        <v/>
      </c>
      <c r="AG87" s="897"/>
      <c r="AH87" s="897"/>
      <c r="AI87" s="897"/>
      <c r="AJ87" s="897"/>
      <c r="AK87" s="897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3"/>
      <c r="BF87" s="893"/>
      <c r="BG87" s="893"/>
      <c r="BH87" s="893"/>
      <c r="BI87" s="897"/>
      <c r="BJ87" s="897"/>
      <c r="BK87" s="897"/>
      <c r="BL87" s="897"/>
      <c r="BM87" s="893"/>
      <c r="BN87" s="893"/>
      <c r="BO87" s="897"/>
      <c r="BP87" s="893"/>
      <c r="BQ87" s="897"/>
      <c r="BR87" s="893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</row>
    <row r="88" spans="1:84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50"/>
        <v/>
      </c>
      <c r="M88" s="816" t="str">
        <f t="shared" si="51"/>
        <v/>
      </c>
      <c r="N88" s="816" t="str">
        <f t="shared" si="52"/>
        <v/>
      </c>
      <c r="R88" s="816" t="str">
        <f t="shared" si="53"/>
        <v/>
      </c>
      <c r="T88" s="829" t="str">
        <f t="shared" si="54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IF($J88="","",IF(SUM(IF(ISNUMBER(VALUE(RIGHT($AG88:$CK88,1))),VALUE(RIGHT($AG88:$CK88,1)),0))=$J88,"T","F"))</f>
        <v/>
      </c>
      <c r="AE88" s="831" t="str">
        <f t="array" ref="AE88">IF($J88="","",SUM(IF(LEFT($AG88:$DW88,1)="s",1,0))-SUM(IF(RIGHT(LEFT($AG88:$DW88,2))="-",1,0)))</f>
        <v/>
      </c>
      <c r="AF88" s="816" t="str">
        <f t="array" ref="AF88">IF($J88="","",SUM(IF(LEFT($AG88:$DC88,1)="X",1,0)))</f>
        <v/>
      </c>
      <c r="AG88" s="897"/>
      <c r="AH88" s="897"/>
      <c r="AI88" s="897"/>
      <c r="AJ88" s="897"/>
      <c r="AK88" s="897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3"/>
      <c r="BF88" s="893"/>
      <c r="BG88" s="893"/>
      <c r="BH88" s="893"/>
      <c r="BI88" s="897"/>
      <c r="BJ88" s="897"/>
      <c r="BK88" s="897"/>
      <c r="BL88" s="897"/>
      <c r="BM88" s="893"/>
      <c r="BN88" s="893"/>
      <c r="BO88" s="897"/>
      <c r="BP88" s="893"/>
      <c r="BQ88" s="897"/>
      <c r="BR88" s="893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</row>
    <row r="89" spans="1:84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50"/>
        <v/>
      </c>
      <c r="M89" s="816" t="str">
        <f t="shared" si="51"/>
        <v/>
      </c>
      <c r="N89" s="816" t="str">
        <f t="shared" si="52"/>
        <v/>
      </c>
      <c r="R89" s="816" t="str">
        <f t="shared" si="53"/>
        <v/>
      </c>
      <c r="T89" s="829" t="str">
        <f t="shared" si="54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IF($J89="","",IF(SUM(IF(ISNUMBER(VALUE(RIGHT($AG89:$CK89,1))),VALUE(RIGHT($AG89:$CK89,1)),0))=$J89,"T","F"))</f>
        <v/>
      </c>
      <c r="AE89" s="831" t="str">
        <f t="array" ref="AE89">IF($J89="","",SUM(IF(LEFT($AG89:$DW89,1)="s",1,0))-SUM(IF(RIGHT(LEFT($AG89:$DW89,2))="-",1,0)))</f>
        <v/>
      </c>
      <c r="AF89" s="816" t="str">
        <f t="array" ref="AF89">IF($J89="","",SUM(IF(LEFT($AG89:$DC89,1)="X",1,0)))</f>
        <v/>
      </c>
      <c r="AG89" s="897"/>
      <c r="AH89" s="897"/>
      <c r="AI89" s="897"/>
      <c r="AJ89" s="897"/>
      <c r="AK89" s="897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3"/>
      <c r="BF89" s="893"/>
      <c r="BG89" s="893"/>
      <c r="BH89" s="893"/>
      <c r="BI89" s="897"/>
      <c r="BJ89" s="897"/>
      <c r="BK89" s="897"/>
      <c r="BL89" s="897"/>
      <c r="BM89" s="893"/>
      <c r="BN89" s="893"/>
      <c r="BO89" s="897"/>
      <c r="BP89" s="893"/>
      <c r="BQ89" s="897"/>
      <c r="BR89" s="893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</row>
    <row r="90" spans="1:84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50"/>
        <v/>
      </c>
      <c r="M90" s="816" t="str">
        <f t="shared" si="51"/>
        <v/>
      </c>
      <c r="N90" s="816" t="str">
        <f t="shared" si="52"/>
        <v/>
      </c>
      <c r="R90" s="816" t="str">
        <f t="shared" si="53"/>
        <v/>
      </c>
      <c r="T90" s="829" t="str">
        <f t="shared" si="54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IF($J90="","",IF(SUM(IF(ISNUMBER(VALUE(RIGHT($AG90:$CK90,1))),VALUE(RIGHT($AG90:$CK90,1)),0))=$J90,"T","F"))</f>
        <v/>
      </c>
      <c r="AE90" s="831" t="str">
        <f t="array" ref="AE90">IF($J90="","",SUM(IF(LEFT($AG90:$DW90,1)="s",1,0))-SUM(IF(RIGHT(LEFT($AG90:$DW90,2))="-",1,0)))</f>
        <v/>
      </c>
      <c r="AF90" s="816" t="str">
        <f t="array" ref="AF90">IF($J90="","",SUM(IF(LEFT($AG90:$DC90,1)="X",1,0)))</f>
        <v/>
      </c>
      <c r="AG90" s="897"/>
      <c r="AH90" s="897"/>
      <c r="AI90" s="897"/>
      <c r="AJ90" s="897"/>
      <c r="AK90" s="897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3"/>
      <c r="BF90" s="893"/>
      <c r="BG90" s="893"/>
      <c r="BH90" s="893"/>
      <c r="BI90" s="897"/>
      <c r="BJ90" s="897"/>
      <c r="BK90" s="897"/>
      <c r="BL90" s="897"/>
      <c r="BM90" s="893"/>
      <c r="BN90" s="893"/>
      <c r="BO90" s="897"/>
      <c r="BP90" s="893"/>
      <c r="BQ90" s="897"/>
      <c r="BR90" s="893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</row>
    <row r="91" spans="1:84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50"/>
        <v/>
      </c>
      <c r="M91" s="816" t="str">
        <f t="shared" si="51"/>
        <v/>
      </c>
      <c r="N91" s="816" t="str">
        <f t="shared" si="52"/>
        <v/>
      </c>
      <c r="R91" s="816" t="str">
        <f t="shared" si="53"/>
        <v/>
      </c>
      <c r="T91" s="829" t="str">
        <f t="shared" si="54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IF($J91="","",IF(SUM(IF(ISNUMBER(VALUE(RIGHT($AG91:$CK91,1))),VALUE(RIGHT($AG91:$CK91,1)),0))=$J91,"T","F"))</f>
        <v/>
      </c>
      <c r="AE91" s="831" t="str">
        <f t="array" ref="AE91">IF($J91="","",SUM(IF(LEFT($AG91:$DW91,1)="s",1,0))-SUM(IF(RIGHT(LEFT($AG91:$DW91,2))="-",1,0)))</f>
        <v/>
      </c>
      <c r="AF91" s="816" t="str">
        <f t="array" ref="AF91">IF($J91="","",SUM(IF(LEFT($AG91:$DC91,1)="X",1,0)))</f>
        <v/>
      </c>
      <c r="AG91" s="897"/>
      <c r="AH91" s="897"/>
      <c r="AI91" s="897"/>
      <c r="AJ91" s="897"/>
      <c r="AK91" s="897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3"/>
      <c r="BF91" s="893"/>
      <c r="BG91" s="893"/>
      <c r="BH91" s="893"/>
      <c r="BI91" s="897"/>
      <c r="BJ91" s="897"/>
      <c r="BK91" s="897"/>
      <c r="BL91" s="897"/>
      <c r="BM91" s="893"/>
      <c r="BN91" s="893"/>
      <c r="BO91" s="897"/>
      <c r="BP91" s="893"/>
      <c r="BQ91" s="897"/>
      <c r="BR91" s="893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</row>
    <row r="92" spans="1:84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50"/>
        <v/>
      </c>
      <c r="M92" s="816" t="str">
        <f t="shared" si="51"/>
        <v/>
      </c>
      <c r="N92" s="816" t="str">
        <f t="shared" si="52"/>
        <v/>
      </c>
      <c r="R92" s="816" t="str">
        <f t="shared" si="53"/>
        <v/>
      </c>
      <c r="T92" s="829" t="str">
        <f t="shared" si="54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IF($J92="","",IF(SUM(IF(ISNUMBER(VALUE(RIGHT($AG92:$CK92,1))),VALUE(RIGHT($AG92:$CK92,1)),0))=$J92,"T","F"))</f>
        <v/>
      </c>
      <c r="AE92" s="831" t="str">
        <f t="array" ref="AE92">IF($J92="","",SUM(IF(LEFT($AG92:$DW92,1)="s",1,0))-SUM(IF(RIGHT(LEFT($AG92:$DW92,2))="-",1,0)))</f>
        <v/>
      </c>
      <c r="AF92" s="816" t="str">
        <f t="array" ref="AF92">IF($J92="","",SUM(IF(LEFT($AG92:$DC92,1)="X",1,0)))</f>
        <v/>
      </c>
      <c r="AG92" s="897"/>
      <c r="AH92" s="897"/>
      <c r="AI92" s="897"/>
      <c r="AJ92" s="897"/>
      <c r="AK92" s="897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3"/>
      <c r="BF92" s="893"/>
      <c r="BG92" s="893"/>
      <c r="BH92" s="893"/>
      <c r="BI92" s="897"/>
      <c r="BJ92" s="897"/>
      <c r="BK92" s="897"/>
      <c r="BL92" s="897"/>
      <c r="BM92" s="893"/>
      <c r="BN92" s="893"/>
      <c r="BO92" s="897"/>
      <c r="BP92" s="893"/>
      <c r="BQ92" s="897"/>
      <c r="BR92" s="893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</row>
    <row r="93" spans="1:84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50"/>
        <v/>
      </c>
      <c r="M93" s="816" t="str">
        <f t="shared" si="51"/>
        <v/>
      </c>
      <c r="N93" s="816" t="str">
        <f t="shared" si="52"/>
        <v/>
      </c>
      <c r="R93" s="816" t="str">
        <f t="shared" si="53"/>
        <v/>
      </c>
      <c r="T93" s="829" t="str">
        <f t="shared" si="54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IF($J93="","",IF(SUM(IF(ISNUMBER(VALUE(RIGHT($AG93:$CK93,1))),VALUE(RIGHT($AG93:$CK93,1)),0))=$J93,"T","F"))</f>
        <v/>
      </c>
      <c r="AE93" s="831" t="str">
        <f t="array" ref="AE93">IF($J93="","",SUM(IF(LEFT($AG93:$DW93,1)="s",1,0))-SUM(IF(RIGHT(LEFT($AG93:$DW93,2))="-",1,0)))</f>
        <v/>
      </c>
      <c r="AF93" s="816" t="str">
        <f t="array" ref="AF93">IF($J93="","",SUM(IF(LEFT($AG93:$DC93,1)="X",1,0)))</f>
        <v/>
      </c>
      <c r="AG93" s="897"/>
      <c r="AH93" s="897"/>
      <c r="AI93" s="897"/>
      <c r="AJ93" s="897"/>
      <c r="AK93" s="897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3"/>
      <c r="BF93" s="893"/>
      <c r="BG93" s="893"/>
      <c r="BH93" s="893"/>
      <c r="BI93" s="897"/>
      <c r="BJ93" s="897"/>
      <c r="BK93" s="897"/>
      <c r="BL93" s="897"/>
      <c r="BM93" s="893"/>
      <c r="BN93" s="893"/>
      <c r="BO93" s="897"/>
      <c r="BP93" s="893"/>
      <c r="BQ93" s="897"/>
      <c r="BR93" s="893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</row>
    <row r="94" spans="1:84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50"/>
        <v/>
      </c>
      <c r="M94" s="816" t="str">
        <f t="shared" si="51"/>
        <v/>
      </c>
      <c r="N94" s="816" t="str">
        <f t="shared" si="52"/>
        <v/>
      </c>
      <c r="R94" s="816" t="str">
        <f t="shared" si="53"/>
        <v/>
      </c>
      <c r="T94" s="829" t="str">
        <f t="shared" si="54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IF($J94="","",IF(SUM(IF(ISNUMBER(VALUE(RIGHT($AG94:$CK94,1))),VALUE(RIGHT($AG94:$CK94,1)),0))=$J94,"T","F"))</f>
        <v/>
      </c>
      <c r="AE94" s="831" t="str">
        <f t="array" ref="AE94">IF($J94="","",SUM(IF(LEFT($AG94:$DW94,1)="s",1,0))-SUM(IF(RIGHT(LEFT($AG94:$DW94,2))="-",1,0)))</f>
        <v/>
      </c>
      <c r="AF94" s="816" t="str">
        <f t="array" ref="AF94">IF($J94="","",SUM(IF(LEFT($AG94:$DC94,1)="X",1,0)))</f>
        <v/>
      </c>
      <c r="AG94" s="897"/>
      <c r="AH94" s="897"/>
      <c r="AI94" s="897"/>
      <c r="AJ94" s="897"/>
      <c r="AK94" s="897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3"/>
      <c r="BF94" s="893"/>
      <c r="BG94" s="893"/>
      <c r="BH94" s="893"/>
      <c r="BI94" s="897"/>
      <c r="BJ94" s="897"/>
      <c r="BK94" s="897"/>
      <c r="BL94" s="897"/>
      <c r="BM94" s="893"/>
      <c r="BN94" s="893"/>
      <c r="BO94" s="897"/>
      <c r="BP94" s="893"/>
      <c r="BQ94" s="897"/>
      <c r="BR94" s="893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</row>
    <row r="95" spans="1:84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50"/>
        <v/>
      </c>
      <c r="M95" s="816" t="str">
        <f t="shared" si="51"/>
        <v/>
      </c>
      <c r="N95" s="816" t="str">
        <f t="shared" si="52"/>
        <v/>
      </c>
      <c r="R95" s="816" t="str">
        <f t="shared" si="53"/>
        <v/>
      </c>
      <c r="T95" s="829" t="str">
        <f t="shared" si="54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IF($J95="","",IF(SUM(IF(ISNUMBER(VALUE(RIGHT($AG95:$CK95,1))),VALUE(RIGHT($AG95:$CK95,1)),0))=$J95,"T","F"))</f>
        <v/>
      </c>
      <c r="AE95" s="831" t="str">
        <f t="array" ref="AE95">IF($J95="","",SUM(IF(LEFT($AG95:$DW95,1)="s",1,0))-SUM(IF(RIGHT(LEFT($AG95:$DW95,2))="-",1,0)))</f>
        <v/>
      </c>
      <c r="AF95" s="816" t="str">
        <f t="array" ref="AF95">IF($J95="","",SUM(IF(LEFT($AG95:$DC95,1)="X",1,0)))</f>
        <v/>
      </c>
      <c r="AG95" s="897"/>
      <c r="AH95" s="897"/>
      <c r="AI95" s="897"/>
      <c r="AJ95" s="897"/>
      <c r="AK95" s="897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3"/>
      <c r="BF95" s="893"/>
      <c r="BG95" s="893"/>
      <c r="BH95" s="893"/>
      <c r="BI95" s="897"/>
      <c r="BJ95" s="897"/>
      <c r="BK95" s="897"/>
      <c r="BL95" s="897"/>
      <c r="BM95" s="893"/>
      <c r="BN95" s="893"/>
      <c r="BO95" s="897"/>
      <c r="BP95" s="893"/>
      <c r="BQ95" s="897"/>
      <c r="BR95" s="893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</row>
    <row r="96" spans="1:84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50"/>
        <v/>
      </c>
      <c r="M96" s="816" t="str">
        <f t="shared" si="51"/>
        <v/>
      </c>
      <c r="N96" s="816" t="str">
        <f t="shared" si="52"/>
        <v/>
      </c>
      <c r="R96" s="816" t="str">
        <f t="shared" si="53"/>
        <v/>
      </c>
      <c r="T96" s="829" t="str">
        <f t="shared" si="54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IF($J96="","",IF(SUM(IF(ISNUMBER(VALUE(RIGHT($AG96:$CK96,1))),VALUE(RIGHT($AG96:$CK96,1)),0))=$J96,"T","F"))</f>
        <v/>
      </c>
      <c r="AE96" s="831" t="str">
        <f t="array" ref="AE96">IF($J96="","",SUM(IF(LEFT($AG96:$DW96,1)="s",1,0))-SUM(IF(RIGHT(LEFT($AG96:$DW96,2))="-",1,0)))</f>
        <v/>
      </c>
      <c r="AF96" s="816" t="str">
        <f t="array" ref="AF96">IF($J96="","",SUM(IF(LEFT($AG96:$DC96,1)="X",1,0)))</f>
        <v/>
      </c>
      <c r="AG96" s="897"/>
      <c r="AH96" s="897"/>
      <c r="AI96" s="897"/>
      <c r="AJ96" s="897"/>
      <c r="AK96" s="897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3"/>
      <c r="BF96" s="893"/>
      <c r="BG96" s="893"/>
      <c r="BH96" s="893"/>
      <c r="BI96" s="897"/>
      <c r="BJ96" s="897"/>
      <c r="BK96" s="897"/>
      <c r="BL96" s="897"/>
      <c r="BM96" s="893"/>
      <c r="BN96" s="893"/>
      <c r="BO96" s="897"/>
      <c r="BP96" s="893"/>
      <c r="BQ96" s="897"/>
      <c r="BR96" s="893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</row>
    <row r="97" spans="1:84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50"/>
        <v/>
      </c>
      <c r="M97" s="816" t="str">
        <f t="shared" si="51"/>
        <v/>
      </c>
      <c r="N97" s="816" t="str">
        <f t="shared" si="52"/>
        <v/>
      </c>
      <c r="R97" s="816" t="str">
        <f t="shared" si="53"/>
        <v/>
      </c>
      <c r="T97" s="829" t="str">
        <f t="shared" si="54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IF($J97="","",IF(SUM(IF(ISNUMBER(VALUE(RIGHT($AG97:$CK97,1))),VALUE(RIGHT($AG97:$CK97,1)),0))=$J97,"T","F"))</f>
        <v/>
      </c>
      <c r="AE97" s="831" t="str">
        <f t="array" ref="AE97">IF($J97="","",SUM(IF(LEFT($AG97:$DW97,1)="s",1,0))-SUM(IF(RIGHT(LEFT($AG97:$DW97,2))="-",1,0)))</f>
        <v/>
      </c>
      <c r="AF97" s="816" t="str">
        <f t="array" ref="AF97">IF($J97="","",SUM(IF(LEFT($AG97:$DC97,1)="X",1,0)))</f>
        <v/>
      </c>
      <c r="AG97" s="897"/>
      <c r="AH97" s="897"/>
      <c r="AI97" s="897"/>
      <c r="AJ97" s="897"/>
      <c r="AK97" s="897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3"/>
      <c r="BF97" s="893"/>
      <c r="BG97" s="893"/>
      <c r="BH97" s="893"/>
      <c r="BI97" s="897"/>
      <c r="BJ97" s="897"/>
      <c r="BK97" s="897"/>
      <c r="BL97" s="897"/>
      <c r="BM97" s="893"/>
      <c r="BN97" s="893"/>
      <c r="BO97" s="897"/>
      <c r="BP97" s="893"/>
      <c r="BQ97" s="897"/>
      <c r="BR97" s="893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</row>
    <row r="98" spans="1:84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50"/>
        <v/>
      </c>
      <c r="M98" s="816" t="str">
        <f t="shared" si="51"/>
        <v/>
      </c>
      <c r="N98" s="816" t="str">
        <f t="shared" si="52"/>
        <v/>
      </c>
      <c r="R98" s="816" t="str">
        <f t="shared" si="53"/>
        <v/>
      </c>
      <c r="T98" s="829" t="str">
        <f t="shared" si="54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IF($J98="","",IF(SUM(IF(ISNUMBER(VALUE(RIGHT($AG98:$CK98,1))),VALUE(RIGHT($AG98:$CK98,1)),0))=$J98,"T","F"))</f>
        <v/>
      </c>
      <c r="AE98" s="831" t="str">
        <f t="array" ref="AE98">IF($J98="","",SUM(IF(LEFT($AG98:$DW98,1)="s",1,0))-SUM(IF(RIGHT(LEFT($AG98:$DW98,2))="-",1,0)))</f>
        <v/>
      </c>
      <c r="AF98" s="816" t="str">
        <f t="array" ref="AF98">IF($J98="","",SUM(IF(LEFT($AG98:$DC98,1)="X",1,0)))</f>
        <v/>
      </c>
      <c r="AG98" s="897"/>
      <c r="AH98" s="897"/>
      <c r="AI98" s="897"/>
      <c r="AJ98" s="897"/>
      <c r="AK98" s="897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3"/>
      <c r="BF98" s="893"/>
      <c r="BG98" s="893"/>
      <c r="BH98" s="893"/>
      <c r="BI98" s="897"/>
      <c r="BJ98" s="897"/>
      <c r="BK98" s="897"/>
      <c r="BL98" s="897"/>
      <c r="BM98" s="893"/>
      <c r="BN98" s="893"/>
      <c r="BO98" s="897"/>
      <c r="BP98" s="893"/>
      <c r="BQ98" s="897"/>
      <c r="BR98" s="893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</row>
    <row r="99" spans="1:84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50"/>
        <v/>
      </c>
      <c r="M99" s="816" t="str">
        <f t="shared" si="51"/>
        <v/>
      </c>
      <c r="N99" s="816" t="str">
        <f t="shared" si="52"/>
        <v/>
      </c>
      <c r="R99" s="816" t="str">
        <f t="shared" si="53"/>
        <v/>
      </c>
      <c r="T99" s="829" t="str">
        <f t="shared" si="54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IF($J99="","",IF(SUM(IF(ISNUMBER(VALUE(RIGHT($AG99:$CK99,1))),VALUE(RIGHT($AG99:$CK99,1)),0))=$J99,"T","F"))</f>
        <v/>
      </c>
      <c r="AE99" s="831" t="str">
        <f t="array" ref="AE99">IF($J99="","",SUM(IF(LEFT($AG99:$DW99,1)="s",1,0))-SUM(IF(RIGHT(LEFT($AG99:$DW99,2))="-",1,0)))</f>
        <v/>
      </c>
      <c r="AF99" s="816" t="str">
        <f t="array" ref="AF99">IF($J99="","",SUM(IF(LEFT($AG99:$DC99,1)="X",1,0)))</f>
        <v/>
      </c>
      <c r="AG99" s="897"/>
      <c r="AH99" s="897"/>
      <c r="AI99" s="897"/>
      <c r="AJ99" s="897"/>
      <c r="AK99" s="897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3"/>
      <c r="BF99" s="893"/>
      <c r="BG99" s="893"/>
      <c r="BH99" s="893"/>
      <c r="BI99" s="897"/>
      <c r="BJ99" s="897"/>
      <c r="BK99" s="897"/>
      <c r="BL99" s="897"/>
      <c r="BM99" s="893"/>
      <c r="BN99" s="893"/>
      <c r="BO99" s="897"/>
      <c r="BP99" s="893"/>
      <c r="BQ99" s="897"/>
      <c r="BR99" s="893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</row>
    <row r="100" spans="1:84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50"/>
        <v/>
      </c>
      <c r="M100" s="816" t="str">
        <f t="shared" si="51"/>
        <v/>
      </c>
      <c r="N100" s="816" t="str">
        <f t="shared" si="52"/>
        <v/>
      </c>
      <c r="R100" s="816" t="str">
        <f t="shared" si="53"/>
        <v/>
      </c>
      <c r="T100" s="829" t="str">
        <f t="shared" si="54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IF($J100="","",IF(SUM(IF(ISNUMBER(VALUE(RIGHT($AG100:$CK100,1))),VALUE(RIGHT($AG100:$CK100,1)),0))=$J100,"T","F"))</f>
        <v/>
      </c>
      <c r="AE100" s="831" t="str">
        <f t="array" ref="AE100">IF($J100="","",SUM(IF(LEFT($AG100:$DW100,1)="s",1,0))-SUM(IF(RIGHT(LEFT($AG100:$DW100,2))="-",1,0)))</f>
        <v/>
      </c>
      <c r="AF100" s="816" t="str">
        <f t="array" ref="AF100">IF($J100="","",SUM(IF(LEFT($AG100:$DC100,1)="X",1,0)))</f>
        <v/>
      </c>
      <c r="AG100" s="897"/>
      <c r="AH100" s="897"/>
      <c r="AI100" s="897"/>
      <c r="AJ100" s="897"/>
      <c r="AK100" s="897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3"/>
      <c r="BF100" s="893"/>
      <c r="BG100" s="893"/>
      <c r="BH100" s="893"/>
      <c r="BI100" s="897"/>
      <c r="BJ100" s="897"/>
      <c r="BK100" s="897"/>
      <c r="BL100" s="897"/>
      <c r="BM100" s="893"/>
      <c r="BN100" s="893"/>
      <c r="BO100" s="897"/>
      <c r="BP100" s="893"/>
      <c r="BQ100" s="897"/>
      <c r="BR100" s="893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</row>
    <row r="101" spans="1:84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50"/>
        <v/>
      </c>
      <c r="M101" s="816" t="str">
        <f t="shared" si="51"/>
        <v/>
      </c>
      <c r="N101" s="816" t="str">
        <f t="shared" si="52"/>
        <v/>
      </c>
      <c r="R101" s="816" t="str">
        <f t="shared" si="53"/>
        <v/>
      </c>
      <c r="T101" s="829" t="str">
        <f t="shared" si="54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IF($J101="","",IF(SUM(IF(ISNUMBER(VALUE(RIGHT($AG101:$CK101,1))),VALUE(RIGHT($AG101:$CK101,1)),0))=$J101,"T","F"))</f>
        <v/>
      </c>
      <c r="AE101" s="831" t="str">
        <f t="array" ref="AE101">IF($J101="","",SUM(IF(LEFT($AG101:$DW101,1)="s",1,0))-SUM(IF(RIGHT(LEFT($AG101:$DW101,2))="-",1,0)))</f>
        <v/>
      </c>
      <c r="AF101" s="816" t="str">
        <f t="array" ref="AF101">IF($J101="","",SUM(IF(LEFT($AG101:$DC101,1)="X",1,0)))</f>
        <v/>
      </c>
      <c r="AG101" s="897"/>
      <c r="AH101" s="897"/>
      <c r="AI101" s="897"/>
      <c r="AJ101" s="897"/>
      <c r="AK101" s="897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3"/>
      <c r="BF101" s="893"/>
      <c r="BG101" s="893"/>
      <c r="BH101" s="893"/>
      <c r="BI101" s="897"/>
      <c r="BJ101" s="897"/>
      <c r="BK101" s="897"/>
      <c r="BL101" s="897"/>
      <c r="BM101" s="893"/>
      <c r="BN101" s="893"/>
      <c r="BO101" s="897"/>
      <c r="BP101" s="893"/>
      <c r="BQ101" s="897"/>
      <c r="BR101" s="893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</row>
    <row r="102" spans="1:84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50"/>
        <v/>
      </c>
      <c r="M102" s="816" t="str">
        <f t="shared" si="51"/>
        <v/>
      </c>
      <c r="N102" s="816" t="str">
        <f t="shared" si="52"/>
        <v/>
      </c>
      <c r="R102" s="816" t="str">
        <f t="shared" si="53"/>
        <v/>
      </c>
      <c r="T102" s="829" t="str">
        <f t="shared" si="54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IF($J102="","",IF(SUM(IF(ISNUMBER(VALUE(RIGHT($AG102:$CK102,1))),VALUE(RIGHT($AG102:$CK102,1)),0))=$J102,"T","F"))</f>
        <v/>
      </c>
      <c r="AE102" s="831" t="str">
        <f t="array" ref="AE102">IF($J102="","",SUM(IF(LEFT($AG102:$DW102,1)="s",1,0))-SUM(IF(RIGHT(LEFT($AG102:$DW102,2))="-",1,0)))</f>
        <v/>
      </c>
      <c r="AF102" s="816" t="str">
        <f t="array" ref="AF102">IF($J102="","",SUM(IF(LEFT($AG102:$DC102,1)="X",1,0)))</f>
        <v/>
      </c>
      <c r="AG102" s="897"/>
      <c r="AH102" s="897"/>
      <c r="AI102" s="897"/>
      <c r="AJ102" s="897"/>
      <c r="AK102" s="897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3"/>
      <c r="BF102" s="893"/>
      <c r="BG102" s="893"/>
      <c r="BH102" s="893"/>
      <c r="BI102" s="897"/>
      <c r="BJ102" s="897"/>
      <c r="BK102" s="897"/>
      <c r="BL102" s="897"/>
      <c r="BM102" s="893"/>
      <c r="BN102" s="893"/>
      <c r="BO102" s="897"/>
      <c r="BP102" s="893"/>
      <c r="BQ102" s="897"/>
      <c r="BR102" s="893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</row>
    <row r="103" spans="1:84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50"/>
        <v/>
      </c>
      <c r="M103" s="816" t="str">
        <f t="shared" si="51"/>
        <v/>
      </c>
      <c r="N103" s="816" t="str">
        <f t="shared" ref="N103:N128" si="55">IF($J103="","",IF($M103&gt;N$19,"O",IF($M103&lt;N$19,"U",IF($M103=N$19,"-"))))</f>
        <v/>
      </c>
      <c r="R103" s="816" t="str">
        <f t="shared" si="53"/>
        <v/>
      </c>
      <c r="T103" s="829" t="str">
        <f t="shared" si="54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IF($J103="","",IF(SUM(IF(ISNUMBER(VALUE(RIGHT($AG103:$CK103,1))),VALUE(RIGHT($AG103:$CK103,1)),0))=$J103,"T","F"))</f>
        <v/>
      </c>
      <c r="AE103" s="816" t="str">
        <f t="array" ref="AE103">IF($J103="","",SUM(IF(LEFT($AG103:$DW103,1)="s",1,0))-SUM(IF(RIGHT(LEFT($AG103:$DW103,2))="-",1,0)))</f>
        <v/>
      </c>
      <c r="AF103" s="816" t="str">
        <f t="array" ref="AF103">IF($J103="","",SUM(IF(LEFT($AG103:$DC103,1)="X",1,0)))</f>
        <v/>
      </c>
      <c r="AG103" s="897"/>
      <c r="AH103" s="897"/>
      <c r="AI103" s="897"/>
      <c r="AJ103" s="897"/>
      <c r="AK103" s="897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3"/>
      <c r="BF103" s="893"/>
      <c r="BG103" s="893"/>
      <c r="BH103" s="893"/>
      <c r="BI103" s="897"/>
      <c r="BJ103" s="897"/>
      <c r="BK103" s="897"/>
      <c r="BL103" s="897"/>
      <c r="BM103" s="893"/>
      <c r="BN103" s="893"/>
      <c r="BO103" s="897"/>
      <c r="BP103" s="893"/>
      <c r="BQ103" s="897"/>
      <c r="BR103" s="893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</row>
    <row r="104" spans="1:84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50"/>
        <v/>
      </c>
      <c r="M104" s="816" t="str">
        <f t="shared" si="51"/>
        <v/>
      </c>
      <c r="N104" s="816" t="str">
        <f t="shared" si="55"/>
        <v/>
      </c>
      <c r="R104" s="816" t="str">
        <f t="shared" si="53"/>
        <v/>
      </c>
      <c r="T104" s="829" t="str">
        <f t="shared" si="54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IF($J104="","",IF(SUM(IF(ISNUMBER(VALUE(RIGHT($AG104:$CK104,1))),VALUE(RIGHT($AG104:$CK104,1)),0))=$J104,"T","F"))</f>
        <v/>
      </c>
      <c r="AE104" s="816" t="str">
        <f t="array" ref="AE104">IF($J104="","",SUM(IF(LEFT($AG104:$DW104,1)="s",1,0))-SUM(IF(RIGHT(LEFT($AG104:$DW104,2))="-",1,0)))</f>
        <v/>
      </c>
      <c r="AF104" s="816" t="str">
        <f t="array" ref="AF104">IF($J104="","",SUM(IF(LEFT($AG104:$DC104,1)="X",1,0)))</f>
        <v/>
      </c>
      <c r="AG104" s="897"/>
      <c r="AH104" s="897"/>
      <c r="AI104" s="897"/>
      <c r="AJ104" s="897"/>
      <c r="AK104" s="897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3"/>
      <c r="BF104" s="893"/>
      <c r="BG104" s="893"/>
      <c r="BH104" s="893"/>
      <c r="BI104" s="897"/>
      <c r="BJ104" s="897"/>
      <c r="BK104" s="897"/>
      <c r="BL104" s="897"/>
      <c r="BM104" s="893"/>
      <c r="BN104" s="893"/>
      <c r="BO104" s="897"/>
      <c r="BP104" s="893"/>
      <c r="BQ104" s="897"/>
      <c r="BR104" s="893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</row>
    <row r="105" spans="1:84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50"/>
        <v/>
      </c>
      <c r="M105" s="816" t="str">
        <f t="shared" si="51"/>
        <v/>
      </c>
      <c r="N105" s="816" t="str">
        <f t="shared" si="55"/>
        <v/>
      </c>
      <c r="R105" s="816" t="str">
        <f t="shared" si="53"/>
        <v/>
      </c>
      <c r="T105" s="829" t="str">
        <f t="shared" si="54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IF($J105="","",IF(SUM(IF(ISNUMBER(VALUE(RIGHT($AG105:$CK105,1))),VALUE(RIGHT($AG105:$CK105,1)),0))=$J105,"T","F"))</f>
        <v/>
      </c>
      <c r="AE105" s="816" t="str">
        <f t="array" ref="AE105">IF($J105="","",SUM(IF(LEFT($AG105:$DW105,1)="s",1,0))-SUM(IF(RIGHT(LEFT($AG105:$DW105,2))="-",1,0)))</f>
        <v/>
      </c>
      <c r="AF105" s="816" t="str">
        <f t="array" ref="AF105">IF($J105="","",SUM(IF(LEFT($AG105:$DC105,1)="X",1,0)))</f>
        <v/>
      </c>
      <c r="AG105" s="897"/>
      <c r="AH105" s="897"/>
      <c r="AI105" s="897"/>
      <c r="AJ105" s="897"/>
      <c r="AK105" s="897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3"/>
      <c r="BF105" s="893"/>
      <c r="BG105" s="893"/>
      <c r="BH105" s="893"/>
      <c r="BI105" s="897"/>
      <c r="BJ105" s="897"/>
      <c r="BK105" s="897"/>
      <c r="BL105" s="897"/>
      <c r="BM105" s="893"/>
      <c r="BN105" s="893"/>
      <c r="BO105" s="897"/>
      <c r="BP105" s="893"/>
      <c r="BQ105" s="897"/>
      <c r="BR105" s="893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</row>
    <row r="106" spans="1:84" ht="15"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50"/>
        <v/>
      </c>
      <c r="M106" s="816" t="str">
        <f t="shared" si="51"/>
        <v/>
      </c>
      <c r="N106" s="816" t="str">
        <f t="shared" si="55"/>
        <v/>
      </c>
      <c r="R106" s="816" t="str">
        <f t="shared" si="53"/>
        <v/>
      </c>
      <c r="T106" s="829" t="str">
        <f t="shared" si="54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IF($J106="","",IF(SUM(IF(ISNUMBER(VALUE(RIGHT($AG106:$CK106,1))),VALUE(RIGHT($AG106:$CK106,1)),0))=$J106,"T","F"))</f>
        <v/>
      </c>
      <c r="AE106" s="816" t="str">
        <f t="array" ref="AE106">IF($J106="","",SUM(IF(LEFT($AG106:$DW106,1)="s",1,0))-SUM(IF(RIGHT(LEFT($AG106:$DW106,2))="-",1,0)))</f>
        <v/>
      </c>
      <c r="AF106" s="816" t="str">
        <f t="array" ref="AF106">IF($J106="","",SUM(IF(LEFT($AG106:$DC106,1)="X",1,0)))</f>
        <v/>
      </c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3"/>
      <c r="BF106" s="893"/>
      <c r="BG106" s="893"/>
      <c r="BH106" s="893"/>
      <c r="BI106" s="897"/>
      <c r="BJ106" s="897"/>
      <c r="BK106" s="897"/>
      <c r="BL106" s="897"/>
      <c r="BM106" s="893"/>
      <c r="BN106" s="893"/>
      <c r="BO106" s="897"/>
      <c r="BP106" s="893"/>
      <c r="BQ106" s="897"/>
      <c r="BR106" s="893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</row>
    <row r="107" spans="1:84" ht="15"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50"/>
        <v/>
      </c>
      <c r="M107" s="816" t="str">
        <f t="shared" si="51"/>
        <v/>
      </c>
      <c r="N107" s="816" t="str">
        <f t="shared" si="55"/>
        <v/>
      </c>
      <c r="R107" s="816" t="str">
        <f t="shared" si="53"/>
        <v/>
      </c>
      <c r="T107" s="829" t="str">
        <f t="shared" si="54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IF($J107="","",IF(SUM(IF(ISNUMBER(VALUE(RIGHT($AG107:$CK107,1))),VALUE(RIGHT($AG107:$CK107,1)),0))=$J107,"T","F"))</f>
        <v/>
      </c>
      <c r="AE107" s="816" t="str">
        <f t="array" ref="AE107">IF($J107="","",SUM(IF(LEFT($AG107:$DW107,1)="s",1,0))-SUM(IF(RIGHT(LEFT($AG107:$DW107,2))="-",1,0)))</f>
        <v/>
      </c>
      <c r="AF107" s="816" t="str">
        <f t="array" ref="AF107">IF($J107="","",SUM(IF(LEFT($AG107:$DC107,1)="X",1,0)))</f>
        <v/>
      </c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3"/>
      <c r="BF107" s="893"/>
      <c r="BG107" s="893"/>
      <c r="BH107" s="893"/>
      <c r="BI107" s="897"/>
      <c r="BJ107" s="897"/>
      <c r="BK107" s="897"/>
      <c r="BL107" s="897"/>
      <c r="BM107" s="893"/>
      <c r="BN107" s="893"/>
      <c r="BO107" s="897"/>
      <c r="BP107" s="893"/>
      <c r="BQ107" s="897"/>
      <c r="BR107" s="893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</row>
    <row r="108" spans="1:84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50"/>
        <v/>
      </c>
      <c r="M108" s="816" t="str">
        <f t="shared" si="51"/>
        <v/>
      </c>
      <c r="N108" s="816" t="str">
        <f t="shared" si="55"/>
        <v/>
      </c>
      <c r="R108" s="816" t="str">
        <f t="shared" si="53"/>
        <v/>
      </c>
      <c r="T108" s="829" t="str">
        <f t="shared" si="54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IF($J108="","",IF(SUM(IF(ISNUMBER(VALUE(RIGHT($AG108:$CK108,1))),VALUE(RIGHT($AG108:$CK108,1)),0))=$J108,"T","F"))</f>
        <v/>
      </c>
      <c r="AE108" s="816" t="str">
        <f t="array" ref="AE108">IF($J108="","",SUM(IF(LEFT($AG108:$DW108,1)="s",1,0))-SUM(IF(RIGHT(LEFT($AG108:$DW108,2))="-",1,0)))</f>
        <v/>
      </c>
      <c r="AF108" s="816" t="str">
        <f t="array" ref="AF108">IF($J108="","",SUM(IF(LEFT($AG108:$DC108,1)="X",1,0)))</f>
        <v/>
      </c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3"/>
      <c r="BF108" s="893"/>
      <c r="BG108" s="893"/>
      <c r="BH108" s="893"/>
      <c r="BI108" s="897"/>
      <c r="BJ108" s="897"/>
      <c r="BK108" s="897"/>
      <c r="BL108" s="897"/>
      <c r="BM108" s="893"/>
      <c r="BN108" s="893"/>
      <c r="BO108" s="897"/>
      <c r="BP108" s="893"/>
      <c r="BQ108" s="897"/>
      <c r="BR108" s="893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</row>
    <row r="109" spans="1:84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50"/>
        <v/>
      </c>
      <c r="M109" s="816" t="str">
        <f t="shared" si="51"/>
        <v/>
      </c>
      <c r="N109" s="816" t="str">
        <f t="shared" si="55"/>
        <v/>
      </c>
      <c r="R109" s="816" t="str">
        <f t="shared" si="53"/>
        <v/>
      </c>
      <c r="T109" s="829" t="str">
        <f t="shared" si="54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IF($J109="","",IF(SUM(IF(ISNUMBER(VALUE(RIGHT($AG109:$CK109,1))),VALUE(RIGHT($AG109:$CK109,1)),0))=$J109,"T","F"))</f>
        <v/>
      </c>
      <c r="AE109" s="816" t="str">
        <f t="array" ref="AE109">IF($J109="","",SUM(IF(LEFT($AG109:$DW109,1)="s",1,0))-SUM(IF(RIGHT(LEFT($AG109:$DW109,2))="-",1,0)))</f>
        <v/>
      </c>
      <c r="AF109" s="816" t="str">
        <f t="array" ref="AF109">IF($J109="","",SUM(IF(LEFT($AG109:$DC109,1)="X",1,0)))</f>
        <v/>
      </c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3"/>
      <c r="BF109" s="893"/>
      <c r="BG109" s="893"/>
      <c r="BH109" s="893"/>
      <c r="BI109" s="897"/>
      <c r="BJ109" s="897"/>
      <c r="BK109" s="897"/>
      <c r="BL109" s="897"/>
      <c r="BM109" s="893"/>
      <c r="BN109" s="893"/>
      <c r="BO109" s="897"/>
      <c r="BP109" s="893"/>
      <c r="BQ109" s="897"/>
      <c r="BR109" s="893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</row>
    <row r="110" spans="1:84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50"/>
        <v/>
      </c>
      <c r="M110" s="816" t="str">
        <f t="shared" si="51"/>
        <v/>
      </c>
      <c r="N110" s="816" t="str">
        <f t="shared" si="55"/>
        <v/>
      </c>
      <c r="R110" s="816" t="str">
        <f t="shared" si="53"/>
        <v/>
      </c>
      <c r="T110" s="829" t="str">
        <f t="shared" si="54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IF($J110="","",IF(SUM(IF(ISNUMBER(VALUE(RIGHT($AG110:$CK110,1))),VALUE(RIGHT($AG110:$CK110,1)),0))=$J110,"T","F"))</f>
        <v/>
      </c>
      <c r="AE110" s="816" t="str">
        <f t="array" ref="AE110">IF($J110="","",SUM(IF(LEFT($AG110:$DW110,1)="s",1,0))-SUM(IF(RIGHT(LEFT($AG110:$DW110,2))="-",1,0)))</f>
        <v/>
      </c>
      <c r="AF110" s="816" t="str">
        <f t="array" ref="AF110">IF($J110="","",SUM(IF(LEFT($AG110:$DC110,1)="X",1,0)))</f>
        <v/>
      </c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3"/>
      <c r="BF110" s="893"/>
      <c r="BG110" s="893"/>
      <c r="BH110" s="893"/>
      <c r="BI110" s="897"/>
      <c r="BJ110" s="897"/>
      <c r="BK110" s="897"/>
      <c r="BL110" s="897"/>
      <c r="BM110" s="893"/>
      <c r="BN110" s="893"/>
      <c r="BO110" s="897"/>
      <c r="BP110" s="893"/>
      <c r="BQ110" s="897"/>
      <c r="BR110" s="893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</row>
    <row r="111" spans="1:84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50"/>
        <v/>
      </c>
      <c r="M111" s="816" t="str">
        <f t="shared" si="51"/>
        <v/>
      </c>
      <c r="N111" s="816" t="str">
        <f t="shared" si="55"/>
        <v/>
      </c>
      <c r="R111" s="816" t="str">
        <f t="shared" si="53"/>
        <v/>
      </c>
      <c r="T111" s="829" t="str">
        <f t="shared" si="54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IF($J111="","",IF(SUM(IF(ISNUMBER(VALUE(RIGHT($AG111:$CK111,1))),VALUE(RIGHT($AG111:$CK111,1)),0))=$J111,"T","F"))</f>
        <v/>
      </c>
      <c r="AE111" s="816" t="str">
        <f t="array" ref="AE111">IF($J111="","",SUM(IF(LEFT($AG111:$DW111,1)="s",1,0))-SUM(IF(RIGHT(LEFT($AG111:$DW111,2))="-",1,0)))</f>
        <v/>
      </c>
      <c r="AF111" s="816" t="str">
        <f t="array" ref="AF111">IF($J111="","",SUM(IF(LEFT($AG111:$DC111,1)="X",1,0)))</f>
        <v/>
      </c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3"/>
      <c r="BF111" s="893"/>
      <c r="BG111" s="893"/>
      <c r="BH111" s="893"/>
      <c r="BI111" s="897"/>
      <c r="BJ111" s="897"/>
      <c r="BK111" s="897"/>
      <c r="BL111" s="897"/>
      <c r="BM111" s="893"/>
      <c r="BN111" s="893"/>
      <c r="BO111" s="897"/>
      <c r="BP111" s="893"/>
      <c r="BQ111" s="897"/>
      <c r="BR111" s="893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</row>
    <row r="112" spans="1:84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50"/>
        <v/>
      </c>
      <c r="M112" s="816" t="str">
        <f t="shared" si="51"/>
        <v/>
      </c>
      <c r="N112" s="816" t="str">
        <f t="shared" si="55"/>
        <v/>
      </c>
      <c r="R112" s="816" t="str">
        <f t="shared" si="53"/>
        <v/>
      </c>
      <c r="T112" s="829" t="str">
        <f t="shared" si="54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IF($J112="","",IF(SUM(IF(ISNUMBER(VALUE(RIGHT($AG112:$CK112,1))),VALUE(RIGHT($AG112:$CK112,1)),0))=$J112,"T","F"))</f>
        <v/>
      </c>
      <c r="AE112" s="816" t="str">
        <f t="array" ref="AE112">IF($J112="","",SUM(IF(LEFT($AG112:$DW112,1)="s",1,0))-SUM(IF(RIGHT(LEFT($AG112:$DW112,2))="-",1,0)))</f>
        <v/>
      </c>
      <c r="AF112" s="816" t="str">
        <f t="array" ref="AF112">IF($J112="","",SUM(IF(LEFT($AG112:$DC112,1)="X",1,0)))</f>
        <v/>
      </c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3"/>
      <c r="BF112" s="893"/>
      <c r="BG112" s="893"/>
      <c r="BH112" s="893"/>
      <c r="BI112" s="897"/>
      <c r="BJ112" s="897"/>
      <c r="BK112" s="897"/>
      <c r="BL112" s="897"/>
      <c r="BM112" s="893"/>
      <c r="BN112" s="893"/>
      <c r="BO112" s="897"/>
      <c r="BP112" s="893"/>
      <c r="BQ112" s="897"/>
      <c r="BR112" s="893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</row>
    <row r="113" spans="4:84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50"/>
        <v/>
      </c>
      <c r="M113" s="816" t="str">
        <f t="shared" si="51"/>
        <v/>
      </c>
      <c r="N113" s="816" t="str">
        <f t="shared" si="55"/>
        <v/>
      </c>
      <c r="R113" s="816" t="str">
        <f t="shared" si="53"/>
        <v/>
      </c>
      <c r="T113" s="829" t="str">
        <f t="shared" si="54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IF($J113="","",IF(SUM(IF(ISNUMBER(VALUE(RIGHT($AG113:$CK113,1))),VALUE(RIGHT($AG113:$CK113,1)),0))=$J113,"T","F"))</f>
        <v/>
      </c>
      <c r="AE113" s="816" t="str">
        <f t="array" ref="AE113">IF($J113="","",SUM(IF(LEFT($AG113:$DW113,1)="s",1,0))-SUM(IF(RIGHT(LEFT($AG113:$DW113,2))="-",1,0)))</f>
        <v/>
      </c>
      <c r="AF113" s="816" t="str">
        <f t="array" ref="AF113">IF($J113="","",SUM(IF(LEFT($AG113:$DC113,1)="X",1,0)))</f>
        <v/>
      </c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3"/>
      <c r="BF113" s="893"/>
      <c r="BG113" s="893"/>
      <c r="BH113" s="893"/>
      <c r="BI113" s="897"/>
      <c r="BJ113" s="897"/>
      <c r="BK113" s="897"/>
      <c r="BL113" s="897"/>
      <c r="BM113" s="893"/>
      <c r="BN113" s="893"/>
      <c r="BO113" s="897"/>
      <c r="BP113" s="893"/>
      <c r="BQ113" s="897"/>
      <c r="BR113" s="893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</row>
    <row r="114" spans="4:84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50"/>
        <v/>
      </c>
      <c r="M114" s="816" t="str">
        <f t="shared" si="51"/>
        <v/>
      </c>
      <c r="N114" s="816" t="str">
        <f t="shared" si="55"/>
        <v/>
      </c>
      <c r="R114" s="816" t="str">
        <f t="shared" si="53"/>
        <v/>
      </c>
      <c r="T114" s="829" t="str">
        <f t="shared" si="54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IF($J114="","",IF(SUM(IF(ISNUMBER(VALUE(RIGHT($AG114:$CK114,1))),VALUE(RIGHT($AG114:$CK114,1)),0))=$J114,"T","F"))</f>
        <v/>
      </c>
      <c r="AE114" s="816" t="str">
        <f t="array" ref="AE114">IF($J114="","",SUM(IF(LEFT($AG114:$DW114,1)="s",1,0))-SUM(IF(RIGHT(LEFT($AG114:$DW114,2))="-",1,0)))</f>
        <v/>
      </c>
      <c r="AF114" s="816" t="str">
        <f t="array" ref="AF114">IF($J114="","",SUM(IF(LEFT($AG114:$DC114,1)="X",1,0)))</f>
        <v/>
      </c>
      <c r="AG114" s="897"/>
      <c r="AH114" s="897"/>
      <c r="AI114" s="897"/>
      <c r="AJ114" s="897"/>
      <c r="AK114" s="897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3"/>
      <c r="BF114" s="893"/>
      <c r="BG114" s="893"/>
      <c r="BH114" s="893"/>
      <c r="BI114" s="897"/>
      <c r="BJ114" s="897"/>
      <c r="BK114" s="897"/>
      <c r="BL114" s="897"/>
      <c r="BM114" s="893"/>
      <c r="BN114" s="893"/>
      <c r="BO114" s="897"/>
      <c r="BP114" s="893"/>
      <c r="BQ114" s="897"/>
      <c r="BR114" s="893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</row>
    <row r="115" spans="4:84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50"/>
        <v/>
      </c>
      <c r="M115" s="816" t="str">
        <f t="shared" si="51"/>
        <v/>
      </c>
      <c r="N115" s="816" t="str">
        <f t="shared" si="55"/>
        <v/>
      </c>
      <c r="R115" s="816" t="str">
        <f t="shared" si="53"/>
        <v/>
      </c>
      <c r="T115" s="829" t="str">
        <f t="shared" si="54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IF($J115="","",IF(SUM(IF(ISNUMBER(VALUE(RIGHT($AG115:$CK115,1))),VALUE(RIGHT($AG115:$CK115,1)),0))=$J115,"T","F"))</f>
        <v/>
      </c>
      <c r="AE115" s="816" t="str">
        <f t="array" ref="AE115">IF($J115="","",SUM(IF(LEFT($AG115:$DW115,1)="s",1,0))-SUM(IF(RIGHT(LEFT($AG115:$DW115,2))="-",1,0)))</f>
        <v/>
      </c>
      <c r="AF115" s="816" t="str">
        <f t="array" ref="AF115">IF($J115="","",SUM(IF(LEFT($AG115:$DC115,1)="X",1,0)))</f>
        <v/>
      </c>
      <c r="AG115" s="897"/>
      <c r="AH115" s="897"/>
      <c r="AI115" s="897"/>
      <c r="AJ115" s="897"/>
      <c r="AK115" s="897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3"/>
      <c r="BF115" s="893"/>
      <c r="BG115" s="893"/>
      <c r="BH115" s="893"/>
      <c r="BI115" s="897"/>
      <c r="BJ115" s="897"/>
      <c r="BK115" s="897"/>
      <c r="BL115" s="897"/>
      <c r="BM115" s="893"/>
      <c r="BN115" s="893"/>
      <c r="BO115" s="897"/>
      <c r="BP115" s="893"/>
      <c r="BQ115" s="897"/>
      <c r="BR115" s="893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</row>
    <row r="116" spans="4:84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50"/>
        <v/>
      </c>
      <c r="M116" s="816" t="str">
        <f t="shared" si="51"/>
        <v/>
      </c>
      <c r="N116" s="816" t="str">
        <f t="shared" si="55"/>
        <v/>
      </c>
      <c r="R116" s="816" t="str">
        <f t="shared" si="53"/>
        <v/>
      </c>
      <c r="T116" s="829" t="str">
        <f t="shared" si="54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IF($J116="","",IF(SUM(IF(ISNUMBER(VALUE(RIGHT($AG116:$CK116,1))),VALUE(RIGHT($AG116:$CK116,1)),0))=$J116,"T","F"))</f>
        <v/>
      </c>
      <c r="AE116" s="816" t="str">
        <f t="array" ref="AE116">IF($J116="","",SUM(IF(LEFT($AG116:$DW116,1)="s",1,0))-SUM(IF(RIGHT(LEFT($AG116:$DW116,2))="-",1,0)))</f>
        <v/>
      </c>
      <c r="AF116" s="816" t="str">
        <f t="array" ref="AF116">IF($J116="","",SUM(IF(LEFT($AG116:$DC116,1)="X",1,0)))</f>
        <v/>
      </c>
      <c r="AG116" s="897"/>
      <c r="AH116" s="897"/>
      <c r="AI116" s="897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3"/>
      <c r="BF116" s="893"/>
      <c r="BG116" s="893"/>
      <c r="BH116" s="893"/>
      <c r="BI116" s="897"/>
      <c r="BJ116" s="897"/>
      <c r="BK116" s="897"/>
      <c r="BL116" s="897"/>
      <c r="BM116" s="893"/>
      <c r="BN116" s="893"/>
      <c r="BO116" s="897"/>
      <c r="BP116" s="893"/>
      <c r="BQ116" s="897"/>
      <c r="BR116" s="893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</row>
    <row r="117" spans="4:84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50"/>
        <v/>
      </c>
      <c r="M117" s="816" t="str">
        <f t="shared" si="51"/>
        <v/>
      </c>
      <c r="N117" s="816" t="str">
        <f t="shared" si="55"/>
        <v/>
      </c>
      <c r="R117" s="816" t="str">
        <f t="shared" si="53"/>
        <v/>
      </c>
      <c r="T117" s="829" t="str">
        <f t="shared" si="54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IF($J117="","",IF(SUM(IF(ISNUMBER(VALUE(RIGHT($AG117:$CK117,1))),VALUE(RIGHT($AG117:$CK117,1)),0))=$J117,"T","F"))</f>
        <v/>
      </c>
      <c r="AE117" s="816" t="str">
        <f t="array" ref="AE117">IF($J117="","",SUM(IF(LEFT($AG117:$DW117,1)="s",1,0))-SUM(IF(RIGHT(LEFT($AG117:$DW117,2))="-",1,0)))</f>
        <v/>
      </c>
      <c r="AF117" s="816" t="str">
        <f t="array" ref="AF117">IF($J117="","",SUM(IF(LEFT($AG117:$DC117,1)="X",1,0)))</f>
        <v/>
      </c>
      <c r="AG117" s="897"/>
      <c r="AH117" s="897"/>
      <c r="AI117" s="897"/>
      <c r="AJ117" s="897"/>
      <c r="AK117" s="897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3"/>
      <c r="BF117" s="893"/>
      <c r="BG117" s="893"/>
      <c r="BH117" s="893"/>
      <c r="BI117" s="897"/>
      <c r="BJ117" s="897"/>
      <c r="BK117" s="897"/>
      <c r="BL117" s="897"/>
      <c r="BM117" s="893"/>
      <c r="BN117" s="893"/>
      <c r="BO117" s="897"/>
      <c r="BP117" s="893"/>
      <c r="BQ117" s="897"/>
      <c r="BR117" s="893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</row>
    <row r="118" spans="4:84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50"/>
        <v/>
      </c>
      <c r="M118" s="816" t="str">
        <f t="shared" si="51"/>
        <v/>
      </c>
      <c r="N118" s="816" t="str">
        <f t="shared" si="55"/>
        <v/>
      </c>
      <c r="R118" s="816" t="str">
        <f t="shared" si="53"/>
        <v/>
      </c>
      <c r="T118" s="829" t="str">
        <f t="shared" si="54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IF($J118="","",IF(SUM(IF(ISNUMBER(VALUE(RIGHT($AG118:$CK118,1))),VALUE(RIGHT($AG118:$CK118,1)),0))=$J118,"T","F"))</f>
        <v/>
      </c>
      <c r="AE118" s="816" t="str">
        <f t="array" ref="AE118">IF($J118="","",SUM(IF(LEFT($AG118:$DW118,1)="s",1,0))-SUM(IF(RIGHT(LEFT($AG118:$DW118,2))="-",1,0)))</f>
        <v/>
      </c>
      <c r="AF118" s="816" t="str">
        <f t="array" ref="AF118">IF($J118="","",SUM(IF(LEFT($AG118:$DC118,1)="X",1,0)))</f>
        <v/>
      </c>
      <c r="AG118" s="897"/>
      <c r="AH118" s="897"/>
      <c r="AI118" s="897"/>
      <c r="AJ118" s="897"/>
      <c r="AK118" s="897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3"/>
      <c r="BF118" s="893"/>
      <c r="BG118" s="893"/>
      <c r="BH118" s="893"/>
      <c r="BI118" s="897"/>
      <c r="BJ118" s="897"/>
      <c r="BK118" s="897"/>
      <c r="BL118" s="897"/>
      <c r="BM118" s="893"/>
      <c r="BN118" s="893"/>
      <c r="BO118" s="897"/>
      <c r="BP118" s="893"/>
      <c r="BQ118" s="897"/>
      <c r="BR118" s="893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</row>
    <row r="119" spans="4:84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50"/>
        <v/>
      </c>
      <c r="M119" s="816" t="str">
        <f t="shared" si="51"/>
        <v/>
      </c>
      <c r="N119" s="816" t="str">
        <f t="shared" si="55"/>
        <v/>
      </c>
      <c r="R119" s="816" t="str">
        <f t="shared" si="53"/>
        <v/>
      </c>
      <c r="T119" s="829" t="str">
        <f t="shared" si="54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IF($J119="","",IF(SUM(IF(ISNUMBER(VALUE(RIGHT($AG119:$CK119,1))),VALUE(RIGHT($AG119:$CK119,1)),0))=$J119,"T","F"))</f>
        <v/>
      </c>
      <c r="AE119" s="816" t="str">
        <f t="array" ref="AE119">IF($J119="","",SUM(IF(LEFT($AG119:$DW119,1)="s",1,0))-SUM(IF(RIGHT(LEFT($AG119:$DW119,2))="-",1,0)))</f>
        <v/>
      </c>
      <c r="AF119" s="816" t="str">
        <f t="array" ref="AF119">IF($J119="","",SUM(IF(LEFT($AG119:$DC119,1)="X",1,0)))</f>
        <v/>
      </c>
      <c r="AG119" s="897"/>
      <c r="AH119" s="897"/>
      <c r="AI119" s="897"/>
      <c r="AJ119" s="897"/>
      <c r="AK119" s="897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3"/>
      <c r="BF119" s="893"/>
      <c r="BG119" s="893"/>
      <c r="BH119" s="893"/>
      <c r="BI119" s="897"/>
      <c r="BJ119" s="897"/>
      <c r="BK119" s="897"/>
      <c r="BL119" s="897"/>
      <c r="BM119" s="893"/>
      <c r="BN119" s="893"/>
      <c r="BO119" s="897"/>
      <c r="BP119" s="893"/>
      <c r="BQ119" s="897"/>
      <c r="BR119" s="893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</row>
    <row r="120" spans="4:84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50"/>
        <v/>
      </c>
      <c r="M120" s="816" t="str">
        <f t="shared" si="51"/>
        <v/>
      </c>
      <c r="N120" s="816" t="str">
        <f t="shared" si="55"/>
        <v/>
      </c>
      <c r="R120" s="816" t="str">
        <f t="shared" si="53"/>
        <v/>
      </c>
      <c r="T120" s="829" t="str">
        <f t="shared" si="54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IF($J120="","",IF(SUM(IF(ISNUMBER(VALUE(RIGHT($AG120:$CK120,1))),VALUE(RIGHT($AG120:$CK120,1)),0))=$J120,"T","F"))</f>
        <v/>
      </c>
      <c r="AE120" s="816" t="str">
        <f t="array" ref="AE120">IF($J120="","",SUM(IF(LEFT($AG120:$DW120,1)="s",1,0))-SUM(IF(RIGHT(LEFT($AG120:$DW120,2))="-",1,0)))</f>
        <v/>
      </c>
      <c r="AF120" s="816" t="str">
        <f t="array" ref="AF120">IF($J120="","",SUM(IF(LEFT($AG120:$DC120,1)="X",1,0)))</f>
        <v/>
      </c>
      <c r="AG120" s="897"/>
      <c r="AH120" s="897"/>
      <c r="AI120" s="897"/>
      <c r="AJ120" s="897"/>
      <c r="AK120" s="897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3"/>
      <c r="BF120" s="893"/>
      <c r="BG120" s="893"/>
      <c r="BH120" s="893"/>
      <c r="BI120" s="897"/>
      <c r="BJ120" s="897"/>
      <c r="BK120" s="897"/>
      <c r="BL120" s="897"/>
      <c r="BM120" s="893"/>
      <c r="BN120" s="893"/>
      <c r="BO120" s="897"/>
      <c r="BP120" s="893"/>
      <c r="BQ120" s="897"/>
      <c r="BR120" s="893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</row>
    <row r="121" spans="4:84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50"/>
        <v/>
      </c>
      <c r="M121" s="816" t="str">
        <f t="shared" si="51"/>
        <v/>
      </c>
      <c r="N121" s="816" t="str">
        <f t="shared" si="55"/>
        <v/>
      </c>
      <c r="R121" s="816" t="str">
        <f t="shared" si="53"/>
        <v/>
      </c>
      <c r="T121" s="829" t="str">
        <f t="shared" si="54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IF($J121="","",IF(SUM(IF(ISNUMBER(VALUE(RIGHT($AG121:$CK121,1))),VALUE(RIGHT($AG121:$CK121,1)),0))=$J121,"T","F"))</f>
        <v/>
      </c>
      <c r="AE121" s="816" t="str">
        <f t="array" ref="AE121">IF($J121="","",SUM(IF(LEFT($AG121:$DW121,1)="s",1,0))-SUM(IF(RIGHT(LEFT($AG121:$DW121,2))="-",1,0)))</f>
        <v/>
      </c>
      <c r="AF121" s="816" t="str">
        <f t="array" ref="AF121">IF($J121="","",SUM(IF(LEFT($AG121:$DC121,1)="X",1,0)))</f>
        <v/>
      </c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3"/>
      <c r="BF121" s="893"/>
      <c r="BG121" s="893"/>
      <c r="BH121" s="893"/>
      <c r="BI121" s="897"/>
      <c r="BJ121" s="897"/>
      <c r="BK121" s="897"/>
      <c r="BL121" s="897"/>
      <c r="BM121" s="893"/>
      <c r="BN121" s="893"/>
      <c r="BO121" s="897"/>
      <c r="BP121" s="893"/>
      <c r="BQ121" s="897"/>
      <c r="BR121" s="893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</row>
    <row r="122" spans="4:84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50"/>
        <v/>
      </c>
      <c r="M122" s="816" t="str">
        <f t="shared" si="51"/>
        <v/>
      </c>
      <c r="N122" s="816" t="str">
        <f t="shared" si="55"/>
        <v/>
      </c>
      <c r="R122" s="816" t="str">
        <f t="shared" si="53"/>
        <v/>
      </c>
      <c r="T122" s="829" t="str">
        <f t="shared" si="54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IF($J122="","",IF(SUM(IF(ISNUMBER(VALUE(RIGHT($AG122:$CK122,1))),VALUE(RIGHT($AG122:$CK122,1)),0))=$J122,"T","F"))</f>
        <v/>
      </c>
      <c r="AE122" s="816" t="str">
        <f t="array" ref="AE122">IF($J122="","",SUM(IF(LEFT($AG122:$DW122,1)="s",1,0))-SUM(IF(RIGHT(LEFT($AG122:$DW122,2))="-",1,0)))</f>
        <v/>
      </c>
      <c r="AF122" s="816" t="str">
        <f t="array" ref="AF122">IF($J122="","",SUM(IF(LEFT($AG122:$DC122,1)="X",1,0)))</f>
        <v/>
      </c>
      <c r="AG122" s="897"/>
      <c r="AH122" s="897"/>
      <c r="AI122" s="897"/>
      <c r="AJ122" s="897"/>
      <c r="AK122" s="897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3"/>
      <c r="BF122" s="893"/>
      <c r="BG122" s="893"/>
      <c r="BH122" s="893"/>
      <c r="BI122" s="897"/>
      <c r="BJ122" s="897"/>
      <c r="BK122" s="897"/>
      <c r="BL122" s="897"/>
      <c r="BM122" s="893"/>
      <c r="BN122" s="893"/>
      <c r="BO122" s="897"/>
      <c r="BP122" s="893"/>
      <c r="BQ122" s="897"/>
      <c r="BR122" s="893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</row>
    <row r="123" spans="4:84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50"/>
        <v/>
      </c>
      <c r="M123" s="816" t="str">
        <f t="shared" si="51"/>
        <v/>
      </c>
      <c r="N123" s="816" t="str">
        <f t="shared" si="55"/>
        <v/>
      </c>
      <c r="R123" s="816" t="str">
        <f t="shared" si="53"/>
        <v/>
      </c>
      <c r="T123" s="829" t="str">
        <f t="shared" si="54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IF($J123="","",IF(SUM(IF(ISNUMBER(VALUE(RIGHT($AG123:$CK123,1))),VALUE(RIGHT($AG123:$CK123,1)),0))=$J123,"T","F"))</f>
        <v/>
      </c>
      <c r="AE123" s="816" t="str">
        <f t="array" ref="AE123">IF($J123="","",SUM(IF(LEFT($AG123:$DW123,1)="s",1,0))-SUM(IF(RIGHT(LEFT($AG123:$DW123,2))="-",1,0)))</f>
        <v/>
      </c>
      <c r="AF123" s="816" t="str">
        <f t="array" ref="AF123">IF($J123="","",SUM(IF(LEFT($AG123:$DC123,1)="X",1,0)))</f>
        <v/>
      </c>
    </row>
    <row r="124" spans="4:84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50"/>
        <v/>
      </c>
      <c r="M124" s="816" t="str">
        <f t="shared" si="51"/>
        <v/>
      </c>
      <c r="N124" s="816" t="str">
        <f t="shared" si="55"/>
        <v/>
      </c>
      <c r="R124" s="816" t="str">
        <f t="shared" si="53"/>
        <v/>
      </c>
      <c r="T124" s="829" t="str">
        <f t="shared" si="54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IF($J124="","",IF(SUM(IF(ISNUMBER(VALUE(RIGHT($AG124:$CK124,1))),VALUE(RIGHT($AG124:$CK124,1)),0))=$J124,"T","F"))</f>
        <v/>
      </c>
      <c r="AE124" s="816" t="str">
        <f t="array" ref="AE124">IF($J124="","",SUM(IF(LEFT($AG124:$DW124,1)="s",1,0))-SUM(IF(RIGHT(LEFT($AG124:$DW124,2))="-",1,0)))</f>
        <v/>
      </c>
      <c r="AF124" s="816" t="str">
        <f t="array" ref="AF124">IF($J124="","",SUM(IF(LEFT($AG124:$DC124,1)="X",1,0)))</f>
        <v/>
      </c>
    </row>
    <row r="125" spans="4:84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50"/>
        <v/>
      </c>
      <c r="M125" s="816" t="str">
        <f t="shared" si="51"/>
        <v/>
      </c>
      <c r="N125" s="816" t="str">
        <f t="shared" si="55"/>
        <v/>
      </c>
      <c r="R125" s="816" t="str">
        <f t="shared" si="53"/>
        <v/>
      </c>
      <c r="T125" s="829" t="str">
        <f t="shared" si="54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IF($J125="","",IF(SUM(IF(ISNUMBER(VALUE(RIGHT($AG125:$CK125,1))),VALUE(RIGHT($AG125:$CK125,1)),0))=$J125,"T","F"))</f>
        <v/>
      </c>
      <c r="AE125" s="816" t="str">
        <f t="array" ref="AE125">IF($J125="","",SUM(IF(LEFT($AG125:$DW125,1)="s",1,0))-SUM(IF(RIGHT(LEFT($AG125:$DW125,2))="-",1,0)))</f>
        <v/>
      </c>
      <c r="AF125" s="816" t="str">
        <f t="array" ref="AF125">IF($J125="","",SUM(IF(LEFT($AG125:$DC125,1)="X",1,0)))</f>
        <v/>
      </c>
    </row>
    <row r="126" spans="4:84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50"/>
        <v/>
      </c>
      <c r="M126" s="816" t="str">
        <f t="shared" si="51"/>
        <v/>
      </c>
      <c r="N126" s="816" t="str">
        <f t="shared" si="55"/>
        <v/>
      </c>
      <c r="R126" s="816" t="str">
        <f t="shared" si="53"/>
        <v/>
      </c>
      <c r="T126" s="829" t="str">
        <f t="shared" si="54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IF($J126="","",IF(SUM(IF(ISNUMBER(VALUE(RIGHT($AG126:$CK126,1))),VALUE(RIGHT($AG126:$CK126,1)),0))=$J126,"T","F"))</f>
        <v/>
      </c>
      <c r="AE126" s="816" t="str">
        <f t="array" ref="AE126">IF($J126="","",SUM(IF(LEFT($AG126:$DW126,1)="s",1,0))-SUM(IF(RIGHT(LEFT($AG126:$DW126,2))="-",1,0)))</f>
        <v/>
      </c>
      <c r="AF126" s="816" t="str">
        <f t="array" ref="AF126">IF($J126="","",SUM(IF(LEFT($AG126:$DC126,1)="X",1,0)))</f>
        <v/>
      </c>
    </row>
    <row r="127" spans="4:84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50"/>
        <v/>
      </c>
      <c r="M127" s="816" t="str">
        <f t="shared" si="51"/>
        <v/>
      </c>
      <c r="N127" s="816" t="str">
        <f t="shared" si="55"/>
        <v/>
      </c>
      <c r="R127" s="816" t="str">
        <f t="shared" si="53"/>
        <v/>
      </c>
      <c r="T127" s="829" t="str">
        <f t="shared" si="54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IF($J127="","",IF(SUM(IF(ISNUMBER(VALUE(RIGHT($AG127:$CK127,1))),VALUE(RIGHT($AG127:$CK127,1)),0))=$J127,"T","F"))</f>
        <v/>
      </c>
      <c r="AE127" s="816" t="str">
        <f t="array" ref="AE127">IF($J127="","",SUM(IF(LEFT($AG127:$DW127,1)="s",1,0))-SUM(IF(RIGHT(LEFT($AG127:$DW127,2))="-",1,0)))</f>
        <v/>
      </c>
      <c r="AF127" s="816" t="str">
        <f t="array" ref="AF127">IF($J127="","",SUM(IF(LEFT($AG127:$DC127,1)="X",1,0)))</f>
        <v/>
      </c>
    </row>
    <row r="128" spans="4:84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50"/>
        <v/>
      </c>
      <c r="M128" s="816" t="str">
        <f t="shared" si="51"/>
        <v/>
      </c>
      <c r="N128" s="816" t="str">
        <f t="shared" si="55"/>
        <v/>
      </c>
      <c r="R128" s="816" t="str">
        <f t="shared" si="53"/>
        <v/>
      </c>
      <c r="T128" s="829" t="str">
        <f t="shared" si="54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IF($J128="","",IF(SUM(IF(ISNUMBER(VALUE(RIGHT($AG128:$CK128,1))),VALUE(RIGHT($AG128:$CK128,1)),0))=$J128,"T","F"))</f>
        <v/>
      </c>
      <c r="AE128" s="816" t="str">
        <f t="array" ref="AE128">IF($J128="","",SUM(IF(LEFT($AG128:$DW128,1)="s",1,0))-SUM(IF(RIGHT(LEFT($AG128:$DW128,2))="-",1,0)))</f>
        <v/>
      </c>
      <c r="AF128" s="816" t="str">
        <f t="array" ref="AF128">IF($J128="","",SUM(IF(LEFT($AG128:$DC128,1)="X",1,0)))</f>
        <v/>
      </c>
    </row>
    <row r="129" spans="7:29">
      <c r="G129" s="833"/>
      <c r="H129" s="833"/>
      <c r="I129" s="833"/>
      <c r="J129" s="833"/>
      <c r="K129" s="833"/>
      <c r="T129" s="829"/>
      <c r="U129" s="829"/>
      <c r="V129" s="829"/>
      <c r="W129" s="829"/>
      <c r="X129" s="829"/>
      <c r="Y129" s="829"/>
      <c r="Z129" s="829"/>
      <c r="AA129" s="829"/>
      <c r="AB129" s="829"/>
      <c r="AC129" s="829"/>
    </row>
    <row r="130" spans="7:29">
      <c r="G130" s="833"/>
      <c r="H130" s="833"/>
      <c r="I130" s="833"/>
      <c r="J130" s="833"/>
      <c r="K130" s="833"/>
      <c r="T130" s="829"/>
      <c r="U130" s="829"/>
      <c r="V130" s="829"/>
      <c r="W130" s="829"/>
      <c r="X130" s="829"/>
      <c r="Y130" s="829"/>
      <c r="Z130" s="829"/>
      <c r="AA130" s="829"/>
      <c r="AB130" s="829"/>
      <c r="AC130" s="829"/>
    </row>
    <row r="131" spans="7:29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7:29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7:29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7:29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7:29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7:29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7:29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7:29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7:29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7:29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7:29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7:29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7:29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7:29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</sheetData>
  <autoFilter ref="A22:DI75"/>
  <mergeCells count="3">
    <mergeCell ref="W19:X19"/>
    <mergeCell ref="Y19:Z19"/>
    <mergeCell ref="AA19:AB19"/>
  </mergeCells>
  <phoneticPr fontId="21" type="noConversion"/>
  <conditionalFormatting sqref="AD23:AD305">
    <cfRule type="cellIs" dxfId="503" priority="68" operator="equal">
      <formula>"T"</formula>
    </cfRule>
  </conditionalFormatting>
  <conditionalFormatting sqref="N23:N305">
    <cfRule type="cellIs" dxfId="502" priority="75" stopIfTrue="1" operator="equal">
      <formula>"U"</formula>
    </cfRule>
    <cfRule type="cellIs" dxfId="501" priority="76" stopIfTrue="1" operator="equal">
      <formula>"O"</formula>
    </cfRule>
  </conditionalFormatting>
  <conditionalFormatting sqref="L23:L305">
    <cfRule type="cellIs" dxfId="500" priority="73" stopIfTrue="1" operator="equal">
      <formula>"W"</formula>
    </cfRule>
    <cfRule type="cellIs" dxfId="499" priority="74" stopIfTrue="1" operator="equal">
      <formula>"D"</formula>
    </cfRule>
  </conditionalFormatting>
  <conditionalFormatting sqref="AF23:AF305">
    <cfRule type="cellIs" dxfId="498" priority="71" stopIfTrue="1" operator="notEqual">
      <formula>11</formula>
    </cfRule>
    <cfRule type="cellIs" dxfId="497" priority="72" stopIfTrue="1" operator="between">
      <formula>0</formula>
      <formula>20</formula>
    </cfRule>
  </conditionalFormatting>
  <conditionalFormatting sqref="AE23:AE305">
    <cfRule type="cellIs" dxfId="496" priority="69" stopIfTrue="1" operator="notEqual">
      <formula>0</formula>
    </cfRule>
    <cfRule type="cellIs" dxfId="495" priority="70" stopIfTrue="1" operator="between">
      <formula>0</formula>
      <formula>20</formula>
    </cfRule>
  </conditionalFormatting>
  <conditionalFormatting sqref="CH19:CY19">
    <cfRule type="expression" dxfId="494" priority="64">
      <formula>CH19="G"</formula>
    </cfRule>
    <cfRule type="expression" dxfId="493" priority="65">
      <formula>CH19="M"</formula>
    </cfRule>
    <cfRule type="expression" dxfId="492" priority="66">
      <formula>CH19="D"</formula>
    </cfRule>
    <cfRule type="expression" dxfId="491" priority="67">
      <formula>CH19="A"</formula>
    </cfRule>
  </conditionalFormatting>
  <conditionalFormatting sqref="BS19:CG19 AG19:BM19">
    <cfRule type="expression" dxfId="490" priority="60">
      <formula>AG19="G"</formula>
    </cfRule>
    <cfRule type="expression" dxfId="489" priority="61">
      <formula>OR(AG19="M",AG19="CM",AG19="LM",AG19="RM",AG19="DM",AG19="AM")</formula>
    </cfRule>
    <cfRule type="expression" dxfId="488" priority="62">
      <formula>OR(AG19="D",AG19="CB",AG19="LB",AG19="RB")</formula>
    </cfRule>
    <cfRule type="expression" dxfId="487" priority="63">
      <formula>OR(AG19="A",AG19="CF",AG19="SS",AG19="ST",AG19="RW",AG19="LW")</formula>
    </cfRule>
  </conditionalFormatting>
  <conditionalFormatting sqref="BR24:BX41 BS23:BX23 AU23:BF26 AG23:AT30 BO24:BR30 AU27:BM30 AG31:BR41 BR43:BX65 BI23:BM26 AG43:BR68">
    <cfRule type="expression" dxfId="486" priority="58">
      <formula>IF(ISNUMBER(VALUE(RIGHT(AG23,1))),1,0)</formula>
    </cfRule>
  </conditionalFormatting>
  <conditionalFormatting sqref="BZ16:CF16 BS16:BU16 AG16:BM16">
    <cfRule type="top10" dxfId="485" priority="498" stopIfTrue="1" rank="5"/>
  </conditionalFormatting>
  <conditionalFormatting sqref="BZ15:CF15 BS15:BU15 AG15:BM15">
    <cfRule type="top10" dxfId="484" priority="503" rank="11"/>
  </conditionalFormatting>
  <conditionalFormatting sqref="BZ17:CF17 BS17:BU17 AG17:BM17">
    <cfRule type="top10" dxfId="483" priority="508" stopIfTrue="1" rank="5"/>
  </conditionalFormatting>
  <conditionalFormatting sqref="BZ14:CF14 BS14:BU14 AG14:BM14">
    <cfRule type="top10" dxfId="482" priority="513" rank="11"/>
  </conditionalFormatting>
  <conditionalFormatting sqref="BL68:BL74">
    <cfRule type="expression" dxfId="481" priority="43">
      <formula>IF(ISNUMBER(VALUE(RIGHT(BL68,1))),1,0)</formula>
    </cfRule>
  </conditionalFormatting>
  <conditionalFormatting sqref="AG67:BL67">
    <cfRule type="expression" dxfId="480" priority="42">
      <formula>IF(ISNUMBER(VALUE(RIGHT(AG67,1))),1,0)</formula>
    </cfRule>
  </conditionalFormatting>
  <conditionalFormatting sqref="AG19:BM19">
    <cfRule type="cellIs" dxfId="479" priority="30" operator="equal">
      <formula>"M"</formula>
    </cfRule>
  </conditionalFormatting>
  <conditionalFormatting sqref="AG19:BM19">
    <cfRule type="cellIs" dxfId="478" priority="29" operator="equal">
      <formula>"D"</formula>
    </cfRule>
  </conditionalFormatting>
  <conditionalFormatting sqref="AG19:BM19">
    <cfRule type="cellIs" dxfId="477" priority="27" operator="equal">
      <formula>"G"</formula>
    </cfRule>
    <cfRule type="cellIs" dxfId="476" priority="28" operator="equal">
      <formula>"A"</formula>
    </cfRule>
  </conditionalFormatting>
  <conditionalFormatting sqref="AG19:BM19">
    <cfRule type="containsText" dxfId="475" priority="24" operator="containsText" text="FW">
      <formula>NOT(ISERROR(SEARCH("FW",AG19)))</formula>
    </cfRule>
    <cfRule type="containsText" dxfId="474" priority="25" operator="containsText" text="MF">
      <formula>NOT(ISERROR(SEARCH("MF",AG19)))</formula>
    </cfRule>
    <cfRule type="containsText" dxfId="473" priority="26" operator="containsText" text="DF">
      <formula>NOT(ISERROR(SEARCH("DF",AG19)))</formula>
    </cfRule>
  </conditionalFormatting>
  <conditionalFormatting sqref="BN16:BR16">
    <cfRule type="top10" dxfId="472" priority="31" stopIfTrue="1" rank="5"/>
  </conditionalFormatting>
  <conditionalFormatting sqref="BN15:BR15">
    <cfRule type="top10" dxfId="471" priority="32" rank="11"/>
  </conditionalFormatting>
  <conditionalFormatting sqref="BN17:BR17">
    <cfRule type="top10" dxfId="470" priority="33" stopIfTrue="1" rank="5"/>
  </conditionalFormatting>
  <conditionalFormatting sqref="BN14:BR14">
    <cfRule type="top10" dxfId="469" priority="34" rank="11"/>
  </conditionalFormatting>
  <conditionalFormatting sqref="BG23:BH26">
    <cfRule type="expression" dxfId="468" priority="23">
      <formula>IF(ISNUMBER(VALUE(RIGHT(BG23,1))),1,0)</formula>
    </cfRule>
  </conditionalFormatting>
  <conditionalFormatting sqref="AG42:BW42">
    <cfRule type="expression" dxfId="467" priority="1">
      <formula>IF(ISNUMBER(VALUE(RIGHT(AG42,1))),1,0)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DP237"/>
  <sheetViews>
    <sheetView zoomScale="90" zoomScaleNormal="90" workbookViewId="0">
      <pane xSplit="32" ySplit="22" topLeftCell="AG63" activePane="bottomRight" state="frozen"/>
      <selection activeCell="AB20" sqref="AB20"/>
      <selection pane="topRight" activeCell="AB20" sqref="AB20"/>
      <selection pane="bottomLeft" activeCell="AB20" sqref="AB20"/>
      <selection pane="bottomRight" activeCell="AA65" sqref="AA65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49" width="3.75" style="230" customWidth="1"/>
    <col min="50" max="50" width="3.75" bestFit="1" customWidth="1"/>
    <col min="51" max="52" width="3.75" style="230" customWidth="1"/>
    <col min="53" max="53" width="3.75" bestFit="1" customWidth="1"/>
    <col min="54" max="56" width="3.75" style="230" customWidth="1"/>
    <col min="57" max="57" width="3.75" bestFit="1" customWidth="1"/>
    <col min="58" max="60" width="3.75" style="230" customWidth="1"/>
    <col min="61" max="61" width="3.75" bestFit="1" customWidth="1"/>
    <col min="62" max="64" width="3.75" style="230" customWidth="1"/>
    <col min="65" max="65" width="3.75" bestFit="1" customWidth="1"/>
    <col min="66" max="66" width="3.75" customWidth="1"/>
    <col min="67" max="67" width="3.75" style="230" customWidth="1"/>
    <col min="68" max="68" width="3.75" bestFit="1" customWidth="1"/>
    <col min="69" max="101" width="3.75" style="230" customWidth="1"/>
    <col min="102" max="16384" width="5.75" style="230"/>
  </cols>
  <sheetData>
    <row r="1" spans="1:89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K1" si="0">AG20</f>
        <v>Yohei Takaoka</v>
      </c>
      <c r="AH1" s="814" t="str">
        <f t="shared" si="0"/>
        <v>Yuta Minami</v>
      </c>
      <c r="AI1" s="814" t="str">
        <f t="shared" si="0"/>
        <v>Akinori ICHIKAWA</v>
      </c>
      <c r="AJ1" s="814"/>
      <c r="AK1" s="814"/>
      <c r="AL1" s="814" t="str">
        <f t="shared" si="0"/>
        <v>Yuta Fujii</v>
      </c>
      <c r="AM1" s="814" t="str">
        <f t="shared" si="0"/>
        <v>Ryo Tadokoro</v>
      </c>
      <c r="AN1" s="814"/>
      <c r="AO1" s="814" t="str">
        <f>AO20</f>
        <v>Shogo Nishikawa</v>
      </c>
      <c r="AP1" s="814" t="str">
        <f t="shared" si="0"/>
        <v>Jumpei Arai</v>
      </c>
      <c r="AQ1" s="814"/>
      <c r="AR1" s="814" t="str">
        <f>AR20</f>
        <v>Calvin Jong-A-Pin</v>
      </c>
      <c r="AS1" s="814" t="str">
        <f>AS20</f>
        <v>Takuya Nagata</v>
      </c>
      <c r="AT1" s="814" t="str">
        <f>AU20</f>
        <v>Takahiro Nakazato</v>
      </c>
      <c r="AU1" s="814" t="e">
        <f>#REF!</f>
        <v>#REF!</v>
      </c>
      <c r="AV1" s="814" t="str">
        <f>AV20</f>
        <v>Naoki Nomura</v>
      </c>
      <c r="AW1" s="814" t="str">
        <f>AW20</f>
        <v>Kensuke Sato</v>
      </c>
      <c r="AY1" s="814" t="str">
        <f>AY20</f>
        <v>Yosuke Nozaki</v>
      </c>
      <c r="AZ1" s="814" t="str">
        <f>AZ20</f>
        <v>JEONG Chung Geun</v>
      </c>
      <c r="BB1" s="814"/>
      <c r="BC1" s="814">
        <f>BS20</f>
        <v>0</v>
      </c>
      <c r="BD1" s="814"/>
      <c r="BF1" s="814"/>
      <c r="BG1" s="814" t="str">
        <f t="shared" ref="BG1" si="1">BG20</f>
        <v>Ibba Laajab</v>
      </c>
      <c r="BH1" s="814"/>
      <c r="BJ1" s="814" t="str">
        <f>BJ20</f>
        <v>Tetsuya Okubo</v>
      </c>
      <c r="BK1" s="814"/>
      <c r="BL1" s="814"/>
      <c r="BO1" s="814">
        <f>BO20</f>
        <v>0</v>
      </c>
      <c r="BQ1" s="814">
        <f>BQ20</f>
        <v>0</v>
      </c>
      <c r="BR1" s="814">
        <f>BR20</f>
        <v>0</v>
      </c>
      <c r="BS1" s="814" t="e">
        <f>#REF!</f>
        <v>#REF!</v>
      </c>
      <c r="BT1" s="814"/>
      <c r="BU1" s="814"/>
      <c r="BV1" s="814"/>
      <c r="BW1" s="814"/>
      <c r="BX1" s="814">
        <f t="shared" ref="BX1:CD1" si="2">BX20</f>
        <v>0</v>
      </c>
      <c r="BY1" s="814">
        <f t="shared" si="2"/>
        <v>0</v>
      </c>
      <c r="BZ1" s="814">
        <f t="shared" si="2"/>
        <v>0</v>
      </c>
      <c r="CA1" s="814">
        <f t="shared" si="2"/>
        <v>0</v>
      </c>
      <c r="CB1" s="814">
        <f t="shared" si="2"/>
        <v>0</v>
      </c>
      <c r="CC1" s="814">
        <f t="shared" si="2"/>
        <v>0</v>
      </c>
      <c r="CD1" s="814">
        <f t="shared" si="2"/>
        <v>0</v>
      </c>
      <c r="CE1" s="814">
        <f t="shared" si="0"/>
        <v>0</v>
      </c>
      <c r="CF1" s="814">
        <f t="shared" si="0"/>
        <v>0</v>
      </c>
      <c r="CG1" s="814">
        <f t="shared" si="0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</row>
    <row r="2" spans="1:89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SUM(IF(L$23:L$239="",0,1)*IF(ISBLANK($T$1),1,IF($I$23:$I$239=$T$1,1,0)))</f>
        <v>43</v>
      </c>
      <c r="AG2" s="874">
        <f t="array" ref="AG2">SUM(IF(ISBLANK(AG$23:AG$239),0,IF(AG$23:AG$239="susp",0,1))*IF(ISBLANK($T$1),1,IF($I$23:$I$239=$T$1,1,0)))</f>
        <v>43</v>
      </c>
      <c r="AH2" s="874">
        <f t="array" ref="AH2">SUM(IF(ISBLANK(AH$23:AH$239),0,IF(AH$23:AH$239="susp",0,1))*IF(ISBLANK($T$1),1,IF($I$23:$I$239=$T$1,1,0)))</f>
        <v>42</v>
      </c>
      <c r="AI2" s="874">
        <f t="array" ref="AI2">SUM(IF(ISBLANK(AI$23:AI$239),0,IF(AI$23:AI$239="susp",0,1))*IF(ISBLANK($T$1),1,IF($I$23:$I$239=$T$1,1,0)))</f>
        <v>41</v>
      </c>
      <c r="AL2" s="874">
        <f t="array" ref="AL2">SUM(IF(ISBLANK(AL$23:AL$239),0,IF(AL$23:AL$239="susp",0,1))*IF(ISBLANK($T$1),1,IF($I$23:$I$239=$T$1,1,0)))</f>
        <v>42</v>
      </c>
      <c r="AM2" s="874">
        <f t="array" ref="AM2">SUM(IF(ISBLANK(AM$23:AM$239),0,IF(AM$23:AM$239="susp",0,1))*IF(ISBLANK($T$1),1,IF($I$23:$I$239=$T$1,1,0)))</f>
        <v>43</v>
      </c>
      <c r="AO2" s="874">
        <f t="array" ref="AO2">SUM(IF(ISBLANK(AO$23:AO$239),0,IF(AO$23:AO$239="susp",0,1))*IF(ISBLANK($T$1),1,IF($I$23:$I$239=$T$1,1,0)))</f>
        <v>43</v>
      </c>
      <c r="AP2" s="874">
        <f t="array" ref="AP2">SUM(IF(ISBLANK(AP$23:AP$239),0,IF(AP$23:AP$239="susp",0,1))*IF(ISBLANK($T$1),1,IF($I$23:$I$239=$T$1,1,0)))</f>
        <v>42</v>
      </c>
      <c r="AR2" s="874">
        <f t="array" ref="AR2">SUM(IF(ISBLANK(AR$23:AR$239),0,IF(AR$23:AR$239="susp",0,1))*IF(ISBLANK($T$1),1,IF($I$23:$I$239=$T$1,1,0)))</f>
        <v>43</v>
      </c>
      <c r="AS2" s="874">
        <f t="array" ref="AS2">SUM(IF(ISBLANK(AS$23:AS$239),0,IF(AS$23:AS$239="susp",0,1))*IF(ISBLANK($T$1),1,IF($I$23:$I$239=$T$1,1,0)))</f>
        <v>43</v>
      </c>
      <c r="AT2" s="874">
        <f t="array" ref="AT2">SUM(IF(ISBLANK(AT$23:AT$239),0,IF(AT$23:AT$239="susp",0,1))*IF(ISBLANK($T$1),1,IF($I$23:$I$239=$T$1,1,0)))</f>
        <v>43</v>
      </c>
      <c r="AU2" s="874">
        <f t="array" ref="AU2">SUM(IF(ISBLANK(AU$23:AU$239),0,IF(AU$23:AU$239="susp",0,1))*IF(ISBLANK($T$1),1,IF($I$23:$I$239=$T$1,1,0)))</f>
        <v>43</v>
      </c>
      <c r="AV2" s="874">
        <f t="array" ref="AV2">SUM(IF(ISBLANK(AV$23:AV$239),0,IF(AV$23:AV$239="susp",0,1))*IF(ISBLANK($T$1),1,IF($I$23:$I$239=$T$1,1,0)))</f>
        <v>43</v>
      </c>
      <c r="AW2" s="874">
        <f t="array" ref="AW2">SUM(IF(ISBLANK(AW$23:AW$239),0,IF(AW$23:AW$239="susp",0,1))*IF(ISBLANK($T$1),1,IF($I$23:$I$239=$T$1,1,0)))</f>
        <v>43</v>
      </c>
      <c r="AY2" s="874">
        <f t="array" ref="AY2">SUM(IF(ISBLANK(AY$23:AY$239),0,IF(AY$23:AY$239="susp",0,1))*IF(ISBLANK($T$1),1,IF($I$23:$I$239=$T$1,1,0)))</f>
        <v>42</v>
      </c>
      <c r="AZ2" s="874">
        <f t="array" ref="AZ2">SUM(IF(ISBLANK(AZ$23:AZ$239),0,IF(AZ$23:AZ$239="susp",0,1))*IF(ISBLANK($T$1),1,IF($I$23:$I$239=$T$1,1,0)))</f>
        <v>43</v>
      </c>
      <c r="BC2" s="874">
        <f t="array" ref="BC2">SUM(IF(ISBLANK(BC$23:BC$239),0,IF(BC$23:BC$239="susp",0,1))*IF(ISBLANK($T$1),1,IF($I$23:$I$239=$T$1,1,0)))</f>
        <v>42</v>
      </c>
      <c r="BG2" s="874">
        <f t="array" ref="BG2">SUM(IF(ISBLANK(BG$23:BG$239),0,IF(BG$23:BG$239="susp",0,1))*IF(ISBLANK($T$1),1,IF($I$23:$I$239=$T$1,1,0)))</f>
        <v>43</v>
      </c>
      <c r="BJ2" s="874">
        <f t="array" ref="BJ2">SUM(IF(ISBLANK(BJ$23:BJ$239),0,IF(BJ$23:BJ$239="susp",0,1))*IF(ISBLANK($T$1),1,IF($I$23:$I$239=$T$1,1,0)))</f>
        <v>41</v>
      </c>
      <c r="BO2" s="874">
        <f t="array" ref="BO2">SUM(IF(ISBLANK(BO$23:BO$239),0,IF(BO$23:BO$239="susp",0,1))*IF(ISBLANK($T$1),1,IF($I$23:$I$239=$T$1,1,0)))</f>
        <v>0</v>
      </c>
      <c r="BQ2" s="874">
        <f t="array" ref="BQ2">SUM(IF(ISBLANK(BQ$23:BQ$239),0,IF(BQ$23:BQ$239="susp",0,1))*IF(ISBLANK($T$1),1,IF($I$23:$I$239=$T$1,1,0)))</f>
        <v>0</v>
      </c>
      <c r="BR2" s="874">
        <f t="array" ref="BR2">SUM(IF(ISBLANK(BR$23:BR$239),0,IF(BR$23:BR$239="susp",0,1))*IF(ISBLANK($T$1),1,IF($I$23:$I$239=$T$1,1,0)))</f>
        <v>0</v>
      </c>
      <c r="BS2" s="874">
        <f t="array" ref="BS2">SUM(IF(ISBLANK(BS$40:BS$239),0,IF(BS$40:BS$239="susp",0,1))*IF(ISBLANK($T$1),1,IF($I$23:$I$239=$T$1,1,0)))</f>
        <v>1</v>
      </c>
      <c r="BX2" s="874">
        <f t="array" ref="BX2">SUM(IF(ISBLANK(BX$23:BX$239),0,IF(BX$23:BX$239="susp",0,1))*IF(ISBLANK($T$1),1,IF($I$23:$I$239=$T$1,1,0)))</f>
        <v>1</v>
      </c>
      <c r="BY2" s="874">
        <f t="array" ref="BY2">SUM(IF(ISBLANK(BY$23:BY$239),0,IF(BY$23:BY$239="susp",0,1))*IF(ISBLANK($T$1),1,IF($I$23:$I$239=$T$1,1,0)))</f>
        <v>1</v>
      </c>
      <c r="BZ2" s="874">
        <f t="array" ref="BZ2">SUM(IF(ISBLANK(BZ$23:BZ$239),0,IF(BZ$23:BZ$239="susp",0,1))*IF(ISBLANK($T$1),1,IF($I$23:$I$239=$T$1,1,0)))</f>
        <v>0</v>
      </c>
      <c r="CA2" s="874">
        <f t="array" ref="CA2">SUM(IF(ISBLANK(CA$23:CA$239),0,IF(CA$23:CA$239="susp",0,1))*IF(ISBLANK($T$1),1,IF($I$23:$I$239=$T$1,1,0)))</f>
        <v>0</v>
      </c>
      <c r="CB2" s="874">
        <f t="array" ref="CB2">SUM(IF(ISBLANK(CB$23:CB$239),0,IF(CB$23:CB$239="susp",0,1))*IF(ISBLANK($T$1),1,IF($I$23:$I$239=$T$1,1,0)))</f>
        <v>0</v>
      </c>
      <c r="CC2" s="874">
        <f t="array" ref="CC2">SUM(IF(ISBLANK(CC$23:CC$239),0,IF(CC$23:CC$239="susp",0,1))*IF(ISBLANK($T$1),1,IF($I$23:$I$239=$T$1,1,0)))</f>
        <v>0</v>
      </c>
      <c r="CD2" s="874">
        <f t="array" ref="CD2">SUM(IF(ISBLANK(CD$23:CD$239),0,IF(CD$23:CD$239="susp",0,1))*IF(ISBLANK($T$1),1,IF($I$23:$I$239=$T$1,1,0)))</f>
        <v>0</v>
      </c>
      <c r="CE2" s="874">
        <f t="array" ref="CE2">SUM(IF(ISBLANK(CE$23:CE$239),0,IF(CE$23:CE$239="susp",0,1))*IF(ISBLANK($T$1),1,IF($I$23:$I$239=$T$1,1,0)))</f>
        <v>0</v>
      </c>
      <c r="CF2" s="874">
        <f t="array" ref="CF2">SUM(IF(ISBLANK(CF$23:CF$239),0,IF(CF$23:CF$239="susp",0,1))*IF(ISBLANK($T$1),1,IF($I$23:$I$239=$T$1,1,0)))</f>
        <v>0</v>
      </c>
      <c r="CG2" s="874">
        <f t="array" ref="CG2">SUM(IF(ISBLANK(CG$23:CG$239),0,IF(CG$23:CG$239="susp",0,1))*IF(ISBLANK($T$1),1,IF($I$23:$I$239=$T$1,1,0)))</f>
        <v>0</v>
      </c>
      <c r="CH2" s="874">
        <f t="array" ref="CH2">SUM(IF(ISBLANK(CH$23:CH$239),0,IF(CH$23:CH$239="susp",0,1))*IF(ISBLANK($T$1),1,IF($I$23:$I$239=$T$1,1,0)))</f>
        <v>0</v>
      </c>
      <c r="CI2" s="874">
        <f t="array" ref="CI2">SUM(IF(ISBLANK(CI$23:CI$239),0,IF(CI$23:CI$239="susp",0,1))*IF(ISBLANK($T$1),1,IF($I$23:$I$239=$T$1,1,0)))</f>
        <v>16</v>
      </c>
      <c r="CJ2" s="874">
        <f t="array" ref="CJ2">SUM(IF(ISBLANK(CJ$23:CJ$239),0,IF(CJ$23:CJ$239="susp",0,1))*IF(ISBLANK($T$1),1,IF($I$23:$I$239=$T$1,1,0)))</f>
        <v>16</v>
      </c>
      <c r="CK2" s="874">
        <f t="array" ref="CK2">SUM(IF(ISBLANK(CK$23:CK$239),0,IF(CK$23:CK$239="susp",0,1))*IF(ISBLANK($T$1),1,IF($I$23:$I$239=$T$1,1,0)))</f>
        <v>15</v>
      </c>
    </row>
    <row r="3" spans="1:89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SUM(IF(L$23:L$239="W",1,0)*IF(ISBLANK($T$1),1,IF($I$23:$I$239=$T$1,1,0)))</f>
        <v>17</v>
      </c>
      <c r="AG3" s="874">
        <f t="array" ref="AG3">SUM(IF(ISTEXT(AG$23:AG$239),1,0)*IF(($L$23:$L$239)="W",1,0)*IF(ISBLANK($T$1),1,IF($I$23:$I$239=$T$1,1,0)))</f>
        <v>17</v>
      </c>
      <c r="AH3" s="874">
        <f t="array" ref="AH3">SUM(IF(ISTEXT(AH$23:AH$239),1,0)*IF(($L$23:$L$239)="W",1,0)*IF(ISBLANK($T$1),1,IF($I$23:$I$239=$T$1,1,0)))</f>
        <v>17</v>
      </c>
      <c r="AI3" s="874">
        <f t="array" ref="AI3">SUM(IF(ISTEXT(AI$23:AI$239),1,0)*IF(($L$23:$L$239)="W",1,0)*IF(ISBLANK($T$1),1,IF($I$23:$I$239=$T$1,1,0)))</f>
        <v>16</v>
      </c>
      <c r="AL3" s="874">
        <f t="array" ref="AL3">SUM(IF(ISTEXT(AL$23:AL$239),1,0)*IF(($L$23:$L$239)="W",1,0)*IF(ISBLANK($T$1),1,IF($I$23:$I$239=$T$1,1,0)))</f>
        <v>17</v>
      </c>
      <c r="AM3" s="874">
        <f t="array" ref="AM3">SUM(IF(ISTEXT(AM$23:AM$239),1,0)*IF(($L$23:$L$239)="W",1,0)*IF(ISBLANK($T$1),1,IF($I$23:$I$239=$T$1,1,0)))</f>
        <v>17</v>
      </c>
      <c r="AO3" s="874">
        <f t="array" ref="AO3">SUM(IF(ISTEXT(AO$23:AO$239),1,0)*IF(($L$23:$L$239)="W",1,0)*IF(ISBLANK($T$1),1,IF($I$23:$I$239=$T$1,1,0)))</f>
        <v>17</v>
      </c>
      <c r="AP3" s="874">
        <f t="array" ref="AP3">SUM(IF(ISTEXT(AP$23:AP$239),1,0)*IF(($L$23:$L$239)="W",1,0)*IF(ISBLANK($T$1),1,IF($I$23:$I$239=$T$1,1,0)))</f>
        <v>16</v>
      </c>
      <c r="AR3" s="874">
        <f t="array" ref="AR3">SUM(IF(ISTEXT(AR$23:AR$239),1,0)*IF(($L$23:$L$239)="W",1,0)*IF(ISBLANK($T$1),1,IF($I$23:$I$239=$T$1,1,0)))</f>
        <v>17</v>
      </c>
      <c r="AS3" s="874">
        <f t="array" ref="AS3">SUM(IF(ISTEXT(AS$23:AS$239),1,0)*IF(($L$23:$L$239)="W",1,0)*IF(ISBLANK($T$1),1,IF($I$23:$I$239=$T$1,1,0)))</f>
        <v>17</v>
      </c>
      <c r="AT3" s="874">
        <f t="array" ref="AT3">SUM(IF(ISTEXT(AT$23:AT$239),1,0)*IF(($L$23:$L$239)="W",1,0)*IF(ISBLANK($T$1),1,IF($I$23:$I$239=$T$1,1,0)))</f>
        <v>17</v>
      </c>
      <c r="AU3" s="874">
        <f t="array" ref="AU3">SUM(IF(ISTEXT(AU$23:AU$239),1,0)*IF(($L$23:$L$239)="W",1,0)*IF(ISBLANK($T$1),1,IF($I$23:$I$239=$T$1,1,0)))</f>
        <v>17</v>
      </c>
      <c r="AV3" s="874">
        <f t="array" ref="AV3">SUM(IF(ISTEXT(AV$23:AV$239),1,0)*IF(($L$23:$L$239)="W",1,0)*IF(ISBLANK($T$1),1,IF($I$23:$I$239=$T$1,1,0)))</f>
        <v>17</v>
      </c>
      <c r="AW3" s="874">
        <f t="array" ref="AW3">SUM(IF(ISTEXT(AW$23:AW$239),1,0)*IF(($L$23:$L$239)="W",1,0)*IF(ISBLANK($T$1),1,IF($I$23:$I$239=$T$1,1,0)))</f>
        <v>17</v>
      </c>
      <c r="AY3" s="874">
        <f t="array" ref="AY3">SUM(IF(ISTEXT(AY$23:AY$239),1,0)*IF(($L$23:$L$239)="W",1,0)*IF(ISBLANK($T$1),1,IF($I$23:$I$239=$T$1,1,0)))</f>
        <v>16</v>
      </c>
      <c r="AZ3" s="874">
        <f t="array" ref="AZ3">SUM(IF(ISTEXT(AZ$23:AZ$239),1,0)*IF(($L$23:$L$239)="W",1,0)*IF(ISBLANK($T$1),1,IF($I$23:$I$239=$T$1,1,0)))</f>
        <v>17</v>
      </c>
      <c r="BC3" s="874">
        <f t="array" ref="BC3">SUM(IF(ISTEXT(BC$23:BC$239),1,0)*IF(($L$23:$L$239)="W",1,0)*IF(ISBLANK($T$1),1,IF($I$23:$I$239=$T$1,1,0)))</f>
        <v>17</v>
      </c>
      <c r="BG3" s="874">
        <f t="array" ref="BG3">SUM(IF(ISTEXT(BG$23:BG$239),1,0)*IF(($L$23:$L$239)="W",1,0)*IF(ISBLANK($T$1),1,IF($I$23:$I$239=$T$1,1,0)))</f>
        <v>17</v>
      </c>
      <c r="BJ3" s="874">
        <f t="array" ref="BJ3">SUM(IF(ISTEXT(BJ$23:BJ$239),1,0)*IF(($L$23:$L$239)="W",1,0)*IF(ISBLANK($T$1),1,IF($I$23:$I$239=$T$1,1,0)))</f>
        <v>17</v>
      </c>
      <c r="BO3" s="874">
        <f t="array" ref="BO3">SUM(IF(ISTEXT(BO$23:BO$239),1,0)*IF(($L$23:$L$239)="W",1,0)*IF(ISBLANK($T$1),1,IF($I$23:$I$239=$T$1,1,0)))</f>
        <v>0</v>
      </c>
      <c r="BQ3" s="874">
        <f t="array" ref="BQ3">SUM(IF(ISTEXT(BQ$23:BQ$239),1,0)*IF(($L$23:$L$239)="W",1,0)*IF(ISBLANK($T$1),1,IF($I$23:$I$239=$T$1,1,0)))</f>
        <v>0</v>
      </c>
      <c r="BR3" s="874">
        <f t="array" ref="BR3">SUM(IF(ISTEXT(BR$23:BR$239),1,0)*IF(($L$23:$L$239)="W",1,0)*IF(ISBLANK($T$1),1,IF($I$23:$I$239=$T$1,1,0)))</f>
        <v>0</v>
      </c>
      <c r="BS3" s="874" t="e">
        <f t="array" ref="BS3">SUM(IF(ISTEXT(BS$40:BS$239),1,0)*IF(($L$23:$L$239)="W",1,0)*IF(ISBLANK($T$1),1,IF($I$23:$I$239=$T$1,1,0)))</f>
        <v>#N/A</v>
      </c>
      <c r="BX3" s="874">
        <f t="array" ref="BX3">SUM(IF(ISTEXT(BX$23:BX$239),1,0)*IF(($L$23:$L$239)="W",1,0)*IF(ISBLANK($T$1),1,IF($I$23:$I$239=$T$1,1,0)))</f>
        <v>1</v>
      </c>
      <c r="BY3" s="874">
        <f t="array" ref="BY3">SUM(IF(ISTEXT(BY$23:BY$239),1,0)*IF(($L$23:$L$239)="W",1,0)*IF(ISBLANK($T$1),1,IF($I$23:$I$239=$T$1,1,0)))</f>
        <v>1</v>
      </c>
      <c r="BZ3" s="874">
        <f t="array" ref="BZ3">SUM(IF(ISTEXT(BZ$23:BZ$239),1,0)*IF(($L$23:$L$239)="W",1,0)*IF(ISBLANK($T$1),1,IF($I$23:$I$239=$T$1,1,0)))</f>
        <v>0</v>
      </c>
      <c r="CA3" s="874">
        <f t="array" ref="CA3">SUM(IF(ISTEXT(CA$23:CA$239),1,0)*IF(($L$23:$L$239)="W",1,0)*IF(ISBLANK($T$1),1,IF($I$23:$I$239=$T$1,1,0)))</f>
        <v>0</v>
      </c>
      <c r="CB3" s="874">
        <f t="array" ref="CB3">SUM(IF(ISTEXT(CB$23:CB$239),1,0)*IF(($L$23:$L$239)="W",1,0)*IF(ISBLANK($T$1),1,IF($I$23:$I$239=$T$1,1,0)))</f>
        <v>0</v>
      </c>
      <c r="CC3" s="874">
        <f t="array" ref="CC3">SUM(IF(ISTEXT(CC$23:CC$239),1,0)*IF(($L$23:$L$239)="W",1,0)*IF(ISBLANK($T$1),1,IF($I$23:$I$239=$T$1,1,0)))</f>
        <v>0</v>
      </c>
      <c r="CD3" s="874">
        <f t="array" ref="CD3">SUM(IF(ISTEXT(CD$23:CD$239),1,0)*IF(($L$23:$L$239)="W",1,0)*IF(ISBLANK($T$1),1,IF($I$23:$I$239=$T$1,1,0)))</f>
        <v>0</v>
      </c>
      <c r="CE3" s="874">
        <f t="array" ref="CE3">SUM(IF(ISTEXT(CE$23:CE$239),1,0)*IF(($L$23:$L$239)="W",1,0)*IF(ISBLANK($T$1),1,IF($I$23:$I$239=$T$1,1,0)))</f>
        <v>0</v>
      </c>
      <c r="CF3" s="874">
        <f t="array" ref="CF3">SUM(IF(ISTEXT(CF$23:CF$239),1,0)*IF(($L$23:$L$239)="W",1,0)*IF(ISBLANK($T$1),1,IF($I$23:$I$239=$T$1,1,0)))</f>
        <v>0</v>
      </c>
      <c r="CG3" s="874">
        <f t="array" ref="CG3">SUM(IF(ISTEXT(CG$23:CG$239),1,0)*IF(($L$23:$L$239)="W",1,0)*IF(ISBLANK($T$1),1,IF($I$23:$I$239=$T$1,1,0)))</f>
        <v>0</v>
      </c>
      <c r="CH3" s="874">
        <f t="array" ref="CH3">SUM(IF(ISTEXT(CH$23:CH$239),1,0)*IF(($L$23:$L$239)="W",1,0)*IF(ISBLANK($T$1),1,IF($I$23:$I$239=$T$1,1,0)))</f>
        <v>0</v>
      </c>
      <c r="CI3" s="874">
        <f t="array" ref="CI3">SUM(IF(ISTEXT(CI$23:CI$239),1,0)*IF(($L$23:$L$239)="W",1,0)*IF(ISBLANK($T$1),1,IF($I$23:$I$239=$T$1,1,0)))</f>
        <v>7</v>
      </c>
      <c r="CJ3" s="874">
        <f t="array" ref="CJ3">SUM(IF(ISTEXT(CJ$23:CJ$239),1,0)*IF(($L$23:$L$239)="W",1,0)*IF(ISBLANK($T$1),1,IF($I$23:$I$239=$T$1,1,0)))</f>
        <v>7</v>
      </c>
      <c r="CK3" s="874">
        <f t="array" ref="CK3">SUM(IF(ISTEXT(CK$23:CK$239),1,0)*IF(($L$23:$L$239)="W",1,0)*IF(ISBLANK($T$1),1,IF($I$23:$I$239=$T$1,1,0)))</f>
        <v>7</v>
      </c>
    </row>
    <row r="4" spans="1:89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SUM(IF(L$23:L$239="D",1,0)*IF(ISBLANK($T$1),1,IF($I$23:$I$239=$T$1,1,0)))</f>
        <v>12</v>
      </c>
      <c r="AG4" s="874">
        <f t="array" ref="AG4">SUM(IF(ISTEXT(AG$23:AG$239),1,0)*IF(($L$23:$L$239)="D",1,0)*IF(ISBLANK($T$1),1,IF($I$23:$I$239=$T$1,1,0)))</f>
        <v>12</v>
      </c>
      <c r="AH4" s="874">
        <f t="array" ref="AH4">SUM(IF(ISTEXT(AH$23:AH$239),1,0)*IF(($L$23:$L$239)="D",1,0)*IF(ISBLANK($T$1),1,IF($I$23:$I$239=$T$1,1,0)))</f>
        <v>11</v>
      </c>
      <c r="AI4" s="874">
        <f t="array" ref="AI4">SUM(IF(ISTEXT(AI$23:AI$239),1,0)*IF(($L$23:$L$239)="D",1,0)*IF(ISBLANK($T$1),1,IF($I$23:$I$239=$T$1,1,0)))</f>
        <v>11</v>
      </c>
      <c r="AL4" s="874">
        <f t="array" ref="AL4">SUM(IF(ISTEXT(AL$23:AL$239),1,0)*IF(($L$23:$L$239)="D",1,0)*IF(ISBLANK($T$1),1,IF($I$23:$I$239=$T$1,1,0)))</f>
        <v>11</v>
      </c>
      <c r="AM4" s="874">
        <f t="array" ref="AM4">SUM(IF(ISTEXT(AM$23:AM$239),1,0)*IF(($L$23:$L$239)="D",1,0)*IF(ISBLANK($T$1),1,IF($I$23:$I$239=$T$1,1,0)))</f>
        <v>12</v>
      </c>
      <c r="AO4" s="874">
        <f t="array" ref="AO4">SUM(IF(ISTEXT(AO$23:AO$239),1,0)*IF(($L$23:$L$239)="D",1,0)*IF(ISBLANK($T$1),1,IF($I$23:$I$239=$T$1,1,0)))</f>
        <v>12</v>
      </c>
      <c r="AP4" s="874">
        <f t="array" ref="AP4">SUM(IF(ISTEXT(AP$23:AP$239),1,0)*IF(($L$23:$L$239)="D",1,0)*IF(ISBLANK($T$1),1,IF($I$23:$I$239=$T$1,1,0)))</f>
        <v>12</v>
      </c>
      <c r="AR4" s="874">
        <f t="array" ref="AR4">SUM(IF(ISTEXT(AR$23:AR$239),1,0)*IF(($L$23:$L$239)="D",1,0)*IF(ISBLANK($T$1),1,IF($I$23:$I$239=$T$1,1,0)))</f>
        <v>12</v>
      </c>
      <c r="AS4" s="874">
        <f t="array" ref="AS4">SUM(IF(ISTEXT(AS$23:AS$239),1,0)*IF(($L$23:$L$239)="D",1,0)*IF(ISBLANK($T$1),1,IF($I$23:$I$239=$T$1,1,0)))</f>
        <v>12</v>
      </c>
      <c r="AT4" s="874">
        <f t="array" ref="AT4">SUM(IF(ISTEXT(AT$23:AT$239),1,0)*IF(($L$23:$L$239)="D",1,0)*IF(ISBLANK($T$1),1,IF($I$23:$I$239=$T$1,1,0)))</f>
        <v>12</v>
      </c>
      <c r="AU4" s="874">
        <f t="array" ref="AU4">SUM(IF(ISTEXT(AU$23:AU$239),1,0)*IF(($L$23:$L$239)="D",1,0)*IF(ISBLANK($T$1),1,IF($I$23:$I$239=$T$1,1,0)))</f>
        <v>12</v>
      </c>
      <c r="AV4" s="874">
        <f t="array" ref="AV4">SUM(IF(ISTEXT(AV$23:AV$239),1,0)*IF(($L$23:$L$239)="D",1,0)*IF(ISBLANK($T$1),1,IF($I$23:$I$239=$T$1,1,0)))</f>
        <v>12</v>
      </c>
      <c r="AW4" s="874">
        <f t="array" ref="AW4">SUM(IF(ISTEXT(AW$23:AW$239),1,0)*IF(($L$23:$L$239)="D",1,0)*IF(ISBLANK($T$1),1,IF($I$23:$I$239=$T$1,1,0)))</f>
        <v>12</v>
      </c>
      <c r="AY4" s="874">
        <f t="array" ref="AY4">SUM(IF(ISTEXT(AY$23:AY$239),1,0)*IF(($L$23:$L$239)="D",1,0)*IF(ISBLANK($T$1),1,IF($I$23:$I$239=$T$1,1,0)))</f>
        <v>12</v>
      </c>
      <c r="AZ4" s="874">
        <f t="array" ref="AZ4">SUM(IF(ISTEXT(AZ$23:AZ$239),1,0)*IF(($L$23:$L$239)="D",1,0)*IF(ISBLANK($T$1),1,IF($I$23:$I$239=$T$1,1,0)))</f>
        <v>12</v>
      </c>
      <c r="BC4" s="874">
        <f t="array" ref="BC4">SUM(IF(ISTEXT(BC$23:BC$239),1,0)*IF(($L$23:$L$239)="D",1,0)*IF(ISBLANK($T$1),1,IF($I$23:$I$239=$T$1,1,0)))</f>
        <v>11</v>
      </c>
      <c r="BG4" s="874">
        <f t="array" ref="BG4">SUM(IF(ISTEXT(BG$23:BG$239),1,0)*IF(($L$23:$L$239)="D",1,0)*IF(ISBLANK($T$1),1,IF($I$23:$I$239=$T$1,1,0)))</f>
        <v>12</v>
      </c>
      <c r="BJ4" s="874">
        <f t="array" ref="BJ4">SUM(IF(ISTEXT(BJ$23:BJ$239),1,0)*IF(($L$23:$L$239)="D",1,0)*IF(ISBLANK($T$1),1,IF($I$23:$I$239=$T$1,1,0)))</f>
        <v>12</v>
      </c>
      <c r="BO4" s="874">
        <f t="array" ref="BO4">SUM(IF(ISTEXT(BO$23:BO$239),1,0)*IF(($L$23:$L$239)="D",1,0)*IF(ISBLANK($T$1),1,IF($I$23:$I$239=$T$1,1,0)))</f>
        <v>0</v>
      </c>
      <c r="BQ4" s="874">
        <f t="array" ref="BQ4">SUM(IF(ISTEXT(BQ$23:BQ$239),1,0)*IF(($L$23:$L$239)="D",1,0)*IF(ISBLANK($T$1),1,IF($I$23:$I$239=$T$1,1,0)))</f>
        <v>0</v>
      </c>
      <c r="BR4" s="874">
        <f t="array" ref="BR4">SUM(IF(ISTEXT(BR$23:BR$239),1,0)*IF(($L$23:$L$239)="D",1,0)*IF(ISBLANK($T$1),1,IF($I$23:$I$239=$T$1,1,0)))</f>
        <v>0</v>
      </c>
      <c r="BS4" s="874" t="e">
        <f t="array" ref="BS4">SUM(IF(ISTEXT(BS$40:BS$239),1,0)*IF(($L$23:$L$239)="D",1,0)*IF(ISBLANK($T$1),1,IF($I$23:$I$239=$T$1,1,0)))</f>
        <v>#N/A</v>
      </c>
      <c r="BX4" s="874">
        <f t="array" ref="BX4">SUM(IF(ISTEXT(BX$23:BX$239),1,0)*IF(($L$23:$L$239)="D",1,0)*IF(ISBLANK($T$1),1,IF($I$23:$I$239=$T$1,1,0)))</f>
        <v>0</v>
      </c>
      <c r="BY4" s="874">
        <f t="array" ref="BY4">SUM(IF(ISTEXT(BY$23:BY$239),1,0)*IF(($L$23:$L$239)="D",1,0)*IF(ISBLANK($T$1),1,IF($I$23:$I$239=$T$1,1,0)))</f>
        <v>0</v>
      </c>
      <c r="BZ4" s="874">
        <f t="array" ref="BZ4">SUM(IF(ISTEXT(BZ$23:BZ$239),1,0)*IF(($L$23:$L$239)="D",1,0)*IF(ISBLANK($T$1),1,IF($I$23:$I$239=$T$1,1,0)))</f>
        <v>0</v>
      </c>
      <c r="CA4" s="874">
        <f t="array" ref="CA4">SUM(IF(ISTEXT(CA$23:CA$239),1,0)*IF(($L$23:$L$239)="D",1,0)*IF(ISBLANK($T$1),1,IF($I$23:$I$239=$T$1,1,0)))</f>
        <v>0</v>
      </c>
      <c r="CB4" s="874">
        <f t="array" ref="CB4">SUM(IF(ISTEXT(CB$23:CB$239),1,0)*IF(($L$23:$L$239)="D",1,0)*IF(ISBLANK($T$1),1,IF($I$23:$I$239=$T$1,1,0)))</f>
        <v>0</v>
      </c>
      <c r="CC4" s="874">
        <f t="array" ref="CC4">SUM(IF(ISTEXT(CC$23:CC$239),1,0)*IF(($L$23:$L$239)="D",1,0)*IF(ISBLANK($T$1),1,IF($I$23:$I$239=$T$1,1,0)))</f>
        <v>0</v>
      </c>
      <c r="CD4" s="874">
        <f t="array" ref="CD4">SUM(IF(ISTEXT(CD$23:CD$239),1,0)*IF(($L$23:$L$239)="D",1,0)*IF(ISBLANK($T$1),1,IF($I$23:$I$239=$T$1,1,0)))</f>
        <v>0</v>
      </c>
      <c r="CE4" s="874">
        <f t="array" ref="CE4">SUM(IF(ISTEXT(CE$23:CE$239),1,0)*IF(($L$23:$L$239)="D",1,0)*IF(ISBLANK($T$1),1,IF($I$23:$I$239=$T$1,1,0)))</f>
        <v>0</v>
      </c>
      <c r="CF4" s="874">
        <f t="array" ref="CF4">SUM(IF(ISTEXT(CF$23:CF$239),1,0)*IF(($L$23:$L$239)="D",1,0)*IF(ISBLANK($T$1),1,IF($I$23:$I$239=$T$1,1,0)))</f>
        <v>0</v>
      </c>
      <c r="CG4" s="874">
        <f t="array" ref="CG4">SUM(IF(ISTEXT(CG$23:CG$239),1,0)*IF(($L$23:$L$239)="D",1,0)*IF(ISBLANK($T$1),1,IF($I$23:$I$239=$T$1,1,0)))</f>
        <v>0</v>
      </c>
      <c r="CH4" s="874">
        <f t="array" ref="CH4">SUM(IF(ISTEXT(CH$23:CH$239),1,0)*IF(($L$23:$L$239)="D",1,0)*IF(ISBLANK($T$1),1,IF($I$23:$I$239=$T$1,1,0)))</f>
        <v>0</v>
      </c>
      <c r="CI4" s="874">
        <f t="array" ref="CI4">SUM(IF(ISTEXT(CI$23:CI$239),1,0)*IF(($L$23:$L$239)="D",1,0)*IF(ISBLANK($T$1),1,IF($I$23:$I$239=$T$1,1,0)))</f>
        <v>4</v>
      </c>
      <c r="CJ4" s="874">
        <f t="array" ref="CJ4">SUM(IF(ISTEXT(CJ$23:CJ$239),1,0)*IF(($L$23:$L$239)="D",1,0)*IF(ISBLANK($T$1),1,IF($I$23:$I$239=$T$1,1,0)))</f>
        <v>4</v>
      </c>
      <c r="CK4" s="874">
        <f t="array" ref="CK4">SUM(IF(ISTEXT(CK$23:CK$239),1,0)*IF(($L$23:$L$239)="D",1,0)*IF(ISBLANK($T$1),1,IF($I$23:$I$239=$T$1,1,0)))</f>
        <v>3</v>
      </c>
    </row>
    <row r="5" spans="1:89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SUM(IF(L$23:L$239="L",1,0)*IF(ISBLANK($T$1),1,IF($I$23:$I$239=$T$1,1,0)))</f>
        <v>14</v>
      </c>
      <c r="AG5" s="874">
        <f t="array" ref="AG5">SUM(IF(ISTEXT(AG$23:AG$239),1,0)*IF(($L$23:$L$239)="L",1,0)*IF(ISBLANK($T$1),1,IF($I$23:$I$239=$T$1,1,0)))</f>
        <v>14</v>
      </c>
      <c r="AH5" s="874">
        <f t="array" ref="AH5">SUM(IF(ISTEXT(AH$23:AH$239),1,0)*IF(($L$23:$L$239)="L",1,0)*IF(ISBLANK($T$1),1,IF($I$23:$I$239=$T$1,1,0)))</f>
        <v>14</v>
      </c>
      <c r="AI5" s="874">
        <f t="array" ref="AI5">SUM(IF(ISTEXT(AI$23:AI$239),1,0)*IF(($L$23:$L$239)="L",1,0)*IF(ISBLANK($T$1),1,IF($I$23:$I$239=$T$1,1,0)))</f>
        <v>14</v>
      </c>
      <c r="AL5" s="874">
        <f t="array" ref="AL5">SUM(IF(ISTEXT(AL$23:AL$239),1,0)*IF(($L$23:$L$239)="L",1,0)*IF(ISBLANK($T$1),1,IF($I$23:$I$239=$T$1,1,0)))</f>
        <v>14</v>
      </c>
      <c r="AM5" s="874">
        <f t="array" ref="AM5">SUM(IF(ISTEXT(AM$23:AM$239),1,0)*IF(($L$23:$L$239)="L",1,0)*IF(ISBLANK($T$1),1,IF($I$23:$I$239=$T$1,1,0)))</f>
        <v>14</v>
      </c>
      <c r="AO5" s="874">
        <f t="array" ref="AO5">SUM(IF(ISTEXT(AO$23:AO$239),1,0)*IF(($L$23:$L$239)="L",1,0)*IF(ISBLANK($T$1),1,IF($I$23:$I$239=$T$1,1,0)))</f>
        <v>14</v>
      </c>
      <c r="AP5" s="874">
        <f t="array" ref="AP5">SUM(IF(ISTEXT(AP$23:AP$239),1,0)*IF(($L$23:$L$239)="L",1,0)*IF(ISBLANK($T$1),1,IF($I$23:$I$239=$T$1,1,0)))</f>
        <v>14</v>
      </c>
      <c r="AR5" s="874">
        <f t="array" ref="AR5">SUM(IF(ISTEXT(AR$23:AR$239),1,0)*IF(($L$23:$L$239)="L",1,0)*IF(ISBLANK($T$1),1,IF($I$23:$I$239=$T$1,1,0)))</f>
        <v>14</v>
      </c>
      <c r="AS5" s="874">
        <f t="array" ref="AS5">SUM(IF(ISTEXT(AS$23:AS$239),1,0)*IF(($L$23:$L$239)="L",1,0)*IF(ISBLANK($T$1),1,IF($I$23:$I$239=$T$1,1,0)))</f>
        <v>14</v>
      </c>
      <c r="AT5" s="874">
        <f t="array" ref="AT5">SUM(IF(ISTEXT(AT$23:AT$239),1,0)*IF(($L$23:$L$239)="L",1,0)*IF(ISBLANK($T$1),1,IF($I$23:$I$239=$T$1,1,0)))</f>
        <v>14</v>
      </c>
      <c r="AU5" s="874">
        <f t="array" ref="AU5">SUM(IF(ISTEXT(AU$23:AU$239),1,0)*IF(($L$23:$L$239)="L",1,0)*IF(ISBLANK($T$1),1,IF($I$23:$I$239=$T$1,1,0)))</f>
        <v>14</v>
      </c>
      <c r="AV5" s="874">
        <f t="array" ref="AV5">SUM(IF(ISTEXT(AV$23:AV$239),1,0)*IF(($L$23:$L$239)="L",1,0)*IF(ISBLANK($T$1),1,IF($I$23:$I$239=$T$1,1,0)))</f>
        <v>14</v>
      </c>
      <c r="AW5" s="874">
        <f t="array" ref="AW5">SUM(IF(ISTEXT(AW$23:AW$239),1,0)*IF(($L$23:$L$239)="L",1,0)*IF(ISBLANK($T$1),1,IF($I$23:$I$239=$T$1,1,0)))</f>
        <v>14</v>
      </c>
      <c r="AY5" s="874">
        <f t="array" ref="AY5">SUM(IF(ISTEXT(AY$23:AY$239),1,0)*IF(($L$23:$L$239)="L",1,0)*IF(ISBLANK($T$1),1,IF($I$23:$I$239=$T$1,1,0)))</f>
        <v>14</v>
      </c>
      <c r="AZ5" s="874">
        <f t="array" ref="AZ5">SUM(IF(ISTEXT(AZ$23:AZ$239),1,0)*IF(($L$23:$L$239)="L",1,0)*IF(ISBLANK($T$1),1,IF($I$23:$I$239=$T$1,1,0)))</f>
        <v>14</v>
      </c>
      <c r="BC5" s="874">
        <f t="array" ref="BC5">SUM(IF(ISTEXT(BC$23:BC$239),1,0)*IF(($L$23:$L$239)="L",1,0)*IF(ISBLANK($T$1),1,IF($I$23:$I$239=$T$1,1,0)))</f>
        <v>14</v>
      </c>
      <c r="BG5" s="874">
        <f t="array" ref="BG5">SUM(IF(ISTEXT(BG$23:BG$239),1,0)*IF(($L$23:$L$239)="L",1,0)*IF(ISBLANK($T$1),1,IF($I$23:$I$239=$T$1,1,0)))</f>
        <v>14</v>
      </c>
      <c r="BJ5" s="874">
        <f t="array" ref="BJ5">SUM(IF(ISTEXT(BJ$23:BJ$239),1,0)*IF(($L$23:$L$239)="L",1,0)*IF(ISBLANK($T$1),1,IF($I$23:$I$239=$T$1,1,0)))</f>
        <v>12</v>
      </c>
      <c r="BO5" s="874">
        <f t="array" ref="BO5">SUM(IF(ISTEXT(BO$23:BO$239),1,0)*IF(($L$23:$L$239)="L",1,0)*IF(ISBLANK($T$1),1,IF($I$23:$I$239=$T$1,1,0)))</f>
        <v>0</v>
      </c>
      <c r="BQ5" s="874">
        <f t="array" ref="BQ5">SUM(IF(ISTEXT(BQ$23:BQ$239),1,0)*IF(($L$23:$L$239)="L",1,0)*IF(ISBLANK($T$1),1,IF($I$23:$I$239=$T$1,1,0)))</f>
        <v>0</v>
      </c>
      <c r="BR5" s="874">
        <f t="array" ref="BR5">SUM(IF(ISTEXT(BR$23:BR$239),1,0)*IF(($L$23:$L$239)="L",1,0)*IF(ISBLANK($T$1),1,IF($I$23:$I$239=$T$1,1,0)))</f>
        <v>0</v>
      </c>
      <c r="BS5" s="874" t="e">
        <f t="array" ref="BS5">SUM(IF(ISTEXT(BS$40:BS$239),1,0)*IF(($L$23:$L$239)="L",1,0)*IF(ISBLANK($T$1),1,IF($I$23:$I$239=$T$1,1,0)))</f>
        <v>#N/A</v>
      </c>
      <c r="BX5" s="874">
        <f t="array" ref="BX5">SUM(IF(ISTEXT(BX$23:BX$239),1,0)*IF(($L$23:$L$239)="L",1,0)*IF(ISBLANK($T$1),1,IF($I$23:$I$239=$T$1,1,0)))</f>
        <v>0</v>
      </c>
      <c r="BY5" s="874">
        <f t="array" ref="BY5">SUM(IF(ISTEXT(BY$23:BY$239),1,0)*IF(($L$23:$L$239)="L",1,0)*IF(ISBLANK($T$1),1,IF($I$23:$I$239=$T$1,1,0)))</f>
        <v>0</v>
      </c>
      <c r="BZ5" s="874">
        <f t="array" ref="BZ5">SUM(IF(ISTEXT(BZ$23:BZ$239),1,0)*IF(($L$23:$L$239)="L",1,0)*IF(ISBLANK($T$1),1,IF($I$23:$I$239=$T$1,1,0)))</f>
        <v>0</v>
      </c>
      <c r="CA5" s="874">
        <f t="array" ref="CA5">SUM(IF(ISTEXT(CA$23:CA$239),1,0)*IF(($L$23:$L$239)="L",1,0)*IF(ISBLANK($T$1),1,IF($I$23:$I$239=$T$1,1,0)))</f>
        <v>0</v>
      </c>
      <c r="CB5" s="874">
        <f t="array" ref="CB5">SUM(IF(ISTEXT(CB$23:CB$239),1,0)*IF(($L$23:$L$239)="L",1,0)*IF(ISBLANK($T$1),1,IF($I$23:$I$239=$T$1,1,0)))</f>
        <v>0</v>
      </c>
      <c r="CC5" s="874">
        <f t="array" ref="CC5">SUM(IF(ISTEXT(CC$23:CC$239),1,0)*IF(($L$23:$L$239)="L",1,0)*IF(ISBLANK($T$1),1,IF($I$23:$I$239=$T$1,1,0)))</f>
        <v>0</v>
      </c>
      <c r="CD5" s="874">
        <f t="array" ref="CD5">SUM(IF(ISTEXT(CD$23:CD$239),1,0)*IF(($L$23:$L$239)="L",1,0)*IF(ISBLANK($T$1),1,IF($I$23:$I$239=$T$1,1,0)))</f>
        <v>0</v>
      </c>
      <c r="CE5" s="874">
        <f t="array" ref="CE5">SUM(IF(ISTEXT(CE$23:CE$239),1,0)*IF(($L$23:$L$239)="L",1,0)*IF(ISBLANK($T$1),1,IF($I$23:$I$239=$T$1,1,0)))</f>
        <v>0</v>
      </c>
      <c r="CF5" s="874">
        <f t="array" ref="CF5">SUM(IF(ISTEXT(CF$23:CF$239),1,0)*IF(($L$23:$L$239)="L",1,0)*IF(ISBLANK($T$1),1,IF($I$23:$I$239=$T$1,1,0)))</f>
        <v>0</v>
      </c>
      <c r="CG5" s="874">
        <f t="array" ref="CG5">SUM(IF(ISTEXT(CG$23:CG$239),1,0)*IF(($L$23:$L$239)="L",1,0)*IF(ISBLANK($T$1),1,IF($I$23:$I$239=$T$1,1,0)))</f>
        <v>0</v>
      </c>
      <c r="CH5" s="874">
        <f t="array" ref="CH5">SUM(IF(ISTEXT(CH$23:CH$239),1,0)*IF(($L$23:$L$239)="L",1,0)*IF(ISBLANK($T$1),1,IF($I$23:$I$239=$T$1,1,0)))</f>
        <v>0</v>
      </c>
      <c r="CI5" s="874">
        <f t="array" ref="CI5">SUM(IF(ISTEXT(CI$23:CI$239),1,0)*IF(($L$23:$L$239)="L",1,0)*IF(ISBLANK($T$1),1,IF($I$23:$I$239=$T$1,1,0)))</f>
        <v>5</v>
      </c>
      <c r="CJ5" s="874">
        <f t="array" ref="CJ5">SUM(IF(ISTEXT(CJ$23:CJ$239),1,0)*IF(($L$23:$L$239)="L",1,0)*IF(ISBLANK($T$1),1,IF($I$23:$I$239=$T$1,1,0)))</f>
        <v>5</v>
      </c>
      <c r="CK5" s="874">
        <f t="array" ref="CK5">SUM(IF(ISTEXT(CK$23:CK$239),1,0)*IF(($L$23:$L$239)="L",1,0)*IF(ISBLANK($T$1),1,IF($I$23:$I$239=$T$1,1,0)))</f>
        <v>5</v>
      </c>
    </row>
    <row r="6" spans="1:89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63</v>
      </c>
      <c r="AG6" s="874">
        <f t="shared" ref="AG6:CK6" si="3">AG$3*3+AG$4</f>
        <v>63</v>
      </c>
      <c r="AH6" s="874">
        <f t="shared" si="3"/>
        <v>62</v>
      </c>
      <c r="AI6" s="874">
        <f t="shared" si="3"/>
        <v>59</v>
      </c>
      <c r="AL6" s="874">
        <f t="shared" si="3"/>
        <v>62</v>
      </c>
      <c r="AM6" s="874">
        <f t="shared" si="3"/>
        <v>63</v>
      </c>
      <c r="AO6" s="874">
        <f>AO$3*3+AO$4</f>
        <v>63</v>
      </c>
      <c r="AP6" s="874">
        <f t="shared" si="3"/>
        <v>60</v>
      </c>
      <c r="AR6" s="874">
        <f>AR$3*3+AR$4</f>
        <v>63</v>
      </c>
      <c r="AS6" s="874">
        <f>AS$3*3+AS$4</f>
        <v>63</v>
      </c>
      <c r="AT6" s="874">
        <f t="shared" si="3"/>
        <v>63</v>
      </c>
      <c r="AU6" s="874">
        <f>AU$3*3+AU$4</f>
        <v>63</v>
      </c>
      <c r="AV6" s="874">
        <f>AV$3*3+AV$4</f>
        <v>63</v>
      </c>
      <c r="AW6" s="874">
        <f>AW$3*3+AW$4</f>
        <v>63</v>
      </c>
      <c r="AY6" s="874">
        <f>AY$3*3+AY$4</f>
        <v>60</v>
      </c>
      <c r="AZ6" s="874">
        <f>AZ$3*3+AZ$4</f>
        <v>63</v>
      </c>
      <c r="BC6" s="874">
        <f>BC$3*3+BC$4</f>
        <v>62</v>
      </c>
      <c r="BG6" s="874">
        <f>BG$3*3+BG$4</f>
        <v>63</v>
      </c>
      <c r="BJ6" s="874">
        <f>BJ$3*3+BJ$4</f>
        <v>63</v>
      </c>
      <c r="BO6" s="874">
        <f>BO$3*3+BO$4</f>
        <v>0</v>
      </c>
      <c r="BQ6" s="874">
        <f>BQ$3*3+BQ$4</f>
        <v>0</v>
      </c>
      <c r="BR6" s="874">
        <f>BR$3*3+BR$4</f>
        <v>0</v>
      </c>
      <c r="BS6" s="874" t="e">
        <f t="shared" si="3"/>
        <v>#N/A</v>
      </c>
      <c r="BX6" s="874">
        <f t="shared" ref="BX6:CD6" si="4">BX$3*3+BX$4</f>
        <v>3</v>
      </c>
      <c r="BY6" s="874">
        <f t="shared" si="4"/>
        <v>3</v>
      </c>
      <c r="BZ6" s="874">
        <f t="shared" si="4"/>
        <v>0</v>
      </c>
      <c r="CA6" s="874">
        <f t="shared" si="4"/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3"/>
        <v>0</v>
      </c>
      <c r="CF6" s="874">
        <f t="shared" si="3"/>
        <v>0</v>
      </c>
      <c r="CG6" s="874">
        <f t="shared" si="3"/>
        <v>0</v>
      </c>
      <c r="CH6" s="874">
        <f t="shared" si="3"/>
        <v>0</v>
      </c>
      <c r="CI6" s="874">
        <f t="shared" si="3"/>
        <v>25</v>
      </c>
      <c r="CJ6" s="874">
        <f t="shared" si="3"/>
        <v>25</v>
      </c>
      <c r="CK6" s="874">
        <f t="shared" si="3"/>
        <v>24</v>
      </c>
    </row>
    <row r="7" spans="1:89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K7" si="5">AF6/AF2</f>
        <v>1.4651162790697674</v>
      </c>
      <c r="AG7" s="874">
        <f t="shared" si="5"/>
        <v>1.4651162790697674</v>
      </c>
      <c r="AH7" s="874">
        <f t="shared" si="5"/>
        <v>1.4761904761904763</v>
      </c>
      <c r="AI7" s="874">
        <f t="shared" si="5"/>
        <v>1.4390243902439024</v>
      </c>
      <c r="AL7" s="874">
        <f t="shared" si="5"/>
        <v>1.4761904761904763</v>
      </c>
      <c r="AM7" s="874">
        <f t="shared" si="5"/>
        <v>1.4651162790697674</v>
      </c>
      <c r="AO7" s="874">
        <f>AO6/AO2</f>
        <v>1.4651162790697674</v>
      </c>
      <c r="AP7" s="874">
        <f t="shared" si="5"/>
        <v>1.4285714285714286</v>
      </c>
      <c r="AR7" s="874">
        <f>AR6/AR2</f>
        <v>1.4651162790697674</v>
      </c>
      <c r="AS7" s="874">
        <f>AS6/AS2</f>
        <v>1.4651162790697674</v>
      </c>
      <c r="AT7" s="874">
        <f t="shared" si="5"/>
        <v>1.4651162790697674</v>
      </c>
      <c r="AU7" s="874">
        <f>AU6/AU2</f>
        <v>1.4651162790697674</v>
      </c>
      <c r="AV7" s="874">
        <f>AV6/AV2</f>
        <v>1.4651162790697674</v>
      </c>
      <c r="AW7" s="874">
        <f>AW6/AW2</f>
        <v>1.4651162790697674</v>
      </c>
      <c r="AY7" s="874">
        <f>AY6/AY2</f>
        <v>1.4285714285714286</v>
      </c>
      <c r="AZ7" s="874">
        <f>AZ6/AZ2</f>
        <v>1.4651162790697674</v>
      </c>
      <c r="BC7" s="874">
        <f>BC6/BC2</f>
        <v>1.4761904761904763</v>
      </c>
      <c r="BG7" s="874">
        <f t="shared" ref="BG7" si="6">BG6/BG2</f>
        <v>1.4651162790697674</v>
      </c>
      <c r="BJ7" s="874">
        <f>BJ6/BJ2</f>
        <v>1.5365853658536586</v>
      </c>
      <c r="BO7" s="874" t="e">
        <f>BO6/BO2</f>
        <v>#DIV/0!</v>
      </c>
      <c r="BQ7" s="874" t="e">
        <f>BQ6/BQ2</f>
        <v>#DIV/0!</v>
      </c>
      <c r="BR7" s="874" t="e">
        <f>BR6/BR2</f>
        <v>#DIV/0!</v>
      </c>
      <c r="BS7" s="874" t="e">
        <f t="shared" si="5"/>
        <v>#N/A</v>
      </c>
      <c r="BX7" s="874">
        <f t="shared" ref="BX7:CD7" si="7">BX6/BX2</f>
        <v>3</v>
      </c>
      <c r="BY7" s="874">
        <f t="shared" si="7"/>
        <v>3</v>
      </c>
      <c r="BZ7" s="874" t="e">
        <f t="shared" si="7"/>
        <v>#DIV/0!</v>
      </c>
      <c r="CA7" s="874" t="e">
        <f t="shared" si="7"/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5"/>
        <v>#DIV/0!</v>
      </c>
      <c r="CF7" s="874" t="e">
        <f t="shared" si="5"/>
        <v>#DIV/0!</v>
      </c>
      <c r="CG7" s="874" t="e">
        <f t="shared" si="5"/>
        <v>#DIV/0!</v>
      </c>
      <c r="CH7" s="874" t="e">
        <f t="shared" si="5"/>
        <v>#DIV/0!</v>
      </c>
      <c r="CI7" s="874">
        <f t="shared" si="5"/>
        <v>1.5625</v>
      </c>
      <c r="CJ7" s="874">
        <f t="shared" si="5"/>
        <v>1.5625</v>
      </c>
      <c r="CK7" s="874">
        <f t="shared" si="5"/>
        <v>1.6</v>
      </c>
    </row>
    <row r="8" spans="1:89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SUM(IF(($T$23:$T$239)="",0,$T$23:$T$239)*IF(ISBLANK($T$1),1,IF($I$23:$I$239=$T$1,1,0)))</f>
        <v>8.5600000000000023</v>
      </c>
      <c r="AG8" s="874">
        <f t="array" ref="AG8">SUM(IF(ISTEXT(AG$23:AG$239),1,0)*IF(($T$23:$T$239)="",0,$T$23:$T$239)*IF(ISBLANK($T$1),1,IF($I$23:$I$239=$T$1,1,0)))</f>
        <v>8.5600000000000023</v>
      </c>
      <c r="AH8" s="874">
        <f t="array" ref="AH8">SUM(IF(ISTEXT(AH$23:AH$239),1,0)*IF(($T$23:$T$239)="",0,$T$23:$T$239)*IF(ISBLANK($T$1),1,IF($I$23:$I$239=$T$1,1,0)))</f>
        <v>9.0399999999999991</v>
      </c>
      <c r="AI8" s="874">
        <f t="array" ref="AI8">SUM(IF(ISTEXT(AI$23:AI$239),1,0)*IF(($T$23:$T$239)="",0,$T$23:$T$239)*IF(ISBLANK($T$1),1,IF($I$23:$I$239=$T$1,1,0)))</f>
        <v>6.1700000000000008</v>
      </c>
      <c r="AL8" s="874">
        <f t="array" ref="AL8">SUM(IF(ISTEXT(AL$23:AL$239),1,0)*IF(($T$23:$T$239)="",0,$T$23:$T$239)*IF(ISBLANK($T$1),1,IF($I$23:$I$239=$T$1,1,0)))</f>
        <v>9.0399999999999991</v>
      </c>
      <c r="AM8" s="874">
        <f t="array" ref="AM8">SUM(IF(ISTEXT(AM$23:AM$239),1,0)*IF(($T$23:$T$239)="",0,$T$23:$T$239)*IF(ISBLANK($T$1),1,IF($I$23:$I$239=$T$1,1,0)))</f>
        <v>8.5600000000000023</v>
      </c>
      <c r="AO8" s="874">
        <f t="array" ref="AO8">SUM(IF(ISTEXT(AO$23:AO$239),1,0)*IF(($T$23:$T$239)="",0,$T$23:$T$239)*IF(ISBLANK($T$1),1,IF($I$23:$I$239=$T$1,1,0)))</f>
        <v>8.5600000000000023</v>
      </c>
      <c r="AP8" s="874">
        <f t="array" ref="AP8">SUM(IF(ISTEXT(AP$23:AP$239),1,0)*IF(($T$23:$T$239)="",0,$T$23:$T$239)*IF(ISBLANK($T$1),1,IF($I$23:$I$239=$T$1,1,0)))</f>
        <v>5.6900000000000022</v>
      </c>
      <c r="AR8" s="874">
        <f t="array" ref="AR8">SUM(IF(ISTEXT(AR$23:AR$239),1,0)*IF(($T$23:$T$239)="",0,$T$23:$T$239)*IF(ISBLANK($T$1),1,IF($I$23:$I$239=$T$1,1,0)))</f>
        <v>8.5600000000000023</v>
      </c>
      <c r="AS8" s="874">
        <f t="array" ref="AS8">SUM(IF(ISTEXT(AS$23:AS$239),1,0)*IF(($T$23:$T$239)="",0,$T$23:$T$239)*IF(ISBLANK($T$1),1,IF($I$23:$I$239=$T$1,1,0)))</f>
        <v>8.5600000000000023</v>
      </c>
      <c r="AT8" s="874">
        <f t="array" ref="AT8">SUM(IF(ISTEXT(AT$23:AT$239),1,0)*IF(($T$23:$T$239)="",0,$T$23:$T$239)*IF(ISBLANK($T$1),1,IF($I$23:$I$239=$T$1,1,0)))</f>
        <v>8.5600000000000023</v>
      </c>
      <c r="AU8" s="874">
        <f t="array" ref="AU8">SUM(IF(ISTEXT(AU$23:AU$239),1,0)*IF(($T$23:$T$239)="",0,$T$23:$T$239)*IF(ISBLANK($T$1),1,IF($I$23:$I$239=$T$1,1,0)))</f>
        <v>8.5600000000000023</v>
      </c>
      <c r="AV8" s="874">
        <f t="array" ref="AV8">SUM(IF(ISTEXT(AV$23:AV$239),1,0)*IF(($T$23:$T$239)="",0,$T$23:$T$239)*IF(ISBLANK($T$1),1,IF($I$23:$I$239=$T$1,1,0)))</f>
        <v>8.5600000000000023</v>
      </c>
      <c r="AW8" s="874">
        <f t="array" ref="AW8">SUM(IF(ISTEXT(AW$23:AW$239),1,0)*IF(($T$23:$T$239)="",0,$T$23:$T$239)*IF(ISBLANK($T$1),1,IF($I$23:$I$239=$T$1,1,0)))</f>
        <v>8.5600000000000023</v>
      </c>
      <c r="AY8" s="874">
        <f t="array" ref="AY8">SUM(IF(ISTEXT(AY$23:AY$239),1,0)*IF(($T$23:$T$239)="",0,$T$23:$T$239)*IF(ISBLANK($T$1),1,IF($I$23:$I$239=$T$1,1,0)))</f>
        <v>5.6900000000000022</v>
      </c>
      <c r="AZ8" s="874">
        <f t="array" ref="AZ8">SUM(IF(ISTEXT(AZ$23:AZ$239),1,0)*IF(($T$23:$T$239)="",0,$T$23:$T$239)*IF(ISBLANK($T$1),1,IF($I$23:$I$239=$T$1,1,0)))</f>
        <v>8.5600000000000023</v>
      </c>
      <c r="BC8" s="874">
        <f t="array" ref="BC8">SUM(IF(ISTEXT(BC$23:BC$239),1,0)*IF(($T$23:$T$239)="",0,$T$23:$T$239)*IF(ISBLANK($T$1),1,IF($I$23:$I$239=$T$1,1,0)))</f>
        <v>9.0399999999999991</v>
      </c>
      <c r="BG8" s="874">
        <f t="array" ref="BG8">SUM(IF(ISTEXT(BG$23:BG$239),1,0)*IF(($T$23:$T$239)="",0,$T$23:$T$239)*IF(ISBLANK($T$1),1,IF($I$23:$I$239=$T$1,1,0)))</f>
        <v>8.5600000000000023</v>
      </c>
      <c r="BJ8" s="874">
        <f t="array" ref="BJ8">SUM(IF(ISTEXT(BJ$23:BJ$239),1,0)*IF(($T$23:$T$239)="",0,$T$23:$T$239)*IF(ISBLANK($T$1),1,IF($I$23:$I$239=$T$1,1,0)))</f>
        <v>4.330000000000001</v>
      </c>
      <c r="BO8" s="874">
        <f t="array" ref="BO8">SUM(IF(ISTEXT(BO$23:BO$239),1,0)*IF(($T$23:$T$239)="",0,$T$23:$T$239)*IF(ISBLANK($T$1),1,IF($I$23:$I$239=$T$1,1,0)))</f>
        <v>0</v>
      </c>
      <c r="BQ8" s="874">
        <f t="array" ref="BQ8">SUM(IF(ISTEXT(BQ$23:BQ$239),1,0)*IF(($T$23:$T$239)="",0,$T$23:$T$239)*IF(ISBLANK($T$1),1,IF($I$23:$I$239=$T$1,1,0)))</f>
        <v>0</v>
      </c>
      <c r="BR8" s="874">
        <f t="array" ref="BR8">SUM(IF(ISTEXT(BR$23:BR$239),1,0)*IF(($T$23:$T$239)="",0,$T$23:$T$239)*IF(ISBLANK($T$1),1,IF($I$23:$I$239=$T$1,1,0)))</f>
        <v>0</v>
      </c>
      <c r="BS8" s="874" t="e">
        <f t="array" ref="BS8">SUM(IF(ISTEXT(BS$40:BS$239),1,0)*IF(($T$23:$T$239)="",0,$T$23:$T$239)*IF(ISBLANK($T$1),1,IF($I$23:$I$239=$T$1,1,0)))</f>
        <v>#N/A</v>
      </c>
      <c r="BX8" s="874">
        <f t="array" ref="BX8">SUM(IF(ISTEXT(BX$23:BX$239),1,0)*IF(($T$23:$T$239)="",0,$T$23:$T$239)*IF(ISBLANK($T$1),1,IF($I$23:$I$239=$T$1,1,0)))</f>
        <v>0.89999999999999991</v>
      </c>
      <c r="BY8" s="874">
        <f t="array" ref="BY8">SUM(IF(ISTEXT(BY$23:BY$239),1,0)*IF(($T$23:$T$239)="",0,$T$23:$T$239)*IF(ISBLANK($T$1),1,IF($I$23:$I$239=$T$1,1,0)))</f>
        <v>0.89999999999999991</v>
      </c>
      <c r="BZ8" s="874">
        <f t="array" ref="BZ8">SUM(IF(ISTEXT(BZ$23:BZ$239),1,0)*IF(($T$23:$T$239)="",0,$T$23:$T$239)*IF(ISBLANK($T$1),1,IF($I$23:$I$239=$T$1,1,0)))</f>
        <v>0</v>
      </c>
      <c r="CA8" s="874">
        <f t="array" ref="CA8">SUM(IF(ISTEXT(CA$23:CA$239),1,0)*IF(($T$23:$T$239)="",0,$T$23:$T$239)*IF(ISBLANK($T$1),1,IF($I$23:$I$239=$T$1,1,0)))</f>
        <v>0</v>
      </c>
      <c r="CB8" s="874">
        <f t="array" ref="CB8">SUM(IF(ISTEXT(CB$23:CB$239),1,0)*IF(($T$23:$T$239)="",0,$T$23:$T$239)*IF(ISBLANK($T$1),1,IF($I$23:$I$239=$T$1,1,0)))</f>
        <v>0</v>
      </c>
      <c r="CC8" s="874">
        <f t="array" ref="CC8">SUM(IF(ISTEXT(CC$23:CC$239),1,0)*IF(($T$23:$T$239)="",0,$T$23:$T$239)*IF(ISBLANK($T$1),1,IF($I$23:$I$239=$T$1,1,0)))</f>
        <v>0</v>
      </c>
      <c r="CD8" s="874">
        <f t="array" ref="CD8">SUM(IF(ISTEXT(CD$23:CD$239),1,0)*IF(($T$23:$T$239)="",0,$T$23:$T$239)*IF(ISBLANK($T$1),1,IF($I$23:$I$239=$T$1,1,0)))</f>
        <v>0</v>
      </c>
      <c r="CE8" s="874">
        <f t="array" ref="CE8">SUM(IF(ISTEXT(CE$23:CE$239),1,0)*IF(($T$23:$T$239)="",0,$T$23:$T$239)*IF(ISBLANK($T$1),1,IF($I$23:$I$239=$T$1,1,0)))</f>
        <v>0</v>
      </c>
      <c r="CF8" s="874">
        <f t="array" ref="CF8">SUM(IF(ISTEXT(CF$23:CF$239),1,0)*IF(($T$23:$T$239)="",0,$T$23:$T$239)*IF(ISBLANK($T$1),1,IF($I$23:$I$239=$T$1,1,0)))</f>
        <v>0</v>
      </c>
      <c r="CG8" s="874">
        <f t="array" ref="CG8">SUM(IF(ISTEXT(CG$23:CG$239),1,0)*IF(($T$23:$T$239)="",0,$T$23:$T$239)*IF(ISBLANK($T$1),1,IF($I$23:$I$239=$T$1,1,0)))</f>
        <v>0</v>
      </c>
      <c r="CH8" s="874">
        <f t="array" ref="CH8">SUM(IF(ISTEXT(CH$23:CH$239),1,0)*IF(($T$23:$T$239)="",0,$T$23:$T$239)*IF(ISBLANK($T$1),1,IF($I$23:$I$239=$T$1,1,0)))</f>
        <v>0</v>
      </c>
      <c r="CI8" s="874">
        <f t="array" ref="CI8">SUM(IF(ISTEXT(CI$23:CI$239),1,0)*IF(($T$23:$T$239)="",0,$T$23:$T$239)*IF(ISBLANK($T$1),1,IF($I$23:$I$239=$T$1,1,0)))</f>
        <v>-5.4999999999999982</v>
      </c>
      <c r="CJ8" s="874">
        <f t="array" ref="CJ8">SUM(IF(ISTEXT(CJ$23:CJ$239),1,0)*IF(($T$23:$T$239)="",0,$T$23:$T$239)*IF(ISBLANK($T$1),1,IF($I$23:$I$239=$T$1,1,0)))</f>
        <v>-5.4999999999999982</v>
      </c>
      <c r="CK8" s="874">
        <f t="array" ref="CK8">SUM(IF(ISTEXT(CK$23:CK$239),1,0)*IF(($T$23:$T$239)="",0,$T$23:$T$239)*IF(ISBLANK($T$1),1,IF($I$23:$I$239=$T$1,1,0)))</f>
        <v>-7.2199999999999989</v>
      </c>
    </row>
    <row r="9" spans="1:89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K9" si="8">AF8/AF2</f>
        <v>0.19906976744186053</v>
      </c>
      <c r="AG9" s="874">
        <f t="shared" si="8"/>
        <v>0.19906976744186053</v>
      </c>
      <c r="AH9" s="874">
        <f t="shared" si="8"/>
        <v>0.21523809523809523</v>
      </c>
      <c r="AI9" s="874">
        <f t="shared" si="8"/>
        <v>0.1504878048780488</v>
      </c>
      <c r="AL9" s="874">
        <f t="shared" si="8"/>
        <v>0.21523809523809523</v>
      </c>
      <c r="AM9" s="874">
        <f t="shared" si="8"/>
        <v>0.19906976744186053</v>
      </c>
      <c r="AO9" s="874">
        <f>AO8/AO2</f>
        <v>0.19906976744186053</v>
      </c>
      <c r="AP9" s="874">
        <f t="shared" si="8"/>
        <v>0.13547619047619053</v>
      </c>
      <c r="AR9" s="874">
        <f>AR8/AR2</f>
        <v>0.19906976744186053</v>
      </c>
      <c r="AS9" s="874">
        <f>AS8/AS2</f>
        <v>0.19906976744186053</v>
      </c>
      <c r="AT9" s="874">
        <f t="shared" si="8"/>
        <v>0.19906976744186053</v>
      </c>
      <c r="AU9" s="874">
        <f>AU8/AU2</f>
        <v>0.19906976744186053</v>
      </c>
      <c r="AV9" s="874">
        <f>AV8/AV2</f>
        <v>0.19906976744186053</v>
      </c>
      <c r="AW9" s="874">
        <f>AW8/AW2</f>
        <v>0.19906976744186053</v>
      </c>
      <c r="AY9" s="874">
        <f>AY8/AY2</f>
        <v>0.13547619047619053</v>
      </c>
      <c r="AZ9" s="874">
        <f>AZ8/AZ2</f>
        <v>0.19906976744186053</v>
      </c>
      <c r="BC9" s="874">
        <f>BC8/BC2</f>
        <v>0.21523809523809523</v>
      </c>
      <c r="BG9" s="874">
        <f t="shared" ref="BG9" si="9">BG8/BG2</f>
        <v>0.19906976744186053</v>
      </c>
      <c r="BJ9" s="874">
        <f>BJ8/BJ2</f>
        <v>0.105609756097561</v>
      </c>
      <c r="BO9" s="874" t="e">
        <f>BO8/BO2</f>
        <v>#DIV/0!</v>
      </c>
      <c r="BQ9" s="874" t="e">
        <f>BQ8/BQ2</f>
        <v>#DIV/0!</v>
      </c>
      <c r="BR9" s="874" t="e">
        <f>BR8/BR2</f>
        <v>#DIV/0!</v>
      </c>
      <c r="BS9" s="874" t="e">
        <f t="shared" si="8"/>
        <v>#N/A</v>
      </c>
      <c r="BX9" s="874">
        <f t="shared" ref="BX9:CD9" si="10">BX8/BX2</f>
        <v>0.89999999999999991</v>
      </c>
      <c r="BY9" s="874">
        <f t="shared" si="10"/>
        <v>0.89999999999999991</v>
      </c>
      <c r="BZ9" s="874" t="e">
        <f t="shared" si="10"/>
        <v>#DIV/0!</v>
      </c>
      <c r="CA9" s="874" t="e">
        <f t="shared" si="10"/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8"/>
        <v>#DIV/0!</v>
      </c>
      <c r="CF9" s="874" t="e">
        <f t="shared" si="8"/>
        <v>#DIV/0!</v>
      </c>
      <c r="CG9" s="874" t="e">
        <f t="shared" si="8"/>
        <v>#DIV/0!</v>
      </c>
      <c r="CH9" s="874" t="e">
        <f t="shared" si="8"/>
        <v>#DIV/0!</v>
      </c>
      <c r="CI9" s="874">
        <f t="shared" si="8"/>
        <v>-0.34374999999999989</v>
      </c>
      <c r="CJ9" s="874">
        <f t="shared" si="8"/>
        <v>-0.34374999999999989</v>
      </c>
      <c r="CK9" s="874">
        <f t="shared" si="8"/>
        <v>-0.48133333333333328</v>
      </c>
    </row>
    <row r="10" spans="1:89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SUM(IF(ISBLANK($T$1),$J$23:$J$239,IF($I$23:$I$239=$T$1,$J$23:$J$239,0)))</f>
        <v>60</v>
      </c>
      <c r="AG10" s="874">
        <f t="array" ref="AG10">SUM(IF(ISBLANK(AG$23:AG$239),0,IF(ISNUMBER(VALUE(RIGHT(AG$23:AG$239,1))),RIGHT(AG$23:AG$239,1),0)*IF(ISBLANK($T$1),1,IF($I$23:$I$239=$T$1,1,0))))</f>
        <v>0</v>
      </c>
      <c r="AH10" s="874">
        <f t="array" ref="AH10">SUM(IF(ISBLANK(AH$23:AH$239),0,IF(ISNUMBER(VALUE(RIGHT(AH$23:AH$239,1))),RIGHT(AH$23:AH$239,1),0)*IF(ISBLANK($T$1),1,IF($I$23:$I$239=$T$1,1,0))))</f>
        <v>0</v>
      </c>
      <c r="AI10" s="874">
        <f t="array" ref="AI10">SUM(IF(ISBLANK(AI$23:AI$239),0,IF(ISNUMBER(VALUE(RIGHT(AI$23:AI$239,1))),RIGHT(AI$23:AI$239,1),0)*IF(ISBLANK($T$1),1,IF($I$23:$I$239=$T$1,1,0))))</f>
        <v>0</v>
      </c>
      <c r="AL10" s="874">
        <f t="array" ref="AL10">SUM(IF(ISBLANK(AL$23:AL$239),0,IF(ISNUMBER(VALUE(RIGHT(AL$23:AL$239,1))),RIGHT(AL$23:AL$239,1),0)*IF(ISBLANK($T$1),1,IF($I$23:$I$239=$T$1,1,0))))</f>
        <v>0</v>
      </c>
      <c r="AM10" s="874">
        <f t="array" ref="AM10">SUM(IF(ISBLANK(AM$23:AM$239),0,IF(ISNUMBER(VALUE(RIGHT(AM$23:AM$239,1))),RIGHT(AM$23:AM$239,1),0)*IF(ISBLANK($T$1),1,IF($I$23:$I$239=$T$1,1,0))))</f>
        <v>0</v>
      </c>
      <c r="AO10" s="874">
        <f t="array" ref="AO10">SUM(IF(ISBLANK(AO$23:AO$239),0,IF(ISNUMBER(VALUE(RIGHT(AO$23:AO$239,1))),RIGHT(AO$23:AO$239,1),0)*IF(ISBLANK($T$1),1,IF($I$23:$I$239=$T$1,1,0))))</f>
        <v>2</v>
      </c>
      <c r="AP10" s="874">
        <f t="array" ref="AP10">SUM(IF(ISBLANK(AP$23:AP$239),0,IF(ISNUMBER(VALUE(RIGHT(AP$23:AP$239,1))),RIGHT(AP$23:AP$239,1),0)*IF(ISBLANK($T$1),1,IF($I$23:$I$239=$T$1,1,0))))</f>
        <v>1</v>
      </c>
      <c r="AR10" s="874">
        <f t="array" ref="AR10">SUM(IF(ISBLANK(AR$23:AR$239),0,IF(ISNUMBER(VALUE(RIGHT(AR$23:AR$239,1))),RIGHT(AR$23:AR$239,1),0)*IF(ISBLANK($T$1),1,IF($I$23:$I$239=$T$1,1,0))))</f>
        <v>1</v>
      </c>
      <c r="AS10" s="874">
        <f t="array" ref="AS10">SUM(IF(ISBLANK(AS$23:AS$239),0,IF(ISNUMBER(VALUE(RIGHT(AS$23:AS$239,1))),RIGHT(AS$23:AS$239,1),0)*IF(ISBLANK($T$1),1,IF($I$23:$I$239=$T$1,1,0))))</f>
        <v>1</v>
      </c>
      <c r="AT10" s="874">
        <f t="array" ref="AT10">SUM(IF(ISBLANK(AT$23:AT$239),0,IF(ISNUMBER(VALUE(RIGHT(AT$23:AT$239,1))),RIGHT(AT$23:AT$239,1),0)*IF(ISBLANK($T$1),1,IF($I$23:$I$239=$T$1,1,0))))</f>
        <v>0</v>
      </c>
      <c r="AU10" s="874">
        <f t="array" ref="AU10">SUM(IF(ISBLANK(AU$23:AU$239),0,IF(ISNUMBER(VALUE(RIGHT(AU$23:AU$239,1))),RIGHT(AU$23:AU$239,1),0)*IF(ISBLANK($T$1),1,IF($I$23:$I$239=$T$1,1,0))))</f>
        <v>1</v>
      </c>
      <c r="AV10" s="874">
        <f t="array" ref="AV10">SUM(IF(ISBLANK(AV$23:AV$239),0,IF(ISNUMBER(VALUE(RIGHT(AV$23:AV$239,1))),RIGHT(AV$23:AV$239,1),0)*IF(ISBLANK($T$1),1,IF($I$23:$I$239=$T$1,1,0))))</f>
        <v>6</v>
      </c>
      <c r="AW10" s="874">
        <f t="array" ref="AW10">SUM(IF(ISBLANK(AW$23:AW$239),0,IF(ISNUMBER(VALUE(RIGHT(AW$23:AW$239,1))),RIGHT(AW$23:AW$239,1),0)*IF(ISBLANK($T$1),1,IF($I$23:$I$239=$T$1,1,0))))</f>
        <v>4</v>
      </c>
      <c r="AY10" s="874">
        <f t="array" ref="AY10">SUM(IF(ISBLANK(AY$23:AY$239),0,IF(ISNUMBER(VALUE(RIGHT(AY$23:AY$239,1))),RIGHT(AY$23:AY$239,1),0)*IF(ISBLANK($T$1),1,IF($I$23:$I$239=$T$1,1,0))))</f>
        <v>2</v>
      </c>
      <c r="AZ10" s="874">
        <f t="array" ref="AZ10">SUM(IF(ISBLANK(AZ$23:AZ$239),0,IF(ISNUMBER(VALUE(RIGHT(AZ$23:AZ$239,1))),RIGHT(AZ$23:AZ$239,1),0)*IF(ISBLANK($T$1),1,IF($I$23:$I$239=$T$1,1,0))))</f>
        <v>7</v>
      </c>
      <c r="BC10" s="874">
        <f t="array" ref="BC10">SUM(IF(ISBLANK(BC$23:BC$239),0,IF(ISNUMBER(VALUE(RIGHT(BC$23:BC$239,1))),RIGHT(BC$23:BC$239,1),0)*IF(ISBLANK($T$1),1,IF($I$23:$I$239=$T$1,1,0))))</f>
        <v>0</v>
      </c>
      <c r="BG10" s="874">
        <f t="array" ref="BG10">SUM(IF(ISBLANK(BG$23:BG$239),0,IF(ISNUMBER(VALUE(RIGHT(BG$23:BG$239,1))),RIGHT(BG$23:BG$239,1),0)*IF(ISBLANK($T$1),1,IF($I$23:$I$239=$T$1,1,0))))</f>
        <v>25</v>
      </c>
      <c r="BJ10" s="874">
        <f t="array" ref="BJ10">SUM(IF(ISBLANK(BJ$23:BJ$239),0,IF(ISNUMBER(VALUE(RIGHT(BJ$23:BJ$239,1))),RIGHT(BJ$23:BJ$239,1),0)*IF(ISBLANK($T$1),1,IF($I$23:$I$239=$T$1,1,0))))</f>
        <v>5</v>
      </c>
      <c r="BO10" s="874">
        <f t="array" ref="BO10">SUM(IF(ISBLANK(BO$23:BO$239),0,IF(ISNUMBER(VALUE(RIGHT(BO$23:BO$239,1))),RIGHT(BO$23:BO$239,1),0)*IF(ISBLANK($T$1),1,IF($I$23:$I$239=$T$1,1,0))))</f>
        <v>0</v>
      </c>
      <c r="BQ10" s="874">
        <f t="array" ref="BQ10">SUM(IF(ISBLANK(BQ$23:BQ$239),0,IF(ISNUMBER(VALUE(RIGHT(BQ$23:BQ$239,1))),RIGHT(BQ$23:BQ$239,1),0)*IF(ISBLANK($T$1),1,IF($I$23:$I$239=$T$1,1,0))))</f>
        <v>0</v>
      </c>
      <c r="BR10" s="874">
        <f t="array" ref="BR10">SUM(IF(ISBLANK(BR$23:BR$239),0,IF(ISNUMBER(VALUE(RIGHT(BR$23:BR$239,1))),RIGHT(BR$23:BR$239,1),0)*IF(ISBLANK($T$1),1,IF($I$23:$I$239=$T$1,1,0))))</f>
        <v>0</v>
      </c>
      <c r="BS10" s="874">
        <f t="array" ref="BS10">SUM(IF(ISBLANK(BS$40:BS$239),0,IF(ISNUMBER(VALUE(RIGHT(BS$40:BS$239,1))),RIGHT(BS$40:BS$239,1),0)*IF(ISBLANK($T$1),1,IF($I$23:$I$239=$T$1,1,0))))</f>
        <v>0</v>
      </c>
      <c r="BX10" s="874">
        <f t="array" ref="BX10">SUM(IF(ISBLANK(BX$23:BX$239),0,IF(ISNUMBER(VALUE(RIGHT(BX$23:BX$239,1))),RIGHT(BX$23:BX$239,1),0)*IF(ISBLANK($T$1),1,IF($I$23:$I$239=$T$1,1,0))))</f>
        <v>0</v>
      </c>
      <c r="BY10" s="874">
        <f t="array" ref="BY10">SUM(IF(ISBLANK(BY$23:BY$239),0,IF(ISNUMBER(VALUE(RIGHT(BY$23:BY$239,1))),RIGHT(BY$23:BY$239,1),0)*IF(ISBLANK($T$1),1,IF($I$23:$I$239=$T$1,1,0))))</f>
        <v>0</v>
      </c>
      <c r="BZ10" s="874">
        <f t="array" ref="BZ10">SUM(IF(ISBLANK(BZ$23:BZ$239),0,IF(ISNUMBER(VALUE(RIGHT(BZ$23:BZ$239,1))),RIGHT(BZ$23:BZ$239,1),0)*IF(ISBLANK($T$1),1,IF($I$23:$I$239=$T$1,1,0))))</f>
        <v>0</v>
      </c>
      <c r="CA10" s="874">
        <f t="array" ref="CA10">SUM(IF(ISBLANK(CA$23:CA$239),0,IF(ISNUMBER(VALUE(RIGHT(CA$23:CA$239,1))),RIGHT(CA$23:CA$239,1),0)*IF(ISBLANK($T$1),1,IF($I$23:$I$239=$T$1,1,0))))</f>
        <v>0</v>
      </c>
      <c r="CB10" s="874">
        <f t="array" ref="CB10">SUM(IF(ISBLANK(CB$23:CB$239),0,IF(ISNUMBER(VALUE(RIGHT(CB$23:CB$239,1))),RIGHT(CB$23:CB$239,1),0)*IF(ISBLANK($T$1),1,IF($I$23:$I$239=$T$1,1,0))))</f>
        <v>0</v>
      </c>
      <c r="CC10" s="874">
        <f t="array" ref="CC10">SUM(IF(ISBLANK(CC$23:CC$239),0,IF(ISNUMBER(VALUE(RIGHT(CC$23:CC$239,1))),RIGHT(CC$23:CC$239,1),0)*IF(ISBLANK($T$1),1,IF($I$23:$I$239=$T$1,1,0))))</f>
        <v>0</v>
      </c>
      <c r="CD10" s="874">
        <f t="array" ref="CD10">SUM(IF(ISBLANK(CD$23:CD$239),0,IF(ISNUMBER(VALUE(RIGHT(CD$23:CD$239,1))),RIGHT(CD$23:CD$239,1),0)*IF(ISBLANK($T$1),1,IF($I$23:$I$239=$T$1,1,0))))</f>
        <v>0</v>
      </c>
      <c r="CE10" s="874">
        <f t="array" ref="CE10">SUM(IF(ISBLANK(CE$23:CE$239),0,IF(ISNUMBER(VALUE(RIGHT(CE$23:CE$239,1))),RIGHT(CE$23:CE$239,1),0)*IF(ISBLANK($T$1),1,IF($I$23:$I$239=$T$1,1,0))))</f>
        <v>0</v>
      </c>
      <c r="CF10" s="874">
        <f t="array" ref="CF10">SUM(IF(ISBLANK(CF$23:CF$239),0,IF(ISNUMBER(VALUE(RIGHT(CF$23:CF$239,1))),RIGHT(CF$23:CF$239,1),0)*IF(ISBLANK($T$1),1,IF($I$23:$I$239=$T$1,1,0))))</f>
        <v>0</v>
      </c>
      <c r="CG10" s="874">
        <f t="array" ref="CG10">SUM(IF(ISBLANK(CG$23:CG$239),0,IF(ISNUMBER(VALUE(RIGHT(CG$23:CG$239,1))),RIGHT(CG$23:CG$239,1),0)*IF(ISBLANK($T$1),1,IF($I$23:$I$239=$T$1,1,0))))</f>
        <v>0</v>
      </c>
      <c r="CH10" s="874">
        <f t="array" ref="CH10">SUM(IF(ISBLANK(CH$23:CH$239),0,IF(ISNUMBER(VALUE(RIGHT(CH$23:CH$239,1))),RIGHT(CH$23:CH$239,1),0)*IF(ISBLANK($T$1),1,IF($I$23:$I$239=$T$1,1,0))))</f>
        <v>0</v>
      </c>
      <c r="CI10" s="874">
        <f t="array" ref="CI10">SUM(IF(ISBLANK(CI$23:CI$239),0,IF(ISNUMBER(VALUE(RIGHT(CI$23:CI$239,1))),RIGHT(CI$23:CI$239,1),0)*IF(ISBLANK($T$1),1,IF($I$23:$I$239=$T$1,1,0))))</f>
        <v>0</v>
      </c>
      <c r="CJ10" s="874">
        <f t="array" ref="CJ10">SUM(IF(ISBLANK(CJ$23:CJ$239),0,IF(ISNUMBER(VALUE(RIGHT(CJ$23:CJ$239,1))),RIGHT(CJ$23:CJ$239,1),0)*IF(ISBLANK($T$1),1,IF($I$23:$I$239=$T$1,1,0))))</f>
        <v>0</v>
      </c>
      <c r="CK10" s="874">
        <f t="array" ref="CK10">SUM(IF(ISBLANK(CK$23:CK$239),0,IF(ISNUMBER(VALUE(RIGHT(CK$23:CK$239,1))),RIGHT(CK$23:CK$239,1),0)*IF(ISBLANK($T$1),1,IF($I$23:$I$239=$T$1,1,0))))</f>
        <v>0</v>
      </c>
    </row>
    <row r="11" spans="1:89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K11" si="11">AF10/AF2</f>
        <v>1.3953488372093024</v>
      </c>
      <c r="AG11" s="874">
        <f t="shared" si="11"/>
        <v>0</v>
      </c>
      <c r="AH11" s="874">
        <f t="shared" si="11"/>
        <v>0</v>
      </c>
      <c r="AI11" s="874">
        <f t="shared" si="11"/>
        <v>0</v>
      </c>
      <c r="AL11" s="874">
        <f t="shared" si="11"/>
        <v>0</v>
      </c>
      <c r="AM11" s="874">
        <f t="shared" si="11"/>
        <v>0</v>
      </c>
      <c r="AO11" s="874">
        <f>AO10/AO2</f>
        <v>4.6511627906976744E-2</v>
      </c>
      <c r="AP11" s="874">
        <f t="shared" si="11"/>
        <v>2.3809523809523808E-2</v>
      </c>
      <c r="AR11" s="874">
        <f>AR10/AR2</f>
        <v>2.3255813953488372E-2</v>
      </c>
      <c r="AS11" s="874">
        <f>AS10/AS2</f>
        <v>2.3255813953488372E-2</v>
      </c>
      <c r="AT11" s="874">
        <f t="shared" si="11"/>
        <v>0</v>
      </c>
      <c r="AU11" s="874">
        <f>AU10/AU2</f>
        <v>2.3255813953488372E-2</v>
      </c>
      <c r="AV11" s="874">
        <f>AV10/AV2</f>
        <v>0.13953488372093023</v>
      </c>
      <c r="AW11" s="874">
        <f>AW10/AW2</f>
        <v>9.3023255813953487E-2</v>
      </c>
      <c r="AY11" s="874">
        <f>AY10/AY2</f>
        <v>4.7619047619047616E-2</v>
      </c>
      <c r="AZ11" s="874">
        <f>AZ10/AZ2</f>
        <v>0.16279069767441862</v>
      </c>
      <c r="BC11" s="874">
        <f>BC10/BC2</f>
        <v>0</v>
      </c>
      <c r="BG11" s="874">
        <f t="shared" ref="BG11" si="12">BG10/BG2</f>
        <v>0.58139534883720934</v>
      </c>
      <c r="BJ11" s="874">
        <f>BJ10/BJ2</f>
        <v>0.12195121951219512</v>
      </c>
      <c r="BO11" s="874" t="e">
        <f>BO10/BO2</f>
        <v>#DIV/0!</v>
      </c>
      <c r="BQ11" s="874" t="e">
        <f>BQ10/BQ2</f>
        <v>#DIV/0!</v>
      </c>
      <c r="BR11" s="874" t="e">
        <f>BR10/BR2</f>
        <v>#DIV/0!</v>
      </c>
      <c r="BS11" s="874">
        <f t="shared" si="11"/>
        <v>0</v>
      </c>
      <c r="BX11" s="874">
        <f t="shared" ref="BX11:CD11" si="13">BX10/BX2</f>
        <v>0</v>
      </c>
      <c r="BY11" s="874">
        <f t="shared" si="13"/>
        <v>0</v>
      </c>
      <c r="BZ11" s="874" t="e">
        <f t="shared" si="13"/>
        <v>#DIV/0!</v>
      </c>
      <c r="CA11" s="874" t="e">
        <f t="shared" si="13"/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1"/>
        <v>#DIV/0!</v>
      </c>
      <c r="CF11" s="874" t="e">
        <f t="shared" si="11"/>
        <v>#DIV/0!</v>
      </c>
      <c r="CG11" s="874" t="e">
        <f t="shared" si="11"/>
        <v>#DIV/0!</v>
      </c>
      <c r="CH11" s="874" t="e">
        <f t="shared" si="11"/>
        <v>#DIV/0!</v>
      </c>
      <c r="CI11" s="874">
        <f t="shared" si="11"/>
        <v>0</v>
      </c>
      <c r="CJ11" s="874">
        <f t="shared" si="11"/>
        <v>0</v>
      </c>
      <c r="CK11" s="874">
        <f t="shared" si="11"/>
        <v>0</v>
      </c>
    </row>
    <row r="12" spans="1:89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SUM(IF(ISBLANK($T$1),$K$23:$K$239,IF($I$23:$I$239=$T$1,$K$23:$K$239,0)))</f>
        <v>51</v>
      </c>
      <c r="AG12" s="874">
        <f t="array" ref="AG12">SUM(IF(ISBLANK(AG$23:AG$239),0,$K23:$K239)*IF(ISBLANK($T$1),1,IF($I$23:$I$239=$T$1,1,0)))</f>
        <v>51</v>
      </c>
      <c r="AH12" s="874">
        <f t="array" ref="AH12">SUM(IF(ISBLANK(AH$23:AH$239),0,$K23:$K239)*IF(ISBLANK($T$1),1,IF($I$23:$I$239=$T$1,1,0)))</f>
        <v>50</v>
      </c>
      <c r="AI12" s="874">
        <f t="array" ref="AI12">SUM(IF(ISBLANK(AI$23:AI$239),0,$K23:$K239)*IF(ISBLANK($T$1),1,IF($I$23:$I$239=$T$1,1,0)))</f>
        <v>49</v>
      </c>
      <c r="AL12" s="874">
        <f t="array" ref="AL12">SUM(IF(ISBLANK(AL$23:AL$239),0,$K23:$K239)*IF(ISBLANK($T$1),1,IF($I$23:$I$239=$T$1,1,0)))</f>
        <v>50</v>
      </c>
      <c r="AM12" s="874">
        <f t="array" ref="AM12">SUM(IF(ISBLANK(AM$23:AM$239),0,$K23:$K239)*IF(ISBLANK($T$1),1,IF($I$23:$I$239=$T$1,1,0)))</f>
        <v>51</v>
      </c>
      <c r="AO12" s="874">
        <f t="array" ref="AO12">SUM(IF(ISBLANK(AO$23:AO$239),0,$K23:$K239)*IF(ISBLANK($T$1),1,IF($I$23:$I$239=$T$1,1,0)))</f>
        <v>51</v>
      </c>
      <c r="AP12" s="874">
        <f t="array" ref="AP12">SUM(IF(ISBLANK(AP$23:AP$239),0,$K23:$K239)*IF(ISBLANK($T$1),1,IF($I$23:$I$239=$T$1,1,0)))</f>
        <v>50</v>
      </c>
      <c r="AR12" s="874">
        <f t="array" ref="AR12">SUM(IF(ISBLANK(AR$23:AR$239),0,$K23:$K239)*IF(ISBLANK($T$1),1,IF($I$23:$I$239=$T$1,1,0)))</f>
        <v>51</v>
      </c>
      <c r="AS12" s="874">
        <f t="array" ref="AS12">SUM(IF(ISBLANK(AS$23:AS$239),0,$K23:$K239)*IF(ISBLANK($T$1),1,IF($I$23:$I$239=$T$1,1,0)))</f>
        <v>51</v>
      </c>
      <c r="AT12" s="874">
        <f t="array" ref="AT12">SUM(IF(ISBLANK(AT$23:AT$239),0,$K23:$K239)*IF(ISBLANK($T$1),1,IF($I$23:$I$239=$T$1,1,0)))</f>
        <v>51</v>
      </c>
      <c r="AU12" s="874">
        <f t="array" ref="AU12">SUM(IF(ISBLANK(AU$23:AU$239),0,$K23:$K239)*IF(ISBLANK($T$1),1,IF($I$23:$I$239=$T$1,1,0)))</f>
        <v>51</v>
      </c>
      <c r="AV12" s="874">
        <f t="array" ref="AV12">SUM(IF(ISBLANK(AV$23:AV$239),0,$K23:$K239)*IF(ISBLANK($T$1),1,IF($I$23:$I$239=$T$1,1,0)))</f>
        <v>51</v>
      </c>
      <c r="AW12" s="874">
        <f t="array" ref="AW12">SUM(IF(ISBLANK(AW$23:AW$239),0,$K23:$K239)*IF(ISBLANK($T$1),1,IF($I$23:$I$239=$T$1,1,0)))</f>
        <v>51</v>
      </c>
      <c r="AY12" s="874">
        <f t="array" ref="AY12">SUM(IF(ISBLANK(AY$23:AY$239),0,$K23:$K239)*IF(ISBLANK($T$1),1,IF($I$23:$I$239=$T$1,1,0)))</f>
        <v>50</v>
      </c>
      <c r="AZ12" s="874">
        <f t="array" ref="AZ12">SUM(IF(ISBLANK(AZ$23:AZ$239),0,$K23:$K239)*IF(ISBLANK($T$1),1,IF($I$23:$I$239=$T$1,1,0)))</f>
        <v>51</v>
      </c>
      <c r="BC12" s="874">
        <f t="array" ref="BC12">SUM(IF(ISBLANK(BC$23:BC$239),0,$K23:$K239)*IF(ISBLANK($T$1),1,IF($I$23:$I$239=$T$1,1,0)))</f>
        <v>50</v>
      </c>
      <c r="BG12" s="874">
        <f t="array" ref="BG12">SUM(IF(ISBLANK(BG$23:BG$239),0,$K23:$K239)*IF(ISBLANK($T$1),1,IF($I$23:$I$239=$T$1,1,0)))</f>
        <v>51</v>
      </c>
      <c r="BJ12" s="874">
        <f t="array" ref="BJ12">SUM(IF(ISBLANK(BJ$23:BJ$239),0,$K23:$K239)*IF(ISBLANK($T$1),1,IF($I$23:$I$239=$T$1,1,0)))</f>
        <v>45</v>
      </c>
      <c r="BO12" s="874">
        <f t="array" ref="BO12">SUM(IF(ISBLANK(BO$23:BO$239),0,$K23:$K239)*IF(ISBLANK($T$1),1,IF($I$23:$I$239=$T$1,1,0)))</f>
        <v>0</v>
      </c>
      <c r="BQ12" s="874">
        <f t="array" ref="BQ12">SUM(IF(ISBLANK(BQ$23:BQ$239),0,$K23:$K239)*IF(ISBLANK($T$1),1,IF($I$23:$I$239=$T$1,1,0)))</f>
        <v>0</v>
      </c>
      <c r="BR12" s="874">
        <f t="array" ref="BR12">SUM(IF(ISBLANK(BR$23:BR$239),0,$K23:$K239)*IF(ISBLANK($T$1),1,IF($I$23:$I$239=$T$1,1,0)))</f>
        <v>0</v>
      </c>
      <c r="BS12" s="874" t="e">
        <f t="array" ref="BS12">SUM(IF(ISBLANK(BS$40:BS$239),0,$K23:$K239)*IF(ISBLANK($T$1),1,IF($I$23:$I$239=$T$1,1,0)))</f>
        <v>#N/A</v>
      </c>
      <c r="BX12" s="874">
        <f t="array" ref="BX12">SUM(IF(ISBLANK(BX$23:BX$239),0,$K23:$K239)*IF(ISBLANK($T$1),1,IF($I$23:$I$239=$T$1,1,0)))</f>
        <v>1</v>
      </c>
      <c r="BY12" s="874">
        <f t="array" ref="BY12">SUM(IF(ISBLANK(BY$23:BY$239),0,$K23:$K239)*IF(ISBLANK($T$1),1,IF($I$23:$I$239=$T$1,1,0)))</f>
        <v>1</v>
      </c>
      <c r="BZ12" s="874">
        <f t="array" ref="BZ12">SUM(IF(ISBLANK(BZ$23:BZ$239),0,$K23:$K239)*IF(ISBLANK($T$1),1,IF($I$23:$I$239=$T$1,1,0)))</f>
        <v>0</v>
      </c>
      <c r="CA12" s="874">
        <f t="array" ref="CA12">SUM(IF(ISBLANK(CA$23:CA$239),0,$K23:$K239)*IF(ISBLANK($T$1),1,IF($I$23:$I$239=$T$1,1,0)))</f>
        <v>0</v>
      </c>
      <c r="CB12" s="874">
        <f t="array" ref="CB12">SUM(IF(ISBLANK(CB$23:CB$239),0,$K23:$K239)*IF(ISBLANK($T$1),1,IF($I$23:$I$239=$T$1,1,0)))</f>
        <v>0</v>
      </c>
      <c r="CC12" s="874">
        <f t="array" ref="CC12">SUM(IF(ISBLANK(CC$23:CC$239),0,$K23:$K239)*IF(ISBLANK($T$1),1,IF($I$23:$I$239=$T$1,1,0)))</f>
        <v>0</v>
      </c>
      <c r="CD12" s="874">
        <f t="array" ref="CD12">SUM(IF(ISBLANK(CD$23:CD$239),0,$K23:$K239)*IF(ISBLANK($T$1),1,IF($I$23:$I$239=$T$1,1,0)))</f>
        <v>0</v>
      </c>
      <c r="CE12" s="874">
        <f t="array" ref="CE12">SUM(IF(ISBLANK(CE$23:CE$239),0,$K23:$K239)*IF(ISBLANK($T$1),1,IF($I$23:$I$239=$T$1,1,0)))</f>
        <v>0</v>
      </c>
      <c r="CF12" s="874">
        <f t="array" ref="CF12">SUM(IF(ISBLANK(CF$23:CF$239),0,$K23:$K239)*IF(ISBLANK($T$1),1,IF($I$23:$I$239=$T$1,1,0)))</f>
        <v>0</v>
      </c>
      <c r="CG12" s="874">
        <f t="array" ref="CG12">SUM(IF(ISBLANK(CG$23:CG$239),0,$K23:$K239)*IF(ISBLANK($T$1),1,IF($I$23:$I$239=$T$1,1,0)))</f>
        <v>0</v>
      </c>
      <c r="CH12" s="874">
        <f t="array" ref="CH12">SUM(IF(ISBLANK(CH$23:CH$239),0,$K23:$K239)*IF(ISBLANK($T$1),1,IF($I$23:$I$239=$T$1,1,0)))</f>
        <v>0</v>
      </c>
      <c r="CI12" s="874">
        <f t="array" ref="CI12">SUM(IF(ISBLANK(CI$23:CI$239),0,$K23:$K239)*IF(ISBLANK($T$1),1,IF($I$23:$I$239=$T$1,1,0)))</f>
        <v>13</v>
      </c>
      <c r="CJ12" s="874">
        <f t="array" ref="CJ12">SUM(IF(ISBLANK(CJ$23:CJ$239),0,$K23:$K239)*IF(ISBLANK($T$1),1,IF($I$23:$I$239=$T$1,1,0)))</f>
        <v>13</v>
      </c>
      <c r="CK12" s="874">
        <f t="array" ref="CK12">SUM(IF(ISBLANK(CK$23:CK$239),0,$K23:$K239)*IF(ISBLANK($T$1),1,IF($I$23:$I$239=$T$1,1,0)))</f>
        <v>11</v>
      </c>
    </row>
    <row r="13" spans="1:89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K13" si="14">AF12/AF2</f>
        <v>1.1860465116279071</v>
      </c>
      <c r="AG13" s="874">
        <f t="shared" si="14"/>
        <v>1.1860465116279071</v>
      </c>
      <c r="AH13" s="874">
        <f t="shared" si="14"/>
        <v>1.1904761904761905</v>
      </c>
      <c r="AI13" s="874">
        <f t="shared" si="14"/>
        <v>1.1951219512195121</v>
      </c>
      <c r="AL13" s="874">
        <f t="shared" si="14"/>
        <v>1.1904761904761905</v>
      </c>
      <c r="AM13" s="874">
        <f t="shared" si="14"/>
        <v>1.1860465116279071</v>
      </c>
      <c r="AO13" s="874">
        <f>AO12/AO2</f>
        <v>1.1860465116279071</v>
      </c>
      <c r="AP13" s="874">
        <f t="shared" si="14"/>
        <v>1.1904761904761905</v>
      </c>
      <c r="AR13" s="874">
        <f>AR12/AR2</f>
        <v>1.1860465116279071</v>
      </c>
      <c r="AS13" s="874">
        <f>AS12/AS2</f>
        <v>1.1860465116279071</v>
      </c>
      <c r="AT13" s="874">
        <f t="shared" si="14"/>
        <v>1.1860465116279071</v>
      </c>
      <c r="AU13" s="874">
        <f>AU12/AU2</f>
        <v>1.1860465116279071</v>
      </c>
      <c r="AV13" s="874">
        <f>AV12/AV2</f>
        <v>1.1860465116279071</v>
      </c>
      <c r="AW13" s="874">
        <f>AW12/AW2</f>
        <v>1.1860465116279071</v>
      </c>
      <c r="AY13" s="874">
        <f>AY12/AY2</f>
        <v>1.1904761904761905</v>
      </c>
      <c r="AZ13" s="874">
        <f>AZ12/AZ2</f>
        <v>1.1860465116279071</v>
      </c>
      <c r="BC13" s="874">
        <f>BC12/BC2</f>
        <v>1.1904761904761905</v>
      </c>
      <c r="BG13" s="874">
        <f t="shared" ref="BG13" si="15">BG12/BG2</f>
        <v>1.1860465116279071</v>
      </c>
      <c r="BJ13" s="874">
        <f>BJ12/BJ2</f>
        <v>1.0975609756097562</v>
      </c>
      <c r="BO13" s="874" t="e">
        <f>BO12/BO2</f>
        <v>#DIV/0!</v>
      </c>
      <c r="BQ13" s="874" t="e">
        <f>BQ12/BQ2</f>
        <v>#DIV/0!</v>
      </c>
      <c r="BR13" s="874" t="e">
        <f>BR12/BR2</f>
        <v>#DIV/0!</v>
      </c>
      <c r="BS13" s="874" t="e">
        <f t="shared" si="14"/>
        <v>#N/A</v>
      </c>
      <c r="BX13" s="874">
        <f t="shared" ref="BX13:CD13" si="16">BX12/BX2</f>
        <v>1</v>
      </c>
      <c r="BY13" s="874">
        <f t="shared" si="16"/>
        <v>1</v>
      </c>
      <c r="BZ13" s="874" t="e">
        <f t="shared" si="16"/>
        <v>#DIV/0!</v>
      </c>
      <c r="CA13" s="874" t="e">
        <f t="shared" si="16"/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4"/>
        <v>#DIV/0!</v>
      </c>
      <c r="CF13" s="874" t="e">
        <f t="shared" si="14"/>
        <v>#DIV/0!</v>
      </c>
      <c r="CG13" s="874" t="e">
        <f t="shared" si="14"/>
        <v>#DIV/0!</v>
      </c>
      <c r="CH13" s="874" t="e">
        <f t="shared" si="14"/>
        <v>#DIV/0!</v>
      </c>
      <c r="CI13" s="874">
        <f t="shared" si="14"/>
        <v>0.8125</v>
      </c>
      <c r="CJ13" s="874">
        <f t="shared" si="14"/>
        <v>0.8125</v>
      </c>
      <c r="CK13" s="874">
        <f t="shared" si="14"/>
        <v>0.73333333333333328</v>
      </c>
    </row>
    <row r="14" spans="1:89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:AS14" si="17">AG15+AG16</f>
        <v>41</v>
      </c>
      <c r="AH14" s="849">
        <f t="shared" si="17"/>
        <v>1</v>
      </c>
      <c r="AI14" s="849">
        <f t="shared" si="17"/>
        <v>0</v>
      </c>
      <c r="AJ14" s="902">
        <f t="shared" ref="AJ14:AK14" si="18">AJ15+AJ16</f>
        <v>1</v>
      </c>
      <c r="AK14" s="902">
        <f t="shared" si="18"/>
        <v>1</v>
      </c>
      <c r="AL14" s="849">
        <f t="shared" si="17"/>
        <v>21</v>
      </c>
      <c r="AM14" s="849">
        <f t="shared" si="17"/>
        <v>39</v>
      </c>
      <c r="AN14" s="849">
        <f t="shared" si="17"/>
        <v>13</v>
      </c>
      <c r="AO14" s="849">
        <f t="shared" si="17"/>
        <v>36</v>
      </c>
      <c r="AP14" s="849">
        <f t="shared" si="17"/>
        <v>17</v>
      </c>
      <c r="AQ14" s="849">
        <f t="shared" si="17"/>
        <v>4</v>
      </c>
      <c r="AR14" s="849">
        <f>AR15+AR16</f>
        <v>38</v>
      </c>
      <c r="AS14" s="849">
        <f t="shared" si="17"/>
        <v>24</v>
      </c>
      <c r="AT14" s="849">
        <f t="shared" ref="AT14:BI14" si="19">AT15+AT16</f>
        <v>25</v>
      </c>
      <c r="AU14" s="849">
        <f t="shared" si="19"/>
        <v>40</v>
      </c>
      <c r="AV14" s="849">
        <f t="shared" si="19"/>
        <v>35</v>
      </c>
      <c r="AW14" s="849">
        <f t="shared" si="19"/>
        <v>40</v>
      </c>
      <c r="AX14" s="849">
        <f t="shared" si="19"/>
        <v>11</v>
      </c>
      <c r="AY14" s="849">
        <f t="shared" si="19"/>
        <v>16</v>
      </c>
      <c r="AZ14" s="849">
        <f t="shared" si="19"/>
        <v>37</v>
      </c>
      <c r="BA14" s="849">
        <f t="shared" si="19"/>
        <v>10</v>
      </c>
      <c r="BB14" s="849">
        <f t="shared" si="19"/>
        <v>4</v>
      </c>
      <c r="BC14" s="849">
        <f>BC15+BC16</f>
        <v>3</v>
      </c>
      <c r="BD14" s="849">
        <f>BD15+BD16</f>
        <v>1</v>
      </c>
      <c r="BE14" s="849">
        <f>BE15+BE16</f>
        <v>18</v>
      </c>
      <c r="BF14" s="849">
        <f t="shared" si="19"/>
        <v>12</v>
      </c>
      <c r="BG14" s="849">
        <f>BG15+BG16</f>
        <v>41</v>
      </c>
      <c r="BH14" s="849">
        <f t="shared" si="19"/>
        <v>13</v>
      </c>
      <c r="BI14" s="849">
        <f t="shared" si="19"/>
        <v>7</v>
      </c>
      <c r="BJ14" s="902">
        <f t="shared" ref="BJ14:BK14" si="20">BJ15+BJ16</f>
        <v>23</v>
      </c>
      <c r="BK14" s="902">
        <f t="shared" si="20"/>
        <v>19</v>
      </c>
      <c r="BL14" s="889"/>
      <c r="BM14" s="889"/>
      <c r="BN14" s="849">
        <f>BN15+BN16</f>
        <v>0</v>
      </c>
      <c r="BO14" s="889"/>
      <c r="BP14" s="889"/>
      <c r="BQ14" s="889"/>
      <c r="BR14" s="889"/>
      <c r="BS14" s="889"/>
      <c r="BT14" s="890"/>
      <c r="BU14" s="890"/>
      <c r="BV14" s="890"/>
      <c r="BW14" s="890"/>
      <c r="BX14" s="889"/>
      <c r="BY14" s="889"/>
      <c r="BZ14" s="889"/>
      <c r="CA14" s="889"/>
      <c r="CB14" s="889"/>
      <c r="CC14" s="889"/>
      <c r="CD14" s="889"/>
    </row>
    <row r="15" spans="1:89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AVERAGEIFS($Q$23:$Q$206,$H$23:$H$206,"H",$I$23:$I$206,Table!$C$1)</f>
        <v>0.19714285714285712</v>
      </c>
      <c r="S15" s="858">
        <f>AVERAGEIFS($Q$23:$Q$206,$H$23:$H$206,"A",$I$23:$I$206,Table!$C$1)</f>
        <v>-6.8571428571428575E-2</v>
      </c>
      <c r="AF15" s="848" t="s">
        <v>821</v>
      </c>
      <c r="AG15" s="850">
        <f t="array" ref="AG15">SUM(IF(LEFT(AG23:AG160,1)="X",1,0))</f>
        <v>41</v>
      </c>
      <c r="AH15" s="850">
        <f t="array" ref="AH15">SUM(IF(LEFT(AH23:AH160,1)="X",1,0))</f>
        <v>1</v>
      </c>
      <c r="AI15" s="850">
        <f t="array" ref="AI15">SUM(IF(LEFT(AI23:AI160,1)="X",1,0))</f>
        <v>0</v>
      </c>
      <c r="AJ15" s="903">
        <f t="array" ref="AJ15">SUM(IF(LEFT(AJ23:AJ160,1)="X",1,0))</f>
        <v>1</v>
      </c>
      <c r="AK15" s="903">
        <f t="array" ref="AK15">SUM(IF(LEFT(AK23:AK160,1)="X",1,0))</f>
        <v>0</v>
      </c>
      <c r="AL15" s="850">
        <f t="array" ref="AL15">SUM(IF(LEFT(AL23:AL160,1)="X",1,0))</f>
        <v>18</v>
      </c>
      <c r="AM15" s="850">
        <f t="array" ref="AM15">SUM(IF(LEFT(AM23:AM160,1)="X",1,0))</f>
        <v>38</v>
      </c>
      <c r="AN15" s="850">
        <f t="array" ref="AN15">SUM(IF(LEFT(AN23:AN160,1)="X",1,0))</f>
        <v>8</v>
      </c>
      <c r="AO15" s="850">
        <f t="array" ref="AO15">SUM(IF(LEFT(AO23:AO160,1)="X",1,0))</f>
        <v>36</v>
      </c>
      <c r="AP15" s="850">
        <f t="array" ref="AP15">SUM(IF(LEFT(AP23:AP160,1)="X",1,0))</f>
        <v>13</v>
      </c>
      <c r="AQ15" s="850">
        <f t="array" ref="AQ15">SUM(IF(LEFT(AQ23:AQ160,1)="X",1,0))</f>
        <v>3</v>
      </c>
      <c r="AR15" s="850">
        <f t="array" ref="AR15">SUM(IF(LEFT(AR23:AR160,1)="X",1,0))</f>
        <v>38</v>
      </c>
      <c r="AS15" s="850">
        <f t="array" ref="AS15">SUM(IF(LEFT(AS23:AS160,1)="X",1,0))</f>
        <v>13</v>
      </c>
      <c r="AT15" s="850">
        <f t="array" ref="AT15">SUM(IF(LEFT(AT23:AT160,1)="X",1,0))</f>
        <v>19</v>
      </c>
      <c r="AU15" s="850">
        <f t="array" ref="AU15">SUM(IF(LEFT(AU23:AU160,1)="X",1,0))</f>
        <v>40</v>
      </c>
      <c r="AV15" s="850">
        <f t="array" ref="AV15">SUM(IF(LEFT(AV23:AV160,1)="X",1,0))</f>
        <v>32</v>
      </c>
      <c r="AW15" s="850">
        <f t="array" ref="AW15">SUM(IF(LEFT(AW23:AW160,1)="X",1,0))</f>
        <v>40</v>
      </c>
      <c r="AX15" s="850">
        <f t="array" ref="AX15">SUM(IF(LEFT(AX23:AX160,1)="X",1,0))</f>
        <v>5</v>
      </c>
      <c r="AY15" s="850">
        <f t="array" ref="AY15">SUM(IF(LEFT(AY23:AY160,1)="X",1,0))</f>
        <v>6</v>
      </c>
      <c r="AZ15" s="850">
        <f t="array" ref="AZ15">SUM(IF(LEFT(AZ23:AZ160,1)="X",1,0))</f>
        <v>34</v>
      </c>
      <c r="BA15" s="850">
        <f t="array" ref="BA15">SUM(IF(LEFT(BA23:BA160,1)="X",1,0))</f>
        <v>1</v>
      </c>
      <c r="BB15" s="850">
        <f t="array" ref="BB15">SUM(IF(LEFT(BB23:BB160,1)="X",1,0))</f>
        <v>4</v>
      </c>
      <c r="BC15" s="850">
        <f t="array" ref="BC15">SUM(IF(LEFT(BC23:BC160,1)="X",1,0))</f>
        <v>1</v>
      </c>
      <c r="BD15" s="850">
        <f t="array" ref="BD15">SUM(IF(LEFT(BD23:BD160,1)="X",1,0))</f>
        <v>0</v>
      </c>
      <c r="BE15" s="850">
        <f t="array" ref="BE15">SUM(IF(LEFT(BE23:BE160,1)="X",1,0))</f>
        <v>7</v>
      </c>
      <c r="BF15" s="850">
        <f t="array" ref="BF15">SUM(IF(LEFT(BF23:BF160,1)="X",1,0))</f>
        <v>7</v>
      </c>
      <c r="BG15" s="850">
        <f t="array" ref="BG15">SUM(IF(LEFT(BG23:BG160,1)="X",1,0))</f>
        <v>40</v>
      </c>
      <c r="BH15" s="850">
        <f t="array" ref="BH15">SUM(IF(LEFT(BH23:BH160,1)="X",1,0))</f>
        <v>4</v>
      </c>
      <c r="BI15" s="850">
        <f t="array" ref="BI15">SUM(IF(LEFT(BI23:BI160,1)="X",1,0))</f>
        <v>0</v>
      </c>
      <c r="BJ15" s="903">
        <f t="array" ref="BJ15">SUM(IF(LEFT(BJ23:BJ160,1)="X",1,0))</f>
        <v>4</v>
      </c>
      <c r="BK15" s="903">
        <f t="array" ref="BK15">SUM(IF(LEFT(BK23:BK160,1)="X",1,0))</f>
        <v>19</v>
      </c>
      <c r="BL15" s="889"/>
      <c r="BM15" s="889"/>
      <c r="BN15" s="850">
        <f t="array" ref="BN15">SUM(IF(LEFT(BN23:BN160,1)="X",1,0))</f>
        <v>0</v>
      </c>
      <c r="BO15" s="889"/>
      <c r="BP15" s="889"/>
      <c r="BQ15" s="889"/>
      <c r="BR15" s="889"/>
      <c r="BS15" s="889"/>
      <c r="BT15" s="890"/>
      <c r="BU15" s="890"/>
      <c r="BV15" s="890"/>
      <c r="BW15" s="890"/>
      <c r="BX15" s="889"/>
      <c r="BY15" s="889"/>
      <c r="BZ15" s="889"/>
      <c r="CA15" s="889"/>
      <c r="CB15" s="889"/>
      <c r="CC15" s="889"/>
      <c r="CD15" s="889"/>
    </row>
    <row r="16" spans="1:89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21</v>
      </c>
      <c r="I16" s="858">
        <f>AVERAGEIF($H$23:$H$203,"=H",$J$23:$J$203)</f>
        <v>1.4285714285714286</v>
      </c>
      <c r="J16" s="858">
        <f>AVERAGEIF($H$23:$H$207,"=H",$K$23:$K$207)</f>
        <v>0.80952380952380953</v>
      </c>
      <c r="K16" s="858">
        <f>I16-J16</f>
        <v>0.61904761904761907</v>
      </c>
      <c r="L16" s="857">
        <f>COUNTIFS($L$23:$L$203,"=W",$H$23:$H$203,"=H")</f>
        <v>12</v>
      </c>
      <c r="M16" s="857">
        <f>COUNTIFS($L$23:$L$203,"=D",$H$23:$H$203,"=H")</f>
        <v>3</v>
      </c>
      <c r="N16" s="863">
        <f>COUNTIFS($L$23:$L$203,"=L",$H$23:$H$203,"=H")</f>
        <v>6</v>
      </c>
      <c r="O16" s="858">
        <f>SUM(I16:J16)</f>
        <v>2.2380952380952381</v>
      </c>
      <c r="Q16" s="861" t="s">
        <v>212</v>
      </c>
      <c r="R16" s="858">
        <f>AVERAGEIFS($S$23:$S$204,$H$23:$H$204,"H",$I$23:$I$204,Table!$C$1)</f>
        <v>2.374285714285715</v>
      </c>
      <c r="S16" s="858">
        <f>AVERAGEIFS($S$23:$S$204,$H$23:$H$204,"A",$I$23:$I$204,Table!$C$1)</f>
        <v>2.4085714285714284</v>
      </c>
      <c r="AF16" s="848" t="s">
        <v>724</v>
      </c>
      <c r="AG16" s="850">
        <f t="array" ref="AG16">SUM(IF(LEFT(AG23:AG161,1)="s",1,0))</f>
        <v>0</v>
      </c>
      <c r="AH16" s="850">
        <f t="array" ref="AH16">SUM(IF(LEFT(AH23:AH161,1)="s",1,0))</f>
        <v>0</v>
      </c>
      <c r="AI16" s="850">
        <f t="array" ref="AI16">SUM(IF(LEFT(AI23:AI161,1)="s",1,0))</f>
        <v>0</v>
      </c>
      <c r="AJ16" s="903">
        <f t="array" ref="AJ16">SUM(IF(LEFT(AJ23:AJ161,1)="s",1,0))</f>
        <v>0</v>
      </c>
      <c r="AK16" s="903">
        <f t="array" ref="AK16">SUM(IF(LEFT(AK23:AK161,1)="s",1,0))</f>
        <v>1</v>
      </c>
      <c r="AL16" s="850">
        <f t="array" ref="AL16">SUM(IF(LEFT(AL23:AL161,1)="s",1,0))</f>
        <v>3</v>
      </c>
      <c r="AM16" s="850">
        <f t="array" ref="AM16">SUM(IF(LEFT(AM23:AM161,1)="s",1,0))</f>
        <v>1</v>
      </c>
      <c r="AN16" s="850">
        <f t="array" ref="AN16">SUM(IF(LEFT(AN23:AN161,1)="s",1,0))</f>
        <v>5</v>
      </c>
      <c r="AO16" s="850">
        <f t="array" ref="AO16">SUM(IF(LEFT(AO23:AO161,1)="s",1,0))</f>
        <v>0</v>
      </c>
      <c r="AP16" s="850">
        <f t="array" ref="AP16">SUM(IF(LEFT(AP23:AP161,1)="s",1,0))</f>
        <v>4</v>
      </c>
      <c r="AQ16" s="850">
        <f t="array" ref="AQ16">SUM(IF(LEFT(AQ23:AQ161,1)="s",1,0))</f>
        <v>1</v>
      </c>
      <c r="AR16" s="850">
        <f t="array" ref="AR16">SUM(IF(LEFT(AR23:AR161,1)="s",1,0))</f>
        <v>0</v>
      </c>
      <c r="AS16" s="850">
        <f t="array" ref="AS16">SUM(IF(LEFT(AS23:AS161,1)="s",1,0))</f>
        <v>11</v>
      </c>
      <c r="AT16" s="850">
        <f t="array" ref="AT16">SUM(IF(LEFT(AT23:AT161,1)="s",1,0))</f>
        <v>6</v>
      </c>
      <c r="AU16" s="850">
        <f t="array" ref="AU16">SUM(IF(LEFT(AU23:AU161,1)="s",1,0))</f>
        <v>0</v>
      </c>
      <c r="AV16" s="850">
        <f t="array" ref="AV16">SUM(IF(LEFT(AV23:AV161,1)="s",1,0))</f>
        <v>3</v>
      </c>
      <c r="AW16" s="850">
        <f t="array" ref="AW16">SUM(IF(LEFT(AW23:AW161,1)="s",1,0))</f>
        <v>0</v>
      </c>
      <c r="AX16" s="850">
        <f t="array" ref="AX16">SUM(IF(LEFT(AX23:AX161,1)="s",1,0))</f>
        <v>6</v>
      </c>
      <c r="AY16" s="850">
        <f t="array" ref="AY16">SUM(IF(LEFT(AY23:AY161,1)="s",1,0))</f>
        <v>10</v>
      </c>
      <c r="AZ16" s="850">
        <f t="array" ref="AZ16">SUM(IF(LEFT(AZ23:AZ161,1)="s",1,0))</f>
        <v>3</v>
      </c>
      <c r="BA16" s="850">
        <f t="array" ref="BA16">SUM(IF(LEFT(BA23:BA161,1)="s",1,0))</f>
        <v>9</v>
      </c>
      <c r="BB16" s="850">
        <f t="array" ref="BB16">SUM(IF(LEFT(BB23:BB161,1)="s",1,0))</f>
        <v>0</v>
      </c>
      <c r="BC16" s="850">
        <f t="array" ref="BC16">SUM(IF(LEFT(BC23:BC161,1)="s",1,0))</f>
        <v>2</v>
      </c>
      <c r="BD16" s="850">
        <f t="array" ref="BD16">SUM(IF(LEFT(BD23:BD161,1)="s",1,0))</f>
        <v>1</v>
      </c>
      <c r="BE16" s="850">
        <f t="array" ref="BE16">SUM(IF(LEFT(BE23:BE161,1)="s",1,0))</f>
        <v>11</v>
      </c>
      <c r="BF16" s="850">
        <f t="array" ref="BF16">SUM(IF(LEFT(BF23:BF161,1)="s",1,0))</f>
        <v>5</v>
      </c>
      <c r="BG16" s="850">
        <f t="array" ref="BG16">SUM(IF(LEFT(BG23:BG161,1)="s",1,0))</f>
        <v>1</v>
      </c>
      <c r="BH16" s="850">
        <f t="array" ref="BH16">SUM(IF(LEFT(BH23:BH161,1)="s",1,0))</f>
        <v>9</v>
      </c>
      <c r="BI16" s="850">
        <f t="array" ref="BI16">SUM(IF(LEFT(BI23:BI161,1)="s",1,0))</f>
        <v>7</v>
      </c>
      <c r="BJ16" s="903">
        <f t="array" ref="BJ16">SUM(IF(LEFT(BJ23:BJ161,1)="s",1,0))</f>
        <v>19</v>
      </c>
      <c r="BK16" s="903">
        <f t="array" ref="BK16">SUM(IF(LEFT(BK23:BK161,1)="s",1,0))</f>
        <v>0</v>
      </c>
      <c r="BL16" s="889"/>
      <c r="BM16" s="889"/>
      <c r="BN16" s="850">
        <f t="array" ref="BN16">SUM(IF(LEFT(BN23:BN161,1)="s",1,0))</f>
        <v>0</v>
      </c>
      <c r="BO16" s="889"/>
      <c r="BP16" s="889"/>
      <c r="BQ16" s="889"/>
      <c r="BR16" s="889"/>
      <c r="BS16" s="889"/>
      <c r="BT16" s="890"/>
      <c r="BU16" s="890"/>
      <c r="BV16" s="890"/>
      <c r="BW16" s="890"/>
      <c r="BX16" s="889"/>
      <c r="BY16" s="889"/>
      <c r="BZ16" s="889"/>
      <c r="CA16" s="889"/>
      <c r="CB16" s="889"/>
      <c r="CC16" s="889"/>
      <c r="CD16" s="889"/>
    </row>
    <row r="17" spans="1:115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AVERAGEIF($H$23:$H$203,"=A",$J$23:$J$203)</f>
        <v>1.3636363636363635</v>
      </c>
      <c r="J17" s="860">
        <f>AVERAGEIF($H$23:$H$207,"=A",$K$23:$K$207)</f>
        <v>1.5454545454545454</v>
      </c>
      <c r="K17" s="858">
        <f>I17-J17</f>
        <v>-0.18181818181818188</v>
      </c>
      <c r="L17" s="857">
        <f>COUNTIFS($L$23:$L$203,"=W",$H$23:$H$203,"=A")</f>
        <v>5</v>
      </c>
      <c r="M17" s="857">
        <f>COUNTIFS($L$23:$L$203,"=D",$H$23:$H$203,"=A")</f>
        <v>9</v>
      </c>
      <c r="N17" s="863">
        <f>COUNTIFS($L$23:$L$203,"=L",$H$23:$H$203,"=A")</f>
        <v>8</v>
      </c>
      <c r="O17" s="858">
        <f>SUM(I17:J17)</f>
        <v>2.9090909090909092</v>
      </c>
      <c r="Q17" s="848"/>
      <c r="R17" s="859"/>
      <c r="S17" s="855"/>
      <c r="AF17" s="848" t="s">
        <v>718</v>
      </c>
      <c r="AG17" s="850">
        <f t="array" ref="AG17">SUM(IF(ISNUMBER(VALUE(RIGHT(AG23:AG169,1))),VALUE(RIGHT(AG23:AG169,1)),0))</f>
        <v>0</v>
      </c>
      <c r="AH17" s="850">
        <f t="array" ref="AH17">SUM(IF(ISNUMBER(VALUE(RIGHT(AH23:AH169,1))),VALUE(RIGHT(AH23:AH169,1)),0))</f>
        <v>0</v>
      </c>
      <c r="AI17" s="850">
        <f t="array" ref="AI17">SUM(IF(ISNUMBER(VALUE(RIGHT(AI23:AI169,1))),VALUE(RIGHT(AI23:AI169,1)),0))</f>
        <v>0</v>
      </c>
      <c r="AJ17" s="903">
        <f t="array" ref="AJ17">SUM(IF(ISNUMBER(VALUE(RIGHT(AJ23:AJ169,1))),VALUE(RIGHT(AJ23:AJ169,1)),0))</f>
        <v>0</v>
      </c>
      <c r="AK17" s="903">
        <f t="array" ref="AK17">SUM(IF(ISNUMBER(VALUE(RIGHT(AK23:AK169,1))),VALUE(RIGHT(AK23:AK169,1)),0))</f>
        <v>0</v>
      </c>
      <c r="AL17" s="850">
        <f t="array" ref="AL17">SUM(IF(ISNUMBER(VALUE(RIGHT(AL23:AL169,1))),VALUE(RIGHT(AL23:AL169,1)),0))</f>
        <v>0</v>
      </c>
      <c r="AM17" s="850">
        <f t="array" ref="AM17">SUM(IF(ISNUMBER(VALUE(RIGHT(AM23:AM169,1))),VALUE(RIGHT(AM23:AM169,1)),0))</f>
        <v>0</v>
      </c>
      <c r="AN17" s="850">
        <f t="array" ref="AN17">SUM(IF(ISNUMBER(VALUE(RIGHT(AN23:AN169,1))),VALUE(RIGHT(AN23:AN169,1)),0))</f>
        <v>0</v>
      </c>
      <c r="AO17" s="850">
        <f t="array" ref="AO17">SUM(IF(ISNUMBER(VALUE(RIGHT(AO23:AO169,1))),VALUE(RIGHT(AO23:AO169,1)),0))</f>
        <v>2</v>
      </c>
      <c r="AP17" s="850">
        <f t="array" ref="AP17">SUM(IF(ISNUMBER(VALUE(RIGHT(AP23:AP169,1))),VALUE(RIGHT(AP23:AP169,1)),0))</f>
        <v>1</v>
      </c>
      <c r="AQ17" s="850">
        <f t="array" ref="AQ17">SUM(IF(ISNUMBER(VALUE(RIGHT(AQ23:AQ169,1))),VALUE(RIGHT(AQ23:AQ169,1)),0))</f>
        <v>0</v>
      </c>
      <c r="AR17" s="850">
        <f t="array" ref="AR17">SUM(IF(ISNUMBER(VALUE(RIGHT(AR23:AR169,1))),VALUE(RIGHT(AR23:AR169,1)),0))</f>
        <v>1</v>
      </c>
      <c r="AS17" s="850">
        <f t="array" ref="AS17">SUM(IF(ISNUMBER(VALUE(RIGHT(AS23:AS169,1))),VALUE(RIGHT(AS23:AS169,1)),0))</f>
        <v>1</v>
      </c>
      <c r="AT17" s="850">
        <f t="array" ref="AT17">SUM(IF(ISNUMBER(VALUE(RIGHT(AT23:AT169,1))),VALUE(RIGHT(AT23:AT169,1)),0))</f>
        <v>0</v>
      </c>
      <c r="AU17" s="850">
        <f t="array" ref="AU17">SUM(IF(ISNUMBER(VALUE(RIGHT(AU23:AU169,1))),VALUE(RIGHT(AU23:AU169,1)),0))</f>
        <v>1</v>
      </c>
      <c r="AV17" s="850">
        <f t="array" ref="AV17">SUM(IF(ISNUMBER(VALUE(RIGHT(AV23:AV169,1))),VALUE(RIGHT(AV23:AV169,1)),0))</f>
        <v>6</v>
      </c>
      <c r="AW17" s="850">
        <f t="array" ref="AW17">SUM(IF(ISNUMBER(VALUE(RIGHT(AW23:AW169,1))),VALUE(RIGHT(AW23:AW169,1)),0))</f>
        <v>4</v>
      </c>
      <c r="AX17" s="850">
        <f t="array" ref="AX17">SUM(IF(ISNUMBER(VALUE(RIGHT(AX23:AX169,1))),VALUE(RIGHT(AX23:AX169,1)),0))</f>
        <v>0</v>
      </c>
      <c r="AY17" s="850">
        <f t="array" ref="AY17">SUM(IF(ISNUMBER(VALUE(RIGHT(AY23:AY169,1))),VALUE(RIGHT(AY23:AY169,1)),0))</f>
        <v>2</v>
      </c>
      <c r="AZ17" s="850">
        <f t="array" ref="AZ17">SUM(IF(ISNUMBER(VALUE(RIGHT(AZ23:AZ169,1))),VALUE(RIGHT(AZ23:AZ169,1)),0))</f>
        <v>7</v>
      </c>
      <c r="BA17" s="850">
        <f t="array" ref="BA17">SUM(IF(ISNUMBER(VALUE(RIGHT(BA23:BA169,1))),VALUE(RIGHT(BA23:BA169,1)),0))</f>
        <v>0</v>
      </c>
      <c r="BB17" s="850">
        <f t="array" ref="BB17">SUM(IF(ISNUMBER(VALUE(RIGHT(BB23:BB169,1))),VALUE(RIGHT(BB23:BB169,1)),0))</f>
        <v>0</v>
      </c>
      <c r="BC17" s="850">
        <f t="array" ref="BC17">SUM(IF(ISNUMBER(VALUE(RIGHT(BC23:BC169,1))),VALUE(RIGHT(BC23:BC169,1)),0))</f>
        <v>0</v>
      </c>
      <c r="BD17" s="850">
        <f t="array" ref="BD17">SUM(IF(ISNUMBER(VALUE(RIGHT(BD23:BD169,1))),VALUE(RIGHT(BD23:BD169,1)),0))</f>
        <v>0</v>
      </c>
      <c r="BE17" s="850">
        <f t="array" ref="BE17">SUM(IF(ISNUMBER(VALUE(RIGHT(BE23:BE169,1))),VALUE(RIGHT(BE23:BE169,1)),0))</f>
        <v>0</v>
      </c>
      <c r="BF17" s="850">
        <f t="array" ref="BF17">SUM(IF(ISNUMBER(VALUE(RIGHT(BF23:BF169,1))),VALUE(RIGHT(BF23:BF169,1)),0))</f>
        <v>1</v>
      </c>
      <c r="BG17" s="850">
        <f t="array" ref="BG17">SUM(IF(ISNUMBER(VALUE(RIGHT(BG23:BG169,1))),VALUE(RIGHT(BG23:BG169,1)),0))</f>
        <v>25</v>
      </c>
      <c r="BH17" s="850">
        <f t="array" ref="BH17">SUM(IF(ISNUMBER(VALUE(RIGHT(BH23:BH169,1))),VALUE(RIGHT(BH23:BH169,1)),0))</f>
        <v>0</v>
      </c>
      <c r="BI17" s="850">
        <f t="array" ref="BI17">SUM(IF(ISNUMBER(VALUE(RIGHT(BI23:BI169,1))),VALUE(RIGHT(BI23:BI169,1)),0))</f>
        <v>0</v>
      </c>
      <c r="BJ17" s="903">
        <f t="array" ref="BJ17">SUM(IF(ISNUMBER(VALUE(RIGHT(BJ23:BJ169,1))),VALUE(RIGHT(BJ23:BJ169,1)),0))</f>
        <v>5</v>
      </c>
      <c r="BK17" s="903">
        <f t="array" ref="BK17">SUM(IF(ISNUMBER(VALUE(RIGHT(BK23:BK169,1))),VALUE(RIGHT(BK23:BK169,1)),0))</f>
        <v>3</v>
      </c>
      <c r="BL17" s="889"/>
      <c r="BM17" s="889"/>
      <c r="BN17" s="850">
        <f t="array" ref="BN17">SUM(IF(ISNUMBER(VALUE(RIGHT(BN23:BN169,1))),VALUE(RIGHT(BN23:BN169,1)),0))</f>
        <v>0</v>
      </c>
      <c r="BO17" s="889"/>
      <c r="BP17" s="889"/>
      <c r="BQ17" s="889"/>
      <c r="BR17" s="889"/>
      <c r="BS17" s="889"/>
      <c r="BT17" s="890"/>
      <c r="BU17" s="890"/>
      <c r="BV17" s="890"/>
      <c r="BW17" s="890"/>
      <c r="BX17" s="889"/>
      <c r="BY17" s="889"/>
      <c r="BZ17" s="889"/>
      <c r="CA17" s="889"/>
      <c r="CB17" s="889"/>
      <c r="CC17" s="889"/>
      <c r="CD17" s="889"/>
    </row>
    <row r="18" spans="1:115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AVERAGEIFS($Y$23:$Y$206,$H$23:$H$206,"H",$I$23:$I$206,Table!$C$1)</f>
        <v>4.666666666666667</v>
      </c>
      <c r="S18" s="858">
        <f>AVERAGEIFS($Y$23:$Y$206,$H$23:$H$206,"A",$I$23:$I$206,Table!$C$1)</f>
        <v>4.1904761904761907</v>
      </c>
      <c r="AG18" s="876">
        <v>1</v>
      </c>
      <c r="AH18" s="876">
        <v>18</v>
      </c>
      <c r="AI18" s="876">
        <v>26</v>
      </c>
      <c r="AJ18" s="876">
        <v>45</v>
      </c>
      <c r="AK18" s="876">
        <v>42</v>
      </c>
      <c r="AL18" s="876">
        <v>2</v>
      </c>
      <c r="AM18" s="876">
        <v>3</v>
      </c>
      <c r="AN18" s="876">
        <v>4</v>
      </c>
      <c r="AO18" s="876">
        <v>5</v>
      </c>
      <c r="AP18" s="876">
        <v>16</v>
      </c>
      <c r="AQ18" s="876">
        <v>17</v>
      </c>
      <c r="AR18" s="876">
        <v>20</v>
      </c>
      <c r="AS18" s="876">
        <v>22</v>
      </c>
      <c r="AT18" s="876">
        <v>30</v>
      </c>
      <c r="AU18" s="876">
        <v>6</v>
      </c>
      <c r="AV18" s="876">
        <v>7</v>
      </c>
      <c r="AW18" s="876">
        <v>8</v>
      </c>
      <c r="AX18" s="876">
        <v>10</v>
      </c>
      <c r="AY18" s="876">
        <v>13</v>
      </c>
      <c r="AZ18" s="876">
        <v>19</v>
      </c>
      <c r="BA18" s="876">
        <v>21</v>
      </c>
      <c r="BB18" s="876">
        <v>25</v>
      </c>
      <c r="BC18" s="876">
        <v>28</v>
      </c>
      <c r="BD18" s="876">
        <v>29</v>
      </c>
      <c r="BE18" s="876">
        <v>9</v>
      </c>
      <c r="BF18" s="876">
        <v>11</v>
      </c>
      <c r="BG18" s="876">
        <v>14</v>
      </c>
      <c r="BH18" s="876">
        <v>15</v>
      </c>
      <c r="BI18" s="876">
        <v>27</v>
      </c>
      <c r="BJ18" s="876">
        <v>39</v>
      </c>
      <c r="BK18" s="876">
        <v>40</v>
      </c>
      <c r="BL18" s="876"/>
      <c r="BM18" s="876"/>
      <c r="BN18" s="876">
        <v>23</v>
      </c>
      <c r="BO18" s="876"/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</row>
    <row r="19" spans="1:115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AVERAGEIFS($Z$23:$Z$204,$H$23:$H$204,"H",$I$23:$I$204,Table!$C$1)</f>
        <v>3.5714285714285716</v>
      </c>
      <c r="S19" s="858">
        <f>AVERAGEIFS($Z$23:$Z$204,$H$23:$H$204,"A",$I$23:$I$204,Table!$C$1)</f>
        <v>3.7619047619047619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2223</v>
      </c>
      <c r="AH19" s="901" t="s">
        <v>2223</v>
      </c>
      <c r="AI19" s="901" t="s">
        <v>2223</v>
      </c>
      <c r="AJ19" s="901" t="s">
        <v>2216</v>
      </c>
      <c r="AK19" s="901" t="s">
        <v>3232</v>
      </c>
      <c r="AL19" s="901" t="s">
        <v>2207</v>
      </c>
      <c r="AM19" s="901" t="s">
        <v>2208</v>
      </c>
      <c r="AN19" s="901" t="s">
        <v>2207</v>
      </c>
      <c r="AO19" s="901" t="s">
        <v>2207</v>
      </c>
      <c r="AP19" s="901" t="s">
        <v>2207</v>
      </c>
      <c r="AQ19" s="901" t="s">
        <v>2207</v>
      </c>
      <c r="AR19" s="901" t="s">
        <v>2207</v>
      </c>
      <c r="AS19" s="901" t="s">
        <v>2208</v>
      </c>
      <c r="AT19" s="901" t="s">
        <v>2208</v>
      </c>
      <c r="AU19" s="901" t="s">
        <v>2209</v>
      </c>
      <c r="AV19" s="901" t="s">
        <v>1709</v>
      </c>
      <c r="AW19" s="901" t="s">
        <v>2209</v>
      </c>
      <c r="AX19" s="901" t="s">
        <v>2211</v>
      </c>
      <c r="AY19" s="901" t="s">
        <v>2211</v>
      </c>
      <c r="AZ19" s="901" t="s">
        <v>1709</v>
      </c>
      <c r="BA19" s="901" t="s">
        <v>2211</v>
      </c>
      <c r="BB19" s="901" t="s">
        <v>2209</v>
      </c>
      <c r="BC19" s="901" t="s">
        <v>1709</v>
      </c>
      <c r="BD19" s="901" t="s">
        <v>1709</v>
      </c>
      <c r="BE19" s="901" t="s">
        <v>2215</v>
      </c>
      <c r="BF19" s="901" t="s">
        <v>2214</v>
      </c>
      <c r="BG19" s="901" t="s">
        <v>2214</v>
      </c>
      <c r="BH19" s="901" t="s">
        <v>1663</v>
      </c>
      <c r="BI19" s="901" t="s">
        <v>1663</v>
      </c>
      <c r="BJ19" s="901" t="s">
        <v>2214</v>
      </c>
      <c r="BK19" s="901" t="s">
        <v>2778</v>
      </c>
      <c r="BL19" s="877"/>
      <c r="BM19" s="877"/>
      <c r="BN19" s="901" t="s">
        <v>1709</v>
      </c>
      <c r="BO19" s="877"/>
      <c r="BP19" s="877"/>
      <c r="BQ19" s="877"/>
      <c r="BR19" s="877"/>
      <c r="BS19" s="877"/>
      <c r="BT19" s="428"/>
      <c r="BU19" s="428"/>
      <c r="BV19" s="428"/>
      <c r="BW19" s="428"/>
      <c r="BX19" s="877"/>
      <c r="BY19" s="877"/>
      <c r="BZ19" s="877"/>
      <c r="CA19" s="877"/>
      <c r="CB19" s="877"/>
      <c r="CC19" s="877"/>
      <c r="CD19" s="877"/>
      <c r="CE19" s="428"/>
      <c r="CF19" s="876"/>
      <c r="CG19" s="876"/>
      <c r="CH19" s="876"/>
    </row>
    <row r="20" spans="1:115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10</v>
      </c>
      <c r="G20" s="822" t="str">
        <f ca="1">MID(CELL("filename",A1),FIND("]",CELL("filename",A1))+1,LEN(CELL("filename",A1))-FIND("]",CELL("filename",A1)))</f>
        <v>Yokohama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1834</v>
      </c>
      <c r="AH20" s="887" t="s">
        <v>1833</v>
      </c>
      <c r="AI20" s="887" t="s">
        <v>1937</v>
      </c>
      <c r="AJ20" s="887" t="s">
        <v>2693</v>
      </c>
      <c r="AK20" s="887" t="s">
        <v>3234</v>
      </c>
      <c r="AL20" s="887" t="s">
        <v>2407</v>
      </c>
      <c r="AM20" s="887" t="s">
        <v>3207</v>
      </c>
      <c r="AN20" s="887" t="s">
        <v>1835</v>
      </c>
      <c r="AO20" s="887" t="s">
        <v>1836</v>
      </c>
      <c r="AP20" s="887" t="s">
        <v>1837</v>
      </c>
      <c r="AQ20" s="887" t="s">
        <v>1838</v>
      </c>
      <c r="AR20" s="887" t="s">
        <v>2982</v>
      </c>
      <c r="AS20" s="887" t="s">
        <v>3297</v>
      </c>
      <c r="AT20" s="887" t="s">
        <v>1839</v>
      </c>
      <c r="AU20" s="887" t="s">
        <v>1840</v>
      </c>
      <c r="AV20" s="887" t="s">
        <v>1841</v>
      </c>
      <c r="AW20" s="887" t="s">
        <v>2547</v>
      </c>
      <c r="AX20" s="887" t="s">
        <v>1842</v>
      </c>
      <c r="AY20" s="887" t="s">
        <v>1843</v>
      </c>
      <c r="AZ20" s="887" t="s">
        <v>1938</v>
      </c>
      <c r="BA20" s="887" t="s">
        <v>1844</v>
      </c>
      <c r="BB20" s="887" t="s">
        <v>1846</v>
      </c>
      <c r="BC20" s="887" t="s">
        <v>1847</v>
      </c>
      <c r="BD20" s="887" t="s">
        <v>1939</v>
      </c>
      <c r="BE20" s="887" t="s">
        <v>1848</v>
      </c>
      <c r="BF20" s="887" t="s">
        <v>2408</v>
      </c>
      <c r="BG20" s="887" t="s">
        <v>1849</v>
      </c>
      <c r="BH20" s="887" t="s">
        <v>1850</v>
      </c>
      <c r="BI20" s="887" t="s">
        <v>1851</v>
      </c>
      <c r="BJ20" s="887" t="s">
        <v>1852</v>
      </c>
      <c r="BK20" s="887" t="s">
        <v>2779</v>
      </c>
      <c r="BL20" s="887" t="s">
        <v>2012</v>
      </c>
      <c r="BM20" s="864"/>
      <c r="BN20" s="887" t="s">
        <v>1845</v>
      </c>
      <c r="BO20" s="864"/>
      <c r="BP20" s="887"/>
      <c r="BQ20" s="887"/>
      <c r="BR20" s="864"/>
      <c r="BS20" s="864"/>
      <c r="BT20" s="847"/>
      <c r="BU20" s="847"/>
      <c r="BV20" s="847"/>
      <c r="BW20" s="847"/>
      <c r="BX20" s="864"/>
      <c r="BY20" s="864"/>
      <c r="BZ20" s="864"/>
      <c r="CA20" s="864"/>
      <c r="CB20" s="864"/>
      <c r="CC20" s="864"/>
      <c r="CD20" s="864"/>
      <c r="CE20" s="824"/>
      <c r="CF20" s="824"/>
      <c r="CG20" s="824"/>
      <c r="CH20" s="824"/>
      <c r="CI20" s="824"/>
      <c r="CJ20" s="824"/>
      <c r="CK20" s="824"/>
      <c r="CL20" s="824"/>
      <c r="CM20" s="824"/>
      <c r="CN20" s="824"/>
      <c r="CO20" s="824"/>
      <c r="CP20" s="824"/>
    </row>
    <row r="21" spans="1:115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1154</v>
      </c>
      <c r="AH21" s="886" t="s">
        <v>1050</v>
      </c>
      <c r="AI21" s="886" t="s">
        <v>1155</v>
      </c>
      <c r="AJ21" s="886" t="s">
        <v>2692</v>
      </c>
      <c r="AK21" s="886" t="s">
        <v>3233</v>
      </c>
      <c r="AL21" s="886" t="s">
        <v>1156</v>
      </c>
      <c r="AM21" s="886" t="s">
        <v>1671</v>
      </c>
      <c r="AN21" s="886" t="s">
        <v>1157</v>
      </c>
      <c r="AO21" s="886" t="s">
        <v>1051</v>
      </c>
      <c r="AP21" s="886" t="s">
        <v>1158</v>
      </c>
      <c r="AQ21" s="886" t="s">
        <v>1672</v>
      </c>
      <c r="AR21" s="886" t="s">
        <v>1159</v>
      </c>
      <c r="AS21" s="886" t="s">
        <v>1053</v>
      </c>
      <c r="AT21" s="886" t="s">
        <v>1160</v>
      </c>
      <c r="AU21" s="886" t="s">
        <v>1054</v>
      </c>
      <c r="AV21" s="886" t="s">
        <v>1057</v>
      </c>
      <c r="AW21" s="886" t="s">
        <v>1161</v>
      </c>
      <c r="AX21" s="886" t="s">
        <v>1055</v>
      </c>
      <c r="AY21" s="886" t="s">
        <v>1056</v>
      </c>
      <c r="AZ21" s="886" t="s">
        <v>2728</v>
      </c>
      <c r="BA21" s="886" t="s">
        <v>1162</v>
      </c>
      <c r="BB21" s="886" t="s">
        <v>1058</v>
      </c>
      <c r="BC21" s="886" t="s">
        <v>1059</v>
      </c>
      <c r="BD21" s="886" t="s">
        <v>1674</v>
      </c>
      <c r="BE21" s="886" t="s">
        <v>1060</v>
      </c>
      <c r="BF21" s="886" t="s">
        <v>1061</v>
      </c>
      <c r="BG21" s="886" t="s">
        <v>1163</v>
      </c>
      <c r="BH21" s="886" t="s">
        <v>1164</v>
      </c>
      <c r="BI21" s="886" t="s">
        <v>1062</v>
      </c>
      <c r="BJ21" s="886" t="s">
        <v>2777</v>
      </c>
      <c r="BK21" s="886" t="s">
        <v>2910</v>
      </c>
      <c r="BL21" s="886"/>
      <c r="BM21" s="864"/>
      <c r="BN21" s="886" t="s">
        <v>1673</v>
      </c>
      <c r="BO21" s="864"/>
      <c r="BP21" s="886"/>
      <c r="BQ21" s="886"/>
      <c r="BR21" s="864"/>
      <c r="BS21" s="864"/>
      <c r="BT21" s="847"/>
      <c r="BU21" s="847"/>
      <c r="BV21" s="847"/>
      <c r="BW21" s="847"/>
      <c r="BX21" s="864"/>
      <c r="BY21" s="864"/>
      <c r="BZ21" s="864"/>
      <c r="CA21" s="864"/>
      <c r="CB21" s="864"/>
      <c r="CC21" s="864"/>
      <c r="CD21" s="864"/>
      <c r="CE21" s="824"/>
      <c r="CF21" s="824"/>
      <c r="CG21" s="824"/>
      <c r="CH21" s="824"/>
      <c r="CI21" s="824"/>
      <c r="CJ21" s="824"/>
      <c r="CK21" s="824"/>
      <c r="CL21" s="824"/>
      <c r="CM21" s="824"/>
      <c r="CN21" s="824"/>
      <c r="CO21" s="824"/>
      <c r="CP21" s="824"/>
    </row>
    <row r="22" spans="1:115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D22" s="829"/>
      <c r="BE22" s="829"/>
      <c r="BF22" s="829"/>
      <c r="BG22" s="829"/>
      <c r="BH22" s="829"/>
      <c r="BI22" s="829"/>
      <c r="BJ22" s="829"/>
      <c r="BK22" s="829"/>
      <c r="BL22" s="829"/>
      <c r="BM22" s="829"/>
      <c r="BN22" s="829"/>
      <c r="BO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</row>
    <row r="23" spans="1:115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8</v>
      </c>
      <c r="G23" s="879" t="s">
        <v>880</v>
      </c>
      <c r="H23" s="879" t="s">
        <v>22</v>
      </c>
      <c r="I23" s="879" t="s">
        <v>891</v>
      </c>
      <c r="J23" s="846">
        <v>1</v>
      </c>
      <c r="K23" s="846">
        <v>0</v>
      </c>
      <c r="L23" s="816" t="str">
        <f>IF(J23="","",IF(J23&gt;K23,"W",IF(J23=K23,"D",IF(J23&lt;K23,"L"))))</f>
        <v>W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7" si="21">IF(Q23="","",IF(SIGN(Q23)&lt;&gt;1,VLOOKUP(ABS(Q23),SUP_HDC,3,TRUE),-VLOOKUP(ABS(Q23),SUP_HDC,3,TRUE)))</f>
        <v>0.5</v>
      </c>
      <c r="P23" s="829">
        <f>IF(O23="","",IF((J23-K23+O23)&gt;=0.5,1,IF((J23-K23+O23)=0.25,0.5,IF((J23-K23+O23)&lt;=-0.5,-1,IF((J23-K23+O23)=-0.25,-0.5,0)))))</f>
        <v>1</v>
      </c>
      <c r="Q23" s="830">
        <v>-0.56000000000000005</v>
      </c>
      <c r="R23" s="871">
        <f>IF(ISBLANK(Q23),"",J23-K23-Q23)</f>
        <v>1.56</v>
      </c>
      <c r="S23" s="830">
        <v>2.25</v>
      </c>
      <c r="T23" s="871">
        <f>IF(ISBLANK(S23),"",J23+K23-S23)</f>
        <v>-1.25</v>
      </c>
      <c r="U23" s="868">
        <f>IF(Q23="","",(Q23+S23)/2)</f>
        <v>0.84499999999999997</v>
      </c>
      <c r="V23" s="868">
        <f>IF(Q23="","",S23-U23)</f>
        <v>1.405</v>
      </c>
      <c r="W23" s="816">
        <v>16</v>
      </c>
      <c r="X23" s="816">
        <v>8</v>
      </c>
      <c r="Y23" s="829">
        <v>6</v>
      </c>
      <c r="Z23" s="829">
        <v>2</v>
      </c>
      <c r="AA23" s="829">
        <v>45</v>
      </c>
      <c r="AB23" s="829">
        <v>55</v>
      </c>
      <c r="AC23" s="829"/>
      <c r="AD23" s="816" t="str">
        <f t="array" ref="AD23">IF($J23="","",IF(SUM(IF(ISNUMBER(VALUE(RIGHT($AG23:$DW23,1))),VALUE(RIGHT($AG23:$DW23,1)),0))=$J23,"T","F"))</f>
        <v>T</v>
      </c>
      <c r="AE23" s="831">
        <f t="array" ref="AE23">IF($J23="","",SUM(IF(LEFT($AG23:$DW23,1)="s",1,0))-SUM(IF(RIGHT(LEFT($AG23:$DW23,2))="-",1,0)))</f>
        <v>0</v>
      </c>
      <c r="AF23" s="816">
        <f t="array" ref="AF23">IF($J23="","",SUM(IF(LEFT($AG23:$DW23,1)="X",1,0)))</f>
        <v>11</v>
      </c>
      <c r="AG23" s="891" t="s">
        <v>1877</v>
      </c>
      <c r="AH23" s="891" t="s">
        <v>34</v>
      </c>
      <c r="AI23" s="891" t="s">
        <v>32</v>
      </c>
      <c r="AJ23" s="891"/>
      <c r="AK23" s="891"/>
      <c r="AL23" s="891" t="s">
        <v>34</v>
      </c>
      <c r="AM23" s="891" t="s">
        <v>34</v>
      </c>
      <c r="AN23" s="891" t="s">
        <v>1877</v>
      </c>
      <c r="AO23" s="891" t="s">
        <v>34</v>
      </c>
      <c r="AP23" s="891" t="s">
        <v>32</v>
      </c>
      <c r="AQ23" s="891" t="s">
        <v>32</v>
      </c>
      <c r="AR23" s="891" t="s">
        <v>34</v>
      </c>
      <c r="AS23" s="891" t="s">
        <v>1877</v>
      </c>
      <c r="AT23" s="891" t="s">
        <v>32</v>
      </c>
      <c r="AU23" s="891" t="s">
        <v>34</v>
      </c>
      <c r="AV23" s="891" t="s">
        <v>1879</v>
      </c>
      <c r="AW23" s="891" t="s">
        <v>34</v>
      </c>
      <c r="AX23" s="891" t="s">
        <v>1877</v>
      </c>
      <c r="AY23" s="891" t="s">
        <v>36</v>
      </c>
      <c r="AZ23" s="891" t="s">
        <v>35</v>
      </c>
      <c r="BA23" s="891" t="s">
        <v>32</v>
      </c>
      <c r="BB23" s="891" t="s">
        <v>32</v>
      </c>
      <c r="BC23" s="891" t="s">
        <v>32</v>
      </c>
      <c r="BD23" s="891" t="s">
        <v>32</v>
      </c>
      <c r="BE23" s="891" t="s">
        <v>36</v>
      </c>
      <c r="BF23" s="891" t="s">
        <v>35</v>
      </c>
      <c r="BG23" s="891" t="s">
        <v>34</v>
      </c>
      <c r="BH23" s="891" t="s">
        <v>32</v>
      </c>
      <c r="BI23" s="891" t="s">
        <v>32</v>
      </c>
      <c r="BJ23" s="891" t="s">
        <v>1877</v>
      </c>
      <c r="BK23" s="910"/>
      <c r="BL23" s="891"/>
      <c r="BM23" s="891"/>
      <c r="BN23" s="891" t="s">
        <v>32</v>
      </c>
      <c r="BO23" s="891"/>
      <c r="BP23" s="891"/>
      <c r="BQ23" s="891"/>
      <c r="BR23" s="891"/>
      <c r="BS23" s="891"/>
      <c r="BT23" s="896"/>
      <c r="BU23" s="896"/>
      <c r="BV23" s="896"/>
      <c r="BW23" s="896"/>
      <c r="BX23" s="896"/>
      <c r="BY23" s="896"/>
      <c r="BZ23" s="896"/>
      <c r="CA23" s="896"/>
      <c r="CB23" s="896"/>
      <c r="CC23" s="896"/>
      <c r="CD23" s="896"/>
      <c r="CE23" s="428"/>
      <c r="CF23" s="428"/>
      <c r="CG23" s="428"/>
      <c r="CH23" s="428"/>
      <c r="CI23" s="230" t="s">
        <v>32</v>
      </c>
      <c r="CJ23" s="230" t="s">
        <v>32</v>
      </c>
      <c r="CK23" s="230" t="s">
        <v>32</v>
      </c>
      <c r="CL23" s="230" t="s">
        <v>32</v>
      </c>
      <c r="CM23" s="230" t="s">
        <v>32</v>
      </c>
      <c r="CN23" s="230" t="s">
        <v>32</v>
      </c>
      <c r="CO23" s="230" t="s">
        <v>32</v>
      </c>
    </row>
    <row r="24" spans="1:115" ht="15">
      <c r="A24" s="882">
        <v>6274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2</v>
      </c>
      <c r="G24" s="879" t="s">
        <v>886</v>
      </c>
      <c r="H24" s="879" t="s">
        <v>18</v>
      </c>
      <c r="I24" s="879" t="s">
        <v>891</v>
      </c>
      <c r="J24" s="846">
        <v>1</v>
      </c>
      <c r="K24" s="846">
        <v>1</v>
      </c>
      <c r="L24" s="816" t="str">
        <f>IF(J24="","",IF(J24&gt;K24,"W",IF(J24=K24,"D",IF(J24&lt;K24,"L"))))</f>
        <v>D</v>
      </c>
      <c r="M24" s="816">
        <f>IF(J24="","",J24+K24)</f>
        <v>2</v>
      </c>
      <c r="N24" s="816" t="str">
        <f t="shared" ref="N24:N30" si="22">IF($J24="","",IF($M24&gt;N$19,"O",IF($M24&lt;N$19,"U",IF($M24=N$19,"-"))))</f>
        <v>U</v>
      </c>
      <c r="O24" s="816">
        <f t="shared" si="21"/>
        <v>0</v>
      </c>
      <c r="P24" s="829">
        <f t="shared" ref="P24:P57" si="23">IF(O24="","",IF((J24-K24+O24)&gt;=0.5,1,IF((J24-K24+O24)=0.25,0.5,IF((J24-K24+O24)&lt;=-0.5,-1,IF((J24-K24+O24)=-0.25,-0.5,0)))))</f>
        <v>0</v>
      </c>
      <c r="Q24" s="830">
        <v>0.03</v>
      </c>
      <c r="R24" s="871">
        <f t="shared" ref="R24:R30" si="24">IF(ISBLANK(Q24),"",J24-K24-Q24)</f>
        <v>-0.03</v>
      </c>
      <c r="S24" s="830">
        <v>2.1</v>
      </c>
      <c r="T24" s="871">
        <f t="shared" ref="T24:T69" si="25">IF(ISBLANK(S24),"",J24+K24-S24)</f>
        <v>-0.10000000000000009</v>
      </c>
      <c r="U24" s="868">
        <f t="shared" ref="U24:U57" si="26">IF(Q24="","",(Q24+S24)/2)</f>
        <v>1.0649999999999999</v>
      </c>
      <c r="V24" s="868">
        <f t="shared" ref="V24:V57" si="27">IF(Q24="","",S24-U24)</f>
        <v>1.0350000000000001</v>
      </c>
      <c r="W24" s="829">
        <v>13</v>
      </c>
      <c r="X24" s="829">
        <v>13</v>
      </c>
      <c r="Y24" s="829">
        <v>2</v>
      </c>
      <c r="Z24" s="829">
        <v>4</v>
      </c>
      <c r="AA24" s="829">
        <v>48</v>
      </c>
      <c r="AB24" s="829">
        <v>52</v>
      </c>
      <c r="AD24" s="816" t="str">
        <f t="array" ref="AD24">IF($J24="","",IF(SUM(IF(ISNUMBER(VALUE(RIGHT($AG24:$DW24,1))),VALUE(RIGHT($AG24:$DW24,1)),0))=$J24,"T","F"))</f>
        <v>T</v>
      </c>
      <c r="AE24" s="831">
        <f t="array" ref="AE24">IF($J24="","",SUM(IF(LEFT($AG24:$DW24,1)="s",1,0))-SUM(IF(RIGHT(LEFT($AG24:$DW24,2))="-",1,0)))</f>
        <v>0</v>
      </c>
      <c r="AF24" s="816">
        <f t="array" ref="AF24">IF($J24="","",SUM(IF(LEFT($AG24:$DW24,1)="X",1,0)))</f>
        <v>11</v>
      </c>
      <c r="AG24" s="891" t="s">
        <v>34</v>
      </c>
      <c r="AH24" s="891" t="s">
        <v>2145</v>
      </c>
      <c r="AI24" s="891" t="s">
        <v>1877</v>
      </c>
      <c r="AJ24" s="891"/>
      <c r="AK24" s="891"/>
      <c r="AL24" s="891" t="s">
        <v>34</v>
      </c>
      <c r="AM24" s="891" t="s">
        <v>34</v>
      </c>
      <c r="AN24" s="891" t="s">
        <v>32</v>
      </c>
      <c r="AO24" s="891" t="s">
        <v>34</v>
      </c>
      <c r="AP24" s="891" t="s">
        <v>32</v>
      </c>
      <c r="AQ24" s="891" t="s">
        <v>1877</v>
      </c>
      <c r="AR24" s="891" t="s">
        <v>34</v>
      </c>
      <c r="AS24" s="891" t="s">
        <v>36</v>
      </c>
      <c r="AT24" s="891" t="s">
        <v>32</v>
      </c>
      <c r="AU24" s="891" t="s">
        <v>34</v>
      </c>
      <c r="AV24" s="891" t="s">
        <v>35</v>
      </c>
      <c r="AW24" s="891" t="s">
        <v>34</v>
      </c>
      <c r="AX24" s="891" t="s">
        <v>32</v>
      </c>
      <c r="AY24" s="891" t="s">
        <v>32</v>
      </c>
      <c r="AZ24" s="891" t="s">
        <v>35</v>
      </c>
      <c r="BA24" s="891" t="s">
        <v>32</v>
      </c>
      <c r="BB24" s="891" t="s">
        <v>32</v>
      </c>
      <c r="BC24" s="891" t="s">
        <v>1877</v>
      </c>
      <c r="BD24" s="891" t="s">
        <v>32</v>
      </c>
      <c r="BE24" s="891" t="s">
        <v>36</v>
      </c>
      <c r="BF24" s="891" t="s">
        <v>35</v>
      </c>
      <c r="BG24" s="891" t="s">
        <v>1948</v>
      </c>
      <c r="BH24" s="891" t="s">
        <v>36</v>
      </c>
      <c r="BI24" s="891" t="s">
        <v>32</v>
      </c>
      <c r="BJ24" s="891" t="s">
        <v>1877</v>
      </c>
      <c r="BK24" s="910"/>
      <c r="BL24" s="891"/>
      <c r="BM24" s="891"/>
      <c r="BN24" s="891" t="s">
        <v>32</v>
      </c>
      <c r="BO24" s="891"/>
      <c r="BP24" s="891"/>
      <c r="BQ24" s="891"/>
      <c r="BR24" s="891"/>
      <c r="BS24" s="891"/>
      <c r="BT24" s="896"/>
      <c r="BU24" s="896"/>
      <c r="BV24" s="896"/>
      <c r="BW24" s="896"/>
      <c r="BX24" s="896"/>
      <c r="BY24" s="896"/>
      <c r="BZ24" s="896"/>
      <c r="CA24" s="896"/>
      <c r="CB24" s="896"/>
      <c r="CC24" s="896"/>
      <c r="CD24" s="896"/>
      <c r="CE24" s="428"/>
      <c r="CF24" s="428"/>
      <c r="CG24" s="428"/>
      <c r="CH24" s="428"/>
      <c r="CI24" s="230" t="s">
        <v>32</v>
      </c>
      <c r="CJ24" s="230" t="s">
        <v>32</v>
      </c>
      <c r="CK24" s="230" t="s">
        <v>32</v>
      </c>
      <c r="CL24" s="230" t="s">
        <v>32</v>
      </c>
      <c r="CM24" s="230" t="s">
        <v>32</v>
      </c>
      <c r="CN24" s="230" t="s">
        <v>32</v>
      </c>
      <c r="CO24" s="230" t="s">
        <v>32</v>
      </c>
    </row>
    <row r="25" spans="1:115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22</v>
      </c>
      <c r="G25" s="879" t="s">
        <v>1087</v>
      </c>
      <c r="H25" s="879" t="s">
        <v>22</v>
      </c>
      <c r="I25" s="879" t="s">
        <v>891</v>
      </c>
      <c r="J25" s="846">
        <v>1</v>
      </c>
      <c r="K25" s="846">
        <v>0</v>
      </c>
      <c r="L25" s="816" t="str">
        <f>IF(J25="","",IF(J25&gt;K25,"W",IF(J25=K25,"D",IF(J25&lt;K25,"L"))))</f>
        <v>W</v>
      </c>
      <c r="M25" s="816">
        <f>IF(J25="","",J25+K25)</f>
        <v>1</v>
      </c>
      <c r="N25" s="816" t="str">
        <f t="shared" si="22"/>
        <v>U</v>
      </c>
      <c r="O25" s="816">
        <f t="shared" si="21"/>
        <v>-0.5</v>
      </c>
      <c r="P25" s="829">
        <f t="shared" si="23"/>
        <v>1</v>
      </c>
      <c r="Q25" s="830">
        <v>0.46</v>
      </c>
      <c r="R25" s="871">
        <f t="shared" si="24"/>
        <v>0.54</v>
      </c>
      <c r="S25" s="830">
        <v>2.4</v>
      </c>
      <c r="T25" s="871">
        <f t="shared" si="25"/>
        <v>-1.4</v>
      </c>
      <c r="U25" s="868">
        <f t="shared" si="26"/>
        <v>1.43</v>
      </c>
      <c r="V25" s="868">
        <f t="shared" si="27"/>
        <v>0.97</v>
      </c>
      <c r="W25" s="829">
        <v>16</v>
      </c>
      <c r="X25" s="829">
        <v>5</v>
      </c>
      <c r="Y25" s="829">
        <v>8</v>
      </c>
      <c r="Z25" s="829">
        <v>0</v>
      </c>
      <c r="AA25" s="829">
        <v>47</v>
      </c>
      <c r="AB25" s="829">
        <v>53</v>
      </c>
      <c r="AC25" s="829"/>
      <c r="AD25" s="816" t="str">
        <f t="array" ref="AD25">IF($J25="","",IF(SUM(IF(ISNUMBER(VALUE(RIGHT($AG25:$DW25,1))),VALUE(RIGHT($AG25:$DW25,1)),0))=$J25,"T","F"))</f>
        <v>T</v>
      </c>
      <c r="AE25" s="831">
        <f t="array" ref="AE25">IF($J25="","",SUM(IF(LEFT($AG25:$DW25,1)="s",1,0))-SUM(IF(RIGHT(LEFT($AG25:$DW25,2))="-",1,0)))</f>
        <v>0</v>
      </c>
      <c r="AF25" s="816">
        <f t="array" ref="AF25">IF($J25="","",SUM(IF(LEFT($AG25:$DW25,1)="X",1,0)))</f>
        <v>11</v>
      </c>
      <c r="AG25" s="891" t="s">
        <v>34</v>
      </c>
      <c r="AH25" s="891" t="s">
        <v>2145</v>
      </c>
      <c r="AI25" s="891" t="s">
        <v>32</v>
      </c>
      <c r="AJ25" s="891"/>
      <c r="AK25" s="891"/>
      <c r="AL25" s="891" t="s">
        <v>34</v>
      </c>
      <c r="AM25" s="891" t="s">
        <v>34</v>
      </c>
      <c r="AN25" s="891" t="s">
        <v>1877</v>
      </c>
      <c r="AO25" s="891" t="s">
        <v>34</v>
      </c>
      <c r="AP25" s="891" t="s">
        <v>32</v>
      </c>
      <c r="AQ25" s="891" t="s">
        <v>32</v>
      </c>
      <c r="AR25" s="891" t="s">
        <v>34</v>
      </c>
      <c r="AS25" s="891" t="s">
        <v>36</v>
      </c>
      <c r="AT25" s="891" t="s">
        <v>32</v>
      </c>
      <c r="AU25" s="891" t="s">
        <v>34</v>
      </c>
      <c r="AV25" s="891" t="s">
        <v>34</v>
      </c>
      <c r="AW25" s="891" t="s">
        <v>34</v>
      </c>
      <c r="AX25" s="891" t="s">
        <v>32</v>
      </c>
      <c r="AY25" s="891" t="s">
        <v>32</v>
      </c>
      <c r="AZ25" s="891" t="s">
        <v>35</v>
      </c>
      <c r="BA25" s="891" t="s">
        <v>32</v>
      </c>
      <c r="BB25" s="891" t="s">
        <v>32</v>
      </c>
      <c r="BC25" s="891" t="s">
        <v>1877</v>
      </c>
      <c r="BD25" s="891" t="s">
        <v>32</v>
      </c>
      <c r="BE25" s="891" t="s">
        <v>36</v>
      </c>
      <c r="BF25" s="891" t="s">
        <v>1979</v>
      </c>
      <c r="BG25" s="891" t="s">
        <v>35</v>
      </c>
      <c r="BH25" s="891" t="s">
        <v>1877</v>
      </c>
      <c r="BI25" s="891" t="s">
        <v>32</v>
      </c>
      <c r="BJ25" s="891" t="s">
        <v>36</v>
      </c>
      <c r="BK25" s="910"/>
      <c r="BL25" s="891"/>
      <c r="BM25" s="891"/>
      <c r="BN25" s="891" t="s">
        <v>32</v>
      </c>
      <c r="BO25" s="891"/>
      <c r="BP25" s="891"/>
      <c r="BQ25" s="891"/>
      <c r="BR25" s="891"/>
      <c r="BS25" s="891"/>
      <c r="BT25" s="896"/>
      <c r="BU25" s="896"/>
      <c r="BV25" s="896"/>
      <c r="BW25" s="896"/>
      <c r="BX25" s="896"/>
      <c r="BY25" s="896"/>
      <c r="BZ25" s="896"/>
      <c r="CA25" s="896"/>
      <c r="CB25" s="896"/>
      <c r="CC25" s="896"/>
      <c r="CD25" s="896"/>
      <c r="CE25" s="428"/>
      <c r="CF25" s="428"/>
      <c r="CG25" s="428"/>
      <c r="CH25" s="428"/>
      <c r="CI25" s="230" t="s">
        <v>32</v>
      </c>
      <c r="CJ25" s="230" t="s">
        <v>32</v>
      </c>
      <c r="CK25" s="230" t="s">
        <v>32</v>
      </c>
      <c r="CL25" s="230" t="s">
        <v>32</v>
      </c>
      <c r="CM25" s="230" t="s">
        <v>32</v>
      </c>
      <c r="CN25" s="230" t="s">
        <v>32</v>
      </c>
      <c r="CO25" s="230" t="s">
        <v>32</v>
      </c>
    </row>
    <row r="26" spans="1:115" ht="15">
      <c r="A26" s="882">
        <v>6288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18</v>
      </c>
      <c r="G26" s="879" t="s">
        <v>887</v>
      </c>
      <c r="H26" s="879" t="s">
        <v>18</v>
      </c>
      <c r="I26" s="879" t="s">
        <v>891</v>
      </c>
      <c r="J26" s="846">
        <v>2</v>
      </c>
      <c r="K26" s="846">
        <v>1</v>
      </c>
      <c r="L26" s="816" t="str">
        <f t="shared" ref="L26:L30" si="28">IF(J26="","",IF(J26&gt;K26,"W",IF(J26=K26,"D",IF(J26&lt;K26,"L"))))</f>
        <v>W</v>
      </c>
      <c r="M26" s="816">
        <f t="shared" ref="M26:M30" si="29">IF(J26="","",J26+K26)</f>
        <v>3</v>
      </c>
      <c r="N26" s="816" t="str">
        <f t="shared" si="22"/>
        <v>O</v>
      </c>
      <c r="O26" s="816">
        <f t="shared" si="21"/>
        <v>0</v>
      </c>
      <c r="P26" s="829">
        <f t="shared" si="23"/>
        <v>1</v>
      </c>
      <c r="Q26" s="830">
        <v>-0.12</v>
      </c>
      <c r="R26" s="871">
        <f t="shared" si="24"/>
        <v>1.1200000000000001</v>
      </c>
      <c r="S26" s="830">
        <v>2.17</v>
      </c>
      <c r="T26" s="871">
        <f t="shared" si="25"/>
        <v>0.83000000000000007</v>
      </c>
      <c r="U26" s="868">
        <f t="shared" si="26"/>
        <v>1.0249999999999999</v>
      </c>
      <c r="V26" s="868">
        <f t="shared" si="27"/>
        <v>1.145</v>
      </c>
      <c r="W26" s="829">
        <v>9</v>
      </c>
      <c r="X26" s="829">
        <v>12</v>
      </c>
      <c r="Y26" s="829">
        <v>4</v>
      </c>
      <c r="Z26" s="829">
        <v>2</v>
      </c>
      <c r="AA26" s="829">
        <v>30</v>
      </c>
      <c r="AB26" s="829">
        <v>70</v>
      </c>
      <c r="AC26" s="829"/>
      <c r="AD26" s="816" t="str">
        <f t="array" ref="AD26">IF($J26="","",IF(SUM(IF(ISNUMBER(VALUE(RIGHT($AG26:$DW26,1))),VALUE(RIGHT($AG26:$DW26,1)),0))=$J26,"T","F"))</f>
        <v>T</v>
      </c>
      <c r="AE26" s="831">
        <f t="array" ref="AE26">IF($J26="","",SUM(IF(LEFT($AG26:$DW26,1)="s",1,0))-SUM(IF(RIGHT(LEFT($AG26:$DW26,2))="-",1,0)))</f>
        <v>0</v>
      </c>
      <c r="AF26" s="816">
        <f t="array" ref="AF26">IF($J26="","",SUM(IF(LEFT($AG26:$DW26,1)="X",1,0)))</f>
        <v>11</v>
      </c>
      <c r="AG26" s="891" t="s">
        <v>34</v>
      </c>
      <c r="AH26" s="891" t="s">
        <v>2145</v>
      </c>
      <c r="AI26" s="891" t="s">
        <v>32</v>
      </c>
      <c r="AJ26" s="891"/>
      <c r="AK26" s="891"/>
      <c r="AL26" s="891" t="s">
        <v>34</v>
      </c>
      <c r="AM26" s="891" t="s">
        <v>34</v>
      </c>
      <c r="AN26" s="891" t="s">
        <v>1877</v>
      </c>
      <c r="AO26" s="904" t="s">
        <v>34</v>
      </c>
      <c r="AP26" s="891" t="s">
        <v>32</v>
      </c>
      <c r="AQ26" s="891" t="s">
        <v>32</v>
      </c>
      <c r="AR26" s="891" t="s">
        <v>34</v>
      </c>
      <c r="AS26" s="891" t="s">
        <v>34</v>
      </c>
      <c r="AT26" s="891" t="s">
        <v>32</v>
      </c>
      <c r="AU26" s="891" t="s">
        <v>34</v>
      </c>
      <c r="AV26" s="891" t="s">
        <v>32</v>
      </c>
      <c r="AW26" s="891" t="s">
        <v>2097</v>
      </c>
      <c r="AX26" s="891" t="s">
        <v>35</v>
      </c>
      <c r="AY26" s="891" t="s">
        <v>2116</v>
      </c>
      <c r="AZ26" s="891" t="s">
        <v>32</v>
      </c>
      <c r="BA26" s="891" t="s">
        <v>1877</v>
      </c>
      <c r="BB26" s="891" t="s">
        <v>32</v>
      </c>
      <c r="BC26" s="891" t="s">
        <v>1877</v>
      </c>
      <c r="BD26" s="891" t="s">
        <v>32</v>
      </c>
      <c r="BE26" s="891" t="s">
        <v>35</v>
      </c>
      <c r="BF26" s="891" t="s">
        <v>32</v>
      </c>
      <c r="BG26" s="891" t="s">
        <v>34</v>
      </c>
      <c r="BH26" s="891" t="s">
        <v>36</v>
      </c>
      <c r="BI26" s="891" t="s">
        <v>32</v>
      </c>
      <c r="BJ26" s="891" t="s">
        <v>1877</v>
      </c>
      <c r="BK26" s="910"/>
      <c r="BL26" s="891"/>
      <c r="BM26" s="891"/>
      <c r="BN26" s="910"/>
      <c r="BO26" s="891"/>
      <c r="BP26" s="891"/>
      <c r="BQ26" s="891"/>
      <c r="BR26" s="891"/>
      <c r="BS26" s="891"/>
      <c r="BT26" s="896"/>
      <c r="BU26" s="896"/>
      <c r="BV26" s="896"/>
      <c r="BW26" s="896"/>
      <c r="BX26" s="896"/>
      <c r="BY26" s="896"/>
      <c r="BZ26" s="896"/>
      <c r="CA26" s="896"/>
      <c r="CB26" s="896"/>
      <c r="CC26" s="896"/>
      <c r="CD26" s="896"/>
      <c r="CE26" s="4"/>
      <c r="CF26" s="4"/>
      <c r="CG26" s="4"/>
      <c r="CH26" s="4"/>
      <c r="CI26" s="4" t="s">
        <v>32</v>
      </c>
      <c r="CJ26" s="4" t="s">
        <v>32</v>
      </c>
      <c r="CK26" s="4" t="s">
        <v>32</v>
      </c>
      <c r="CL26" s="6" t="s">
        <v>32</v>
      </c>
      <c r="CM26" s="6" t="s">
        <v>32</v>
      </c>
      <c r="CN26" s="6" t="s">
        <v>32</v>
      </c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20"/>
    </row>
    <row r="27" spans="1:115" ht="15">
      <c r="A27" s="882">
        <v>6294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7</v>
      </c>
      <c r="G27" s="879" t="s">
        <v>888</v>
      </c>
      <c r="H27" s="879" t="s">
        <v>22</v>
      </c>
      <c r="I27" s="879" t="s">
        <v>891</v>
      </c>
      <c r="J27" s="846">
        <v>0</v>
      </c>
      <c r="K27" s="846">
        <v>2</v>
      </c>
      <c r="L27" s="816" t="str">
        <f t="shared" si="28"/>
        <v>L</v>
      </c>
      <c r="M27" s="816">
        <f t="shared" si="29"/>
        <v>2</v>
      </c>
      <c r="N27" s="816" t="str">
        <f t="shared" si="22"/>
        <v>U</v>
      </c>
      <c r="O27" s="816">
        <f t="shared" si="21"/>
        <v>0</v>
      </c>
      <c r="P27" s="829">
        <f t="shared" si="23"/>
        <v>-1</v>
      </c>
      <c r="Q27" s="830">
        <v>-0.08</v>
      </c>
      <c r="R27" s="871">
        <f t="shared" si="24"/>
        <v>-1.92</v>
      </c>
      <c r="S27" s="830">
        <v>2.13</v>
      </c>
      <c r="T27" s="871">
        <f t="shared" si="25"/>
        <v>-0.12999999999999989</v>
      </c>
      <c r="U27" s="868">
        <f t="shared" si="26"/>
        <v>1.0249999999999999</v>
      </c>
      <c r="V27" s="868">
        <f t="shared" si="27"/>
        <v>1.105</v>
      </c>
      <c r="W27" s="829">
        <v>16</v>
      </c>
      <c r="X27" s="829">
        <v>18</v>
      </c>
      <c r="Y27" s="829">
        <v>3</v>
      </c>
      <c r="Z27" s="829">
        <v>6</v>
      </c>
      <c r="AA27" s="829">
        <v>44</v>
      </c>
      <c r="AB27" s="829">
        <v>56</v>
      </c>
      <c r="AC27" s="829"/>
      <c r="AD27" s="816" t="str">
        <f t="array" ref="AD27">IF($J27="","",IF(SUM(IF(ISNUMBER(VALUE(RIGHT($AG27:$DW27,1))),VALUE(RIGHT($AG27:$DW27,1)),0))=$J27,"T","F"))</f>
        <v>T</v>
      </c>
      <c r="AE27" s="831">
        <f t="array" ref="AE27">IF($J27="","",SUM(IF(LEFT($AG27:$DW27,1)="s",1,0))-SUM(IF(RIGHT(LEFT($AG27:$DW27,2))="-",1,0)))</f>
        <v>0</v>
      </c>
      <c r="AF27" s="816">
        <f t="array" ref="AF27">IF($J27="","",SUM(IF(LEFT($AG27:$DW27,1)="X",1,0)))</f>
        <v>11</v>
      </c>
      <c r="AG27" s="891" t="s">
        <v>34</v>
      </c>
      <c r="AH27" s="891" t="s">
        <v>1886</v>
      </c>
      <c r="AI27" s="891" t="s">
        <v>32</v>
      </c>
      <c r="AJ27" s="891"/>
      <c r="AK27" s="891"/>
      <c r="AL27" s="891" t="s">
        <v>34</v>
      </c>
      <c r="AM27" s="891" t="s">
        <v>34</v>
      </c>
      <c r="AN27" s="891" t="s">
        <v>1877</v>
      </c>
      <c r="AO27" s="891" t="s">
        <v>34</v>
      </c>
      <c r="AP27" s="891" t="s">
        <v>32</v>
      </c>
      <c r="AQ27" s="891" t="s">
        <v>32</v>
      </c>
      <c r="AR27" s="891" t="s">
        <v>34</v>
      </c>
      <c r="AS27" s="891" t="s">
        <v>35</v>
      </c>
      <c r="AT27" s="891" t="s">
        <v>32</v>
      </c>
      <c r="AU27" s="891" t="s">
        <v>34</v>
      </c>
      <c r="AV27" s="891" t="s">
        <v>32</v>
      </c>
      <c r="AW27" s="891" t="s">
        <v>34</v>
      </c>
      <c r="AX27" s="891" t="s">
        <v>1877</v>
      </c>
      <c r="AY27" s="891" t="s">
        <v>35</v>
      </c>
      <c r="AZ27" s="891" t="s">
        <v>32</v>
      </c>
      <c r="BA27" s="891" t="s">
        <v>32</v>
      </c>
      <c r="BB27" s="891" t="s">
        <v>32</v>
      </c>
      <c r="BC27" s="891" t="s">
        <v>36</v>
      </c>
      <c r="BD27" s="891" t="s">
        <v>32</v>
      </c>
      <c r="BE27" s="891" t="s">
        <v>36</v>
      </c>
      <c r="BF27" s="891" t="s">
        <v>35</v>
      </c>
      <c r="BG27" s="891" t="s">
        <v>34</v>
      </c>
      <c r="BH27" s="891" t="s">
        <v>1877</v>
      </c>
      <c r="BI27" s="891" t="s">
        <v>32</v>
      </c>
      <c r="BJ27" s="891" t="s">
        <v>36</v>
      </c>
      <c r="BK27" s="910"/>
      <c r="BL27" s="891"/>
      <c r="BM27" s="891"/>
      <c r="BN27" s="910"/>
      <c r="BO27" s="891"/>
      <c r="BP27" s="891"/>
      <c r="BQ27" s="891"/>
      <c r="BR27" s="891"/>
      <c r="BS27" s="891"/>
      <c r="BT27" s="896"/>
      <c r="BU27" s="896"/>
      <c r="BV27" s="896"/>
      <c r="BW27" s="896"/>
      <c r="BX27" s="896"/>
      <c r="BY27" s="896"/>
      <c r="BZ27" s="896"/>
      <c r="CA27" s="896"/>
      <c r="CB27" s="896"/>
      <c r="CC27" s="896"/>
      <c r="CD27" s="896"/>
      <c r="CE27" s="865"/>
      <c r="CF27" s="865"/>
      <c r="CG27" s="865"/>
      <c r="CH27" s="865"/>
      <c r="CI27" s="865" t="s">
        <v>32</v>
      </c>
      <c r="CJ27" s="865" t="s">
        <v>32</v>
      </c>
      <c r="CK27" s="865" t="s">
        <v>32</v>
      </c>
      <c r="CL27" s="4" t="s">
        <v>32</v>
      </c>
      <c r="CM27" s="6" t="s">
        <v>32</v>
      </c>
      <c r="CN27" s="6" t="s">
        <v>32</v>
      </c>
      <c r="CO27" s="6" t="s">
        <v>32</v>
      </c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</row>
    <row r="28" spans="1:115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4</v>
      </c>
      <c r="G28" s="879" t="s">
        <v>1084</v>
      </c>
      <c r="H28" s="879" t="s">
        <v>18</v>
      </c>
      <c r="I28" s="879" t="s">
        <v>891</v>
      </c>
      <c r="J28" s="846">
        <v>0</v>
      </c>
      <c r="K28" s="846">
        <v>0</v>
      </c>
      <c r="L28" s="816" t="str">
        <f t="shared" si="28"/>
        <v>D</v>
      </c>
      <c r="M28" s="816">
        <f t="shared" si="29"/>
        <v>0</v>
      </c>
      <c r="N28" s="816" t="str">
        <f t="shared" si="22"/>
        <v>U</v>
      </c>
      <c r="O28" s="816">
        <f t="shared" si="21"/>
        <v>0.5</v>
      </c>
      <c r="P28" s="829">
        <f t="shared" si="23"/>
        <v>1</v>
      </c>
      <c r="Q28" s="830">
        <v>-0.45</v>
      </c>
      <c r="R28" s="871">
        <f t="shared" si="24"/>
        <v>0.45</v>
      </c>
      <c r="S28" s="830">
        <v>2.4</v>
      </c>
      <c r="T28" s="871">
        <f t="shared" si="25"/>
        <v>-2.4</v>
      </c>
      <c r="U28" s="868">
        <f t="shared" si="26"/>
        <v>0.97499999999999998</v>
      </c>
      <c r="V28" s="868">
        <f t="shared" si="27"/>
        <v>1.4249999999999998</v>
      </c>
      <c r="W28" s="829">
        <v>6</v>
      </c>
      <c r="X28" s="829">
        <v>16</v>
      </c>
      <c r="Y28" s="829">
        <v>2</v>
      </c>
      <c r="Z28" s="829">
        <v>4</v>
      </c>
      <c r="AA28" s="829">
        <v>46</v>
      </c>
      <c r="AB28" s="829">
        <v>54</v>
      </c>
      <c r="AC28" s="829"/>
      <c r="AD28" s="816" t="str">
        <f t="array" ref="AD28">IF($J28="","",IF(SUM(IF(ISNUMBER(VALUE(RIGHT($AG28:$DW28,1))),VALUE(RIGHT($AG28:$DW28,1)),0))=$J28,"T","F"))</f>
        <v>T</v>
      </c>
      <c r="AE28" s="831">
        <f t="array" ref="AE28">IF($J28="","",SUM(IF(LEFT($AG28:$DW28,1)="s",1,0))-SUM(IF(RIGHT(LEFT($AG28:$DW28,2))="-",1,0)))</f>
        <v>0</v>
      </c>
      <c r="AF28" s="816">
        <f t="array" ref="AF28">IF($J28="","",SUM(IF(LEFT($AG28:$DW28,1)="X",1,0)))</f>
        <v>11</v>
      </c>
      <c r="AG28" s="891" t="s">
        <v>34</v>
      </c>
      <c r="AH28" s="891" t="s">
        <v>1886</v>
      </c>
      <c r="AI28" s="891" t="s">
        <v>32</v>
      </c>
      <c r="AJ28" s="891"/>
      <c r="AK28" s="891"/>
      <c r="AL28" s="891" t="s">
        <v>34</v>
      </c>
      <c r="AM28" s="891" t="s">
        <v>34</v>
      </c>
      <c r="AN28" s="891" t="s">
        <v>1877</v>
      </c>
      <c r="AO28" s="891" t="s">
        <v>34</v>
      </c>
      <c r="AP28" s="891" t="s">
        <v>32</v>
      </c>
      <c r="AQ28" s="891" t="s">
        <v>32</v>
      </c>
      <c r="AR28" s="891" t="s">
        <v>34</v>
      </c>
      <c r="AS28" s="891" t="s">
        <v>36</v>
      </c>
      <c r="AT28" s="891" t="s">
        <v>32</v>
      </c>
      <c r="AU28" s="891" t="s">
        <v>34</v>
      </c>
      <c r="AV28" s="891" t="s">
        <v>35</v>
      </c>
      <c r="AW28" s="904" t="s">
        <v>34</v>
      </c>
      <c r="AX28" s="891" t="s">
        <v>1877</v>
      </c>
      <c r="AY28" s="891" t="s">
        <v>32</v>
      </c>
      <c r="AZ28" s="904" t="s">
        <v>35</v>
      </c>
      <c r="BA28" s="891" t="s">
        <v>36</v>
      </c>
      <c r="BB28" s="891" t="s">
        <v>32</v>
      </c>
      <c r="BC28" s="891" t="s">
        <v>32</v>
      </c>
      <c r="BD28" s="891" t="s">
        <v>32</v>
      </c>
      <c r="BE28" s="891" t="s">
        <v>32</v>
      </c>
      <c r="BF28" s="891" t="s">
        <v>35</v>
      </c>
      <c r="BG28" s="891" t="s">
        <v>34</v>
      </c>
      <c r="BH28" s="891" t="s">
        <v>36</v>
      </c>
      <c r="BI28" s="891" t="s">
        <v>32</v>
      </c>
      <c r="BJ28" s="891" t="s">
        <v>1877</v>
      </c>
      <c r="BK28" s="910"/>
      <c r="BL28" s="891"/>
      <c r="BM28" s="891"/>
      <c r="BN28" s="910"/>
      <c r="BO28" s="891"/>
      <c r="BP28" s="891"/>
      <c r="BQ28" s="891"/>
      <c r="BR28" s="891"/>
      <c r="BS28" s="891"/>
      <c r="BT28" s="896"/>
      <c r="BU28" s="896"/>
      <c r="BV28" s="896"/>
      <c r="BW28" s="896"/>
      <c r="BX28" s="896"/>
      <c r="BY28" s="896"/>
      <c r="BZ28" s="896"/>
      <c r="CA28" s="896"/>
      <c r="CB28" s="896"/>
      <c r="CC28" s="896"/>
      <c r="CD28" s="896"/>
      <c r="CE28" s="4"/>
      <c r="CF28" s="4"/>
      <c r="CG28" s="4"/>
      <c r="CH28" s="4"/>
      <c r="CI28" s="4" t="s">
        <v>32</v>
      </c>
      <c r="CJ28" s="4" t="s">
        <v>32</v>
      </c>
      <c r="CK28" s="4" t="s">
        <v>32</v>
      </c>
      <c r="CL28" s="4" t="s">
        <v>32</v>
      </c>
      <c r="CM28" s="6" t="s">
        <v>32</v>
      </c>
      <c r="CN28" s="6" t="s">
        <v>32</v>
      </c>
      <c r="CO28" s="6" t="s">
        <v>32</v>
      </c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</row>
    <row r="29" spans="1:115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12</v>
      </c>
      <c r="G29" s="879" t="s">
        <v>879</v>
      </c>
      <c r="H29" s="879" t="s">
        <v>22</v>
      </c>
      <c r="I29" s="879" t="s">
        <v>891</v>
      </c>
      <c r="J29" s="846">
        <v>2</v>
      </c>
      <c r="K29" s="846">
        <v>0</v>
      </c>
      <c r="L29" s="816" t="str">
        <f t="shared" si="28"/>
        <v>W</v>
      </c>
      <c r="M29" s="816">
        <f t="shared" si="29"/>
        <v>2</v>
      </c>
      <c r="N29" s="816" t="str">
        <f t="shared" si="22"/>
        <v>U</v>
      </c>
      <c r="O29" s="816">
        <f t="shared" si="21"/>
        <v>0</v>
      </c>
      <c r="P29" s="829">
        <f t="shared" si="23"/>
        <v>1</v>
      </c>
      <c r="Q29" s="830">
        <v>0.08</v>
      </c>
      <c r="R29" s="871">
        <f t="shared" si="24"/>
        <v>1.92</v>
      </c>
      <c r="S29" s="830">
        <v>2.2000000000000002</v>
      </c>
      <c r="T29" s="871">
        <f t="shared" si="25"/>
        <v>-0.20000000000000018</v>
      </c>
      <c r="U29" s="868">
        <f t="shared" si="26"/>
        <v>1.1400000000000001</v>
      </c>
      <c r="V29" s="868">
        <f t="shared" si="27"/>
        <v>1.06</v>
      </c>
      <c r="W29" s="829">
        <v>14</v>
      </c>
      <c r="X29" s="829">
        <v>14</v>
      </c>
      <c r="Y29" s="829">
        <v>2</v>
      </c>
      <c r="Z29" s="829">
        <v>3</v>
      </c>
      <c r="AA29" s="829">
        <v>54</v>
      </c>
      <c r="AB29" s="829">
        <v>46</v>
      </c>
      <c r="AC29" s="829"/>
      <c r="AD29" s="816" t="str">
        <f t="array" ref="AD29">IF($J29="","",IF(SUM(IF(ISNUMBER(VALUE(RIGHT($AG29:$DW29,1))),VALUE(RIGHT($AG29:$DW29,1)),0))=$J29,"T","F"))</f>
        <v>T</v>
      </c>
      <c r="AE29" s="831">
        <f t="array" ref="AE29">IF($J29="","",SUM(IF(LEFT($AG29:$DW29,1)="s",1,0))-SUM(IF(RIGHT(LEFT($AG29:$DW29,2))="-",1,0)))</f>
        <v>0</v>
      </c>
      <c r="AF29" s="816">
        <f t="array" ref="AF29">IF($J29="","",SUM(IF(LEFT($AG29:$DW29,1)="X",1,0)))</f>
        <v>11</v>
      </c>
      <c r="AG29" s="891" t="s">
        <v>34</v>
      </c>
      <c r="AH29" s="891" t="s">
        <v>1877</v>
      </c>
      <c r="AI29" s="891" t="s">
        <v>32</v>
      </c>
      <c r="AJ29" s="891"/>
      <c r="AK29" s="891"/>
      <c r="AL29" s="891" t="s">
        <v>34</v>
      </c>
      <c r="AM29" s="891" t="s">
        <v>34</v>
      </c>
      <c r="AN29" s="891" t="s">
        <v>1877</v>
      </c>
      <c r="AO29" s="891" t="s">
        <v>34</v>
      </c>
      <c r="AP29" s="891" t="s">
        <v>32</v>
      </c>
      <c r="AQ29" s="891" t="s">
        <v>32</v>
      </c>
      <c r="AR29" s="891" t="s">
        <v>34</v>
      </c>
      <c r="AS29" s="891" t="s">
        <v>36</v>
      </c>
      <c r="AT29" s="891" t="s">
        <v>32</v>
      </c>
      <c r="AU29" s="891" t="s">
        <v>34</v>
      </c>
      <c r="AV29" s="904" t="s">
        <v>35</v>
      </c>
      <c r="AW29" s="891" t="s">
        <v>34</v>
      </c>
      <c r="AX29" s="891" t="s">
        <v>1877</v>
      </c>
      <c r="AY29" s="891" t="s">
        <v>32</v>
      </c>
      <c r="AZ29" s="891" t="s">
        <v>34</v>
      </c>
      <c r="BA29" s="891" t="s">
        <v>36</v>
      </c>
      <c r="BB29" s="891" t="s">
        <v>32</v>
      </c>
      <c r="BC29" s="891" t="s">
        <v>32</v>
      </c>
      <c r="BD29" s="891" t="s">
        <v>32</v>
      </c>
      <c r="BE29" s="891" t="s">
        <v>32</v>
      </c>
      <c r="BF29" s="891" t="s">
        <v>35</v>
      </c>
      <c r="BG29" s="891" t="s">
        <v>2196</v>
      </c>
      <c r="BH29" s="891" t="s">
        <v>1877</v>
      </c>
      <c r="BI29" s="891" t="s">
        <v>32</v>
      </c>
      <c r="BJ29" s="891" t="s">
        <v>1877</v>
      </c>
      <c r="BK29" s="910"/>
      <c r="BL29" s="891"/>
      <c r="BM29" s="891"/>
      <c r="BN29" s="910"/>
      <c r="BO29" s="891"/>
      <c r="BP29" s="891"/>
      <c r="BQ29" s="891"/>
      <c r="BR29" s="891"/>
      <c r="BS29" s="891"/>
      <c r="BT29" s="896"/>
      <c r="BU29" s="896"/>
      <c r="BV29" s="896"/>
      <c r="BW29" s="896"/>
      <c r="BX29" s="896"/>
      <c r="BY29" s="896"/>
      <c r="BZ29" s="896"/>
      <c r="CA29" s="896"/>
      <c r="CB29" s="896"/>
      <c r="CC29" s="896"/>
      <c r="CD29" s="891"/>
      <c r="CE29" s="4"/>
      <c r="CF29" s="4"/>
      <c r="CG29" s="4"/>
      <c r="CH29" s="4"/>
      <c r="CI29" s="4" t="s">
        <v>32</v>
      </c>
      <c r="CJ29" s="4" t="s">
        <v>32</v>
      </c>
      <c r="CK29" s="4" t="s">
        <v>32</v>
      </c>
      <c r="CL29" s="4" t="s">
        <v>32</v>
      </c>
      <c r="CM29" s="6" t="s">
        <v>32</v>
      </c>
      <c r="CN29" s="6" t="s">
        <v>32</v>
      </c>
      <c r="CO29" s="6" t="s">
        <v>32</v>
      </c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</row>
    <row r="30" spans="1:115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16</v>
      </c>
      <c r="G30" s="879" t="s">
        <v>872</v>
      </c>
      <c r="H30" s="879" t="s">
        <v>18</v>
      </c>
      <c r="I30" s="879" t="s">
        <v>891</v>
      </c>
      <c r="J30" s="846">
        <v>0</v>
      </c>
      <c r="K30" s="846">
        <v>1</v>
      </c>
      <c r="L30" s="816" t="str">
        <f t="shared" si="28"/>
        <v>L</v>
      </c>
      <c r="M30" s="816">
        <f t="shared" si="29"/>
        <v>1</v>
      </c>
      <c r="N30" s="816" t="str">
        <f t="shared" si="22"/>
        <v>U</v>
      </c>
      <c r="O30" s="816">
        <f t="shared" si="21"/>
        <v>0.25</v>
      </c>
      <c r="P30" s="829">
        <f t="shared" si="23"/>
        <v>-1</v>
      </c>
      <c r="Q30" s="830">
        <v>-0.15</v>
      </c>
      <c r="R30" s="871">
        <f t="shared" si="24"/>
        <v>-0.85</v>
      </c>
      <c r="S30" s="830">
        <v>2.17</v>
      </c>
      <c r="T30" s="871">
        <f t="shared" si="25"/>
        <v>-1.17</v>
      </c>
      <c r="U30" s="868">
        <f t="shared" si="26"/>
        <v>1.01</v>
      </c>
      <c r="V30" s="868">
        <f t="shared" si="27"/>
        <v>1.1599999999999999</v>
      </c>
      <c r="W30" s="829">
        <v>8</v>
      </c>
      <c r="X30" s="829">
        <v>16</v>
      </c>
      <c r="Y30" s="829">
        <v>2</v>
      </c>
      <c r="Z30" s="829">
        <v>3</v>
      </c>
      <c r="AA30" s="829">
        <v>49</v>
      </c>
      <c r="AB30" s="829">
        <v>51</v>
      </c>
      <c r="AC30" s="829"/>
      <c r="AD30" s="816" t="str">
        <f t="array" ref="AD30">IF($J30="","",IF(SUM(IF(ISNUMBER(VALUE(RIGHT($AG30:$DW30,1))),VALUE(RIGHT($AG30:$DW30,1)),0))=$J30,"T","F"))</f>
        <v>T</v>
      </c>
      <c r="AE30" s="831">
        <f t="array" ref="AE30">IF($J30="","",SUM(IF(LEFT($AG30:$DW30,1)="s",1,0))-SUM(IF(RIGHT(LEFT($AG30:$DW30,2))="-",1,0)))</f>
        <v>0</v>
      </c>
      <c r="AF30" s="816">
        <f t="array" ref="AF30">IF($J30="","",SUM(IF(LEFT($AG30:$DW30,1)="X",1,0)))</f>
        <v>11</v>
      </c>
      <c r="AG30" s="891" t="s">
        <v>34</v>
      </c>
      <c r="AH30" s="891" t="s">
        <v>1877</v>
      </c>
      <c r="AI30" s="891" t="s">
        <v>32</v>
      </c>
      <c r="AJ30" s="891"/>
      <c r="AK30" s="891"/>
      <c r="AL30" s="904" t="s">
        <v>34</v>
      </c>
      <c r="AM30" s="891" t="s">
        <v>34</v>
      </c>
      <c r="AN30" s="891" t="s">
        <v>1877</v>
      </c>
      <c r="AO30" s="891" t="s">
        <v>34</v>
      </c>
      <c r="AP30" s="891" t="s">
        <v>32</v>
      </c>
      <c r="AQ30" s="891" t="s">
        <v>32</v>
      </c>
      <c r="AR30" s="891" t="s">
        <v>34</v>
      </c>
      <c r="AS30" s="904" t="s">
        <v>36</v>
      </c>
      <c r="AT30" s="891" t="s">
        <v>32</v>
      </c>
      <c r="AU30" s="891" t="s">
        <v>34</v>
      </c>
      <c r="AV30" s="891" t="s">
        <v>35</v>
      </c>
      <c r="AW30" s="891" t="s">
        <v>34</v>
      </c>
      <c r="AX30" s="891" t="s">
        <v>36</v>
      </c>
      <c r="AY30" s="891" t="s">
        <v>32</v>
      </c>
      <c r="AZ30" s="891" t="s">
        <v>34</v>
      </c>
      <c r="BA30" s="891" t="s">
        <v>1877</v>
      </c>
      <c r="BB30" s="891" t="s">
        <v>32</v>
      </c>
      <c r="BC30" s="891" t="s">
        <v>32</v>
      </c>
      <c r="BD30" s="891" t="s">
        <v>32</v>
      </c>
      <c r="BE30" s="891" t="s">
        <v>32</v>
      </c>
      <c r="BF30" s="891" t="s">
        <v>35</v>
      </c>
      <c r="BG30" s="891" t="s">
        <v>35</v>
      </c>
      <c r="BH30" s="891" t="s">
        <v>1877</v>
      </c>
      <c r="BI30" s="891" t="s">
        <v>32</v>
      </c>
      <c r="BJ30" s="891" t="s">
        <v>36</v>
      </c>
      <c r="BK30" s="910"/>
      <c r="BL30" s="891"/>
      <c r="BM30" s="891"/>
      <c r="BN30" s="910"/>
      <c r="BO30" s="891"/>
      <c r="BP30" s="891"/>
      <c r="BQ30" s="891"/>
      <c r="BR30" s="891"/>
      <c r="BS30" s="891"/>
      <c r="BT30" s="896"/>
      <c r="BU30" s="896"/>
      <c r="BV30" s="896"/>
      <c r="BW30" s="896"/>
      <c r="BX30" s="891"/>
      <c r="BY30" s="891"/>
      <c r="BZ30" s="891"/>
      <c r="CA30" s="891"/>
      <c r="CB30" s="891"/>
      <c r="CC30" s="891"/>
      <c r="CD30" s="891"/>
      <c r="CE30" s="428"/>
      <c r="CF30" s="428"/>
      <c r="CG30" s="428"/>
      <c r="CH30" s="428"/>
      <c r="CI30" s="230" t="s">
        <v>32</v>
      </c>
      <c r="CJ30" s="230" t="s">
        <v>32</v>
      </c>
      <c r="CK30" s="230" t="s">
        <v>32</v>
      </c>
      <c r="CL30" s="230" t="s">
        <v>32</v>
      </c>
      <c r="CM30" s="230" t="s">
        <v>32</v>
      </c>
      <c r="CN30" s="230" t="s">
        <v>32</v>
      </c>
      <c r="CO30" s="230" t="s">
        <v>32</v>
      </c>
    </row>
    <row r="31" spans="1:115" ht="15">
      <c r="A31" s="882">
        <v>6322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6</v>
      </c>
      <c r="G31" s="879" t="s">
        <v>876</v>
      </c>
      <c r="H31" s="879" t="s">
        <v>22</v>
      </c>
      <c r="I31" s="879" t="s">
        <v>891</v>
      </c>
      <c r="J31" s="846">
        <v>4</v>
      </c>
      <c r="K31" s="846">
        <v>0</v>
      </c>
      <c r="L31" s="816" t="str">
        <f>IF(J31="","",IF(J31&gt;K31,"W",IF(J31=K31,"D",IF(J31&lt;K31,"L"))))</f>
        <v>W</v>
      </c>
      <c r="M31" s="816">
        <f>IF(J31="","",J31+K31)</f>
        <v>4</v>
      </c>
      <c r="N31" s="816" t="str">
        <f>IF($J31="","",IF($M31&gt;N$19,"O",IF($M31&lt;N$19,"U",IF($M31=N$19,"-"))))</f>
        <v>O</v>
      </c>
      <c r="O31" s="816">
        <f t="shared" si="21"/>
        <v>0.25</v>
      </c>
      <c r="P31" s="829">
        <f t="shared" si="23"/>
        <v>1</v>
      </c>
      <c r="Q31" s="830">
        <v>-0.14000000000000001</v>
      </c>
      <c r="R31" s="871">
        <f>IF(ISBLANK(Q31),"",J31-K31-Q31)</f>
        <v>4.1399999999999997</v>
      </c>
      <c r="S31" s="830">
        <v>2.2200000000000002</v>
      </c>
      <c r="T31" s="871">
        <f t="shared" si="25"/>
        <v>1.7799999999999998</v>
      </c>
      <c r="U31" s="868">
        <f t="shared" si="26"/>
        <v>1.04</v>
      </c>
      <c r="V31" s="868">
        <f t="shared" si="27"/>
        <v>1.1800000000000002</v>
      </c>
      <c r="W31" s="829">
        <v>10</v>
      </c>
      <c r="X31" s="829">
        <v>9</v>
      </c>
      <c r="Y31" s="829">
        <v>6</v>
      </c>
      <c r="Z31" s="829">
        <v>1</v>
      </c>
      <c r="AA31" s="829">
        <v>33</v>
      </c>
      <c r="AB31" s="829">
        <v>67</v>
      </c>
      <c r="AC31" s="829"/>
      <c r="AD31" s="816" t="str">
        <f t="array" ref="AD31">IF($J31="","",IF(SUM(IF(ISNUMBER(VALUE(RIGHT($AG31:$DW31,1))),VALUE(RIGHT($AG31:$DW31,1)),0))=$J31,"T","F"))</f>
        <v>T</v>
      </c>
      <c r="AE31" s="831">
        <f t="array" ref="AE31">IF($J31="","",SUM(IF(LEFT($AG31:$DW31,1)="s",1,0))-SUM(IF(RIGHT(LEFT($AG31:$DW31,2))="-",1,0)))</f>
        <v>0</v>
      </c>
      <c r="AF31" s="816">
        <f t="array" ref="AF31">IF($J31="","",SUM(IF(LEFT($AG31:$DW31,1)="X",1,0)))</f>
        <v>11</v>
      </c>
      <c r="AG31" s="891" t="s">
        <v>34</v>
      </c>
      <c r="AH31" s="891" t="s">
        <v>1877</v>
      </c>
      <c r="AI31" s="891" t="s">
        <v>32</v>
      </c>
      <c r="AJ31" s="891"/>
      <c r="AK31" s="891"/>
      <c r="AL31" s="891" t="s">
        <v>34</v>
      </c>
      <c r="AM31" s="891" t="s">
        <v>34</v>
      </c>
      <c r="AN31" s="891" t="s">
        <v>1877</v>
      </c>
      <c r="AO31" s="891" t="s">
        <v>34</v>
      </c>
      <c r="AP31" s="891" t="s">
        <v>32</v>
      </c>
      <c r="AQ31" s="891" t="s">
        <v>32</v>
      </c>
      <c r="AR31" s="891" t="s">
        <v>34</v>
      </c>
      <c r="AS31" s="891" t="s">
        <v>35</v>
      </c>
      <c r="AT31" s="891" t="s">
        <v>36</v>
      </c>
      <c r="AU31" s="891" t="s">
        <v>34</v>
      </c>
      <c r="AV31" s="891" t="s">
        <v>2317</v>
      </c>
      <c r="AW31" s="891" t="s">
        <v>34</v>
      </c>
      <c r="AX31" s="891" t="s">
        <v>1877</v>
      </c>
      <c r="AY31" s="891" t="s">
        <v>32</v>
      </c>
      <c r="AZ31" s="891" t="s">
        <v>2308</v>
      </c>
      <c r="BA31" s="891" t="s">
        <v>36</v>
      </c>
      <c r="BB31" s="891" t="s">
        <v>32</v>
      </c>
      <c r="BC31" s="891" t="s">
        <v>32</v>
      </c>
      <c r="BD31" s="891" t="s">
        <v>32</v>
      </c>
      <c r="BE31" s="891" t="s">
        <v>32</v>
      </c>
      <c r="BF31" s="891" t="s">
        <v>32</v>
      </c>
      <c r="BG31" s="891" t="s">
        <v>2305</v>
      </c>
      <c r="BH31" s="891" t="s">
        <v>36</v>
      </c>
      <c r="BI31" s="891" t="s">
        <v>32</v>
      </c>
      <c r="BJ31" s="891" t="s">
        <v>1877</v>
      </c>
      <c r="BK31" s="910"/>
      <c r="BL31" s="891"/>
      <c r="BM31" s="891"/>
      <c r="BN31" s="910"/>
      <c r="BO31" s="891"/>
      <c r="BP31" s="891"/>
      <c r="BQ31" s="891"/>
      <c r="BR31" s="891"/>
      <c r="BS31" s="891"/>
      <c r="BT31" s="896"/>
      <c r="BU31" s="896"/>
      <c r="BV31" s="896"/>
      <c r="BW31" s="896"/>
      <c r="BX31" s="896"/>
      <c r="BY31" s="896"/>
      <c r="BZ31" s="896"/>
      <c r="CA31" s="896"/>
      <c r="CB31" s="896"/>
      <c r="CC31" s="896"/>
      <c r="CD31" s="896"/>
      <c r="CE31" s="428"/>
      <c r="CF31" s="428"/>
      <c r="CG31" s="428"/>
      <c r="CH31" s="428"/>
    </row>
    <row r="32" spans="1:115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21</v>
      </c>
      <c r="G32" s="879" t="s">
        <v>890</v>
      </c>
      <c r="H32" s="879" t="s">
        <v>18</v>
      </c>
      <c r="I32" s="879" t="s">
        <v>891</v>
      </c>
      <c r="J32" s="846">
        <v>4</v>
      </c>
      <c r="K32" s="846">
        <v>1</v>
      </c>
      <c r="L32" s="816" t="str">
        <f t="shared" ref="L32:L65" si="30">IF(J32="","",IF(J32&gt;K32,"W",IF(J32=K32,"D",IF(J32&lt;K32,"L"))))</f>
        <v>W</v>
      </c>
      <c r="M32" s="816">
        <f t="shared" ref="M32:M65" si="31">IF(J32="","",J32+K32)</f>
        <v>5</v>
      </c>
      <c r="N32" s="816" t="str">
        <f t="shared" ref="N32:N65" si="32">IF($J32="","",IF($M32&gt;N$19,"O",IF($M32&lt;N$19,"U",IF($M32=N$19,"-"))))</f>
        <v>O</v>
      </c>
      <c r="O32" s="816">
        <f t="shared" si="21"/>
        <v>0</v>
      </c>
      <c r="P32" s="829">
        <f t="shared" si="23"/>
        <v>1</v>
      </c>
      <c r="Q32" s="830">
        <v>0.13</v>
      </c>
      <c r="R32" s="871">
        <f t="shared" ref="R32:R46" si="33">IF(ISBLANK(Q32),"",J32-K32-Q32)</f>
        <v>2.87</v>
      </c>
      <c r="S32" s="830">
        <v>2.13</v>
      </c>
      <c r="T32" s="871">
        <f t="shared" si="25"/>
        <v>2.87</v>
      </c>
      <c r="U32" s="868">
        <f t="shared" si="26"/>
        <v>1.1299999999999999</v>
      </c>
      <c r="V32" s="868">
        <f t="shared" si="27"/>
        <v>1</v>
      </c>
      <c r="W32" s="829">
        <v>18</v>
      </c>
      <c r="X32" s="829">
        <v>9</v>
      </c>
      <c r="Y32" s="829">
        <v>7</v>
      </c>
      <c r="Z32" s="829">
        <v>3</v>
      </c>
      <c r="AA32" s="829">
        <v>52</v>
      </c>
      <c r="AB32" s="829">
        <v>48</v>
      </c>
      <c r="AC32" s="829"/>
      <c r="AD32" s="816" t="str">
        <f t="array" ref="AD32">IF($J32="","",IF(SUM(IF(ISNUMBER(VALUE(RIGHT($AG32:$DW32,1))),VALUE(RIGHT($AG32:$DW32,1)),0))=$J32,"T","F"))</f>
        <v>T</v>
      </c>
      <c r="AE32" s="831">
        <f t="array" ref="AE32">IF($J32="","",SUM(IF(LEFT($AG32:$DW32,1)="s",1,0))-SUM(IF(RIGHT(LEFT($AG32:$DW32,2))="-",1,0)))</f>
        <v>0</v>
      </c>
      <c r="AF32" s="816">
        <f t="array" ref="AF32">IF($J32="","",SUM(IF(LEFT($AG32:$DW32,1)="X",1,0)))</f>
        <v>11</v>
      </c>
      <c r="AG32" s="891" t="s">
        <v>2340</v>
      </c>
      <c r="AH32" s="891" t="s">
        <v>2351</v>
      </c>
      <c r="AI32" s="891"/>
      <c r="AJ32" s="891"/>
      <c r="AK32" s="891"/>
      <c r="AL32" s="891" t="s">
        <v>871</v>
      </c>
      <c r="AM32" s="891" t="s">
        <v>2340</v>
      </c>
      <c r="AN32" s="891" t="s">
        <v>2351</v>
      </c>
      <c r="AO32" s="891" t="s">
        <v>2340</v>
      </c>
      <c r="AP32" s="891"/>
      <c r="AQ32" s="891"/>
      <c r="AR32" s="891" t="s">
        <v>2340</v>
      </c>
      <c r="AS32" s="891" t="s">
        <v>2340</v>
      </c>
      <c r="AT32" s="906" t="s">
        <v>2383</v>
      </c>
      <c r="AU32" s="891" t="s">
        <v>2340</v>
      </c>
      <c r="AV32" s="891" t="s">
        <v>2385</v>
      </c>
      <c r="AW32" s="891" t="s">
        <v>2340</v>
      </c>
      <c r="AX32" s="891"/>
      <c r="AY32" s="891"/>
      <c r="AZ32" s="891" t="s">
        <v>2382</v>
      </c>
      <c r="BA32" s="891" t="s">
        <v>2350</v>
      </c>
      <c r="BB32" s="891"/>
      <c r="BC32" s="891" t="s">
        <v>2351</v>
      </c>
      <c r="BD32" s="891"/>
      <c r="BE32" s="891" t="s">
        <v>2351</v>
      </c>
      <c r="BF32" s="891"/>
      <c r="BG32" s="891" t="s">
        <v>2384</v>
      </c>
      <c r="BH32" s="891"/>
      <c r="BI32" s="891"/>
      <c r="BJ32" s="891" t="s">
        <v>2350</v>
      </c>
      <c r="BK32" s="910"/>
      <c r="BL32" s="891"/>
      <c r="BM32" s="891"/>
      <c r="BN32" s="910"/>
      <c r="BO32" s="891"/>
      <c r="BP32" s="891"/>
      <c r="BQ32" s="891"/>
      <c r="BR32" s="891"/>
      <c r="BS32" s="896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428"/>
      <c r="CF32" s="428"/>
      <c r="CG32" s="428"/>
      <c r="CH32" s="428"/>
      <c r="CI32" s="230" t="s">
        <v>32</v>
      </c>
      <c r="CJ32" s="230" t="s">
        <v>32</v>
      </c>
      <c r="CK32" s="230" t="s">
        <v>32</v>
      </c>
      <c r="CL32" s="230" t="s">
        <v>32</v>
      </c>
      <c r="CM32" s="230" t="s">
        <v>32</v>
      </c>
      <c r="CN32" s="230" t="s">
        <v>32</v>
      </c>
      <c r="CO32" s="230" t="s">
        <v>32</v>
      </c>
    </row>
    <row r="33" spans="1:120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15</v>
      </c>
      <c r="G33" s="879" t="s">
        <v>881</v>
      </c>
      <c r="H33" s="879" t="s">
        <v>22</v>
      </c>
      <c r="I33" s="879" t="s">
        <v>891</v>
      </c>
      <c r="J33" s="846">
        <v>4</v>
      </c>
      <c r="K33" s="846">
        <v>0</v>
      </c>
      <c r="L33" s="816" t="str">
        <f t="shared" si="30"/>
        <v>W</v>
      </c>
      <c r="M33" s="816">
        <f t="shared" si="31"/>
        <v>4</v>
      </c>
      <c r="N33" s="816" t="str">
        <f t="shared" si="32"/>
        <v>O</v>
      </c>
      <c r="O33" s="816">
        <f t="shared" si="21"/>
        <v>-0.25</v>
      </c>
      <c r="P33" s="829">
        <f t="shared" si="23"/>
        <v>1</v>
      </c>
      <c r="Q33" s="830">
        <v>0.2</v>
      </c>
      <c r="R33" s="871">
        <f t="shared" si="33"/>
        <v>3.8</v>
      </c>
      <c r="S33" s="830">
        <v>2.2000000000000002</v>
      </c>
      <c r="T33" s="871">
        <f t="shared" si="25"/>
        <v>1.7999999999999998</v>
      </c>
      <c r="U33" s="868">
        <f t="shared" si="26"/>
        <v>1.2000000000000002</v>
      </c>
      <c r="V33" s="868">
        <f t="shared" si="27"/>
        <v>1</v>
      </c>
      <c r="W33" s="829">
        <v>17</v>
      </c>
      <c r="X33" s="829">
        <v>13</v>
      </c>
      <c r="Y33" s="829">
        <v>5</v>
      </c>
      <c r="Z33" s="829">
        <v>3</v>
      </c>
      <c r="AA33" s="829">
        <v>45</v>
      </c>
      <c r="AB33" s="829">
        <v>55</v>
      </c>
      <c r="AC33" s="829"/>
      <c r="AD33" s="816" t="str">
        <f t="array" ref="AD33">IF($J33="","",IF(SUM(IF(ISNUMBER(VALUE(RIGHT($AG33:$DW33,1))),VALUE(RIGHT($AG33:$DW33,1)),0))=$J33,"T","F"))</f>
        <v>T</v>
      </c>
      <c r="AE33" s="831">
        <f t="array" ref="AE33">IF($J33="","",SUM(IF(LEFT($AG33:$DW33,1)="s",1,0))-SUM(IF(RIGHT(LEFT($AG33:$DW33,2))="-",1,0)))</f>
        <v>0</v>
      </c>
      <c r="AF33" s="816">
        <f t="array" ref="AF33">IF($J33="","",SUM(IF(LEFT($AG33:$DW33,1)="X",1,0)))</f>
        <v>11</v>
      </c>
      <c r="AG33" s="891" t="s">
        <v>34</v>
      </c>
      <c r="AH33" s="891" t="s">
        <v>1877</v>
      </c>
      <c r="AI33" s="891" t="s">
        <v>32</v>
      </c>
      <c r="AJ33" s="891"/>
      <c r="AK33" s="891"/>
      <c r="AL33" s="891" t="s">
        <v>1877</v>
      </c>
      <c r="AM33" s="891" t="s">
        <v>34</v>
      </c>
      <c r="AN33" s="891" t="s">
        <v>1877</v>
      </c>
      <c r="AO33" s="891" t="s">
        <v>2429</v>
      </c>
      <c r="AP33" s="891" t="s">
        <v>32</v>
      </c>
      <c r="AQ33" s="891" t="s">
        <v>32</v>
      </c>
      <c r="AR33" s="891" t="s">
        <v>34</v>
      </c>
      <c r="AS33" s="891" t="s">
        <v>2419</v>
      </c>
      <c r="AT33" s="891" t="s">
        <v>34</v>
      </c>
      <c r="AU33" s="891" t="s">
        <v>34</v>
      </c>
      <c r="AV33" s="891" t="s">
        <v>35</v>
      </c>
      <c r="AW33" s="891" t="s">
        <v>34</v>
      </c>
      <c r="AX33" s="891" t="s">
        <v>36</v>
      </c>
      <c r="AY33" s="891" t="s">
        <v>32</v>
      </c>
      <c r="AZ33" s="891" t="s">
        <v>35</v>
      </c>
      <c r="BA33" s="891" t="s">
        <v>1877</v>
      </c>
      <c r="BB33" s="891" t="s">
        <v>32</v>
      </c>
      <c r="BC33" s="891" t="s">
        <v>32</v>
      </c>
      <c r="BD33" s="891" t="s">
        <v>32</v>
      </c>
      <c r="BE33" s="891" t="s">
        <v>36</v>
      </c>
      <c r="BF33" s="891" t="s">
        <v>32</v>
      </c>
      <c r="BG33" s="891" t="s">
        <v>2428</v>
      </c>
      <c r="BH33" s="891" t="s">
        <v>32</v>
      </c>
      <c r="BI33" s="891" t="s">
        <v>32</v>
      </c>
      <c r="BJ33" s="891" t="s">
        <v>2420</v>
      </c>
      <c r="BK33" s="910"/>
      <c r="BL33" s="891"/>
      <c r="BM33" s="891"/>
      <c r="BN33" s="910"/>
      <c r="BO33" s="891"/>
      <c r="BP33" s="891"/>
      <c r="BQ33" s="891"/>
      <c r="BR33" s="891"/>
      <c r="BS33" s="896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428"/>
      <c r="CF33" s="428"/>
      <c r="CG33" s="428"/>
      <c r="CH33" s="428"/>
    </row>
    <row r="34" spans="1:120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5</v>
      </c>
      <c r="G34" s="879" t="s">
        <v>889</v>
      </c>
      <c r="H34" s="879" t="s">
        <v>18</v>
      </c>
      <c r="I34" s="879" t="s">
        <v>891</v>
      </c>
      <c r="J34" s="846">
        <v>1</v>
      </c>
      <c r="K34" s="846">
        <v>1</v>
      </c>
      <c r="L34" s="816" t="str">
        <f t="shared" si="30"/>
        <v>D</v>
      </c>
      <c r="M34" s="816">
        <f t="shared" si="31"/>
        <v>2</v>
      </c>
      <c r="N34" s="816" t="str">
        <f t="shared" si="32"/>
        <v>U</v>
      </c>
      <c r="O34" s="816">
        <f t="shared" si="21"/>
        <v>0</v>
      </c>
      <c r="P34" s="829">
        <f t="shared" si="23"/>
        <v>0</v>
      </c>
      <c r="Q34" s="830">
        <v>0.02</v>
      </c>
      <c r="R34" s="871">
        <f t="shared" si="33"/>
        <v>-0.02</v>
      </c>
      <c r="S34" s="830">
        <v>2.4</v>
      </c>
      <c r="T34" s="871">
        <f t="shared" si="25"/>
        <v>-0.39999999999999991</v>
      </c>
      <c r="U34" s="868">
        <f t="shared" si="26"/>
        <v>1.21</v>
      </c>
      <c r="V34" s="868">
        <f t="shared" si="27"/>
        <v>1.19</v>
      </c>
      <c r="W34" s="829">
        <v>10</v>
      </c>
      <c r="X34" s="829">
        <v>21</v>
      </c>
      <c r="Y34" s="829">
        <v>1</v>
      </c>
      <c r="Z34" s="829">
        <v>6</v>
      </c>
      <c r="AA34" s="829">
        <v>45</v>
      </c>
      <c r="AB34" s="829">
        <v>55</v>
      </c>
      <c r="AC34" s="829"/>
      <c r="AD34" s="816" t="str">
        <f t="array" ref="AD34">IF($J34="","",IF(SUM(IF(ISNUMBER(VALUE(RIGHT($AG34:$DW34,1))),VALUE(RIGHT($AG34:$DW34,1)),0))=$J34,"T","F"))</f>
        <v>T</v>
      </c>
      <c r="AE34" s="831">
        <f t="array" ref="AE34">IF($J34="","",SUM(IF(LEFT($AG34:$DW34,1)="s",1,0))-SUM(IF(RIGHT(LEFT($AG34:$DW34,2))="-",1,0)))</f>
        <v>0</v>
      </c>
      <c r="AF34" s="816">
        <f t="array" ref="AF34">IF($J34="","",SUM(IF(LEFT($AG34:$DW34,1)="X",1,0)))</f>
        <v>11</v>
      </c>
      <c r="AG34" s="891" t="s">
        <v>34</v>
      </c>
      <c r="AH34" s="891" t="s">
        <v>32</v>
      </c>
      <c r="AI34" s="891" t="s">
        <v>32</v>
      </c>
      <c r="AJ34" s="891" t="s">
        <v>1877</v>
      </c>
      <c r="AK34" s="891"/>
      <c r="AL34" s="891" t="s">
        <v>32</v>
      </c>
      <c r="AM34" s="891" t="s">
        <v>34</v>
      </c>
      <c r="AN34" s="891" t="s">
        <v>1877</v>
      </c>
      <c r="AO34" s="891" t="s">
        <v>34</v>
      </c>
      <c r="AP34" s="891" t="s">
        <v>1877</v>
      </c>
      <c r="AQ34" s="891" t="s">
        <v>32</v>
      </c>
      <c r="AR34" s="904" t="s">
        <v>34</v>
      </c>
      <c r="AS34" s="891" t="s">
        <v>34</v>
      </c>
      <c r="AT34" s="891" t="s">
        <v>34</v>
      </c>
      <c r="AU34" s="891" t="s">
        <v>34</v>
      </c>
      <c r="AV34" s="891" t="s">
        <v>35</v>
      </c>
      <c r="AW34" s="891" t="s">
        <v>2444</v>
      </c>
      <c r="AX34" s="891" t="s">
        <v>36</v>
      </c>
      <c r="AY34" s="891" t="s">
        <v>32</v>
      </c>
      <c r="AZ34" s="891" t="s">
        <v>35</v>
      </c>
      <c r="BA34" s="891" t="s">
        <v>1877</v>
      </c>
      <c r="BB34" s="891" t="s">
        <v>32</v>
      </c>
      <c r="BC34" s="891" t="s">
        <v>32</v>
      </c>
      <c r="BD34" s="891" t="s">
        <v>32</v>
      </c>
      <c r="BE34" s="891" t="s">
        <v>36</v>
      </c>
      <c r="BF34" s="891" t="s">
        <v>32</v>
      </c>
      <c r="BG34" s="891" t="s">
        <v>35</v>
      </c>
      <c r="BH34" s="891" t="s">
        <v>32</v>
      </c>
      <c r="BI34" s="891" t="s">
        <v>32</v>
      </c>
      <c r="BJ34" s="891" t="s">
        <v>36</v>
      </c>
      <c r="BK34" s="910"/>
      <c r="BL34" s="891"/>
      <c r="BM34" s="891"/>
      <c r="BN34" s="910"/>
      <c r="BO34" s="891"/>
      <c r="BP34" s="891"/>
      <c r="BQ34" s="891"/>
      <c r="BR34" s="891"/>
      <c r="BS34" s="891"/>
      <c r="BT34" s="896"/>
      <c r="BU34" s="896"/>
      <c r="BV34" s="896"/>
      <c r="BW34" s="896"/>
      <c r="BX34" s="896"/>
      <c r="BY34" s="896"/>
      <c r="BZ34" s="896"/>
      <c r="CA34" s="896"/>
      <c r="CB34" s="896"/>
      <c r="CC34" s="896"/>
      <c r="CD34" s="896"/>
      <c r="CE34" s="428"/>
      <c r="CF34" s="428"/>
      <c r="CG34" s="428"/>
      <c r="CH34" s="428"/>
      <c r="CL34" s="4" t="s">
        <v>32</v>
      </c>
      <c r="CM34" s="6" t="s">
        <v>32</v>
      </c>
      <c r="CN34" s="6" t="s">
        <v>32</v>
      </c>
      <c r="CO34" s="6" t="s">
        <v>32</v>
      </c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</row>
    <row r="35" spans="1:120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14</v>
      </c>
      <c r="G35" s="879" t="s">
        <v>873</v>
      </c>
      <c r="H35" s="879" t="s">
        <v>18</v>
      </c>
      <c r="I35" s="879" t="s">
        <v>891</v>
      </c>
      <c r="J35" s="846">
        <v>0</v>
      </c>
      <c r="K35" s="846">
        <v>0</v>
      </c>
      <c r="L35" s="816" t="str">
        <f t="shared" si="30"/>
        <v>D</v>
      </c>
      <c r="M35" s="816">
        <f t="shared" si="31"/>
        <v>0</v>
      </c>
      <c r="N35" s="816" t="str">
        <f t="shared" si="32"/>
        <v>U</v>
      </c>
      <c r="O35" s="816">
        <f t="shared" si="21"/>
        <v>0</v>
      </c>
      <c r="P35" s="829">
        <f t="shared" si="23"/>
        <v>0</v>
      </c>
      <c r="Q35" s="830">
        <v>0.06</v>
      </c>
      <c r="R35" s="871">
        <f t="shared" si="33"/>
        <v>-0.06</v>
      </c>
      <c r="S35" s="830">
        <v>2.21</v>
      </c>
      <c r="T35" s="871">
        <f t="shared" si="25"/>
        <v>-2.21</v>
      </c>
      <c r="U35" s="868">
        <f t="shared" si="26"/>
        <v>1.135</v>
      </c>
      <c r="V35" s="868">
        <f t="shared" si="27"/>
        <v>1.075</v>
      </c>
      <c r="W35" s="829">
        <v>6</v>
      </c>
      <c r="X35" s="829">
        <v>3</v>
      </c>
      <c r="Y35" s="829">
        <v>2</v>
      </c>
      <c r="Z35" s="829">
        <v>2</v>
      </c>
      <c r="AA35" s="829">
        <v>51</v>
      </c>
      <c r="AB35" s="829">
        <v>49</v>
      </c>
      <c r="AC35" s="829"/>
      <c r="AD35" s="816" t="str">
        <f t="array" ref="AD35">IF($J35="","",IF(SUM(IF(ISNUMBER(VALUE(RIGHT($AG35:$DW35,1))),VALUE(RIGHT($AG35:$DW35,1)),0))=$J35,"T","F"))</f>
        <v>T</v>
      </c>
      <c r="AE35" s="831">
        <f t="array" ref="AE35">IF($J35="","",SUM(IF(LEFT($AG35:$DW35,1)="s",1,0))-SUM(IF(RIGHT(LEFT($AG35:$DW35,2))="-",1,0)))</f>
        <v>0</v>
      </c>
      <c r="AF35" s="816">
        <f t="array" ref="AF35">IF($J35="","",SUM(IF(LEFT($AG35:$DW35,1)="X",1,0)))</f>
        <v>11</v>
      </c>
      <c r="AG35" s="891" t="s">
        <v>34</v>
      </c>
      <c r="AH35" s="891" t="s">
        <v>32</v>
      </c>
      <c r="AI35" s="891" t="s">
        <v>32</v>
      </c>
      <c r="AJ35" s="891" t="s">
        <v>1877</v>
      </c>
      <c r="AK35" s="891"/>
      <c r="AL35" s="891" t="s">
        <v>32</v>
      </c>
      <c r="AM35" s="891" t="s">
        <v>34</v>
      </c>
      <c r="AN35" s="891" t="s">
        <v>1877</v>
      </c>
      <c r="AO35" s="904" t="s">
        <v>34</v>
      </c>
      <c r="AP35" s="891" t="s">
        <v>34</v>
      </c>
      <c r="AQ35" s="891" t="s">
        <v>32</v>
      </c>
      <c r="AR35" s="891" t="s">
        <v>34</v>
      </c>
      <c r="AS35" s="891" t="s">
        <v>32</v>
      </c>
      <c r="AT35" s="891" t="s">
        <v>34</v>
      </c>
      <c r="AU35" s="891" t="s">
        <v>34</v>
      </c>
      <c r="AV35" s="891" t="s">
        <v>35</v>
      </c>
      <c r="AW35" s="891" t="s">
        <v>34</v>
      </c>
      <c r="AX35" s="891" t="s">
        <v>1877</v>
      </c>
      <c r="AY35" s="891" t="s">
        <v>32</v>
      </c>
      <c r="AZ35" s="891" t="s">
        <v>35</v>
      </c>
      <c r="BA35" s="891" t="s">
        <v>1877</v>
      </c>
      <c r="BB35" s="891" t="s">
        <v>32</v>
      </c>
      <c r="BC35" s="891" t="s">
        <v>32</v>
      </c>
      <c r="BD35" s="891" t="s">
        <v>32</v>
      </c>
      <c r="BE35" s="891" t="s">
        <v>36</v>
      </c>
      <c r="BF35" s="891" t="s">
        <v>32</v>
      </c>
      <c r="BG35" s="891" t="s">
        <v>34</v>
      </c>
      <c r="BH35" s="891" t="s">
        <v>32</v>
      </c>
      <c r="BI35" s="891" t="s">
        <v>1877</v>
      </c>
      <c r="BJ35" s="891" t="s">
        <v>36</v>
      </c>
      <c r="BK35" s="910"/>
      <c r="BL35" s="891"/>
      <c r="BM35" s="891"/>
      <c r="BN35" s="910"/>
      <c r="BO35" s="891"/>
      <c r="BP35" s="891"/>
      <c r="BQ35" s="891"/>
      <c r="BR35" s="891"/>
      <c r="BS35" s="891"/>
      <c r="BT35" s="891"/>
      <c r="BU35" s="891"/>
      <c r="BV35" s="891"/>
      <c r="BW35" s="891"/>
      <c r="BX35" s="891"/>
      <c r="BY35" s="891"/>
      <c r="BZ35" s="891"/>
      <c r="CA35" s="891"/>
      <c r="CB35" s="896"/>
      <c r="CC35" s="896"/>
      <c r="CD35" s="896"/>
      <c r="CE35" s="428"/>
      <c r="CF35" s="428"/>
      <c r="CG35" s="428"/>
      <c r="CH35" s="428"/>
      <c r="CI35" s="230" t="s">
        <v>32</v>
      </c>
      <c r="CJ35" s="230" t="s">
        <v>32</v>
      </c>
      <c r="CK35" s="230" t="s">
        <v>32</v>
      </c>
      <c r="CL35" s="230" t="s">
        <v>32</v>
      </c>
      <c r="CM35" s="230" t="s">
        <v>32</v>
      </c>
      <c r="CN35" s="230" t="s">
        <v>32</v>
      </c>
      <c r="CO35" s="230" t="s">
        <v>32</v>
      </c>
    </row>
    <row r="36" spans="1:120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19</v>
      </c>
      <c r="G36" s="879" t="s">
        <v>885</v>
      </c>
      <c r="H36" s="879" t="s">
        <v>22</v>
      </c>
      <c r="I36" s="879" t="s">
        <v>891</v>
      </c>
      <c r="J36" s="846">
        <v>2</v>
      </c>
      <c r="K36" s="846">
        <v>1</v>
      </c>
      <c r="L36" s="816" t="str">
        <f t="shared" si="30"/>
        <v>W</v>
      </c>
      <c r="M36" s="816">
        <f t="shared" si="31"/>
        <v>3</v>
      </c>
      <c r="N36" s="816" t="str">
        <f t="shared" si="32"/>
        <v>O</v>
      </c>
      <c r="O36" s="816">
        <f t="shared" si="21"/>
        <v>-0.75</v>
      </c>
      <c r="P36" s="829">
        <f t="shared" si="23"/>
        <v>0.5</v>
      </c>
      <c r="Q36" s="830">
        <v>0.78</v>
      </c>
      <c r="R36" s="871">
        <f t="shared" si="33"/>
        <v>0.21999999999999997</v>
      </c>
      <c r="S36" s="830">
        <v>2.4300000000000002</v>
      </c>
      <c r="T36" s="871">
        <f t="shared" si="25"/>
        <v>0.56999999999999984</v>
      </c>
      <c r="U36" s="868">
        <f t="shared" si="26"/>
        <v>1.605</v>
      </c>
      <c r="V36" s="868">
        <f t="shared" si="27"/>
        <v>0.82500000000000018</v>
      </c>
      <c r="W36" s="829">
        <v>10</v>
      </c>
      <c r="X36" s="829">
        <v>16</v>
      </c>
      <c r="Y36" s="829">
        <v>4</v>
      </c>
      <c r="Z36" s="829">
        <v>4</v>
      </c>
      <c r="AA36" s="829">
        <v>55</v>
      </c>
      <c r="AB36" s="829">
        <v>45</v>
      </c>
      <c r="AC36" s="829"/>
      <c r="AD36" s="816" t="str">
        <f t="array" ref="AD36">IF($J36="","",IF(SUM(IF(ISNUMBER(VALUE(RIGHT($AG36:$DW36,1))),VALUE(RIGHT($AG36:$DW36,1)),0))=$J36,"T","F"))</f>
        <v>T</v>
      </c>
      <c r="AE36" s="831">
        <f t="array" ref="AE36">IF($J36="","",SUM(IF(LEFT($AG36:$DW36,1)="s",1,0))-SUM(IF(RIGHT(LEFT($AG36:$DW36,2))="-",1,0)))</f>
        <v>0</v>
      </c>
      <c r="AF36" s="816">
        <f t="array" ref="AF36">IF($J36="","",SUM(IF(LEFT($AG36:$DW36,1)="X",1,0)))</f>
        <v>11</v>
      </c>
      <c r="AG36" s="891" t="s">
        <v>34</v>
      </c>
      <c r="AH36" s="891" t="s">
        <v>32</v>
      </c>
      <c r="AI36" s="891" t="s">
        <v>32</v>
      </c>
      <c r="AJ36" s="891" t="s">
        <v>1877</v>
      </c>
      <c r="AK36" s="891"/>
      <c r="AL36" s="891" t="s">
        <v>32</v>
      </c>
      <c r="AM36" s="891" t="s">
        <v>34</v>
      </c>
      <c r="AN36" s="891" t="s">
        <v>36</v>
      </c>
      <c r="AO36" s="891" t="s">
        <v>34</v>
      </c>
      <c r="AP36" s="891" t="s">
        <v>34</v>
      </c>
      <c r="AQ36" s="891" t="s">
        <v>32</v>
      </c>
      <c r="AR36" s="891" t="s">
        <v>34</v>
      </c>
      <c r="AS36" s="891" t="s">
        <v>32</v>
      </c>
      <c r="AT36" s="904" t="s">
        <v>34</v>
      </c>
      <c r="AU36" s="891" t="s">
        <v>32</v>
      </c>
      <c r="AV36" s="891" t="s">
        <v>35</v>
      </c>
      <c r="AW36" s="904" t="s">
        <v>2493</v>
      </c>
      <c r="AX36" s="904" t="s">
        <v>34</v>
      </c>
      <c r="AY36" s="891" t="s">
        <v>36</v>
      </c>
      <c r="AZ36" s="891" t="s">
        <v>35</v>
      </c>
      <c r="BA36" s="891" t="s">
        <v>1877</v>
      </c>
      <c r="BB36" s="891" t="s">
        <v>32</v>
      </c>
      <c r="BC36" s="891" t="s">
        <v>32</v>
      </c>
      <c r="BD36" s="891" t="s">
        <v>32</v>
      </c>
      <c r="BE36" s="891" t="s">
        <v>1877</v>
      </c>
      <c r="BF36" s="891" t="s">
        <v>32</v>
      </c>
      <c r="BG36" s="891" t="s">
        <v>2484</v>
      </c>
      <c r="BH36" s="891" t="s">
        <v>32</v>
      </c>
      <c r="BI36" s="891" t="s">
        <v>1877</v>
      </c>
      <c r="BJ36" s="904" t="s">
        <v>36</v>
      </c>
      <c r="BK36" s="910"/>
      <c r="BL36" s="891"/>
      <c r="BM36" s="891"/>
      <c r="BN36" s="910"/>
      <c r="BO36" s="891"/>
      <c r="BP36" s="891"/>
      <c r="BQ36" s="891"/>
      <c r="BR36" s="891"/>
      <c r="BS36" s="896"/>
      <c r="BT36" s="896"/>
      <c r="BU36" s="896"/>
      <c r="BV36" s="896"/>
      <c r="BW36" s="896"/>
      <c r="BX36" s="896"/>
      <c r="BY36" s="896"/>
      <c r="BZ36" s="896"/>
      <c r="CA36" s="896"/>
      <c r="CB36" s="896"/>
      <c r="CC36" s="896"/>
      <c r="CD36" s="896"/>
      <c r="CE36" s="428"/>
      <c r="CF36" s="428"/>
      <c r="CG36" s="428"/>
      <c r="CH36" s="428"/>
      <c r="CM36" s="4" t="s">
        <v>32</v>
      </c>
      <c r="CN36" s="4" t="s">
        <v>32</v>
      </c>
      <c r="CO36" s="4" t="s">
        <v>32</v>
      </c>
      <c r="CP36" s="4" t="s">
        <v>32</v>
      </c>
      <c r="CQ36" s="4" t="s">
        <v>32</v>
      </c>
      <c r="CR36" s="4" t="s">
        <v>32</v>
      </c>
      <c r="CS36" s="6" t="s">
        <v>32</v>
      </c>
      <c r="CT36" s="6" t="s">
        <v>32</v>
      </c>
      <c r="CU36" s="6" t="s">
        <v>32</v>
      </c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</row>
    <row r="37" spans="1:120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13</v>
      </c>
      <c r="G37" s="879" t="s">
        <v>884</v>
      </c>
      <c r="H37" s="879" t="s">
        <v>18</v>
      </c>
      <c r="I37" s="879" t="s">
        <v>891</v>
      </c>
      <c r="J37" s="846">
        <v>1</v>
      </c>
      <c r="K37" s="846">
        <v>2</v>
      </c>
      <c r="L37" s="816" t="str">
        <f t="shared" si="30"/>
        <v>L</v>
      </c>
      <c r="M37" s="816">
        <f t="shared" si="31"/>
        <v>3</v>
      </c>
      <c r="N37" s="816" t="str">
        <f t="shared" si="32"/>
        <v>O</v>
      </c>
      <c r="O37" s="816">
        <f t="shared" si="21"/>
        <v>-0.25</v>
      </c>
      <c r="P37" s="829">
        <f t="shared" si="23"/>
        <v>-1</v>
      </c>
      <c r="Q37" s="830">
        <v>0.23</v>
      </c>
      <c r="R37" s="871">
        <f t="shared" si="33"/>
        <v>-1.23</v>
      </c>
      <c r="S37" s="830">
        <v>2.23</v>
      </c>
      <c r="T37" s="871">
        <f t="shared" si="25"/>
        <v>0.77</v>
      </c>
      <c r="U37" s="868">
        <f t="shared" si="26"/>
        <v>1.23</v>
      </c>
      <c r="V37" s="868">
        <f t="shared" si="27"/>
        <v>1</v>
      </c>
      <c r="W37" s="829">
        <v>14</v>
      </c>
      <c r="X37" s="829">
        <v>10</v>
      </c>
      <c r="Y37" s="829">
        <v>5</v>
      </c>
      <c r="Z37" s="829">
        <v>4</v>
      </c>
      <c r="AA37" s="829">
        <v>51</v>
      </c>
      <c r="AB37" s="829">
        <v>49</v>
      </c>
      <c r="AC37" s="829"/>
      <c r="AD37" s="816" t="str">
        <f t="array" ref="AD37">IF($J37="","",IF(SUM(IF(ISNUMBER(VALUE(RIGHT($AG37:$DW37,1))),VALUE(RIGHT($AG37:$DW37,1)),0))=$J37,"T","F"))</f>
        <v>T</v>
      </c>
      <c r="AE37" s="831">
        <f t="array" ref="AE37">IF($J37="","",SUM(IF(LEFT($AG37:$DW37,1)="s",1,0))-SUM(IF(RIGHT(LEFT($AG37:$DW37,2))="-",1,0)))</f>
        <v>0</v>
      </c>
      <c r="AF37" s="816">
        <f t="array" ref="AF37">IF($J37="","",SUM(IF(LEFT($AG37:$DW37,1)="X",1,0)))</f>
        <v>11</v>
      </c>
      <c r="AG37" s="891" t="s">
        <v>34</v>
      </c>
      <c r="AH37" s="891" t="s">
        <v>32</v>
      </c>
      <c r="AI37" s="891" t="s">
        <v>32</v>
      </c>
      <c r="AJ37" s="891" t="s">
        <v>1877</v>
      </c>
      <c r="AK37" s="891"/>
      <c r="AL37" s="891" t="s">
        <v>32</v>
      </c>
      <c r="AM37" s="891" t="s">
        <v>34</v>
      </c>
      <c r="AN37" s="891" t="s">
        <v>1877</v>
      </c>
      <c r="AO37" s="891" t="s">
        <v>34</v>
      </c>
      <c r="AP37" s="891" t="s">
        <v>2505</v>
      </c>
      <c r="AQ37" s="891" t="s">
        <v>32</v>
      </c>
      <c r="AR37" s="891" t="s">
        <v>34</v>
      </c>
      <c r="AS37" s="891" t="s">
        <v>32</v>
      </c>
      <c r="AT37" s="891" t="s">
        <v>34</v>
      </c>
      <c r="AU37" s="891" t="s">
        <v>34</v>
      </c>
      <c r="AV37" s="891" t="s">
        <v>35</v>
      </c>
      <c r="AW37" s="891" t="s">
        <v>34</v>
      </c>
      <c r="AX37" s="891" t="s">
        <v>1877</v>
      </c>
      <c r="AY37" s="891" t="s">
        <v>36</v>
      </c>
      <c r="AZ37" s="904" t="s">
        <v>35</v>
      </c>
      <c r="BA37" s="891" t="s">
        <v>1877</v>
      </c>
      <c r="BB37" s="891" t="s">
        <v>32</v>
      </c>
      <c r="BC37" s="891" t="s">
        <v>32</v>
      </c>
      <c r="BD37" s="891" t="s">
        <v>32</v>
      </c>
      <c r="BE37" s="891" t="s">
        <v>36</v>
      </c>
      <c r="BF37" s="891" t="s">
        <v>32</v>
      </c>
      <c r="BG37" s="891" t="s">
        <v>35</v>
      </c>
      <c r="BH37" s="891" t="s">
        <v>32</v>
      </c>
      <c r="BI37" s="891" t="s">
        <v>32</v>
      </c>
      <c r="BJ37" s="891" t="s">
        <v>36</v>
      </c>
      <c r="BK37" s="910"/>
      <c r="BL37" s="891"/>
      <c r="BM37" s="891"/>
      <c r="BN37" s="910"/>
      <c r="BO37" s="891"/>
      <c r="BP37" s="891"/>
      <c r="BQ37" s="891"/>
      <c r="BR37" s="891"/>
      <c r="BS37" s="891"/>
      <c r="BT37" s="896"/>
      <c r="BU37" s="896"/>
      <c r="BV37" s="896"/>
      <c r="BW37" s="896"/>
      <c r="BX37" s="896"/>
      <c r="BY37" s="896"/>
      <c r="BZ37" s="896"/>
      <c r="CA37" s="896"/>
      <c r="CB37" s="896"/>
      <c r="CC37" s="896"/>
      <c r="CD37" s="896"/>
      <c r="CE37" s="428"/>
      <c r="CF37" s="428"/>
      <c r="CG37" s="428"/>
      <c r="CH37" s="428"/>
      <c r="CI37" s="230" t="s">
        <v>32</v>
      </c>
      <c r="CJ37" s="230" t="s">
        <v>32</v>
      </c>
      <c r="CK37" s="230" t="s">
        <v>32</v>
      </c>
      <c r="CL37" s="230" t="s">
        <v>32</v>
      </c>
      <c r="CM37" s="230" t="s">
        <v>32</v>
      </c>
      <c r="CN37" s="230" t="s">
        <v>32</v>
      </c>
      <c r="CO37" s="230" t="s">
        <v>32</v>
      </c>
    </row>
    <row r="38" spans="1:120" ht="15">
      <c r="A38" s="882">
        <v>6357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3</v>
      </c>
      <c r="G38" s="879" t="s">
        <v>1085</v>
      </c>
      <c r="H38" s="879" t="s">
        <v>22</v>
      </c>
      <c r="I38" s="879" t="s">
        <v>891</v>
      </c>
      <c r="J38" s="908">
        <v>1</v>
      </c>
      <c r="K38" s="846">
        <v>2</v>
      </c>
      <c r="L38" s="816" t="str">
        <f t="shared" si="30"/>
        <v>L</v>
      </c>
      <c r="M38" s="816">
        <f t="shared" si="31"/>
        <v>3</v>
      </c>
      <c r="N38" s="816" t="str">
        <f t="shared" si="32"/>
        <v>O</v>
      </c>
      <c r="O38" s="816">
        <f t="shared" si="21"/>
        <v>0</v>
      </c>
      <c r="P38" s="829">
        <f t="shared" si="23"/>
        <v>-1</v>
      </c>
      <c r="Q38" s="830">
        <v>-0.02</v>
      </c>
      <c r="R38" s="871">
        <f t="shared" si="33"/>
        <v>-0.98</v>
      </c>
      <c r="S38" s="830">
        <v>2.5499999999999998</v>
      </c>
      <c r="T38" s="871">
        <f t="shared" si="25"/>
        <v>0.45000000000000018</v>
      </c>
      <c r="U38" s="868">
        <f t="shared" si="26"/>
        <v>1.2649999999999999</v>
      </c>
      <c r="V38" s="868">
        <f t="shared" si="27"/>
        <v>1.2849999999999999</v>
      </c>
      <c r="W38" s="829">
        <v>10</v>
      </c>
      <c r="X38" s="829">
        <v>8</v>
      </c>
      <c r="Y38" s="829">
        <v>5</v>
      </c>
      <c r="Z38" s="829">
        <v>3</v>
      </c>
      <c r="AA38" s="829">
        <v>43</v>
      </c>
      <c r="AB38" s="829">
        <v>57</v>
      </c>
      <c r="AC38" s="829"/>
      <c r="AD38" s="816" t="str">
        <f t="array" ref="AD38">IF($J38="","",IF(SUM(IF(ISNUMBER(VALUE(RIGHT($AG38:$DW38,1))),VALUE(RIGHT($AG38:$DW38,1)),0))=$J38,"T","F"))</f>
        <v>T</v>
      </c>
      <c r="AE38" s="831">
        <f t="array" ref="AE38">IF($J38="","",SUM(IF(LEFT($AG38:$DW38,1)="s",1,0))-SUM(IF(RIGHT(LEFT($AG38:$DW38,2))="-",1,0)))</f>
        <v>0</v>
      </c>
      <c r="AF38" s="816">
        <f t="array" ref="AF38">IF($J38="","",SUM(IF(LEFT($AG38:$DW38,1)="X",1,0)))</f>
        <v>11</v>
      </c>
      <c r="AG38" s="891" t="s">
        <v>34</v>
      </c>
      <c r="AH38" s="891" t="s">
        <v>32</v>
      </c>
      <c r="AI38" s="891" t="s">
        <v>32</v>
      </c>
      <c r="AJ38" s="891" t="s">
        <v>1877</v>
      </c>
      <c r="AK38" s="891"/>
      <c r="AL38" s="891" t="s">
        <v>32</v>
      </c>
      <c r="AM38" s="891" t="s">
        <v>34</v>
      </c>
      <c r="AN38" s="891" t="s">
        <v>34</v>
      </c>
      <c r="AO38" s="891" t="s">
        <v>1877</v>
      </c>
      <c r="AP38" s="891" t="s">
        <v>34</v>
      </c>
      <c r="AQ38" s="891" t="s">
        <v>32</v>
      </c>
      <c r="AR38" s="891" t="s">
        <v>34</v>
      </c>
      <c r="AS38" s="891" t="s">
        <v>32</v>
      </c>
      <c r="AT38" s="891" t="s">
        <v>34</v>
      </c>
      <c r="AU38" s="891" t="s">
        <v>34</v>
      </c>
      <c r="AV38" s="891" t="s">
        <v>32</v>
      </c>
      <c r="AW38" s="909" t="s">
        <v>34</v>
      </c>
      <c r="AX38" s="891" t="s">
        <v>1877</v>
      </c>
      <c r="AY38" s="891" t="s">
        <v>35</v>
      </c>
      <c r="AZ38" s="891" t="s">
        <v>36</v>
      </c>
      <c r="BA38" s="891" t="s">
        <v>36</v>
      </c>
      <c r="BB38" s="891" t="s">
        <v>32</v>
      </c>
      <c r="BC38" s="891" t="s">
        <v>32</v>
      </c>
      <c r="BD38" s="891" t="s">
        <v>32</v>
      </c>
      <c r="BE38" s="891" t="s">
        <v>35</v>
      </c>
      <c r="BF38" s="891" t="s">
        <v>32</v>
      </c>
      <c r="BG38" s="904" t="s">
        <v>2539</v>
      </c>
      <c r="BH38" s="891" t="s">
        <v>1877</v>
      </c>
      <c r="BI38" s="891" t="s">
        <v>32</v>
      </c>
      <c r="BJ38" s="891" t="s">
        <v>36</v>
      </c>
      <c r="BK38" s="910"/>
      <c r="BL38" s="891"/>
      <c r="BM38" s="891"/>
      <c r="BN38" s="910"/>
      <c r="BO38" s="891"/>
      <c r="BP38" s="891"/>
      <c r="BQ38" s="891"/>
      <c r="BR38" s="891"/>
      <c r="BS38" s="896"/>
      <c r="BT38" s="896"/>
      <c r="BU38" s="896"/>
      <c r="BV38" s="896"/>
      <c r="BW38" s="896"/>
      <c r="BX38" s="896"/>
      <c r="BY38" s="896"/>
      <c r="BZ38" s="896"/>
      <c r="CA38" s="896"/>
      <c r="CB38" s="896"/>
      <c r="CC38" s="896"/>
      <c r="CD38" s="896"/>
      <c r="CE38" s="428"/>
      <c r="CF38" s="428"/>
      <c r="CG38" s="428"/>
      <c r="CH38" s="428"/>
      <c r="CI38" s="230" t="s">
        <v>32</v>
      </c>
      <c r="CJ38" s="230" t="s">
        <v>32</v>
      </c>
      <c r="CK38" s="230" t="s">
        <v>32</v>
      </c>
      <c r="CL38" s="230" t="s">
        <v>32</v>
      </c>
      <c r="CM38" s="230" t="s">
        <v>32</v>
      </c>
      <c r="CN38" s="230" t="s">
        <v>32</v>
      </c>
      <c r="CO38" s="230" t="s">
        <v>32</v>
      </c>
    </row>
    <row r="39" spans="1:120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20</v>
      </c>
      <c r="G39" s="879" t="s">
        <v>882</v>
      </c>
      <c r="H39" s="879" t="s">
        <v>22</v>
      </c>
      <c r="I39" s="879" t="s">
        <v>891</v>
      </c>
      <c r="J39" s="846">
        <v>1</v>
      </c>
      <c r="K39" s="846">
        <v>0</v>
      </c>
      <c r="L39" s="816" t="str">
        <f t="shared" si="30"/>
        <v>W</v>
      </c>
      <c r="M39" s="816">
        <f t="shared" si="31"/>
        <v>1</v>
      </c>
      <c r="N39" s="816" t="str">
        <f t="shared" si="32"/>
        <v>U</v>
      </c>
      <c r="O39" s="816">
        <f t="shared" si="21"/>
        <v>-0.25</v>
      </c>
      <c r="P39" s="829">
        <f t="shared" si="23"/>
        <v>1</v>
      </c>
      <c r="Q39" s="830">
        <v>0.34</v>
      </c>
      <c r="R39" s="871">
        <f t="shared" si="33"/>
        <v>0.65999999999999992</v>
      </c>
      <c r="S39" s="830">
        <v>2.42</v>
      </c>
      <c r="T39" s="871">
        <f t="shared" si="25"/>
        <v>-1.42</v>
      </c>
      <c r="U39" s="868">
        <f t="shared" si="26"/>
        <v>1.38</v>
      </c>
      <c r="V39" s="868">
        <f t="shared" si="27"/>
        <v>1.04</v>
      </c>
      <c r="W39" s="829">
        <v>13</v>
      </c>
      <c r="X39" s="829">
        <v>12</v>
      </c>
      <c r="Y39" s="829">
        <v>3</v>
      </c>
      <c r="Z39" s="829">
        <v>2</v>
      </c>
      <c r="AA39" s="829">
        <v>44</v>
      </c>
      <c r="AB39" s="829">
        <v>56</v>
      </c>
      <c r="AC39" s="829"/>
      <c r="AD39" s="816" t="str">
        <f t="array" ref="AD39">IF($J39="","",IF(SUM(IF(ISNUMBER(VALUE(RIGHT($AG39:$DW39,1))),VALUE(RIGHT($AG39:$DW39,1)),0))=$J39,"T","F"))</f>
        <v>T</v>
      </c>
      <c r="AE39" s="831">
        <f t="array" ref="AE39">IF($J39="","",SUM(IF(LEFT($AG39:$DW39,1)="s",1,0))-SUM(IF(RIGHT(LEFT($AG39:$DW39,2))="-",1,0)))</f>
        <v>0</v>
      </c>
      <c r="AF39" s="816">
        <f t="array" ref="AF39">IF($J39="","",SUM(IF(LEFT($AG39:$DW39,1)="X",1,0)))</f>
        <v>11</v>
      </c>
      <c r="AG39" s="891" t="s">
        <v>34</v>
      </c>
      <c r="AH39" s="891" t="s">
        <v>32</v>
      </c>
      <c r="AI39" s="891" t="s">
        <v>32</v>
      </c>
      <c r="AJ39" s="891" t="s">
        <v>1877</v>
      </c>
      <c r="AK39" s="891"/>
      <c r="AL39" s="891" t="s">
        <v>32</v>
      </c>
      <c r="AM39" s="891" t="s">
        <v>34</v>
      </c>
      <c r="AN39" s="904" t="s">
        <v>34</v>
      </c>
      <c r="AO39" s="891" t="s">
        <v>1877</v>
      </c>
      <c r="AP39" s="891" t="s">
        <v>35</v>
      </c>
      <c r="AQ39" s="891" t="s">
        <v>32</v>
      </c>
      <c r="AR39" s="891" t="s">
        <v>34</v>
      </c>
      <c r="AS39" s="891" t="s">
        <v>36</v>
      </c>
      <c r="AT39" s="891" t="s">
        <v>34</v>
      </c>
      <c r="AU39" s="904" t="s">
        <v>34</v>
      </c>
      <c r="AV39" s="904" t="s">
        <v>36</v>
      </c>
      <c r="AW39" s="891" t="s">
        <v>2560</v>
      </c>
      <c r="AX39" s="891" t="s">
        <v>34</v>
      </c>
      <c r="AY39" s="891" t="s">
        <v>36</v>
      </c>
      <c r="AZ39" s="891" t="s">
        <v>32</v>
      </c>
      <c r="BA39" s="891" t="s">
        <v>1877</v>
      </c>
      <c r="BB39" s="891" t="s">
        <v>32</v>
      </c>
      <c r="BC39" s="891" t="s">
        <v>32</v>
      </c>
      <c r="BD39" s="891" t="s">
        <v>32</v>
      </c>
      <c r="BE39" s="891" t="s">
        <v>35</v>
      </c>
      <c r="BF39" s="891" t="s">
        <v>32</v>
      </c>
      <c r="BG39" s="891" t="s">
        <v>2555</v>
      </c>
      <c r="BH39" s="891" t="s">
        <v>1877</v>
      </c>
      <c r="BI39" s="891" t="s">
        <v>32</v>
      </c>
      <c r="BJ39" s="891" t="s">
        <v>35</v>
      </c>
      <c r="BK39" s="910"/>
      <c r="BL39" s="891"/>
      <c r="BM39" s="891"/>
      <c r="BN39" s="910"/>
      <c r="BO39" s="891"/>
      <c r="BP39" s="891"/>
      <c r="BQ39" s="891"/>
      <c r="BR39" s="891"/>
      <c r="BS39" s="891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428"/>
      <c r="CF39" s="428"/>
      <c r="CG39" s="428"/>
      <c r="CH39" s="428"/>
      <c r="CI39" s="230" t="s">
        <v>32</v>
      </c>
      <c r="CJ39" s="230" t="s">
        <v>32</v>
      </c>
      <c r="CK39" s="230" t="s">
        <v>32</v>
      </c>
      <c r="CL39" s="230" t="s">
        <v>32</v>
      </c>
      <c r="CM39" s="230" t="s">
        <v>32</v>
      </c>
      <c r="CN39" s="230" t="s">
        <v>32</v>
      </c>
      <c r="CO39" s="230" t="s">
        <v>32</v>
      </c>
    </row>
    <row r="40" spans="1:120" ht="15">
      <c r="A40" s="882">
        <v>6371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9</v>
      </c>
      <c r="G40" s="879" t="s">
        <v>1083</v>
      </c>
      <c r="H40" s="879" t="s">
        <v>18</v>
      </c>
      <c r="I40" s="879" t="s">
        <v>891</v>
      </c>
      <c r="J40" s="846">
        <v>2</v>
      </c>
      <c r="K40" s="846">
        <v>2</v>
      </c>
      <c r="L40" s="816" t="str">
        <f t="shared" si="30"/>
        <v>D</v>
      </c>
      <c r="M40" s="816">
        <f t="shared" si="31"/>
        <v>4</v>
      </c>
      <c r="N40" s="816" t="str">
        <f t="shared" si="32"/>
        <v>O</v>
      </c>
      <c r="O40" s="816">
        <f t="shared" si="21"/>
        <v>0</v>
      </c>
      <c r="P40" s="829">
        <f t="shared" si="23"/>
        <v>0</v>
      </c>
      <c r="Q40" s="830">
        <v>-0.05</v>
      </c>
      <c r="R40" s="871">
        <f t="shared" si="33"/>
        <v>0.05</v>
      </c>
      <c r="S40" s="830">
        <v>2.2799999999999998</v>
      </c>
      <c r="T40" s="871">
        <f t="shared" si="25"/>
        <v>1.7200000000000002</v>
      </c>
      <c r="U40" s="868">
        <f t="shared" si="26"/>
        <v>1.115</v>
      </c>
      <c r="V40" s="868">
        <f t="shared" si="27"/>
        <v>1.1649999999999998</v>
      </c>
      <c r="W40" s="829">
        <v>16</v>
      </c>
      <c r="X40" s="829">
        <v>10</v>
      </c>
      <c r="Y40" s="829">
        <v>4</v>
      </c>
      <c r="Z40" s="829">
        <v>3</v>
      </c>
      <c r="AA40" s="829">
        <v>49</v>
      </c>
      <c r="AB40" s="829">
        <v>51</v>
      </c>
      <c r="AC40" s="829"/>
      <c r="AD40" s="816" t="str">
        <f t="array" ref="AD40">IF($J40="","",IF(SUM(IF(ISNUMBER(VALUE(RIGHT($AG40:$DW40,1))),VALUE(RIGHT($AG40:$DW40,1)),0))=$J40,"T","F"))</f>
        <v>T</v>
      </c>
      <c r="AE40" s="831">
        <f t="array" ref="AE40">IF($J40="","",SUM(IF(LEFT($AG40:$DW40,1)="s",1,0))-SUM(IF(RIGHT(LEFT($AG40:$DW40,2))="-",1,0)))</f>
        <v>0</v>
      </c>
      <c r="AF40" s="816">
        <f t="array" ref="AF40">IF($J40="","",SUM(IF(LEFT($AG40:$DW40,1)="X",1,0)))</f>
        <v>11</v>
      </c>
      <c r="AG40" s="891" t="s">
        <v>34</v>
      </c>
      <c r="AH40" s="891" t="s">
        <v>32</v>
      </c>
      <c r="AI40" s="891" t="s">
        <v>32</v>
      </c>
      <c r="AJ40" s="891" t="s">
        <v>1877</v>
      </c>
      <c r="AK40" s="891"/>
      <c r="AL40" s="891" t="s">
        <v>32</v>
      </c>
      <c r="AM40" s="891" t="s">
        <v>34</v>
      </c>
      <c r="AN40" s="891" t="s">
        <v>34</v>
      </c>
      <c r="AO40" s="891" t="s">
        <v>1877</v>
      </c>
      <c r="AP40" s="891" t="s">
        <v>32</v>
      </c>
      <c r="AQ40" s="891" t="s">
        <v>32</v>
      </c>
      <c r="AR40" s="904" t="s">
        <v>34</v>
      </c>
      <c r="AS40" s="891" t="s">
        <v>35</v>
      </c>
      <c r="AT40" s="891" t="s">
        <v>34</v>
      </c>
      <c r="AU40" s="891" t="s">
        <v>34</v>
      </c>
      <c r="AV40" s="891" t="s">
        <v>36</v>
      </c>
      <c r="AW40" s="891" t="s">
        <v>34</v>
      </c>
      <c r="AX40" s="891" t="s">
        <v>35</v>
      </c>
      <c r="AY40" s="891" t="s">
        <v>1877</v>
      </c>
      <c r="AZ40" s="891" t="s">
        <v>32</v>
      </c>
      <c r="BA40" s="891" t="s">
        <v>36</v>
      </c>
      <c r="BB40" s="891" t="s">
        <v>32</v>
      </c>
      <c r="BC40" s="891" t="s">
        <v>32</v>
      </c>
      <c r="BD40" s="891" t="s">
        <v>32</v>
      </c>
      <c r="BE40" s="891" t="s">
        <v>36</v>
      </c>
      <c r="BF40" s="891" t="s">
        <v>32</v>
      </c>
      <c r="BG40" s="891" t="s">
        <v>2581</v>
      </c>
      <c r="BH40" s="891" t="s">
        <v>1877</v>
      </c>
      <c r="BI40" s="891" t="s">
        <v>32</v>
      </c>
      <c r="BJ40" s="891" t="s">
        <v>35</v>
      </c>
      <c r="BK40" s="910"/>
      <c r="BL40" s="891"/>
      <c r="BM40" s="891"/>
      <c r="BN40" s="910"/>
      <c r="BO40" s="891"/>
      <c r="BP40" s="891"/>
      <c r="BQ40" s="891"/>
      <c r="BR40" s="891"/>
      <c r="BS40" s="896"/>
      <c r="BT40" s="896"/>
      <c r="BU40" s="896"/>
      <c r="BV40" s="896"/>
      <c r="BW40" s="896"/>
      <c r="BX40" s="896"/>
      <c r="BY40" s="896"/>
      <c r="BZ40" s="896"/>
      <c r="CA40" s="896"/>
      <c r="CB40" s="896"/>
      <c r="CC40" s="896"/>
      <c r="CD40" s="896"/>
      <c r="CE40" s="4"/>
      <c r="CF40" s="4"/>
      <c r="CG40" s="4"/>
      <c r="CH40" s="4"/>
      <c r="CI40" s="6" t="s">
        <v>32</v>
      </c>
      <c r="CJ40" s="6" t="s">
        <v>32</v>
      </c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</row>
    <row r="41" spans="1:120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11</v>
      </c>
      <c r="G41" s="879" t="s">
        <v>874</v>
      </c>
      <c r="H41" s="879" t="s">
        <v>22</v>
      </c>
      <c r="I41" s="879" t="s">
        <v>891</v>
      </c>
      <c r="J41" s="846">
        <v>0</v>
      </c>
      <c r="K41" s="846">
        <v>1</v>
      </c>
      <c r="L41" s="816" t="str">
        <f t="shared" si="30"/>
        <v>L</v>
      </c>
      <c r="M41" s="816">
        <f t="shared" si="31"/>
        <v>1</v>
      </c>
      <c r="N41" s="816" t="str">
        <f t="shared" si="32"/>
        <v>U</v>
      </c>
      <c r="O41" s="816">
        <f t="shared" si="21"/>
        <v>0</v>
      </c>
      <c r="P41" s="829">
        <f t="shared" si="23"/>
        <v>-1</v>
      </c>
      <c r="Q41" s="830">
        <v>0.12</v>
      </c>
      <c r="R41" s="871">
        <f t="shared" si="33"/>
        <v>-1.1200000000000001</v>
      </c>
      <c r="S41" s="830">
        <v>2.21</v>
      </c>
      <c r="T41" s="871">
        <f t="shared" si="25"/>
        <v>-1.21</v>
      </c>
      <c r="U41" s="868">
        <f t="shared" si="26"/>
        <v>1.165</v>
      </c>
      <c r="V41" s="868">
        <f t="shared" si="27"/>
        <v>1.0449999999999999</v>
      </c>
      <c r="W41" s="829">
        <v>12</v>
      </c>
      <c r="X41" s="829">
        <v>13</v>
      </c>
      <c r="Y41" s="829">
        <v>1</v>
      </c>
      <c r="Z41" s="829">
        <v>2</v>
      </c>
      <c r="AA41" s="829">
        <v>47</v>
      </c>
      <c r="AB41" s="829">
        <v>53</v>
      </c>
      <c r="AC41" s="829"/>
      <c r="AD41" s="816" t="str">
        <f t="array" ref="AD41">IF($J41="","",IF(SUM(IF(ISNUMBER(VALUE(RIGHT($AG41:$DW41,1))),VALUE(RIGHT($AG41:$DW41,1)),0))=$J41,"T","F"))</f>
        <v>T</v>
      </c>
      <c r="AE41" s="831">
        <f t="array" ref="AE41">IF($J41="","",SUM(IF(LEFT($AG41:$DW41,1)="s",1,0))-SUM(IF(RIGHT(LEFT($AG41:$DW41,2))="-",1,0)))</f>
        <v>0</v>
      </c>
      <c r="AF41" s="816">
        <f t="array" ref="AF41">IF($J41="","",SUM(IF(LEFT($AG41:$DW41,1)="X",1,0)))</f>
        <v>11</v>
      </c>
      <c r="AG41" s="891" t="s">
        <v>34</v>
      </c>
      <c r="AH41" s="891" t="s">
        <v>32</v>
      </c>
      <c r="AI41" s="891" t="s">
        <v>32</v>
      </c>
      <c r="AJ41" s="891" t="s">
        <v>1877</v>
      </c>
      <c r="AK41" s="891"/>
      <c r="AL41" s="891" t="s">
        <v>32</v>
      </c>
      <c r="AM41" s="891" t="s">
        <v>34</v>
      </c>
      <c r="AN41" s="891" t="s">
        <v>34</v>
      </c>
      <c r="AO41" s="891" t="s">
        <v>1877</v>
      </c>
      <c r="AP41" s="891" t="s">
        <v>34</v>
      </c>
      <c r="AQ41" s="891" t="s">
        <v>32</v>
      </c>
      <c r="AR41" s="891" t="s">
        <v>34</v>
      </c>
      <c r="AS41" s="891" t="s">
        <v>34</v>
      </c>
      <c r="AT41" s="891" t="s">
        <v>32</v>
      </c>
      <c r="AU41" s="891" t="s">
        <v>34</v>
      </c>
      <c r="AV41" s="891" t="s">
        <v>35</v>
      </c>
      <c r="AW41" s="891" t="s">
        <v>34</v>
      </c>
      <c r="AX41" s="891" t="s">
        <v>1877</v>
      </c>
      <c r="AY41" s="891" t="s">
        <v>36</v>
      </c>
      <c r="AZ41" s="891" t="s">
        <v>36</v>
      </c>
      <c r="BA41" s="891" t="s">
        <v>32</v>
      </c>
      <c r="BB41" s="891" t="s">
        <v>32</v>
      </c>
      <c r="BC41" s="891" t="s">
        <v>32</v>
      </c>
      <c r="BD41" s="891" t="s">
        <v>32</v>
      </c>
      <c r="BE41" s="891" t="s">
        <v>35</v>
      </c>
      <c r="BF41" s="891" t="s">
        <v>32</v>
      </c>
      <c r="BG41" s="904" t="s">
        <v>34</v>
      </c>
      <c r="BH41" s="891" t="s">
        <v>1877</v>
      </c>
      <c r="BI41" s="891" t="s">
        <v>32</v>
      </c>
      <c r="BJ41" s="891" t="s">
        <v>1877</v>
      </c>
      <c r="BK41" s="910"/>
      <c r="BL41" s="891"/>
      <c r="BM41" s="891"/>
      <c r="BN41" s="910"/>
      <c r="BO41" s="891"/>
      <c r="BP41" s="891"/>
      <c r="BQ41" s="891"/>
      <c r="BR41" s="891"/>
      <c r="BS41" s="896"/>
      <c r="BT41" s="896"/>
      <c r="BU41" s="896"/>
      <c r="BV41" s="896"/>
      <c r="BW41" s="896"/>
      <c r="BX41" s="896"/>
      <c r="BY41" s="896"/>
      <c r="BZ41" s="896"/>
      <c r="CA41" s="896"/>
      <c r="CB41" s="896"/>
      <c r="CC41" s="896"/>
      <c r="CD41" s="896"/>
      <c r="CE41" s="428"/>
      <c r="CF41" s="428"/>
      <c r="CG41" s="428"/>
      <c r="CH41" s="428"/>
      <c r="CI41" s="230" t="s">
        <v>32</v>
      </c>
      <c r="CJ41" s="230" t="s">
        <v>32</v>
      </c>
      <c r="CK41" s="230" t="s">
        <v>32</v>
      </c>
      <c r="CL41" s="230" t="s">
        <v>32</v>
      </c>
      <c r="CM41" s="230" t="s">
        <v>32</v>
      </c>
      <c r="CN41" s="230" t="s">
        <v>32</v>
      </c>
      <c r="CO41" s="230" t="s">
        <v>32</v>
      </c>
    </row>
    <row r="42" spans="1:120" ht="15">
      <c r="A42" s="912">
        <v>6382</v>
      </c>
      <c r="B42" s="894"/>
      <c r="C42" s="894"/>
      <c r="D42" s="894"/>
      <c r="E42" s="894"/>
      <c r="F42" s="894"/>
      <c r="G42" s="828" t="s">
        <v>875</v>
      </c>
      <c r="H42" s="828" t="s">
        <v>18</v>
      </c>
      <c r="I42" s="828" t="s">
        <v>2649</v>
      </c>
      <c r="J42" s="895">
        <v>0</v>
      </c>
      <c r="K42" s="895">
        <v>2</v>
      </c>
      <c r="L42" s="816" t="str">
        <f t="shared" ref="L42" si="34">IF(J42="","",IF(J42&gt;K42,"W",IF(J42=K42,"D",IF(J42&lt;K42,"L"))))</f>
        <v>L</v>
      </c>
      <c r="M42" s="816">
        <f t="shared" ref="M42" si="35">IF(J42="","",J42+K42)</f>
        <v>2</v>
      </c>
      <c r="N42" s="816" t="str">
        <f t="shared" si="32"/>
        <v>U</v>
      </c>
      <c r="O42" s="816" t="str">
        <f t="shared" ref="O42" si="36">IF(Q42="","",IF(SIGN(Q42)&lt;&gt;1,VLOOKUP(ABS(Q42),SUP_HDC,3,TRUE),-VLOOKUP(ABS(Q42),SUP_HDC,3,TRUE)))</f>
        <v/>
      </c>
      <c r="P42" s="829" t="str">
        <f t="shared" ref="P42" si="37">IF(O42="","",IF((J42-K42+O42)&gt;=0.5,1,IF((J42-K42+O42)=0.25,0.5,IF((J42-K42+O42)&lt;=-0.5,-1,IF((J42-K42+O42)=-0.25,-0.5,0)))))</f>
        <v/>
      </c>
      <c r="Q42" s="830"/>
      <c r="R42" s="871" t="str">
        <f t="shared" ref="R42" si="38">IF(ISBLANK(Q42),"",J42-K42-Q42)</f>
        <v/>
      </c>
      <c r="S42" s="830"/>
      <c r="T42" s="871" t="str">
        <f t="shared" ref="T42" si="39">IF(ISBLANK(S42),"",J42+K42-S42)</f>
        <v/>
      </c>
      <c r="U42" s="868" t="str">
        <f t="shared" ref="U42" si="40">IF(Q42="","",(Q42+S42)/2)</f>
        <v/>
      </c>
      <c r="V42" s="868" t="str">
        <f t="shared" ref="V42" si="41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IF($J42="","",IF(SUM(IF(ISNUMBER(VALUE(RIGHT($AG42:$DW42,1))),VALUE(RIGHT($AG42:$DW42,1)),0))=$J42,"T","F"))</f>
        <v>T</v>
      </c>
      <c r="AE42" s="831">
        <f t="array" ref="AE42">IF($J42="","",SUM(IF(LEFT($AG42:$DW42,1)="s",1,0))-SUM(IF(RIGHT(LEFT($AG42:$DW42,2))="-",1,0)))</f>
        <v>0</v>
      </c>
      <c r="AF42" s="816">
        <f t="array" ref="AF42">IF($J42="","",SUM(IF(LEFT($AG42:$DW42,1)="X",1,0)))</f>
        <v>11</v>
      </c>
      <c r="AG42" s="891" t="s">
        <v>1877</v>
      </c>
      <c r="AH42" s="891" t="s">
        <v>32</v>
      </c>
      <c r="AI42" s="891" t="s">
        <v>32</v>
      </c>
      <c r="AJ42" s="891" t="s">
        <v>34</v>
      </c>
      <c r="AK42" s="891"/>
      <c r="AL42" s="891" t="s">
        <v>32</v>
      </c>
      <c r="AM42" s="891" t="s">
        <v>32</v>
      </c>
      <c r="AN42" s="906" t="s">
        <v>2722</v>
      </c>
      <c r="AO42" s="891" t="s">
        <v>34</v>
      </c>
      <c r="AP42" s="891" t="s">
        <v>34</v>
      </c>
      <c r="AQ42" s="891" t="s">
        <v>34</v>
      </c>
      <c r="AR42" s="891" t="s">
        <v>32</v>
      </c>
      <c r="AS42" s="891" t="s">
        <v>1877</v>
      </c>
      <c r="AT42" s="891" t="s">
        <v>32</v>
      </c>
      <c r="AU42" s="891" t="s">
        <v>32</v>
      </c>
      <c r="AV42" s="891" t="s">
        <v>1877</v>
      </c>
      <c r="AW42" s="891" t="s">
        <v>32</v>
      </c>
      <c r="AX42" s="891" t="s">
        <v>34</v>
      </c>
      <c r="AY42" s="891" t="s">
        <v>35</v>
      </c>
      <c r="AZ42" s="891" t="s">
        <v>32</v>
      </c>
      <c r="BA42" s="891" t="s">
        <v>35</v>
      </c>
      <c r="BB42" s="891" t="s">
        <v>34</v>
      </c>
      <c r="BC42" s="891" t="s">
        <v>35</v>
      </c>
      <c r="BD42" s="891" t="s">
        <v>36</v>
      </c>
      <c r="BE42" s="891" t="s">
        <v>1877</v>
      </c>
      <c r="BF42" s="891" t="s">
        <v>32</v>
      </c>
      <c r="BG42" s="891" t="s">
        <v>32</v>
      </c>
      <c r="BH42" s="891" t="s">
        <v>34</v>
      </c>
      <c r="BI42" s="891" t="s">
        <v>36</v>
      </c>
      <c r="BJ42" s="891" t="s">
        <v>34</v>
      </c>
      <c r="BK42" s="910"/>
      <c r="BL42" s="891"/>
      <c r="BM42" s="891"/>
      <c r="BN42" s="910"/>
      <c r="BO42" s="891"/>
      <c r="BP42" s="891"/>
      <c r="BQ42" s="891"/>
      <c r="BR42" s="891"/>
      <c r="BS42" s="896"/>
      <c r="BT42" s="896"/>
      <c r="BU42" s="896"/>
      <c r="BV42" s="896"/>
      <c r="BW42" s="896"/>
      <c r="BX42" s="896"/>
      <c r="BY42" s="896"/>
      <c r="BZ42" s="896"/>
      <c r="CA42" s="896"/>
      <c r="CB42" s="896"/>
      <c r="CC42" s="896"/>
      <c r="CD42" s="896"/>
      <c r="CE42" s="428"/>
      <c r="CF42" s="428"/>
      <c r="CG42" s="428"/>
      <c r="CH42" s="428"/>
    </row>
    <row r="43" spans="1:120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</v>
      </c>
      <c r="G43" s="879" t="s">
        <v>1086</v>
      </c>
      <c r="H43" s="879" t="s">
        <v>22</v>
      </c>
      <c r="I43" s="879" t="s">
        <v>891</v>
      </c>
      <c r="J43" s="846">
        <v>0</v>
      </c>
      <c r="K43" s="846">
        <v>1</v>
      </c>
      <c r="L43" s="816" t="str">
        <f t="shared" si="30"/>
        <v>L</v>
      </c>
      <c r="M43" s="816">
        <f t="shared" si="31"/>
        <v>1</v>
      </c>
      <c r="N43" s="816" t="str">
        <f t="shared" si="32"/>
        <v>U</v>
      </c>
      <c r="O43" s="816">
        <f t="shared" si="21"/>
        <v>0.25</v>
      </c>
      <c r="P43" s="829">
        <f t="shared" si="23"/>
        <v>-1</v>
      </c>
      <c r="Q43" s="830">
        <v>-0.23</v>
      </c>
      <c r="R43" s="871">
        <f t="shared" si="33"/>
        <v>-0.77</v>
      </c>
      <c r="S43" s="830">
        <v>2.23</v>
      </c>
      <c r="T43" s="871">
        <f t="shared" si="25"/>
        <v>-1.23</v>
      </c>
      <c r="U43" s="868">
        <f t="shared" si="26"/>
        <v>1</v>
      </c>
      <c r="V43" s="868">
        <f t="shared" si="27"/>
        <v>1.23</v>
      </c>
      <c r="W43" s="829">
        <v>13</v>
      </c>
      <c r="X43" s="829">
        <v>14</v>
      </c>
      <c r="Y43" s="829">
        <v>1</v>
      </c>
      <c r="Z43" s="829">
        <v>5</v>
      </c>
      <c r="AA43" s="829">
        <v>60</v>
      </c>
      <c r="AB43" s="829">
        <v>40</v>
      </c>
      <c r="AC43" s="829"/>
      <c r="AD43" s="816" t="str">
        <f t="array" ref="AD43">IF($J43="","",IF(SUM(IF(ISNUMBER(VALUE(RIGHT($AG43:$DW43,1))),VALUE(RIGHT($AG43:$DW43,1)),0))=$J43,"T","F"))</f>
        <v>T</v>
      </c>
      <c r="AE43" s="831">
        <f t="array" ref="AE43">IF($J43="","",SUM(IF(LEFT($AG43:$DW43,1)="s",1,0))-SUM(IF(RIGHT(LEFT($AG43:$DW43,2))="-",1,0)))</f>
        <v>0</v>
      </c>
      <c r="AF43" s="816">
        <f t="array" ref="AF43">IF($J43="","",SUM(IF(LEFT($AG43:$DW43,1)="X",1,0)))</f>
        <v>11</v>
      </c>
      <c r="AG43" s="891" t="s">
        <v>34</v>
      </c>
      <c r="AH43" s="891" t="s">
        <v>32</v>
      </c>
      <c r="AI43" s="891" t="s">
        <v>32</v>
      </c>
      <c r="AJ43" s="891" t="s">
        <v>1877</v>
      </c>
      <c r="AK43" s="891"/>
      <c r="AL43" s="891" t="s">
        <v>32</v>
      </c>
      <c r="AM43" s="891" t="s">
        <v>34</v>
      </c>
      <c r="AN43" s="891" t="s">
        <v>1877</v>
      </c>
      <c r="AO43" s="891" t="s">
        <v>34</v>
      </c>
      <c r="AP43" s="891" t="s">
        <v>1877</v>
      </c>
      <c r="AQ43" s="891" t="s">
        <v>32</v>
      </c>
      <c r="AR43" s="891" t="s">
        <v>34</v>
      </c>
      <c r="AS43" s="891" t="s">
        <v>35</v>
      </c>
      <c r="AT43" s="891" t="s">
        <v>34</v>
      </c>
      <c r="AU43" s="891" t="s">
        <v>34</v>
      </c>
      <c r="AV43" s="891" t="s">
        <v>34</v>
      </c>
      <c r="AW43" s="891" t="s">
        <v>34</v>
      </c>
      <c r="AX43" s="891" t="s">
        <v>1877</v>
      </c>
      <c r="AY43" s="891" t="s">
        <v>32</v>
      </c>
      <c r="AZ43" s="891" t="s">
        <v>36</v>
      </c>
      <c r="BA43" s="891" t="s">
        <v>32</v>
      </c>
      <c r="BB43" s="891" t="s">
        <v>32</v>
      </c>
      <c r="BC43" s="891" t="s">
        <v>32</v>
      </c>
      <c r="BD43" s="891" t="s">
        <v>32</v>
      </c>
      <c r="BE43" s="891" t="s">
        <v>35</v>
      </c>
      <c r="BF43" s="891" t="s">
        <v>32</v>
      </c>
      <c r="BG43" s="904" t="s">
        <v>34</v>
      </c>
      <c r="BH43" s="891" t="s">
        <v>36</v>
      </c>
      <c r="BI43" s="891" t="s">
        <v>32</v>
      </c>
      <c r="BJ43" s="891" t="s">
        <v>1877</v>
      </c>
      <c r="BK43" s="910"/>
      <c r="BL43" s="891"/>
      <c r="BM43" s="891"/>
      <c r="BN43" s="910"/>
      <c r="BO43" s="891"/>
      <c r="BP43" s="891"/>
      <c r="BQ43" s="891"/>
      <c r="BR43" s="891"/>
      <c r="BS43" s="896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428"/>
      <c r="CF43" s="428"/>
      <c r="CG43" s="428"/>
      <c r="CH43" s="428"/>
    </row>
    <row r="44" spans="1:120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17</v>
      </c>
      <c r="G44" s="879" t="s">
        <v>875</v>
      </c>
      <c r="H44" s="879" t="s">
        <v>18</v>
      </c>
      <c r="I44" s="879" t="s">
        <v>891</v>
      </c>
      <c r="J44" s="846">
        <v>2</v>
      </c>
      <c r="K44" s="846">
        <v>3</v>
      </c>
      <c r="L44" s="816" t="str">
        <f t="shared" si="30"/>
        <v>L</v>
      </c>
      <c r="M44" s="816">
        <f t="shared" si="31"/>
        <v>5</v>
      </c>
      <c r="N44" s="816" t="str">
        <f t="shared" si="32"/>
        <v>O</v>
      </c>
      <c r="O44" s="816">
        <f t="shared" si="21"/>
        <v>-0.25</v>
      </c>
      <c r="P44" s="829">
        <f t="shared" si="23"/>
        <v>-1</v>
      </c>
      <c r="Q44" s="830">
        <v>0.28000000000000003</v>
      </c>
      <c r="R44" s="871">
        <f t="shared" si="33"/>
        <v>-1.28</v>
      </c>
      <c r="S44" s="830">
        <v>2.38</v>
      </c>
      <c r="T44" s="871">
        <f t="shared" si="25"/>
        <v>2.62</v>
      </c>
      <c r="U44" s="868">
        <f t="shared" si="26"/>
        <v>1.33</v>
      </c>
      <c r="V44" s="868">
        <f t="shared" si="27"/>
        <v>1.0499999999999998</v>
      </c>
      <c r="W44" s="829">
        <v>27</v>
      </c>
      <c r="X44" s="829">
        <v>13</v>
      </c>
      <c r="Y44" s="829">
        <v>9</v>
      </c>
      <c r="Z44" s="829">
        <v>8</v>
      </c>
      <c r="AA44" s="829">
        <v>52</v>
      </c>
      <c r="AB44" s="829">
        <v>48</v>
      </c>
      <c r="AC44" s="829"/>
      <c r="AD44" s="816" t="str">
        <f t="array" ref="AD44">IF($J44="","",IF(SUM(IF(ISNUMBER(VALUE(RIGHT($AG44:$DW44,1))),VALUE(RIGHT($AG44:$DW44,1)),0))=$J44,"T","F"))</f>
        <v>T</v>
      </c>
      <c r="AE44" s="831">
        <f t="array" ref="AE44">IF($J44="","",SUM(IF(LEFT($AG44:$DW44,1)="s",1,0))-SUM(IF(RIGHT(LEFT($AG44:$DW44,2))="-",1,0)))</f>
        <v>0</v>
      </c>
      <c r="AF44" s="816">
        <f t="array" ref="AF44">IF($J44="","",SUM(IF(LEFT($AG44:$DW44,1)="X",1,0)))</f>
        <v>11</v>
      </c>
      <c r="AG44" s="891" t="s">
        <v>34</v>
      </c>
      <c r="AH44" s="891" t="s">
        <v>32</v>
      </c>
      <c r="AI44" s="891" t="s">
        <v>32</v>
      </c>
      <c r="AJ44" s="891" t="s">
        <v>1877</v>
      </c>
      <c r="AK44" s="891"/>
      <c r="AL44" s="891" t="s">
        <v>32</v>
      </c>
      <c r="AM44" s="891" t="s">
        <v>34</v>
      </c>
      <c r="AN44" s="891" t="s">
        <v>36</v>
      </c>
      <c r="AO44" s="904" t="s">
        <v>34</v>
      </c>
      <c r="AP44" s="891" t="s">
        <v>34</v>
      </c>
      <c r="AQ44" s="891" t="s">
        <v>1877</v>
      </c>
      <c r="AR44" s="904" t="s">
        <v>34</v>
      </c>
      <c r="AS44" s="891" t="s">
        <v>32</v>
      </c>
      <c r="AT44" s="891" t="s">
        <v>32</v>
      </c>
      <c r="AU44" s="891" t="s">
        <v>34</v>
      </c>
      <c r="AV44" s="891" t="s">
        <v>34</v>
      </c>
      <c r="AW44" s="891" t="s">
        <v>34</v>
      </c>
      <c r="AX44" s="891" t="s">
        <v>1877</v>
      </c>
      <c r="AY44" s="891" t="s">
        <v>32</v>
      </c>
      <c r="AZ44" s="891" t="s">
        <v>35</v>
      </c>
      <c r="BA44" s="891" t="s">
        <v>36</v>
      </c>
      <c r="BB44" s="891" t="s">
        <v>1877</v>
      </c>
      <c r="BC44" s="891" t="s">
        <v>32</v>
      </c>
      <c r="BD44" s="891" t="s">
        <v>32</v>
      </c>
      <c r="BE44" s="891" t="s">
        <v>32</v>
      </c>
      <c r="BF44" s="891" t="s">
        <v>32</v>
      </c>
      <c r="BG44" s="891" t="s">
        <v>2807</v>
      </c>
      <c r="BH44" s="891" t="s">
        <v>35</v>
      </c>
      <c r="BI44" s="891" t="s">
        <v>1877</v>
      </c>
      <c r="BJ44" s="891"/>
      <c r="BK44" s="910"/>
      <c r="BL44" s="891"/>
      <c r="BM44" s="891"/>
      <c r="BN44" s="910"/>
      <c r="BO44" s="891"/>
      <c r="BP44" s="891"/>
      <c r="BQ44" s="891"/>
      <c r="BR44" s="891"/>
      <c r="BS44" s="896"/>
      <c r="BT44" s="896"/>
      <c r="BU44" s="896"/>
      <c r="BV44" s="896"/>
      <c r="BW44" s="896"/>
      <c r="BX44" s="891"/>
      <c r="BY44" s="891"/>
      <c r="BZ44" s="891"/>
      <c r="CA44" s="891"/>
      <c r="CB44" s="891"/>
      <c r="CC44" s="891"/>
      <c r="CD44" s="891"/>
      <c r="CE44" s="428"/>
      <c r="CF44" s="428"/>
      <c r="CG44" s="428"/>
      <c r="CH44" s="428"/>
    </row>
    <row r="45" spans="1:120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8</v>
      </c>
      <c r="G45" s="879" t="s">
        <v>880</v>
      </c>
      <c r="H45" s="879" t="s">
        <v>18</v>
      </c>
      <c r="I45" s="879" t="s">
        <v>891</v>
      </c>
      <c r="J45" s="846">
        <v>1</v>
      </c>
      <c r="K45" s="846">
        <v>3</v>
      </c>
      <c r="L45" s="816" t="str">
        <f t="shared" si="30"/>
        <v>L</v>
      </c>
      <c r="M45" s="816">
        <f t="shared" si="31"/>
        <v>4</v>
      </c>
      <c r="N45" s="816" t="str">
        <f t="shared" si="32"/>
        <v>O</v>
      </c>
      <c r="O45" s="816">
        <f t="shared" si="21"/>
        <v>0.25</v>
      </c>
      <c r="P45" s="829">
        <f t="shared" si="23"/>
        <v>-1</v>
      </c>
      <c r="Q45" s="830">
        <v>-0.41</v>
      </c>
      <c r="R45" s="871">
        <f t="shared" si="33"/>
        <v>-1.59</v>
      </c>
      <c r="S45" s="830">
        <v>2.39</v>
      </c>
      <c r="T45" s="871">
        <f t="shared" si="25"/>
        <v>1.6099999999999999</v>
      </c>
      <c r="U45" s="868">
        <f t="shared" si="26"/>
        <v>0.9900000000000001</v>
      </c>
      <c r="V45" s="868">
        <f t="shared" si="27"/>
        <v>1.4</v>
      </c>
      <c r="W45" s="829">
        <v>18</v>
      </c>
      <c r="X45" s="829">
        <v>10</v>
      </c>
      <c r="Y45" s="829">
        <v>3</v>
      </c>
      <c r="Z45" s="829">
        <v>4</v>
      </c>
      <c r="AA45" s="829">
        <v>60</v>
      </c>
      <c r="AB45" s="829">
        <v>40</v>
      </c>
      <c r="AC45" s="829"/>
      <c r="AD45" s="816" t="str">
        <f t="array" ref="AD45">IF($J45="","",IF(SUM(IF(ISNUMBER(VALUE(RIGHT($AG45:$DW45,1))),VALUE(RIGHT($AG45:$DW45,1)),0))=$J45,"T","F"))</f>
        <v>T</v>
      </c>
      <c r="AE45" s="831">
        <f t="array" ref="AE45">IF($J45="","",SUM(IF(LEFT($AG45:$DW45,1)="s",1,0))-SUM(IF(RIGHT(LEFT($AG45:$DW45,2))="-",1,0)))</f>
        <v>0</v>
      </c>
      <c r="AF45" s="816">
        <f t="array" ref="AF45">IF($J45="","",SUM(IF(LEFT($AG45:$DW45,1)="X",1,0)))</f>
        <v>11</v>
      </c>
      <c r="AG45" s="891" t="s">
        <v>34</v>
      </c>
      <c r="AH45" s="891" t="s">
        <v>32</v>
      </c>
      <c r="AI45" s="891" t="s">
        <v>32</v>
      </c>
      <c r="AJ45" s="891" t="s">
        <v>1877</v>
      </c>
      <c r="AK45" s="891"/>
      <c r="AL45" s="891" t="s">
        <v>32</v>
      </c>
      <c r="AM45" s="891" t="s">
        <v>34</v>
      </c>
      <c r="AN45" s="891" t="s">
        <v>1877</v>
      </c>
      <c r="AO45" s="891" t="s">
        <v>34</v>
      </c>
      <c r="AP45" s="891" t="s">
        <v>35</v>
      </c>
      <c r="AQ45" s="891" t="s">
        <v>1877</v>
      </c>
      <c r="AR45" s="891" t="s">
        <v>34</v>
      </c>
      <c r="AS45" s="891" t="s">
        <v>36</v>
      </c>
      <c r="AT45" s="891" t="s">
        <v>32</v>
      </c>
      <c r="AU45" s="891" t="s">
        <v>34</v>
      </c>
      <c r="AV45" s="891" t="s">
        <v>35</v>
      </c>
      <c r="AW45" s="891" t="s">
        <v>34</v>
      </c>
      <c r="AX45" s="891" t="s">
        <v>32</v>
      </c>
      <c r="AY45" s="891" t="s">
        <v>32</v>
      </c>
      <c r="AZ45" s="891" t="s">
        <v>34</v>
      </c>
      <c r="BA45" s="891" t="s">
        <v>36</v>
      </c>
      <c r="BB45" s="891" t="s">
        <v>1877</v>
      </c>
      <c r="BC45" s="891" t="s">
        <v>32</v>
      </c>
      <c r="BD45" s="891" t="s">
        <v>32</v>
      </c>
      <c r="BE45" s="891" t="s">
        <v>32</v>
      </c>
      <c r="BF45" s="891" t="s">
        <v>32</v>
      </c>
      <c r="BG45" s="891" t="s">
        <v>2832</v>
      </c>
      <c r="BH45" s="891" t="s">
        <v>35</v>
      </c>
      <c r="BI45" s="891" t="s">
        <v>36</v>
      </c>
      <c r="BJ45" s="891"/>
      <c r="BK45" s="910"/>
      <c r="BL45" s="891"/>
      <c r="BM45" s="891"/>
      <c r="BN45" s="910"/>
      <c r="BO45" s="891"/>
      <c r="BP45" s="891"/>
      <c r="BQ45" s="891"/>
      <c r="BR45" s="891"/>
      <c r="BS45" s="896"/>
      <c r="BT45" s="896"/>
      <c r="BU45" s="896"/>
      <c r="BV45" s="896"/>
      <c r="BW45" s="896"/>
      <c r="BX45" s="896"/>
      <c r="BY45" s="896"/>
      <c r="BZ45" s="896"/>
      <c r="CA45" s="896"/>
      <c r="CB45" s="896"/>
      <c r="CC45" s="896"/>
      <c r="CD45" s="896"/>
      <c r="CE45" s="428"/>
      <c r="CF45" s="428"/>
      <c r="CG45" s="428"/>
      <c r="CH45" s="428"/>
    </row>
    <row r="46" spans="1:120" ht="15">
      <c r="A46" s="882">
        <v>6406</v>
      </c>
      <c r="B46" s="884"/>
      <c r="C46" s="884"/>
      <c r="D46" s="884">
        <f ca="1">IF(I46=Table!$C$1,VLOOKUP(G46,Table!$B$38:$AO$61,Table!$AO$35-1,FALSE),"")</f>
        <v>0</v>
      </c>
      <c r="E46" s="884"/>
      <c r="F46" s="884">
        <f ca="1">IF(I46="","",IF(I46=Table!$C$1,VLOOKUP(G46,Table!$B$9:$AE$32,Table!$AE$6-1,FALSE),""))</f>
        <v>18</v>
      </c>
      <c r="G46" s="879" t="s">
        <v>887</v>
      </c>
      <c r="H46" s="879" t="s">
        <v>22</v>
      </c>
      <c r="I46" s="879" t="s">
        <v>891</v>
      </c>
      <c r="J46" s="846">
        <v>1</v>
      </c>
      <c r="K46" s="846">
        <v>0</v>
      </c>
      <c r="L46" s="816" t="str">
        <f t="shared" si="30"/>
        <v>W</v>
      </c>
      <c r="M46" s="816">
        <f t="shared" si="31"/>
        <v>1</v>
      </c>
      <c r="N46" s="816" t="str">
        <f t="shared" si="32"/>
        <v>U</v>
      </c>
      <c r="O46" s="816">
        <f t="shared" si="21"/>
        <v>-0.5</v>
      </c>
      <c r="P46" s="829">
        <f t="shared" si="23"/>
        <v>1</v>
      </c>
      <c r="Q46" s="830">
        <v>0.52</v>
      </c>
      <c r="R46" s="871">
        <f t="shared" si="33"/>
        <v>0.48</v>
      </c>
      <c r="S46" s="830">
        <v>2.64</v>
      </c>
      <c r="T46" s="871">
        <f t="shared" si="25"/>
        <v>-1.6400000000000001</v>
      </c>
      <c r="U46" s="868">
        <f t="shared" si="26"/>
        <v>1.58</v>
      </c>
      <c r="V46" s="868">
        <f t="shared" si="27"/>
        <v>1.06</v>
      </c>
      <c r="W46" s="829">
        <v>8</v>
      </c>
      <c r="X46" s="829">
        <v>10</v>
      </c>
      <c r="Y46" s="829">
        <v>2</v>
      </c>
      <c r="Z46" s="829">
        <v>4</v>
      </c>
      <c r="AA46" s="829">
        <v>35</v>
      </c>
      <c r="AB46" s="829">
        <v>65</v>
      </c>
      <c r="AC46" s="829"/>
      <c r="AD46" s="816" t="str">
        <f t="array" ref="AD46">IF($J46="","",IF(SUM(IF(ISNUMBER(VALUE(RIGHT($AG46:$DW46,1))),VALUE(RIGHT($AG46:$DW46,1)),0))=$J46,"T","F"))</f>
        <v>T</v>
      </c>
      <c r="AE46" s="831">
        <f t="array" ref="AE46">IF($J46="","",SUM(IF(LEFT($AG46:$DW46,1)="s",1,0))-SUM(IF(RIGHT(LEFT($AG46:$DW46,2))="-",1,0)))</f>
        <v>0</v>
      </c>
      <c r="AF46" s="816">
        <f t="array" ref="AF46">IF($J46="","",SUM(IF(LEFT($AG46:$DW46,1)="X",1,0)))</f>
        <v>11</v>
      </c>
      <c r="AG46" s="891" t="s">
        <v>34</v>
      </c>
      <c r="AH46" s="891" t="s">
        <v>32</v>
      </c>
      <c r="AI46" s="891" t="s">
        <v>32</v>
      </c>
      <c r="AJ46" s="891" t="s">
        <v>1877</v>
      </c>
      <c r="AK46" s="891"/>
      <c r="AL46" s="891" t="s">
        <v>32</v>
      </c>
      <c r="AM46" s="891" t="s">
        <v>34</v>
      </c>
      <c r="AN46" s="891" t="s">
        <v>36</v>
      </c>
      <c r="AO46" s="891" t="s">
        <v>34</v>
      </c>
      <c r="AP46" s="891" t="s">
        <v>34</v>
      </c>
      <c r="AQ46" s="891" t="s">
        <v>32</v>
      </c>
      <c r="AR46" s="891" t="s">
        <v>34</v>
      </c>
      <c r="AS46" s="891" t="s">
        <v>1877</v>
      </c>
      <c r="AT46" s="891" t="s">
        <v>32</v>
      </c>
      <c r="AU46" s="891" t="s">
        <v>34</v>
      </c>
      <c r="AV46" s="891" t="s">
        <v>35</v>
      </c>
      <c r="AW46" s="891" t="s">
        <v>34</v>
      </c>
      <c r="AX46" s="891" t="s">
        <v>32</v>
      </c>
      <c r="AY46" s="891" t="s">
        <v>32</v>
      </c>
      <c r="AZ46" s="891" t="s">
        <v>2884</v>
      </c>
      <c r="BA46" s="891" t="s">
        <v>1877</v>
      </c>
      <c r="BB46" s="891" t="s">
        <v>32</v>
      </c>
      <c r="BC46" s="891" t="s">
        <v>32</v>
      </c>
      <c r="BD46" s="891" t="s">
        <v>32</v>
      </c>
      <c r="BE46" s="891" t="s">
        <v>32</v>
      </c>
      <c r="BF46" s="891" t="s">
        <v>1877</v>
      </c>
      <c r="BG46" s="891" t="s">
        <v>34</v>
      </c>
      <c r="BH46" s="891" t="s">
        <v>35</v>
      </c>
      <c r="BI46" s="891" t="s">
        <v>36</v>
      </c>
      <c r="BJ46" s="891" t="s">
        <v>36</v>
      </c>
      <c r="BK46" s="910"/>
      <c r="BL46" s="891"/>
      <c r="BM46" s="891"/>
      <c r="BN46" s="910"/>
      <c r="BO46" s="891"/>
      <c r="BP46" s="891"/>
      <c r="BQ46" s="891"/>
      <c r="BR46" s="891"/>
      <c r="BS46" s="896"/>
      <c r="BT46" s="896"/>
      <c r="BU46" s="896"/>
      <c r="BV46" s="896"/>
      <c r="BW46" s="896"/>
      <c r="BX46" s="896"/>
      <c r="BY46" s="896"/>
      <c r="BZ46" s="896"/>
      <c r="CA46" s="896"/>
      <c r="CB46" s="896"/>
      <c r="CC46" s="896"/>
      <c r="CD46" s="896"/>
      <c r="CE46" s="428"/>
      <c r="CF46" s="428"/>
      <c r="CG46" s="428"/>
      <c r="CH46" s="428"/>
    </row>
    <row r="47" spans="1:120" ht="15">
      <c r="A47" s="882">
        <v>6413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2</v>
      </c>
      <c r="G47" s="879" t="s">
        <v>886</v>
      </c>
      <c r="H47" s="879" t="s">
        <v>22</v>
      </c>
      <c r="I47" s="879" t="s">
        <v>891</v>
      </c>
      <c r="J47" s="846">
        <v>2</v>
      </c>
      <c r="K47" s="846">
        <v>1</v>
      </c>
      <c r="L47" s="816" t="str">
        <f t="shared" si="30"/>
        <v>W</v>
      </c>
      <c r="M47" s="816">
        <f t="shared" si="31"/>
        <v>3</v>
      </c>
      <c r="N47" s="816" t="str">
        <f t="shared" si="32"/>
        <v>O</v>
      </c>
      <c r="O47" s="816">
        <f t="shared" si="21"/>
        <v>-0.25</v>
      </c>
      <c r="P47" s="829">
        <f t="shared" si="23"/>
        <v>1</v>
      </c>
      <c r="Q47" s="830">
        <v>0.21</v>
      </c>
      <c r="R47" s="871">
        <f t="shared" ref="R47:R65" si="42">IF(ISBLANK(Q47),"",J47-K47-Q47)</f>
        <v>0.79</v>
      </c>
      <c r="S47" s="830">
        <v>2.1</v>
      </c>
      <c r="T47" s="871">
        <f t="shared" si="25"/>
        <v>0.89999999999999991</v>
      </c>
      <c r="U47" s="868">
        <f t="shared" si="26"/>
        <v>1.155</v>
      </c>
      <c r="V47" s="868">
        <f t="shared" si="27"/>
        <v>0.94500000000000006</v>
      </c>
      <c r="W47" s="829">
        <v>10</v>
      </c>
      <c r="X47" s="829">
        <v>12</v>
      </c>
      <c r="Y47" s="829">
        <v>4</v>
      </c>
      <c r="Z47" s="829">
        <v>4</v>
      </c>
      <c r="AA47" s="829">
        <v>47</v>
      </c>
      <c r="AB47" s="829">
        <v>53</v>
      </c>
      <c r="AC47" s="829"/>
      <c r="AD47" s="816" t="str">
        <f t="array" ref="AD47">IF($J47="","",IF(SUM(IF(ISNUMBER(VALUE(RIGHT($AG47:$DW47,1))),VALUE(RIGHT($AG47:$DW47,1)),0))=$J47,"T","F"))</f>
        <v>T</v>
      </c>
      <c r="AE47" s="831">
        <f t="array" ref="AE47">IF($J47="","",SUM(IF(LEFT($AG47:$DW47,1)="s",1,0))-SUM(IF(RIGHT(LEFT($AG47:$DW47,2))="-",1,0)))</f>
        <v>0</v>
      </c>
      <c r="AF47" s="816">
        <f t="array" ref="AF47">IF($J47="","",SUM(IF(LEFT($AG47:$DW47,1)="X",1,0)))</f>
        <v>11</v>
      </c>
      <c r="AG47" s="891" t="s">
        <v>34</v>
      </c>
      <c r="AH47" s="891" t="s">
        <v>32</v>
      </c>
      <c r="AI47" s="891" t="s">
        <v>32</v>
      </c>
      <c r="AJ47" s="891" t="s">
        <v>1877</v>
      </c>
      <c r="AK47" s="891"/>
      <c r="AL47" s="891" t="s">
        <v>32</v>
      </c>
      <c r="AM47" s="891" t="s">
        <v>34</v>
      </c>
      <c r="AN47" s="891" t="s">
        <v>1877</v>
      </c>
      <c r="AO47" s="891" t="s">
        <v>34</v>
      </c>
      <c r="AP47" s="891" t="s">
        <v>32</v>
      </c>
      <c r="AQ47" s="891" t="s">
        <v>32</v>
      </c>
      <c r="AR47" s="891" t="s">
        <v>34</v>
      </c>
      <c r="AS47" s="891" t="s">
        <v>36</v>
      </c>
      <c r="AT47" s="891" t="s">
        <v>34</v>
      </c>
      <c r="AU47" s="891" t="s">
        <v>2911</v>
      </c>
      <c r="AV47" s="891" t="s">
        <v>35</v>
      </c>
      <c r="AW47" s="891" t="s">
        <v>34</v>
      </c>
      <c r="AX47" s="891" t="s">
        <v>32</v>
      </c>
      <c r="AY47" s="891" t="s">
        <v>32</v>
      </c>
      <c r="AZ47" s="904" t="s">
        <v>2909</v>
      </c>
      <c r="BA47" s="891" t="s">
        <v>32</v>
      </c>
      <c r="BB47" s="891" t="s">
        <v>32</v>
      </c>
      <c r="BC47" s="891" t="s">
        <v>32</v>
      </c>
      <c r="BD47" s="891" t="s">
        <v>32</v>
      </c>
      <c r="BE47" s="891" t="s">
        <v>32</v>
      </c>
      <c r="BF47" s="891" t="s">
        <v>36</v>
      </c>
      <c r="BG47" s="891" t="s">
        <v>34</v>
      </c>
      <c r="BH47" s="891" t="s">
        <v>1877</v>
      </c>
      <c r="BI47" s="891" t="s">
        <v>1877</v>
      </c>
      <c r="BJ47" s="891" t="s">
        <v>36</v>
      </c>
      <c r="BK47" s="891" t="s">
        <v>35</v>
      </c>
      <c r="BL47" s="891"/>
      <c r="BM47" s="891"/>
      <c r="BN47" s="910"/>
      <c r="BO47" s="891"/>
      <c r="BP47" s="891"/>
      <c r="BQ47" s="891"/>
      <c r="BR47" s="891"/>
      <c r="BS47" s="896" t="s">
        <v>32</v>
      </c>
      <c r="BT47" s="896" t="s">
        <v>32</v>
      </c>
      <c r="BU47" s="896" t="s">
        <v>32</v>
      </c>
      <c r="BV47" s="896" t="s">
        <v>32</v>
      </c>
      <c r="BW47" s="896" t="s">
        <v>32</v>
      </c>
      <c r="BX47" s="896" t="s">
        <v>32</v>
      </c>
      <c r="BY47" s="896" t="s">
        <v>32</v>
      </c>
      <c r="BZ47" s="896"/>
      <c r="CA47" s="896"/>
      <c r="CB47" s="896"/>
      <c r="CC47" s="896"/>
      <c r="CD47" s="896"/>
      <c r="CE47" s="428"/>
      <c r="CF47" s="428"/>
      <c r="CG47" s="428"/>
      <c r="CH47" s="428"/>
    </row>
    <row r="48" spans="1:120" ht="15">
      <c r="A48" s="882">
        <v>6420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20</v>
      </c>
      <c r="G48" s="879" t="s">
        <v>882</v>
      </c>
      <c r="H48" s="879" t="s">
        <v>18</v>
      </c>
      <c r="I48" s="879" t="s">
        <v>891</v>
      </c>
      <c r="J48" s="846">
        <v>2</v>
      </c>
      <c r="K48" s="908">
        <v>1</v>
      </c>
      <c r="L48" s="816" t="str">
        <f t="shared" si="30"/>
        <v>W</v>
      </c>
      <c r="M48" s="816">
        <f t="shared" si="31"/>
        <v>3</v>
      </c>
      <c r="N48" s="816" t="str">
        <f t="shared" si="32"/>
        <v>O</v>
      </c>
      <c r="O48" s="816">
        <f t="shared" si="21"/>
        <v>0</v>
      </c>
      <c r="P48" s="829">
        <f t="shared" si="23"/>
        <v>1</v>
      </c>
      <c r="Q48" s="830">
        <v>0.02</v>
      </c>
      <c r="R48" s="871">
        <f t="shared" si="42"/>
        <v>0.98</v>
      </c>
      <c r="S48" s="830">
        <v>2.5</v>
      </c>
      <c r="T48" s="871">
        <f t="shared" si="25"/>
        <v>0.5</v>
      </c>
      <c r="U48" s="868">
        <f t="shared" si="26"/>
        <v>1.26</v>
      </c>
      <c r="V48" s="868">
        <f t="shared" si="27"/>
        <v>1.24</v>
      </c>
      <c r="W48" s="829">
        <v>11</v>
      </c>
      <c r="X48" s="829">
        <v>18</v>
      </c>
      <c r="Y48" s="829">
        <v>5</v>
      </c>
      <c r="Z48" s="829">
        <v>2</v>
      </c>
      <c r="AA48" s="829">
        <v>43</v>
      </c>
      <c r="AB48" s="829">
        <v>57</v>
      </c>
      <c r="AC48" s="829"/>
      <c r="AD48" s="816" t="str">
        <f t="array" ref="AD48">IF($J48="","",IF(SUM(IF(ISNUMBER(VALUE(RIGHT($AG48:$DW48,1))),VALUE(RIGHT($AG48:$DW48,1)),0))=$J48,"T","F"))</f>
        <v>T</v>
      </c>
      <c r="AE48" s="831">
        <f t="array" ref="AE48">IF($J48="","",SUM(IF(LEFT($AG48:$DW48,1)="s",1,0))-SUM(IF(RIGHT(LEFT($AG48:$DW48,2))="-",1,0)))</f>
        <v>0</v>
      </c>
      <c r="AF48" s="816">
        <f t="array" ref="AF48">IF($J48="","",SUM(IF(LEFT($AG48:$DW48,1)="X",1,0)))</f>
        <v>11</v>
      </c>
      <c r="AG48" s="891" t="s">
        <v>34</v>
      </c>
      <c r="AH48" s="891" t="s">
        <v>32</v>
      </c>
      <c r="AI48" s="891" t="s">
        <v>32</v>
      </c>
      <c r="AJ48" s="891" t="s">
        <v>1877</v>
      </c>
      <c r="AK48" s="891"/>
      <c r="AL48" s="904" t="s">
        <v>2961</v>
      </c>
      <c r="AM48" s="891" t="s">
        <v>34</v>
      </c>
      <c r="AN48" s="891" t="s">
        <v>1877</v>
      </c>
      <c r="AO48" s="891" t="s">
        <v>34</v>
      </c>
      <c r="AP48" s="891" t="s">
        <v>32</v>
      </c>
      <c r="AQ48" s="891" t="s">
        <v>32</v>
      </c>
      <c r="AR48" s="904" t="s">
        <v>34</v>
      </c>
      <c r="AS48" s="891" t="s">
        <v>36</v>
      </c>
      <c r="AT48" s="904" t="s">
        <v>35</v>
      </c>
      <c r="AU48" s="891" t="s">
        <v>34</v>
      </c>
      <c r="AV48" s="904" t="s">
        <v>2965</v>
      </c>
      <c r="AW48" s="891" t="s">
        <v>34</v>
      </c>
      <c r="AX48" s="891" t="s">
        <v>32</v>
      </c>
      <c r="AY48" s="891" t="s">
        <v>32</v>
      </c>
      <c r="AZ48" s="891" t="s">
        <v>34</v>
      </c>
      <c r="BA48" s="891" t="s">
        <v>32</v>
      </c>
      <c r="BB48" s="891" t="s">
        <v>32</v>
      </c>
      <c r="BC48" s="891" t="s">
        <v>32</v>
      </c>
      <c r="BD48" s="891" t="s">
        <v>32</v>
      </c>
      <c r="BE48" s="891" t="s">
        <v>32</v>
      </c>
      <c r="BF48" s="891" t="s">
        <v>36</v>
      </c>
      <c r="BG48" s="891" t="s">
        <v>2966</v>
      </c>
      <c r="BH48" s="891" t="s">
        <v>1877</v>
      </c>
      <c r="BI48" s="891" t="s">
        <v>1877</v>
      </c>
      <c r="BJ48" s="891" t="s">
        <v>32</v>
      </c>
      <c r="BK48" s="891" t="s">
        <v>35</v>
      </c>
      <c r="BL48" s="891" t="s">
        <v>32</v>
      </c>
      <c r="BM48" s="891"/>
      <c r="BN48" s="910"/>
      <c r="BO48" s="891"/>
      <c r="BP48" s="891"/>
      <c r="BQ48" s="891"/>
      <c r="BR48" s="891"/>
      <c r="BS48" s="896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428"/>
      <c r="CF48" s="428"/>
      <c r="CG48" s="428"/>
      <c r="CH48" s="428"/>
    </row>
    <row r="49" spans="1:93" ht="15">
      <c r="A49" s="882">
        <v>6427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9</v>
      </c>
      <c r="G49" s="879" t="s">
        <v>1083</v>
      </c>
      <c r="H49" s="879" t="s">
        <v>22</v>
      </c>
      <c r="I49" s="879" t="s">
        <v>891</v>
      </c>
      <c r="J49" s="846">
        <v>1</v>
      </c>
      <c r="K49" s="846">
        <v>2</v>
      </c>
      <c r="L49" s="816" t="str">
        <f t="shared" si="30"/>
        <v>L</v>
      </c>
      <c r="M49" s="816">
        <f t="shared" si="31"/>
        <v>3</v>
      </c>
      <c r="N49" s="816" t="str">
        <f t="shared" si="32"/>
        <v>O</v>
      </c>
      <c r="O49" s="816">
        <f t="shared" si="21"/>
        <v>-0.25</v>
      </c>
      <c r="P49" s="829">
        <f t="shared" si="23"/>
        <v>-1</v>
      </c>
      <c r="Q49" s="830">
        <v>0.25</v>
      </c>
      <c r="R49" s="871">
        <f t="shared" si="42"/>
        <v>-1.25</v>
      </c>
      <c r="S49" s="830">
        <v>2.4</v>
      </c>
      <c r="T49" s="871">
        <f t="shared" si="25"/>
        <v>0.60000000000000009</v>
      </c>
      <c r="U49" s="868">
        <f t="shared" si="26"/>
        <v>1.325</v>
      </c>
      <c r="V49" s="868">
        <f t="shared" si="27"/>
        <v>1.075</v>
      </c>
      <c r="W49" s="829">
        <v>12</v>
      </c>
      <c r="X49" s="829">
        <v>20</v>
      </c>
      <c r="Y49" s="829">
        <v>3</v>
      </c>
      <c r="Z49" s="829">
        <v>8</v>
      </c>
      <c r="AA49" s="829">
        <v>45</v>
      </c>
      <c r="AB49" s="829">
        <v>55</v>
      </c>
      <c r="AC49" s="829"/>
      <c r="AD49" s="816" t="str">
        <f t="array" ref="AD49">IF($J49="","",IF(SUM(IF(ISNUMBER(VALUE(RIGHT($AG49:$DW49,1))),VALUE(RIGHT($AG49:$DW49,1)),0))=$J49,"T","F"))</f>
        <v>T</v>
      </c>
      <c r="AE49" s="831">
        <f t="array" ref="AE49">IF($J49="","",SUM(IF(LEFT($AG49:$DW49,1)="s",1,0))-SUM(IF(RIGHT(LEFT($AG49:$DW49,2))="-",1,0)))</f>
        <v>0</v>
      </c>
      <c r="AF49" s="816">
        <f t="array" ref="AF49">IF($J49="","",SUM(IF(LEFT($AG49:$DW49,1)="X",1,0)))</f>
        <v>11</v>
      </c>
      <c r="AG49" s="891" t="s">
        <v>34</v>
      </c>
      <c r="AH49" s="891" t="s">
        <v>32</v>
      </c>
      <c r="AI49" s="891" t="s">
        <v>32</v>
      </c>
      <c r="AJ49" s="891" t="s">
        <v>1877</v>
      </c>
      <c r="AK49" s="891"/>
      <c r="AL49" s="891" t="s">
        <v>34</v>
      </c>
      <c r="AM49" s="891" t="s">
        <v>34</v>
      </c>
      <c r="AN49" s="891" t="s">
        <v>1877</v>
      </c>
      <c r="AO49" s="891" t="s">
        <v>34</v>
      </c>
      <c r="AP49" s="891" t="s">
        <v>32</v>
      </c>
      <c r="AQ49" s="891" t="s">
        <v>32</v>
      </c>
      <c r="AR49" s="891" t="s">
        <v>3001</v>
      </c>
      <c r="AS49" s="891" t="s">
        <v>36</v>
      </c>
      <c r="AT49" s="891" t="s">
        <v>34</v>
      </c>
      <c r="AU49" s="891" t="s">
        <v>34</v>
      </c>
      <c r="AV49" s="891" t="s">
        <v>35</v>
      </c>
      <c r="AW49" s="891" t="s">
        <v>3006</v>
      </c>
      <c r="AX49" s="891" t="s">
        <v>32</v>
      </c>
      <c r="AY49" s="891" t="s">
        <v>32</v>
      </c>
      <c r="AZ49" s="891" t="s">
        <v>35</v>
      </c>
      <c r="BA49" s="891" t="s">
        <v>1877</v>
      </c>
      <c r="BB49" s="891" t="s">
        <v>32</v>
      </c>
      <c r="BC49" s="891" t="s">
        <v>32</v>
      </c>
      <c r="BD49" s="891" t="s">
        <v>32</v>
      </c>
      <c r="BE49" s="891" t="s">
        <v>1877</v>
      </c>
      <c r="BF49" s="891" t="s">
        <v>3050</v>
      </c>
      <c r="BG49" s="891" t="s">
        <v>34</v>
      </c>
      <c r="BH49" s="891" t="s">
        <v>36</v>
      </c>
      <c r="BI49" s="891" t="s">
        <v>36</v>
      </c>
      <c r="BJ49" s="891" t="s">
        <v>32</v>
      </c>
      <c r="BK49" s="891" t="s">
        <v>35</v>
      </c>
      <c r="BL49" s="891" t="s">
        <v>32</v>
      </c>
      <c r="BM49" s="891" t="s">
        <v>32</v>
      </c>
      <c r="BN49" s="910" t="s">
        <v>32</v>
      </c>
      <c r="BO49" s="891"/>
      <c r="BP49" s="891"/>
      <c r="BQ49" s="891"/>
      <c r="BR49" s="891"/>
      <c r="BS49" s="896"/>
      <c r="BT49" s="896"/>
      <c r="BU49" s="896"/>
      <c r="BV49" s="896"/>
      <c r="BW49" s="896"/>
      <c r="BX49" s="896"/>
      <c r="BY49" s="896"/>
      <c r="BZ49" s="896"/>
      <c r="CA49" s="896"/>
      <c r="CB49" s="896"/>
      <c r="CC49" s="896"/>
      <c r="CD49" s="896"/>
      <c r="CE49" s="428"/>
      <c r="CF49" s="428"/>
      <c r="CG49" s="428"/>
      <c r="CH49" s="428"/>
    </row>
    <row r="50" spans="1:93" ht="15">
      <c r="A50" s="882">
        <v>6433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7</v>
      </c>
      <c r="G50" s="879" t="s">
        <v>888</v>
      </c>
      <c r="H50" s="879" t="s">
        <v>18</v>
      </c>
      <c r="I50" s="879" t="s">
        <v>891</v>
      </c>
      <c r="J50" s="846">
        <v>2</v>
      </c>
      <c r="K50" s="846">
        <v>2</v>
      </c>
      <c r="L50" s="816" t="str">
        <f t="shared" si="30"/>
        <v>D</v>
      </c>
      <c r="M50" s="816">
        <f t="shared" si="31"/>
        <v>4</v>
      </c>
      <c r="N50" s="816" t="str">
        <f t="shared" si="32"/>
        <v>O</v>
      </c>
      <c r="O50" s="816">
        <f t="shared" si="21"/>
        <v>0.5</v>
      </c>
      <c r="P50" s="829">
        <f t="shared" si="23"/>
        <v>1</v>
      </c>
      <c r="Q50" s="830">
        <v>-0.48</v>
      </c>
      <c r="R50" s="871">
        <f t="shared" si="42"/>
        <v>0.48</v>
      </c>
      <c r="S50" s="830">
        <v>2.5499999999999998</v>
      </c>
      <c r="T50" s="871">
        <f t="shared" si="25"/>
        <v>1.4500000000000002</v>
      </c>
      <c r="U50" s="868">
        <f t="shared" si="26"/>
        <v>1.0349999999999999</v>
      </c>
      <c r="V50" s="868">
        <f t="shared" si="27"/>
        <v>1.5149999999999999</v>
      </c>
      <c r="W50" s="829">
        <v>16</v>
      </c>
      <c r="X50" s="829">
        <v>11</v>
      </c>
      <c r="Y50" s="829">
        <v>7</v>
      </c>
      <c r="Z50" s="829">
        <v>3</v>
      </c>
      <c r="AA50" s="829">
        <v>42</v>
      </c>
      <c r="AB50" s="829">
        <v>58</v>
      </c>
      <c r="AC50" s="829"/>
      <c r="AD50" s="816" t="str">
        <f t="array" ref="AD50">IF($J50="","",IF(SUM(IF(ISNUMBER(VALUE(RIGHT($AG50:$DW50,1))),VALUE(RIGHT($AG50:$DW50,1)),0))=$J50,"T","F"))</f>
        <v>T</v>
      </c>
      <c r="AE50" s="831">
        <f t="array" ref="AE50">IF($J50="","",SUM(IF(LEFT($AG50:$DW50,1)="s",1,0))-SUM(IF(RIGHT(LEFT($AG50:$DW50,2))="-",1,0)))</f>
        <v>0</v>
      </c>
      <c r="AF50" s="816">
        <f t="array" ref="AF50">IF($J50="","",SUM(IF(LEFT($AG50:$DW50,1)="X",1,0)))</f>
        <v>11</v>
      </c>
      <c r="AG50" s="891" t="s">
        <v>34</v>
      </c>
      <c r="AH50" s="891" t="s">
        <v>32</v>
      </c>
      <c r="AI50" s="891" t="s">
        <v>32</v>
      </c>
      <c r="AJ50" s="891" t="s">
        <v>1877</v>
      </c>
      <c r="AK50" s="891"/>
      <c r="AL50" s="891" t="s">
        <v>35</v>
      </c>
      <c r="AM50" s="891" t="s">
        <v>34</v>
      </c>
      <c r="AN50" s="891" t="s">
        <v>32</v>
      </c>
      <c r="AO50" s="891" t="s">
        <v>34</v>
      </c>
      <c r="AP50" s="891" t="s">
        <v>32</v>
      </c>
      <c r="AQ50" s="891" t="s">
        <v>32</v>
      </c>
      <c r="AR50" s="891" t="s">
        <v>34</v>
      </c>
      <c r="AS50" s="891" t="s">
        <v>1877</v>
      </c>
      <c r="AT50" s="891" t="s">
        <v>36</v>
      </c>
      <c r="AU50" s="891" t="s">
        <v>34</v>
      </c>
      <c r="AV50" s="891" t="s">
        <v>35</v>
      </c>
      <c r="AW50" s="904" t="s">
        <v>34</v>
      </c>
      <c r="AX50" s="891" t="s">
        <v>32</v>
      </c>
      <c r="AY50" s="891" t="s">
        <v>32</v>
      </c>
      <c r="AZ50" s="891" t="s">
        <v>35</v>
      </c>
      <c r="BA50" s="891" t="s">
        <v>1877</v>
      </c>
      <c r="BB50" s="891" t="s">
        <v>32</v>
      </c>
      <c r="BC50" s="891" t="s">
        <v>32</v>
      </c>
      <c r="BD50" s="891" t="s">
        <v>32</v>
      </c>
      <c r="BE50" s="891" t="s">
        <v>36</v>
      </c>
      <c r="BF50" s="891" t="s">
        <v>32</v>
      </c>
      <c r="BG50" s="891" t="s">
        <v>3073</v>
      </c>
      <c r="BH50" s="891" t="s">
        <v>36</v>
      </c>
      <c r="BI50" s="891" t="s">
        <v>1877</v>
      </c>
      <c r="BJ50" s="891" t="s">
        <v>32</v>
      </c>
      <c r="BK50" s="891" t="s">
        <v>34</v>
      </c>
      <c r="BL50" s="891"/>
      <c r="BM50" s="891"/>
      <c r="BN50" s="910"/>
      <c r="BO50" s="891"/>
      <c r="BP50" s="891"/>
      <c r="BQ50" s="891"/>
      <c r="BR50" s="891"/>
      <c r="BS50" s="896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428"/>
      <c r="CF50" s="428"/>
      <c r="CG50" s="428"/>
      <c r="CH50" s="428"/>
    </row>
    <row r="51" spans="1:93" ht="15">
      <c r="A51" s="882">
        <v>6438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19</v>
      </c>
      <c r="G51" s="879" t="s">
        <v>885</v>
      </c>
      <c r="H51" s="879" t="s">
        <v>18</v>
      </c>
      <c r="I51" s="879" t="s">
        <v>891</v>
      </c>
      <c r="J51" s="846">
        <v>0</v>
      </c>
      <c r="K51" s="846">
        <v>1</v>
      </c>
      <c r="L51" s="816" t="str">
        <f t="shared" si="30"/>
        <v>L</v>
      </c>
      <c r="M51" s="816">
        <f t="shared" si="31"/>
        <v>1</v>
      </c>
      <c r="N51" s="816" t="str">
        <f t="shared" si="32"/>
        <v>U</v>
      </c>
      <c r="O51" s="816">
        <f t="shared" si="21"/>
        <v>-0.25</v>
      </c>
      <c r="P51" s="829">
        <f t="shared" si="23"/>
        <v>-1</v>
      </c>
      <c r="Q51" s="830">
        <v>0.2</v>
      </c>
      <c r="R51" s="871">
        <f t="shared" si="42"/>
        <v>-1.2</v>
      </c>
      <c r="S51" s="830">
        <v>2.5299999999999998</v>
      </c>
      <c r="T51" s="871">
        <f t="shared" si="25"/>
        <v>-1.5299999999999998</v>
      </c>
      <c r="U51" s="868">
        <f t="shared" si="26"/>
        <v>1.365</v>
      </c>
      <c r="V51" s="868">
        <f t="shared" si="27"/>
        <v>1.1649999999999998</v>
      </c>
      <c r="W51" s="829">
        <v>9</v>
      </c>
      <c r="X51" s="829">
        <v>10</v>
      </c>
      <c r="Y51" s="829">
        <v>1</v>
      </c>
      <c r="Z51" s="829">
        <v>4</v>
      </c>
      <c r="AA51" s="829">
        <v>49</v>
      </c>
      <c r="AB51" s="829">
        <v>51</v>
      </c>
      <c r="AC51" s="829"/>
      <c r="AD51" s="816" t="str">
        <f t="array" ref="AD51">IF($J51="","",IF(SUM(IF(ISNUMBER(VALUE(RIGHT($AG51:$DW51,1))),VALUE(RIGHT($AG51:$DW51,1)),0))=$J51,"T","F"))</f>
        <v>T</v>
      </c>
      <c r="AE51" s="831">
        <f t="array" ref="AE51">IF($J51="","",SUM(IF(LEFT($AG51:$DW51,1)="s",1,0))-SUM(IF(RIGHT(LEFT($AG51:$DW51,2))="-",1,0)))</f>
        <v>0</v>
      </c>
      <c r="AF51" s="816">
        <f t="array" ref="AF51">IF($J51="","",SUM(IF(LEFT($AG51:$DW51,1)="X",1,0)))</f>
        <v>11</v>
      </c>
      <c r="AG51" s="891" t="s">
        <v>34</v>
      </c>
      <c r="AH51" s="891" t="s">
        <v>32</v>
      </c>
      <c r="AI51" s="891" t="s">
        <v>32</v>
      </c>
      <c r="AJ51" s="891" t="s">
        <v>1877</v>
      </c>
      <c r="AK51" s="891"/>
      <c r="AL51" s="891" t="s">
        <v>34</v>
      </c>
      <c r="AM51" s="891" t="s">
        <v>34</v>
      </c>
      <c r="AN51" s="891" t="s">
        <v>32</v>
      </c>
      <c r="AO51" s="891" t="s">
        <v>34</v>
      </c>
      <c r="AP51" s="891" t="s">
        <v>36</v>
      </c>
      <c r="AQ51" s="891" t="s">
        <v>32</v>
      </c>
      <c r="AR51" s="891" t="s">
        <v>34</v>
      </c>
      <c r="AS51" s="891" t="s">
        <v>1877</v>
      </c>
      <c r="AT51" s="891" t="s">
        <v>35</v>
      </c>
      <c r="AU51" s="904" t="s">
        <v>34</v>
      </c>
      <c r="AV51" s="891" t="s">
        <v>35</v>
      </c>
      <c r="AW51" s="891" t="s">
        <v>32</v>
      </c>
      <c r="AX51" s="891" t="s">
        <v>32</v>
      </c>
      <c r="AY51" s="891" t="s">
        <v>32</v>
      </c>
      <c r="AZ51" s="891" t="s">
        <v>34</v>
      </c>
      <c r="BA51" s="891" t="s">
        <v>1877</v>
      </c>
      <c r="BB51" s="891" t="s">
        <v>32</v>
      </c>
      <c r="BC51" s="891" t="s">
        <v>32</v>
      </c>
      <c r="BD51" s="891" t="s">
        <v>32</v>
      </c>
      <c r="BE51" s="891" t="s">
        <v>1877</v>
      </c>
      <c r="BF51" s="891" t="s">
        <v>32</v>
      </c>
      <c r="BG51" s="891" t="s">
        <v>34</v>
      </c>
      <c r="BH51" s="891" t="s">
        <v>36</v>
      </c>
      <c r="BI51" s="891" t="s">
        <v>36</v>
      </c>
      <c r="BJ51" s="891" t="s">
        <v>32</v>
      </c>
      <c r="BK51" s="891" t="s">
        <v>35</v>
      </c>
      <c r="BL51" s="891"/>
      <c r="BM51" s="891"/>
      <c r="BN51" s="910"/>
      <c r="BO51" s="891"/>
      <c r="BP51" s="891"/>
      <c r="BQ51" s="891"/>
      <c r="BR51" s="891"/>
      <c r="BS51" s="896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428"/>
      <c r="CF51" s="428"/>
      <c r="CG51" s="428"/>
      <c r="CH51" s="428"/>
    </row>
    <row r="52" spans="1:93" ht="15">
      <c r="A52" s="882">
        <v>6442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14</v>
      </c>
      <c r="G52" s="879" t="s">
        <v>873</v>
      </c>
      <c r="H52" s="879" t="s">
        <v>22</v>
      </c>
      <c r="I52" s="879" t="s">
        <v>891</v>
      </c>
      <c r="J52" s="846">
        <v>1</v>
      </c>
      <c r="K52" s="846">
        <v>0</v>
      </c>
      <c r="L52" s="816" t="str">
        <f t="shared" si="30"/>
        <v>W</v>
      </c>
      <c r="M52" s="816">
        <f t="shared" si="31"/>
        <v>1</v>
      </c>
      <c r="N52" s="816" t="str">
        <f t="shared" si="32"/>
        <v>U</v>
      </c>
      <c r="O52" s="816">
        <f t="shared" si="21"/>
        <v>-0.25</v>
      </c>
      <c r="P52" s="829">
        <f t="shared" si="23"/>
        <v>1</v>
      </c>
      <c r="Q52" s="830">
        <v>0.37</v>
      </c>
      <c r="R52" s="871">
        <f t="shared" si="42"/>
        <v>0.63</v>
      </c>
      <c r="S52" s="830">
        <v>2.3199999999999998</v>
      </c>
      <c r="T52" s="871">
        <f t="shared" si="25"/>
        <v>-1.3199999999999998</v>
      </c>
      <c r="U52" s="868">
        <f t="shared" si="26"/>
        <v>1.345</v>
      </c>
      <c r="V52" s="868">
        <f t="shared" si="27"/>
        <v>0.97499999999999987</v>
      </c>
      <c r="W52" s="829">
        <v>9</v>
      </c>
      <c r="X52" s="829">
        <v>14</v>
      </c>
      <c r="Y52" s="829">
        <v>3</v>
      </c>
      <c r="Z52" s="829">
        <v>4</v>
      </c>
      <c r="AA52" s="829">
        <v>43</v>
      </c>
      <c r="AB52" s="829">
        <v>57</v>
      </c>
      <c r="AC52" s="829"/>
      <c r="AD52" s="816" t="str">
        <f t="array" ref="AD52">IF($J52="","",IF(SUM(IF(ISNUMBER(VALUE(RIGHT($AG52:$DW52,1))),VALUE(RIGHT($AG52:$DW52,1)),0))=$J52,"T","F"))</f>
        <v>T</v>
      </c>
      <c r="AE52" s="831">
        <f t="array" ref="AE52">IF($J52="","",SUM(IF(LEFT($AG52:$DW52,1)="s",1,0))-SUM(IF(RIGHT(LEFT($AG52:$DW52,2))="-",1,0)))</f>
        <v>0</v>
      </c>
      <c r="AF52" s="816">
        <f t="array" ref="AF52">IF($J52="","",SUM(IF(LEFT($AG52:$DW52,1)="X",1,0)))</f>
        <v>11</v>
      </c>
      <c r="AG52" s="904" t="s">
        <v>34</v>
      </c>
      <c r="AH52" s="891" t="s">
        <v>32</v>
      </c>
      <c r="AI52" s="891" t="s">
        <v>32</v>
      </c>
      <c r="AJ52" s="891" t="s">
        <v>1877</v>
      </c>
      <c r="AK52" s="891"/>
      <c r="AL52" s="891" t="s">
        <v>34</v>
      </c>
      <c r="AM52" s="891" t="s">
        <v>34</v>
      </c>
      <c r="AN52" s="891" t="s">
        <v>32</v>
      </c>
      <c r="AO52" s="891" t="s">
        <v>34</v>
      </c>
      <c r="AP52" s="891" t="s">
        <v>32</v>
      </c>
      <c r="AQ52" s="891" t="s">
        <v>32</v>
      </c>
      <c r="AR52" s="904" t="s">
        <v>3114</v>
      </c>
      <c r="AS52" s="891" t="s">
        <v>36</v>
      </c>
      <c r="AT52" s="891" t="s">
        <v>1877</v>
      </c>
      <c r="AU52" s="891" t="s">
        <v>34</v>
      </c>
      <c r="AV52" s="891" t="s">
        <v>35</v>
      </c>
      <c r="AW52" s="904" t="s">
        <v>34</v>
      </c>
      <c r="AX52" s="891" t="s">
        <v>1877</v>
      </c>
      <c r="AY52" s="891" t="s">
        <v>36</v>
      </c>
      <c r="AZ52" s="891" t="s">
        <v>34</v>
      </c>
      <c r="BA52" s="891" t="s">
        <v>32</v>
      </c>
      <c r="BB52" s="891" t="s">
        <v>32</v>
      </c>
      <c r="BC52" s="891" t="s">
        <v>32</v>
      </c>
      <c r="BD52" s="891" t="s">
        <v>32</v>
      </c>
      <c r="BE52" s="891" t="s">
        <v>1877</v>
      </c>
      <c r="BF52" s="891" t="s">
        <v>32</v>
      </c>
      <c r="BG52" s="891" t="s">
        <v>34</v>
      </c>
      <c r="BH52" s="891" t="s">
        <v>1877</v>
      </c>
      <c r="BI52" s="891" t="s">
        <v>32</v>
      </c>
      <c r="BJ52" s="891" t="s">
        <v>32</v>
      </c>
      <c r="BK52" s="891" t="s">
        <v>35</v>
      </c>
      <c r="BL52" s="891" t="s">
        <v>32</v>
      </c>
      <c r="BM52" s="891" t="s">
        <v>32</v>
      </c>
      <c r="BN52" s="910" t="s">
        <v>32</v>
      </c>
      <c r="BO52" s="891"/>
      <c r="BP52" s="891"/>
      <c r="BQ52" s="891"/>
      <c r="BR52" s="891"/>
      <c r="BS52" s="896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428"/>
      <c r="CF52" s="428"/>
      <c r="CG52" s="428"/>
      <c r="CH52" s="428"/>
    </row>
    <row r="53" spans="1:93" ht="15">
      <c r="A53" s="882">
        <v>6448</v>
      </c>
      <c r="B53" s="884"/>
      <c r="C53" s="884"/>
      <c r="D53" s="884"/>
      <c r="E53" s="884"/>
      <c r="F53" s="884">
        <f ca="1">IF(I53="","",IF(I53=Table!$C$1,VLOOKUP(G53,Table!$B$9:$AE$32,Table!$AE$6-1,FALSE),""))</f>
        <v>3</v>
      </c>
      <c r="G53" s="879" t="s">
        <v>1085</v>
      </c>
      <c r="H53" s="879" t="s">
        <v>18</v>
      </c>
      <c r="I53" s="879" t="s">
        <v>891</v>
      </c>
      <c r="J53" s="846">
        <v>3</v>
      </c>
      <c r="K53" s="908">
        <v>2</v>
      </c>
      <c r="L53" s="816" t="str">
        <f t="shared" si="30"/>
        <v>W</v>
      </c>
      <c r="M53" s="816">
        <f t="shared" si="31"/>
        <v>5</v>
      </c>
      <c r="N53" s="816" t="str">
        <f t="shared" si="32"/>
        <v>O</v>
      </c>
      <c r="O53" s="816">
        <f t="shared" ref="O53" si="43">IF(Q53="","",IF(SIGN(Q53)&lt;&gt;1,VLOOKUP(ABS(Q53),SUP_HDC,3,TRUE),-VLOOKUP(ABS(Q53),SUP_HDC,3,TRUE)))</f>
        <v>0.5</v>
      </c>
      <c r="P53" s="829">
        <f t="shared" ref="P53" si="44">IF(O53="","",IF((J53-K53+O53)&gt;=0.5,1,IF((J53-K53+O53)=0.25,0.5,IF((J53-K53+O53)&lt;=-0.5,-1,IF((J53-K53+O53)=-0.25,-0.5,0)))))</f>
        <v>1</v>
      </c>
      <c r="Q53" s="830">
        <v>-0.46</v>
      </c>
      <c r="R53" s="871">
        <f t="shared" ref="R53" si="45">IF(ISBLANK(Q53),"",J53-K53-Q53)</f>
        <v>1.46</v>
      </c>
      <c r="S53" s="830">
        <v>2.72</v>
      </c>
      <c r="T53" s="871">
        <f t="shared" ref="T53" si="46">IF(ISBLANK(S53),"",J53+K53-S53)</f>
        <v>2.2799999999999998</v>
      </c>
      <c r="U53" s="868">
        <f t="shared" ref="U53" si="47">IF(Q53="","",(Q53+S53)/2)</f>
        <v>1.1300000000000001</v>
      </c>
      <c r="V53" s="868">
        <f t="shared" ref="V53" si="48">IF(Q53="","",S53-U53)</f>
        <v>1.59</v>
      </c>
      <c r="W53" s="829">
        <v>10</v>
      </c>
      <c r="X53" s="829">
        <v>15</v>
      </c>
      <c r="Y53" s="829">
        <v>3</v>
      </c>
      <c r="Z53" s="829">
        <v>4</v>
      </c>
      <c r="AA53" s="829">
        <v>43</v>
      </c>
      <c r="AB53" s="829">
        <v>57</v>
      </c>
      <c r="AC53" s="829"/>
      <c r="AD53" s="816" t="str">
        <f t="array" ref="AD53">IF($J53="","",IF(SUM(IF(ISNUMBER(VALUE(RIGHT($AG53:$DW53,1))),VALUE(RIGHT($AG53:$DW53,1)),0))=$J53,"T","F"))</f>
        <v>T</v>
      </c>
      <c r="AE53" s="831">
        <f t="array" ref="AE53">IF($J53="","",SUM(IF(LEFT($AG53:$DW53,1)="s",1,0))-SUM(IF(RIGHT(LEFT($AG53:$DW53,2))="-",1,0)))</f>
        <v>0</v>
      </c>
      <c r="AF53" s="816">
        <f t="array" ref="AF53">IF($J53="","",SUM(IF(LEFT($AG53:$DW53,1)="X",1,0)))</f>
        <v>11</v>
      </c>
      <c r="AG53" s="891" t="s">
        <v>34</v>
      </c>
      <c r="AH53" s="891" t="s">
        <v>32</v>
      </c>
      <c r="AI53" s="891" t="s">
        <v>32</v>
      </c>
      <c r="AJ53" s="891" t="s">
        <v>1877</v>
      </c>
      <c r="AK53" s="891"/>
      <c r="AL53" s="904" t="s">
        <v>35</v>
      </c>
      <c r="AM53" s="891" t="s">
        <v>32</v>
      </c>
      <c r="AN53" s="891" t="s">
        <v>32</v>
      </c>
      <c r="AO53" s="891" t="s">
        <v>34</v>
      </c>
      <c r="AP53" s="891" t="s">
        <v>32</v>
      </c>
      <c r="AQ53" s="891" t="s">
        <v>32</v>
      </c>
      <c r="AR53" s="891" t="s">
        <v>34</v>
      </c>
      <c r="AS53" s="891" t="s">
        <v>34</v>
      </c>
      <c r="AT53" s="891" t="s">
        <v>36</v>
      </c>
      <c r="AU53" s="891" t="s">
        <v>34</v>
      </c>
      <c r="AV53" s="891" t="s">
        <v>3147</v>
      </c>
      <c r="AW53" s="891" t="s">
        <v>34</v>
      </c>
      <c r="AX53" s="891" t="s">
        <v>32</v>
      </c>
      <c r="AY53" s="891" t="s">
        <v>32</v>
      </c>
      <c r="AZ53" s="904" t="s">
        <v>3145</v>
      </c>
      <c r="BA53" s="891" t="s">
        <v>32</v>
      </c>
      <c r="BB53" s="891" t="s">
        <v>32</v>
      </c>
      <c r="BC53" s="891" t="s">
        <v>1877</v>
      </c>
      <c r="BD53" s="891" t="s">
        <v>32</v>
      </c>
      <c r="BE53" s="891" t="s">
        <v>36</v>
      </c>
      <c r="BF53" s="891" t="s">
        <v>32</v>
      </c>
      <c r="BG53" s="891" t="s">
        <v>35</v>
      </c>
      <c r="BH53" s="891" t="s">
        <v>32</v>
      </c>
      <c r="BI53" s="891" t="s">
        <v>1877</v>
      </c>
      <c r="BJ53" s="891" t="s">
        <v>3148</v>
      </c>
      <c r="BK53" s="904" t="s">
        <v>34</v>
      </c>
      <c r="BL53" s="891"/>
      <c r="BM53" s="891"/>
      <c r="BN53" s="910"/>
      <c r="BO53" s="891"/>
      <c r="BP53" s="891"/>
      <c r="BQ53" s="891"/>
      <c r="BR53" s="891"/>
      <c r="BS53" s="896"/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428"/>
      <c r="CF53" s="428"/>
      <c r="CG53" s="428"/>
      <c r="CH53" s="428"/>
    </row>
    <row r="54" spans="1:93" ht="15">
      <c r="A54" s="882">
        <v>6455</v>
      </c>
      <c r="B54" s="884"/>
      <c r="C54" s="884"/>
      <c r="D54" s="884"/>
      <c r="E54" s="884"/>
      <c r="F54" s="884">
        <f ca="1">IF(I54="","",IF(I54=Table!$C$1,VLOOKUP(G54,Table!$B$9:$AE$32,Table!$AE$6-1,FALSE),""))</f>
        <v>1</v>
      </c>
      <c r="G54" s="879" t="s">
        <v>1086</v>
      </c>
      <c r="H54" s="879" t="s">
        <v>18</v>
      </c>
      <c r="I54" s="879" t="s">
        <v>891</v>
      </c>
      <c r="J54" s="905">
        <v>2</v>
      </c>
      <c r="K54" s="846">
        <v>2</v>
      </c>
      <c r="L54" s="816" t="str">
        <f t="shared" si="30"/>
        <v>D</v>
      </c>
      <c r="M54" s="816">
        <f t="shared" si="31"/>
        <v>4</v>
      </c>
      <c r="N54" s="816" t="str">
        <f t="shared" si="32"/>
        <v>O</v>
      </c>
      <c r="O54" s="816">
        <f t="shared" ref="O54" si="49">IF(Q54="","",IF(SIGN(Q54)&lt;&gt;1,VLOOKUP(ABS(Q54),SUP_HDC,3,TRUE),-VLOOKUP(ABS(Q54),SUP_HDC,3,TRUE)))</f>
        <v>0.5</v>
      </c>
      <c r="P54" s="829">
        <f t="shared" ref="P54" si="50">IF(O54="","",IF((J54-K54+O54)&gt;=0.5,1,IF((J54-K54+O54)=0.25,0.5,IF((J54-K54+O54)&lt;=-0.5,-1,IF((J54-K54+O54)=-0.25,-0.5,0)))))</f>
        <v>1</v>
      </c>
      <c r="Q54" s="830">
        <v>-0.45</v>
      </c>
      <c r="R54" s="871">
        <f t="shared" ref="R54" si="51">IF(ISBLANK(Q54),"",J54-K54-Q54)</f>
        <v>0.45</v>
      </c>
      <c r="S54" s="830">
        <v>2.23</v>
      </c>
      <c r="T54" s="871">
        <f t="shared" ref="T54" si="52">IF(ISBLANK(S54),"",J54+K54-S54)</f>
        <v>1.77</v>
      </c>
      <c r="U54" s="868">
        <f t="shared" ref="U54" si="53">IF(Q54="","",(Q54+S54)/2)</f>
        <v>0.89</v>
      </c>
      <c r="V54" s="868">
        <f t="shared" ref="V54" si="54">IF(Q54="","",S54-U54)</f>
        <v>1.3399999999999999</v>
      </c>
      <c r="W54" s="829">
        <v>14</v>
      </c>
      <c r="X54" s="829">
        <v>21</v>
      </c>
      <c r="Y54" s="829">
        <v>5</v>
      </c>
      <c r="Z54" s="829">
        <v>5</v>
      </c>
      <c r="AA54" s="829">
        <v>55</v>
      </c>
      <c r="AB54" s="829">
        <v>45</v>
      </c>
      <c r="AC54" s="829"/>
      <c r="AD54" s="816" t="str">
        <f t="array" ref="AD54">IF($J54="","",IF(SUM(IF(ISNUMBER(VALUE(RIGHT($AG54:$DW54,1))),VALUE(RIGHT($AG54:$DW54,1)),0))=$J54,"T","F"))</f>
        <v>T</v>
      </c>
      <c r="AE54" s="831">
        <f t="array" ref="AE54">IF($J54="","",SUM(IF(LEFT($AG54:$DW54,1)="s",1,0))-SUM(IF(RIGHT(LEFT($AG54:$DW54,2))="-",1,0)))</f>
        <v>0</v>
      </c>
      <c r="AF54" s="816">
        <f t="array" ref="AF54">IF($J54="","",SUM(IF(LEFT($AG54:$DW54,1)="X",1,0)))</f>
        <v>11</v>
      </c>
      <c r="AG54" s="891" t="s">
        <v>34</v>
      </c>
      <c r="AH54" s="891" t="s">
        <v>32</v>
      </c>
      <c r="AI54" s="891" t="s">
        <v>32</v>
      </c>
      <c r="AJ54" s="891" t="s">
        <v>1877</v>
      </c>
      <c r="AK54" s="891"/>
      <c r="AL54" s="891" t="s">
        <v>34</v>
      </c>
      <c r="AM54" s="891" t="s">
        <v>32</v>
      </c>
      <c r="AN54" s="891" t="s">
        <v>32</v>
      </c>
      <c r="AO54" s="891" t="s">
        <v>34</v>
      </c>
      <c r="AP54" s="891" t="s">
        <v>32</v>
      </c>
      <c r="AQ54" s="891" t="s">
        <v>32</v>
      </c>
      <c r="AR54" s="891" t="s">
        <v>34</v>
      </c>
      <c r="AS54" s="891" t="s">
        <v>35</v>
      </c>
      <c r="AT54" s="904" t="s">
        <v>36</v>
      </c>
      <c r="AU54" s="891" t="s">
        <v>34</v>
      </c>
      <c r="AV54" s="891" t="s">
        <v>35</v>
      </c>
      <c r="AW54" s="891" t="s">
        <v>34</v>
      </c>
      <c r="AX54" s="891" t="s">
        <v>32</v>
      </c>
      <c r="AY54" s="891" t="s">
        <v>32</v>
      </c>
      <c r="AZ54" s="891" t="s">
        <v>3170</v>
      </c>
      <c r="BA54" s="891" t="s">
        <v>36</v>
      </c>
      <c r="BB54" s="891" t="s">
        <v>32</v>
      </c>
      <c r="BC54" s="891" t="s">
        <v>32</v>
      </c>
      <c r="BD54" s="891" t="s">
        <v>32</v>
      </c>
      <c r="BE54" s="891" t="s">
        <v>35</v>
      </c>
      <c r="BF54" s="891" t="s">
        <v>1877</v>
      </c>
      <c r="BG54" s="891" t="s">
        <v>34</v>
      </c>
      <c r="BH54" s="891" t="s">
        <v>32</v>
      </c>
      <c r="BI54" s="891" t="s">
        <v>36</v>
      </c>
      <c r="BJ54" s="891" t="s">
        <v>1877</v>
      </c>
      <c r="BK54" s="891" t="s">
        <v>3192</v>
      </c>
      <c r="BL54" s="891"/>
      <c r="BM54" s="891"/>
      <c r="BN54" s="910"/>
      <c r="BO54" s="891"/>
      <c r="BP54" s="891"/>
      <c r="BQ54" s="891"/>
      <c r="BR54" s="891"/>
      <c r="BS54" s="896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428"/>
      <c r="CF54" s="428"/>
      <c r="CG54" s="428"/>
      <c r="CH54" s="428"/>
    </row>
    <row r="55" spans="1:93" ht="15">
      <c r="A55" s="882">
        <v>6462</v>
      </c>
      <c r="B55" s="884"/>
      <c r="C55" s="884"/>
      <c r="D55" s="884">
        <f ca="1">IF(I55=Table!$C$1,VLOOKUP(G55,Table!$B$38:$AO$61,Table!$AO$35-1,FALSE),"")</f>
        <v>0</v>
      </c>
      <c r="E55" s="884"/>
      <c r="F55" s="884">
        <f ca="1">IF(I55="","",IF(I55=Table!$C$1,VLOOKUP(G55,Table!$B$9:$AE$32,Table!$AE$6-1,FALSE),""))</f>
        <v>17</v>
      </c>
      <c r="G55" s="879" t="s">
        <v>875</v>
      </c>
      <c r="H55" s="879" t="s">
        <v>22</v>
      </c>
      <c r="I55" s="879" t="s">
        <v>891</v>
      </c>
      <c r="J55" s="846">
        <v>2</v>
      </c>
      <c r="K55" s="846">
        <v>0</v>
      </c>
      <c r="L55" s="816" t="str">
        <f>IF(J55="","",IF(J55&gt;K55,"W",IF(J55=K55,"D",IF(J55&lt;K55,"L"))))</f>
        <v>W</v>
      </c>
      <c r="M55" s="816">
        <f>IF(J55="","",J55+K55)</f>
        <v>2</v>
      </c>
      <c r="N55" s="816" t="str">
        <f>IF($J55="","",IF($M55&gt;N$19,"O",IF($M55&lt;N$19,"U",IF($M55=N$19,"-"))))</f>
        <v>U</v>
      </c>
      <c r="O55" s="816">
        <f>IF(Q55="","",IF(SIGN(Q55)&lt;&gt;1,VLOOKUP(ABS(Q55),SUP_HDC,3,TRUE),-VLOOKUP(ABS(Q55),SUP_HDC,3,TRUE)))</f>
        <v>-0.5</v>
      </c>
      <c r="P55" s="829">
        <f>IF(O55="","",IF((J55-K55+O55)&gt;=0.5,1,IF((J55-K55+O55)=0.25,0.5,IF((J55-K55+O55)&lt;=-0.5,-1,IF((J55-K55+O55)=-0.25,-0.5,0)))))</f>
        <v>1</v>
      </c>
      <c r="Q55" s="830">
        <v>0.63</v>
      </c>
      <c r="R55" s="871">
        <f>IF(ISBLANK(Q55),"",J55-K55-Q55)</f>
        <v>1.37</v>
      </c>
      <c r="S55" s="830">
        <v>2.65</v>
      </c>
      <c r="T55" s="871">
        <f>IF(ISBLANK(S55),"",J55+K55-S55)</f>
        <v>-0.64999999999999991</v>
      </c>
      <c r="U55" s="868">
        <f>IF(Q55="","",(Q55+S55)/2)</f>
        <v>1.64</v>
      </c>
      <c r="V55" s="868">
        <f>IF(Q55="","",S55-U55)</f>
        <v>1.01</v>
      </c>
      <c r="W55" s="829">
        <v>15</v>
      </c>
      <c r="X55" s="829">
        <v>9</v>
      </c>
      <c r="Y55" s="829">
        <v>8</v>
      </c>
      <c r="Z55" s="829">
        <v>2</v>
      </c>
      <c r="AA55" s="829">
        <v>55</v>
      </c>
      <c r="AB55" s="829">
        <v>45</v>
      </c>
      <c r="AC55" s="829"/>
      <c r="AD55" s="816" t="str">
        <f t="array" ref="AD55">IF($J55="","",IF(SUM(IF(ISNUMBER(VALUE(RIGHT($AG55:$DW55,1))),VALUE(RIGHT($AG55:$DW55,1)),0))=$J55,"T","F"))</f>
        <v>T</v>
      </c>
      <c r="AE55" s="831">
        <f t="array" ref="AE55">IF($J55="","",SUM(IF(LEFT($AG55:$DW55,1)="s",1,0))-SUM(IF(RIGHT(LEFT($AG55:$DW55,2))="-",1,0)))</f>
        <v>0</v>
      </c>
      <c r="AF55" s="816">
        <f t="array" ref="AF55">IF($J55="","",SUM(IF(LEFT($AG55:$DW55,1)="X",1,0)))</f>
        <v>11</v>
      </c>
      <c r="AG55" s="891" t="s">
        <v>34</v>
      </c>
      <c r="AH55" s="891" t="s">
        <v>32</v>
      </c>
      <c r="AI55" s="891" t="s">
        <v>32</v>
      </c>
      <c r="AJ55" s="891" t="s">
        <v>1877</v>
      </c>
      <c r="AK55" s="891" t="s">
        <v>3221</v>
      </c>
      <c r="AL55" s="891" t="s">
        <v>35</v>
      </c>
      <c r="AM55" s="891" t="s">
        <v>34</v>
      </c>
      <c r="AN55" s="891" t="s">
        <v>32</v>
      </c>
      <c r="AO55" s="891" t="s">
        <v>3222</v>
      </c>
      <c r="AP55" s="891" t="s">
        <v>32</v>
      </c>
      <c r="AQ55" s="891" t="s">
        <v>32</v>
      </c>
      <c r="AR55" s="891" t="s">
        <v>34</v>
      </c>
      <c r="AS55" s="891" t="s">
        <v>35</v>
      </c>
      <c r="AT55" s="891" t="s">
        <v>36</v>
      </c>
      <c r="AU55" s="891" t="s">
        <v>34</v>
      </c>
      <c r="AV55" s="891" t="s">
        <v>32</v>
      </c>
      <c r="AW55" s="891" t="s">
        <v>34</v>
      </c>
      <c r="AX55" s="891" t="s">
        <v>32</v>
      </c>
      <c r="AY55" s="891" t="s">
        <v>32</v>
      </c>
      <c r="AZ55" s="891" t="s">
        <v>34</v>
      </c>
      <c r="BA55" s="891" t="s">
        <v>32</v>
      </c>
      <c r="BB55" s="891" t="s">
        <v>32</v>
      </c>
      <c r="BC55" s="891" t="s">
        <v>32</v>
      </c>
      <c r="BD55" s="891" t="s">
        <v>32</v>
      </c>
      <c r="BE55" s="891" t="s">
        <v>1877</v>
      </c>
      <c r="BF55" s="891" t="s">
        <v>1877</v>
      </c>
      <c r="BG55" s="891" t="s">
        <v>34</v>
      </c>
      <c r="BH55" s="891" t="s">
        <v>32</v>
      </c>
      <c r="BI55" s="891" t="s">
        <v>1877</v>
      </c>
      <c r="BJ55" s="891" t="s">
        <v>1877</v>
      </c>
      <c r="BK55" s="904" t="s">
        <v>3222</v>
      </c>
      <c r="BL55" s="891"/>
      <c r="BM55" s="891"/>
      <c r="BN55" s="910"/>
      <c r="BO55" s="891"/>
      <c r="BP55" s="891"/>
      <c r="BQ55" s="891"/>
      <c r="BR55" s="891"/>
      <c r="BS55" s="891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428"/>
      <c r="CF55" s="428"/>
      <c r="CG55" s="428"/>
      <c r="CH55" s="428"/>
      <c r="CI55" s="230" t="s">
        <v>32</v>
      </c>
      <c r="CJ55" s="230" t="s">
        <v>32</v>
      </c>
      <c r="CK55" s="230" t="s">
        <v>32</v>
      </c>
      <c r="CL55" s="230" t="s">
        <v>32</v>
      </c>
      <c r="CM55" s="230" t="s">
        <v>32</v>
      </c>
      <c r="CN55" s="230" t="s">
        <v>32</v>
      </c>
      <c r="CO55" s="230" t="s">
        <v>32</v>
      </c>
    </row>
    <row r="56" spans="1:93" ht="15">
      <c r="A56" s="882">
        <v>6469</v>
      </c>
      <c r="B56" s="884"/>
      <c r="C56" s="884"/>
      <c r="D56" s="884">
        <f ca="1">IF(I56=Table!$C$1,VLOOKUP(G56,Table!$B$38:$AO$61,Table!$AO$35-1,FALSE),"")</f>
        <v>0</v>
      </c>
      <c r="E56" s="884"/>
      <c r="F56" s="884">
        <f ca="1">IF(I56="","",IF(I56=Table!$C$1,VLOOKUP(G56,Table!$B$9:$AE$32,Table!$AE$6-1,FALSE),""))</f>
        <v>5</v>
      </c>
      <c r="G56" s="879" t="s">
        <v>889</v>
      </c>
      <c r="H56" s="879" t="s">
        <v>22</v>
      </c>
      <c r="I56" s="879" t="s">
        <v>891</v>
      </c>
      <c r="J56" s="846">
        <v>1</v>
      </c>
      <c r="K56" s="846">
        <v>1</v>
      </c>
      <c r="L56" s="816" t="str">
        <f t="shared" si="30"/>
        <v>D</v>
      </c>
      <c r="M56" s="816">
        <f t="shared" si="31"/>
        <v>2</v>
      </c>
      <c r="N56" s="816" t="str">
        <f t="shared" si="32"/>
        <v>U</v>
      </c>
      <c r="O56" s="816">
        <f t="shared" si="21"/>
        <v>0</v>
      </c>
      <c r="P56" s="829">
        <f t="shared" si="23"/>
        <v>0</v>
      </c>
      <c r="Q56" s="830">
        <v>-0.1</v>
      </c>
      <c r="R56" s="871">
        <f t="shared" si="42"/>
        <v>0.1</v>
      </c>
      <c r="S56" s="830">
        <v>2.48</v>
      </c>
      <c r="T56" s="871">
        <f t="shared" si="25"/>
        <v>-0.48</v>
      </c>
      <c r="U56" s="868">
        <f t="shared" si="26"/>
        <v>1.19</v>
      </c>
      <c r="V56" s="868">
        <f t="shared" si="27"/>
        <v>1.29</v>
      </c>
      <c r="W56" s="829">
        <v>16</v>
      </c>
      <c r="X56" s="829">
        <v>18</v>
      </c>
      <c r="Y56" s="829">
        <v>4</v>
      </c>
      <c r="Z56" s="829">
        <v>5</v>
      </c>
      <c r="AA56" s="829">
        <v>44</v>
      </c>
      <c r="AB56" s="829">
        <v>56</v>
      </c>
      <c r="AC56" s="829"/>
      <c r="AD56" s="816" t="str">
        <f t="array" ref="AD56">IF($J56="","",IF(SUM(IF(ISNUMBER(VALUE(RIGHT($AG56:$DW56,1))),VALUE(RIGHT($AG56:$DW56,1)),0))=$J56,"T","F"))</f>
        <v>T</v>
      </c>
      <c r="AE56" s="831">
        <f t="array" ref="AE56">IF($J56="","",SUM(IF(LEFT($AG56:$DW56,1)="s",1,0))-SUM(IF(RIGHT(LEFT($AG56:$DW56,2))="-",1,0)))</f>
        <v>0</v>
      </c>
      <c r="AF56" s="816">
        <f t="array" ref="AF56">IF($J56="","",SUM(IF(LEFT($AG56:$DW56,1)="X",1,0)))</f>
        <v>11</v>
      </c>
      <c r="AG56" s="891" t="s">
        <v>3260</v>
      </c>
      <c r="AH56" s="891"/>
      <c r="AI56" s="891"/>
      <c r="AJ56" s="891" t="s">
        <v>3262</v>
      </c>
      <c r="AK56" s="891"/>
      <c r="AL56" s="891"/>
      <c r="AM56" s="891" t="s">
        <v>3260</v>
      </c>
      <c r="AN56" s="891" t="s">
        <v>3263</v>
      </c>
      <c r="AO56" s="891" t="s">
        <v>3260</v>
      </c>
      <c r="AP56" s="891" t="s">
        <v>3262</v>
      </c>
      <c r="AQ56" s="891"/>
      <c r="AR56" s="891" t="s">
        <v>3260</v>
      </c>
      <c r="AS56" s="891" t="s">
        <v>3261</v>
      </c>
      <c r="AT56" s="891" t="s">
        <v>3260</v>
      </c>
      <c r="AU56" s="891" t="s">
        <v>3260</v>
      </c>
      <c r="AV56" s="891" t="s">
        <v>3246</v>
      </c>
      <c r="AW56" s="891" t="s">
        <v>3260</v>
      </c>
      <c r="AX56" s="891"/>
      <c r="AY56" s="906" t="s">
        <v>3264</v>
      </c>
      <c r="AZ56" s="891" t="s">
        <v>3261</v>
      </c>
      <c r="BA56" s="891"/>
      <c r="BB56" s="891"/>
      <c r="BC56" s="891"/>
      <c r="BD56" s="891"/>
      <c r="BE56" s="891"/>
      <c r="BF56" s="891" t="s">
        <v>3263</v>
      </c>
      <c r="BG56" s="891" t="s">
        <v>3260</v>
      </c>
      <c r="BH56" s="891"/>
      <c r="BI56" s="891" t="s">
        <v>3262</v>
      </c>
      <c r="BJ56" s="891" t="s">
        <v>3262</v>
      </c>
      <c r="BK56" s="891" t="s">
        <v>3260</v>
      </c>
      <c r="BL56" s="891"/>
      <c r="BM56" s="891"/>
      <c r="BN56" s="910"/>
      <c r="BO56" s="891"/>
      <c r="BP56" s="891"/>
      <c r="BQ56" s="891"/>
      <c r="BR56" s="891"/>
      <c r="BS56" s="896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428"/>
      <c r="CF56" s="428"/>
      <c r="CG56" s="428"/>
      <c r="CH56" s="428"/>
    </row>
    <row r="57" spans="1:93" ht="15">
      <c r="A57" s="882">
        <v>6476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15</v>
      </c>
      <c r="G57" s="879" t="s">
        <v>881</v>
      </c>
      <c r="H57" s="879" t="s">
        <v>18</v>
      </c>
      <c r="I57" s="879" t="s">
        <v>891</v>
      </c>
      <c r="J57" s="846">
        <v>3</v>
      </c>
      <c r="K57" s="846">
        <v>2</v>
      </c>
      <c r="L57" s="816" t="str">
        <f t="shared" si="30"/>
        <v>W</v>
      </c>
      <c r="M57" s="816">
        <f t="shared" si="31"/>
        <v>5</v>
      </c>
      <c r="N57" s="816" t="str">
        <f t="shared" si="32"/>
        <v>O</v>
      </c>
      <c r="O57" s="816">
        <f t="shared" si="21"/>
        <v>-0.25</v>
      </c>
      <c r="P57" s="829">
        <f t="shared" si="23"/>
        <v>1</v>
      </c>
      <c r="Q57" s="830">
        <v>0.18</v>
      </c>
      <c r="R57" s="871">
        <f t="shared" si="42"/>
        <v>0.82000000000000006</v>
      </c>
      <c r="S57" s="830">
        <v>2.46</v>
      </c>
      <c r="T57" s="871">
        <f t="shared" si="25"/>
        <v>2.54</v>
      </c>
      <c r="U57" s="868">
        <f t="shared" si="26"/>
        <v>1.32</v>
      </c>
      <c r="V57" s="868">
        <f t="shared" si="27"/>
        <v>1.1399999999999999</v>
      </c>
      <c r="W57" s="829">
        <v>14</v>
      </c>
      <c r="X57" s="829">
        <v>13</v>
      </c>
      <c r="Y57" s="829">
        <v>5</v>
      </c>
      <c r="Z57" s="829">
        <v>5</v>
      </c>
      <c r="AA57" s="829">
        <v>42</v>
      </c>
      <c r="AB57" s="829">
        <v>58</v>
      </c>
      <c r="AC57" s="829"/>
      <c r="AD57" s="816" t="str">
        <f t="array" ref="AD57">IF($J57="","",IF(SUM(IF(ISNUMBER(VALUE(RIGHT($AG57:$DW57,1))),VALUE(RIGHT($AG57:$DW57,1)),0))=$J57,"T","F"))</f>
        <v>T</v>
      </c>
      <c r="AE57" s="831">
        <f t="array" ref="AE57">IF($J57="","",SUM(IF(LEFT($AG57:$DW57,1)="s",1,0))-SUM(IF(RIGHT(LEFT($AG57:$DW57,2))="-",1,0)))</f>
        <v>0</v>
      </c>
      <c r="AF57" s="816">
        <f t="array" ref="AF57">IF($J57="","",SUM(IF(LEFT($AG57:$DW57,1)="X",1,0)))</f>
        <v>11</v>
      </c>
      <c r="AG57" s="891" t="s">
        <v>34</v>
      </c>
      <c r="AH57" s="891" t="s">
        <v>1877</v>
      </c>
      <c r="AI57" s="891" t="s">
        <v>32</v>
      </c>
      <c r="AJ57" s="891" t="s">
        <v>32</v>
      </c>
      <c r="AK57" s="891" t="s">
        <v>32</v>
      </c>
      <c r="AL57" s="891" t="s">
        <v>3335</v>
      </c>
      <c r="AM57" s="904" t="s">
        <v>34</v>
      </c>
      <c r="AN57" s="891" t="s">
        <v>32</v>
      </c>
      <c r="AO57" s="891" t="s">
        <v>34</v>
      </c>
      <c r="AP57" s="891" t="s">
        <v>36</v>
      </c>
      <c r="AQ57" s="891" t="s">
        <v>1877</v>
      </c>
      <c r="AR57" s="891" t="s">
        <v>34</v>
      </c>
      <c r="AS57" s="891" t="s">
        <v>1886</v>
      </c>
      <c r="AT57" s="891" t="s">
        <v>34</v>
      </c>
      <c r="AU57" s="904" t="s">
        <v>34</v>
      </c>
      <c r="AV57" s="891" t="s">
        <v>2775</v>
      </c>
      <c r="AW57" s="891" t="s">
        <v>34</v>
      </c>
      <c r="AX57" s="891" t="s">
        <v>36</v>
      </c>
      <c r="AY57" s="891" t="s">
        <v>35</v>
      </c>
      <c r="AZ57" s="891" t="s">
        <v>3337</v>
      </c>
      <c r="BA57" s="891" t="s">
        <v>32</v>
      </c>
      <c r="BB57" s="891" t="s">
        <v>32</v>
      </c>
      <c r="BC57" s="891" t="s">
        <v>32</v>
      </c>
      <c r="BD57" s="891" t="s">
        <v>32</v>
      </c>
      <c r="BE57" s="891" t="s">
        <v>1877</v>
      </c>
      <c r="BF57" s="891" t="s">
        <v>1877</v>
      </c>
      <c r="BG57" s="891" t="s">
        <v>3336</v>
      </c>
      <c r="BH57" s="891" t="s">
        <v>32</v>
      </c>
      <c r="BI57" s="891" t="s">
        <v>32</v>
      </c>
      <c r="BJ57" s="891" t="s">
        <v>36</v>
      </c>
      <c r="BK57" s="891" t="s">
        <v>34</v>
      </c>
      <c r="BL57" s="891"/>
      <c r="BM57" s="891"/>
      <c r="BN57" s="910"/>
      <c r="BO57" s="891"/>
      <c r="BP57" s="891"/>
      <c r="BQ57" s="891"/>
      <c r="BR57" s="891"/>
      <c r="BS57" s="896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428"/>
      <c r="CF57" s="428"/>
      <c r="CG57" s="428"/>
      <c r="CH57" s="428"/>
    </row>
    <row r="58" spans="1:93" ht="15">
      <c r="A58" s="882">
        <v>6483</v>
      </c>
      <c r="B58" s="884"/>
      <c r="C58" s="884"/>
      <c r="D58" s="884"/>
      <c r="E58" s="884"/>
      <c r="F58" s="884">
        <f ca="1">IF(I58="","",IF(I58=Table!$C$1,VLOOKUP(G58,Table!$B$9:$AE$32,Table!$AE$6-1,FALSE),""))</f>
        <v>22</v>
      </c>
      <c r="G58" s="879" t="s">
        <v>1087</v>
      </c>
      <c r="H58" s="879" t="s">
        <v>18</v>
      </c>
      <c r="I58" s="879" t="s">
        <v>891</v>
      </c>
      <c r="J58" s="846">
        <v>1</v>
      </c>
      <c r="K58" s="846">
        <v>1</v>
      </c>
      <c r="L58" s="816" t="str">
        <f t="shared" ref="L58" si="55">IF(J58="","",IF(J58&gt;K58,"W",IF(J58=K58,"D",IF(J58&lt;K58,"L"))))</f>
        <v>D</v>
      </c>
      <c r="M58" s="816">
        <f t="shared" ref="M58" si="56">IF(J58="","",J58+K58)</f>
        <v>2</v>
      </c>
      <c r="N58" s="816" t="str">
        <f t="shared" si="32"/>
        <v>U</v>
      </c>
      <c r="O58" s="816">
        <f t="shared" ref="O58:O65" si="57">IF(Q58="","",IF(SIGN(Q58)&lt;&gt;1,VLOOKUP(ABS(Q58),SUP_HDC,3,TRUE),-VLOOKUP(ABS(Q58),SUP_HDC,3,TRUE)))</f>
        <v>-0.75</v>
      </c>
      <c r="P58" s="829">
        <f t="shared" ref="P58:P65" si="58">IF(O58="","",IF((J58-K58+O58)&gt;=0.5,1,IF((J58-K58+O58)=0.25,0.5,IF((J58-K58+O58)&lt;=-0.5,-1,IF((J58-K58+O58)=-0.25,-0.5,0)))))</f>
        <v>-1</v>
      </c>
      <c r="Q58" s="830">
        <v>0.83</v>
      </c>
      <c r="R58" s="871">
        <f t="shared" ref="R58" si="59">IF(ISBLANK(Q58),"",J58-K58-Q58)</f>
        <v>-0.83</v>
      </c>
      <c r="S58" s="830">
        <v>2.5299999999999998</v>
      </c>
      <c r="T58" s="871">
        <f t="shared" ref="T58" si="60">IF(ISBLANK(S58),"",J58+K58-S58)</f>
        <v>-0.5299999999999998</v>
      </c>
      <c r="U58" s="868">
        <f t="shared" ref="U58:U69" si="61">IF(Q58="","",(Q58+S58)/2)</f>
        <v>1.68</v>
      </c>
      <c r="V58" s="868">
        <f t="shared" ref="V58:V69" si="62">IF(Q58="","",S58-U58)</f>
        <v>0.84999999999999987</v>
      </c>
      <c r="W58" s="829">
        <v>26</v>
      </c>
      <c r="X58" s="829">
        <v>9</v>
      </c>
      <c r="Y58" s="829">
        <v>9</v>
      </c>
      <c r="Z58" s="829">
        <v>4</v>
      </c>
      <c r="AA58" s="829">
        <v>65</v>
      </c>
      <c r="AB58" s="829">
        <v>35</v>
      </c>
      <c r="AC58" s="829"/>
      <c r="AD58" s="816" t="str">
        <f t="array" ref="AD58">IF($J58="","",IF(SUM(IF(ISNUMBER(VALUE(RIGHT($AG58:$CI58,1))),VALUE(RIGHT($AG58:$CI58,1)),0))=$J58,"T","F"))</f>
        <v>T</v>
      </c>
      <c r="AE58" s="831">
        <f t="array" ref="AE58">IF($J58="","",SUM(IF(LEFT($AG58:$DU58,1)="s",1,0))-SUM(IF(RIGHT(LEFT($AG58:$DU58,2))="-",1,0)))</f>
        <v>0</v>
      </c>
      <c r="AF58" s="816">
        <f t="array" ref="AF58">IF($J58="","",SUM(IF(LEFT($AG58:$DA58,1)="X",1,0)))</f>
        <v>11</v>
      </c>
      <c r="AG58" s="891" t="s">
        <v>34</v>
      </c>
      <c r="AH58" s="891" t="s">
        <v>1877</v>
      </c>
      <c r="AI58" s="891" t="s">
        <v>32</v>
      </c>
      <c r="AJ58" s="891" t="s">
        <v>32</v>
      </c>
      <c r="AK58" s="891" t="s">
        <v>32</v>
      </c>
      <c r="AL58" s="891" t="s">
        <v>32</v>
      </c>
      <c r="AM58" s="891" t="s">
        <v>34</v>
      </c>
      <c r="AN58" s="891" t="s">
        <v>32</v>
      </c>
      <c r="AO58" s="891" t="s">
        <v>34</v>
      </c>
      <c r="AP58" s="891" t="s">
        <v>36</v>
      </c>
      <c r="AQ58" s="891" t="s">
        <v>1877</v>
      </c>
      <c r="AR58" s="891" t="s">
        <v>34</v>
      </c>
      <c r="AS58" s="891" t="s">
        <v>1886</v>
      </c>
      <c r="AT58" s="891" t="s">
        <v>35</v>
      </c>
      <c r="AU58" s="891" t="s">
        <v>34</v>
      </c>
      <c r="AV58" s="891" t="s">
        <v>2775</v>
      </c>
      <c r="AW58" s="891" t="s">
        <v>34</v>
      </c>
      <c r="AX58" s="891" t="s">
        <v>36</v>
      </c>
      <c r="AY58" s="904" t="s">
        <v>35</v>
      </c>
      <c r="AZ58" s="891" t="s">
        <v>35</v>
      </c>
      <c r="BA58" s="891" t="s">
        <v>32</v>
      </c>
      <c r="BB58" s="891" t="s">
        <v>32</v>
      </c>
      <c r="BC58" s="891" t="s">
        <v>32</v>
      </c>
      <c r="BD58" s="891" t="s">
        <v>32</v>
      </c>
      <c r="BE58" s="891" t="s">
        <v>1877</v>
      </c>
      <c r="BF58" s="891" t="s">
        <v>1877</v>
      </c>
      <c r="BG58" s="891" t="s">
        <v>34</v>
      </c>
      <c r="BH58" s="891" t="s">
        <v>32</v>
      </c>
      <c r="BI58" s="891" t="s">
        <v>32</v>
      </c>
      <c r="BJ58" s="891" t="s">
        <v>3359</v>
      </c>
      <c r="BK58" s="891" t="s">
        <v>34</v>
      </c>
      <c r="BL58" s="891"/>
      <c r="BM58" s="891"/>
      <c r="BN58" s="910"/>
      <c r="BO58" s="891"/>
      <c r="BP58" s="891"/>
      <c r="BQ58" s="891"/>
      <c r="BR58" s="891"/>
      <c r="BS58" s="896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428"/>
      <c r="CF58" s="428"/>
      <c r="CG58" s="428"/>
      <c r="CH58" s="428"/>
    </row>
    <row r="59" spans="1:93" ht="15">
      <c r="A59" s="882">
        <v>6490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4</v>
      </c>
      <c r="G59" s="879" t="s">
        <v>1084</v>
      </c>
      <c r="H59" s="879" t="s">
        <v>22</v>
      </c>
      <c r="I59" s="879" t="s">
        <v>891</v>
      </c>
      <c r="J59" s="846">
        <v>1</v>
      </c>
      <c r="K59" s="846">
        <v>3</v>
      </c>
      <c r="L59" s="816" t="str">
        <f t="shared" si="30"/>
        <v>L</v>
      </c>
      <c r="M59" s="816">
        <f t="shared" si="31"/>
        <v>4</v>
      </c>
      <c r="N59" s="816" t="str">
        <f t="shared" si="32"/>
        <v>O</v>
      </c>
      <c r="O59" s="816">
        <f t="shared" si="57"/>
        <v>0.25</v>
      </c>
      <c r="P59" s="829">
        <f t="shared" si="58"/>
        <v>-1</v>
      </c>
      <c r="Q59" s="830">
        <v>-0.2</v>
      </c>
      <c r="R59" s="871">
        <f t="shared" si="42"/>
        <v>-1.8</v>
      </c>
      <c r="S59" s="830">
        <v>2.38</v>
      </c>
      <c r="T59" s="871">
        <f t="shared" si="25"/>
        <v>1.62</v>
      </c>
      <c r="U59" s="868">
        <f t="shared" si="61"/>
        <v>1.0899999999999999</v>
      </c>
      <c r="V59" s="868">
        <f t="shared" si="62"/>
        <v>1.29</v>
      </c>
      <c r="W59" s="829">
        <v>14</v>
      </c>
      <c r="X59" s="829">
        <v>18</v>
      </c>
      <c r="Y59" s="829">
        <v>5</v>
      </c>
      <c r="Z59" s="829">
        <v>7</v>
      </c>
      <c r="AA59" s="829">
        <v>48</v>
      </c>
      <c r="AB59" s="829">
        <v>52</v>
      </c>
      <c r="AC59" s="829"/>
      <c r="AD59" s="816" t="str">
        <f t="array" ref="AD59">IF($J59="","",IF(SUM(IF(ISNUMBER(VALUE(RIGHT($AG59:$CI59,1))),VALUE(RIGHT($AG59:$CI59,1)),0))=$J59,"T","F"))</f>
        <v>T</v>
      </c>
      <c r="AE59" s="831">
        <f t="array" ref="AE59">IF($J59="","",SUM(IF(LEFT($AG59:$DU59,1)="s",1,0))-SUM(IF(RIGHT(LEFT($AG59:$DU59,2))="-",1,0)))</f>
        <v>0</v>
      </c>
      <c r="AF59" s="816">
        <f t="array" ref="AF59">IF($J59="","",SUM(IF(LEFT($AG59:$DA59,1)="X",1,0)))</f>
        <v>11</v>
      </c>
      <c r="AG59" s="891" t="s">
        <v>34</v>
      </c>
      <c r="AH59" s="891" t="s">
        <v>1877</v>
      </c>
      <c r="AI59" s="891" t="s">
        <v>32</v>
      </c>
      <c r="AJ59" s="891" t="s">
        <v>32</v>
      </c>
      <c r="AK59" s="891" t="s">
        <v>32</v>
      </c>
      <c r="AL59" s="891" t="s">
        <v>3395</v>
      </c>
      <c r="AM59" s="891" t="s">
        <v>34</v>
      </c>
      <c r="AN59" s="891" t="s">
        <v>32</v>
      </c>
      <c r="AO59" s="891" t="s">
        <v>34</v>
      </c>
      <c r="AP59" s="891" t="s">
        <v>32</v>
      </c>
      <c r="AQ59" s="906" t="s">
        <v>3418</v>
      </c>
      <c r="AR59" s="891" t="s">
        <v>35</v>
      </c>
      <c r="AS59" s="891" t="s">
        <v>1886</v>
      </c>
      <c r="AT59" s="891" t="s">
        <v>34</v>
      </c>
      <c r="AU59" s="891" t="s">
        <v>34</v>
      </c>
      <c r="AV59" s="891" t="s">
        <v>36</v>
      </c>
      <c r="AW59" s="904" t="s">
        <v>34</v>
      </c>
      <c r="AX59" s="891" t="s">
        <v>1877</v>
      </c>
      <c r="AY59" s="891" t="s">
        <v>35</v>
      </c>
      <c r="AZ59" s="891" t="s">
        <v>3400</v>
      </c>
      <c r="BA59" s="891" t="s">
        <v>32</v>
      </c>
      <c r="BB59" s="891" t="s">
        <v>32</v>
      </c>
      <c r="BC59" s="891" t="s">
        <v>32</v>
      </c>
      <c r="BD59" s="891" t="s">
        <v>32</v>
      </c>
      <c r="BE59" s="891" t="s">
        <v>1877</v>
      </c>
      <c r="BF59" s="891" t="s">
        <v>1877</v>
      </c>
      <c r="BG59" s="904" t="s">
        <v>35</v>
      </c>
      <c r="BH59" s="891" t="s">
        <v>32</v>
      </c>
      <c r="BI59" s="891" t="s">
        <v>32</v>
      </c>
      <c r="BJ59" s="906" t="s">
        <v>3418</v>
      </c>
      <c r="BK59" s="891" t="s">
        <v>34</v>
      </c>
      <c r="BL59" s="891"/>
      <c r="BM59" s="891"/>
      <c r="BN59" s="910"/>
      <c r="BO59" s="891"/>
      <c r="BP59" s="891"/>
      <c r="BQ59" s="891"/>
      <c r="BR59" s="891"/>
      <c r="BS59" s="896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428"/>
      <c r="CF59" s="428"/>
      <c r="CG59" s="428"/>
      <c r="CH59" s="428"/>
    </row>
    <row r="60" spans="1:93" ht="15">
      <c r="A60" s="882">
        <v>6497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11</v>
      </c>
      <c r="G60" s="879" t="s">
        <v>874</v>
      </c>
      <c r="H60" s="879" t="s">
        <v>18</v>
      </c>
      <c r="I60" s="879" t="s">
        <v>891</v>
      </c>
      <c r="J60" s="846">
        <v>0</v>
      </c>
      <c r="K60" s="908">
        <v>2</v>
      </c>
      <c r="L60" s="816" t="str">
        <f t="shared" si="30"/>
        <v>L</v>
      </c>
      <c r="M60" s="816">
        <f t="shared" si="31"/>
        <v>2</v>
      </c>
      <c r="N60" s="816" t="str">
        <f t="shared" si="32"/>
        <v>U</v>
      </c>
      <c r="O60" s="816">
        <f t="shared" si="57"/>
        <v>0</v>
      </c>
      <c r="P60" s="829">
        <f t="shared" si="58"/>
        <v>-1</v>
      </c>
      <c r="Q60" s="830">
        <v>-0.05</v>
      </c>
      <c r="R60" s="871">
        <f t="shared" si="42"/>
        <v>-1.95</v>
      </c>
      <c r="S60" s="830">
        <v>2.42</v>
      </c>
      <c r="T60" s="871">
        <f t="shared" si="25"/>
        <v>-0.41999999999999993</v>
      </c>
      <c r="U60" s="868">
        <f t="shared" si="61"/>
        <v>1.1850000000000001</v>
      </c>
      <c r="V60" s="868">
        <f t="shared" si="62"/>
        <v>1.2349999999999999</v>
      </c>
      <c r="W60" s="829">
        <v>17</v>
      </c>
      <c r="X60" s="829">
        <v>16</v>
      </c>
      <c r="Y60" s="829">
        <v>4</v>
      </c>
      <c r="Z60" s="829">
        <v>3</v>
      </c>
      <c r="AA60" s="829">
        <v>50</v>
      </c>
      <c r="AB60" s="829">
        <v>50</v>
      </c>
      <c r="AC60" s="829"/>
      <c r="AD60" s="816" t="str">
        <f t="array" ref="AD60">IF($J60="","",IF(SUM(IF(ISNUMBER(VALUE(RIGHT($AG60:$CI60,1))),VALUE(RIGHT($AG60:$CI60,1)),0))=$J60,"T","F"))</f>
        <v>T</v>
      </c>
      <c r="AE60" s="831">
        <f t="array" ref="AE60">IF($J60="","",SUM(IF(LEFT($AG60:$DU60,1)="s",1,0))-SUM(IF(RIGHT(LEFT($AG60:$DU60,2))="-",1,0)))</f>
        <v>0</v>
      </c>
      <c r="AF60" s="816">
        <f t="array" ref="AF60">IF($J60="","",SUM(IF(LEFT($AG60:$DA60,1)="X",1,0)))</f>
        <v>11</v>
      </c>
      <c r="AG60" s="891" t="s">
        <v>3425</v>
      </c>
      <c r="AH60" s="891" t="s">
        <v>1877</v>
      </c>
      <c r="AI60" s="891" t="s">
        <v>32</v>
      </c>
      <c r="AJ60" s="891" t="s">
        <v>32</v>
      </c>
      <c r="AK60" s="891" t="s">
        <v>32</v>
      </c>
      <c r="AL60" s="891" t="s">
        <v>3426</v>
      </c>
      <c r="AM60" s="891" t="s">
        <v>34</v>
      </c>
      <c r="AN60" s="891" t="s">
        <v>1877</v>
      </c>
      <c r="AO60" s="891" t="s">
        <v>34</v>
      </c>
      <c r="AP60" s="891" t="s">
        <v>32</v>
      </c>
      <c r="AQ60" s="891" t="s">
        <v>34</v>
      </c>
      <c r="AR60" s="891" t="s">
        <v>3427</v>
      </c>
      <c r="AS60" s="891" t="s">
        <v>1886</v>
      </c>
      <c r="AT60" s="904" t="s">
        <v>35</v>
      </c>
      <c r="AU60" s="891" t="s">
        <v>34</v>
      </c>
      <c r="AV60" s="891" t="s">
        <v>35</v>
      </c>
      <c r="AW60" s="891" t="s">
        <v>34</v>
      </c>
      <c r="AX60" s="891" t="s">
        <v>1877</v>
      </c>
      <c r="AY60" s="891" t="s">
        <v>36</v>
      </c>
      <c r="AZ60" s="891" t="s">
        <v>34</v>
      </c>
      <c r="BA60" s="891" t="s">
        <v>32</v>
      </c>
      <c r="BB60" s="891" t="s">
        <v>32</v>
      </c>
      <c r="BC60" s="891" t="s">
        <v>32</v>
      </c>
      <c r="BD60" s="891" t="s">
        <v>32</v>
      </c>
      <c r="BE60" s="891" t="s">
        <v>35</v>
      </c>
      <c r="BF60" s="891" t="s">
        <v>1877</v>
      </c>
      <c r="BG60" s="891" t="s">
        <v>3428</v>
      </c>
      <c r="BH60" s="891" t="s">
        <v>36</v>
      </c>
      <c r="BI60" s="891" t="s">
        <v>32</v>
      </c>
      <c r="BJ60" s="891" t="s">
        <v>36</v>
      </c>
      <c r="BK60" s="904" t="s">
        <v>34</v>
      </c>
      <c r="BL60" s="891"/>
      <c r="BM60" s="891"/>
      <c r="BN60" s="910"/>
      <c r="BO60" s="891"/>
      <c r="BP60" s="891"/>
      <c r="BQ60" s="891"/>
      <c r="BR60" s="891"/>
      <c r="BS60" s="896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</row>
    <row r="61" spans="1:93" ht="15">
      <c r="A61" s="922">
        <v>6504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16</v>
      </c>
      <c r="G61" s="879" t="s">
        <v>872</v>
      </c>
      <c r="H61" s="879" t="s">
        <v>22</v>
      </c>
      <c r="I61" s="879" t="s">
        <v>891</v>
      </c>
      <c r="J61" s="846">
        <v>2</v>
      </c>
      <c r="K61" s="846">
        <v>2</v>
      </c>
      <c r="L61" s="816" t="str">
        <f t="shared" si="30"/>
        <v>D</v>
      </c>
      <c r="M61" s="816">
        <f t="shared" si="31"/>
        <v>4</v>
      </c>
      <c r="N61" s="816" t="str">
        <f t="shared" si="32"/>
        <v>O</v>
      </c>
      <c r="O61" s="816">
        <f t="shared" si="57"/>
        <v>-0.25</v>
      </c>
      <c r="P61" s="829">
        <f t="shared" si="58"/>
        <v>-0.5</v>
      </c>
      <c r="Q61" s="830">
        <v>0.3</v>
      </c>
      <c r="R61" s="871">
        <f t="shared" si="42"/>
        <v>-0.3</v>
      </c>
      <c r="S61" s="830">
        <v>2.6</v>
      </c>
      <c r="T61" s="871">
        <f t="shared" si="25"/>
        <v>1.4</v>
      </c>
      <c r="U61" s="868">
        <f t="shared" si="61"/>
        <v>1.45</v>
      </c>
      <c r="V61" s="868">
        <f t="shared" si="62"/>
        <v>1.1500000000000001</v>
      </c>
      <c r="W61" s="829">
        <v>20</v>
      </c>
      <c r="X61" s="829">
        <v>19</v>
      </c>
      <c r="Y61" s="829">
        <v>8</v>
      </c>
      <c r="Z61" s="829">
        <v>3</v>
      </c>
      <c r="AA61" s="829">
        <v>55</v>
      </c>
      <c r="AB61" s="829">
        <v>45</v>
      </c>
      <c r="AC61" s="829"/>
      <c r="AD61" s="816" t="str">
        <f t="array" ref="AD61">IF($J61="","",IF(SUM(IF(ISNUMBER(VALUE(RIGHT($AG61:$CI61,1))),VALUE(RIGHT($AG61:$CI61,1)),0))=$J61,"T","F"))</f>
        <v>T</v>
      </c>
      <c r="AE61" s="831">
        <f t="array" ref="AE61">IF($J61="","",SUM(IF(LEFT($AG61:$DU61,1)="s",1,0))-SUM(IF(RIGHT(LEFT($AG61:$DU61,2))="-",1,0)))</f>
        <v>0</v>
      </c>
      <c r="AF61" s="816">
        <f t="array" ref="AF61">IF($J61="","",SUM(IF(LEFT($AG61:$DA61,1)="X",1,0)))</f>
        <v>11</v>
      </c>
      <c r="AG61" s="891" t="s">
        <v>3468</v>
      </c>
      <c r="AH61" s="891" t="s">
        <v>1877</v>
      </c>
      <c r="AI61" s="891" t="s">
        <v>32</v>
      </c>
      <c r="AJ61" s="891" t="s">
        <v>32</v>
      </c>
      <c r="AK61" s="891" t="s">
        <v>32</v>
      </c>
      <c r="AL61" s="904" t="s">
        <v>34</v>
      </c>
      <c r="AM61" s="891" t="s">
        <v>34</v>
      </c>
      <c r="AN61" s="891" t="s">
        <v>1877</v>
      </c>
      <c r="AO61" s="891" t="s">
        <v>34</v>
      </c>
      <c r="AP61" s="891" t="s">
        <v>32</v>
      </c>
      <c r="AQ61" s="891" t="s">
        <v>34</v>
      </c>
      <c r="AR61" s="891" t="s">
        <v>3466</v>
      </c>
      <c r="AS61" s="891" t="s">
        <v>1886</v>
      </c>
      <c r="AT61" s="891" t="s">
        <v>3465</v>
      </c>
      <c r="AU61" s="891" t="s">
        <v>34</v>
      </c>
      <c r="AV61" s="891" t="s">
        <v>35</v>
      </c>
      <c r="AW61" s="891" t="s">
        <v>34</v>
      </c>
      <c r="AX61" s="891" t="s">
        <v>1877</v>
      </c>
      <c r="AY61" s="891" t="s">
        <v>1877</v>
      </c>
      <c r="AZ61" s="891" t="s">
        <v>34</v>
      </c>
      <c r="BA61" s="891" t="s">
        <v>32</v>
      </c>
      <c r="BB61" s="891" t="s">
        <v>32</v>
      </c>
      <c r="BC61" s="891" t="s">
        <v>36</v>
      </c>
      <c r="BD61" s="891" t="s">
        <v>32</v>
      </c>
      <c r="BE61" s="891" t="s">
        <v>32</v>
      </c>
      <c r="BF61" s="891" t="s">
        <v>1877</v>
      </c>
      <c r="BG61" s="891" t="s">
        <v>36</v>
      </c>
      <c r="BH61" s="891" t="s">
        <v>32</v>
      </c>
      <c r="BI61" s="891" t="s">
        <v>32</v>
      </c>
      <c r="BJ61" s="904" t="s">
        <v>3467</v>
      </c>
      <c r="BK61" s="891" t="s">
        <v>34</v>
      </c>
      <c r="BL61" s="891"/>
      <c r="BM61" s="891"/>
      <c r="BN61" s="910"/>
      <c r="BO61" s="891"/>
      <c r="BP61" s="891"/>
      <c r="BQ61" s="891"/>
      <c r="BR61" s="891"/>
      <c r="BS61" s="896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</row>
    <row r="62" spans="1:93" ht="15">
      <c r="A62" s="882">
        <v>6512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12</v>
      </c>
      <c r="G62" s="879" t="s">
        <v>879</v>
      </c>
      <c r="H62" s="879" t="s">
        <v>18</v>
      </c>
      <c r="I62" s="879" t="s">
        <v>891</v>
      </c>
      <c r="J62" s="846">
        <v>2</v>
      </c>
      <c r="K62" s="908">
        <v>2</v>
      </c>
      <c r="L62" s="816" t="str">
        <f t="shared" si="30"/>
        <v>D</v>
      </c>
      <c r="M62" s="816">
        <f t="shared" si="31"/>
        <v>4</v>
      </c>
      <c r="N62" s="816" t="str">
        <f t="shared" si="32"/>
        <v>O</v>
      </c>
      <c r="O62" s="816">
        <f t="shared" si="57"/>
        <v>0</v>
      </c>
      <c r="P62" s="829">
        <f t="shared" si="58"/>
        <v>0</v>
      </c>
      <c r="Q62" s="830">
        <v>0.08</v>
      </c>
      <c r="R62" s="871">
        <f t="shared" si="42"/>
        <v>-0.08</v>
      </c>
      <c r="S62" s="830">
        <v>2.65</v>
      </c>
      <c r="T62" s="871">
        <f t="shared" si="25"/>
        <v>1.35</v>
      </c>
      <c r="U62" s="868">
        <f t="shared" si="61"/>
        <v>1.365</v>
      </c>
      <c r="V62" s="868">
        <f t="shared" si="62"/>
        <v>1.2849999999999999</v>
      </c>
      <c r="W62" s="829">
        <v>18</v>
      </c>
      <c r="X62" s="829">
        <v>7</v>
      </c>
      <c r="Y62" s="829">
        <v>8</v>
      </c>
      <c r="Z62" s="829">
        <v>1</v>
      </c>
      <c r="AA62" s="829">
        <v>65</v>
      </c>
      <c r="AB62" s="829">
        <v>35</v>
      </c>
      <c r="AC62" s="829"/>
      <c r="AD62" s="816" t="str">
        <f t="array" ref="AD62">IF($J62="","",IF(SUM(IF(ISNUMBER(VALUE(RIGHT($AG62:$CI62,1))),VALUE(RIGHT($AG62:$CI62,1)),0))=$J62,"T","F"))</f>
        <v>T</v>
      </c>
      <c r="AE62" s="831">
        <f t="array" ref="AE62">IF($J62="","",SUM(IF(LEFT($AG62:$DU62,1)="s",1,0))-SUM(IF(RIGHT(LEFT($AG62:$DU62,2))="-",1,0)))</f>
        <v>0</v>
      </c>
      <c r="AF62" s="816">
        <f t="array" ref="AF62">IF($J62="","",SUM(IF(LEFT($AG62:$DA62,1)="X",1,0)))</f>
        <v>11</v>
      </c>
      <c r="AG62" s="891" t="s">
        <v>34</v>
      </c>
      <c r="AH62" s="891" t="s">
        <v>1877</v>
      </c>
      <c r="AI62" s="891" t="s">
        <v>32</v>
      </c>
      <c r="AJ62" s="891" t="s">
        <v>32</v>
      </c>
      <c r="AK62" s="891" t="s">
        <v>32</v>
      </c>
      <c r="AL62" s="891" t="s">
        <v>3485</v>
      </c>
      <c r="AM62" s="891" t="s">
        <v>34</v>
      </c>
      <c r="AN62" s="891" t="s">
        <v>34</v>
      </c>
      <c r="AO62" s="904" t="s">
        <v>34</v>
      </c>
      <c r="AP62" s="891" t="s">
        <v>36</v>
      </c>
      <c r="AQ62" s="891" t="s">
        <v>32</v>
      </c>
      <c r="AR62" s="891" t="s">
        <v>3490</v>
      </c>
      <c r="AS62" s="891" t="s">
        <v>1886</v>
      </c>
      <c r="AT62" s="891" t="s">
        <v>35</v>
      </c>
      <c r="AU62" s="904" t="s">
        <v>34</v>
      </c>
      <c r="AV62" s="891" t="s">
        <v>35</v>
      </c>
      <c r="AW62" s="891" t="s">
        <v>34</v>
      </c>
      <c r="AX62" s="891" t="s">
        <v>32</v>
      </c>
      <c r="AY62" s="891" t="s">
        <v>36</v>
      </c>
      <c r="AZ62" s="891" t="s">
        <v>35</v>
      </c>
      <c r="BA62" s="891" t="s">
        <v>32</v>
      </c>
      <c r="BB62" s="891" t="s">
        <v>32</v>
      </c>
      <c r="BC62" s="891" t="s">
        <v>1877</v>
      </c>
      <c r="BD62" s="891" t="s">
        <v>32</v>
      </c>
      <c r="BE62" s="891" t="s">
        <v>1877</v>
      </c>
      <c r="BF62" s="891" t="s">
        <v>1877</v>
      </c>
      <c r="BG62" s="891" t="s">
        <v>3495</v>
      </c>
      <c r="BH62" s="891" t="s">
        <v>32</v>
      </c>
      <c r="BI62" s="891" t="s">
        <v>32</v>
      </c>
      <c r="BJ62" s="906" t="s">
        <v>3496</v>
      </c>
      <c r="BK62" s="891" t="s">
        <v>34</v>
      </c>
      <c r="BL62" s="891"/>
      <c r="BM62" s="891"/>
      <c r="BN62" s="910"/>
      <c r="BO62" s="891"/>
      <c r="BP62" s="891"/>
      <c r="BQ62" s="891"/>
      <c r="BR62" s="891"/>
      <c r="BS62" s="896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</row>
    <row r="63" spans="1:93" ht="15">
      <c r="A63" s="882">
        <v>6519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21</v>
      </c>
      <c r="G63" s="879" t="s">
        <v>890</v>
      </c>
      <c r="H63" s="879" t="s">
        <v>22</v>
      </c>
      <c r="I63" s="879" t="s">
        <v>891</v>
      </c>
      <c r="J63" s="846">
        <v>2</v>
      </c>
      <c r="K63" s="846">
        <v>0</v>
      </c>
      <c r="L63" s="816" t="str">
        <f t="shared" si="30"/>
        <v>W</v>
      </c>
      <c r="M63" s="816">
        <f t="shared" si="31"/>
        <v>2</v>
      </c>
      <c r="N63" s="816" t="str">
        <f t="shared" si="32"/>
        <v>U</v>
      </c>
      <c r="O63" s="816">
        <f t="shared" si="57"/>
        <v>-0.5</v>
      </c>
      <c r="P63" s="829">
        <f t="shared" si="58"/>
        <v>1</v>
      </c>
      <c r="Q63" s="830">
        <v>0.68</v>
      </c>
      <c r="R63" s="871">
        <f t="shared" si="42"/>
        <v>1.3199999999999998</v>
      </c>
      <c r="S63" s="830">
        <v>2.4500000000000002</v>
      </c>
      <c r="T63" s="871">
        <f t="shared" si="25"/>
        <v>-0.45000000000000018</v>
      </c>
      <c r="U63" s="868">
        <f t="shared" si="61"/>
        <v>1.5650000000000002</v>
      </c>
      <c r="V63" s="868">
        <f t="shared" si="62"/>
        <v>0.88500000000000001</v>
      </c>
      <c r="W63" s="829">
        <v>23</v>
      </c>
      <c r="X63" s="829">
        <v>20</v>
      </c>
      <c r="Y63" s="829">
        <v>10</v>
      </c>
      <c r="Z63" s="829">
        <v>3</v>
      </c>
      <c r="AA63" s="829">
        <v>51</v>
      </c>
      <c r="AB63" s="829">
        <v>49</v>
      </c>
      <c r="AC63" s="829"/>
      <c r="AD63" s="816" t="str">
        <f t="array" ref="AD63">IF($J63="","",IF(SUM(IF(ISNUMBER(VALUE(RIGHT($AG63:$CI63,1))),VALUE(RIGHT($AG63:$CI63,1)),0))=$J63,"T","F"))</f>
        <v>T</v>
      </c>
      <c r="AE63" s="831">
        <f t="array" ref="AE63">IF($J63="","",SUM(IF(LEFT($AG63:$DU63,1)="s",1,0))-SUM(IF(RIGHT(LEFT($AG63:$DU63,2))="-",1,0)))</f>
        <v>0</v>
      </c>
      <c r="AF63" s="816">
        <f t="array" ref="AF63">IF($J63="","",SUM(IF(LEFT($AG63:$DA63,1)="X",1,0)))</f>
        <v>11</v>
      </c>
      <c r="AG63" s="891" t="s">
        <v>34</v>
      </c>
      <c r="AH63" s="891" t="s">
        <v>1877</v>
      </c>
      <c r="AI63" s="891" t="s">
        <v>32</v>
      </c>
      <c r="AJ63" s="891" t="s">
        <v>32</v>
      </c>
      <c r="AK63" s="891" t="s">
        <v>32</v>
      </c>
      <c r="AL63" s="891" t="s">
        <v>36</v>
      </c>
      <c r="AM63" s="891" t="s">
        <v>35</v>
      </c>
      <c r="AN63" s="891" t="s">
        <v>34</v>
      </c>
      <c r="AO63" s="891" t="s">
        <v>3518</v>
      </c>
      <c r="AP63" s="891" t="s">
        <v>34</v>
      </c>
      <c r="AQ63" s="891" t="s">
        <v>32</v>
      </c>
      <c r="AR63" s="904" t="s">
        <v>34</v>
      </c>
      <c r="AS63" s="891" t="s">
        <v>1886</v>
      </c>
      <c r="AT63" s="891" t="s">
        <v>32</v>
      </c>
      <c r="AU63" s="891" t="s">
        <v>3518</v>
      </c>
      <c r="AV63" s="891" t="s">
        <v>35</v>
      </c>
      <c r="AW63" s="891" t="s">
        <v>34</v>
      </c>
      <c r="AX63" s="891" t="s">
        <v>1877</v>
      </c>
      <c r="AY63" s="891" t="s">
        <v>32</v>
      </c>
      <c r="AZ63" s="891" t="s">
        <v>3519</v>
      </c>
      <c r="BA63" s="891" t="s">
        <v>32</v>
      </c>
      <c r="BB63" s="891" t="s">
        <v>34</v>
      </c>
      <c r="BC63" s="891" t="s">
        <v>1877</v>
      </c>
      <c r="BD63" s="891" t="s">
        <v>32</v>
      </c>
      <c r="BE63" s="891" t="s">
        <v>32</v>
      </c>
      <c r="BF63" s="891" t="s">
        <v>36</v>
      </c>
      <c r="BG63" s="891" t="s">
        <v>3516</v>
      </c>
      <c r="BH63" s="891" t="s">
        <v>32</v>
      </c>
      <c r="BI63" s="891" t="s">
        <v>36</v>
      </c>
      <c r="BJ63" s="891" t="s">
        <v>1877</v>
      </c>
      <c r="BK63" s="891" t="s">
        <v>34</v>
      </c>
      <c r="BL63" s="891"/>
      <c r="BM63" s="891"/>
      <c r="BN63" s="910"/>
      <c r="BO63" s="891"/>
      <c r="BP63" s="891"/>
      <c r="BQ63" s="891"/>
      <c r="BR63" s="891"/>
      <c r="BS63" s="896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</row>
    <row r="64" spans="1:93" ht="15">
      <c r="A64" s="882">
        <v>6525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13</v>
      </c>
      <c r="G64" s="879" t="s">
        <v>884</v>
      </c>
      <c r="H64" s="879" t="s">
        <v>22</v>
      </c>
      <c r="I64" s="879" t="s">
        <v>891</v>
      </c>
      <c r="J64" s="846">
        <v>1</v>
      </c>
      <c r="K64" s="846">
        <v>1</v>
      </c>
      <c r="L64" s="816" t="str">
        <f t="shared" si="30"/>
        <v>D</v>
      </c>
      <c r="M64" s="816">
        <f t="shared" si="31"/>
        <v>2</v>
      </c>
      <c r="N64" s="816" t="str">
        <f t="shared" si="32"/>
        <v>U</v>
      </c>
      <c r="O64" s="816">
        <f t="shared" si="57"/>
        <v>-0.5</v>
      </c>
      <c r="P64" s="829">
        <f t="shared" si="58"/>
        <v>-1</v>
      </c>
      <c r="Q64" s="830">
        <v>0.53</v>
      </c>
      <c r="R64" s="871">
        <f t="shared" si="42"/>
        <v>-0.53</v>
      </c>
      <c r="S64" s="830">
        <v>2.6</v>
      </c>
      <c r="T64" s="871">
        <f t="shared" si="25"/>
        <v>-0.60000000000000009</v>
      </c>
      <c r="U64" s="868">
        <f t="shared" si="61"/>
        <v>1.5649999999999999</v>
      </c>
      <c r="V64" s="868">
        <f t="shared" si="62"/>
        <v>1.0350000000000001</v>
      </c>
      <c r="W64" s="829">
        <v>18</v>
      </c>
      <c r="X64" s="829">
        <v>17</v>
      </c>
      <c r="Y64" s="829">
        <v>7</v>
      </c>
      <c r="Z64" s="829">
        <v>4</v>
      </c>
      <c r="AA64" s="829">
        <v>51</v>
      </c>
      <c r="AB64" s="829">
        <v>49</v>
      </c>
      <c r="AC64" s="829"/>
      <c r="AD64" s="816" t="str">
        <f t="array" ref="AD64">IF($J64="","",IF(SUM(IF(ISNUMBER(VALUE(RIGHT($AG64:$CI64,1))),VALUE(RIGHT($AG64:$CI64,1)),0))=$J64,"T","F"))</f>
        <v>T</v>
      </c>
      <c r="AE64" s="831">
        <f t="array" ref="AE64">IF($J64="","",SUM(IF(LEFT($AG64:$DU64,1)="s",1,0))-SUM(IF(RIGHT(LEFT($AG64:$DU64,2))="-",1,0)))</f>
        <v>0</v>
      </c>
      <c r="AF64" s="816">
        <f t="array" ref="AF64">IF($J64="","",SUM(IF(LEFT($AG64:$DA64,1)="X",1,0)))</f>
        <v>11</v>
      </c>
      <c r="AG64" s="891" t="s">
        <v>34</v>
      </c>
      <c r="AH64" s="891" t="s">
        <v>1877</v>
      </c>
      <c r="AI64" s="891" t="s">
        <v>32</v>
      </c>
      <c r="AJ64" s="891" t="s">
        <v>32</v>
      </c>
      <c r="AK64" s="891" t="s">
        <v>1877</v>
      </c>
      <c r="AL64" s="891" t="s">
        <v>36</v>
      </c>
      <c r="AM64" s="891" t="s">
        <v>32</v>
      </c>
      <c r="AN64" s="891" t="s">
        <v>34</v>
      </c>
      <c r="AO64" s="891" t="s">
        <v>32</v>
      </c>
      <c r="AP64" s="891" t="s">
        <v>34</v>
      </c>
      <c r="AQ64" s="891" t="s">
        <v>32</v>
      </c>
      <c r="AR64" s="891" t="s">
        <v>34</v>
      </c>
      <c r="AS64" s="891" t="s">
        <v>1886</v>
      </c>
      <c r="AT64" s="891" t="s">
        <v>3560</v>
      </c>
      <c r="AU64" s="891" t="s">
        <v>34</v>
      </c>
      <c r="AV64" s="891" t="s">
        <v>34</v>
      </c>
      <c r="AW64" s="891" t="s">
        <v>34</v>
      </c>
      <c r="AX64" s="891" t="s">
        <v>36</v>
      </c>
      <c r="AY64" s="891" t="s">
        <v>32</v>
      </c>
      <c r="AZ64" s="891" t="s">
        <v>35</v>
      </c>
      <c r="BA64" s="891" t="s">
        <v>32</v>
      </c>
      <c r="BB64" s="891" t="s">
        <v>35</v>
      </c>
      <c r="BC64" s="891" t="s">
        <v>32</v>
      </c>
      <c r="BD64" s="891" t="s">
        <v>32</v>
      </c>
      <c r="BE64" s="891" t="s">
        <v>32</v>
      </c>
      <c r="BF64" s="891" t="s">
        <v>1877</v>
      </c>
      <c r="BG64" s="891" t="s">
        <v>3559</v>
      </c>
      <c r="BH64" s="891" t="s">
        <v>32</v>
      </c>
      <c r="BI64" s="891" t="s">
        <v>1877</v>
      </c>
      <c r="BJ64" s="891" t="s">
        <v>1877</v>
      </c>
      <c r="BK64" s="891" t="s">
        <v>34</v>
      </c>
      <c r="BL64" s="891"/>
      <c r="BM64" s="891"/>
      <c r="BN64" s="910"/>
      <c r="BO64" s="891"/>
      <c r="BP64" s="891"/>
      <c r="BQ64" s="891"/>
      <c r="BR64" s="891"/>
      <c r="BS64" s="897"/>
      <c r="BT64" s="897"/>
      <c r="BU64" s="897"/>
      <c r="BV64" s="897"/>
      <c r="BW64" s="897"/>
      <c r="BX64" s="896"/>
      <c r="BY64" s="896"/>
      <c r="BZ64" s="896"/>
      <c r="CA64" s="896"/>
      <c r="CB64" s="896"/>
      <c r="CC64" s="896"/>
      <c r="CD64" s="896"/>
    </row>
    <row r="65" spans="1:82" ht="15">
      <c r="A65" s="882">
        <v>6533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6</v>
      </c>
      <c r="G65" s="879" t="s">
        <v>876</v>
      </c>
      <c r="H65" s="879" t="s">
        <v>18</v>
      </c>
      <c r="I65" s="879" t="s">
        <v>891</v>
      </c>
      <c r="J65" s="846">
        <v>1</v>
      </c>
      <c r="K65" s="846">
        <v>2</v>
      </c>
      <c r="L65" s="816" t="str">
        <f t="shared" si="30"/>
        <v>L</v>
      </c>
      <c r="M65" s="816">
        <f t="shared" si="31"/>
        <v>3</v>
      </c>
      <c r="N65" s="816" t="str">
        <f t="shared" si="32"/>
        <v>O</v>
      </c>
      <c r="O65" s="816">
        <f t="shared" si="57"/>
        <v>0.75</v>
      </c>
      <c r="P65" s="829">
        <f t="shared" si="58"/>
        <v>-0.5</v>
      </c>
      <c r="Q65" s="830">
        <v>-0.88</v>
      </c>
      <c r="R65" s="871">
        <f t="shared" si="42"/>
        <v>-0.12</v>
      </c>
      <c r="S65" s="830">
        <v>3.13</v>
      </c>
      <c r="T65" s="871">
        <f t="shared" si="25"/>
        <v>-0.12999999999999989</v>
      </c>
      <c r="U65" s="868">
        <f t="shared" si="61"/>
        <v>1.125</v>
      </c>
      <c r="V65" s="868">
        <f t="shared" si="62"/>
        <v>2.0049999999999999</v>
      </c>
      <c r="W65" s="829">
        <v>7</v>
      </c>
      <c r="X65" s="829">
        <v>19</v>
      </c>
      <c r="Y65" s="829">
        <v>0</v>
      </c>
      <c r="Z65" s="829">
        <v>5</v>
      </c>
      <c r="AA65" s="829">
        <v>42</v>
      </c>
      <c r="AB65" s="829">
        <v>58</v>
      </c>
      <c r="AC65" s="829"/>
      <c r="AD65" s="816" t="str">
        <f t="array" ref="AD65">IF($J65="","",IF(SUM(IF(ISNUMBER(VALUE(RIGHT($AG65:$CI65,1))),VALUE(RIGHT($AG65:$CI65,1)),0))=$J65,"T","F"))</f>
        <v>T</v>
      </c>
      <c r="AE65" s="831">
        <f t="array" ref="AE65">IF($J65="","",SUM(IF(LEFT($AG65:$DU65,1)="s",1,0))-SUM(IF(RIGHT(LEFT($AG65:$DU65,2))="-",1,0)))</f>
        <v>0</v>
      </c>
      <c r="AF65" s="816">
        <f t="array" ref="AF65">IF($J65="","",SUM(IF(LEFT($AG65:$DA65,1)="X",1,0)))</f>
        <v>11</v>
      </c>
      <c r="AG65" s="891" t="s">
        <v>34</v>
      </c>
      <c r="AH65" s="891" t="s">
        <v>1877</v>
      </c>
      <c r="AI65" s="891" t="s">
        <v>32</v>
      </c>
      <c r="AJ65" s="891" t="s">
        <v>32</v>
      </c>
      <c r="AK65" s="891" t="s">
        <v>32</v>
      </c>
      <c r="AL65" s="891" t="s">
        <v>1877</v>
      </c>
      <c r="AM65" s="904" t="s">
        <v>36</v>
      </c>
      <c r="AN65" s="904" t="s">
        <v>34</v>
      </c>
      <c r="AO65" s="891" t="s">
        <v>32</v>
      </c>
      <c r="AP65" s="904" t="s">
        <v>35</v>
      </c>
      <c r="AQ65" s="891" t="s">
        <v>32</v>
      </c>
      <c r="AR65" s="891" t="s">
        <v>34</v>
      </c>
      <c r="AS65" s="891" t="s">
        <v>1886</v>
      </c>
      <c r="AT65" s="891" t="s">
        <v>3573</v>
      </c>
      <c r="AU65" s="891" t="s">
        <v>34</v>
      </c>
      <c r="AV65" s="904" t="s">
        <v>34</v>
      </c>
      <c r="AW65" s="891" t="s">
        <v>35</v>
      </c>
      <c r="AX65" s="891" t="s">
        <v>32</v>
      </c>
      <c r="AY65" s="891" t="s">
        <v>32</v>
      </c>
      <c r="AZ65" s="891" t="s">
        <v>34</v>
      </c>
      <c r="BA65" s="891" t="s">
        <v>32</v>
      </c>
      <c r="BB65" s="891" t="s">
        <v>35</v>
      </c>
      <c r="BC65" s="891" t="s">
        <v>32</v>
      </c>
      <c r="BD65" s="891" t="s">
        <v>1877</v>
      </c>
      <c r="BE65" s="891" t="s">
        <v>32</v>
      </c>
      <c r="BF65" s="891" t="s">
        <v>36</v>
      </c>
      <c r="BG65" s="891" t="s">
        <v>34</v>
      </c>
      <c r="BH65" s="891" t="s">
        <v>1877</v>
      </c>
      <c r="BI65" s="891" t="s">
        <v>32</v>
      </c>
      <c r="BJ65" s="891" t="s">
        <v>36</v>
      </c>
      <c r="BK65" s="904" t="s">
        <v>34</v>
      </c>
      <c r="BL65" s="891">
        <v>1</v>
      </c>
      <c r="BM65" s="891"/>
      <c r="BN65" s="910"/>
      <c r="BO65" s="891"/>
      <c r="BP65" s="891"/>
      <c r="BQ65" s="891"/>
      <c r="BR65" s="891"/>
      <c r="BS65" s="897"/>
      <c r="BT65" s="897"/>
      <c r="BU65" s="897"/>
      <c r="BV65" s="897"/>
      <c r="BW65" s="897"/>
      <c r="BX65" s="896"/>
      <c r="BY65" s="896"/>
      <c r="BZ65" s="896"/>
      <c r="CA65" s="896"/>
      <c r="CB65" s="896"/>
      <c r="CC65" s="896"/>
      <c r="CD65" s="896"/>
    </row>
    <row r="66" spans="1:82" ht="15">
      <c r="A66" s="881"/>
      <c r="B66" s="884"/>
      <c r="C66" s="884"/>
      <c r="D66" s="884" t="str">
        <f>IF(I66=Table!$C$1,VLOOKUP(G66,Table!$B$38:$AO$61,Table!$AO$35-1,FALSE),"")</f>
        <v/>
      </c>
      <c r="E66" s="884"/>
      <c r="F66" s="884" t="str">
        <f>IF(I66="","",IF(I66=Table!$C$1,VLOOKUP(G66,Table!$B$9:$AE$32,Table!$AE$6-1,FALSE),""))</f>
        <v/>
      </c>
      <c r="G66" s="879"/>
      <c r="H66" s="879"/>
      <c r="I66" s="879"/>
      <c r="J66" s="428"/>
      <c r="K66" s="428"/>
      <c r="T66" s="871" t="str">
        <f t="shared" si="25"/>
        <v/>
      </c>
      <c r="U66" s="868" t="str">
        <f t="shared" si="61"/>
        <v/>
      </c>
      <c r="V66" s="868" t="str">
        <f t="shared" si="62"/>
        <v/>
      </c>
      <c r="W66" s="829"/>
      <c r="X66" s="829"/>
      <c r="Y66" s="829"/>
      <c r="Z66" s="829"/>
      <c r="AA66" s="829"/>
      <c r="AB66" s="829"/>
      <c r="AC66" s="829"/>
      <c r="AD66" s="816" t="str">
        <f t="array" ref="AD66">IF($J66="","",IF(SUM(IF(ISNUMBER(VALUE(RIGHT($AG66:$CI66,1))),VALUE(RIGHT($AG66:$CI66,1)),0))=$J66,"T","F"))</f>
        <v/>
      </c>
      <c r="AE66" s="831" t="str">
        <f t="array" ref="AE66">IF($J66="","",SUM(IF(LEFT($AG66:$DU66,1)="s",1,0))-SUM(IF(RIGHT(LEFT($AG66:$DU66,2))="-",1,0)))</f>
        <v/>
      </c>
      <c r="AF66" s="816" t="str">
        <f t="array" ref="AF66">IF($J66="","",SUM(IF(LEFT($AG66:$DA66,1)="X",1,0)))</f>
        <v/>
      </c>
      <c r="AG66" s="891"/>
      <c r="AH66" s="891"/>
      <c r="AI66" s="891"/>
      <c r="AJ66" s="891"/>
      <c r="AK66" s="891"/>
      <c r="AL66" s="891"/>
      <c r="AM66" s="891"/>
      <c r="AN66" s="891"/>
      <c r="AO66" s="891"/>
      <c r="AP66" s="891"/>
      <c r="AQ66" s="891"/>
      <c r="AR66" s="891"/>
      <c r="AS66" s="891"/>
      <c r="AT66" s="891"/>
      <c r="AU66" s="891"/>
      <c r="AV66" s="891"/>
      <c r="AW66" s="891"/>
      <c r="AX66" s="891"/>
      <c r="AY66" s="891"/>
      <c r="AZ66" s="891"/>
      <c r="BA66" s="891"/>
      <c r="BB66" s="891"/>
      <c r="BC66" s="891"/>
      <c r="BD66" s="891"/>
      <c r="BE66" s="891"/>
      <c r="BF66" s="891"/>
      <c r="BG66" s="891"/>
      <c r="BH66" s="891"/>
      <c r="BI66" s="891"/>
      <c r="BJ66" s="891"/>
      <c r="BK66" s="891"/>
      <c r="BL66" s="891"/>
      <c r="BM66" s="891"/>
      <c r="BN66" s="891"/>
      <c r="BO66" s="891"/>
      <c r="BP66" s="891"/>
      <c r="BQ66" s="891"/>
      <c r="BR66" s="891"/>
      <c r="BS66" s="897"/>
      <c r="BT66" s="897"/>
      <c r="BU66" s="897"/>
      <c r="BV66" s="897"/>
      <c r="BW66" s="897"/>
      <c r="BX66" s="896"/>
      <c r="BY66" s="896"/>
      <c r="BZ66" s="896"/>
      <c r="CA66" s="896"/>
      <c r="CB66" s="896"/>
      <c r="CC66" s="896"/>
      <c r="CD66" s="896"/>
    </row>
    <row r="67" spans="1:82" ht="15">
      <c r="A67" s="843"/>
      <c r="B67" s="894"/>
      <c r="C67" s="894"/>
      <c r="D67" s="894"/>
      <c r="E67" s="894"/>
      <c r="F67" s="894"/>
      <c r="G67" s="828"/>
      <c r="H67" s="828"/>
      <c r="I67" s="828"/>
      <c r="J67" s="428"/>
      <c r="K67" s="428"/>
      <c r="T67" s="871" t="str">
        <f t="shared" ref="T67" si="63">IF(ISBLANK(S67),"",J67+K67-S67)</f>
        <v/>
      </c>
      <c r="U67" s="868" t="str">
        <f t="shared" ref="U67" si="64">IF(Q67="","",(Q67+S67)/2)</f>
        <v/>
      </c>
      <c r="V67" s="868" t="str">
        <f t="shared" ref="V67" si="65">IF(Q67="","",S67-U67)</f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IF($J67="","",IF(SUM(IF(ISNUMBER(VALUE(RIGHT($AG67:$CI67,1))),VALUE(RIGHT($AG67:$CI67,1)),0))=$J67,"T","F"))</f>
        <v/>
      </c>
      <c r="AE67" s="831" t="str">
        <f t="array" ref="AE67">IF($J67="","",SUM(IF(LEFT($AG67:$DU67,1)="s",1,0))-SUM(IF(RIGHT(LEFT($AG67:$DU67,2))="-",1,0)))</f>
        <v/>
      </c>
      <c r="AF67" s="816" t="str">
        <f t="array" ref="AF67">IF($J67="","",SUM(IF(LEFT($AG67:$DA67,1)="X",1,0)))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7"/>
      <c r="BT67" s="897"/>
      <c r="BU67" s="897"/>
      <c r="BV67" s="897"/>
      <c r="BW67" s="897"/>
      <c r="BX67" s="896"/>
      <c r="BY67" s="896"/>
      <c r="BZ67" s="896"/>
      <c r="CA67" s="896"/>
      <c r="CB67" s="896"/>
      <c r="CC67" s="896"/>
      <c r="CD67" s="896"/>
    </row>
    <row r="68" spans="1:82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5"/>
        <v/>
      </c>
      <c r="U68" s="868" t="str">
        <f t="shared" si="61"/>
        <v/>
      </c>
      <c r="V68" s="868" t="str">
        <f t="shared" si="62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IF($J68="","",IF(SUM(IF(ISNUMBER(VALUE(RIGHT($AG68:$CI68,1))),VALUE(RIGHT($AG68:$CI68,1)),0))=$J68,"T","F"))</f>
        <v/>
      </c>
      <c r="AE68" s="831" t="str">
        <f t="array" ref="AE68">IF($J68="","",SUM(IF(LEFT($AG68:$DU68,1)="s",1,0))-SUM(IF(RIGHT(LEFT($AG68:$DU68,2))="-",1,0)))</f>
        <v/>
      </c>
      <c r="AF68" s="816" t="str">
        <f t="array" ref="AF68">IF($J68="","",SUM(IF(LEFT($AG68:$DA68,1)="X",1,0)))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7"/>
      <c r="BT68" s="897"/>
      <c r="BU68" s="897"/>
      <c r="BV68" s="897"/>
      <c r="BW68" s="897"/>
      <c r="BX68" s="896"/>
      <c r="BY68" s="896"/>
      <c r="BZ68" s="896"/>
      <c r="CA68" s="896"/>
      <c r="CB68" s="896"/>
      <c r="CC68" s="896"/>
      <c r="CD68" s="896"/>
    </row>
    <row r="69" spans="1:82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 t="str">
        <f>IF(I69="","",IF(I69=Table!$C$1,VLOOKUP(G69,Table!$B$9:$AE$32,Table!$AE$6-1,FALSE),""))</f>
        <v/>
      </c>
      <c r="G69" s="879"/>
      <c r="H69" s="879"/>
      <c r="I69" s="879"/>
      <c r="J69" s="428"/>
      <c r="K69" s="428"/>
      <c r="T69" s="871" t="str">
        <f t="shared" si="25"/>
        <v/>
      </c>
      <c r="U69" s="868" t="str">
        <f t="shared" si="61"/>
        <v/>
      </c>
      <c r="V69" s="868" t="str">
        <f t="shared" si="62"/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IF($J69="","",IF(SUM(IF(ISNUMBER(VALUE(RIGHT($AG69:$CI69,1))),VALUE(RIGHT($AG69:$CI69,1)),0))=$J69,"T","F"))</f>
        <v/>
      </c>
      <c r="AE69" s="831" t="str">
        <f t="array" ref="AE69">IF($J69="","",SUM(IF(LEFT($AG69:$DU69,1)="s",1,0))-SUM(IF(RIGHT(LEFT($AG69:$DU69,2))="-",1,0)))</f>
        <v/>
      </c>
      <c r="AF69" s="816" t="str">
        <f t="array" ref="AF69">IF($J69="","",SUM(IF(LEFT($AG69:$DA69,1)="X",1,0)))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7"/>
      <c r="BT69" s="897"/>
      <c r="BU69" s="897"/>
      <c r="BV69" s="897"/>
      <c r="BW69" s="897"/>
      <c r="BX69" s="896"/>
      <c r="BY69" s="896"/>
      <c r="BZ69" s="896"/>
      <c r="CA69" s="896"/>
      <c r="CB69" s="896"/>
      <c r="CC69" s="896"/>
      <c r="CD69" s="896"/>
    </row>
    <row r="70" spans="1:82" ht="15">
      <c r="A70" s="843"/>
      <c r="E70" s="816"/>
      <c r="G70" s="828"/>
      <c r="H70" s="828"/>
      <c r="I70" s="828"/>
      <c r="J70" s="428"/>
      <c r="K70" s="428"/>
      <c r="T70" s="829"/>
      <c r="U70" s="829"/>
      <c r="V70" s="829"/>
      <c r="W70" s="829"/>
      <c r="X70" s="829"/>
      <c r="Y70" s="829"/>
      <c r="Z70" s="829"/>
      <c r="AA70" s="829"/>
      <c r="AB70" s="829"/>
      <c r="AC70" s="829"/>
      <c r="AE70" s="831"/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7"/>
      <c r="BT70" s="897"/>
      <c r="BU70" s="897"/>
      <c r="BV70" s="897"/>
      <c r="BW70" s="897"/>
      <c r="BX70" s="896"/>
      <c r="BY70" s="896"/>
      <c r="BZ70" s="896"/>
      <c r="CA70" s="896"/>
      <c r="CB70" s="896"/>
      <c r="CC70" s="896"/>
      <c r="CD70" s="896"/>
    </row>
    <row r="71" spans="1:82" ht="15">
      <c r="A71" s="843"/>
      <c r="E71" s="816"/>
      <c r="G71" s="828"/>
      <c r="H71" s="828"/>
      <c r="I71" s="828"/>
      <c r="J71" s="428"/>
      <c r="K71" s="428"/>
      <c r="T71" s="829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6"/>
      <c r="AH71" s="896"/>
      <c r="AI71" s="896"/>
      <c r="AJ71" s="896"/>
      <c r="AK71" s="893"/>
      <c r="AL71" s="896"/>
      <c r="AM71" s="896"/>
      <c r="AN71" s="896"/>
      <c r="AO71" s="896"/>
      <c r="AP71" s="896"/>
      <c r="AQ71" s="896"/>
      <c r="AR71" s="896"/>
      <c r="AS71" s="896"/>
      <c r="AT71" s="896"/>
      <c r="AU71" s="896"/>
      <c r="AV71" s="896"/>
      <c r="AW71" s="896"/>
      <c r="AX71" s="896"/>
      <c r="AY71" s="896"/>
      <c r="AZ71" s="896"/>
      <c r="BA71" s="896"/>
      <c r="BB71" s="893"/>
      <c r="BC71" s="893"/>
      <c r="BD71" s="893"/>
      <c r="BE71" s="893"/>
      <c r="BF71" s="896"/>
      <c r="BG71" s="896"/>
      <c r="BH71" s="896"/>
      <c r="BI71" s="893"/>
      <c r="BJ71" s="896"/>
      <c r="BK71" s="896"/>
      <c r="BL71" s="896"/>
      <c r="BM71" s="893"/>
      <c r="BN71" s="896"/>
      <c r="BO71" s="896"/>
      <c r="BP71" s="893"/>
      <c r="BQ71" s="896"/>
      <c r="BR71" s="896"/>
      <c r="BS71" s="897"/>
      <c r="BT71" s="897"/>
      <c r="BU71" s="897"/>
      <c r="BV71" s="897"/>
      <c r="BW71" s="897"/>
      <c r="BX71" s="896"/>
      <c r="BY71" s="896"/>
      <c r="BZ71" s="896"/>
      <c r="CA71" s="896"/>
      <c r="CB71" s="896"/>
      <c r="CC71" s="896"/>
      <c r="CD71" s="896"/>
    </row>
    <row r="72" spans="1:82" ht="15">
      <c r="A72" s="843"/>
      <c r="E72" s="816"/>
      <c r="G72" s="828"/>
      <c r="H72" s="828"/>
      <c r="I72" s="828"/>
      <c r="J72" s="428"/>
      <c r="K72" s="428"/>
      <c r="T72" s="829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6"/>
      <c r="AH72" s="896"/>
      <c r="AI72" s="896"/>
      <c r="AJ72" s="896"/>
      <c r="AK72" s="893"/>
      <c r="AL72" s="896"/>
      <c r="AM72" s="896"/>
      <c r="AN72" s="896"/>
      <c r="AO72" s="896"/>
      <c r="AP72" s="896"/>
      <c r="AQ72" s="896"/>
      <c r="AR72" s="896"/>
      <c r="AS72" s="896"/>
      <c r="AT72" s="896"/>
      <c r="AU72" s="896"/>
      <c r="AV72" s="896"/>
      <c r="AW72" s="896"/>
      <c r="AX72" s="896"/>
      <c r="AY72" s="896"/>
      <c r="AZ72" s="896"/>
      <c r="BA72" s="896"/>
      <c r="BB72" s="893"/>
      <c r="BC72" s="893"/>
      <c r="BD72" s="893"/>
      <c r="BE72" s="893"/>
      <c r="BF72" s="896"/>
      <c r="BG72" s="896"/>
      <c r="BH72" s="896"/>
      <c r="BI72" s="893"/>
      <c r="BJ72" s="896"/>
      <c r="BK72" s="896"/>
      <c r="BL72" s="896"/>
      <c r="BM72" s="893"/>
      <c r="BN72" s="896"/>
      <c r="BO72" s="896"/>
      <c r="BP72" s="893"/>
      <c r="BQ72" s="896"/>
      <c r="BR72" s="896"/>
      <c r="BS72" s="897"/>
      <c r="BT72" s="897"/>
      <c r="BU72" s="897"/>
      <c r="BV72" s="897"/>
      <c r="BW72" s="897"/>
      <c r="BX72" s="896"/>
      <c r="BY72" s="896"/>
      <c r="BZ72" s="896"/>
      <c r="CA72" s="896"/>
      <c r="CB72" s="896"/>
      <c r="CC72" s="896"/>
      <c r="CD72" s="896"/>
    </row>
    <row r="73" spans="1:82" ht="15">
      <c r="A73" s="843"/>
      <c r="D73" s="816" t="str">
        <f>IF(I73=Table!$C$1,VLOOKUP(G73,Table!$B$38:$AO$61,Table!$AO$35-1,FALSE),"")</f>
        <v/>
      </c>
      <c r="E73" s="816"/>
      <c r="F73" s="816" t="str">
        <f>IF(I73="","",IF(I73=Table!$C$1,VLOOKUP(G73,Table!$B$9:$AE$32,Table!$AE$6-1,FALSE),""))</f>
        <v/>
      </c>
      <c r="G73" s="828"/>
      <c r="H73" s="828"/>
      <c r="I73" s="828"/>
      <c r="J73" s="428"/>
      <c r="K73" s="428"/>
      <c r="L73" s="816" t="str">
        <f t="shared" ref="L73:L130" si="66">IF(J73="","",IF(J73&gt;K73,"W",IF(J73=K73,"D",IF(J73&lt;K73,"L"))))</f>
        <v/>
      </c>
      <c r="M73" s="816" t="str">
        <f t="shared" ref="M73:M130" si="67">IF(J73="","",J73+K73)</f>
        <v/>
      </c>
      <c r="N73" s="816" t="str">
        <f t="shared" ref="N73:N130" si="68">IF($J73="","",IF($M73&gt;N$19,"O",IF($M73&lt;N$19,"U",IF($M73=N$19,"-"))))</f>
        <v/>
      </c>
      <c r="R73" s="816" t="str">
        <f t="shared" ref="R73:R130" si="69">IF(ISBLANK(Q73),"",J73-K73-Q73)</f>
        <v/>
      </c>
      <c r="T73" s="829" t="str">
        <f t="shared" ref="T73:T130" si="70">IF(ISBLANK(S73),"",J73+K73-S73)</f>
        <v/>
      </c>
      <c r="U73" s="829"/>
      <c r="V73" s="829"/>
      <c r="W73" s="829"/>
      <c r="X73" s="829"/>
      <c r="Y73" s="829"/>
      <c r="Z73" s="829"/>
      <c r="AA73" s="829"/>
      <c r="AB73" s="829"/>
      <c r="AC73" s="829"/>
      <c r="AD73" s="816" t="str">
        <f t="array" ref="AD73">IF($J73="","",IF(SUM(IF(ISNUMBER(VALUE(RIGHT($AG73:$CI73,1))),VALUE(RIGHT($AG73:$CI73,1)),0))=$J73,"T","F"))</f>
        <v/>
      </c>
      <c r="AE73" s="831" t="str">
        <f t="array" ref="AE73">IF($J73="","",SUM(IF(LEFT($AG73:$DU73,1)="s",1,0))-SUM(IF(RIGHT(LEFT($AG73:$DU73,2))="-",1,0)))</f>
        <v/>
      </c>
      <c r="AF73" s="816" t="str">
        <f t="array" ref="AF73">IF($J73="","",SUM(IF(LEFT($AG73:$DA73,1)="X",1,0)))</f>
        <v/>
      </c>
      <c r="AG73" s="897"/>
      <c r="AH73" s="897"/>
      <c r="AI73" s="897"/>
      <c r="AJ73" s="897"/>
      <c r="AK73" s="893"/>
      <c r="AL73" s="897"/>
      <c r="AM73" s="897"/>
      <c r="AN73" s="897"/>
      <c r="AO73" s="897"/>
      <c r="AP73" s="897"/>
      <c r="AQ73" s="897"/>
      <c r="AR73" s="897"/>
      <c r="AS73" s="897"/>
      <c r="AT73" s="897"/>
      <c r="AU73" s="897"/>
      <c r="AV73" s="897"/>
      <c r="AW73" s="897"/>
      <c r="AX73" s="897"/>
      <c r="AY73" s="897"/>
      <c r="AZ73" s="897"/>
      <c r="BA73" s="897"/>
      <c r="BB73" s="893"/>
      <c r="BC73" s="893"/>
      <c r="BD73" s="893"/>
      <c r="BE73" s="893"/>
      <c r="BF73" s="897"/>
      <c r="BG73" s="897"/>
      <c r="BH73" s="897"/>
      <c r="BI73" s="893"/>
      <c r="BJ73" s="897"/>
      <c r="BK73" s="897"/>
      <c r="BL73" s="897"/>
      <c r="BM73" s="893"/>
      <c r="BN73" s="897"/>
      <c r="BO73" s="897"/>
      <c r="BP73" s="893"/>
      <c r="BQ73" s="897"/>
      <c r="BR73" s="897"/>
      <c r="BS73" s="897"/>
      <c r="BT73" s="897"/>
      <c r="BU73" s="897"/>
      <c r="BV73" s="897"/>
      <c r="BW73" s="897"/>
      <c r="BX73" s="897"/>
      <c r="BY73" s="897"/>
      <c r="BZ73" s="897"/>
      <c r="CA73" s="897"/>
      <c r="CB73" s="897"/>
      <c r="CC73" s="897"/>
      <c r="CD73" s="897"/>
    </row>
    <row r="74" spans="1:82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si="66"/>
        <v/>
      </c>
      <c r="M74" s="816" t="str">
        <f t="shared" si="67"/>
        <v/>
      </c>
      <c r="N74" s="816" t="str">
        <f t="shared" si="68"/>
        <v/>
      </c>
      <c r="R74" s="816" t="str">
        <f t="shared" si="69"/>
        <v/>
      </c>
      <c r="T74" s="829" t="str">
        <f t="shared" si="70"/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IF($J74="","",IF(SUM(IF(ISNUMBER(VALUE(RIGHT($AG74:$CI74,1))),VALUE(RIGHT($AG74:$CI74,1)),0))=$J74,"T","F"))</f>
        <v/>
      </c>
      <c r="AE74" s="831" t="str">
        <f t="array" ref="AE74">IF($J74="","",SUM(IF(LEFT($AG74:$DU74,1)="s",1,0))-SUM(IF(RIGHT(LEFT($AG74:$DU74,2))="-",1,0)))</f>
        <v/>
      </c>
      <c r="AF74" s="816" t="str">
        <f t="array" ref="AF74">IF($J74="","",SUM(IF(LEFT($AG74:$DA74,1)="X",1,0)))</f>
        <v/>
      </c>
      <c r="AG74" s="897"/>
      <c r="AH74" s="897"/>
      <c r="AI74" s="897"/>
      <c r="AJ74" s="897"/>
      <c r="AK74" s="893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3"/>
      <c r="BC74" s="893"/>
      <c r="BD74" s="893"/>
      <c r="BE74" s="893"/>
      <c r="BF74" s="897"/>
      <c r="BG74" s="897"/>
      <c r="BH74" s="897"/>
      <c r="BI74" s="893"/>
      <c r="BJ74" s="897"/>
      <c r="BK74" s="897"/>
      <c r="BL74" s="897"/>
      <c r="BM74" s="893"/>
      <c r="BN74" s="897"/>
      <c r="BO74" s="897"/>
      <c r="BP74" s="893"/>
      <c r="BQ74" s="897"/>
      <c r="BR74" s="897"/>
      <c r="BS74" s="897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</row>
    <row r="75" spans="1:82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66"/>
        <v/>
      </c>
      <c r="M75" s="816" t="str">
        <f t="shared" si="67"/>
        <v/>
      </c>
      <c r="N75" s="816" t="str">
        <f t="shared" si="68"/>
        <v/>
      </c>
      <c r="R75" s="816" t="str">
        <f t="shared" si="69"/>
        <v/>
      </c>
      <c r="T75" s="829" t="str">
        <f t="shared" si="70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IF($J75="","",IF(SUM(IF(ISNUMBER(VALUE(RIGHT($AG75:$CI75,1))),VALUE(RIGHT($AG75:$CI75,1)),0))=$J75,"T","F"))</f>
        <v/>
      </c>
      <c r="AE75" s="831" t="str">
        <f t="array" ref="AE75">IF($J75="","",SUM(IF(LEFT($AG75:$DU75,1)="s",1,0))-SUM(IF(RIGHT(LEFT($AG75:$DU75,2))="-",1,0)))</f>
        <v/>
      </c>
      <c r="AF75" s="816" t="str">
        <f t="array" ref="AF75">IF($J75="","",SUM(IF(LEFT($AG75:$DA75,1)="X",1,0)))</f>
        <v/>
      </c>
      <c r="AG75" s="897"/>
      <c r="AH75" s="897"/>
      <c r="AI75" s="897"/>
      <c r="AJ75" s="897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3"/>
      <c r="BC75" s="893"/>
      <c r="BD75" s="893"/>
      <c r="BE75" s="893"/>
      <c r="BF75" s="897"/>
      <c r="BG75" s="897"/>
      <c r="BH75" s="897"/>
      <c r="BI75" s="893"/>
      <c r="BJ75" s="897"/>
      <c r="BK75" s="897"/>
      <c r="BL75" s="897"/>
      <c r="BM75" s="893"/>
      <c r="BN75" s="897"/>
      <c r="BO75" s="897"/>
      <c r="BP75" s="893"/>
      <c r="BQ75" s="897"/>
      <c r="BR75" s="897"/>
      <c r="BS75" s="897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</row>
    <row r="76" spans="1:82" ht="15">
      <c r="A76" s="844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230"/>
      <c r="H76" s="230"/>
      <c r="I76" s="230"/>
      <c r="J76" s="428"/>
      <c r="K76" s="428"/>
      <c r="L76" s="816" t="str">
        <f t="shared" si="66"/>
        <v/>
      </c>
      <c r="M76" s="816" t="str">
        <f t="shared" si="67"/>
        <v/>
      </c>
      <c r="N76" s="816" t="str">
        <f t="shared" si="68"/>
        <v/>
      </c>
      <c r="R76" s="816" t="str">
        <f t="shared" si="69"/>
        <v/>
      </c>
      <c r="T76" s="829" t="str">
        <f t="shared" si="70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IF($J76="","",IF(SUM(IF(ISNUMBER(VALUE(RIGHT($AG76:$CI76,1))),VALUE(RIGHT($AG76:$CI76,1)),0))=$J76,"T","F"))</f>
        <v/>
      </c>
      <c r="AE76" s="831" t="str">
        <f t="array" ref="AE76">IF($J76="","",SUM(IF(LEFT($AG76:$DU76,1)="s",1,0))-SUM(IF(RIGHT(LEFT($AG76:$DU76,2))="-",1,0)))</f>
        <v/>
      </c>
      <c r="AF76" s="816" t="str">
        <f t="array" ref="AF76">IF($J76="","",SUM(IF(LEFT($AG76:$DA76,1)="X",1,0)))</f>
        <v/>
      </c>
      <c r="AG76" s="897"/>
      <c r="AH76" s="897"/>
      <c r="AI76" s="897"/>
      <c r="AJ76" s="897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3"/>
      <c r="BC76" s="893"/>
      <c r="BD76" s="893"/>
      <c r="BE76" s="893"/>
      <c r="BF76" s="897"/>
      <c r="BG76" s="897"/>
      <c r="BH76" s="897"/>
      <c r="BI76" s="893"/>
      <c r="BJ76" s="897"/>
      <c r="BK76" s="897"/>
      <c r="BL76" s="897"/>
      <c r="BM76" s="893"/>
      <c r="BN76" s="897"/>
      <c r="BO76" s="897"/>
      <c r="BP76" s="893"/>
      <c r="BQ76" s="897"/>
      <c r="BR76" s="897"/>
      <c r="BS76" s="897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</row>
    <row r="77" spans="1:82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428"/>
      <c r="K77" s="428"/>
      <c r="L77" s="816" t="str">
        <f t="shared" si="66"/>
        <v/>
      </c>
      <c r="M77" s="816" t="str">
        <f t="shared" si="67"/>
        <v/>
      </c>
      <c r="N77" s="816" t="str">
        <f t="shared" si="68"/>
        <v/>
      </c>
      <c r="R77" s="816" t="str">
        <f t="shared" si="69"/>
        <v/>
      </c>
      <c r="T77" s="829" t="str">
        <f t="shared" si="70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IF($J77="","",IF(SUM(IF(ISNUMBER(VALUE(RIGHT($AG77:$CI77,1))),VALUE(RIGHT($AG77:$CI77,1)),0))=$J77,"T","F"))</f>
        <v/>
      </c>
      <c r="AE77" s="831" t="str">
        <f t="array" ref="AE77">IF($J77="","",SUM(IF(LEFT($AG77:$DU77,1)="s",1,0))-SUM(IF(RIGHT(LEFT($AG77:$DU77,2))="-",1,0)))</f>
        <v/>
      </c>
      <c r="AF77" s="816" t="str">
        <f t="array" ref="AF77">IF($J77="","",SUM(IF(LEFT($AG77:$DA77,1)="X",1,0)))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3"/>
      <c r="BC77" s="893"/>
      <c r="BD77" s="893"/>
      <c r="BE77" s="893"/>
      <c r="BF77" s="897"/>
      <c r="BG77" s="897"/>
      <c r="BH77" s="897"/>
      <c r="BI77" s="893"/>
      <c r="BJ77" s="897"/>
      <c r="BK77" s="897"/>
      <c r="BL77" s="897"/>
      <c r="BM77" s="893"/>
      <c r="BN77" s="897"/>
      <c r="BO77" s="897"/>
      <c r="BP77" s="893"/>
      <c r="BQ77" s="897"/>
      <c r="BR77" s="897"/>
      <c r="BS77" s="897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</row>
    <row r="78" spans="1:82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230"/>
      <c r="K78" s="230"/>
      <c r="L78" s="816" t="str">
        <f t="shared" si="66"/>
        <v/>
      </c>
      <c r="M78" s="816" t="str">
        <f t="shared" si="67"/>
        <v/>
      </c>
      <c r="N78" s="816" t="str">
        <f t="shared" si="68"/>
        <v/>
      </c>
      <c r="R78" s="816" t="str">
        <f t="shared" si="69"/>
        <v/>
      </c>
      <c r="T78" s="829" t="str">
        <f t="shared" si="70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IF($J78="","",IF(SUM(IF(ISNUMBER(VALUE(RIGHT($AG78:$CI78,1))),VALUE(RIGHT($AG78:$CI78,1)),0))=$J78,"T","F"))</f>
        <v/>
      </c>
      <c r="AE78" s="831" t="str">
        <f t="array" ref="AE78">IF($J78="","",SUM(IF(LEFT($AG78:$DU78,1)="s",1,0))-SUM(IF(RIGHT(LEFT($AG78:$DU78,2))="-",1,0)))</f>
        <v/>
      </c>
      <c r="AF78" s="816" t="str">
        <f t="array" ref="AF78">IF($J78="","",SUM(IF(LEFT($AG78:$DA78,1)="X",1,0)))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3"/>
      <c r="BC78" s="893"/>
      <c r="BD78" s="893"/>
      <c r="BE78" s="893"/>
      <c r="BF78" s="897"/>
      <c r="BG78" s="897"/>
      <c r="BH78" s="897"/>
      <c r="BI78" s="893"/>
      <c r="BJ78" s="897"/>
      <c r="BK78" s="897"/>
      <c r="BL78" s="897"/>
      <c r="BM78" s="893"/>
      <c r="BN78" s="897"/>
      <c r="BO78" s="897"/>
      <c r="BP78" s="893"/>
      <c r="BQ78" s="897"/>
      <c r="BR78" s="897"/>
      <c r="BS78" s="897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</row>
    <row r="79" spans="1:82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6"/>
        <v/>
      </c>
      <c r="M79" s="816" t="str">
        <f t="shared" si="67"/>
        <v/>
      </c>
      <c r="N79" s="816" t="str">
        <f t="shared" si="68"/>
        <v/>
      </c>
      <c r="R79" s="816" t="str">
        <f t="shared" si="69"/>
        <v/>
      </c>
      <c r="T79" s="829" t="str">
        <f t="shared" si="70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IF($J79="","",IF(SUM(IF(ISNUMBER(VALUE(RIGHT($AG79:$CI79,1))),VALUE(RIGHT($AG79:$CI79,1)),0))=$J79,"T","F"))</f>
        <v/>
      </c>
      <c r="AE79" s="831" t="str">
        <f t="array" ref="AE79">IF($J79="","",SUM(IF(LEFT($AG79:$DU79,1)="s",1,0))-SUM(IF(RIGHT(LEFT($AG79:$DU79,2))="-",1,0)))</f>
        <v/>
      </c>
      <c r="AF79" s="816" t="str">
        <f t="array" ref="AF79">IF($J79="","",SUM(IF(LEFT($AG79:$DA79,1)="X",1,0)))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3"/>
      <c r="BC79" s="893"/>
      <c r="BD79" s="893"/>
      <c r="BE79" s="893"/>
      <c r="BF79" s="897"/>
      <c r="BG79" s="897"/>
      <c r="BH79" s="897"/>
      <c r="BI79" s="893"/>
      <c r="BJ79" s="897"/>
      <c r="BK79" s="897"/>
      <c r="BL79" s="897"/>
      <c r="BM79" s="893"/>
      <c r="BN79" s="897"/>
      <c r="BO79" s="897"/>
      <c r="BP79" s="893"/>
      <c r="BQ79" s="897"/>
      <c r="BR79" s="897"/>
      <c r="BS79" s="897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</row>
    <row r="80" spans="1:82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6"/>
        <v/>
      </c>
      <c r="M80" s="816" t="str">
        <f t="shared" si="67"/>
        <v/>
      </c>
      <c r="N80" s="816" t="str">
        <f t="shared" si="68"/>
        <v/>
      </c>
      <c r="R80" s="816" t="str">
        <f t="shared" si="69"/>
        <v/>
      </c>
      <c r="T80" s="829" t="str">
        <f t="shared" si="70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IF($J80="","",IF(SUM(IF(ISNUMBER(VALUE(RIGHT($AG80:$CI80,1))),VALUE(RIGHT($AG80:$CI80,1)),0))=$J80,"T","F"))</f>
        <v/>
      </c>
      <c r="AE80" s="831" t="str">
        <f t="array" ref="AE80">IF($J80="","",SUM(IF(LEFT($AG80:$DU80,1)="s",1,0))-SUM(IF(RIGHT(LEFT($AG80:$DU80,2))="-",1,0)))</f>
        <v/>
      </c>
      <c r="AF80" s="816" t="str">
        <f t="array" ref="AF80">IF($J80="","",SUM(IF(LEFT($AG80:$DA80,1)="X",1,0)))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3"/>
      <c r="BC80" s="893"/>
      <c r="BD80" s="893"/>
      <c r="BE80" s="893"/>
      <c r="BF80" s="897"/>
      <c r="BG80" s="897"/>
      <c r="BH80" s="897"/>
      <c r="BI80" s="893"/>
      <c r="BJ80" s="897"/>
      <c r="BK80" s="897"/>
      <c r="BL80" s="897"/>
      <c r="BM80" s="893"/>
      <c r="BN80" s="897"/>
      <c r="BO80" s="897"/>
      <c r="BP80" s="893"/>
      <c r="BQ80" s="897"/>
      <c r="BR80" s="897"/>
      <c r="BS80" s="897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</row>
    <row r="81" spans="1:82" ht="15">
      <c r="A81" s="844"/>
      <c r="D81" s="816" t="str">
        <f>IF(I81=Table!$C$1,VLOOKUP(G81,Table!$B$38:$AO$61,Table!$AO$35-1,FALSE),"")</f>
        <v/>
      </c>
      <c r="E81" s="816" t="s">
        <v>32</v>
      </c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6"/>
        <v/>
      </c>
      <c r="M81" s="816" t="str">
        <f t="shared" si="67"/>
        <v/>
      </c>
      <c r="N81" s="816" t="str">
        <f t="shared" si="68"/>
        <v/>
      </c>
      <c r="R81" s="816" t="str">
        <f t="shared" si="69"/>
        <v/>
      </c>
      <c r="T81" s="829" t="str">
        <f t="shared" si="70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IF($J81="","",IF(SUM(IF(ISNUMBER(VALUE(RIGHT($AG81:$CI81,1))),VALUE(RIGHT($AG81:$CI81,1)),0))=$J81,"T","F"))</f>
        <v/>
      </c>
      <c r="AE81" s="831" t="str">
        <f t="array" ref="AE81">IF($J81="","",SUM(IF(LEFT($AG81:$DU81,1)="s",1,0))-SUM(IF(RIGHT(LEFT($AG81:$DU81,2))="-",1,0)))</f>
        <v/>
      </c>
      <c r="AF81" s="816" t="str">
        <f t="array" ref="AF81">IF($J81="","",SUM(IF(LEFT($AG81:$DA81,1)="X",1,0)))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3"/>
      <c r="BC81" s="893"/>
      <c r="BD81" s="893"/>
      <c r="BE81" s="893"/>
      <c r="BF81" s="897"/>
      <c r="BG81" s="897"/>
      <c r="BH81" s="897"/>
      <c r="BI81" s="893"/>
      <c r="BJ81" s="897"/>
      <c r="BK81" s="897"/>
      <c r="BL81" s="897"/>
      <c r="BM81" s="893"/>
      <c r="BN81" s="897"/>
      <c r="BO81" s="897"/>
      <c r="BP81" s="893"/>
      <c r="BQ81" s="897"/>
      <c r="BR81" s="897"/>
      <c r="BS81" s="897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</row>
    <row r="82" spans="1:82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6"/>
        <v/>
      </c>
      <c r="M82" s="816" t="str">
        <f t="shared" si="67"/>
        <v/>
      </c>
      <c r="N82" s="816" t="str">
        <f t="shared" si="68"/>
        <v/>
      </c>
      <c r="R82" s="816" t="str">
        <f t="shared" si="69"/>
        <v/>
      </c>
      <c r="T82" s="829" t="str">
        <f t="shared" si="70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IF($J82="","",IF(SUM(IF(ISNUMBER(VALUE(RIGHT($AG82:$CI82,1))),VALUE(RIGHT($AG82:$CI82,1)),0))=$J82,"T","F"))</f>
        <v/>
      </c>
      <c r="AE82" s="831" t="str">
        <f t="array" ref="AE82">IF($J82="","",SUM(IF(LEFT($AG82:$DU82,1)="s",1,0))-SUM(IF(RIGHT(LEFT($AG82:$DU82,2))="-",1,0)))</f>
        <v/>
      </c>
      <c r="AF82" s="816" t="str">
        <f t="array" ref="AF82">IF($J82="","",SUM(IF(LEFT($AG82:$DA82,1)="X",1,0)))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3"/>
      <c r="BC82" s="893"/>
      <c r="BD82" s="893"/>
      <c r="BE82" s="893"/>
      <c r="BF82" s="897"/>
      <c r="BG82" s="897"/>
      <c r="BH82" s="897"/>
      <c r="BI82" s="893"/>
      <c r="BJ82" s="897"/>
      <c r="BK82" s="897"/>
      <c r="BL82" s="897"/>
      <c r="BM82" s="893"/>
      <c r="BN82" s="897"/>
      <c r="BO82" s="897"/>
      <c r="BP82" s="893"/>
      <c r="BQ82" s="897"/>
      <c r="BR82" s="897"/>
      <c r="BS82" s="897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</row>
    <row r="83" spans="1:82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6"/>
        <v/>
      </c>
      <c r="M83" s="816" t="str">
        <f t="shared" si="67"/>
        <v/>
      </c>
      <c r="N83" s="816" t="str">
        <f t="shared" si="68"/>
        <v/>
      </c>
      <c r="R83" s="816" t="str">
        <f t="shared" si="69"/>
        <v/>
      </c>
      <c r="T83" s="829" t="str">
        <f t="shared" si="70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IF($J83="","",IF(SUM(IF(ISNUMBER(VALUE(RIGHT($AG83:$CI83,1))),VALUE(RIGHT($AG83:$CI83,1)),0))=$J83,"T","F"))</f>
        <v/>
      </c>
      <c r="AE83" s="831" t="str">
        <f t="array" ref="AE83">IF($J83="","",SUM(IF(LEFT($AG83:$DU83,1)="s",1,0))-SUM(IF(RIGHT(LEFT($AG83:$DU83,2))="-",1,0)))</f>
        <v/>
      </c>
      <c r="AF83" s="816" t="str">
        <f t="array" ref="AF83">IF($J83="","",SUM(IF(LEFT($AG83:$DA83,1)="X",1,0)))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3"/>
      <c r="BC83" s="893"/>
      <c r="BD83" s="893"/>
      <c r="BE83" s="893"/>
      <c r="BF83" s="897"/>
      <c r="BG83" s="897"/>
      <c r="BH83" s="897"/>
      <c r="BI83" s="893"/>
      <c r="BJ83" s="897"/>
      <c r="BK83" s="897"/>
      <c r="BL83" s="897"/>
      <c r="BM83" s="893"/>
      <c r="BN83" s="897"/>
      <c r="BO83" s="897"/>
      <c r="BP83" s="893"/>
      <c r="BQ83" s="897"/>
      <c r="BR83" s="897"/>
      <c r="BS83" s="897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</row>
    <row r="84" spans="1:82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6"/>
        <v/>
      </c>
      <c r="M84" s="816" t="str">
        <f t="shared" si="67"/>
        <v/>
      </c>
      <c r="N84" s="816" t="str">
        <f t="shared" si="68"/>
        <v/>
      </c>
      <c r="R84" s="816" t="str">
        <f t="shared" si="69"/>
        <v/>
      </c>
      <c r="T84" s="829" t="str">
        <f t="shared" si="70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IF($J84="","",IF(SUM(IF(ISNUMBER(VALUE(RIGHT($AG84:$CI84,1))),VALUE(RIGHT($AG84:$CI84,1)),0))=$J84,"T","F"))</f>
        <v/>
      </c>
      <c r="AE84" s="831" t="str">
        <f t="array" ref="AE84">IF($J84="","",SUM(IF(LEFT($AG84:$DU84,1)="s",1,0))-SUM(IF(RIGHT(LEFT($AG84:$DU84,2))="-",1,0)))</f>
        <v/>
      </c>
      <c r="AF84" s="816" t="str">
        <f t="array" ref="AF84">IF($J84="","",SUM(IF(LEFT($AG84:$DA84,1)="X",1,0)))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3"/>
      <c r="BC84" s="893"/>
      <c r="BD84" s="893"/>
      <c r="BE84" s="893"/>
      <c r="BF84" s="897"/>
      <c r="BG84" s="897"/>
      <c r="BH84" s="897"/>
      <c r="BI84" s="893"/>
      <c r="BJ84" s="897"/>
      <c r="BK84" s="897"/>
      <c r="BL84" s="897"/>
      <c r="BM84" s="893"/>
      <c r="BN84" s="897"/>
      <c r="BO84" s="897"/>
      <c r="BP84" s="893"/>
      <c r="BQ84" s="897"/>
      <c r="BR84" s="897"/>
      <c r="BS84" s="897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</row>
    <row r="85" spans="1:82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6"/>
        <v/>
      </c>
      <c r="M85" s="816" t="str">
        <f t="shared" si="67"/>
        <v/>
      </c>
      <c r="N85" s="816" t="str">
        <f t="shared" si="68"/>
        <v/>
      </c>
      <c r="R85" s="816" t="str">
        <f t="shared" si="69"/>
        <v/>
      </c>
      <c r="T85" s="829" t="str">
        <f t="shared" si="70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IF($J85="","",IF(SUM(IF(ISNUMBER(VALUE(RIGHT($AG85:$CI85,1))),VALUE(RIGHT($AG85:$CI85,1)),0))=$J85,"T","F"))</f>
        <v/>
      </c>
      <c r="AE85" s="831" t="str">
        <f t="array" ref="AE85">IF($J85="","",SUM(IF(LEFT($AG85:$DU85,1)="s",1,0))-SUM(IF(RIGHT(LEFT($AG85:$DU85,2))="-",1,0)))</f>
        <v/>
      </c>
      <c r="AF85" s="816" t="str">
        <f t="array" ref="AF85">IF($J85="","",SUM(IF(LEFT($AG85:$DA85,1)="X",1,0)))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3"/>
      <c r="BC85" s="893"/>
      <c r="BD85" s="893"/>
      <c r="BE85" s="893"/>
      <c r="BF85" s="897"/>
      <c r="BG85" s="897"/>
      <c r="BH85" s="897"/>
      <c r="BI85" s="893"/>
      <c r="BJ85" s="897"/>
      <c r="BK85" s="897"/>
      <c r="BL85" s="897"/>
      <c r="BM85" s="893"/>
      <c r="BN85" s="897"/>
      <c r="BO85" s="897"/>
      <c r="BP85" s="893"/>
      <c r="BQ85" s="897"/>
      <c r="BR85" s="897"/>
      <c r="BS85" s="897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</row>
    <row r="86" spans="1:82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787"/>
      <c r="H86" s="833"/>
      <c r="I86" s="833"/>
      <c r="J86" s="833"/>
      <c r="K86" s="833"/>
      <c r="L86" s="816" t="str">
        <f t="shared" si="66"/>
        <v/>
      </c>
      <c r="M86" s="816" t="str">
        <f t="shared" si="67"/>
        <v/>
      </c>
      <c r="N86" s="816" t="str">
        <f t="shared" si="68"/>
        <v/>
      </c>
      <c r="R86" s="816" t="str">
        <f t="shared" si="69"/>
        <v/>
      </c>
      <c r="T86" s="829" t="str">
        <f t="shared" si="70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IF($J86="","",IF(SUM(IF(ISNUMBER(VALUE(RIGHT($AG86:$CI86,1))),VALUE(RIGHT($AG86:$CI86,1)),0))=$J86,"T","F"))</f>
        <v/>
      </c>
      <c r="AE86" s="831" t="str">
        <f t="array" ref="AE86">IF($J86="","",SUM(IF(LEFT($AG86:$DU86,1)="s",1,0))-SUM(IF(RIGHT(LEFT($AG86:$DU86,2))="-",1,0)))</f>
        <v/>
      </c>
      <c r="AF86" s="816" t="str">
        <f t="array" ref="AF86">IF($J86="","",SUM(IF(LEFT($AG86:$DA86,1)="X",1,0)))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3"/>
      <c r="BC86" s="893"/>
      <c r="BD86" s="893"/>
      <c r="BE86" s="893"/>
      <c r="BF86" s="897"/>
      <c r="BG86" s="897"/>
      <c r="BH86" s="897"/>
      <c r="BI86" s="893"/>
      <c r="BJ86" s="897"/>
      <c r="BK86" s="897"/>
      <c r="BL86" s="897"/>
      <c r="BM86" s="893"/>
      <c r="BN86" s="897"/>
      <c r="BO86" s="897"/>
      <c r="BP86" s="893"/>
      <c r="BQ86" s="897"/>
      <c r="BR86" s="897"/>
      <c r="BS86" s="897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</row>
    <row r="87" spans="1:82" ht="15">
      <c r="A87" s="845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833"/>
      <c r="H87" s="833"/>
      <c r="I87" s="833"/>
      <c r="J87" s="833"/>
      <c r="K87" s="833"/>
      <c r="L87" s="816" t="str">
        <f t="shared" si="66"/>
        <v/>
      </c>
      <c r="M87" s="816" t="str">
        <f t="shared" si="67"/>
        <v/>
      </c>
      <c r="N87" s="816" t="str">
        <f t="shared" si="68"/>
        <v/>
      </c>
      <c r="R87" s="816" t="str">
        <f t="shared" si="69"/>
        <v/>
      </c>
      <c r="T87" s="829" t="str">
        <f t="shared" si="70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IF($J87="","",IF(SUM(IF(ISNUMBER(VALUE(RIGHT($AG87:$CI87,1))),VALUE(RIGHT($AG87:$CI87,1)),0))=$J87,"T","F"))</f>
        <v/>
      </c>
      <c r="AE87" s="831" t="str">
        <f t="array" ref="AE87">IF($J87="","",SUM(IF(LEFT($AG87:$DU87,1)="s",1,0))-SUM(IF(RIGHT(LEFT($AG87:$DU87,2))="-",1,0)))</f>
        <v/>
      </c>
      <c r="AF87" s="816" t="str">
        <f t="array" ref="AF87">IF($J87="","",SUM(IF(LEFT($AG87:$DA87,1)="X",1,0)))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3"/>
      <c r="BC87" s="893"/>
      <c r="BD87" s="893"/>
      <c r="BE87" s="893"/>
      <c r="BF87" s="897"/>
      <c r="BG87" s="897"/>
      <c r="BH87" s="897"/>
      <c r="BI87" s="893"/>
      <c r="BJ87" s="897"/>
      <c r="BK87" s="897"/>
      <c r="BL87" s="897"/>
      <c r="BM87" s="893"/>
      <c r="BN87" s="897"/>
      <c r="BO87" s="897"/>
      <c r="BP87" s="893"/>
      <c r="BQ87" s="897"/>
      <c r="BR87" s="897"/>
      <c r="BS87" s="897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</row>
    <row r="88" spans="1:82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6"/>
        <v/>
      </c>
      <c r="M88" s="816" t="str">
        <f t="shared" si="67"/>
        <v/>
      </c>
      <c r="N88" s="816" t="str">
        <f t="shared" si="68"/>
        <v/>
      </c>
      <c r="R88" s="816" t="str">
        <f t="shared" si="69"/>
        <v/>
      </c>
      <c r="T88" s="829" t="str">
        <f t="shared" si="70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IF($J88="","",IF(SUM(IF(ISNUMBER(VALUE(RIGHT($AG88:$CI88,1))),VALUE(RIGHT($AG88:$CI88,1)),0))=$J88,"T","F"))</f>
        <v/>
      </c>
      <c r="AE88" s="831" t="str">
        <f t="array" ref="AE88">IF($J88="","",SUM(IF(LEFT($AG88:$DU88,1)="s",1,0))-SUM(IF(RIGHT(LEFT($AG88:$DU88,2))="-",1,0)))</f>
        <v/>
      </c>
      <c r="AF88" s="816" t="str">
        <f t="array" ref="AF88">IF($J88="","",SUM(IF(LEFT($AG88:$DA88,1)="X",1,0)))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3"/>
      <c r="BC88" s="893"/>
      <c r="BD88" s="893"/>
      <c r="BE88" s="893"/>
      <c r="BF88" s="897"/>
      <c r="BG88" s="897"/>
      <c r="BH88" s="897"/>
      <c r="BI88" s="893"/>
      <c r="BJ88" s="897"/>
      <c r="BK88" s="897"/>
      <c r="BL88" s="897"/>
      <c r="BM88" s="893"/>
      <c r="BN88" s="897"/>
      <c r="BO88" s="897"/>
      <c r="BP88" s="893"/>
      <c r="BQ88" s="897"/>
      <c r="BR88" s="897"/>
      <c r="BS88" s="897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</row>
    <row r="89" spans="1:82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6"/>
        <v/>
      </c>
      <c r="M89" s="816" t="str">
        <f t="shared" si="67"/>
        <v/>
      </c>
      <c r="N89" s="816" t="str">
        <f t="shared" si="68"/>
        <v/>
      </c>
      <c r="R89" s="816" t="str">
        <f t="shared" si="69"/>
        <v/>
      </c>
      <c r="T89" s="829" t="str">
        <f t="shared" si="70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IF($J89="","",IF(SUM(IF(ISNUMBER(VALUE(RIGHT($AG89:$CI89,1))),VALUE(RIGHT($AG89:$CI89,1)),0))=$J89,"T","F"))</f>
        <v/>
      </c>
      <c r="AE89" s="831" t="str">
        <f t="array" ref="AE89">IF($J89="","",SUM(IF(LEFT($AG89:$DU89,1)="s",1,0))-SUM(IF(RIGHT(LEFT($AG89:$DU89,2))="-",1,0)))</f>
        <v/>
      </c>
      <c r="AF89" s="816" t="str">
        <f t="array" ref="AF89">IF($J89="","",SUM(IF(LEFT($AG89:$DA89,1)="X",1,0)))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3"/>
      <c r="BC89" s="893"/>
      <c r="BD89" s="893"/>
      <c r="BE89" s="893"/>
      <c r="BF89" s="897"/>
      <c r="BG89" s="897"/>
      <c r="BH89" s="897"/>
      <c r="BI89" s="893"/>
      <c r="BJ89" s="897"/>
      <c r="BK89" s="897"/>
      <c r="BL89" s="897"/>
      <c r="BM89" s="893"/>
      <c r="BN89" s="897"/>
      <c r="BO89" s="897"/>
      <c r="BP89" s="893"/>
      <c r="BQ89" s="897"/>
      <c r="BR89" s="897"/>
      <c r="BS89" s="897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</row>
    <row r="90" spans="1:82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6"/>
        <v/>
      </c>
      <c r="M90" s="816" t="str">
        <f t="shared" si="67"/>
        <v/>
      </c>
      <c r="N90" s="816" t="str">
        <f t="shared" si="68"/>
        <v/>
      </c>
      <c r="R90" s="816" t="str">
        <f t="shared" si="69"/>
        <v/>
      </c>
      <c r="T90" s="829" t="str">
        <f t="shared" si="70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IF($J90="","",IF(SUM(IF(ISNUMBER(VALUE(RIGHT($AG90:$CI90,1))),VALUE(RIGHT($AG90:$CI90,1)),0))=$J90,"T","F"))</f>
        <v/>
      </c>
      <c r="AE90" s="831" t="str">
        <f t="array" ref="AE90">IF($J90="","",SUM(IF(LEFT($AG90:$DU90,1)="s",1,0))-SUM(IF(RIGHT(LEFT($AG90:$DU90,2))="-",1,0)))</f>
        <v/>
      </c>
      <c r="AF90" s="816" t="str">
        <f t="array" ref="AF90">IF($J90="","",SUM(IF(LEFT($AG90:$DA90,1)="X",1,0)))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3"/>
      <c r="BC90" s="893"/>
      <c r="BD90" s="893"/>
      <c r="BE90" s="893"/>
      <c r="BF90" s="897"/>
      <c r="BG90" s="897"/>
      <c r="BH90" s="897"/>
      <c r="BI90" s="893"/>
      <c r="BJ90" s="897"/>
      <c r="BK90" s="897"/>
      <c r="BL90" s="897"/>
      <c r="BM90" s="893"/>
      <c r="BN90" s="897"/>
      <c r="BO90" s="897"/>
      <c r="BP90" s="893"/>
      <c r="BQ90" s="897"/>
      <c r="BR90" s="897"/>
      <c r="BS90" s="897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</row>
    <row r="91" spans="1:82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6"/>
        <v/>
      </c>
      <c r="M91" s="816" t="str">
        <f t="shared" si="67"/>
        <v/>
      </c>
      <c r="N91" s="816" t="str">
        <f t="shared" si="68"/>
        <v/>
      </c>
      <c r="R91" s="816" t="str">
        <f t="shared" si="69"/>
        <v/>
      </c>
      <c r="T91" s="829" t="str">
        <f t="shared" si="70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IF($J91="","",IF(SUM(IF(ISNUMBER(VALUE(RIGHT($AG91:$CI91,1))),VALUE(RIGHT($AG91:$CI91,1)),0))=$J91,"T","F"))</f>
        <v/>
      </c>
      <c r="AE91" s="831" t="str">
        <f t="array" ref="AE91">IF($J91="","",SUM(IF(LEFT($AG91:$DU91,1)="s",1,0))-SUM(IF(RIGHT(LEFT($AG91:$DU91,2))="-",1,0)))</f>
        <v/>
      </c>
      <c r="AF91" s="816" t="str">
        <f t="array" ref="AF91">IF($J91="","",SUM(IF(LEFT($AG91:$DA91,1)="X",1,0)))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3"/>
      <c r="BC91" s="893"/>
      <c r="BD91" s="893"/>
      <c r="BE91" s="893"/>
      <c r="BF91" s="897"/>
      <c r="BG91" s="897"/>
      <c r="BH91" s="897"/>
      <c r="BI91" s="893"/>
      <c r="BJ91" s="897"/>
      <c r="BK91" s="897"/>
      <c r="BL91" s="897"/>
      <c r="BM91" s="893"/>
      <c r="BN91" s="897"/>
      <c r="BO91" s="897"/>
      <c r="BP91" s="893"/>
      <c r="BQ91" s="897"/>
      <c r="BR91" s="897"/>
      <c r="BS91" s="897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</row>
    <row r="92" spans="1:82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6"/>
        <v/>
      </c>
      <c r="M92" s="816" t="str">
        <f t="shared" si="67"/>
        <v/>
      </c>
      <c r="N92" s="816" t="str">
        <f t="shared" si="68"/>
        <v/>
      </c>
      <c r="R92" s="816" t="str">
        <f t="shared" si="69"/>
        <v/>
      </c>
      <c r="T92" s="829" t="str">
        <f t="shared" si="70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IF($J92="","",IF(SUM(IF(ISNUMBER(VALUE(RIGHT($AG92:$CI92,1))),VALUE(RIGHT($AG92:$CI92,1)),0))=$J92,"T","F"))</f>
        <v/>
      </c>
      <c r="AE92" s="831" t="str">
        <f t="array" ref="AE92">IF($J92="","",SUM(IF(LEFT($AG92:$DU92,1)="s",1,0))-SUM(IF(RIGHT(LEFT($AG92:$DU92,2))="-",1,0)))</f>
        <v/>
      </c>
      <c r="AF92" s="816" t="str">
        <f t="array" ref="AF92">IF($J92="","",SUM(IF(LEFT($AG92:$DA92,1)="X",1,0)))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3"/>
      <c r="BC92" s="893"/>
      <c r="BD92" s="893"/>
      <c r="BE92" s="893"/>
      <c r="BF92" s="897"/>
      <c r="BG92" s="897"/>
      <c r="BH92" s="897"/>
      <c r="BI92" s="893"/>
      <c r="BJ92" s="897"/>
      <c r="BK92" s="897"/>
      <c r="BL92" s="897"/>
      <c r="BM92" s="893"/>
      <c r="BN92" s="897"/>
      <c r="BO92" s="897"/>
      <c r="BP92" s="893"/>
      <c r="BQ92" s="897"/>
      <c r="BR92" s="897"/>
      <c r="BS92" s="897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</row>
    <row r="93" spans="1:82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6"/>
        <v/>
      </c>
      <c r="M93" s="816" t="str">
        <f t="shared" si="67"/>
        <v/>
      </c>
      <c r="N93" s="816" t="str">
        <f t="shared" si="68"/>
        <v/>
      </c>
      <c r="R93" s="816" t="str">
        <f t="shared" si="69"/>
        <v/>
      </c>
      <c r="T93" s="829" t="str">
        <f t="shared" si="70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IF($J93="","",IF(SUM(IF(ISNUMBER(VALUE(RIGHT($AG93:$CI93,1))),VALUE(RIGHT($AG93:$CI93,1)),0))=$J93,"T","F"))</f>
        <v/>
      </c>
      <c r="AE93" s="831" t="str">
        <f t="array" ref="AE93">IF($J93="","",SUM(IF(LEFT($AG93:$DU93,1)="s",1,0))-SUM(IF(RIGHT(LEFT($AG93:$DU93,2))="-",1,0)))</f>
        <v/>
      </c>
      <c r="AF93" s="816" t="str">
        <f t="array" ref="AF93">IF($J93="","",SUM(IF(LEFT($AG93:$DA93,1)="X",1,0)))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3"/>
      <c r="BC93" s="893"/>
      <c r="BD93" s="893"/>
      <c r="BE93" s="893"/>
      <c r="BF93" s="897"/>
      <c r="BG93" s="897"/>
      <c r="BH93" s="897"/>
      <c r="BI93" s="893"/>
      <c r="BJ93" s="897"/>
      <c r="BK93" s="897"/>
      <c r="BL93" s="897"/>
      <c r="BM93" s="893"/>
      <c r="BN93" s="897"/>
      <c r="BO93" s="897"/>
      <c r="BP93" s="893"/>
      <c r="BQ93" s="897"/>
      <c r="BR93" s="897"/>
      <c r="BS93" s="897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</row>
    <row r="94" spans="1:82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6"/>
        <v/>
      </c>
      <c r="M94" s="816" t="str">
        <f t="shared" si="67"/>
        <v/>
      </c>
      <c r="N94" s="816" t="str">
        <f t="shared" si="68"/>
        <v/>
      </c>
      <c r="R94" s="816" t="str">
        <f t="shared" si="69"/>
        <v/>
      </c>
      <c r="T94" s="829" t="str">
        <f t="shared" si="70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IF($J94="","",IF(SUM(IF(ISNUMBER(VALUE(RIGHT($AG94:$CI94,1))),VALUE(RIGHT($AG94:$CI94,1)),0))=$J94,"T","F"))</f>
        <v/>
      </c>
      <c r="AE94" s="831" t="str">
        <f t="array" ref="AE94">IF($J94="","",SUM(IF(LEFT($AG94:$DU94,1)="s",1,0))-SUM(IF(RIGHT(LEFT($AG94:$DU94,2))="-",1,0)))</f>
        <v/>
      </c>
      <c r="AF94" s="816" t="str">
        <f t="array" ref="AF94">IF($J94="","",SUM(IF(LEFT($AG94:$DA94,1)="X",1,0)))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3"/>
      <c r="BC94" s="893"/>
      <c r="BD94" s="893"/>
      <c r="BE94" s="893"/>
      <c r="BF94" s="897"/>
      <c r="BG94" s="897"/>
      <c r="BH94" s="897"/>
      <c r="BI94" s="893"/>
      <c r="BJ94" s="897"/>
      <c r="BK94" s="897"/>
      <c r="BL94" s="897"/>
      <c r="BM94" s="893"/>
      <c r="BN94" s="897"/>
      <c r="BO94" s="897"/>
      <c r="BP94" s="893"/>
      <c r="BQ94" s="897"/>
      <c r="BR94" s="897"/>
      <c r="BS94" s="897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</row>
    <row r="95" spans="1:82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6"/>
        <v/>
      </c>
      <c r="M95" s="816" t="str">
        <f t="shared" si="67"/>
        <v/>
      </c>
      <c r="N95" s="816" t="str">
        <f t="shared" si="68"/>
        <v/>
      </c>
      <c r="R95" s="816" t="str">
        <f t="shared" si="69"/>
        <v/>
      </c>
      <c r="T95" s="829" t="str">
        <f t="shared" si="70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IF($J95="","",IF(SUM(IF(ISNUMBER(VALUE(RIGHT($AG95:$CI95,1))),VALUE(RIGHT($AG95:$CI95,1)),0))=$J95,"T","F"))</f>
        <v/>
      </c>
      <c r="AE95" s="831" t="str">
        <f t="array" ref="AE95">IF($J95="","",SUM(IF(LEFT($AG95:$DU95,1)="s",1,0))-SUM(IF(RIGHT(LEFT($AG95:$DU95,2))="-",1,0)))</f>
        <v/>
      </c>
      <c r="AF95" s="816" t="str">
        <f t="array" ref="AF95">IF($J95="","",SUM(IF(LEFT($AG95:$DA95,1)="X",1,0)))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3"/>
      <c r="BC95" s="893"/>
      <c r="BD95" s="893"/>
      <c r="BE95" s="893"/>
      <c r="BF95" s="897"/>
      <c r="BG95" s="897"/>
      <c r="BH95" s="897"/>
      <c r="BI95" s="893"/>
      <c r="BJ95" s="897"/>
      <c r="BK95" s="897"/>
      <c r="BL95" s="897"/>
      <c r="BM95" s="893"/>
      <c r="BN95" s="897"/>
      <c r="BO95" s="897"/>
      <c r="BP95" s="893"/>
      <c r="BQ95" s="897"/>
      <c r="BR95" s="897"/>
      <c r="BS95" s="897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</row>
    <row r="96" spans="1:82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6"/>
        <v/>
      </c>
      <c r="M96" s="816" t="str">
        <f t="shared" si="67"/>
        <v/>
      </c>
      <c r="N96" s="816" t="str">
        <f t="shared" si="68"/>
        <v/>
      </c>
      <c r="R96" s="816" t="str">
        <f t="shared" si="69"/>
        <v/>
      </c>
      <c r="T96" s="829" t="str">
        <f t="shared" si="70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IF($J96="","",IF(SUM(IF(ISNUMBER(VALUE(RIGHT($AG96:$CI96,1))),VALUE(RIGHT($AG96:$CI96,1)),0))=$J96,"T","F"))</f>
        <v/>
      </c>
      <c r="AE96" s="831" t="str">
        <f t="array" ref="AE96">IF($J96="","",SUM(IF(LEFT($AG96:$DU96,1)="s",1,0))-SUM(IF(RIGHT(LEFT($AG96:$DU96,2))="-",1,0)))</f>
        <v/>
      </c>
      <c r="AF96" s="816" t="str">
        <f t="array" ref="AF96">IF($J96="","",SUM(IF(LEFT($AG96:$DA96,1)="X",1,0)))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3"/>
      <c r="BC96" s="893"/>
      <c r="BD96" s="893"/>
      <c r="BE96" s="893"/>
      <c r="BF96" s="897"/>
      <c r="BG96" s="897"/>
      <c r="BH96" s="897"/>
      <c r="BI96" s="893"/>
      <c r="BJ96" s="897"/>
      <c r="BK96" s="897"/>
      <c r="BL96" s="897"/>
      <c r="BM96" s="893"/>
      <c r="BN96" s="897"/>
      <c r="BO96" s="897"/>
      <c r="BP96" s="893"/>
      <c r="BQ96" s="897"/>
      <c r="BR96" s="897"/>
      <c r="BS96" s="897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</row>
    <row r="97" spans="1:82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6"/>
        <v/>
      </c>
      <c r="M97" s="816" t="str">
        <f t="shared" si="67"/>
        <v/>
      </c>
      <c r="N97" s="816" t="str">
        <f t="shared" si="68"/>
        <v/>
      </c>
      <c r="R97" s="816" t="str">
        <f t="shared" si="69"/>
        <v/>
      </c>
      <c r="T97" s="829" t="str">
        <f t="shared" si="70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IF($J97="","",IF(SUM(IF(ISNUMBER(VALUE(RIGHT($AG97:$CI97,1))),VALUE(RIGHT($AG97:$CI97,1)),0))=$J97,"T","F"))</f>
        <v/>
      </c>
      <c r="AE97" s="831" t="str">
        <f t="array" ref="AE97">IF($J97="","",SUM(IF(LEFT($AG97:$DU97,1)="s",1,0))-SUM(IF(RIGHT(LEFT($AG97:$DU97,2))="-",1,0)))</f>
        <v/>
      </c>
      <c r="AF97" s="816" t="str">
        <f t="array" ref="AF97">IF($J97="","",SUM(IF(LEFT($AG97:$DA97,1)="X",1,0)))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3"/>
      <c r="BC97" s="893"/>
      <c r="BD97" s="893"/>
      <c r="BE97" s="893"/>
      <c r="BF97" s="897"/>
      <c r="BG97" s="897"/>
      <c r="BH97" s="897"/>
      <c r="BI97" s="893"/>
      <c r="BJ97" s="897"/>
      <c r="BK97" s="897"/>
      <c r="BL97" s="897"/>
      <c r="BM97" s="893"/>
      <c r="BN97" s="897"/>
      <c r="BO97" s="897"/>
      <c r="BP97" s="893"/>
      <c r="BQ97" s="897"/>
      <c r="BR97" s="897"/>
      <c r="BS97" s="897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</row>
    <row r="98" spans="1:82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6"/>
        <v/>
      </c>
      <c r="M98" s="816" t="str">
        <f t="shared" si="67"/>
        <v/>
      </c>
      <c r="N98" s="816" t="str">
        <f t="shared" si="68"/>
        <v/>
      </c>
      <c r="R98" s="816" t="str">
        <f t="shared" si="69"/>
        <v/>
      </c>
      <c r="T98" s="829" t="str">
        <f t="shared" si="70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IF($J98="","",IF(SUM(IF(ISNUMBER(VALUE(RIGHT($AG98:$CI98,1))),VALUE(RIGHT($AG98:$CI98,1)),0))=$J98,"T","F"))</f>
        <v/>
      </c>
      <c r="AE98" s="831" t="str">
        <f t="array" ref="AE98">IF($J98="","",SUM(IF(LEFT($AG98:$DU98,1)="s",1,0))-SUM(IF(RIGHT(LEFT($AG98:$DU98,2))="-",1,0)))</f>
        <v/>
      </c>
      <c r="AF98" s="816" t="str">
        <f t="array" ref="AF98">IF($J98="","",SUM(IF(LEFT($AG98:$DA98,1)="X",1,0)))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3"/>
      <c r="BC98" s="893"/>
      <c r="BD98" s="893"/>
      <c r="BE98" s="893"/>
      <c r="BF98" s="897"/>
      <c r="BG98" s="897"/>
      <c r="BH98" s="897"/>
      <c r="BI98" s="893"/>
      <c r="BJ98" s="897"/>
      <c r="BK98" s="897"/>
      <c r="BL98" s="897"/>
      <c r="BM98" s="893"/>
      <c r="BN98" s="897"/>
      <c r="BO98" s="897"/>
      <c r="BP98" s="893"/>
      <c r="BQ98" s="897"/>
      <c r="BR98" s="897"/>
      <c r="BS98" s="897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</row>
    <row r="99" spans="1:82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6"/>
        <v/>
      </c>
      <c r="M99" s="816" t="str">
        <f t="shared" si="67"/>
        <v/>
      </c>
      <c r="N99" s="816" t="str">
        <f t="shared" si="68"/>
        <v/>
      </c>
      <c r="R99" s="816" t="str">
        <f t="shared" si="69"/>
        <v/>
      </c>
      <c r="T99" s="829" t="str">
        <f t="shared" si="70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IF($J99="","",IF(SUM(IF(ISNUMBER(VALUE(RIGHT($AG99:$CI99,1))),VALUE(RIGHT($AG99:$CI99,1)),0))=$J99,"T","F"))</f>
        <v/>
      </c>
      <c r="AE99" s="831" t="str">
        <f t="array" ref="AE99">IF($J99="","",SUM(IF(LEFT($AG99:$DU99,1)="s",1,0))-SUM(IF(RIGHT(LEFT($AG99:$DU99,2))="-",1,0)))</f>
        <v/>
      </c>
      <c r="AF99" s="816" t="str">
        <f t="array" ref="AF99">IF($J99="","",SUM(IF(LEFT($AG99:$DA99,1)="X",1,0)))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3"/>
      <c r="BC99" s="893"/>
      <c r="BD99" s="893"/>
      <c r="BE99" s="893"/>
      <c r="BF99" s="897"/>
      <c r="BG99" s="897"/>
      <c r="BH99" s="897"/>
      <c r="BI99" s="893"/>
      <c r="BJ99" s="897"/>
      <c r="BK99" s="897"/>
      <c r="BL99" s="897"/>
      <c r="BM99" s="893"/>
      <c r="BN99" s="897"/>
      <c r="BO99" s="897"/>
      <c r="BP99" s="893"/>
      <c r="BQ99" s="897"/>
      <c r="BR99" s="897"/>
      <c r="BS99" s="897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</row>
    <row r="100" spans="1:82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6"/>
        <v/>
      </c>
      <c r="M100" s="816" t="str">
        <f t="shared" si="67"/>
        <v/>
      </c>
      <c r="N100" s="816" t="str">
        <f t="shared" si="68"/>
        <v/>
      </c>
      <c r="R100" s="816" t="str">
        <f t="shared" si="69"/>
        <v/>
      </c>
      <c r="T100" s="829" t="str">
        <f t="shared" si="70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IF($J100="","",IF(SUM(IF(ISNUMBER(VALUE(RIGHT($AG100:$CI100,1))),VALUE(RIGHT($AG100:$CI100,1)),0))=$J100,"T","F"))</f>
        <v/>
      </c>
      <c r="AE100" s="831" t="str">
        <f t="array" ref="AE100">IF($J100="","",SUM(IF(LEFT($AG100:$DU100,1)="s",1,0))-SUM(IF(RIGHT(LEFT($AG100:$DU100,2))="-",1,0)))</f>
        <v/>
      </c>
      <c r="AF100" s="816" t="str">
        <f t="array" ref="AF100">IF($J100="","",SUM(IF(LEFT($AG100:$DA100,1)="X",1,0)))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3"/>
      <c r="BC100" s="893"/>
      <c r="BD100" s="893"/>
      <c r="BE100" s="893"/>
      <c r="BF100" s="897"/>
      <c r="BG100" s="897"/>
      <c r="BH100" s="897"/>
      <c r="BI100" s="893"/>
      <c r="BJ100" s="897"/>
      <c r="BK100" s="897"/>
      <c r="BL100" s="897"/>
      <c r="BM100" s="893"/>
      <c r="BN100" s="897"/>
      <c r="BO100" s="897"/>
      <c r="BP100" s="893"/>
      <c r="BQ100" s="897"/>
      <c r="BR100" s="897"/>
      <c r="BS100" s="897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</row>
    <row r="101" spans="1:82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6"/>
        <v/>
      </c>
      <c r="M101" s="816" t="str">
        <f t="shared" si="67"/>
        <v/>
      </c>
      <c r="N101" s="816" t="str">
        <f t="shared" si="68"/>
        <v/>
      </c>
      <c r="R101" s="816" t="str">
        <f t="shared" si="69"/>
        <v/>
      </c>
      <c r="T101" s="829" t="str">
        <f t="shared" si="70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IF($J101="","",IF(SUM(IF(ISNUMBER(VALUE(RIGHT($AG101:$CI101,1))),VALUE(RIGHT($AG101:$CI101,1)),0))=$J101,"T","F"))</f>
        <v/>
      </c>
      <c r="AE101" s="831" t="str">
        <f t="array" ref="AE101">IF($J101="","",SUM(IF(LEFT($AG101:$DU101,1)="s",1,0))-SUM(IF(RIGHT(LEFT($AG101:$DU101,2))="-",1,0)))</f>
        <v/>
      </c>
      <c r="AF101" s="816" t="str">
        <f t="array" ref="AF101">IF($J101="","",SUM(IF(LEFT($AG101:$DA101,1)="X",1,0)))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3"/>
      <c r="BC101" s="893"/>
      <c r="BD101" s="893"/>
      <c r="BE101" s="893"/>
      <c r="BF101" s="897"/>
      <c r="BG101" s="897"/>
      <c r="BH101" s="897"/>
      <c r="BI101" s="893"/>
      <c r="BJ101" s="897"/>
      <c r="BK101" s="897"/>
      <c r="BL101" s="897"/>
      <c r="BM101" s="893"/>
      <c r="BN101" s="897"/>
      <c r="BO101" s="897"/>
      <c r="BP101" s="893"/>
      <c r="BQ101" s="897"/>
      <c r="BR101" s="897"/>
      <c r="BS101" s="897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</row>
    <row r="102" spans="1:82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6"/>
        <v/>
      </c>
      <c r="M102" s="816" t="str">
        <f t="shared" si="67"/>
        <v/>
      </c>
      <c r="N102" s="816" t="str">
        <f t="shared" si="68"/>
        <v/>
      </c>
      <c r="R102" s="816" t="str">
        <f t="shared" si="69"/>
        <v/>
      </c>
      <c r="T102" s="829" t="str">
        <f t="shared" si="70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IF($J102="","",IF(SUM(IF(ISNUMBER(VALUE(RIGHT($AG102:$CI102,1))),VALUE(RIGHT($AG102:$CI102,1)),0))=$J102,"T","F"))</f>
        <v/>
      </c>
      <c r="AE102" s="831" t="str">
        <f t="array" ref="AE102">IF($J102="","",SUM(IF(LEFT($AG102:$DU102,1)="s",1,0))-SUM(IF(RIGHT(LEFT($AG102:$DU102,2))="-",1,0)))</f>
        <v/>
      </c>
      <c r="AF102" s="816" t="str">
        <f t="array" ref="AF102">IF($J102="","",SUM(IF(LEFT($AG102:$DA102,1)="X",1,0)))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3"/>
      <c r="BC102" s="893"/>
      <c r="BD102" s="893"/>
      <c r="BE102" s="893"/>
      <c r="BF102" s="897"/>
      <c r="BG102" s="897"/>
      <c r="BH102" s="897"/>
      <c r="BI102" s="893"/>
      <c r="BJ102" s="897"/>
      <c r="BK102" s="897"/>
      <c r="BL102" s="897"/>
      <c r="BM102" s="893"/>
      <c r="BN102" s="897"/>
      <c r="BO102" s="897"/>
      <c r="BP102" s="893"/>
      <c r="BQ102" s="897"/>
      <c r="BR102" s="897"/>
      <c r="BS102" s="897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</row>
    <row r="103" spans="1:82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6"/>
        <v/>
      </c>
      <c r="M103" s="816" t="str">
        <f t="shared" si="67"/>
        <v/>
      </c>
      <c r="N103" s="816" t="str">
        <f t="shared" si="68"/>
        <v/>
      </c>
      <c r="R103" s="816" t="str">
        <f t="shared" si="69"/>
        <v/>
      </c>
      <c r="T103" s="829" t="str">
        <f t="shared" si="70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IF($J103="","",IF(SUM(IF(ISNUMBER(VALUE(RIGHT($AG103:$CI103,1))),VALUE(RIGHT($AG103:$CI103,1)),0))=$J103,"T","F"))</f>
        <v/>
      </c>
      <c r="AE103" s="831" t="str">
        <f t="array" ref="AE103">IF($J103="","",SUM(IF(LEFT($AG103:$DU103,1)="s",1,0))-SUM(IF(RIGHT(LEFT($AG103:$DU103,2))="-",1,0)))</f>
        <v/>
      </c>
      <c r="AF103" s="816" t="str">
        <f t="array" ref="AF103">IF($J103="","",SUM(IF(LEFT($AG103:$DA103,1)="X",1,0)))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3"/>
      <c r="BC103" s="893"/>
      <c r="BD103" s="893"/>
      <c r="BE103" s="893"/>
      <c r="BF103" s="897"/>
      <c r="BG103" s="897"/>
      <c r="BH103" s="897"/>
      <c r="BI103" s="893"/>
      <c r="BJ103" s="897"/>
      <c r="BK103" s="897"/>
      <c r="BL103" s="897"/>
      <c r="BM103" s="893"/>
      <c r="BN103" s="897"/>
      <c r="BO103" s="897"/>
      <c r="BP103" s="893"/>
      <c r="BQ103" s="897"/>
      <c r="BR103" s="897"/>
      <c r="BS103" s="897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</row>
    <row r="104" spans="1:82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6"/>
        <v/>
      </c>
      <c r="M104" s="816" t="str">
        <f t="shared" si="67"/>
        <v/>
      </c>
      <c r="N104" s="816" t="str">
        <f t="shared" si="68"/>
        <v/>
      </c>
      <c r="R104" s="816" t="str">
        <f t="shared" si="69"/>
        <v/>
      </c>
      <c r="T104" s="829" t="str">
        <f t="shared" si="70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IF($J104="","",IF(SUM(IF(ISNUMBER(VALUE(RIGHT($AG104:$CI104,1))),VALUE(RIGHT($AG104:$CI104,1)),0))=$J104,"T","F"))</f>
        <v/>
      </c>
      <c r="AE104" s="831" t="str">
        <f t="array" ref="AE104">IF($J104="","",SUM(IF(LEFT($AG104:$DU104,1)="s",1,0))-SUM(IF(RIGHT(LEFT($AG104:$DU104,2))="-",1,0)))</f>
        <v/>
      </c>
      <c r="AF104" s="816" t="str">
        <f t="array" ref="AF104">IF($J104="","",SUM(IF(LEFT($AG104:$DA104,1)="X",1,0)))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3"/>
      <c r="BC104" s="893"/>
      <c r="BD104" s="893"/>
      <c r="BE104" s="893"/>
      <c r="BF104" s="897"/>
      <c r="BG104" s="897"/>
      <c r="BH104" s="897"/>
      <c r="BI104" s="893"/>
      <c r="BJ104" s="897"/>
      <c r="BK104" s="897"/>
      <c r="BL104" s="897"/>
      <c r="BM104" s="893"/>
      <c r="BN104" s="897"/>
      <c r="BO104" s="897"/>
      <c r="BP104" s="893"/>
      <c r="BQ104" s="897"/>
      <c r="BR104" s="897"/>
      <c r="BS104" s="897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</row>
    <row r="105" spans="1:82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6"/>
        <v/>
      </c>
      <c r="M105" s="816" t="str">
        <f t="shared" si="67"/>
        <v/>
      </c>
      <c r="N105" s="816" t="str">
        <f t="shared" si="68"/>
        <v/>
      </c>
      <c r="R105" s="816" t="str">
        <f t="shared" si="69"/>
        <v/>
      </c>
      <c r="T105" s="829" t="str">
        <f t="shared" si="70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IF($J105="","",IF(SUM(IF(ISNUMBER(VALUE(RIGHT($AG105:$CI105,1))),VALUE(RIGHT($AG105:$CI105,1)),0))=$J105,"T","F"))</f>
        <v/>
      </c>
      <c r="AE105" s="816" t="str">
        <f t="array" ref="AE105">IF($J105="","",SUM(IF(LEFT($AG105:$DU105,1)="s",1,0))-SUM(IF(RIGHT(LEFT($AG105:$DU105,2))="-",1,0)))</f>
        <v/>
      </c>
      <c r="AF105" s="816" t="str">
        <f t="array" ref="AF105">IF($J105="","",SUM(IF(LEFT($AG105:$DA105,1)="X",1,0)))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3"/>
      <c r="BC105" s="893"/>
      <c r="BD105" s="893"/>
      <c r="BE105" s="893"/>
      <c r="BF105" s="897"/>
      <c r="BG105" s="897"/>
      <c r="BH105" s="897"/>
      <c r="BI105" s="893"/>
      <c r="BJ105" s="897"/>
      <c r="BK105" s="897"/>
      <c r="BL105" s="897"/>
      <c r="BM105" s="893"/>
      <c r="BN105" s="897"/>
      <c r="BO105" s="897"/>
      <c r="BP105" s="893"/>
      <c r="BQ105" s="897"/>
      <c r="BR105" s="897"/>
      <c r="BS105" s="897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</row>
    <row r="106" spans="1:82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6"/>
        <v/>
      </c>
      <c r="M106" s="816" t="str">
        <f t="shared" si="67"/>
        <v/>
      </c>
      <c r="N106" s="816" t="str">
        <f t="shared" si="68"/>
        <v/>
      </c>
      <c r="R106" s="816" t="str">
        <f t="shared" si="69"/>
        <v/>
      </c>
      <c r="T106" s="829" t="str">
        <f t="shared" si="70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IF($J106="","",IF(SUM(IF(ISNUMBER(VALUE(RIGHT($AG106:$CI106,1))),VALUE(RIGHT($AG106:$CI106,1)),0))=$J106,"T","F"))</f>
        <v/>
      </c>
      <c r="AE106" s="816" t="str">
        <f t="array" ref="AE106">IF($J106="","",SUM(IF(LEFT($AG106:$DU106,1)="s",1,0))-SUM(IF(RIGHT(LEFT($AG106:$DU106,2))="-",1,0)))</f>
        <v/>
      </c>
      <c r="AF106" s="816" t="str">
        <f t="array" ref="AF106">IF($J106="","",SUM(IF(LEFT($AG106:$DA106,1)="X",1,0)))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3"/>
      <c r="BC106" s="893"/>
      <c r="BD106" s="893"/>
      <c r="BE106" s="893"/>
      <c r="BF106" s="897"/>
      <c r="BG106" s="897"/>
      <c r="BH106" s="897"/>
      <c r="BI106" s="893"/>
      <c r="BJ106" s="897"/>
      <c r="BK106" s="897"/>
      <c r="BL106" s="897"/>
      <c r="BM106" s="893"/>
      <c r="BN106" s="897"/>
      <c r="BO106" s="897"/>
      <c r="BP106" s="893"/>
      <c r="BQ106" s="897"/>
      <c r="BR106" s="897"/>
      <c r="BS106" s="897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</row>
    <row r="107" spans="1:82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6"/>
        <v/>
      </c>
      <c r="M107" s="816" t="str">
        <f t="shared" si="67"/>
        <v/>
      </c>
      <c r="N107" s="816" t="str">
        <f t="shared" si="68"/>
        <v/>
      </c>
      <c r="R107" s="816" t="str">
        <f t="shared" si="69"/>
        <v/>
      </c>
      <c r="T107" s="829" t="str">
        <f t="shared" si="70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IF($J107="","",IF(SUM(IF(ISNUMBER(VALUE(RIGHT($AG107:$CI107,1))),VALUE(RIGHT($AG107:$CI107,1)),0))=$J107,"T","F"))</f>
        <v/>
      </c>
      <c r="AE107" s="816" t="str">
        <f t="array" ref="AE107">IF($J107="","",SUM(IF(LEFT($AG107:$DU107,1)="s",1,0))-SUM(IF(RIGHT(LEFT($AG107:$DU107,2))="-",1,0)))</f>
        <v/>
      </c>
      <c r="AF107" s="816" t="str">
        <f t="array" ref="AF107">IF($J107="","",SUM(IF(LEFT($AG107:$DA107,1)="X",1,0)))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3"/>
      <c r="BC107" s="893"/>
      <c r="BD107" s="893"/>
      <c r="BE107" s="893"/>
      <c r="BF107" s="897"/>
      <c r="BG107" s="897"/>
      <c r="BH107" s="897"/>
      <c r="BI107" s="893"/>
      <c r="BJ107" s="897"/>
      <c r="BK107" s="897"/>
      <c r="BL107" s="897"/>
      <c r="BM107" s="893"/>
      <c r="BN107" s="897"/>
      <c r="BO107" s="897"/>
      <c r="BP107" s="893"/>
      <c r="BQ107" s="897"/>
      <c r="BR107" s="897"/>
      <c r="BS107" s="897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</row>
    <row r="108" spans="1:82" ht="15"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6"/>
        <v/>
      </c>
      <c r="M108" s="816" t="str">
        <f t="shared" si="67"/>
        <v/>
      </c>
      <c r="N108" s="816" t="str">
        <f t="shared" si="68"/>
        <v/>
      </c>
      <c r="R108" s="816" t="str">
        <f t="shared" si="69"/>
        <v/>
      </c>
      <c r="T108" s="829" t="str">
        <f t="shared" si="70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IF($J108="","",IF(SUM(IF(ISNUMBER(VALUE(RIGHT($AG108:$CI108,1))),VALUE(RIGHT($AG108:$CI108,1)),0))=$J108,"T","F"))</f>
        <v/>
      </c>
      <c r="AE108" s="816" t="str">
        <f t="array" ref="AE108">IF($J108="","",SUM(IF(LEFT($AG108:$DU108,1)="s",1,0))-SUM(IF(RIGHT(LEFT($AG108:$DU108,2))="-",1,0)))</f>
        <v/>
      </c>
      <c r="AF108" s="816" t="str">
        <f t="array" ref="AF108">IF($J108="","",SUM(IF(LEFT($AG108:$DA108,1)="X",1,0)))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3"/>
      <c r="BC108" s="893"/>
      <c r="BD108" s="893"/>
      <c r="BE108" s="893"/>
      <c r="BF108" s="897"/>
      <c r="BG108" s="897"/>
      <c r="BH108" s="897"/>
      <c r="BI108" s="893"/>
      <c r="BJ108" s="897"/>
      <c r="BK108" s="897"/>
      <c r="BL108" s="897"/>
      <c r="BM108" s="893"/>
      <c r="BN108" s="897"/>
      <c r="BO108" s="897"/>
      <c r="BP108" s="893"/>
      <c r="BQ108" s="897"/>
      <c r="BR108" s="897"/>
      <c r="BS108" s="897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</row>
    <row r="109" spans="1:82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6"/>
        <v/>
      </c>
      <c r="M109" s="816" t="str">
        <f t="shared" si="67"/>
        <v/>
      </c>
      <c r="N109" s="816" t="str">
        <f t="shared" si="68"/>
        <v/>
      </c>
      <c r="R109" s="816" t="str">
        <f t="shared" si="69"/>
        <v/>
      </c>
      <c r="T109" s="829" t="str">
        <f t="shared" si="70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IF($J109="","",IF(SUM(IF(ISNUMBER(VALUE(RIGHT($AG109:$CI109,1))),VALUE(RIGHT($AG109:$CI109,1)),0))=$J109,"T","F"))</f>
        <v/>
      </c>
      <c r="AE109" s="816" t="str">
        <f t="array" ref="AE109">IF($J109="","",SUM(IF(LEFT($AG109:$DU109,1)="s",1,0))-SUM(IF(RIGHT(LEFT($AG109:$DU109,2))="-",1,0)))</f>
        <v/>
      </c>
      <c r="AF109" s="816" t="str">
        <f t="array" ref="AF109">IF($J109="","",SUM(IF(LEFT($AG109:$DA109,1)="X",1,0)))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3"/>
      <c r="BC109" s="893"/>
      <c r="BD109" s="893"/>
      <c r="BE109" s="893"/>
      <c r="BF109" s="897"/>
      <c r="BG109" s="897"/>
      <c r="BH109" s="897"/>
      <c r="BI109" s="893"/>
      <c r="BJ109" s="897"/>
      <c r="BK109" s="897"/>
      <c r="BL109" s="897"/>
      <c r="BM109" s="893"/>
      <c r="BN109" s="897"/>
      <c r="BO109" s="897"/>
      <c r="BP109" s="893"/>
      <c r="BQ109" s="897"/>
      <c r="BR109" s="897"/>
      <c r="BS109" s="897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</row>
    <row r="110" spans="1:82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6"/>
        <v/>
      </c>
      <c r="M110" s="816" t="str">
        <f t="shared" si="67"/>
        <v/>
      </c>
      <c r="N110" s="816" t="str">
        <f t="shared" si="68"/>
        <v/>
      </c>
      <c r="R110" s="816" t="str">
        <f t="shared" si="69"/>
        <v/>
      </c>
      <c r="T110" s="829" t="str">
        <f t="shared" si="70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IF($J110="","",IF(SUM(IF(ISNUMBER(VALUE(RIGHT($AG110:$CI110,1))),VALUE(RIGHT($AG110:$CI110,1)),0))=$J110,"T","F"))</f>
        <v/>
      </c>
      <c r="AE110" s="816" t="str">
        <f t="array" ref="AE110">IF($J110="","",SUM(IF(LEFT($AG110:$DU110,1)="s",1,0))-SUM(IF(RIGHT(LEFT($AG110:$DU110,2))="-",1,0)))</f>
        <v/>
      </c>
      <c r="AF110" s="816" t="str">
        <f t="array" ref="AF110">IF($J110="","",SUM(IF(LEFT($AG110:$DA110,1)="X",1,0)))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3"/>
      <c r="BC110" s="893"/>
      <c r="BD110" s="893"/>
      <c r="BE110" s="893"/>
      <c r="BF110" s="897"/>
      <c r="BG110" s="897"/>
      <c r="BH110" s="897"/>
      <c r="BI110" s="893"/>
      <c r="BJ110" s="897"/>
      <c r="BK110" s="897"/>
      <c r="BL110" s="897"/>
      <c r="BM110" s="893"/>
      <c r="BN110" s="897"/>
      <c r="BO110" s="897"/>
      <c r="BP110" s="893"/>
      <c r="BQ110" s="897"/>
      <c r="BR110" s="897"/>
      <c r="BS110" s="897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</row>
    <row r="111" spans="1:82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6"/>
        <v/>
      </c>
      <c r="M111" s="816" t="str">
        <f t="shared" si="67"/>
        <v/>
      </c>
      <c r="N111" s="816" t="str">
        <f t="shared" si="68"/>
        <v/>
      </c>
      <c r="R111" s="816" t="str">
        <f t="shared" si="69"/>
        <v/>
      </c>
      <c r="T111" s="829" t="str">
        <f t="shared" si="70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IF($J111="","",IF(SUM(IF(ISNUMBER(VALUE(RIGHT($AG111:$CI111,1))),VALUE(RIGHT($AG111:$CI111,1)),0))=$J111,"T","F"))</f>
        <v/>
      </c>
      <c r="AE111" s="816" t="str">
        <f t="array" ref="AE111">IF($J111="","",SUM(IF(LEFT($AG111:$DU111,1)="s",1,0))-SUM(IF(RIGHT(LEFT($AG111:$DU111,2))="-",1,0)))</f>
        <v/>
      </c>
      <c r="AF111" s="816" t="str">
        <f t="array" ref="AF111">IF($J111="","",SUM(IF(LEFT($AG111:$DA111,1)="X",1,0)))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3"/>
      <c r="BC111" s="893"/>
      <c r="BD111" s="893"/>
      <c r="BE111" s="893"/>
      <c r="BF111" s="897"/>
      <c r="BG111" s="897"/>
      <c r="BH111" s="897"/>
      <c r="BI111" s="893"/>
      <c r="BJ111" s="897"/>
      <c r="BK111" s="897"/>
      <c r="BL111" s="897"/>
      <c r="BM111" s="893"/>
      <c r="BN111" s="897"/>
      <c r="BO111" s="897"/>
      <c r="BP111" s="893"/>
      <c r="BQ111" s="897"/>
      <c r="BR111" s="897"/>
      <c r="BS111" s="897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</row>
    <row r="112" spans="1:82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6"/>
        <v/>
      </c>
      <c r="M112" s="816" t="str">
        <f t="shared" si="67"/>
        <v/>
      </c>
      <c r="N112" s="816" t="str">
        <f t="shared" si="68"/>
        <v/>
      </c>
      <c r="R112" s="816" t="str">
        <f t="shared" si="69"/>
        <v/>
      </c>
      <c r="T112" s="829" t="str">
        <f t="shared" si="70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IF($J112="","",IF(SUM(IF(ISNUMBER(VALUE(RIGHT($AG112:$CI112,1))),VALUE(RIGHT($AG112:$CI112,1)),0))=$J112,"T","F"))</f>
        <v/>
      </c>
      <c r="AE112" s="816" t="str">
        <f t="array" ref="AE112">IF($J112="","",SUM(IF(LEFT($AG112:$DU112,1)="s",1,0))-SUM(IF(RIGHT(LEFT($AG112:$DU112,2))="-",1,0)))</f>
        <v/>
      </c>
      <c r="AF112" s="816" t="str">
        <f t="array" ref="AF112">IF($J112="","",SUM(IF(LEFT($AG112:$DA112,1)="X",1,0)))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3"/>
      <c r="BC112" s="893"/>
      <c r="BD112" s="893"/>
      <c r="BE112" s="893"/>
      <c r="BF112" s="897"/>
      <c r="BG112" s="897"/>
      <c r="BH112" s="897"/>
      <c r="BI112" s="893"/>
      <c r="BJ112" s="897"/>
      <c r="BK112" s="897"/>
      <c r="BL112" s="897"/>
      <c r="BM112" s="893"/>
      <c r="BN112" s="897"/>
      <c r="BO112" s="897"/>
      <c r="BP112" s="893"/>
      <c r="BQ112" s="897"/>
      <c r="BR112" s="897"/>
      <c r="BS112" s="897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</row>
    <row r="113" spans="4:82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6"/>
        <v/>
      </c>
      <c r="M113" s="816" t="str">
        <f t="shared" si="67"/>
        <v/>
      </c>
      <c r="N113" s="816" t="str">
        <f t="shared" si="68"/>
        <v/>
      </c>
      <c r="R113" s="816" t="str">
        <f t="shared" si="69"/>
        <v/>
      </c>
      <c r="T113" s="829" t="str">
        <f t="shared" si="70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IF($J113="","",IF(SUM(IF(ISNUMBER(VALUE(RIGHT($AG113:$CI113,1))),VALUE(RIGHT($AG113:$CI113,1)),0))=$J113,"T","F"))</f>
        <v/>
      </c>
      <c r="AE113" s="816" t="str">
        <f t="array" ref="AE113">IF($J113="","",SUM(IF(LEFT($AG113:$DU113,1)="s",1,0))-SUM(IF(RIGHT(LEFT($AG113:$DU113,2))="-",1,0)))</f>
        <v/>
      </c>
      <c r="AF113" s="816" t="str">
        <f t="array" ref="AF113">IF($J113="","",SUM(IF(LEFT($AG113:$DA113,1)="X",1,0)))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3"/>
      <c r="BC113" s="893"/>
      <c r="BD113" s="893"/>
      <c r="BE113" s="893"/>
      <c r="BF113" s="897"/>
      <c r="BG113" s="897"/>
      <c r="BH113" s="897"/>
      <c r="BI113" s="893"/>
      <c r="BJ113" s="897"/>
      <c r="BK113" s="897"/>
      <c r="BL113" s="897"/>
      <c r="BM113" s="893"/>
      <c r="BN113" s="897"/>
      <c r="BO113" s="897"/>
      <c r="BP113" s="893"/>
      <c r="BQ113" s="897"/>
      <c r="BR113" s="897"/>
      <c r="BS113" s="897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</row>
    <row r="114" spans="4:82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6"/>
        <v/>
      </c>
      <c r="M114" s="816" t="str">
        <f t="shared" si="67"/>
        <v/>
      </c>
      <c r="N114" s="816" t="str">
        <f t="shared" si="68"/>
        <v/>
      </c>
      <c r="R114" s="816" t="str">
        <f t="shared" si="69"/>
        <v/>
      </c>
      <c r="T114" s="829" t="str">
        <f t="shared" si="70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IF($J114="","",IF(SUM(IF(ISNUMBER(VALUE(RIGHT($AG114:$CI114,1))),VALUE(RIGHT($AG114:$CI114,1)),0))=$J114,"T","F"))</f>
        <v/>
      </c>
      <c r="AE114" s="816" t="str">
        <f t="array" ref="AE114">IF($J114="","",SUM(IF(LEFT($AG114:$DU114,1)="s",1,0))-SUM(IF(RIGHT(LEFT($AG114:$DU114,2))="-",1,0)))</f>
        <v/>
      </c>
      <c r="AF114" s="816" t="str">
        <f t="array" ref="AF114">IF($J114="","",SUM(IF(LEFT($AG114:$DA114,1)="X",1,0)))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3"/>
      <c r="BC114" s="893"/>
      <c r="BD114" s="893"/>
      <c r="BE114" s="893"/>
      <c r="BF114" s="897"/>
      <c r="BG114" s="897"/>
      <c r="BH114" s="897"/>
      <c r="BI114" s="893"/>
      <c r="BJ114" s="897"/>
      <c r="BK114" s="897"/>
      <c r="BL114" s="897"/>
      <c r="BM114" s="893"/>
      <c r="BN114" s="897"/>
      <c r="BO114" s="897"/>
      <c r="BP114" s="893"/>
      <c r="BQ114" s="897"/>
      <c r="BR114" s="897"/>
      <c r="BS114" s="897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</row>
    <row r="115" spans="4:82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6"/>
        <v/>
      </c>
      <c r="M115" s="816" t="str">
        <f t="shared" si="67"/>
        <v/>
      </c>
      <c r="N115" s="816" t="str">
        <f t="shared" si="68"/>
        <v/>
      </c>
      <c r="R115" s="816" t="str">
        <f t="shared" si="69"/>
        <v/>
      </c>
      <c r="T115" s="829" t="str">
        <f t="shared" si="70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IF($J115="","",IF(SUM(IF(ISNUMBER(VALUE(RIGHT($AG115:$CI115,1))),VALUE(RIGHT($AG115:$CI115,1)),0))=$J115,"T","F"))</f>
        <v/>
      </c>
      <c r="AE115" s="816" t="str">
        <f t="array" ref="AE115">IF($J115="","",SUM(IF(LEFT($AG115:$DU115,1)="s",1,0))-SUM(IF(RIGHT(LEFT($AG115:$DU115,2))="-",1,0)))</f>
        <v/>
      </c>
      <c r="AF115" s="816" t="str">
        <f t="array" ref="AF115">IF($J115="","",SUM(IF(LEFT($AG115:$DA115,1)="X",1,0)))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3"/>
      <c r="BC115" s="893"/>
      <c r="BD115" s="893"/>
      <c r="BE115" s="893"/>
      <c r="BF115" s="897"/>
      <c r="BG115" s="897"/>
      <c r="BH115" s="897"/>
      <c r="BI115" s="893"/>
      <c r="BJ115" s="897"/>
      <c r="BK115" s="897"/>
      <c r="BL115" s="897"/>
      <c r="BM115" s="893"/>
      <c r="BN115" s="897"/>
      <c r="BO115" s="897"/>
      <c r="BP115" s="893"/>
      <c r="BQ115" s="897"/>
      <c r="BR115" s="897"/>
      <c r="BS115" s="897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</row>
    <row r="116" spans="4:82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6"/>
        <v/>
      </c>
      <c r="M116" s="816" t="str">
        <f t="shared" si="67"/>
        <v/>
      </c>
      <c r="N116" s="816" t="str">
        <f t="shared" si="68"/>
        <v/>
      </c>
      <c r="R116" s="816" t="str">
        <f t="shared" si="69"/>
        <v/>
      </c>
      <c r="T116" s="829" t="str">
        <f t="shared" si="70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IF($J116="","",IF(SUM(IF(ISNUMBER(VALUE(RIGHT($AG116:$CI116,1))),VALUE(RIGHT($AG116:$CI116,1)),0))=$J116,"T","F"))</f>
        <v/>
      </c>
      <c r="AE116" s="816" t="str">
        <f t="array" ref="AE116">IF($J116="","",SUM(IF(LEFT($AG116:$DU116,1)="s",1,0))-SUM(IF(RIGHT(LEFT($AG116:$DU116,2))="-",1,0)))</f>
        <v/>
      </c>
      <c r="AF116" s="816" t="str">
        <f t="array" ref="AF116">IF($J116="","",SUM(IF(LEFT($AG116:$DA116,1)="X",1,0)))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3"/>
      <c r="BC116" s="893"/>
      <c r="BD116" s="893"/>
      <c r="BE116" s="893"/>
      <c r="BF116" s="897"/>
      <c r="BG116" s="897"/>
      <c r="BH116" s="897"/>
      <c r="BI116" s="893"/>
      <c r="BJ116" s="897"/>
      <c r="BK116" s="897"/>
      <c r="BL116" s="897"/>
      <c r="BM116" s="893"/>
      <c r="BN116" s="897"/>
      <c r="BO116" s="897"/>
      <c r="BP116" s="893"/>
      <c r="BQ116" s="897"/>
      <c r="BR116" s="897"/>
      <c r="BS116" s="897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</row>
    <row r="117" spans="4:82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6"/>
        <v/>
      </c>
      <c r="M117" s="816" t="str">
        <f t="shared" si="67"/>
        <v/>
      </c>
      <c r="N117" s="816" t="str">
        <f t="shared" si="68"/>
        <v/>
      </c>
      <c r="R117" s="816" t="str">
        <f t="shared" si="69"/>
        <v/>
      </c>
      <c r="T117" s="829" t="str">
        <f t="shared" si="70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IF($J117="","",IF(SUM(IF(ISNUMBER(VALUE(RIGHT($AG117:$CI117,1))),VALUE(RIGHT($AG117:$CI117,1)),0))=$J117,"T","F"))</f>
        <v/>
      </c>
      <c r="AE117" s="816" t="str">
        <f t="array" ref="AE117">IF($J117="","",SUM(IF(LEFT($AG117:$DU117,1)="s",1,0))-SUM(IF(RIGHT(LEFT($AG117:$DU117,2))="-",1,0)))</f>
        <v/>
      </c>
      <c r="AF117" s="816" t="str">
        <f t="array" ref="AF117">IF($J117="","",SUM(IF(LEFT($AG117:$DA117,1)="X",1,0)))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3"/>
      <c r="BC117" s="893"/>
      <c r="BD117" s="893"/>
      <c r="BE117" s="893"/>
      <c r="BF117" s="897"/>
      <c r="BG117" s="897"/>
      <c r="BH117" s="897"/>
      <c r="BI117" s="893"/>
      <c r="BJ117" s="897"/>
      <c r="BK117" s="897"/>
      <c r="BL117" s="897"/>
      <c r="BM117" s="893"/>
      <c r="BN117" s="897"/>
      <c r="BO117" s="897"/>
      <c r="BP117" s="893"/>
      <c r="BQ117" s="897"/>
      <c r="BR117" s="897"/>
      <c r="BS117" s="897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</row>
    <row r="118" spans="4:82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6"/>
        <v/>
      </c>
      <c r="M118" s="816" t="str">
        <f t="shared" si="67"/>
        <v/>
      </c>
      <c r="N118" s="816" t="str">
        <f t="shared" si="68"/>
        <v/>
      </c>
      <c r="R118" s="816" t="str">
        <f t="shared" si="69"/>
        <v/>
      </c>
      <c r="T118" s="829" t="str">
        <f t="shared" si="70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IF($J118="","",IF(SUM(IF(ISNUMBER(VALUE(RIGHT($AG118:$CI118,1))),VALUE(RIGHT($AG118:$CI118,1)),0))=$J118,"T","F"))</f>
        <v/>
      </c>
      <c r="AE118" s="816" t="str">
        <f t="array" ref="AE118">IF($J118="","",SUM(IF(LEFT($AG118:$DU118,1)="s",1,0))-SUM(IF(RIGHT(LEFT($AG118:$DU118,2))="-",1,0)))</f>
        <v/>
      </c>
      <c r="AF118" s="816" t="str">
        <f t="array" ref="AF118">IF($J118="","",SUM(IF(LEFT($AG118:$DA118,1)="X",1,0)))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3"/>
      <c r="BC118" s="893"/>
      <c r="BD118" s="893"/>
      <c r="BE118" s="893"/>
      <c r="BF118" s="897"/>
      <c r="BG118" s="897"/>
      <c r="BH118" s="897"/>
      <c r="BI118" s="893"/>
      <c r="BJ118" s="897"/>
      <c r="BK118" s="897"/>
      <c r="BL118" s="897"/>
      <c r="BM118" s="893"/>
      <c r="BN118" s="897"/>
      <c r="BO118" s="897"/>
      <c r="BP118" s="893"/>
      <c r="BQ118" s="897"/>
      <c r="BR118" s="897"/>
      <c r="BS118" s="897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</row>
    <row r="119" spans="4:82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6"/>
        <v/>
      </c>
      <c r="M119" s="816" t="str">
        <f t="shared" si="67"/>
        <v/>
      </c>
      <c r="N119" s="816" t="str">
        <f t="shared" si="68"/>
        <v/>
      </c>
      <c r="R119" s="816" t="str">
        <f t="shared" si="69"/>
        <v/>
      </c>
      <c r="T119" s="829" t="str">
        <f t="shared" si="70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IF($J119="","",IF(SUM(IF(ISNUMBER(VALUE(RIGHT($AG119:$CI119,1))),VALUE(RIGHT($AG119:$CI119,1)),0))=$J119,"T","F"))</f>
        <v/>
      </c>
      <c r="AE119" s="816" t="str">
        <f t="array" ref="AE119">IF($J119="","",SUM(IF(LEFT($AG119:$DU119,1)="s",1,0))-SUM(IF(RIGHT(LEFT($AG119:$DU119,2))="-",1,0)))</f>
        <v/>
      </c>
      <c r="AF119" s="816" t="str">
        <f t="array" ref="AF119">IF($J119="","",SUM(IF(LEFT($AG119:$DA119,1)="X",1,0)))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3"/>
      <c r="BC119" s="893"/>
      <c r="BD119" s="893"/>
      <c r="BE119" s="893"/>
      <c r="BF119" s="897"/>
      <c r="BG119" s="897"/>
      <c r="BH119" s="897"/>
      <c r="BI119" s="893"/>
      <c r="BJ119" s="897"/>
      <c r="BK119" s="897"/>
      <c r="BL119" s="897"/>
      <c r="BM119" s="893"/>
      <c r="BN119" s="897"/>
      <c r="BO119" s="897"/>
      <c r="BP119" s="893"/>
      <c r="BQ119" s="897"/>
      <c r="BR119" s="897"/>
      <c r="BS119" s="897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</row>
    <row r="120" spans="4:82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6"/>
        <v/>
      </c>
      <c r="M120" s="816" t="str">
        <f t="shared" si="67"/>
        <v/>
      </c>
      <c r="N120" s="816" t="str">
        <f t="shared" si="68"/>
        <v/>
      </c>
      <c r="R120" s="816" t="str">
        <f t="shared" si="69"/>
        <v/>
      </c>
      <c r="T120" s="829" t="str">
        <f t="shared" si="70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IF($J120="","",IF(SUM(IF(ISNUMBER(VALUE(RIGHT($AG120:$CI120,1))),VALUE(RIGHT($AG120:$CI120,1)),0))=$J120,"T","F"))</f>
        <v/>
      </c>
      <c r="AE120" s="816" t="str">
        <f t="array" ref="AE120">IF($J120="","",SUM(IF(LEFT($AG120:$DU120,1)="s",1,0))-SUM(IF(RIGHT(LEFT($AG120:$DU120,2))="-",1,0)))</f>
        <v/>
      </c>
      <c r="AF120" s="816" t="str">
        <f t="array" ref="AF120">IF($J120="","",SUM(IF(LEFT($AG120:$DA120,1)="X",1,0)))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3"/>
      <c r="BC120" s="893"/>
      <c r="BD120" s="893"/>
      <c r="BE120" s="893"/>
      <c r="BF120" s="897"/>
      <c r="BG120" s="897"/>
      <c r="BH120" s="897"/>
      <c r="BI120" s="893"/>
      <c r="BJ120" s="897"/>
      <c r="BK120" s="897"/>
      <c r="BL120" s="897"/>
      <c r="BM120" s="893"/>
      <c r="BN120" s="897"/>
      <c r="BO120" s="897"/>
      <c r="BP120" s="893"/>
      <c r="BQ120" s="897"/>
      <c r="BR120" s="897"/>
      <c r="BS120" s="897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</row>
    <row r="121" spans="4:82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6"/>
        <v/>
      </c>
      <c r="M121" s="816" t="str">
        <f t="shared" si="67"/>
        <v/>
      </c>
      <c r="N121" s="816" t="str">
        <f t="shared" si="68"/>
        <v/>
      </c>
      <c r="R121" s="816" t="str">
        <f t="shared" si="69"/>
        <v/>
      </c>
      <c r="T121" s="829" t="str">
        <f t="shared" si="70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IF($J121="","",IF(SUM(IF(ISNUMBER(VALUE(RIGHT($AG121:$CI121,1))),VALUE(RIGHT($AG121:$CI121,1)),0))=$J121,"T","F"))</f>
        <v/>
      </c>
      <c r="AE121" s="816" t="str">
        <f t="array" ref="AE121">IF($J121="","",SUM(IF(LEFT($AG121:$DU121,1)="s",1,0))-SUM(IF(RIGHT(LEFT($AG121:$DU121,2))="-",1,0)))</f>
        <v/>
      </c>
      <c r="AF121" s="816" t="str">
        <f t="array" ref="AF121">IF($J121="","",SUM(IF(LEFT($AG121:$DA121,1)="X",1,0)))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3"/>
      <c r="BC121" s="893"/>
      <c r="BD121" s="893"/>
      <c r="BE121" s="893"/>
      <c r="BF121" s="897"/>
      <c r="BG121" s="897"/>
      <c r="BH121" s="897"/>
      <c r="BI121" s="893"/>
      <c r="BJ121" s="897"/>
      <c r="BK121" s="897"/>
      <c r="BL121" s="897"/>
      <c r="BM121" s="893"/>
      <c r="BN121" s="897"/>
      <c r="BO121" s="897"/>
      <c r="BP121" s="893"/>
      <c r="BQ121" s="897"/>
      <c r="BR121" s="897"/>
      <c r="BS121" s="897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</row>
    <row r="122" spans="4:82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6"/>
        <v/>
      </c>
      <c r="M122" s="816" t="str">
        <f t="shared" si="67"/>
        <v/>
      </c>
      <c r="N122" s="816" t="str">
        <f t="shared" si="68"/>
        <v/>
      </c>
      <c r="R122" s="816" t="str">
        <f t="shared" si="69"/>
        <v/>
      </c>
      <c r="T122" s="829" t="str">
        <f t="shared" si="70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IF($J122="","",IF(SUM(IF(ISNUMBER(VALUE(RIGHT($AG122:$CI122,1))),VALUE(RIGHT($AG122:$CI122,1)),0))=$J122,"T","F"))</f>
        <v/>
      </c>
      <c r="AE122" s="816" t="str">
        <f t="array" ref="AE122">IF($J122="","",SUM(IF(LEFT($AG122:$DU122,1)="s",1,0))-SUM(IF(RIGHT(LEFT($AG122:$DU122,2))="-",1,0)))</f>
        <v/>
      </c>
      <c r="AF122" s="816" t="str">
        <f t="array" ref="AF122">IF($J122="","",SUM(IF(LEFT($AG122:$DA122,1)="X",1,0)))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3"/>
      <c r="BC122" s="893"/>
      <c r="BD122" s="893"/>
      <c r="BE122" s="893"/>
      <c r="BF122" s="897"/>
      <c r="BG122" s="897"/>
      <c r="BH122" s="897"/>
      <c r="BI122" s="893"/>
      <c r="BJ122" s="897"/>
      <c r="BK122" s="897"/>
      <c r="BL122" s="897"/>
      <c r="BM122" s="893"/>
      <c r="BN122" s="897"/>
      <c r="BO122" s="897"/>
      <c r="BP122" s="893"/>
      <c r="BQ122" s="897"/>
      <c r="BR122" s="897"/>
      <c r="BS122" s="897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</row>
    <row r="123" spans="4:82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6"/>
        <v/>
      </c>
      <c r="M123" s="816" t="str">
        <f t="shared" si="67"/>
        <v/>
      </c>
      <c r="N123" s="816" t="str">
        <f t="shared" si="68"/>
        <v/>
      </c>
      <c r="R123" s="816" t="str">
        <f t="shared" si="69"/>
        <v/>
      </c>
      <c r="T123" s="829" t="str">
        <f t="shared" si="70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IF($J123="","",IF(SUM(IF(ISNUMBER(VALUE(RIGHT($AG123:$CI123,1))),VALUE(RIGHT($AG123:$CI123,1)),0))=$J123,"T","F"))</f>
        <v/>
      </c>
      <c r="AE123" s="816" t="str">
        <f t="array" ref="AE123">IF($J123="","",SUM(IF(LEFT($AG123:$DU123,1)="s",1,0))-SUM(IF(RIGHT(LEFT($AG123:$DU123,2))="-",1,0)))</f>
        <v/>
      </c>
      <c r="AF123" s="816" t="str">
        <f t="array" ref="AF123">IF($J123="","",SUM(IF(LEFT($AG123:$DA123,1)="X",1,0)))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3"/>
      <c r="BC123" s="893"/>
      <c r="BD123" s="893"/>
      <c r="BE123" s="893"/>
      <c r="BF123" s="897"/>
      <c r="BG123" s="897"/>
      <c r="BH123" s="897"/>
      <c r="BI123" s="893"/>
      <c r="BJ123" s="897"/>
      <c r="BK123" s="897"/>
      <c r="BL123" s="897"/>
      <c r="BM123" s="893"/>
      <c r="BN123" s="897"/>
      <c r="BO123" s="897"/>
      <c r="BP123" s="893"/>
      <c r="BQ123" s="897"/>
      <c r="BR123" s="897"/>
      <c r="BS123" s="897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</row>
    <row r="124" spans="4:82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6"/>
        <v/>
      </c>
      <c r="M124" s="816" t="str">
        <f t="shared" si="67"/>
        <v/>
      </c>
      <c r="N124" s="816" t="str">
        <f t="shared" si="68"/>
        <v/>
      </c>
      <c r="R124" s="816" t="str">
        <f t="shared" si="69"/>
        <v/>
      </c>
      <c r="T124" s="829" t="str">
        <f t="shared" si="70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IF($J124="","",IF(SUM(IF(ISNUMBER(VALUE(RIGHT($AG124:$CI124,1))),VALUE(RIGHT($AG124:$CI124,1)),0))=$J124,"T","F"))</f>
        <v/>
      </c>
      <c r="AE124" s="816" t="str">
        <f t="array" ref="AE124">IF($J124="","",SUM(IF(LEFT($AG124:$DU124,1)="s",1,0))-SUM(IF(RIGHT(LEFT($AG124:$DU124,2))="-",1,0)))</f>
        <v/>
      </c>
      <c r="AF124" s="816" t="str">
        <f t="array" ref="AF124">IF($J124="","",SUM(IF(LEFT($AG124:$DA124,1)="X",1,0)))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3"/>
      <c r="BC124" s="893"/>
      <c r="BD124" s="893"/>
      <c r="BE124" s="893"/>
      <c r="BF124" s="897"/>
      <c r="BG124" s="897"/>
      <c r="BH124" s="897"/>
      <c r="BI124" s="893"/>
      <c r="BJ124" s="897"/>
      <c r="BK124" s="897"/>
      <c r="BL124" s="897"/>
      <c r="BM124" s="893"/>
      <c r="BN124" s="897"/>
      <c r="BO124" s="897"/>
      <c r="BP124" s="893"/>
      <c r="BQ124" s="897"/>
      <c r="BR124" s="897"/>
      <c r="BS124" s="897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</row>
    <row r="125" spans="4:82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6"/>
        <v/>
      </c>
      <c r="M125" s="816" t="str">
        <f t="shared" si="67"/>
        <v/>
      </c>
      <c r="N125" s="816" t="str">
        <f t="shared" si="68"/>
        <v/>
      </c>
      <c r="R125" s="816" t="str">
        <f t="shared" si="69"/>
        <v/>
      </c>
      <c r="T125" s="829" t="str">
        <f t="shared" si="70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IF($J125="","",IF(SUM(IF(ISNUMBER(VALUE(RIGHT($AG125:$CI125,1))),VALUE(RIGHT($AG125:$CI125,1)),0))=$J125,"T","F"))</f>
        <v/>
      </c>
      <c r="AE125" s="816" t="str">
        <f t="array" ref="AE125">IF($J125="","",SUM(IF(LEFT($AG125:$DU125,1)="s",1,0))-SUM(IF(RIGHT(LEFT($AG125:$DU125,2))="-",1,0)))</f>
        <v/>
      </c>
      <c r="AF125" s="816" t="str">
        <f t="array" ref="AF125">IF($J125="","",SUM(IF(LEFT($AG125:$DA125,1)="X",1,0)))</f>
        <v/>
      </c>
    </row>
    <row r="126" spans="4:82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6"/>
        <v/>
      </c>
      <c r="M126" s="816" t="str">
        <f t="shared" si="67"/>
        <v/>
      </c>
      <c r="N126" s="816" t="str">
        <f t="shared" si="68"/>
        <v/>
      </c>
      <c r="R126" s="816" t="str">
        <f t="shared" si="69"/>
        <v/>
      </c>
      <c r="T126" s="829" t="str">
        <f t="shared" si="70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IF($J126="","",IF(SUM(IF(ISNUMBER(VALUE(RIGHT($AG126:$CI126,1))),VALUE(RIGHT($AG126:$CI126,1)),0))=$J126,"T","F"))</f>
        <v/>
      </c>
      <c r="AE126" s="816" t="str">
        <f t="array" ref="AE126">IF($J126="","",SUM(IF(LEFT($AG126:$DU126,1)="s",1,0))-SUM(IF(RIGHT(LEFT($AG126:$DU126,2))="-",1,0)))</f>
        <v/>
      </c>
      <c r="AF126" s="816" t="str">
        <f t="array" ref="AF126">IF($J126="","",SUM(IF(LEFT($AG126:$DA126,1)="X",1,0)))</f>
        <v/>
      </c>
    </row>
    <row r="127" spans="4:82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6"/>
        <v/>
      </c>
      <c r="M127" s="816" t="str">
        <f t="shared" si="67"/>
        <v/>
      </c>
      <c r="N127" s="816" t="str">
        <f t="shared" si="68"/>
        <v/>
      </c>
      <c r="R127" s="816" t="str">
        <f t="shared" si="69"/>
        <v/>
      </c>
      <c r="T127" s="829" t="str">
        <f t="shared" si="70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IF($J127="","",IF(SUM(IF(ISNUMBER(VALUE(RIGHT($AG127:$CI127,1))),VALUE(RIGHT($AG127:$CI127,1)),0))=$J127,"T","F"))</f>
        <v/>
      </c>
      <c r="AE127" s="816" t="str">
        <f t="array" ref="AE127">IF($J127="","",SUM(IF(LEFT($AG127:$DU127,1)="s",1,0))-SUM(IF(RIGHT(LEFT($AG127:$DU127,2))="-",1,0)))</f>
        <v/>
      </c>
      <c r="AF127" s="816" t="str">
        <f t="array" ref="AF127">IF($J127="","",SUM(IF(LEFT($AG127:$DA127,1)="X",1,0)))</f>
        <v/>
      </c>
    </row>
    <row r="128" spans="4:82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6"/>
        <v/>
      </c>
      <c r="M128" s="816" t="str">
        <f t="shared" si="67"/>
        <v/>
      </c>
      <c r="N128" s="816" t="str">
        <f t="shared" si="68"/>
        <v/>
      </c>
      <c r="R128" s="816" t="str">
        <f t="shared" si="69"/>
        <v/>
      </c>
      <c r="T128" s="829" t="str">
        <f t="shared" si="70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IF($J128="","",IF(SUM(IF(ISNUMBER(VALUE(RIGHT($AG128:$CI128,1))),VALUE(RIGHT($AG128:$CI128,1)),0))=$J128,"T","F"))</f>
        <v/>
      </c>
      <c r="AE128" s="816" t="str">
        <f t="array" ref="AE128">IF($J128="","",SUM(IF(LEFT($AG128:$DU128,1)="s",1,0))-SUM(IF(RIGHT(LEFT($AG128:$DU128,2))="-",1,0)))</f>
        <v/>
      </c>
      <c r="AF128" s="816" t="str">
        <f t="array" ref="AF128">IF($J128="","",SUM(IF(LEFT($AG128:$DA128,1)="X",1,0)))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6"/>
        <v/>
      </c>
      <c r="M129" s="816" t="str">
        <f t="shared" si="67"/>
        <v/>
      </c>
      <c r="N129" s="816" t="str">
        <f t="shared" si="68"/>
        <v/>
      </c>
      <c r="R129" s="816" t="str">
        <f t="shared" si="69"/>
        <v/>
      </c>
      <c r="T129" s="829" t="str">
        <f t="shared" si="70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IF($J129="","",IF(SUM(IF(ISNUMBER(VALUE(RIGHT($AG129:$CI129,1))),VALUE(RIGHT($AG129:$CI129,1)),0))=$J129,"T","F"))</f>
        <v/>
      </c>
      <c r="AE129" s="816" t="str">
        <f t="array" ref="AE129">IF($J129="","",SUM(IF(LEFT($AG129:$DU129,1)="s",1,0))-SUM(IF(RIGHT(LEFT($AG129:$DU129,2))="-",1,0)))</f>
        <v/>
      </c>
      <c r="AF129" s="816" t="str">
        <f t="array" ref="AF129">IF($J129="","",SUM(IF(LEFT($AG129:$DA129,1)="X",1,0)))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6"/>
        <v/>
      </c>
      <c r="M130" s="816" t="str">
        <f t="shared" si="67"/>
        <v/>
      </c>
      <c r="N130" s="816" t="str">
        <f t="shared" si="68"/>
        <v/>
      </c>
      <c r="R130" s="816" t="str">
        <f t="shared" si="69"/>
        <v/>
      </c>
      <c r="T130" s="829" t="str">
        <f t="shared" si="70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IF($J130="","",IF(SUM(IF(ISNUMBER(VALUE(RIGHT($AG130:$CI130,1))),VALUE(RIGHT($AG130:$CI130,1)),0))=$J130,"T","F"))</f>
        <v/>
      </c>
      <c r="AE130" s="816" t="str">
        <f t="array" ref="AE130">IF($J130="","",SUM(IF(LEFT($AG130:$DU130,1)="s",1,0))-SUM(IF(RIGHT(LEFT($AG130:$DU130,2))="-",1,0)))</f>
        <v/>
      </c>
      <c r="AF130" s="816" t="str">
        <f t="array" ref="AF130">IF($J130="","",SUM(IF(LEFT($AG130:$DA130,1)="X",1,0)))</f>
        <v/>
      </c>
    </row>
    <row r="131" spans="4:32">
      <c r="G131" s="833"/>
      <c r="H131" s="833"/>
      <c r="I131" s="833"/>
      <c r="J131" s="833"/>
      <c r="K131" s="833"/>
      <c r="T131" s="829"/>
      <c r="U131" s="829"/>
      <c r="V131" s="829"/>
      <c r="W131" s="829"/>
      <c r="X131" s="829"/>
      <c r="Y131" s="829"/>
      <c r="Z131" s="829"/>
      <c r="AA131" s="829"/>
      <c r="AB131" s="829"/>
      <c r="AC131" s="829"/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</sheetData>
  <autoFilter ref="A22:DG77"/>
  <mergeCells count="3">
    <mergeCell ref="W19:X19"/>
    <mergeCell ref="Y19:Z19"/>
    <mergeCell ref="AA19:AB19"/>
  </mergeCells>
  <phoneticPr fontId="21" type="noConversion"/>
  <conditionalFormatting sqref="AD23:AD307">
    <cfRule type="cellIs" dxfId="466" priority="37" operator="equal">
      <formula>"T"</formula>
    </cfRule>
  </conditionalFormatting>
  <conditionalFormatting sqref="N23:N307">
    <cfRule type="cellIs" dxfId="465" priority="44" stopIfTrue="1" operator="equal">
      <formula>"U"</formula>
    </cfRule>
    <cfRule type="cellIs" dxfId="464" priority="45" stopIfTrue="1" operator="equal">
      <formula>"O"</formula>
    </cfRule>
  </conditionalFormatting>
  <conditionalFormatting sqref="L23:L307">
    <cfRule type="cellIs" dxfId="463" priority="42" stopIfTrue="1" operator="equal">
      <formula>"W"</formula>
    </cfRule>
    <cfRule type="cellIs" dxfId="462" priority="43" stopIfTrue="1" operator="equal">
      <formula>"D"</formula>
    </cfRule>
  </conditionalFormatting>
  <conditionalFormatting sqref="AF23:AF307">
    <cfRule type="cellIs" dxfId="461" priority="40" stopIfTrue="1" operator="notEqual">
      <formula>11</formula>
    </cfRule>
    <cfRule type="cellIs" dxfId="460" priority="41" stopIfTrue="1" operator="between">
      <formula>0</formula>
      <formula>20</formula>
    </cfRule>
  </conditionalFormatting>
  <conditionalFormatting sqref="AE23:AE307">
    <cfRule type="cellIs" dxfId="459" priority="38" stopIfTrue="1" operator="notEqual">
      <formula>0</formula>
    </cfRule>
    <cfRule type="cellIs" dxfId="458" priority="39" stopIfTrue="1" operator="between">
      <formula>0</formula>
      <formula>20</formula>
    </cfRule>
  </conditionalFormatting>
  <conditionalFormatting sqref="CF19:CW19">
    <cfRule type="expression" dxfId="457" priority="33">
      <formula>CF19="G"</formula>
    </cfRule>
    <cfRule type="expression" dxfId="456" priority="34">
      <formula>CF19="M"</formula>
    </cfRule>
    <cfRule type="expression" dxfId="455" priority="35">
      <formula>CF19="D"</formula>
    </cfRule>
    <cfRule type="expression" dxfId="454" priority="36">
      <formula>CF19="A"</formula>
    </cfRule>
  </conditionalFormatting>
  <conditionalFormatting sqref="BO19:CE19 AK19:BK19">
    <cfRule type="expression" dxfId="453" priority="29">
      <formula>AK19="G"</formula>
    </cfRule>
    <cfRule type="expression" dxfId="452" priority="30">
      <formula>OR(AK19="M",AK19="CM",AK19="LM",AK19="RM",AK19="DM",AK19="AM")</formula>
    </cfRule>
    <cfRule type="expression" dxfId="451" priority="31">
      <formula>OR(AK19="D",AK19="CB",AK19="LB",AK19="RB")</formula>
    </cfRule>
    <cfRule type="expression" dxfId="450" priority="32">
      <formula>OR(AK19="A",AK19="CF",AK19="SS",AK19="ST",AK19="RW",AK19="LW")</formula>
    </cfRule>
  </conditionalFormatting>
  <conditionalFormatting sqref="BQ23:BV67 AG23:BR70">
    <cfRule type="expression" dxfId="449" priority="27">
      <formula>IF(ISNUMBER(VALUE(RIGHT(AG23,1))),1,0)</formula>
    </cfRule>
  </conditionalFormatting>
  <conditionalFormatting sqref="BX16:CD16 AG16:BS16">
    <cfRule type="top10" dxfId="448" priority="46" stopIfTrue="1" rank="5"/>
  </conditionalFormatting>
  <conditionalFormatting sqref="BX15:CD15 AG15:BS15">
    <cfRule type="top10" dxfId="447" priority="47" rank="11"/>
  </conditionalFormatting>
  <conditionalFormatting sqref="BX17:CD17 AG17:BS17">
    <cfRule type="top10" dxfId="446" priority="48" stopIfTrue="1" rank="5"/>
  </conditionalFormatting>
  <conditionalFormatting sqref="BX14:CD14 BL14:BM17 BO14:BQ17 AG14:BS14">
    <cfRule type="top10" dxfId="445" priority="49" rank="11"/>
  </conditionalFormatting>
  <conditionalFormatting sqref="BM32:BM65">
    <cfRule type="expression" dxfId="444" priority="26">
      <formula>IF(ISNUMBER(VALUE(RIGHT(BM32,1))),1,0)</formula>
    </cfRule>
  </conditionalFormatting>
  <conditionalFormatting sqref="AT55">
    <cfRule type="expression" dxfId="443" priority="25">
      <formula>IF(ISNUMBER(VALUE(RIGHT(AT55,1))),1,0)</formula>
    </cfRule>
  </conditionalFormatting>
  <conditionalFormatting sqref="BL55">
    <cfRule type="expression" dxfId="442" priority="24">
      <formula>IF(ISNUMBER(VALUE(RIGHT(BL55,1))),1,0)</formula>
    </cfRule>
  </conditionalFormatting>
  <conditionalFormatting sqref="BN19 AG19:AJ19">
    <cfRule type="expression" dxfId="441" priority="12">
      <formula>AG19="G"</formula>
    </cfRule>
    <cfRule type="expression" dxfId="440" priority="13">
      <formula>OR(AG19="M",AG19="CM",AG19="LM",AG19="RM",AG19="DM",AG19="AM")</formula>
    </cfRule>
    <cfRule type="expression" dxfId="439" priority="14">
      <formula>OR(AG19="D",AG19="CB",AG19="LB",AG19="RB")</formula>
    </cfRule>
    <cfRule type="expression" dxfId="438" priority="15">
      <formula>OR(AG19="A",AG19="CF",AG19="SS",AG19="ST",AG19="RW",AG19="LW")</formula>
    </cfRule>
  </conditionalFormatting>
  <conditionalFormatting sqref="BN19 AG19:BK19">
    <cfRule type="cellIs" dxfId="437" priority="11" operator="equal">
      <formula>"M"</formula>
    </cfRule>
  </conditionalFormatting>
  <conditionalFormatting sqref="BN19 AG19:BK19">
    <cfRule type="cellIs" dxfId="436" priority="10" operator="equal">
      <formula>"D"</formula>
    </cfRule>
  </conditionalFormatting>
  <conditionalFormatting sqref="BN19 AG19:BK19">
    <cfRule type="cellIs" dxfId="435" priority="8" operator="equal">
      <formula>"G"</formula>
    </cfRule>
    <cfRule type="cellIs" dxfId="434" priority="9" operator="equal">
      <formula>"A"</formula>
    </cfRule>
  </conditionalFormatting>
  <conditionalFormatting sqref="BN19 AG19:BK19">
    <cfRule type="containsText" dxfId="433" priority="5" operator="containsText" text="FW">
      <formula>NOT(ISERROR(SEARCH("FW",AG19)))</formula>
    </cfRule>
    <cfRule type="containsText" dxfId="432" priority="6" operator="containsText" text="MF">
      <formula>NOT(ISERROR(SEARCH("MF",AG19)))</formula>
    </cfRule>
    <cfRule type="containsText" dxfId="431" priority="7" operator="containsText" text="DF">
      <formula>NOT(ISERROR(SEARCH("DF",AG19)))</formula>
    </cfRule>
  </conditionalFormatting>
  <conditionalFormatting sqref="BL19:BM19">
    <cfRule type="expression" dxfId="430" priority="1">
      <formula>BL19="G"</formula>
    </cfRule>
    <cfRule type="expression" dxfId="429" priority="2">
      <formula>OR(BL19="M",BL19="CM",BL19="LM",BL19="RM",BL19="DM",BL19="AM")</formula>
    </cfRule>
    <cfRule type="expression" dxfId="428" priority="3">
      <formula>OR(BL19="D",BL19="CB",BL19="LB",BL19="RB")</formula>
    </cfRule>
    <cfRule type="expression" dxfId="427" priority="4">
      <formula>OR(BL19="A",BL19="CF",BL19="SS",BL19="ST",BL19="RW",BL19="LW")</formula>
    </cfRule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$I23:$I239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DS238"/>
  <sheetViews>
    <sheetView tabSelected="1" zoomScale="85" zoomScaleNormal="85" workbookViewId="0">
      <pane xSplit="32" ySplit="22" topLeftCell="AG41" activePane="bottomRight" state="frozen"/>
      <selection activeCell="AB20" sqref="AB20"/>
      <selection pane="topRight" activeCell="AB20" sqref="AB20"/>
      <selection pane="bottomLeft" activeCell="AB20" sqref="AB20"/>
      <selection pane="bottomRight" activeCell="AR51" sqref="AR51"/>
    </sheetView>
  </sheetViews>
  <sheetFormatPr defaultColWidth="5.75" defaultRowHeight="13.5" outlineLevelRow="1" outlineLevelCol="1"/>
  <cols>
    <col min="1" max="1" width="10.75" style="827" customWidth="1"/>
    <col min="2" max="4" width="10.75" style="816" hidden="1" customWidth="1" outlineLevel="1"/>
    <col min="5" max="5" width="10.75" style="827" hidden="1" customWidth="1" outlineLevel="1"/>
    <col min="6" max="6" width="5.75" style="816" customWidth="1" collapsed="1"/>
    <col min="7" max="7" width="15.75" style="816" customWidth="1"/>
    <col min="8" max="8" width="4.75" style="816" customWidth="1"/>
    <col min="9" max="14" width="3.75" style="816" customWidth="1"/>
    <col min="15" max="15" width="6" style="874" customWidth="1"/>
    <col min="16" max="16" width="5.75" style="874" customWidth="1"/>
    <col min="17" max="17" width="6" style="874" customWidth="1"/>
    <col min="18" max="19" width="5.75" style="816" customWidth="1"/>
    <col min="20" max="20" width="6" style="816" customWidth="1"/>
    <col min="21" max="22" width="6" style="816" customWidth="1" outlineLevel="1"/>
    <col min="23" max="28" width="3.625" style="816" customWidth="1" outlineLevel="1"/>
    <col min="29" max="29" width="5.875" style="816" customWidth="1" outlineLevel="1"/>
    <col min="30" max="32" width="3.75" style="816" customWidth="1"/>
    <col min="33" max="36" width="3.75" style="230" customWidth="1"/>
    <col min="37" max="37" width="4" bestFit="1" customWidth="1"/>
    <col min="38" max="53" width="3.75" style="230" customWidth="1"/>
    <col min="54" max="54" width="3.75" bestFit="1" customWidth="1"/>
    <col min="55" max="60" width="3.75" style="230" customWidth="1"/>
    <col min="61" max="61" width="4.125" customWidth="1"/>
    <col min="62" max="62" width="3.75" style="230" customWidth="1"/>
    <col min="63" max="63" width="3.75" customWidth="1"/>
    <col min="64" max="64" width="3.75" bestFit="1" customWidth="1"/>
    <col min="65" max="68" width="3.75" style="230" customWidth="1"/>
    <col min="69" max="69" width="3.75" bestFit="1" customWidth="1"/>
    <col min="70" max="70" width="3.75" style="230" customWidth="1"/>
    <col min="71" max="71" width="3.75" bestFit="1" customWidth="1"/>
    <col min="72" max="104" width="3.75" style="230" customWidth="1"/>
    <col min="105" max="16384" width="5.75" style="230"/>
  </cols>
  <sheetData>
    <row r="1" spans="1:92" s="874" customFormat="1" ht="81.75" hidden="1" customHeight="1" outlineLevel="1">
      <c r="A1" s="787"/>
      <c r="B1" s="787"/>
      <c r="C1" s="787"/>
      <c r="D1" s="787"/>
      <c r="E1" s="787"/>
      <c r="J1" s="787"/>
      <c r="L1" s="813"/>
      <c r="M1" s="814"/>
      <c r="N1" s="814"/>
      <c r="R1" s="814"/>
      <c r="S1" s="814"/>
      <c r="T1" s="815"/>
      <c r="U1" s="815"/>
      <c r="V1" s="815"/>
      <c r="W1" s="815"/>
      <c r="X1" s="815"/>
      <c r="Y1" s="815"/>
      <c r="Z1" s="815"/>
      <c r="AA1" s="815"/>
      <c r="AB1" s="815"/>
      <c r="AC1" s="815"/>
      <c r="AD1" s="816"/>
      <c r="AE1" s="814"/>
      <c r="AF1" s="813" t="s">
        <v>0</v>
      </c>
      <c r="AG1" s="814" t="str">
        <f t="shared" ref="AG1:CN1" si="0">AG20</f>
        <v>Naoki Harada</v>
      </c>
      <c r="AH1" s="814"/>
      <c r="AI1" s="814" t="str">
        <f t="shared" si="0"/>
        <v>Yuto Shirai</v>
      </c>
      <c r="AJ1" s="814" t="str">
        <f t="shared" si="0"/>
        <v>Yoshinobu Harada</v>
      </c>
      <c r="AL1" s="814" t="str">
        <f t="shared" si="0"/>
        <v>Yuji Sakuda</v>
      </c>
      <c r="AM1" s="814" t="str">
        <f t="shared" si="0"/>
        <v>Tatsushi Koyanagi</v>
      </c>
      <c r="AN1" s="814"/>
      <c r="AO1" s="814" t="str">
        <f t="shared" si="0"/>
        <v>Mendes</v>
      </c>
      <c r="AP1" s="814"/>
      <c r="AQ1" s="814" t="str">
        <f>AQ20</f>
        <v>Keisuke Minegishi</v>
      </c>
      <c r="AR1" s="814" t="str">
        <f>AR20</f>
        <v>KIM Young Heon</v>
      </c>
      <c r="AS1" s="814"/>
      <c r="AT1" s="814" t="str">
        <f t="shared" ref="AT1" si="1">AT20</f>
        <v>Tomonobu Hiroi</v>
      </c>
      <c r="AU1" s="814" t="str">
        <f>AX20</f>
        <v>Hisashi Ohashi</v>
      </c>
      <c r="AV1" s="814"/>
      <c r="AW1" s="814"/>
      <c r="AX1" s="814" t="e">
        <f>#REF!</f>
        <v>#REF!</v>
      </c>
      <c r="AY1" s="814"/>
      <c r="AZ1" s="814" t="str">
        <f>AZ20</f>
        <v>Kenta Yamafuji</v>
      </c>
      <c r="BA1" s="814" t="str">
        <f>BI20</f>
        <v>Keiya Nakami</v>
      </c>
      <c r="BC1" s="814"/>
      <c r="BD1" s="814" t="str">
        <f>BC20</f>
        <v>Yasuhito TOMITA</v>
      </c>
      <c r="BE1" s="814" t="str">
        <f>BJ20</f>
        <v>Yuhei Otsuki</v>
      </c>
      <c r="BF1" s="814" t="str">
        <f>BD20</f>
        <v>Yusuke Hoshino</v>
      </c>
      <c r="BG1" s="814"/>
      <c r="BH1" s="814"/>
      <c r="BJ1" s="814">
        <f>BV20</f>
        <v>0</v>
      </c>
      <c r="BM1" s="814"/>
      <c r="BN1" s="814" t="str">
        <f>BN20</f>
        <v>Kodai Enomoto</v>
      </c>
      <c r="BO1" s="814"/>
      <c r="BP1" s="814"/>
      <c r="BR1" s="814">
        <f>BR20</f>
        <v>0</v>
      </c>
      <c r="BT1" s="814">
        <f>BT20</f>
        <v>0</v>
      </c>
      <c r="BU1" s="814">
        <f>BU20</f>
        <v>0</v>
      </c>
      <c r="BV1" s="814" t="e">
        <f>#REF!</f>
        <v>#REF!</v>
      </c>
      <c r="BW1" s="814"/>
      <c r="BX1" s="814"/>
      <c r="BY1" s="814"/>
      <c r="BZ1" s="814"/>
      <c r="CA1" s="814">
        <f t="shared" ref="CA1:CG1" si="2">CA20</f>
        <v>0</v>
      </c>
      <c r="CB1" s="814">
        <f t="shared" si="2"/>
        <v>0</v>
      </c>
      <c r="CC1" s="814">
        <f t="shared" si="2"/>
        <v>0</v>
      </c>
      <c r="CD1" s="814">
        <f t="shared" si="2"/>
        <v>0</v>
      </c>
      <c r="CE1" s="814">
        <f t="shared" si="2"/>
        <v>0</v>
      </c>
      <c r="CF1" s="814">
        <f t="shared" si="2"/>
        <v>0</v>
      </c>
      <c r="CG1" s="814">
        <f t="shared" si="2"/>
        <v>0</v>
      </c>
      <c r="CH1" s="814">
        <f t="shared" si="0"/>
        <v>0</v>
      </c>
      <c r="CI1" s="814">
        <f t="shared" si="0"/>
        <v>0</v>
      </c>
      <c r="CJ1" s="814">
        <f t="shared" si="0"/>
        <v>0</v>
      </c>
      <c r="CK1" s="814">
        <f t="shared" si="0"/>
        <v>0</v>
      </c>
      <c r="CL1" s="814">
        <f t="shared" si="0"/>
        <v>0</v>
      </c>
      <c r="CM1" s="814">
        <f t="shared" si="0"/>
        <v>0</v>
      </c>
      <c r="CN1" s="814">
        <f t="shared" si="0"/>
        <v>0</v>
      </c>
    </row>
    <row r="2" spans="1:92" s="874" customFormat="1" ht="12.75" hidden="1" outlineLevel="1">
      <c r="A2" s="787"/>
      <c r="B2" s="787"/>
      <c r="C2" s="787"/>
      <c r="D2" s="787"/>
      <c r="E2" s="787"/>
      <c r="J2" s="787"/>
      <c r="T2" s="787" t="s">
        <v>1</v>
      </c>
      <c r="U2" s="787"/>
      <c r="V2" s="787"/>
      <c r="W2" s="787"/>
      <c r="X2" s="787"/>
      <c r="Y2" s="787"/>
      <c r="Z2" s="787"/>
      <c r="AA2" s="787"/>
      <c r="AB2" s="787"/>
      <c r="AC2" s="787"/>
      <c r="AD2" s="816"/>
      <c r="AF2" s="874">
        <f t="array" ref="AF2">SUM(IF(L$23:L$240="",0,1)*IF(ISBLANK($T$1),1,IF($I$23:$I$240=$T$1,1,0)))</f>
        <v>44</v>
      </c>
      <c r="AG2" s="874">
        <f t="array" ref="AG2">SUM(IF(ISBLANK(AG$23:AG$240),0,IF(AG$23:AG$240="susp",0,1))*IF(ISBLANK($T$1),1,IF($I$23:$I$240=$T$1,1,0)))</f>
        <v>35</v>
      </c>
      <c r="AI2" s="874">
        <f t="array" ref="AI2">SUM(IF(ISBLANK(AI$23:AI$240),0,IF(AI$23:AI$240="susp",0,1))*IF(ISBLANK($T$1),1,IF($I$23:$I$240=$T$1,1,0)))</f>
        <v>44</v>
      </c>
      <c r="AJ2" s="874">
        <f t="array" ref="AJ2">SUM(IF(ISBLANK(AJ$23:AJ$240),0,IF(AJ$23:AJ$240="susp",0,1))*IF(ISBLANK($T$1),1,IF($I$23:$I$240=$T$1,1,0)))</f>
        <v>44</v>
      </c>
      <c r="AL2" s="874">
        <f t="array" ref="AL2">SUM(IF(ISBLANK(AL$23:AL$240),0,IF(AL$23:AL$240="susp",0,1))*IF(ISBLANK($T$1),1,IF($I$23:$I$240=$T$1,1,0)))</f>
        <v>44</v>
      </c>
      <c r="AM2" s="874">
        <f t="array" ref="AM2">SUM(IF(ISBLANK(AM$23:AM$240),0,IF(AM$23:AM$240="susp",0,1))*IF(ISBLANK($T$1),1,IF($I$23:$I$240=$T$1,1,0)))</f>
        <v>44</v>
      </c>
      <c r="AO2" s="874">
        <f t="array" ref="AO2">SUM(IF(ISBLANK(AO$23:AO$240),0,IF(AO$23:AO$240="susp",0,1))*IF(ISBLANK($T$1),1,IF($I$23:$I$240=$T$1,1,0)))</f>
        <v>43</v>
      </c>
      <c r="AQ2" s="874">
        <f t="array" ref="AQ2">SUM(IF(ISBLANK(AQ$23:AQ$240),0,IF(AQ$23:AQ$240="susp",0,1))*IF(ISBLANK($T$1),1,IF($I$23:$I$240=$T$1,1,0)))</f>
        <v>43</v>
      </c>
      <c r="AR2" s="874">
        <f t="array" ref="AR2">SUM(IF(ISBLANK(AR$23:AR$240),0,IF(AR$23:AR$240="susp",0,1))*IF(ISBLANK($T$1),1,IF($I$23:$I$240=$T$1,1,0)))</f>
        <v>43</v>
      </c>
      <c r="AT2" s="874">
        <f t="array" ref="AT2">SUM(IF(ISBLANK(AT$23:AT$240),0,IF(AT$23:AT$240="susp",0,1))*IF(ISBLANK($T$1),1,IF($I$23:$I$240=$T$1,1,0)))</f>
        <v>44</v>
      </c>
      <c r="AU2" s="874">
        <f t="array" ref="AU2">SUM(IF(ISBLANK(AU$23:AU$240),0,IF(AU$23:AU$240="susp",0,1))*IF(ISBLANK($T$1),1,IF($I$23:$I$240=$T$1,1,0)))</f>
        <v>44</v>
      </c>
      <c r="AX2" s="874">
        <f t="array" ref="AX2">SUM(IF(ISBLANK(AX$23:AX$240),0,IF(AX$23:AX$240="susp",0,1))*IF(ISBLANK($T$1),1,IF($I$23:$I$240=$T$1,1,0)))</f>
        <v>44</v>
      </c>
      <c r="AZ2" s="874">
        <f t="array" ref="AZ2">SUM(IF(ISBLANK(AZ$23:AZ$240),0,IF(AZ$23:AZ$240="susp",0,1))*IF(ISBLANK($T$1),1,IF($I$23:$I$240=$T$1,1,0)))</f>
        <v>43</v>
      </c>
      <c r="BA2" s="874">
        <f t="array" ref="BA2">SUM(IF(ISBLANK(BA$30:BA$240),0,IF(BA$30:BA$240="susp",0,1))*IF(ISBLANK($T$1),1,IF($I$23:$I$240=$T$1,1,0)))</f>
        <v>37</v>
      </c>
      <c r="BD2" s="874">
        <f t="array" ref="BD2">SUM(IF(ISBLANK(BD$23:BD$240),0,IF(BD$23:BD$240="susp",0,1))*IF(ISBLANK($T$1),1,IF($I$23:$I$240=$T$1,1,0)))</f>
        <v>36</v>
      </c>
      <c r="BE2" s="874">
        <f t="array" ref="BE2">SUM(IF(ISBLANK(BE$23:BE$240),0,IF(BE$23:BE$240="susp",0,1))*IF(ISBLANK($T$1),1,IF($I$23:$I$240=$T$1,1,0)))</f>
        <v>36</v>
      </c>
      <c r="BF2" s="874">
        <f t="array" ref="BF2">SUM(IF(ISBLANK(BF$30:BF$240),0,IF(BF$30:BF$240="susp",0,1))*IF(ISBLANK($T$1),1,IF($I$23:$I$240=$T$1,1,0)))</f>
        <v>37</v>
      </c>
      <c r="BJ2" s="874">
        <f t="array" ref="BJ2">SUM(IF(ISBLANK(BJ$23:BJ$240),0,IF(BJ$23:BJ$240="susp",0,1))*IF(ISBLANK($T$1),1,IF($I$23:$I$240=$T$1,1,0)))</f>
        <v>44</v>
      </c>
      <c r="BN2" s="874">
        <f t="array" ref="BN2">SUM(IF(ISBLANK(BN$23:BN$240),0,IF(BN$23:BN$240="susp",0,1))*IF(ISBLANK($T$1),1,IF($I$23:$I$240=$T$1,1,0)))</f>
        <v>29</v>
      </c>
      <c r="BR2" s="874">
        <f t="array" ref="BR2">SUM(IF(ISBLANK(BR$23:BR$240),0,IF(BR$23:BR$240="susp",0,1))*IF(ISBLANK($T$1),1,IF($I$23:$I$240=$T$1,1,0)))</f>
        <v>1</v>
      </c>
      <c r="BT2" s="874">
        <f t="array" ref="BT2">SUM(IF(ISBLANK(BT$23:BT$240),0,IF(BT$23:BT$240="susp",0,1))*IF(ISBLANK($T$1),1,IF($I$23:$I$240=$T$1,1,0)))</f>
        <v>1</v>
      </c>
      <c r="BU2" s="874">
        <f t="array" ref="BU2">SUM(IF(ISBLANK(BU$23:BU$240),0,IF(BU$23:BU$240="susp",0,1))*IF(ISBLANK($T$1),1,IF($I$23:$I$240=$T$1,1,0)))</f>
        <v>1</v>
      </c>
      <c r="BV2" s="874">
        <f t="array" ref="BV2">SUM(IF(ISBLANK(BV$41:BV$240),0,IF(BV$41:BV$240="susp",0,1))*IF(ISBLANK($T$1),1,IF($I$23:$I$240=$T$1,1,0)))</f>
        <v>1</v>
      </c>
      <c r="CA2" s="874">
        <f t="array" ref="CA2">SUM(IF(ISBLANK(CA$23:CA$240),0,IF(CA$23:CA$240="susp",0,1))*IF(ISBLANK($T$1),1,IF($I$23:$I$240=$T$1,1,0)))</f>
        <v>0</v>
      </c>
      <c r="CB2" s="874">
        <f t="array" ref="CB2">SUM(IF(ISBLANK(CB$23:CB$240),0,IF(CB$23:CB$240="susp",0,1))*IF(ISBLANK($T$1),1,IF($I$23:$I$240=$T$1,1,0)))</f>
        <v>0</v>
      </c>
      <c r="CC2" s="874">
        <f t="array" ref="CC2">SUM(IF(ISBLANK(CC$23:CC$240),0,IF(CC$23:CC$240="susp",0,1))*IF(ISBLANK($T$1),1,IF($I$23:$I$240=$T$1,1,0)))</f>
        <v>0</v>
      </c>
      <c r="CD2" s="874">
        <f t="array" ref="CD2">SUM(IF(ISBLANK(CD$23:CD$240),0,IF(CD$23:CD$240="susp",0,1))*IF(ISBLANK($T$1),1,IF($I$23:$I$240=$T$1,1,0)))</f>
        <v>0</v>
      </c>
      <c r="CE2" s="874">
        <f t="array" ref="CE2">SUM(IF(ISBLANK(CE$23:CE$240),0,IF(CE$23:CE$240="susp",0,1))*IF(ISBLANK($T$1),1,IF($I$23:$I$240=$T$1,1,0)))</f>
        <v>0</v>
      </c>
      <c r="CF2" s="874">
        <f t="array" ref="CF2">SUM(IF(ISBLANK(CF$23:CF$240),0,IF(CF$23:CF$240="susp",0,1))*IF(ISBLANK($T$1),1,IF($I$23:$I$240=$T$1,1,0)))</f>
        <v>0</v>
      </c>
      <c r="CG2" s="874">
        <f t="array" ref="CG2">SUM(IF(ISBLANK(CG$23:CG$240),0,IF(CG$23:CG$240="susp",0,1))*IF(ISBLANK($T$1),1,IF($I$23:$I$240=$T$1,1,0)))</f>
        <v>0</v>
      </c>
      <c r="CH2" s="874">
        <f t="array" ref="CH2">SUM(IF(ISBLANK(CH$23:CH$240),0,IF(CH$23:CH$240="susp",0,1))*IF(ISBLANK($T$1),1,IF($I$23:$I$240=$T$1,1,0)))</f>
        <v>0</v>
      </c>
      <c r="CI2" s="874">
        <f t="array" ref="CI2">SUM(IF(ISBLANK(CI$23:CI$240),0,IF(CI$23:CI$240="susp",0,1))*IF(ISBLANK($T$1),1,IF($I$23:$I$240=$T$1,1,0)))</f>
        <v>0</v>
      </c>
      <c r="CJ2" s="874">
        <f t="array" ref="CJ2">SUM(IF(ISBLANK(CJ$23:CJ$240),0,IF(CJ$23:CJ$240="susp",0,1))*IF(ISBLANK($T$1),1,IF($I$23:$I$240=$T$1,1,0)))</f>
        <v>0</v>
      </c>
      <c r="CK2" s="874">
        <f t="array" ref="CK2">SUM(IF(ISBLANK(CK$23:CK$240),0,IF(CK$23:CK$240="susp",0,1))*IF(ISBLANK($T$1),1,IF($I$23:$I$240=$T$1,1,0)))</f>
        <v>0</v>
      </c>
      <c r="CL2" s="874">
        <f t="array" ref="CL2">SUM(IF(ISBLANK(CL$23:CL$240),0,IF(CL$23:CL$240="susp",0,1))*IF(ISBLANK($T$1),1,IF($I$23:$I$240=$T$1,1,0)))</f>
        <v>16</v>
      </c>
      <c r="CM2" s="874">
        <f t="array" ref="CM2">SUM(IF(ISBLANK(CM$23:CM$240),0,IF(CM$23:CM$240="susp",0,1))*IF(ISBLANK($T$1),1,IF($I$23:$I$240=$T$1,1,0)))</f>
        <v>16</v>
      </c>
      <c r="CN2" s="874">
        <f t="array" ref="CN2">SUM(IF(ISBLANK(CN$23:CN$240),0,IF(CN$23:CN$240="susp",0,1))*IF(ISBLANK($T$1),1,IF($I$23:$I$240=$T$1,1,0)))</f>
        <v>15</v>
      </c>
    </row>
    <row r="3" spans="1:92" s="874" customFormat="1" ht="12.75" hidden="1" outlineLevel="1">
      <c r="A3" s="787"/>
      <c r="B3" s="787"/>
      <c r="C3" s="787"/>
      <c r="D3" s="787"/>
      <c r="E3" s="787"/>
      <c r="J3" s="787"/>
      <c r="T3" s="787" t="s">
        <v>2</v>
      </c>
      <c r="U3" s="787"/>
      <c r="V3" s="787"/>
      <c r="W3" s="787"/>
      <c r="X3" s="787"/>
      <c r="Y3" s="787"/>
      <c r="Z3" s="787"/>
      <c r="AA3" s="787"/>
      <c r="AB3" s="787"/>
      <c r="AC3" s="787"/>
      <c r="AD3" s="816"/>
      <c r="AF3" s="874">
        <f t="array" ref="AF3">SUM(IF(L$23:L$240="W",1,0)*IF(ISBLANK($T$1),1,IF($I$23:$I$240=$T$1,1,0)))</f>
        <v>14</v>
      </c>
      <c r="AG3" s="874">
        <f t="array" ref="AG3">SUM(IF(ISTEXT(AG$23:AG$240),1,0)*IF(($L$23:$L$240)="W",1,0)*IF(ISBLANK($T$1),1,IF($I$23:$I$240=$T$1,1,0)))</f>
        <v>14</v>
      </c>
      <c r="AI3" s="874">
        <f t="array" ref="AI3">SUM(IF(ISTEXT(AI$23:AI$240),1,0)*IF(($L$23:$L$240)="W",1,0)*IF(ISBLANK($T$1),1,IF($I$23:$I$240=$T$1,1,0)))</f>
        <v>14</v>
      </c>
      <c r="AJ3" s="874">
        <f t="array" ref="AJ3">SUM(IF(ISTEXT(AJ$23:AJ$240),1,0)*IF(($L$23:$L$240)="W",1,0)*IF(ISBLANK($T$1),1,IF($I$23:$I$240=$T$1,1,0)))</f>
        <v>14</v>
      </c>
      <c r="AL3" s="874">
        <f t="array" ref="AL3">SUM(IF(ISTEXT(AL$23:AL$240),1,0)*IF(($L$23:$L$240)="W",1,0)*IF(ISBLANK($T$1),1,IF($I$23:$I$240=$T$1,1,0)))</f>
        <v>14</v>
      </c>
      <c r="AM3" s="874">
        <f t="array" ref="AM3">SUM(IF(ISTEXT(AM$23:AM$240),1,0)*IF(($L$23:$L$240)="W",1,0)*IF(ISBLANK($T$1),1,IF($I$23:$I$240=$T$1,1,0)))</f>
        <v>14</v>
      </c>
      <c r="AO3" s="874">
        <f t="array" ref="AO3">SUM(IF(ISTEXT(AO$23:AO$240),1,0)*IF(($L$23:$L$240)="W",1,0)*IF(ISBLANK($T$1),1,IF($I$23:$I$240=$T$1,1,0)))</f>
        <v>14</v>
      </c>
      <c r="AQ3" s="874">
        <f t="array" ref="AQ3">SUM(IF(ISTEXT(AQ$23:AQ$240),1,0)*IF(($L$23:$L$240)="W",1,0)*IF(ISBLANK($T$1),1,IF($I$23:$I$240=$T$1,1,0)))</f>
        <v>14</v>
      </c>
      <c r="AR3" s="874">
        <f t="array" ref="AR3">SUM(IF(ISTEXT(AR$23:AR$240),1,0)*IF(($L$23:$L$240)="W",1,0)*IF(ISBLANK($T$1),1,IF($I$23:$I$240=$T$1,1,0)))</f>
        <v>14</v>
      </c>
      <c r="AT3" s="874">
        <f t="array" ref="AT3">SUM(IF(ISTEXT(AT$23:AT$240),1,0)*IF(($L$23:$L$240)="W",1,0)*IF(ISBLANK($T$1),1,IF($I$23:$I$240=$T$1,1,0)))</f>
        <v>14</v>
      </c>
      <c r="AU3" s="874">
        <f t="array" ref="AU3">SUM(IF(ISTEXT(AU$23:AU$240),1,0)*IF(($L$23:$L$240)="W",1,0)*IF(ISBLANK($T$1),1,IF($I$23:$I$240=$T$1,1,0)))</f>
        <v>14</v>
      </c>
      <c r="AX3" s="874">
        <f t="array" ref="AX3">SUM(IF(ISTEXT(AX$23:AX$240),1,0)*IF(($L$23:$L$240)="W",1,0)*IF(ISBLANK($T$1),1,IF($I$23:$I$240=$T$1,1,0)))</f>
        <v>14</v>
      </c>
      <c r="AZ3" s="874">
        <f t="array" ref="AZ3">SUM(IF(ISTEXT(AZ$23:AZ$240),1,0)*IF(($L$23:$L$240)="W",1,0)*IF(ISBLANK($T$1),1,IF($I$23:$I$240=$T$1,1,0)))</f>
        <v>14</v>
      </c>
      <c r="BA3" s="874" t="e">
        <f t="array" ref="BA3">SUM(IF(ISTEXT(BA$30:BA$240),1,0)*IF(($L$23:$L$240)="W",1,0)*IF(ISBLANK($T$1),1,IF($I$23:$I$240=$T$1,1,0)))</f>
        <v>#N/A</v>
      </c>
      <c r="BD3" s="874">
        <f t="array" ref="BD3">SUM(IF(ISTEXT(BD$23:BD$240),1,0)*IF(($L$23:$L$240)="W",1,0)*IF(ISBLANK($T$1),1,IF($I$23:$I$240=$T$1,1,0)))</f>
        <v>12</v>
      </c>
      <c r="BE3" s="874">
        <f t="array" ref="BE3">SUM(IF(ISTEXT(BE$23:BE$240),1,0)*IF(($L$23:$L$240)="W",1,0)*IF(ISBLANK($T$1),1,IF($I$23:$I$240=$T$1,1,0)))</f>
        <v>12</v>
      </c>
      <c r="BF3" s="874" t="e">
        <f t="array" ref="BF3">SUM(IF(ISTEXT(BF$30:BF$240),1,0)*IF(($L$23:$L$240)="W",1,0)*IF(ISBLANK($T$1),1,IF($I$23:$I$240=$T$1,1,0)))</f>
        <v>#N/A</v>
      </c>
      <c r="BJ3" s="874">
        <f t="array" ref="BJ3">SUM(IF(ISTEXT(BJ$23:BJ$240),1,0)*IF(($L$23:$L$240)="W",1,0)*IF(ISBLANK($T$1),1,IF($I$23:$I$240=$T$1,1,0)))</f>
        <v>14</v>
      </c>
      <c r="BN3" s="874">
        <f t="array" ref="BN3">SUM(IF(ISTEXT(BN$23:BN$240),1,0)*IF(($L$23:$L$240)="W",1,0)*IF(ISBLANK($T$1),1,IF($I$23:$I$240=$T$1,1,0)))</f>
        <v>9</v>
      </c>
      <c r="BR3" s="874">
        <f t="array" ref="BR3">SUM(IF(ISTEXT(BR$23:BR$240),1,0)*IF(($L$23:$L$240)="W",1,0)*IF(ISBLANK($T$1),1,IF($I$23:$I$240=$T$1,1,0)))</f>
        <v>0</v>
      </c>
      <c r="BT3" s="874">
        <f t="array" ref="BT3">SUM(IF(ISTEXT(BT$23:BT$240),1,0)*IF(($L$23:$L$240)="W",1,0)*IF(ISBLANK($T$1),1,IF($I$23:$I$240=$T$1,1,0)))</f>
        <v>0</v>
      </c>
      <c r="BU3" s="874">
        <f t="array" ref="BU3">SUM(IF(ISTEXT(BU$23:BU$240),1,0)*IF(($L$23:$L$240)="W",1,0)*IF(ISBLANK($T$1),1,IF($I$23:$I$240=$T$1,1,0)))</f>
        <v>0</v>
      </c>
      <c r="BV3" s="874" t="e">
        <f t="array" ref="BV3">SUM(IF(ISTEXT(BV$41:BV$240),1,0)*IF(($L$23:$L$240)="W",1,0)*IF(ISBLANK($T$1),1,IF($I$23:$I$240=$T$1,1,0)))</f>
        <v>#N/A</v>
      </c>
      <c r="CA3" s="874">
        <f t="array" ref="CA3">SUM(IF(ISTEXT(CA$23:CA$240),1,0)*IF(($L$23:$L$240)="W",1,0)*IF(ISBLANK($T$1),1,IF($I$23:$I$240=$T$1,1,0)))</f>
        <v>0</v>
      </c>
      <c r="CB3" s="874">
        <f t="array" ref="CB3">SUM(IF(ISTEXT(CB$23:CB$240),1,0)*IF(($L$23:$L$240)="W",1,0)*IF(ISBLANK($T$1),1,IF($I$23:$I$240=$T$1,1,0)))</f>
        <v>0</v>
      </c>
      <c r="CC3" s="874">
        <f t="array" ref="CC3">SUM(IF(ISTEXT(CC$23:CC$240),1,0)*IF(($L$23:$L$240)="W",1,0)*IF(ISBLANK($T$1),1,IF($I$23:$I$240=$T$1,1,0)))</f>
        <v>0</v>
      </c>
      <c r="CD3" s="874">
        <f t="array" ref="CD3">SUM(IF(ISTEXT(CD$23:CD$240),1,0)*IF(($L$23:$L$240)="W",1,0)*IF(ISBLANK($T$1),1,IF($I$23:$I$240=$T$1,1,0)))</f>
        <v>0</v>
      </c>
      <c r="CE3" s="874">
        <f t="array" ref="CE3">SUM(IF(ISTEXT(CE$23:CE$240),1,0)*IF(($L$23:$L$240)="W",1,0)*IF(ISBLANK($T$1),1,IF($I$23:$I$240=$T$1,1,0)))</f>
        <v>0</v>
      </c>
      <c r="CF3" s="874">
        <f t="array" ref="CF3">SUM(IF(ISTEXT(CF$23:CF$240),1,0)*IF(($L$23:$L$240)="W",1,0)*IF(ISBLANK($T$1),1,IF($I$23:$I$240=$T$1,1,0)))</f>
        <v>0</v>
      </c>
      <c r="CG3" s="874">
        <f t="array" ref="CG3">SUM(IF(ISTEXT(CG$23:CG$240),1,0)*IF(($L$23:$L$240)="W",1,0)*IF(ISBLANK($T$1),1,IF($I$23:$I$240=$T$1,1,0)))</f>
        <v>0</v>
      </c>
      <c r="CH3" s="874">
        <f t="array" ref="CH3">SUM(IF(ISTEXT(CH$23:CH$240),1,0)*IF(($L$23:$L$240)="W",1,0)*IF(ISBLANK($T$1),1,IF($I$23:$I$240=$T$1,1,0)))</f>
        <v>0</v>
      </c>
      <c r="CI3" s="874">
        <f t="array" ref="CI3">SUM(IF(ISTEXT(CI$23:CI$240),1,0)*IF(($L$23:$L$240)="W",1,0)*IF(ISBLANK($T$1),1,IF($I$23:$I$240=$T$1,1,0)))</f>
        <v>0</v>
      </c>
      <c r="CJ3" s="874">
        <f t="array" ref="CJ3">SUM(IF(ISTEXT(CJ$23:CJ$240),1,0)*IF(($L$23:$L$240)="W",1,0)*IF(ISBLANK($T$1),1,IF($I$23:$I$240=$T$1,1,0)))</f>
        <v>0</v>
      </c>
      <c r="CK3" s="874">
        <f t="array" ref="CK3">SUM(IF(ISTEXT(CK$23:CK$240),1,0)*IF(($L$23:$L$240)="W",1,0)*IF(ISBLANK($T$1),1,IF($I$23:$I$240=$T$1,1,0)))</f>
        <v>0</v>
      </c>
      <c r="CL3" s="874">
        <f t="array" ref="CL3">SUM(IF(ISTEXT(CL$23:CL$240),1,0)*IF(($L$23:$L$240)="W",1,0)*IF(ISBLANK($T$1),1,IF($I$23:$I$240=$T$1,1,0)))</f>
        <v>5</v>
      </c>
      <c r="CM3" s="874">
        <f t="array" ref="CM3">SUM(IF(ISTEXT(CM$23:CM$240),1,0)*IF(($L$23:$L$240)="W",1,0)*IF(ISBLANK($T$1),1,IF($I$23:$I$240=$T$1,1,0)))</f>
        <v>5</v>
      </c>
      <c r="CN3" s="874">
        <f t="array" ref="CN3">SUM(IF(ISTEXT(CN$23:CN$240),1,0)*IF(($L$23:$L$240)="W",1,0)*IF(ISBLANK($T$1),1,IF($I$23:$I$240=$T$1,1,0)))</f>
        <v>4</v>
      </c>
    </row>
    <row r="4" spans="1:92" s="874" customFormat="1" ht="12.75" hidden="1" outlineLevel="1">
      <c r="A4" s="787"/>
      <c r="B4" s="787"/>
      <c r="C4" s="787"/>
      <c r="D4" s="787"/>
      <c r="E4" s="787"/>
      <c r="J4" s="787"/>
      <c r="T4" s="787" t="s">
        <v>3</v>
      </c>
      <c r="U4" s="787"/>
      <c r="V4" s="787"/>
      <c r="W4" s="787"/>
      <c r="X4" s="787"/>
      <c r="Y4" s="787"/>
      <c r="Z4" s="787"/>
      <c r="AA4" s="787"/>
      <c r="AB4" s="787"/>
      <c r="AC4" s="787"/>
      <c r="AD4" s="816"/>
      <c r="AF4" s="874">
        <f t="array" ref="AF4">SUM(IF(L$23:L$240="D",1,0)*IF(ISBLANK($T$1),1,IF($I$23:$I$240=$T$1,1,0)))</f>
        <v>10</v>
      </c>
      <c r="AG4" s="874">
        <f t="array" ref="AG4">SUM(IF(ISTEXT(AG$23:AG$240),1,0)*IF(($L$23:$L$240)="D",1,0)*IF(ISBLANK($T$1),1,IF($I$23:$I$240=$T$1,1,0)))</f>
        <v>7</v>
      </c>
      <c r="AI4" s="874">
        <f t="array" ref="AI4">SUM(IF(ISTEXT(AI$23:AI$240),1,0)*IF(($L$23:$L$240)="D",1,0)*IF(ISBLANK($T$1),1,IF($I$23:$I$240=$T$1,1,0)))</f>
        <v>10</v>
      </c>
      <c r="AJ4" s="874">
        <f t="array" ref="AJ4">SUM(IF(ISTEXT(AJ$23:AJ$240),1,0)*IF(($L$23:$L$240)="D",1,0)*IF(ISBLANK($T$1),1,IF($I$23:$I$240=$T$1,1,0)))</f>
        <v>10</v>
      </c>
      <c r="AL4" s="874">
        <f t="array" ref="AL4">SUM(IF(ISTEXT(AL$23:AL$240),1,0)*IF(($L$23:$L$240)="D",1,0)*IF(ISBLANK($T$1),1,IF($I$23:$I$240=$T$1,1,0)))</f>
        <v>10</v>
      </c>
      <c r="AM4" s="874">
        <f t="array" ref="AM4">SUM(IF(ISTEXT(AM$23:AM$240),1,0)*IF(($L$23:$L$240)="D",1,0)*IF(ISBLANK($T$1),1,IF($I$23:$I$240=$T$1,1,0)))</f>
        <v>10</v>
      </c>
      <c r="AO4" s="874">
        <f t="array" ref="AO4">SUM(IF(ISTEXT(AO$23:AO$240),1,0)*IF(($L$23:$L$240)="D",1,0)*IF(ISBLANK($T$1),1,IF($I$23:$I$240=$T$1,1,0)))</f>
        <v>10</v>
      </c>
      <c r="AQ4" s="874">
        <f t="array" ref="AQ4">SUM(IF(ISTEXT(AQ$23:AQ$240),1,0)*IF(($L$23:$L$240)="D",1,0)*IF(ISBLANK($T$1),1,IF($I$23:$I$240=$T$1,1,0)))</f>
        <v>10</v>
      </c>
      <c r="AR4" s="874">
        <f t="array" ref="AR4">SUM(IF(ISTEXT(AR$23:AR$240),1,0)*IF(($L$23:$L$240)="D",1,0)*IF(ISBLANK($T$1),1,IF($I$23:$I$240=$T$1,1,0)))</f>
        <v>10</v>
      </c>
      <c r="AT4" s="874">
        <f t="array" ref="AT4">SUM(IF(ISTEXT(AT$23:AT$240),1,0)*IF(($L$23:$L$240)="D",1,0)*IF(ISBLANK($T$1),1,IF($I$23:$I$240=$T$1,1,0)))</f>
        <v>10</v>
      </c>
      <c r="AU4" s="874">
        <f t="array" ref="AU4">SUM(IF(ISTEXT(AU$23:AU$240),1,0)*IF(($L$23:$L$240)="D",1,0)*IF(ISBLANK($T$1),1,IF($I$23:$I$240=$T$1,1,0)))</f>
        <v>10</v>
      </c>
      <c r="AX4" s="874">
        <f t="array" ref="AX4">SUM(IF(ISTEXT(AX$23:AX$240),1,0)*IF(($L$23:$L$240)="D",1,0)*IF(ISBLANK($T$1),1,IF($I$23:$I$240=$T$1,1,0)))</f>
        <v>10</v>
      </c>
      <c r="AZ4" s="874">
        <f t="array" ref="AZ4">SUM(IF(ISTEXT(AZ$23:AZ$240),1,0)*IF(($L$23:$L$240)="D",1,0)*IF(ISBLANK($T$1),1,IF($I$23:$I$240=$T$1,1,0)))</f>
        <v>10</v>
      </c>
      <c r="BA4" s="874" t="e">
        <f t="array" ref="BA4">SUM(IF(ISTEXT(BA$30:BA$240),1,0)*IF(($L$23:$L$240)="D",1,0)*IF(ISBLANK($T$1),1,IF($I$23:$I$240=$T$1,1,0)))</f>
        <v>#N/A</v>
      </c>
      <c r="BD4" s="874">
        <f t="array" ref="BD4">SUM(IF(ISTEXT(BD$23:BD$240),1,0)*IF(($L$23:$L$240)="D",1,0)*IF(ISBLANK($T$1),1,IF($I$23:$I$240=$T$1,1,0)))</f>
        <v>8</v>
      </c>
      <c r="BE4" s="874">
        <f t="array" ref="BE4">SUM(IF(ISTEXT(BE$23:BE$240),1,0)*IF(($L$23:$L$240)="D",1,0)*IF(ISBLANK($T$1),1,IF($I$23:$I$240=$T$1,1,0)))</f>
        <v>8</v>
      </c>
      <c r="BF4" s="874" t="e">
        <f t="array" ref="BF4">SUM(IF(ISTEXT(BF$30:BF$240),1,0)*IF(($L$23:$L$240)="D",1,0)*IF(ISBLANK($T$1),1,IF($I$23:$I$240=$T$1,1,0)))</f>
        <v>#N/A</v>
      </c>
      <c r="BJ4" s="874">
        <f t="array" ref="BJ4">SUM(IF(ISTEXT(BJ$23:BJ$240),1,0)*IF(($L$23:$L$240)="D",1,0)*IF(ISBLANK($T$1),1,IF($I$23:$I$240=$T$1,1,0)))</f>
        <v>10</v>
      </c>
      <c r="BN4" s="874">
        <f t="array" ref="BN4">SUM(IF(ISTEXT(BN$23:BN$240),1,0)*IF(($L$23:$L$240)="D",1,0)*IF(ISBLANK($T$1),1,IF($I$23:$I$240=$T$1,1,0)))</f>
        <v>6</v>
      </c>
      <c r="BR4" s="874">
        <f t="array" ref="BR4">SUM(IF(ISTEXT(BR$23:BR$240),1,0)*IF(($L$23:$L$240)="D",1,0)*IF(ISBLANK($T$1),1,IF($I$23:$I$240=$T$1,1,0)))</f>
        <v>1</v>
      </c>
      <c r="BT4" s="874">
        <f t="array" ref="BT4">SUM(IF(ISTEXT(BT$23:BT$240),1,0)*IF(($L$23:$L$240)="D",1,0)*IF(ISBLANK($T$1),1,IF($I$23:$I$240=$T$1,1,0)))</f>
        <v>0</v>
      </c>
      <c r="BU4" s="874">
        <f t="array" ref="BU4">SUM(IF(ISTEXT(BU$23:BU$240),1,0)*IF(($L$23:$L$240)="D",1,0)*IF(ISBLANK($T$1),1,IF($I$23:$I$240=$T$1,1,0)))</f>
        <v>0</v>
      </c>
      <c r="BV4" s="874" t="e">
        <f t="array" ref="BV4">SUM(IF(ISTEXT(BV$41:BV$240),1,0)*IF(($L$23:$L$240)="D",1,0)*IF(ISBLANK($T$1),1,IF($I$23:$I$240=$T$1,1,0)))</f>
        <v>#N/A</v>
      </c>
      <c r="CA4" s="874">
        <f t="array" ref="CA4">SUM(IF(ISTEXT(CA$23:CA$240),1,0)*IF(($L$23:$L$240)="D",1,0)*IF(ISBLANK($T$1),1,IF($I$23:$I$240=$T$1,1,0)))</f>
        <v>0</v>
      </c>
      <c r="CB4" s="874">
        <f t="array" ref="CB4">SUM(IF(ISTEXT(CB$23:CB$240),1,0)*IF(($L$23:$L$240)="D",1,0)*IF(ISBLANK($T$1),1,IF($I$23:$I$240=$T$1,1,0)))</f>
        <v>0</v>
      </c>
      <c r="CC4" s="874">
        <f t="array" ref="CC4">SUM(IF(ISTEXT(CC$23:CC$240),1,0)*IF(($L$23:$L$240)="D",1,0)*IF(ISBLANK($T$1),1,IF($I$23:$I$240=$T$1,1,0)))</f>
        <v>0</v>
      </c>
      <c r="CD4" s="874">
        <f t="array" ref="CD4">SUM(IF(ISTEXT(CD$23:CD$240),1,0)*IF(($L$23:$L$240)="D",1,0)*IF(ISBLANK($T$1),1,IF($I$23:$I$240=$T$1,1,0)))</f>
        <v>0</v>
      </c>
      <c r="CE4" s="874">
        <f t="array" ref="CE4">SUM(IF(ISTEXT(CE$23:CE$240),1,0)*IF(($L$23:$L$240)="D",1,0)*IF(ISBLANK($T$1),1,IF($I$23:$I$240=$T$1,1,0)))</f>
        <v>0</v>
      </c>
      <c r="CF4" s="874">
        <f t="array" ref="CF4">SUM(IF(ISTEXT(CF$23:CF$240),1,0)*IF(($L$23:$L$240)="D",1,0)*IF(ISBLANK($T$1),1,IF($I$23:$I$240=$T$1,1,0)))</f>
        <v>0</v>
      </c>
      <c r="CG4" s="874">
        <f t="array" ref="CG4">SUM(IF(ISTEXT(CG$23:CG$240),1,0)*IF(($L$23:$L$240)="D",1,0)*IF(ISBLANK($T$1),1,IF($I$23:$I$240=$T$1,1,0)))</f>
        <v>0</v>
      </c>
      <c r="CH4" s="874">
        <f t="array" ref="CH4">SUM(IF(ISTEXT(CH$23:CH$240),1,0)*IF(($L$23:$L$240)="D",1,0)*IF(ISBLANK($T$1),1,IF($I$23:$I$240=$T$1,1,0)))</f>
        <v>0</v>
      </c>
      <c r="CI4" s="874">
        <f t="array" ref="CI4">SUM(IF(ISTEXT(CI$23:CI$240),1,0)*IF(($L$23:$L$240)="D",1,0)*IF(ISBLANK($T$1),1,IF($I$23:$I$240=$T$1,1,0)))</f>
        <v>0</v>
      </c>
      <c r="CJ4" s="874">
        <f t="array" ref="CJ4">SUM(IF(ISTEXT(CJ$23:CJ$240),1,0)*IF(($L$23:$L$240)="D",1,0)*IF(ISBLANK($T$1),1,IF($I$23:$I$240=$T$1,1,0)))</f>
        <v>0</v>
      </c>
      <c r="CK4" s="874">
        <f t="array" ref="CK4">SUM(IF(ISTEXT(CK$23:CK$240),1,0)*IF(($L$23:$L$240)="D",1,0)*IF(ISBLANK($T$1),1,IF($I$23:$I$240=$T$1,1,0)))</f>
        <v>0</v>
      </c>
      <c r="CL4" s="874">
        <f t="array" ref="CL4">SUM(IF(ISTEXT(CL$23:CL$240),1,0)*IF(($L$23:$L$240)="D",1,0)*IF(ISBLANK($T$1),1,IF($I$23:$I$240=$T$1,1,0)))</f>
        <v>4</v>
      </c>
      <c r="CM4" s="874">
        <f t="array" ref="CM4">SUM(IF(ISTEXT(CM$23:CM$240),1,0)*IF(($L$23:$L$240)="D",1,0)*IF(ISBLANK($T$1),1,IF($I$23:$I$240=$T$1,1,0)))</f>
        <v>4</v>
      </c>
      <c r="CN4" s="874">
        <f t="array" ref="CN4">SUM(IF(ISTEXT(CN$23:CN$240),1,0)*IF(($L$23:$L$240)="D",1,0)*IF(ISBLANK($T$1),1,IF($I$23:$I$240=$T$1,1,0)))</f>
        <v>4</v>
      </c>
    </row>
    <row r="5" spans="1:92" s="874" customFormat="1" ht="12.75" hidden="1" outlineLevel="1">
      <c r="A5" s="787"/>
      <c r="B5" s="787"/>
      <c r="C5" s="787"/>
      <c r="D5" s="787"/>
      <c r="E5" s="787"/>
      <c r="J5" s="787"/>
      <c r="T5" s="787" t="s">
        <v>4</v>
      </c>
      <c r="U5" s="787"/>
      <c r="V5" s="787"/>
      <c r="W5" s="787"/>
      <c r="X5" s="787"/>
      <c r="Y5" s="787"/>
      <c r="Z5" s="787"/>
      <c r="AA5" s="787"/>
      <c r="AB5" s="787"/>
      <c r="AC5" s="787"/>
      <c r="AD5" s="816"/>
      <c r="AF5" s="874">
        <f t="array" ref="AF5">SUM(IF(L$23:L$240="L",1,0)*IF(ISBLANK($T$1),1,IF($I$23:$I$240=$T$1,1,0)))</f>
        <v>20</v>
      </c>
      <c r="AG5" s="874">
        <f t="array" ref="AG5">SUM(IF(ISTEXT(AG$23:AG$240),1,0)*IF(($L$23:$L$240)="L",1,0)*IF(ISBLANK($T$1),1,IF($I$23:$I$240=$T$1,1,0)))</f>
        <v>14</v>
      </c>
      <c r="AI5" s="874">
        <f t="array" ref="AI5">SUM(IF(ISTEXT(AI$23:AI$240),1,0)*IF(($L$23:$L$240)="L",1,0)*IF(ISBLANK($T$1),1,IF($I$23:$I$240=$T$1,1,0)))</f>
        <v>20</v>
      </c>
      <c r="AJ5" s="874">
        <f t="array" ref="AJ5">SUM(IF(ISTEXT(AJ$23:AJ$240),1,0)*IF(($L$23:$L$240)="L",1,0)*IF(ISBLANK($T$1),1,IF($I$23:$I$240=$T$1,1,0)))</f>
        <v>20</v>
      </c>
      <c r="AL5" s="874">
        <f t="array" ref="AL5">SUM(IF(ISTEXT(AL$23:AL$240),1,0)*IF(($L$23:$L$240)="L",1,0)*IF(ISBLANK($T$1),1,IF($I$23:$I$240=$T$1,1,0)))</f>
        <v>20</v>
      </c>
      <c r="AM5" s="874">
        <f t="array" ref="AM5">SUM(IF(ISTEXT(AM$23:AM$240),1,0)*IF(($L$23:$L$240)="L",1,0)*IF(ISBLANK($T$1),1,IF($I$23:$I$240=$T$1,1,0)))</f>
        <v>20</v>
      </c>
      <c r="AO5" s="874">
        <f t="array" ref="AO5">SUM(IF(ISTEXT(AO$23:AO$240),1,0)*IF(($L$23:$L$240)="L",1,0)*IF(ISBLANK($T$1),1,IF($I$23:$I$240=$T$1,1,0)))</f>
        <v>19</v>
      </c>
      <c r="AQ5" s="874">
        <f t="array" ref="AQ5">SUM(IF(ISTEXT(AQ$23:AQ$240),1,0)*IF(($L$23:$L$240)="L",1,0)*IF(ISBLANK($T$1),1,IF($I$23:$I$240=$T$1,1,0)))</f>
        <v>19</v>
      </c>
      <c r="AR5" s="874">
        <f t="array" ref="AR5">SUM(IF(ISTEXT(AR$23:AR$240),1,0)*IF(($L$23:$L$240)="L",1,0)*IF(ISBLANK($T$1),1,IF($I$23:$I$240=$T$1,1,0)))</f>
        <v>19</v>
      </c>
      <c r="AT5" s="874">
        <f t="array" ref="AT5">SUM(IF(ISTEXT(AT$23:AT$240),1,0)*IF(($L$23:$L$240)="L",1,0)*IF(ISBLANK($T$1),1,IF($I$23:$I$240=$T$1,1,0)))</f>
        <v>20</v>
      </c>
      <c r="AU5" s="874">
        <f t="array" ref="AU5">SUM(IF(ISTEXT(AU$23:AU$240),1,0)*IF(($L$23:$L$240)="L",1,0)*IF(ISBLANK($T$1),1,IF($I$23:$I$240=$T$1,1,0)))</f>
        <v>20</v>
      </c>
      <c r="AX5" s="874">
        <f t="array" ref="AX5">SUM(IF(ISTEXT(AX$23:AX$240),1,0)*IF(($L$23:$L$240)="L",1,0)*IF(ISBLANK($T$1),1,IF($I$23:$I$240=$T$1,1,0)))</f>
        <v>20</v>
      </c>
      <c r="AZ5" s="874">
        <f t="array" ref="AZ5">SUM(IF(ISTEXT(AZ$23:AZ$240),1,0)*IF(($L$23:$L$240)="L",1,0)*IF(ISBLANK($T$1),1,IF($I$23:$I$240=$T$1,1,0)))</f>
        <v>19</v>
      </c>
      <c r="BA5" s="874" t="e">
        <f t="array" ref="BA5">SUM(IF(ISTEXT(BA$30:BA$240),1,0)*IF(($L$23:$L$240)="L",1,0)*IF(ISBLANK($T$1),1,IF($I$23:$I$240=$T$1,1,0)))</f>
        <v>#N/A</v>
      </c>
      <c r="BD5" s="874">
        <f t="array" ref="BD5">SUM(IF(ISTEXT(BD$23:BD$240),1,0)*IF(($L$23:$L$240)="L",1,0)*IF(ISBLANK($T$1),1,IF($I$23:$I$240=$T$1,1,0)))</f>
        <v>16</v>
      </c>
      <c r="BE5" s="874">
        <f t="array" ref="BE5">SUM(IF(ISTEXT(BE$23:BE$240),1,0)*IF(($L$23:$L$240)="L",1,0)*IF(ISBLANK($T$1),1,IF($I$23:$I$240=$T$1,1,0)))</f>
        <v>16</v>
      </c>
      <c r="BF5" s="874" t="e">
        <f t="array" ref="BF5">SUM(IF(ISTEXT(BF$30:BF$240),1,0)*IF(($L$23:$L$240)="L",1,0)*IF(ISBLANK($T$1),1,IF($I$23:$I$240=$T$1,1,0)))</f>
        <v>#N/A</v>
      </c>
      <c r="BJ5" s="874">
        <f t="array" ref="BJ5">SUM(IF(ISTEXT(BJ$23:BJ$240),1,0)*IF(($L$23:$L$240)="L",1,0)*IF(ISBLANK($T$1),1,IF($I$23:$I$240=$T$1,1,0)))</f>
        <v>20</v>
      </c>
      <c r="BN5" s="874">
        <f t="array" ref="BN5">SUM(IF(ISTEXT(BN$23:BN$240),1,0)*IF(($L$23:$L$240)="L",1,0)*IF(ISBLANK($T$1),1,IF($I$23:$I$240=$T$1,1,0)))</f>
        <v>14</v>
      </c>
      <c r="BR5" s="874">
        <f t="array" ref="BR5">SUM(IF(ISTEXT(BR$23:BR$240),1,0)*IF(($L$23:$L$240)="L",1,0)*IF(ISBLANK($T$1),1,IF($I$23:$I$240=$T$1,1,0)))</f>
        <v>0</v>
      </c>
      <c r="BT5" s="874">
        <f t="array" ref="BT5">SUM(IF(ISTEXT(BT$23:BT$240),1,0)*IF(($L$23:$L$240)="L",1,0)*IF(ISBLANK($T$1),1,IF($I$23:$I$240=$T$1,1,0)))</f>
        <v>1</v>
      </c>
      <c r="BU5" s="874">
        <f t="array" ref="BU5">SUM(IF(ISTEXT(BU$23:BU$240),1,0)*IF(($L$23:$L$240)="L",1,0)*IF(ISBLANK($T$1),1,IF($I$23:$I$240=$T$1,1,0)))</f>
        <v>1</v>
      </c>
      <c r="BV5" s="874" t="e">
        <f t="array" ref="BV5">SUM(IF(ISTEXT(BV$41:BV$240),1,0)*IF(($L$23:$L$240)="L",1,0)*IF(ISBLANK($T$1),1,IF($I$23:$I$240=$T$1,1,0)))</f>
        <v>#N/A</v>
      </c>
      <c r="CA5" s="874">
        <f t="array" ref="CA5">SUM(IF(ISTEXT(CA$23:CA$240),1,0)*IF(($L$23:$L$240)="L",1,0)*IF(ISBLANK($T$1),1,IF($I$23:$I$240=$T$1,1,0)))</f>
        <v>0</v>
      </c>
      <c r="CB5" s="874">
        <f t="array" ref="CB5">SUM(IF(ISTEXT(CB$23:CB$240),1,0)*IF(($L$23:$L$240)="L",1,0)*IF(ISBLANK($T$1),1,IF($I$23:$I$240=$T$1,1,0)))</f>
        <v>0</v>
      </c>
      <c r="CC5" s="874">
        <f t="array" ref="CC5">SUM(IF(ISTEXT(CC$23:CC$240),1,0)*IF(($L$23:$L$240)="L",1,0)*IF(ISBLANK($T$1),1,IF($I$23:$I$240=$T$1,1,0)))</f>
        <v>0</v>
      </c>
      <c r="CD5" s="874">
        <f t="array" ref="CD5">SUM(IF(ISTEXT(CD$23:CD$240),1,0)*IF(($L$23:$L$240)="L",1,0)*IF(ISBLANK($T$1),1,IF($I$23:$I$240=$T$1,1,0)))</f>
        <v>0</v>
      </c>
      <c r="CE5" s="874">
        <f t="array" ref="CE5">SUM(IF(ISTEXT(CE$23:CE$240),1,0)*IF(($L$23:$L$240)="L",1,0)*IF(ISBLANK($T$1),1,IF($I$23:$I$240=$T$1,1,0)))</f>
        <v>0</v>
      </c>
      <c r="CF5" s="874">
        <f t="array" ref="CF5">SUM(IF(ISTEXT(CF$23:CF$240),1,0)*IF(($L$23:$L$240)="L",1,0)*IF(ISBLANK($T$1),1,IF($I$23:$I$240=$T$1,1,0)))</f>
        <v>0</v>
      </c>
      <c r="CG5" s="874">
        <f t="array" ref="CG5">SUM(IF(ISTEXT(CG$23:CG$240),1,0)*IF(($L$23:$L$240)="L",1,0)*IF(ISBLANK($T$1),1,IF($I$23:$I$240=$T$1,1,0)))</f>
        <v>0</v>
      </c>
      <c r="CH5" s="874">
        <f t="array" ref="CH5">SUM(IF(ISTEXT(CH$23:CH$240),1,0)*IF(($L$23:$L$240)="L",1,0)*IF(ISBLANK($T$1),1,IF($I$23:$I$240=$T$1,1,0)))</f>
        <v>0</v>
      </c>
      <c r="CI5" s="874">
        <f t="array" ref="CI5">SUM(IF(ISTEXT(CI$23:CI$240),1,0)*IF(($L$23:$L$240)="L",1,0)*IF(ISBLANK($T$1),1,IF($I$23:$I$240=$T$1,1,0)))</f>
        <v>0</v>
      </c>
      <c r="CJ5" s="874">
        <f t="array" ref="CJ5">SUM(IF(ISTEXT(CJ$23:CJ$240),1,0)*IF(($L$23:$L$240)="L",1,0)*IF(ISBLANK($T$1),1,IF($I$23:$I$240=$T$1,1,0)))</f>
        <v>0</v>
      </c>
      <c r="CK5" s="874">
        <f t="array" ref="CK5">SUM(IF(ISTEXT(CK$23:CK$240),1,0)*IF(($L$23:$L$240)="L",1,0)*IF(ISBLANK($T$1),1,IF($I$23:$I$240=$T$1,1,0)))</f>
        <v>0</v>
      </c>
      <c r="CL5" s="874">
        <f t="array" ref="CL5">SUM(IF(ISTEXT(CL$23:CL$240),1,0)*IF(($L$23:$L$240)="L",1,0)*IF(ISBLANK($T$1),1,IF($I$23:$I$240=$T$1,1,0)))</f>
        <v>7</v>
      </c>
      <c r="CM5" s="874">
        <f t="array" ref="CM5">SUM(IF(ISTEXT(CM$23:CM$240),1,0)*IF(($L$23:$L$240)="L",1,0)*IF(ISBLANK($T$1),1,IF($I$23:$I$240=$T$1,1,0)))</f>
        <v>7</v>
      </c>
      <c r="CN5" s="874">
        <f t="array" ref="CN5">SUM(IF(ISTEXT(CN$23:CN$240),1,0)*IF(($L$23:$L$240)="L",1,0)*IF(ISBLANK($T$1),1,IF($I$23:$I$240=$T$1,1,0)))</f>
        <v>7</v>
      </c>
    </row>
    <row r="6" spans="1:92" s="874" customFormat="1" ht="12.75" hidden="1" outlineLevel="1">
      <c r="A6" s="787"/>
      <c r="B6" s="787"/>
      <c r="C6" s="787"/>
      <c r="D6" s="787"/>
      <c r="E6" s="787"/>
      <c r="J6" s="787"/>
      <c r="T6" s="787" t="s">
        <v>5</v>
      </c>
      <c r="U6" s="787"/>
      <c r="V6" s="787"/>
      <c r="W6" s="787"/>
      <c r="X6" s="787"/>
      <c r="Y6" s="787"/>
      <c r="Z6" s="787"/>
      <c r="AA6" s="787"/>
      <c r="AB6" s="787"/>
      <c r="AC6" s="787"/>
      <c r="AD6" s="816"/>
      <c r="AF6" s="874">
        <f>AF$3*3+AF$4</f>
        <v>52</v>
      </c>
      <c r="AG6" s="874">
        <f t="shared" ref="AG6:CN6" si="3">AG$3*3+AG$4</f>
        <v>49</v>
      </c>
      <c r="AI6" s="874">
        <f t="shared" si="3"/>
        <v>52</v>
      </c>
      <c r="AJ6" s="874">
        <f t="shared" si="3"/>
        <v>52</v>
      </c>
      <c r="AL6" s="874">
        <f t="shared" si="3"/>
        <v>52</v>
      </c>
      <c r="AM6" s="874">
        <f t="shared" si="3"/>
        <v>52</v>
      </c>
      <c r="AO6" s="874">
        <f t="shared" si="3"/>
        <v>52</v>
      </c>
      <c r="AQ6" s="874">
        <f>AQ$3*3+AQ$4</f>
        <v>52</v>
      </c>
      <c r="AR6" s="874">
        <f>AR$3*3+AR$4</f>
        <v>52</v>
      </c>
      <c r="AT6" s="874">
        <f t="shared" si="3"/>
        <v>52</v>
      </c>
      <c r="AU6" s="874">
        <f t="shared" si="3"/>
        <v>52</v>
      </c>
      <c r="AX6" s="874">
        <f>AX$3*3+AX$4</f>
        <v>52</v>
      </c>
      <c r="AZ6" s="874">
        <f>AZ$3*3+AZ$4</f>
        <v>52</v>
      </c>
      <c r="BA6" s="874" t="e">
        <f>BA$3*3+BA$4</f>
        <v>#N/A</v>
      </c>
      <c r="BD6" s="874">
        <f>BD$3*3+BD$4</f>
        <v>44</v>
      </c>
      <c r="BE6" s="874">
        <f>BE$3*3+BE$4</f>
        <v>44</v>
      </c>
      <c r="BF6" s="874" t="e">
        <f>BF$3*3+BF$4</f>
        <v>#N/A</v>
      </c>
      <c r="BJ6" s="874">
        <f>BJ$3*3+BJ$4</f>
        <v>52</v>
      </c>
      <c r="BN6" s="874">
        <f>BN$3*3+BN$4</f>
        <v>33</v>
      </c>
      <c r="BR6" s="874">
        <f>BR$3*3+BR$4</f>
        <v>1</v>
      </c>
      <c r="BT6" s="874">
        <f>BT$3*3+BT$4</f>
        <v>0</v>
      </c>
      <c r="BU6" s="874">
        <f>BU$3*3+BU$4</f>
        <v>0</v>
      </c>
      <c r="BV6" s="874" t="e">
        <f t="shared" si="3"/>
        <v>#N/A</v>
      </c>
      <c r="CA6" s="874">
        <f t="shared" ref="CA6:CG6" si="4">CA$3*3+CA$4</f>
        <v>0</v>
      </c>
      <c r="CB6" s="874">
        <f t="shared" si="4"/>
        <v>0</v>
      </c>
      <c r="CC6" s="874">
        <f t="shared" si="4"/>
        <v>0</v>
      </c>
      <c r="CD6" s="874">
        <f t="shared" si="4"/>
        <v>0</v>
      </c>
      <c r="CE6" s="874">
        <f t="shared" si="4"/>
        <v>0</v>
      </c>
      <c r="CF6" s="874">
        <f t="shared" si="4"/>
        <v>0</v>
      </c>
      <c r="CG6" s="874">
        <f t="shared" si="4"/>
        <v>0</v>
      </c>
      <c r="CH6" s="874">
        <f t="shared" si="3"/>
        <v>0</v>
      </c>
      <c r="CI6" s="874">
        <f t="shared" si="3"/>
        <v>0</v>
      </c>
      <c r="CJ6" s="874">
        <f t="shared" si="3"/>
        <v>0</v>
      </c>
      <c r="CK6" s="874">
        <f t="shared" si="3"/>
        <v>0</v>
      </c>
      <c r="CL6" s="874">
        <f t="shared" si="3"/>
        <v>19</v>
      </c>
      <c r="CM6" s="874">
        <f t="shared" si="3"/>
        <v>19</v>
      </c>
      <c r="CN6" s="874">
        <f t="shared" si="3"/>
        <v>16</v>
      </c>
    </row>
    <row r="7" spans="1:92" s="874" customFormat="1" ht="12.75" hidden="1" outlineLevel="1">
      <c r="A7" s="787"/>
      <c r="B7" s="787"/>
      <c r="C7" s="787"/>
      <c r="D7" s="787"/>
      <c r="E7" s="787"/>
      <c r="J7" s="787"/>
      <c r="T7" s="787" t="s">
        <v>6</v>
      </c>
      <c r="U7" s="787"/>
      <c r="V7" s="787"/>
      <c r="W7" s="787"/>
      <c r="X7" s="787"/>
      <c r="Y7" s="787"/>
      <c r="Z7" s="787"/>
      <c r="AA7" s="787"/>
      <c r="AB7" s="787"/>
      <c r="AC7" s="787"/>
      <c r="AD7" s="816"/>
      <c r="AF7" s="874">
        <f t="shared" ref="AF7:CN7" si="5">AF6/AF2</f>
        <v>1.1818181818181819</v>
      </c>
      <c r="AG7" s="874">
        <f t="shared" si="5"/>
        <v>1.4</v>
      </c>
      <c r="AI7" s="874">
        <f t="shared" si="5"/>
        <v>1.1818181818181819</v>
      </c>
      <c r="AJ7" s="874">
        <f t="shared" si="5"/>
        <v>1.1818181818181819</v>
      </c>
      <c r="AL7" s="874">
        <f t="shared" si="5"/>
        <v>1.1818181818181819</v>
      </c>
      <c r="AM7" s="874">
        <f t="shared" si="5"/>
        <v>1.1818181818181819</v>
      </c>
      <c r="AO7" s="874">
        <f t="shared" si="5"/>
        <v>1.2093023255813953</v>
      </c>
      <c r="AQ7" s="874">
        <f>AQ6/AQ2</f>
        <v>1.2093023255813953</v>
      </c>
      <c r="AR7" s="874">
        <f>AR6/AR2</f>
        <v>1.2093023255813953</v>
      </c>
      <c r="AT7" s="874">
        <f t="shared" ref="AT7" si="6">AT6/AT2</f>
        <v>1.1818181818181819</v>
      </c>
      <c r="AU7" s="874">
        <f t="shared" si="5"/>
        <v>1.1818181818181819</v>
      </c>
      <c r="AX7" s="874">
        <f>AX6/AX2</f>
        <v>1.1818181818181819</v>
      </c>
      <c r="AZ7" s="874">
        <f>AZ6/AZ2</f>
        <v>1.2093023255813953</v>
      </c>
      <c r="BA7" s="874" t="e">
        <f>BA6/BA2</f>
        <v>#N/A</v>
      </c>
      <c r="BD7" s="874">
        <f>BD6/BD2</f>
        <v>1.2222222222222223</v>
      </c>
      <c r="BE7" s="874">
        <f>BE6/BE2</f>
        <v>1.2222222222222223</v>
      </c>
      <c r="BF7" s="874" t="e">
        <f>BF6/BF2</f>
        <v>#N/A</v>
      </c>
      <c r="BJ7" s="874">
        <f>BJ6/BJ2</f>
        <v>1.1818181818181819</v>
      </c>
      <c r="BN7" s="874">
        <f>BN6/BN2</f>
        <v>1.1379310344827587</v>
      </c>
      <c r="BR7" s="874">
        <f>BR6/BR2</f>
        <v>1</v>
      </c>
      <c r="BT7" s="874">
        <f>BT6/BT2</f>
        <v>0</v>
      </c>
      <c r="BU7" s="874">
        <f>BU6/BU2</f>
        <v>0</v>
      </c>
      <c r="BV7" s="874" t="e">
        <f t="shared" si="5"/>
        <v>#N/A</v>
      </c>
      <c r="CA7" s="874" t="e">
        <f t="shared" ref="CA7:CG7" si="7">CA6/CA2</f>
        <v>#DIV/0!</v>
      </c>
      <c r="CB7" s="874" t="e">
        <f t="shared" si="7"/>
        <v>#DIV/0!</v>
      </c>
      <c r="CC7" s="874" t="e">
        <f t="shared" si="7"/>
        <v>#DIV/0!</v>
      </c>
      <c r="CD7" s="874" t="e">
        <f t="shared" si="7"/>
        <v>#DIV/0!</v>
      </c>
      <c r="CE7" s="874" t="e">
        <f t="shared" si="7"/>
        <v>#DIV/0!</v>
      </c>
      <c r="CF7" s="874" t="e">
        <f t="shared" si="7"/>
        <v>#DIV/0!</v>
      </c>
      <c r="CG7" s="874" t="e">
        <f t="shared" si="7"/>
        <v>#DIV/0!</v>
      </c>
      <c r="CH7" s="874" t="e">
        <f t="shared" si="5"/>
        <v>#DIV/0!</v>
      </c>
      <c r="CI7" s="874" t="e">
        <f t="shared" si="5"/>
        <v>#DIV/0!</v>
      </c>
      <c r="CJ7" s="874" t="e">
        <f t="shared" si="5"/>
        <v>#DIV/0!</v>
      </c>
      <c r="CK7" s="874" t="e">
        <f t="shared" si="5"/>
        <v>#DIV/0!</v>
      </c>
      <c r="CL7" s="874">
        <f t="shared" si="5"/>
        <v>1.1875</v>
      </c>
      <c r="CM7" s="874">
        <f t="shared" si="5"/>
        <v>1.1875</v>
      </c>
      <c r="CN7" s="874">
        <f t="shared" si="5"/>
        <v>1.0666666666666667</v>
      </c>
    </row>
    <row r="8" spans="1:92" s="874" customFormat="1" ht="12.75" hidden="1" outlineLevel="1">
      <c r="A8" s="787"/>
      <c r="B8" s="787"/>
      <c r="C8" s="787"/>
      <c r="D8" s="787"/>
      <c r="E8" s="787"/>
      <c r="J8" s="787"/>
      <c r="T8" s="787" t="s">
        <v>7</v>
      </c>
      <c r="U8" s="787"/>
      <c r="V8" s="787"/>
      <c r="W8" s="787"/>
      <c r="X8" s="787"/>
      <c r="Y8" s="787"/>
      <c r="Z8" s="787"/>
      <c r="AA8" s="787"/>
      <c r="AB8" s="787"/>
      <c r="AC8" s="787"/>
      <c r="AD8" s="816"/>
      <c r="AF8" s="874">
        <f t="array" ref="AF8">SUM(IF(($T$23:$T$240)="",0,$T$23:$T$240)*IF(ISBLANK($T$1),1,IF($I$23:$I$240=$T$1,1,0)))</f>
        <v>12.359999999999996</v>
      </c>
      <c r="AG8" s="874">
        <f t="array" ref="AG8">SUM(IF(ISTEXT(AG$23:AG$240),1,0)*IF(($T$23:$T$240)="",0,$T$23:$T$240)*IF(ISBLANK($T$1),1,IF($I$23:$I$240=$T$1,1,0)))</f>
        <v>9.009999999999998</v>
      </c>
      <c r="AI8" s="874">
        <f t="array" ref="AI8">SUM(IF(ISTEXT(AI$23:AI$240),1,0)*IF(($T$23:$T$240)="",0,$T$23:$T$240)*IF(ISBLANK($T$1),1,IF($I$23:$I$240=$T$1,1,0)))</f>
        <v>12.359999999999996</v>
      </c>
      <c r="AJ8" s="874">
        <f t="array" ref="AJ8">SUM(IF(ISTEXT(AJ$23:AJ$240),1,0)*IF(($T$23:$T$240)="",0,$T$23:$T$240)*IF(ISBLANK($T$1),1,IF($I$23:$I$240=$T$1,1,0)))</f>
        <v>12.359999999999996</v>
      </c>
      <c r="AL8" s="874">
        <f t="array" ref="AL8">SUM(IF(ISTEXT(AL$23:AL$240),1,0)*IF(($T$23:$T$240)="",0,$T$23:$T$240)*IF(ISBLANK($T$1),1,IF($I$23:$I$240=$T$1,1,0)))</f>
        <v>12.359999999999996</v>
      </c>
      <c r="AM8" s="874">
        <f t="array" ref="AM8">SUM(IF(ISTEXT(AM$23:AM$240),1,0)*IF(($T$23:$T$240)="",0,$T$23:$T$240)*IF(ISBLANK($T$1),1,IF($I$23:$I$240=$T$1,1,0)))</f>
        <v>12.359999999999996</v>
      </c>
      <c r="AO8" s="874">
        <f t="array" ref="AO8">SUM(IF(ISTEXT(AO$23:AO$240),1,0)*IF(($T$23:$T$240)="",0,$T$23:$T$240)*IF(ISBLANK($T$1),1,IF($I$23:$I$240=$T$1,1,0)))</f>
        <v>13.589999999999996</v>
      </c>
      <c r="AQ8" s="874">
        <f t="array" ref="AQ8">SUM(IF(ISTEXT(AQ$23:AQ$240),1,0)*IF(($T$23:$T$240)="",0,$T$23:$T$240)*IF(ISBLANK($T$1),1,IF($I$23:$I$240=$T$1,1,0)))</f>
        <v>13.589999999999996</v>
      </c>
      <c r="AR8" s="874">
        <f t="array" ref="AR8">SUM(IF(ISTEXT(AR$23:AR$240),1,0)*IF(($T$23:$T$240)="",0,$T$23:$T$240)*IF(ISBLANK($T$1),1,IF($I$23:$I$240=$T$1,1,0)))</f>
        <v>13.589999999999996</v>
      </c>
      <c r="AT8" s="874">
        <f t="array" ref="AT8">SUM(IF(ISTEXT(AT$23:AT$240),1,0)*IF(($T$23:$T$240)="",0,$T$23:$T$240)*IF(ISBLANK($T$1),1,IF($I$23:$I$240=$T$1,1,0)))</f>
        <v>12.359999999999996</v>
      </c>
      <c r="AU8" s="874">
        <f t="array" ref="AU8">SUM(IF(ISTEXT(AU$23:AU$240),1,0)*IF(($T$23:$T$240)="",0,$T$23:$T$240)*IF(ISBLANK($T$1),1,IF($I$23:$I$240=$T$1,1,0)))</f>
        <v>12.359999999999996</v>
      </c>
      <c r="AX8" s="874">
        <f t="array" ref="AX8">SUM(IF(ISTEXT(AX$23:AX$240),1,0)*IF(($T$23:$T$240)="",0,$T$23:$T$240)*IF(ISBLANK($T$1),1,IF($I$23:$I$240=$T$1,1,0)))</f>
        <v>12.359999999999996</v>
      </c>
      <c r="AZ8" s="874">
        <f t="array" ref="AZ8">SUM(IF(ISTEXT(AZ$23:AZ$240),1,0)*IF(($T$23:$T$240)="",0,$T$23:$T$240)*IF(ISBLANK($T$1),1,IF($I$23:$I$240=$T$1,1,0)))</f>
        <v>13.589999999999996</v>
      </c>
      <c r="BA8" s="874" t="e">
        <f t="array" ref="BA8">SUM(IF(ISTEXT(BA$30:BA$240),1,0)*IF(($T$23:$T$240)="",0,$T$23:$T$240)*IF(ISBLANK($T$1),1,IF($I$23:$I$240=$T$1,1,0)))</f>
        <v>#N/A</v>
      </c>
      <c r="BD8" s="874">
        <f t="array" ref="BD8">SUM(IF(ISTEXT(BD$23:BD$240),1,0)*IF(($T$23:$T$240)="",0,$T$23:$T$240)*IF(ISBLANK($T$1),1,IF($I$23:$I$240=$T$1,1,0)))</f>
        <v>13.940000000000001</v>
      </c>
      <c r="BE8" s="874">
        <f t="array" ref="BE8">SUM(IF(ISTEXT(BE$23:BE$240),1,0)*IF(($T$23:$T$240)="",0,$T$23:$T$240)*IF(ISBLANK($T$1),1,IF($I$23:$I$240=$T$1,1,0)))</f>
        <v>13.940000000000001</v>
      </c>
      <c r="BF8" s="874" t="e">
        <f t="array" ref="BF8">SUM(IF(ISTEXT(BF$30:BF$240),1,0)*IF(($T$23:$T$240)="",0,$T$23:$T$240)*IF(ISBLANK($T$1),1,IF($I$23:$I$240=$T$1,1,0)))</f>
        <v>#N/A</v>
      </c>
      <c r="BJ8" s="874">
        <f t="array" ref="BJ8">SUM(IF(ISTEXT(BJ$23:BJ$240),1,0)*IF(($T$23:$T$240)="",0,$T$23:$T$240)*IF(ISBLANK($T$1),1,IF($I$23:$I$240=$T$1,1,0)))</f>
        <v>12.359999999999996</v>
      </c>
      <c r="BN8" s="874">
        <f t="array" ref="BN8">SUM(IF(ISTEXT(BN$23:BN$240),1,0)*IF(($T$23:$T$240)="",0,$T$23:$T$240)*IF(ISBLANK($T$1),1,IF($I$23:$I$240=$T$1,1,0)))</f>
        <v>8.5599999999999987</v>
      </c>
      <c r="BR8" s="874">
        <f t="array" ref="BR8">SUM(IF(ISTEXT(BR$23:BR$240),1,0)*IF(($T$23:$T$240)="",0,$T$23:$T$240)*IF(ISBLANK($T$1),1,IF($I$23:$I$240=$T$1,1,0)))</f>
        <v>-0.54</v>
      </c>
      <c r="BT8" s="874">
        <f t="array" ref="BT8">SUM(IF(ISTEXT(BT$23:BT$240),1,0)*IF(($T$23:$T$240)="",0,$T$23:$T$240)*IF(ISBLANK($T$1),1,IF($I$23:$I$240=$T$1,1,0)))</f>
        <v>1.29</v>
      </c>
      <c r="BU8" s="874">
        <f t="array" ref="BU8">SUM(IF(ISTEXT(BU$23:BU$240),1,0)*IF(($T$23:$T$240)="",0,$T$23:$T$240)*IF(ISBLANK($T$1),1,IF($I$23:$I$240=$T$1,1,0)))</f>
        <v>1.29</v>
      </c>
      <c r="BV8" s="874" t="e">
        <f t="array" ref="BV8">SUM(IF(ISTEXT(BV$41:BV$240),1,0)*IF(($T$23:$T$240)="",0,$T$23:$T$240)*IF(ISBLANK($T$1),1,IF($I$23:$I$240=$T$1,1,0)))</f>
        <v>#N/A</v>
      </c>
      <c r="CA8" s="874">
        <f t="array" ref="CA8">SUM(IF(ISTEXT(CA$23:CA$240),1,0)*IF(($T$23:$T$240)="",0,$T$23:$T$240)*IF(ISBLANK($T$1),1,IF($I$23:$I$240=$T$1,1,0)))</f>
        <v>0</v>
      </c>
      <c r="CB8" s="874">
        <f t="array" ref="CB8">SUM(IF(ISTEXT(CB$23:CB$240),1,0)*IF(($T$23:$T$240)="",0,$T$23:$T$240)*IF(ISBLANK($T$1),1,IF($I$23:$I$240=$T$1,1,0)))</f>
        <v>0</v>
      </c>
      <c r="CC8" s="874">
        <f t="array" ref="CC8">SUM(IF(ISTEXT(CC$23:CC$240),1,0)*IF(($T$23:$T$240)="",0,$T$23:$T$240)*IF(ISBLANK($T$1),1,IF($I$23:$I$240=$T$1,1,0)))</f>
        <v>0</v>
      </c>
      <c r="CD8" s="874">
        <f t="array" ref="CD8">SUM(IF(ISTEXT(CD$23:CD$240),1,0)*IF(($T$23:$T$240)="",0,$T$23:$T$240)*IF(ISBLANK($T$1),1,IF($I$23:$I$240=$T$1,1,0)))</f>
        <v>0</v>
      </c>
      <c r="CE8" s="874">
        <f t="array" ref="CE8">SUM(IF(ISTEXT(CE$23:CE$240),1,0)*IF(($T$23:$T$240)="",0,$T$23:$T$240)*IF(ISBLANK($T$1),1,IF($I$23:$I$240=$T$1,1,0)))</f>
        <v>0</v>
      </c>
      <c r="CF8" s="874">
        <f t="array" ref="CF8">SUM(IF(ISTEXT(CF$23:CF$240),1,0)*IF(($T$23:$T$240)="",0,$T$23:$T$240)*IF(ISBLANK($T$1),1,IF($I$23:$I$240=$T$1,1,0)))</f>
        <v>0</v>
      </c>
      <c r="CG8" s="874">
        <f t="array" ref="CG8">SUM(IF(ISTEXT(CG$23:CG$240),1,0)*IF(($T$23:$T$240)="",0,$T$23:$T$240)*IF(ISBLANK($T$1),1,IF($I$23:$I$240=$T$1,1,0)))</f>
        <v>0</v>
      </c>
      <c r="CH8" s="874">
        <f t="array" ref="CH8">SUM(IF(ISTEXT(CH$23:CH$240),1,0)*IF(($T$23:$T$240)="",0,$T$23:$T$240)*IF(ISBLANK($T$1),1,IF($I$23:$I$240=$T$1,1,0)))</f>
        <v>0</v>
      </c>
      <c r="CI8" s="874">
        <f t="array" ref="CI8">SUM(IF(ISTEXT(CI$23:CI$240),1,0)*IF(($T$23:$T$240)="",0,$T$23:$T$240)*IF(ISBLANK($T$1),1,IF($I$23:$I$240=$T$1,1,0)))</f>
        <v>0</v>
      </c>
      <c r="CJ8" s="874">
        <f t="array" ref="CJ8">SUM(IF(ISTEXT(CJ$23:CJ$240),1,0)*IF(($T$23:$T$240)="",0,$T$23:$T$240)*IF(ISBLANK($T$1),1,IF($I$23:$I$240=$T$1,1,0)))</f>
        <v>0</v>
      </c>
      <c r="CK8" s="874">
        <f t="array" ref="CK8">SUM(IF(ISTEXT(CK$23:CK$240),1,0)*IF(($T$23:$T$240)="",0,$T$23:$T$240)*IF(ISBLANK($T$1),1,IF($I$23:$I$240=$T$1,1,0)))</f>
        <v>0</v>
      </c>
      <c r="CL8" s="874">
        <f t="array" ref="CL8">SUM(IF(ISTEXT(CL$23:CL$240),1,0)*IF(($T$23:$T$240)="",0,$T$23:$T$240)*IF(ISBLANK($T$1),1,IF($I$23:$I$240=$T$1,1,0)))</f>
        <v>3.54</v>
      </c>
      <c r="CM8" s="874">
        <f t="array" ref="CM8">SUM(IF(ISTEXT(CM$23:CM$240),1,0)*IF(($T$23:$T$240)="",0,$T$23:$T$240)*IF(ISBLANK($T$1),1,IF($I$23:$I$240=$T$1,1,0)))</f>
        <v>3.54</v>
      </c>
      <c r="CN8" s="874">
        <f t="array" ref="CN8">SUM(IF(ISTEXT(CN$23:CN$240),1,0)*IF(($T$23:$T$240)="",0,$T$23:$T$240)*IF(ISBLANK($T$1),1,IF($I$23:$I$240=$T$1,1,0)))</f>
        <v>0.91999999999999993</v>
      </c>
    </row>
    <row r="9" spans="1:92" s="874" customFormat="1" ht="12.75" hidden="1" outlineLevel="1">
      <c r="A9" s="787"/>
      <c r="B9" s="787"/>
      <c r="C9" s="787"/>
      <c r="D9" s="787"/>
      <c r="E9" s="787"/>
      <c r="J9" s="787"/>
      <c r="T9" s="787" t="s">
        <v>8</v>
      </c>
      <c r="U9" s="787"/>
      <c r="V9" s="787"/>
      <c r="W9" s="787"/>
      <c r="X9" s="787"/>
      <c r="Y9" s="787"/>
      <c r="Z9" s="787"/>
      <c r="AA9" s="787"/>
      <c r="AB9" s="787"/>
      <c r="AC9" s="787"/>
      <c r="AD9" s="816"/>
      <c r="AF9" s="874">
        <f t="shared" ref="AF9:CN9" si="8">AF8/AF2</f>
        <v>0.28090909090909083</v>
      </c>
      <c r="AG9" s="874">
        <f t="shared" si="8"/>
        <v>0.2574285714285714</v>
      </c>
      <c r="AI9" s="874">
        <f t="shared" si="8"/>
        <v>0.28090909090909083</v>
      </c>
      <c r="AJ9" s="874">
        <f t="shared" si="8"/>
        <v>0.28090909090909083</v>
      </c>
      <c r="AL9" s="874">
        <f t="shared" si="8"/>
        <v>0.28090909090909083</v>
      </c>
      <c r="AM9" s="874">
        <f t="shared" si="8"/>
        <v>0.28090909090909083</v>
      </c>
      <c r="AO9" s="874">
        <f t="shared" si="8"/>
        <v>0.31604651162790687</v>
      </c>
      <c r="AQ9" s="874">
        <f>AQ8/AQ2</f>
        <v>0.31604651162790687</v>
      </c>
      <c r="AR9" s="874">
        <f>AR8/AR2</f>
        <v>0.31604651162790687</v>
      </c>
      <c r="AT9" s="874">
        <f t="shared" ref="AT9" si="9">AT8/AT2</f>
        <v>0.28090909090909083</v>
      </c>
      <c r="AU9" s="874">
        <f t="shared" si="8"/>
        <v>0.28090909090909083</v>
      </c>
      <c r="AX9" s="874">
        <f>AX8/AX2</f>
        <v>0.28090909090909083</v>
      </c>
      <c r="AZ9" s="874">
        <f>AZ8/AZ2</f>
        <v>0.31604651162790687</v>
      </c>
      <c r="BA9" s="874" t="e">
        <f>BA8/BA2</f>
        <v>#N/A</v>
      </c>
      <c r="BD9" s="874">
        <f>BD8/BD2</f>
        <v>0.38722222222222225</v>
      </c>
      <c r="BE9" s="874">
        <f>BE8/BE2</f>
        <v>0.38722222222222225</v>
      </c>
      <c r="BF9" s="874" t="e">
        <f>BF8/BF2</f>
        <v>#N/A</v>
      </c>
      <c r="BJ9" s="874">
        <f>BJ8/BJ2</f>
        <v>0.28090909090909083</v>
      </c>
      <c r="BN9" s="874">
        <f>BN8/BN2</f>
        <v>0.29517241379310338</v>
      </c>
      <c r="BR9" s="874">
        <f>BR8/BR2</f>
        <v>-0.54</v>
      </c>
      <c r="BT9" s="874">
        <f>BT8/BT2</f>
        <v>1.29</v>
      </c>
      <c r="BU9" s="874">
        <f>BU8/BU2</f>
        <v>1.29</v>
      </c>
      <c r="BV9" s="874" t="e">
        <f t="shared" si="8"/>
        <v>#N/A</v>
      </c>
      <c r="CA9" s="874" t="e">
        <f t="shared" ref="CA9:CG9" si="10">CA8/CA2</f>
        <v>#DIV/0!</v>
      </c>
      <c r="CB9" s="874" t="e">
        <f t="shared" si="10"/>
        <v>#DIV/0!</v>
      </c>
      <c r="CC9" s="874" t="e">
        <f t="shared" si="10"/>
        <v>#DIV/0!</v>
      </c>
      <c r="CD9" s="874" t="e">
        <f t="shared" si="10"/>
        <v>#DIV/0!</v>
      </c>
      <c r="CE9" s="874" t="e">
        <f t="shared" si="10"/>
        <v>#DIV/0!</v>
      </c>
      <c r="CF9" s="874" t="e">
        <f t="shared" si="10"/>
        <v>#DIV/0!</v>
      </c>
      <c r="CG9" s="874" t="e">
        <f t="shared" si="10"/>
        <v>#DIV/0!</v>
      </c>
      <c r="CH9" s="874" t="e">
        <f t="shared" si="8"/>
        <v>#DIV/0!</v>
      </c>
      <c r="CI9" s="874" t="e">
        <f t="shared" si="8"/>
        <v>#DIV/0!</v>
      </c>
      <c r="CJ9" s="874" t="e">
        <f t="shared" si="8"/>
        <v>#DIV/0!</v>
      </c>
      <c r="CK9" s="874" t="e">
        <f t="shared" si="8"/>
        <v>#DIV/0!</v>
      </c>
      <c r="CL9" s="874">
        <f t="shared" si="8"/>
        <v>0.22125</v>
      </c>
      <c r="CM9" s="874">
        <f t="shared" si="8"/>
        <v>0.22125</v>
      </c>
      <c r="CN9" s="874">
        <f t="shared" si="8"/>
        <v>6.133333333333333E-2</v>
      </c>
    </row>
    <row r="10" spans="1:92" s="874" customFormat="1" ht="12.75" hidden="1" outlineLevel="1">
      <c r="A10" s="787"/>
      <c r="B10" s="787"/>
      <c r="C10" s="787"/>
      <c r="D10" s="787"/>
      <c r="E10" s="787"/>
      <c r="J10" s="787"/>
      <c r="T10" s="787" t="s">
        <v>9</v>
      </c>
      <c r="U10" s="787"/>
      <c r="V10" s="787"/>
      <c r="W10" s="787"/>
      <c r="X10" s="787"/>
      <c r="Y10" s="787"/>
      <c r="Z10" s="787"/>
      <c r="AA10" s="787"/>
      <c r="AB10" s="787"/>
      <c r="AC10" s="787"/>
      <c r="AD10" s="816"/>
      <c r="AF10" s="874">
        <f t="array" ref="AF10">SUM(IF(ISBLANK($T$1),$J$23:$J$240,IF($I$23:$I$240=$T$1,$J$23:$J$240,0)))</f>
        <v>52</v>
      </c>
      <c r="AG10" s="874">
        <f t="array" ref="AG10">SUM(IF(ISBLANK(AG$23:AG$240),0,IF(ISNUMBER(VALUE(RIGHT(AG$23:AG$240,1))),RIGHT(AG$23:AG$240,1),0)*IF(ISBLANK($T$1),1,IF($I$23:$I$240=$T$1,1,0))))</f>
        <v>0</v>
      </c>
      <c r="AI10" s="874">
        <f t="array" ref="AI10">SUM(IF(ISBLANK(AI$23:AI$240),0,IF(ISNUMBER(VALUE(RIGHT(AI$23:AI$240,1))),RIGHT(AI$23:AI$240,1),0)*IF(ISBLANK($T$1),1,IF($I$23:$I$240=$T$1,1,0))))</f>
        <v>0</v>
      </c>
      <c r="AJ10" s="874">
        <f t="array" ref="AJ10">SUM(IF(ISBLANK(AJ$23:AJ$240),0,IF(ISNUMBER(VALUE(RIGHT(AJ$23:AJ$240,1))),RIGHT(AJ$23:AJ$240,1),0)*IF(ISBLANK($T$1),1,IF($I$23:$I$240=$T$1,1,0))))</f>
        <v>0</v>
      </c>
      <c r="AL10" s="874">
        <f t="array" ref="AL10">SUM(IF(ISBLANK(AL$23:AL$240),0,IF(ISNUMBER(VALUE(RIGHT(AL$23:AL$240,1))),RIGHT(AL$23:AL$240,1),0)*IF(ISBLANK($T$1),1,IF($I$23:$I$240=$T$1,1,0))))</f>
        <v>0</v>
      </c>
      <c r="AM10" s="874">
        <f t="array" ref="AM10">SUM(IF(ISBLANK(AM$23:AM$240),0,IF(ISNUMBER(VALUE(RIGHT(AM$23:AM$240,1))),RIGHT(AM$23:AM$240,1),0)*IF(ISBLANK($T$1),1,IF($I$23:$I$240=$T$1,1,0))))</f>
        <v>0</v>
      </c>
      <c r="AO10" s="874">
        <f t="array" ref="AO10">SUM(IF(ISBLANK(AO$23:AO$240),0,IF(ISNUMBER(VALUE(RIGHT(AO$23:AO$240,1))),RIGHT(AO$23:AO$240,1),0)*IF(ISBLANK($T$1),1,IF($I$23:$I$240=$T$1,1,0))))</f>
        <v>0</v>
      </c>
      <c r="AQ10" s="874">
        <f t="array" ref="AQ10">SUM(IF(ISBLANK(AQ$23:AQ$240),0,IF(ISNUMBER(VALUE(RIGHT(AQ$23:AQ$240,1))),RIGHT(AQ$23:AQ$240,1),0)*IF(ISBLANK($T$1),1,IF($I$23:$I$240=$T$1,1,0))))</f>
        <v>0</v>
      </c>
      <c r="AR10" s="874">
        <f t="array" ref="AR10">SUM(IF(ISBLANK(AR$23:AR$240),0,IF(ISNUMBER(VALUE(RIGHT(AR$23:AR$240,1))),RIGHT(AR$23:AR$240,1),0)*IF(ISBLANK($T$1),1,IF($I$23:$I$240=$T$1,1,0))))</f>
        <v>0</v>
      </c>
      <c r="AT10" s="874">
        <f t="array" ref="AT10">SUM(IF(ISBLANK(AT$23:AT$240),0,IF(ISNUMBER(VALUE(RIGHT(AT$23:AT$240,1))),RIGHT(AT$23:AT$240,1),0)*IF(ISBLANK($T$1),1,IF($I$23:$I$240=$T$1,1,0))))</f>
        <v>1</v>
      </c>
      <c r="AU10" s="874">
        <f t="array" ref="AU10">SUM(IF(ISBLANK(AU$23:AU$240),0,IF(ISNUMBER(VALUE(RIGHT(AU$23:AU$240,1))),RIGHT(AU$23:AU$240,1),0)*IF(ISBLANK($T$1),1,IF($I$23:$I$240=$T$1,1,0))))</f>
        <v>0</v>
      </c>
      <c r="AX10" s="874">
        <f t="array" ref="AX10">SUM(IF(ISBLANK(AX$23:AX$240),0,IF(ISNUMBER(VALUE(RIGHT(AX$23:AX$240,1))),RIGHT(AX$23:AX$240,1),0)*IF(ISBLANK($T$1),1,IF($I$23:$I$240=$T$1,1,0))))</f>
        <v>2</v>
      </c>
      <c r="AZ10" s="874">
        <f t="array" ref="AZ10">SUM(IF(ISBLANK(AZ$23:AZ$240),0,IF(ISNUMBER(VALUE(RIGHT(AZ$23:AZ$240,1))),RIGHT(AZ$23:AZ$240,1),0)*IF(ISBLANK($T$1),1,IF($I$23:$I$240=$T$1,1,0))))</f>
        <v>0</v>
      </c>
      <c r="BA10" s="874">
        <f t="array" ref="BA10">SUM(IF(ISBLANK(BA$30:BA$240),0,IF(ISNUMBER(VALUE(RIGHT(BA$30:BA$240,1))),RIGHT(BA$30:BA$240,1),0)*IF(ISBLANK($T$1),1,IF($I$23:$I$240=$T$1,1,0))))</f>
        <v>2</v>
      </c>
      <c r="BD10" s="874">
        <f t="array" ref="BD10">SUM(IF(ISBLANK(BD$23:BD$240),0,IF(ISNUMBER(VALUE(RIGHT(BD$23:BD$240,1))),RIGHT(BD$23:BD$240,1),0)*IF(ISBLANK($T$1),1,IF($I$23:$I$240=$T$1,1,0))))</f>
        <v>0</v>
      </c>
      <c r="BE10" s="874">
        <f t="array" ref="BE10">SUM(IF(ISBLANK(BE$23:BE$240),0,IF(ISNUMBER(VALUE(RIGHT(BE$23:BE$240,1))),RIGHT(BE$23:BE$240,1),0)*IF(ISBLANK($T$1),1,IF($I$23:$I$240=$T$1,1,0))))</f>
        <v>0</v>
      </c>
      <c r="BF10" s="874">
        <f t="array" ref="BF10">SUM(IF(ISBLANK(BF$30:BF$240),0,IF(ISNUMBER(VALUE(RIGHT(BF$30:BF$240,1))),RIGHT(BF$30:BF$240,1),0)*IF(ISBLANK($T$1),1,IF($I$23:$I$240=$T$1,1,0))))</f>
        <v>4</v>
      </c>
      <c r="BJ10" s="874">
        <f t="array" ref="BJ10">SUM(IF(ISBLANK(BJ$23:BJ$240),0,IF(ISNUMBER(VALUE(RIGHT(BJ$23:BJ$240,1))),RIGHT(BJ$23:BJ$240,1),0)*IF(ISBLANK($T$1),1,IF($I$23:$I$240=$T$1,1,0))))</f>
        <v>1</v>
      </c>
      <c r="BN10" s="874">
        <f t="array" ref="BN10">SUM(IF(ISBLANK(BN$23:BN$240),0,IF(ISNUMBER(VALUE(RIGHT(BN$23:BN$240,1))),RIGHT(BN$23:BN$240,1),0)*IF(ISBLANK($T$1),1,IF($I$23:$I$240=$T$1,1,0))))</f>
        <v>0</v>
      </c>
      <c r="BR10" s="874">
        <f t="array" ref="BR10">SUM(IF(ISBLANK(BR$23:BR$240),0,IF(ISNUMBER(VALUE(RIGHT(BR$23:BR$240,1))),RIGHT(BR$23:BR$240,1),0)*IF(ISBLANK($T$1),1,IF($I$23:$I$240=$T$1,1,0))))</f>
        <v>0</v>
      </c>
      <c r="BT10" s="874">
        <f t="array" ref="BT10">SUM(IF(ISBLANK(BT$23:BT$240),0,IF(ISNUMBER(VALUE(RIGHT(BT$23:BT$240,1))),RIGHT(BT$23:BT$240,1),0)*IF(ISBLANK($T$1),1,IF($I$23:$I$240=$T$1,1,0))))</f>
        <v>0</v>
      </c>
      <c r="BU10" s="874">
        <f t="array" ref="BU10">SUM(IF(ISBLANK(BU$23:BU$240),0,IF(ISNUMBER(VALUE(RIGHT(BU$23:BU$240,1))),RIGHT(BU$23:BU$240,1),0)*IF(ISBLANK($T$1),1,IF($I$23:$I$240=$T$1,1,0))))</f>
        <v>0</v>
      </c>
      <c r="BV10" s="874">
        <f t="array" ref="BV10">SUM(IF(ISBLANK(BV$41:BV$240),0,IF(ISNUMBER(VALUE(RIGHT(BV$41:BV$240,1))),RIGHT(BV$41:BV$240,1),0)*IF(ISBLANK($T$1),1,IF($I$23:$I$240=$T$1,1,0))))</f>
        <v>0</v>
      </c>
      <c r="CA10" s="874">
        <f t="array" ref="CA10">SUM(IF(ISBLANK(CA$23:CA$240),0,IF(ISNUMBER(VALUE(RIGHT(CA$23:CA$240,1))),RIGHT(CA$23:CA$240,1),0)*IF(ISBLANK($T$1),1,IF($I$23:$I$240=$T$1,1,0))))</f>
        <v>0</v>
      </c>
      <c r="CB10" s="874">
        <f t="array" ref="CB10">SUM(IF(ISBLANK(CB$23:CB$240),0,IF(ISNUMBER(VALUE(RIGHT(CB$23:CB$240,1))),RIGHT(CB$23:CB$240,1),0)*IF(ISBLANK($T$1),1,IF($I$23:$I$240=$T$1,1,0))))</f>
        <v>0</v>
      </c>
      <c r="CC10" s="874">
        <f t="array" ref="CC10">SUM(IF(ISBLANK(CC$23:CC$240),0,IF(ISNUMBER(VALUE(RIGHT(CC$23:CC$240,1))),RIGHT(CC$23:CC$240,1),0)*IF(ISBLANK($T$1),1,IF($I$23:$I$240=$T$1,1,0))))</f>
        <v>0</v>
      </c>
      <c r="CD10" s="874">
        <f t="array" ref="CD10">SUM(IF(ISBLANK(CD$23:CD$240),0,IF(ISNUMBER(VALUE(RIGHT(CD$23:CD$240,1))),RIGHT(CD$23:CD$240,1),0)*IF(ISBLANK($T$1),1,IF($I$23:$I$240=$T$1,1,0))))</f>
        <v>0</v>
      </c>
      <c r="CE10" s="874">
        <f t="array" ref="CE10">SUM(IF(ISBLANK(CE$23:CE$240),0,IF(ISNUMBER(VALUE(RIGHT(CE$23:CE$240,1))),RIGHT(CE$23:CE$240,1),0)*IF(ISBLANK($T$1),1,IF($I$23:$I$240=$T$1,1,0))))</f>
        <v>0</v>
      </c>
      <c r="CF10" s="874">
        <f t="array" ref="CF10">SUM(IF(ISBLANK(CF$23:CF$240),0,IF(ISNUMBER(VALUE(RIGHT(CF$23:CF$240,1))),RIGHT(CF$23:CF$240,1),0)*IF(ISBLANK($T$1),1,IF($I$23:$I$240=$T$1,1,0))))</f>
        <v>0</v>
      </c>
      <c r="CG10" s="874">
        <f t="array" ref="CG10">SUM(IF(ISBLANK(CG$23:CG$240),0,IF(ISNUMBER(VALUE(RIGHT(CG$23:CG$240,1))),RIGHT(CG$23:CG$240,1),0)*IF(ISBLANK($T$1),1,IF($I$23:$I$240=$T$1,1,0))))</f>
        <v>0</v>
      </c>
      <c r="CH10" s="874">
        <f t="array" ref="CH10">SUM(IF(ISBLANK(CH$23:CH$240),0,IF(ISNUMBER(VALUE(RIGHT(CH$23:CH$240,1))),RIGHT(CH$23:CH$240,1),0)*IF(ISBLANK($T$1),1,IF($I$23:$I$240=$T$1,1,0))))</f>
        <v>0</v>
      </c>
      <c r="CI10" s="874">
        <f t="array" ref="CI10">SUM(IF(ISBLANK(CI$23:CI$240),0,IF(ISNUMBER(VALUE(RIGHT(CI$23:CI$240,1))),RIGHT(CI$23:CI$240,1),0)*IF(ISBLANK($T$1),1,IF($I$23:$I$240=$T$1,1,0))))</f>
        <v>0</v>
      </c>
      <c r="CJ10" s="874">
        <f t="array" ref="CJ10">SUM(IF(ISBLANK(CJ$23:CJ$240),0,IF(ISNUMBER(VALUE(RIGHT(CJ$23:CJ$240,1))),RIGHT(CJ$23:CJ$240,1),0)*IF(ISBLANK($T$1),1,IF($I$23:$I$240=$T$1,1,0))))</f>
        <v>0</v>
      </c>
      <c r="CK10" s="874">
        <f t="array" ref="CK10">SUM(IF(ISBLANK(CK$23:CK$240),0,IF(ISNUMBER(VALUE(RIGHT(CK$23:CK$240,1))),RIGHT(CK$23:CK$240,1),0)*IF(ISBLANK($T$1),1,IF($I$23:$I$240=$T$1,1,0))))</f>
        <v>0</v>
      </c>
      <c r="CL10" s="874">
        <f t="array" ref="CL10">SUM(IF(ISBLANK(CL$23:CL$240),0,IF(ISNUMBER(VALUE(RIGHT(CL$23:CL$240,1))),RIGHT(CL$23:CL$240,1),0)*IF(ISBLANK($T$1),1,IF($I$23:$I$240=$T$1,1,0))))</f>
        <v>0</v>
      </c>
      <c r="CM10" s="874">
        <f t="array" ref="CM10">SUM(IF(ISBLANK(CM$23:CM$240),0,IF(ISNUMBER(VALUE(RIGHT(CM$23:CM$240,1))),RIGHT(CM$23:CM$240,1),0)*IF(ISBLANK($T$1),1,IF($I$23:$I$240=$T$1,1,0))))</f>
        <v>0</v>
      </c>
      <c r="CN10" s="874">
        <f t="array" ref="CN10">SUM(IF(ISBLANK(CN$23:CN$240),0,IF(ISNUMBER(VALUE(RIGHT(CN$23:CN$240,1))),RIGHT(CN$23:CN$240,1),0)*IF(ISBLANK($T$1),1,IF($I$23:$I$240=$T$1,1,0))))</f>
        <v>0</v>
      </c>
    </row>
    <row r="11" spans="1:92" s="874" customFormat="1" ht="12.75" hidden="1" outlineLevel="1">
      <c r="A11" s="787"/>
      <c r="B11" s="787"/>
      <c r="C11" s="787"/>
      <c r="D11" s="787"/>
      <c r="E11" s="787"/>
      <c r="J11" s="787"/>
      <c r="T11" s="787" t="s">
        <v>10</v>
      </c>
      <c r="U11" s="787"/>
      <c r="V11" s="787"/>
      <c r="W11" s="787"/>
      <c r="X11" s="787"/>
      <c r="Y11" s="787"/>
      <c r="Z11" s="787"/>
      <c r="AA11" s="787"/>
      <c r="AB11" s="787"/>
      <c r="AC11" s="787"/>
      <c r="AD11" s="816"/>
      <c r="AF11" s="874">
        <f t="shared" ref="AF11:CN11" si="11">AF10/AF2</f>
        <v>1.1818181818181819</v>
      </c>
      <c r="AG11" s="874">
        <f t="shared" si="11"/>
        <v>0</v>
      </c>
      <c r="AI11" s="874">
        <f t="shared" si="11"/>
        <v>0</v>
      </c>
      <c r="AJ11" s="874">
        <f t="shared" si="11"/>
        <v>0</v>
      </c>
      <c r="AL11" s="874">
        <f t="shared" si="11"/>
        <v>0</v>
      </c>
      <c r="AM11" s="874">
        <f t="shared" si="11"/>
        <v>0</v>
      </c>
      <c r="AO11" s="874">
        <f t="shared" si="11"/>
        <v>0</v>
      </c>
      <c r="AQ11" s="874">
        <f>AQ10/AQ2</f>
        <v>0</v>
      </c>
      <c r="AR11" s="874">
        <f>AR10/AR2</f>
        <v>0</v>
      </c>
      <c r="AT11" s="874">
        <f t="shared" ref="AT11" si="12">AT10/AT2</f>
        <v>2.2727272727272728E-2</v>
      </c>
      <c r="AU11" s="874">
        <f t="shared" si="11"/>
        <v>0</v>
      </c>
      <c r="AX11" s="874">
        <f>AX10/AX2</f>
        <v>4.5454545454545456E-2</v>
      </c>
      <c r="AZ11" s="874">
        <f>AZ10/AZ2</f>
        <v>0</v>
      </c>
      <c r="BA11" s="874">
        <f>BA10/BA2</f>
        <v>5.4054054054054057E-2</v>
      </c>
      <c r="BD11" s="874">
        <f>BD10/BD2</f>
        <v>0</v>
      </c>
      <c r="BE11" s="874">
        <f>BE10/BE2</f>
        <v>0</v>
      </c>
      <c r="BF11" s="874">
        <f>BF10/BF2</f>
        <v>0.10810810810810811</v>
      </c>
      <c r="BJ11" s="874">
        <f>BJ10/BJ2</f>
        <v>2.2727272727272728E-2</v>
      </c>
      <c r="BN11" s="874">
        <f>BN10/BN2</f>
        <v>0</v>
      </c>
      <c r="BR11" s="874">
        <f>BR10/BR2</f>
        <v>0</v>
      </c>
      <c r="BT11" s="874">
        <f>BT10/BT2</f>
        <v>0</v>
      </c>
      <c r="BU11" s="874">
        <f>BU10/BU2</f>
        <v>0</v>
      </c>
      <c r="BV11" s="874">
        <f t="shared" si="11"/>
        <v>0</v>
      </c>
      <c r="CA11" s="874" t="e">
        <f t="shared" ref="CA11:CG11" si="13">CA10/CA2</f>
        <v>#DIV/0!</v>
      </c>
      <c r="CB11" s="874" t="e">
        <f t="shared" si="13"/>
        <v>#DIV/0!</v>
      </c>
      <c r="CC11" s="874" t="e">
        <f t="shared" si="13"/>
        <v>#DIV/0!</v>
      </c>
      <c r="CD11" s="874" t="e">
        <f t="shared" si="13"/>
        <v>#DIV/0!</v>
      </c>
      <c r="CE11" s="874" t="e">
        <f t="shared" si="13"/>
        <v>#DIV/0!</v>
      </c>
      <c r="CF11" s="874" t="e">
        <f t="shared" si="13"/>
        <v>#DIV/0!</v>
      </c>
      <c r="CG11" s="874" t="e">
        <f t="shared" si="13"/>
        <v>#DIV/0!</v>
      </c>
      <c r="CH11" s="874" t="e">
        <f t="shared" si="11"/>
        <v>#DIV/0!</v>
      </c>
      <c r="CI11" s="874" t="e">
        <f t="shared" si="11"/>
        <v>#DIV/0!</v>
      </c>
      <c r="CJ11" s="874" t="e">
        <f t="shared" si="11"/>
        <v>#DIV/0!</v>
      </c>
      <c r="CK11" s="874" t="e">
        <f t="shared" si="11"/>
        <v>#DIV/0!</v>
      </c>
      <c r="CL11" s="874">
        <f t="shared" si="11"/>
        <v>0</v>
      </c>
      <c r="CM11" s="874">
        <f t="shared" si="11"/>
        <v>0</v>
      </c>
      <c r="CN11" s="874">
        <f t="shared" si="11"/>
        <v>0</v>
      </c>
    </row>
    <row r="12" spans="1:92" s="874" customFormat="1" ht="12.75" hidden="1" outlineLevel="1">
      <c r="A12" s="787"/>
      <c r="B12" s="787"/>
      <c r="C12" s="787"/>
      <c r="D12" s="787"/>
      <c r="E12" s="787"/>
      <c r="J12" s="787"/>
      <c r="T12" s="787" t="s">
        <v>11</v>
      </c>
      <c r="U12" s="787"/>
      <c r="V12" s="787"/>
      <c r="W12" s="787"/>
      <c r="X12" s="787"/>
      <c r="Y12" s="787"/>
      <c r="Z12" s="787"/>
      <c r="AA12" s="787"/>
      <c r="AB12" s="787"/>
      <c r="AC12" s="787"/>
      <c r="AD12" s="816"/>
      <c r="AF12" s="874">
        <f t="array" ref="AF12">SUM(IF(ISBLANK($T$1),$K$23:$K$240,IF($I$23:$I$240=$T$1,$K$23:$K$240,0)))</f>
        <v>70</v>
      </c>
      <c r="AG12" s="874">
        <f t="array" ref="AG12">SUM(IF(ISBLANK(AG$23:AG$240),0,$K23:$K240)*IF(ISBLANK($T$1),1,IF($I$23:$I$240=$T$1,1,0)))</f>
        <v>54</v>
      </c>
      <c r="AI12" s="874">
        <f t="array" ref="AI12">SUM(IF(ISBLANK(AI$23:AI$240),0,$K23:$K240)*IF(ISBLANK($T$1),1,IF($I$23:$I$240=$T$1,1,0)))</f>
        <v>70</v>
      </c>
      <c r="AJ12" s="874">
        <f t="array" ref="AJ12">SUM(IF(ISBLANK(AJ$23:AJ$240),0,$K23:$K240)*IF(ISBLANK($T$1),1,IF($I$23:$I$240=$T$1,1,0)))</f>
        <v>70</v>
      </c>
      <c r="AL12" s="874">
        <f t="array" ref="AL12">SUM(IF(ISBLANK(AL$23:AL$240),0,$K23:$K240)*IF(ISBLANK($T$1),1,IF($I$23:$I$240=$T$1,1,0)))</f>
        <v>70</v>
      </c>
      <c r="AM12" s="874">
        <f t="array" ref="AM12">SUM(IF(ISBLANK(AM$23:AM$240),0,$K23:$K240)*IF(ISBLANK($T$1),1,IF($I$23:$I$240=$T$1,1,0)))</f>
        <v>70</v>
      </c>
      <c r="AO12" s="874">
        <f t="array" ref="AO12">SUM(IF(ISBLANK(AO$23:AO$240),0,$K23:$K240)*IF(ISBLANK($T$1),1,IF($I$23:$I$240=$T$1,1,0)))</f>
        <v>69</v>
      </c>
      <c r="AQ12" s="874">
        <f t="array" ref="AQ12">SUM(IF(ISBLANK(AQ$23:AQ$240),0,$K23:$K240)*IF(ISBLANK($T$1),1,IF($I$23:$I$240=$T$1,1,0)))</f>
        <v>69</v>
      </c>
      <c r="AR12" s="874">
        <f t="array" ref="AR12">SUM(IF(ISBLANK(AR$23:AR$240),0,$K23:$K240)*IF(ISBLANK($T$1),1,IF($I$23:$I$240=$T$1,1,0)))</f>
        <v>69</v>
      </c>
      <c r="AT12" s="874">
        <f t="array" ref="AT12">SUM(IF(ISBLANK(AT$23:AT$240),0,$K23:$K240)*IF(ISBLANK($T$1),1,IF($I$23:$I$240=$T$1,1,0)))</f>
        <v>70</v>
      </c>
      <c r="AU12" s="874">
        <f t="array" ref="AU12">SUM(IF(ISBLANK(AU$23:AU$240),0,$K23:$K240)*IF(ISBLANK($T$1),1,IF($I$23:$I$240=$T$1,1,0)))</f>
        <v>70</v>
      </c>
      <c r="AX12" s="874">
        <f t="array" ref="AX12">SUM(IF(ISBLANK(AX$23:AX$240),0,$K23:$K240)*IF(ISBLANK($T$1),1,IF($I$23:$I$240=$T$1,1,0)))</f>
        <v>70</v>
      </c>
      <c r="AZ12" s="874">
        <f t="array" ref="AZ12">SUM(IF(ISBLANK(AZ$23:AZ$240),0,$K23:$K240)*IF(ISBLANK($T$1),1,IF($I$23:$I$240=$T$1,1,0)))</f>
        <v>69</v>
      </c>
      <c r="BA12" s="874" t="e">
        <f t="array" ref="BA12">SUM(IF(ISBLANK(BA$30:BA$240),0,$K23:$K240)*IF(ISBLANK($T$1),1,IF($I$23:$I$240=$T$1,1,0)))</f>
        <v>#N/A</v>
      </c>
      <c r="BD12" s="874">
        <f t="array" ref="BD12">SUM(IF(ISBLANK(BD$23:BD$240),0,$K23:$K240)*IF(ISBLANK($T$1),1,IF($I$23:$I$240=$T$1,1,0)))</f>
        <v>60</v>
      </c>
      <c r="BE12" s="874">
        <f t="array" ref="BE12">SUM(IF(ISBLANK(BE$23:BE$240),0,$K23:$K240)*IF(ISBLANK($T$1),1,IF($I$23:$I$240=$T$1,1,0)))</f>
        <v>60</v>
      </c>
      <c r="BF12" s="874" t="e">
        <f t="array" ref="BF12">SUM(IF(ISBLANK(BF$30:BF$240),0,$K23:$K240)*IF(ISBLANK($T$1),1,IF($I$23:$I$240=$T$1,1,0)))</f>
        <v>#N/A</v>
      </c>
      <c r="BJ12" s="874">
        <f t="array" ref="BJ12">SUM(IF(ISBLANK(BJ$23:BJ$240),0,$K23:$K240)*IF(ISBLANK($T$1),1,IF($I$23:$I$240=$T$1,1,0)))</f>
        <v>70</v>
      </c>
      <c r="BN12" s="874">
        <f t="array" ref="BN12">SUM(IF(ISBLANK(BN$23:BN$240),0,$K23:$K240)*IF(ISBLANK($T$1),1,IF($I$23:$I$240=$T$1,1,0)))</f>
        <v>48</v>
      </c>
      <c r="BR12" s="874">
        <f t="array" ref="BR12">SUM(IF(ISBLANK(BR$23:BR$240),0,$K23:$K240)*IF(ISBLANK($T$1),1,IF($I$23:$I$240=$T$1,1,0)))</f>
        <v>1</v>
      </c>
      <c r="BT12" s="874">
        <f t="array" ref="BT12">SUM(IF(ISBLANK(BT$23:BT$240),0,$K23:$K240)*IF(ISBLANK($T$1),1,IF($I$23:$I$240=$T$1,1,0)))</f>
        <v>4</v>
      </c>
      <c r="BU12" s="874">
        <f t="array" ref="BU12">SUM(IF(ISBLANK(BU$23:BU$240),0,$K23:$K240)*IF(ISBLANK($T$1),1,IF($I$23:$I$240=$T$1,1,0)))</f>
        <v>4</v>
      </c>
      <c r="BV12" s="874" t="e">
        <f t="array" ref="BV12">SUM(IF(ISBLANK(BV$41:BV$240),0,$K23:$K240)*IF(ISBLANK($T$1),1,IF($I$23:$I$240=$T$1,1,0)))</f>
        <v>#N/A</v>
      </c>
      <c r="CA12" s="874">
        <f t="array" ref="CA12">SUM(IF(ISBLANK(CA$23:CA$240),0,$K23:$K240)*IF(ISBLANK($T$1),1,IF($I$23:$I$240=$T$1,1,0)))</f>
        <v>0</v>
      </c>
      <c r="CB12" s="874">
        <f t="array" ref="CB12">SUM(IF(ISBLANK(CB$23:CB$240),0,$K23:$K240)*IF(ISBLANK($T$1),1,IF($I$23:$I$240=$T$1,1,0)))</f>
        <v>0</v>
      </c>
      <c r="CC12" s="874">
        <f t="array" ref="CC12">SUM(IF(ISBLANK(CC$23:CC$240),0,$K23:$K240)*IF(ISBLANK($T$1),1,IF($I$23:$I$240=$T$1,1,0)))</f>
        <v>0</v>
      </c>
      <c r="CD12" s="874">
        <f t="array" ref="CD12">SUM(IF(ISBLANK(CD$23:CD$240),0,$K23:$K240)*IF(ISBLANK($T$1),1,IF($I$23:$I$240=$T$1,1,0)))</f>
        <v>0</v>
      </c>
      <c r="CE12" s="874">
        <f t="array" ref="CE12">SUM(IF(ISBLANK(CE$23:CE$240),0,$K23:$K240)*IF(ISBLANK($T$1),1,IF($I$23:$I$240=$T$1,1,0)))</f>
        <v>0</v>
      </c>
      <c r="CF12" s="874">
        <f t="array" ref="CF12">SUM(IF(ISBLANK(CF$23:CF$240),0,$K23:$K240)*IF(ISBLANK($T$1),1,IF($I$23:$I$240=$T$1,1,0)))</f>
        <v>0</v>
      </c>
      <c r="CG12" s="874">
        <f t="array" ref="CG12">SUM(IF(ISBLANK(CG$23:CG$240),0,$K23:$K240)*IF(ISBLANK($T$1),1,IF($I$23:$I$240=$T$1,1,0)))</f>
        <v>0</v>
      </c>
      <c r="CH12" s="874">
        <f t="array" ref="CH12">SUM(IF(ISBLANK(CH$23:CH$240),0,$K23:$K240)*IF(ISBLANK($T$1),1,IF($I$23:$I$240=$T$1,1,0)))</f>
        <v>0</v>
      </c>
      <c r="CI12" s="874">
        <f t="array" ref="CI12">SUM(IF(ISBLANK(CI$23:CI$240),0,$K23:$K240)*IF(ISBLANK($T$1),1,IF($I$23:$I$240=$T$1,1,0)))</f>
        <v>0</v>
      </c>
      <c r="CJ12" s="874">
        <f t="array" ref="CJ12">SUM(IF(ISBLANK(CJ$23:CJ$240),0,$K23:$K240)*IF(ISBLANK($T$1),1,IF($I$23:$I$240=$T$1,1,0)))</f>
        <v>0</v>
      </c>
      <c r="CK12" s="874">
        <f t="array" ref="CK12">SUM(IF(ISBLANK(CK$23:CK$240),0,$K23:$K240)*IF(ISBLANK($T$1),1,IF($I$23:$I$240=$T$1,1,0)))</f>
        <v>0</v>
      </c>
      <c r="CL12" s="874">
        <f t="array" ref="CL12">SUM(IF(ISBLANK(CL$23:CL$240),0,$K23:$K240)*IF(ISBLANK($T$1),1,IF($I$23:$I$240=$T$1,1,0)))</f>
        <v>23</v>
      </c>
      <c r="CM12" s="874">
        <f t="array" ref="CM12">SUM(IF(ISBLANK(CM$23:CM$240),0,$K23:$K240)*IF(ISBLANK($T$1),1,IF($I$23:$I$240=$T$1,1,0)))</f>
        <v>23</v>
      </c>
      <c r="CN12" s="874">
        <f t="array" ref="CN12">SUM(IF(ISBLANK(CN$23:CN$240),0,$K23:$K240)*IF(ISBLANK($T$1),1,IF($I$23:$I$240=$T$1,1,0)))</f>
        <v>21</v>
      </c>
    </row>
    <row r="13" spans="1:92" s="874" customFormat="1" ht="13.5" hidden="1" customHeight="1" outlineLevel="1">
      <c r="A13" s="787"/>
      <c r="B13" s="787"/>
      <c r="C13" s="787"/>
      <c r="D13" s="787"/>
      <c r="E13" s="787"/>
      <c r="J13" s="787"/>
      <c r="T13" s="787" t="s">
        <v>12</v>
      </c>
      <c r="U13" s="787"/>
      <c r="V13" s="787"/>
      <c r="W13" s="787"/>
      <c r="X13" s="787"/>
      <c r="Y13" s="787"/>
      <c r="Z13" s="787"/>
      <c r="AA13" s="787"/>
      <c r="AB13" s="787"/>
      <c r="AC13" s="787"/>
      <c r="AD13" s="816"/>
      <c r="AF13" s="874">
        <f t="shared" ref="AF13:CN13" si="14">AF12/AF2</f>
        <v>1.5909090909090908</v>
      </c>
      <c r="AG13" s="874">
        <f t="shared" si="14"/>
        <v>1.5428571428571429</v>
      </c>
      <c r="AI13" s="874">
        <f t="shared" si="14"/>
        <v>1.5909090909090908</v>
      </c>
      <c r="AJ13" s="874">
        <f t="shared" si="14"/>
        <v>1.5909090909090908</v>
      </c>
      <c r="AL13" s="874">
        <f t="shared" si="14"/>
        <v>1.5909090909090908</v>
      </c>
      <c r="AM13" s="874">
        <f t="shared" si="14"/>
        <v>1.5909090909090908</v>
      </c>
      <c r="AO13" s="874">
        <f t="shared" si="14"/>
        <v>1.6046511627906976</v>
      </c>
      <c r="AQ13" s="874">
        <f>AQ12/AQ2</f>
        <v>1.6046511627906976</v>
      </c>
      <c r="AR13" s="874">
        <f>AR12/AR2</f>
        <v>1.6046511627906976</v>
      </c>
      <c r="AT13" s="874">
        <f t="shared" ref="AT13" si="15">AT12/AT2</f>
        <v>1.5909090909090908</v>
      </c>
      <c r="AU13" s="874">
        <f t="shared" si="14"/>
        <v>1.5909090909090908</v>
      </c>
      <c r="AX13" s="874">
        <f>AX12/AX2</f>
        <v>1.5909090909090908</v>
      </c>
      <c r="AZ13" s="874">
        <f>AZ12/AZ2</f>
        <v>1.6046511627906976</v>
      </c>
      <c r="BA13" s="874" t="e">
        <f>BA12/BA2</f>
        <v>#N/A</v>
      </c>
      <c r="BD13" s="874">
        <f>BD12/BD2</f>
        <v>1.6666666666666667</v>
      </c>
      <c r="BE13" s="874">
        <f>BE12/BE2</f>
        <v>1.6666666666666667</v>
      </c>
      <c r="BF13" s="874" t="e">
        <f>BF12/BF2</f>
        <v>#N/A</v>
      </c>
      <c r="BJ13" s="874">
        <f>BJ12/BJ2</f>
        <v>1.5909090909090908</v>
      </c>
      <c r="BN13" s="874">
        <f>BN12/BN2</f>
        <v>1.6551724137931034</v>
      </c>
      <c r="BR13" s="874">
        <f>BR12/BR2</f>
        <v>1</v>
      </c>
      <c r="BT13" s="874">
        <f>BT12/BT2</f>
        <v>4</v>
      </c>
      <c r="BU13" s="874">
        <f>BU12/BU2</f>
        <v>4</v>
      </c>
      <c r="BV13" s="874" t="e">
        <f t="shared" si="14"/>
        <v>#N/A</v>
      </c>
      <c r="CA13" s="874" t="e">
        <f t="shared" ref="CA13:CG13" si="16">CA12/CA2</f>
        <v>#DIV/0!</v>
      </c>
      <c r="CB13" s="874" t="e">
        <f t="shared" si="16"/>
        <v>#DIV/0!</v>
      </c>
      <c r="CC13" s="874" t="e">
        <f t="shared" si="16"/>
        <v>#DIV/0!</v>
      </c>
      <c r="CD13" s="874" t="e">
        <f t="shared" si="16"/>
        <v>#DIV/0!</v>
      </c>
      <c r="CE13" s="874" t="e">
        <f t="shared" si="16"/>
        <v>#DIV/0!</v>
      </c>
      <c r="CF13" s="874" t="e">
        <f t="shared" si="16"/>
        <v>#DIV/0!</v>
      </c>
      <c r="CG13" s="874" t="e">
        <f t="shared" si="16"/>
        <v>#DIV/0!</v>
      </c>
      <c r="CH13" s="874" t="e">
        <f t="shared" si="14"/>
        <v>#DIV/0!</v>
      </c>
      <c r="CI13" s="874" t="e">
        <f t="shared" si="14"/>
        <v>#DIV/0!</v>
      </c>
      <c r="CJ13" s="874" t="e">
        <f t="shared" si="14"/>
        <v>#DIV/0!</v>
      </c>
      <c r="CK13" s="874" t="e">
        <f t="shared" si="14"/>
        <v>#DIV/0!</v>
      </c>
      <c r="CL13" s="874">
        <f t="shared" si="14"/>
        <v>1.4375</v>
      </c>
      <c r="CM13" s="874">
        <f t="shared" si="14"/>
        <v>1.4375</v>
      </c>
      <c r="CN13" s="874">
        <f t="shared" si="14"/>
        <v>1.4</v>
      </c>
    </row>
    <row r="14" spans="1:92" s="874" customFormat="1" ht="15" collapsed="1">
      <c r="A14" s="787"/>
      <c r="B14" s="787"/>
      <c r="C14" s="787"/>
      <c r="D14" s="787"/>
      <c r="E14" s="787"/>
      <c r="Q14" s="855" t="s">
        <v>825</v>
      </c>
      <c r="R14" s="859" t="s">
        <v>22</v>
      </c>
      <c r="S14" s="855" t="s">
        <v>18</v>
      </c>
      <c r="AF14" s="848" t="s">
        <v>820</v>
      </c>
      <c r="AG14" s="849">
        <f t="shared" ref="AG14" si="17">AG15+AG16</f>
        <v>0</v>
      </c>
      <c r="AH14" s="902">
        <f t="shared" ref="AH14:AV14" si="18">AH15+AH16</f>
        <v>0</v>
      </c>
      <c r="AI14" s="902">
        <f t="shared" si="18"/>
        <v>44</v>
      </c>
      <c r="AJ14" s="902">
        <f t="shared" si="18"/>
        <v>0</v>
      </c>
      <c r="AK14" s="902">
        <f t="shared" si="18"/>
        <v>0</v>
      </c>
      <c r="AL14" s="902">
        <f t="shared" si="18"/>
        <v>36</v>
      </c>
      <c r="AM14" s="902">
        <f t="shared" si="18"/>
        <v>40</v>
      </c>
      <c r="AN14" s="902">
        <f t="shared" si="18"/>
        <v>30</v>
      </c>
      <c r="AO14" s="902">
        <f t="shared" si="18"/>
        <v>0</v>
      </c>
      <c r="AP14" s="902">
        <f t="shared" si="18"/>
        <v>25</v>
      </c>
      <c r="AQ14" s="902">
        <f t="shared" ref="AQ14:AU14" si="19">AQ15+AQ16</f>
        <v>1</v>
      </c>
      <c r="AR14" s="902">
        <f t="shared" si="19"/>
        <v>0</v>
      </c>
      <c r="AS14" s="902">
        <f t="shared" si="19"/>
        <v>14</v>
      </c>
      <c r="AT14" s="902">
        <f t="shared" si="19"/>
        <v>20</v>
      </c>
      <c r="AU14" s="902">
        <f t="shared" si="19"/>
        <v>43</v>
      </c>
      <c r="AV14" s="902">
        <f t="shared" si="18"/>
        <v>22</v>
      </c>
      <c r="AW14" s="902">
        <f t="shared" ref="AW14:AX14" si="20">AW15+AW16</f>
        <v>5</v>
      </c>
      <c r="AX14" s="902">
        <f t="shared" si="20"/>
        <v>44</v>
      </c>
      <c r="AY14" s="902">
        <f t="shared" ref="AY14:BK14" si="21">AY15+AY16</f>
        <v>4</v>
      </c>
      <c r="AZ14" s="902">
        <f t="shared" si="21"/>
        <v>2</v>
      </c>
      <c r="BA14" s="902">
        <f t="shared" si="21"/>
        <v>39</v>
      </c>
      <c r="BB14" s="902">
        <f t="shared" si="21"/>
        <v>41</v>
      </c>
      <c r="BC14" s="902">
        <f t="shared" si="21"/>
        <v>4</v>
      </c>
      <c r="BD14" s="902">
        <f t="shared" si="21"/>
        <v>0</v>
      </c>
      <c r="BE14" s="902">
        <f t="shared" si="21"/>
        <v>0</v>
      </c>
      <c r="BF14" s="902">
        <f t="shared" si="21"/>
        <v>29</v>
      </c>
      <c r="BG14" s="902">
        <f t="shared" si="21"/>
        <v>34</v>
      </c>
      <c r="BH14" s="902">
        <f t="shared" si="21"/>
        <v>30</v>
      </c>
      <c r="BI14" s="902">
        <f t="shared" si="21"/>
        <v>41</v>
      </c>
      <c r="BJ14" s="902">
        <f t="shared" si="21"/>
        <v>19</v>
      </c>
      <c r="BK14" s="902">
        <f t="shared" si="21"/>
        <v>44</v>
      </c>
      <c r="BL14" s="902">
        <f t="shared" ref="BL14" si="22">BL15+BL16</f>
        <v>0</v>
      </c>
      <c r="BM14" s="889"/>
      <c r="BN14" s="902">
        <f>BN15+BN16</f>
        <v>1</v>
      </c>
      <c r="BO14" s="889"/>
      <c r="BP14" s="889"/>
      <c r="BQ14" s="889"/>
      <c r="BR14" s="889"/>
      <c r="BS14" s="889"/>
      <c r="BT14" s="889"/>
      <c r="BU14" s="889"/>
      <c r="BV14" s="889"/>
      <c r="BW14" s="890"/>
      <c r="BX14" s="890"/>
      <c r="BY14" s="890"/>
      <c r="BZ14" s="890"/>
      <c r="CA14" s="889"/>
      <c r="CB14" s="889"/>
      <c r="CC14" s="889"/>
      <c r="CD14" s="889"/>
      <c r="CE14" s="889"/>
      <c r="CF14" s="889"/>
      <c r="CG14" s="889"/>
    </row>
    <row r="15" spans="1:92" s="874" customFormat="1" ht="15">
      <c r="A15" s="787"/>
      <c r="B15" s="787"/>
      <c r="C15" s="787"/>
      <c r="D15" s="787"/>
      <c r="E15" s="787"/>
      <c r="G15" s="851"/>
      <c r="H15" s="852"/>
      <c r="I15" s="853" t="s">
        <v>17</v>
      </c>
      <c r="J15" s="853" t="s">
        <v>18</v>
      </c>
      <c r="K15" s="854" t="s">
        <v>822</v>
      </c>
      <c r="L15" s="854" t="s">
        <v>2</v>
      </c>
      <c r="M15" s="854" t="s">
        <v>3</v>
      </c>
      <c r="N15" s="862" t="s">
        <v>4</v>
      </c>
      <c r="O15" s="854" t="s">
        <v>19</v>
      </c>
      <c r="Q15" s="855" t="s">
        <v>210</v>
      </c>
      <c r="R15" s="858">
        <f>AVERAGEIFS($Q$23:$Q$207,$H$23:$H$207,"H",$I$23:$I$207,Table!$C$1)</f>
        <v>-0.23999999999999996</v>
      </c>
      <c r="S15" s="858">
        <f>AVERAGEIFS($Q$23:$Q$207,$H$23:$H$207,"A",$I$23:$I$207,Table!$C$1)</f>
        <v>-0.45523809523809527</v>
      </c>
      <c r="AF15" s="848" t="s">
        <v>821</v>
      </c>
      <c r="AG15" s="850">
        <f t="array" ref="AG15">SUM(IF(LEFT(AG23:AG161,1)="X",1,0))</f>
        <v>0</v>
      </c>
      <c r="AH15" s="903">
        <f t="array" ref="AH15">SUM(IF(LEFT(AH23:AH161,1)="X",1,0))</f>
        <v>0</v>
      </c>
      <c r="AI15" s="903">
        <f t="array" ref="AI15">SUM(IF(LEFT(AI23:AI161,1)="X",1,0))</f>
        <v>44</v>
      </c>
      <c r="AJ15" s="903">
        <f t="array" ref="AJ15">SUM(IF(LEFT(AJ23:AJ161,1)="X",1,0))</f>
        <v>0</v>
      </c>
      <c r="AK15" s="903">
        <f t="array" ref="AK15">SUM(IF(LEFT(AK23:AK161,1)="X",1,0))</f>
        <v>0</v>
      </c>
      <c r="AL15" s="903">
        <f t="array" ref="AL15">SUM(IF(LEFT(AL23:AL161,1)="X",1,0))</f>
        <v>35</v>
      </c>
      <c r="AM15" s="903">
        <f t="array" ref="AM15">SUM(IF(LEFT(AM23:AM161,1)="X",1,0))</f>
        <v>34</v>
      </c>
      <c r="AN15" s="903">
        <f t="array" ref="AN15">SUM(IF(LEFT(AN23:AN161,1)="X",1,0))</f>
        <v>22</v>
      </c>
      <c r="AO15" s="903">
        <f t="array" ref="AO15">SUM(IF(LEFT(AO23:AO161,1)="X",1,0))</f>
        <v>0</v>
      </c>
      <c r="AP15" s="903">
        <f t="array" ref="AP15">SUM(IF(LEFT(AP23:AP161,1)="X",1,0))</f>
        <v>21</v>
      </c>
      <c r="AQ15" s="903">
        <f t="array" ref="AQ15">SUM(IF(LEFT(AQ23:AQ161,1)="X",1,0))</f>
        <v>0</v>
      </c>
      <c r="AR15" s="903">
        <f t="array" ref="AR15">SUM(IF(LEFT(AR23:AR161,1)="X",1,0))</f>
        <v>0</v>
      </c>
      <c r="AS15" s="903">
        <f t="array" ref="AS15">SUM(IF(LEFT(AS23:AS161,1)="X",1,0))</f>
        <v>14</v>
      </c>
      <c r="AT15" s="903">
        <f t="array" ref="AT15">SUM(IF(LEFT(AT23:AT161,1)="X",1,0))</f>
        <v>18</v>
      </c>
      <c r="AU15" s="903">
        <f t="array" ref="AU15">SUM(IF(LEFT(AU23:AU161,1)="X",1,0))</f>
        <v>43</v>
      </c>
      <c r="AV15" s="903">
        <f t="array" ref="AV15">SUM(IF(LEFT(AV23:AV161,1)="X",1,0))</f>
        <v>21</v>
      </c>
      <c r="AW15" s="903">
        <f t="array" ref="AW15">SUM(IF(LEFT(AW23:AW161,1)="X",1,0))</f>
        <v>5</v>
      </c>
      <c r="AX15" s="903">
        <f t="array" ref="AX15">SUM(IF(LEFT(AX23:AX161,1)="X",1,0))</f>
        <v>44</v>
      </c>
      <c r="AY15" s="903">
        <f t="array" ref="AY15">SUM(IF(LEFT(AY23:AY161,1)="X",1,0))</f>
        <v>0</v>
      </c>
      <c r="AZ15" s="903">
        <f t="array" ref="AZ15">SUM(IF(LEFT(AZ23:AZ161,1)="X",1,0))</f>
        <v>2</v>
      </c>
      <c r="BA15" s="903">
        <f t="array" ref="BA15">SUM(IF(LEFT(BA23:BA161,1)="X",1,0))</f>
        <v>32</v>
      </c>
      <c r="BB15" s="903">
        <f t="array" ref="BB15">SUM(IF(LEFT(BB23:BB161,1)="X",1,0))</f>
        <v>26</v>
      </c>
      <c r="BC15" s="903">
        <f t="array" ref="BC15">SUM(IF(LEFT(BC23:BC161,1)="X",1,0))</f>
        <v>0</v>
      </c>
      <c r="BD15" s="903">
        <f t="array" ref="BD15">SUM(IF(LEFT(BD23:BD161,1)="X",1,0))</f>
        <v>0</v>
      </c>
      <c r="BE15" s="903">
        <f t="array" ref="BE15">SUM(IF(LEFT(BE23:BE161,1)="X",1,0))</f>
        <v>0</v>
      </c>
      <c r="BF15" s="903">
        <f t="array" ref="BF15">SUM(IF(LEFT(BF23:BF161,1)="X",1,0))</f>
        <v>9</v>
      </c>
      <c r="BG15" s="903">
        <f t="array" ref="BG15">SUM(IF(LEFT(BG23:BG161,1)="X",1,0))</f>
        <v>4</v>
      </c>
      <c r="BH15" s="903">
        <f t="array" ref="BH15">SUM(IF(LEFT(BH23:BH161,1)="X",1,0))</f>
        <v>10</v>
      </c>
      <c r="BI15" s="903">
        <f t="array" ref="BI15">SUM(IF(LEFT(BI23:BI161,1)="X",1,0))</f>
        <v>41</v>
      </c>
      <c r="BJ15" s="903">
        <f t="array" ref="BJ15">SUM(IF(LEFT(BJ23:BJ161,1)="X",1,0))</f>
        <v>17</v>
      </c>
      <c r="BK15" s="903">
        <f t="array" ref="BK15">SUM(IF(LEFT(BK23:BK161,1)="X",1,0))</f>
        <v>42</v>
      </c>
      <c r="BL15" s="903">
        <f t="array" ref="BL15">SUM(IF(LEFT(BL23:BL161,1)="X",1,0))</f>
        <v>0</v>
      </c>
      <c r="BM15" s="889"/>
      <c r="BN15" s="903">
        <f t="array" ref="BN15">SUM(IF(LEFT(BN23:BN161,1)="X",1,0))</f>
        <v>0</v>
      </c>
      <c r="BO15" s="889"/>
      <c r="BP15" s="889"/>
      <c r="BQ15" s="889"/>
      <c r="BR15" s="889"/>
      <c r="BS15" s="889"/>
      <c r="BT15" s="889"/>
      <c r="BU15" s="889"/>
      <c r="BV15" s="889"/>
      <c r="BW15" s="890"/>
      <c r="BX15" s="890"/>
      <c r="BY15" s="890"/>
      <c r="BZ15" s="890"/>
      <c r="CA15" s="889"/>
      <c r="CB15" s="889"/>
      <c r="CC15" s="889"/>
      <c r="CD15" s="889"/>
      <c r="CE15" s="889"/>
      <c r="CF15" s="889"/>
      <c r="CG15" s="889"/>
    </row>
    <row r="16" spans="1:92" s="874" customFormat="1" ht="15">
      <c r="A16" s="787"/>
      <c r="B16" s="787"/>
      <c r="C16" s="787"/>
      <c r="D16" s="787"/>
      <c r="E16" s="787"/>
      <c r="G16" s="856" t="s">
        <v>823</v>
      </c>
      <c r="H16" s="857">
        <f>L16++M16+N16</f>
        <v>22</v>
      </c>
      <c r="I16" s="858">
        <f>AVERAGEIF($H$23:$H$204,"=H",$J$23:$J$204)</f>
        <v>1.3181818181818181</v>
      </c>
      <c r="J16" s="858">
        <f>AVERAGEIF($H$23:$H$208,"=H",$K$23:$K$208)</f>
        <v>1.5454545454545454</v>
      </c>
      <c r="K16" s="858">
        <f>I16-J16</f>
        <v>-0.22727272727272729</v>
      </c>
      <c r="L16" s="857">
        <f>COUNTIFS($L$23:$L$204,"=W",$H$23:$H$204,"=H")</f>
        <v>8</v>
      </c>
      <c r="M16" s="857">
        <f>COUNTIFS($L$23:$L$204,"=D",$H$23:$H$204,"=H")</f>
        <v>7</v>
      </c>
      <c r="N16" s="863">
        <f>COUNTIFS($L$23:$L$204,"=L",$H$23:$H$204,"=H")</f>
        <v>7</v>
      </c>
      <c r="O16" s="858">
        <f>SUM(I16:J16)</f>
        <v>2.8636363636363633</v>
      </c>
      <c r="Q16" s="861" t="s">
        <v>212</v>
      </c>
      <c r="R16" s="858">
        <f>AVERAGEIFS($S$23:$S$205,$H$23:$H$205,"H",$I$23:$I$205,Table!$C$1)</f>
        <v>2.4628571428571431</v>
      </c>
      <c r="S16" s="858">
        <f>AVERAGEIFS($S$23:$S$205,$H$23:$H$205,"A",$I$23:$I$205,Table!$C$1)</f>
        <v>2.4723809523809526</v>
      </c>
      <c r="AF16" s="848" t="s">
        <v>724</v>
      </c>
      <c r="AG16" s="850">
        <f t="array" ref="AG16">SUM(IF(LEFT(AG23:AG162,1)="s",1,0))</f>
        <v>0</v>
      </c>
      <c r="AH16" s="903">
        <f t="array" ref="AH16">SUM(IF(LEFT(AH23:AH162,1)="s",1,0))</f>
        <v>0</v>
      </c>
      <c r="AI16" s="903">
        <f t="array" ref="AI16">SUM(IF(LEFT(AI23:AI162,1)="s",1,0))</f>
        <v>0</v>
      </c>
      <c r="AJ16" s="903">
        <f t="array" ref="AJ16">SUM(IF(LEFT(AJ23:AJ162,1)="s",1,0))</f>
        <v>0</v>
      </c>
      <c r="AK16" s="903">
        <f t="array" ref="AK16">SUM(IF(LEFT(AK23:AK162,1)="s",1,0))</f>
        <v>0</v>
      </c>
      <c r="AL16" s="903">
        <f t="array" ref="AL16">SUM(IF(LEFT(AL23:AL162,1)="s",1,0))</f>
        <v>1</v>
      </c>
      <c r="AM16" s="903">
        <f t="array" ref="AM16">SUM(IF(LEFT(AM23:AM162,1)="s",1,0))</f>
        <v>6</v>
      </c>
      <c r="AN16" s="903">
        <f t="array" ref="AN16">SUM(IF(LEFT(AN23:AN162,1)="s",1,0))</f>
        <v>8</v>
      </c>
      <c r="AO16" s="903">
        <f t="array" ref="AO16">SUM(IF(LEFT(AO23:AO162,1)="s",1,0))</f>
        <v>0</v>
      </c>
      <c r="AP16" s="903">
        <f t="array" ref="AP16">SUM(IF(LEFT(AP23:AP162,1)="s",1,0))</f>
        <v>4</v>
      </c>
      <c r="AQ16" s="903">
        <f t="array" ref="AQ16">SUM(IF(LEFT(AQ23:AQ162,1)="s",1,0))</f>
        <v>1</v>
      </c>
      <c r="AR16" s="903">
        <f t="array" ref="AR16">SUM(IF(LEFT(AR23:AR162,1)="s",1,0))</f>
        <v>0</v>
      </c>
      <c r="AS16" s="903">
        <f t="array" ref="AS16">SUM(IF(LEFT(AS23:AS162,1)="s",1,0))</f>
        <v>0</v>
      </c>
      <c r="AT16" s="903">
        <f t="array" ref="AT16">SUM(IF(LEFT(AT23:AT162,1)="s",1,0))</f>
        <v>2</v>
      </c>
      <c r="AU16" s="903">
        <f t="array" ref="AU16">SUM(IF(LEFT(AU23:AU162,1)="s",1,0))</f>
        <v>0</v>
      </c>
      <c r="AV16" s="903">
        <f t="array" ref="AV16">SUM(IF(LEFT(AV23:AV162,1)="s",1,0))</f>
        <v>1</v>
      </c>
      <c r="AW16" s="903">
        <f t="array" ref="AW16">SUM(IF(LEFT(AW23:AW162,1)="s",1,0))</f>
        <v>0</v>
      </c>
      <c r="AX16" s="903">
        <f t="array" ref="AX16">SUM(IF(LEFT(AX23:AX162,1)="s",1,0))</f>
        <v>0</v>
      </c>
      <c r="AY16" s="903">
        <f t="array" ref="AY16">SUM(IF(LEFT(AY23:AY162,1)="s",1,0))</f>
        <v>4</v>
      </c>
      <c r="AZ16" s="903">
        <f t="array" ref="AZ16">SUM(IF(LEFT(AZ23:AZ162,1)="s",1,0))</f>
        <v>0</v>
      </c>
      <c r="BA16" s="903">
        <f t="array" ref="BA16">SUM(IF(LEFT(BA23:BA162,1)="s",1,0))</f>
        <v>7</v>
      </c>
      <c r="BB16" s="903">
        <f t="array" ref="BB16">SUM(IF(LEFT(BB23:BB162,1)="s",1,0))</f>
        <v>15</v>
      </c>
      <c r="BC16" s="903">
        <f t="array" ref="BC16">SUM(IF(LEFT(BC23:BC162,1)="s",1,0))</f>
        <v>4</v>
      </c>
      <c r="BD16" s="903">
        <f t="array" ref="BD16">SUM(IF(LEFT(BD23:BD162,1)="s",1,0))</f>
        <v>0</v>
      </c>
      <c r="BE16" s="903">
        <f t="array" ref="BE16">SUM(IF(LEFT(BE23:BE162,1)="s",1,0))</f>
        <v>0</v>
      </c>
      <c r="BF16" s="903">
        <f t="array" ref="BF16">SUM(IF(LEFT(BF23:BF162,1)="s",1,0))</f>
        <v>20</v>
      </c>
      <c r="BG16" s="903">
        <f t="array" ref="BG16">SUM(IF(LEFT(BG23:BG162,1)="s",1,0))</f>
        <v>30</v>
      </c>
      <c r="BH16" s="903">
        <f t="array" ref="BH16">SUM(IF(LEFT(BH23:BH162,1)="s",1,0))</f>
        <v>20</v>
      </c>
      <c r="BI16" s="903">
        <f t="array" ref="BI16">SUM(IF(LEFT(BI23:BI162,1)="s",1,0))</f>
        <v>0</v>
      </c>
      <c r="BJ16" s="903">
        <f t="array" ref="BJ16">SUM(IF(LEFT(BJ23:BJ162,1)="s",1,0))</f>
        <v>2</v>
      </c>
      <c r="BK16" s="903">
        <f t="array" ref="BK16">SUM(IF(LEFT(BK23:BK162,1)="s",1,0))</f>
        <v>2</v>
      </c>
      <c r="BL16" s="903">
        <f t="array" ref="BL16">SUM(IF(LEFT(BL23:BL162,1)="s",1,0))</f>
        <v>0</v>
      </c>
      <c r="BM16" s="889"/>
      <c r="BN16" s="903">
        <f t="array" ref="BN16">SUM(IF(LEFT(BN23:BN162,1)="s",1,0))</f>
        <v>1</v>
      </c>
      <c r="BO16" s="889"/>
      <c r="BP16" s="889"/>
      <c r="BQ16" s="889"/>
      <c r="BR16" s="889"/>
      <c r="BS16" s="889"/>
      <c r="BT16" s="889"/>
      <c r="BU16" s="889"/>
      <c r="BV16" s="889"/>
      <c r="BW16" s="890"/>
      <c r="BX16" s="890"/>
      <c r="BY16" s="890"/>
      <c r="BZ16" s="890"/>
      <c r="CA16" s="889"/>
      <c r="CB16" s="889"/>
      <c r="CC16" s="889"/>
      <c r="CD16" s="889"/>
      <c r="CE16" s="889"/>
      <c r="CF16" s="889"/>
      <c r="CG16" s="889"/>
    </row>
    <row r="17" spans="1:118" s="874" customFormat="1" ht="15">
      <c r="A17" s="787"/>
      <c r="B17" s="787"/>
      <c r="C17" s="787"/>
      <c r="D17" s="787"/>
      <c r="E17" s="787"/>
      <c r="G17" s="856" t="s">
        <v>824</v>
      </c>
      <c r="H17" s="857">
        <f>L17+M17+N17</f>
        <v>22</v>
      </c>
      <c r="I17" s="860">
        <f>AVERAGEIF($H$23:$H$204,"=A",$J$23:$J$204)</f>
        <v>1.0454545454545454</v>
      </c>
      <c r="J17" s="860">
        <f>AVERAGEIF($H$23:$H$208,"=A",$K$23:$K$208)</f>
        <v>1.6363636363636365</v>
      </c>
      <c r="K17" s="858">
        <f>I17-J17</f>
        <v>-0.59090909090909105</v>
      </c>
      <c r="L17" s="857">
        <f>COUNTIFS($L$23:$L$204,"=W",$H$23:$H$204,"=A")</f>
        <v>6</v>
      </c>
      <c r="M17" s="857">
        <f>COUNTIFS($L$23:$L$204,"=D",$H$23:$H$204,"=A")</f>
        <v>3</v>
      </c>
      <c r="N17" s="863">
        <f>COUNTIFS($L$23:$L$204,"=L",$H$23:$H$204,"=A")</f>
        <v>13</v>
      </c>
      <c r="O17" s="858">
        <f>SUM(I17:J17)</f>
        <v>2.6818181818181817</v>
      </c>
      <c r="Q17" s="848"/>
      <c r="R17" s="859"/>
      <c r="S17" s="855"/>
      <c r="AF17" s="848" t="s">
        <v>718</v>
      </c>
      <c r="AG17" s="850">
        <f t="array" ref="AG17">SUM(IF(ISNUMBER(VALUE(RIGHT(AG23:AG170,1))),VALUE(RIGHT(AG23:AG170,1)),0))</f>
        <v>0</v>
      </c>
      <c r="AH17" s="903">
        <f t="array" ref="AH17">SUM(IF(ISNUMBER(VALUE(RIGHT(AH23:AH170,1))),VALUE(RIGHT(AH23:AH170,1)),0))</f>
        <v>0</v>
      </c>
      <c r="AI17" s="903">
        <f t="array" ref="AI17">SUM(IF(ISNUMBER(VALUE(RIGHT(AI23:AI170,1))),VALUE(RIGHT(AI23:AI170,1)),0))</f>
        <v>0</v>
      </c>
      <c r="AJ17" s="903">
        <f t="array" ref="AJ17">SUM(IF(ISNUMBER(VALUE(RIGHT(AJ23:AJ170,1))),VALUE(RIGHT(AJ23:AJ170,1)),0))</f>
        <v>0</v>
      </c>
      <c r="AK17" s="903">
        <f t="array" ref="AK17">SUM(IF(ISNUMBER(VALUE(RIGHT(AK23:AK170,1))),VALUE(RIGHT(AK23:AK170,1)),0))</f>
        <v>0</v>
      </c>
      <c r="AL17" s="903">
        <f t="array" ref="AL17">SUM(IF(ISNUMBER(VALUE(RIGHT(AL23:AL170,1))),VALUE(RIGHT(AL23:AL170,1)),0))</f>
        <v>0</v>
      </c>
      <c r="AM17" s="903">
        <f t="array" ref="AM17">SUM(IF(ISNUMBER(VALUE(RIGHT(AM23:AM170,1))),VALUE(RIGHT(AM23:AM170,1)),0))</f>
        <v>0</v>
      </c>
      <c r="AN17" s="903">
        <f t="array" ref="AN17">SUM(IF(ISNUMBER(VALUE(RIGHT(AN23:AN170,1))),VALUE(RIGHT(AN23:AN170,1)),0))</f>
        <v>0</v>
      </c>
      <c r="AO17" s="903">
        <f t="array" ref="AO17">SUM(IF(ISNUMBER(VALUE(RIGHT(AO23:AO170,1))),VALUE(RIGHT(AO23:AO170,1)),0))</f>
        <v>0</v>
      </c>
      <c r="AP17" s="903">
        <f t="array" ref="AP17">SUM(IF(ISNUMBER(VALUE(RIGHT(AP23:AP170,1))),VALUE(RIGHT(AP23:AP170,1)),0))</f>
        <v>0</v>
      </c>
      <c r="AQ17" s="903">
        <f t="array" ref="AQ17">SUM(IF(ISNUMBER(VALUE(RIGHT(AQ23:AQ170,1))),VALUE(RIGHT(AQ23:AQ170,1)),0))</f>
        <v>0</v>
      </c>
      <c r="AR17" s="903">
        <f t="array" ref="AR17">SUM(IF(ISNUMBER(VALUE(RIGHT(AR23:AR170,1))),VALUE(RIGHT(AR23:AR170,1)),0))</f>
        <v>0</v>
      </c>
      <c r="AS17" s="903">
        <f t="array" ref="AS17">SUM(IF(ISNUMBER(VALUE(RIGHT(AS23:AS170,1))),VALUE(RIGHT(AS23:AS170,1)),0))</f>
        <v>1</v>
      </c>
      <c r="AT17" s="903">
        <f t="array" ref="AT17">SUM(IF(ISNUMBER(VALUE(RIGHT(AT23:AT170,1))),VALUE(RIGHT(AT23:AT170,1)),0))</f>
        <v>1</v>
      </c>
      <c r="AU17" s="903">
        <f t="array" ref="AU17">SUM(IF(ISNUMBER(VALUE(RIGHT(AU23:AU170,1))),VALUE(RIGHT(AU23:AU170,1)),0))</f>
        <v>0</v>
      </c>
      <c r="AV17" s="903">
        <f t="array" ref="AV17">SUM(IF(ISNUMBER(VALUE(RIGHT(AV23:AV170,1))),VALUE(RIGHT(AV23:AV170,1)),0))</f>
        <v>0</v>
      </c>
      <c r="AW17" s="903">
        <f t="array" ref="AW17">SUM(IF(ISNUMBER(VALUE(RIGHT(AW23:AW170,1))),VALUE(RIGHT(AW23:AW170,1)),0))</f>
        <v>0</v>
      </c>
      <c r="AX17" s="903">
        <f t="array" ref="AX17">SUM(IF(ISNUMBER(VALUE(RIGHT(AX23:AX170,1))),VALUE(RIGHT(AX23:AX170,1)),0))</f>
        <v>2</v>
      </c>
      <c r="AY17" s="903">
        <f t="array" ref="AY17">SUM(IF(ISNUMBER(VALUE(RIGHT(AY23:AY170,1))),VALUE(RIGHT(AY23:AY170,1)),0))</f>
        <v>0</v>
      </c>
      <c r="AZ17" s="903">
        <f t="array" ref="AZ17">SUM(IF(ISNUMBER(VALUE(RIGHT(AZ23:AZ170,1))),VALUE(RIGHT(AZ23:AZ170,1)),0))</f>
        <v>0</v>
      </c>
      <c r="BA17" s="903">
        <f t="array" ref="BA17">SUM(IF(ISNUMBER(VALUE(RIGHT(BA23:BA170,1))),VALUE(RIGHT(BA23:BA170,1)),0))</f>
        <v>2</v>
      </c>
      <c r="BB17" s="903">
        <f t="array" ref="BB17">SUM(IF(ISNUMBER(VALUE(RIGHT(BB23:BB170,1))),VALUE(RIGHT(BB23:BB170,1)),0))</f>
        <v>6</v>
      </c>
      <c r="BC17" s="903">
        <f t="array" ref="BC17">SUM(IF(ISNUMBER(VALUE(RIGHT(BC23:BC170,1))),VALUE(RIGHT(BC23:BC170,1)),0))</f>
        <v>0</v>
      </c>
      <c r="BD17" s="903">
        <f t="array" ref="BD17">SUM(IF(ISNUMBER(VALUE(RIGHT(BD23:BD170,1))),VALUE(RIGHT(BD23:BD170,1)),0))</f>
        <v>0</v>
      </c>
      <c r="BE17" s="903">
        <f t="array" ref="BE17">SUM(IF(ISNUMBER(VALUE(RIGHT(BE23:BE170,1))),VALUE(RIGHT(BE23:BE170,1)),0))</f>
        <v>0</v>
      </c>
      <c r="BF17" s="903">
        <f t="array" ref="BF17">SUM(IF(ISNUMBER(VALUE(RIGHT(BF23:BF170,1))),VALUE(RIGHT(BF23:BF170,1)),0))</f>
        <v>4</v>
      </c>
      <c r="BG17" s="903">
        <f t="array" ref="BG17">SUM(IF(ISNUMBER(VALUE(RIGHT(BG23:BG170,1))),VALUE(RIGHT(BG23:BG170,1)),0))</f>
        <v>3</v>
      </c>
      <c r="BH17" s="903">
        <f t="array" ref="BH17">SUM(IF(ISNUMBER(VALUE(RIGHT(BH23:BH170,1))),VALUE(RIGHT(BH23:BH170,1)),0))</f>
        <v>2</v>
      </c>
      <c r="BI17" s="903">
        <f t="array" ref="BI17">SUM(IF(ISNUMBER(VALUE(RIGHT(BI23:BI170,1))),VALUE(RIGHT(BI23:BI170,1)),0))</f>
        <v>12</v>
      </c>
      <c r="BJ17" s="903">
        <f t="array" ref="BJ17">SUM(IF(ISNUMBER(VALUE(RIGHT(BJ23:BJ170,1))),VALUE(RIGHT(BJ23:BJ170,1)),0))</f>
        <v>1</v>
      </c>
      <c r="BK17" s="903">
        <f t="array" ref="BK17">SUM(IF(ISNUMBER(VALUE(RIGHT(BK23:BK170,1))),VALUE(RIGHT(BK23:BK170,1)),0))</f>
        <v>16</v>
      </c>
      <c r="BL17" s="903">
        <f t="array" ref="BL17">SUM(IF(ISNUMBER(VALUE(RIGHT(BL23:BL170,1))),VALUE(RIGHT(BL23:BL170,1)),0))</f>
        <v>2</v>
      </c>
      <c r="BM17" s="889"/>
      <c r="BN17" s="903">
        <f t="array" ref="BN17">SUM(IF(ISNUMBER(VALUE(RIGHT(BN23:BN170,1))),VALUE(RIGHT(BN23:BN170,1)),0))</f>
        <v>0</v>
      </c>
      <c r="BO17" s="889"/>
      <c r="BP17" s="889"/>
      <c r="BQ17" s="889"/>
      <c r="BR17" s="889"/>
      <c r="BS17" s="889"/>
      <c r="BT17" s="889"/>
      <c r="BU17" s="889"/>
      <c r="BV17" s="889"/>
      <c r="BW17" s="890"/>
      <c r="BX17" s="890"/>
      <c r="BY17" s="890"/>
      <c r="BZ17" s="890"/>
      <c r="CA17" s="889"/>
      <c r="CB17" s="889"/>
      <c r="CC17" s="889"/>
      <c r="CD17" s="889"/>
      <c r="CE17" s="889"/>
      <c r="CF17" s="889"/>
      <c r="CG17" s="889"/>
    </row>
    <row r="18" spans="1:118" s="874" customFormat="1" ht="15">
      <c r="A18" s="787"/>
      <c r="B18" s="787"/>
      <c r="C18" s="787"/>
      <c r="D18" s="787"/>
      <c r="E18" s="787"/>
      <c r="Q18" s="848" t="s">
        <v>826</v>
      </c>
      <c r="R18" s="858">
        <f>AVERAGEIFS($Y$23:$Y$207,$H$23:$H$207,"H",$I$23:$I$207,Table!$C$1)</f>
        <v>3.5714285714285716</v>
      </c>
      <c r="S18" s="858">
        <f>AVERAGEIFS($Y$23:$Y$207,$H$23:$H$207,"A",$I$23:$I$207,Table!$C$1)</f>
        <v>3.1904761904761907</v>
      </c>
      <c r="AG18" s="876">
        <v>1</v>
      </c>
      <c r="AH18" s="876">
        <v>22</v>
      </c>
      <c r="AI18" s="876">
        <v>23</v>
      </c>
      <c r="AJ18" s="876">
        <v>31</v>
      </c>
      <c r="AK18" s="876">
        <v>2</v>
      </c>
      <c r="AL18" s="876">
        <v>3</v>
      </c>
      <c r="AM18" s="876">
        <v>4</v>
      </c>
      <c r="AN18" s="876">
        <v>5</v>
      </c>
      <c r="AO18" s="876">
        <v>16</v>
      </c>
      <c r="AP18" s="876">
        <v>18</v>
      </c>
      <c r="AQ18" s="876">
        <v>20</v>
      </c>
      <c r="AR18" s="876">
        <v>26</v>
      </c>
      <c r="AS18" s="876">
        <v>45</v>
      </c>
      <c r="AT18" s="876">
        <v>27</v>
      </c>
      <c r="AU18" s="876">
        <v>28</v>
      </c>
      <c r="AV18" s="876">
        <v>39</v>
      </c>
      <c r="AW18" s="876">
        <v>33</v>
      </c>
      <c r="AX18" s="876">
        <v>6</v>
      </c>
      <c r="AY18" s="876">
        <v>7</v>
      </c>
      <c r="AZ18" s="876">
        <v>8</v>
      </c>
      <c r="BA18" s="876">
        <v>11</v>
      </c>
      <c r="BB18" s="876">
        <v>15</v>
      </c>
      <c r="BC18" s="876">
        <v>17</v>
      </c>
      <c r="BD18" s="876">
        <v>25</v>
      </c>
      <c r="BE18" s="876">
        <v>29</v>
      </c>
      <c r="BF18" s="876">
        <v>14</v>
      </c>
      <c r="BG18" s="876">
        <v>19</v>
      </c>
      <c r="BH18" s="876">
        <v>30</v>
      </c>
      <c r="BI18" s="876">
        <v>10</v>
      </c>
      <c r="BJ18" s="876">
        <v>24</v>
      </c>
      <c r="BK18" s="876">
        <v>9</v>
      </c>
      <c r="BN18" s="876">
        <v>13</v>
      </c>
      <c r="BP18" s="876"/>
      <c r="BQ18" s="876"/>
      <c r="BR18" s="876"/>
      <c r="BS18" s="876"/>
      <c r="BT18" s="876"/>
      <c r="BU18" s="876"/>
      <c r="BV18" s="876"/>
      <c r="BW18" s="876"/>
      <c r="BX18" s="876"/>
      <c r="BY18" s="876"/>
      <c r="BZ18" s="876"/>
      <c r="CA18" s="876"/>
      <c r="CB18" s="876"/>
      <c r="CC18" s="876"/>
      <c r="CD18" s="876"/>
      <c r="CE18" s="876"/>
      <c r="CF18" s="876"/>
      <c r="CG18" s="876"/>
      <c r="CH18" s="876"/>
      <c r="CI18" s="876"/>
      <c r="CJ18" s="876"/>
      <c r="CK18" s="876"/>
    </row>
    <row r="19" spans="1:118" s="874" customFormat="1" ht="16.5" customHeight="1">
      <c r="A19" s="817"/>
      <c r="B19" s="787"/>
      <c r="C19" s="787"/>
      <c r="D19" s="787"/>
      <c r="E19" s="787"/>
      <c r="G19" s="817"/>
      <c r="N19" s="818">
        <v>2.5</v>
      </c>
      <c r="Q19" s="848" t="s">
        <v>827</v>
      </c>
      <c r="R19" s="858">
        <f>AVERAGEIFS($Z$23:$Z$205,$H$23:$H$205,"H",$I$23:$I$205,Table!$C$1)</f>
        <v>5.6190476190476186</v>
      </c>
      <c r="S19" s="858">
        <f>AVERAGEIFS($Z$23:$Z$205,$H$23:$H$205,"A",$I$23:$I$205,Table!$C$1)</f>
        <v>5.2380952380952381</v>
      </c>
      <c r="V19" s="878"/>
      <c r="W19" s="923" t="s">
        <v>837</v>
      </c>
      <c r="X19" s="923"/>
      <c r="Y19" s="923" t="s">
        <v>839</v>
      </c>
      <c r="Z19" s="923"/>
      <c r="AA19" s="923" t="s">
        <v>838</v>
      </c>
      <c r="AB19" s="923"/>
      <c r="AF19" s="874" t="s">
        <v>13</v>
      </c>
      <c r="AG19" s="901" t="s">
        <v>2224</v>
      </c>
      <c r="AH19" s="901" t="s">
        <v>2216</v>
      </c>
      <c r="AI19" s="901" t="s">
        <v>2224</v>
      </c>
      <c r="AJ19" s="901" t="s">
        <v>2224</v>
      </c>
      <c r="AK19" s="901" t="s">
        <v>2208</v>
      </c>
      <c r="AL19" s="901" t="s">
        <v>2207</v>
      </c>
      <c r="AM19" s="901" t="s">
        <v>2208</v>
      </c>
      <c r="AN19" s="901" t="s">
        <v>2207</v>
      </c>
      <c r="AO19" s="901" t="s">
        <v>2225</v>
      </c>
      <c r="AP19" s="901" t="s">
        <v>2208</v>
      </c>
      <c r="AQ19" s="901" t="s">
        <v>2208</v>
      </c>
      <c r="AR19" s="901" t="s">
        <v>2225</v>
      </c>
      <c r="AS19" s="901" t="s">
        <v>3129</v>
      </c>
      <c r="AT19" s="901" t="s">
        <v>2207</v>
      </c>
      <c r="AU19" s="901" t="s">
        <v>2217</v>
      </c>
      <c r="AV19" s="901" t="s">
        <v>2790</v>
      </c>
      <c r="AW19" s="901" t="s">
        <v>2207</v>
      </c>
      <c r="AX19" s="901" t="s">
        <v>2209</v>
      </c>
      <c r="AY19" s="901" t="s">
        <v>2209</v>
      </c>
      <c r="AZ19" s="901" t="s">
        <v>2209</v>
      </c>
      <c r="BA19" s="901" t="s">
        <v>2211</v>
      </c>
      <c r="BB19" s="901" t="s">
        <v>2226</v>
      </c>
      <c r="BC19" s="901" t="s">
        <v>2209</v>
      </c>
      <c r="BD19" s="901" t="s">
        <v>2226</v>
      </c>
      <c r="BE19" s="901" t="s">
        <v>2226</v>
      </c>
      <c r="BF19" s="901" t="s">
        <v>2211</v>
      </c>
      <c r="BG19" s="901" t="s">
        <v>2214</v>
      </c>
      <c r="BH19" s="901" t="s">
        <v>2215</v>
      </c>
      <c r="BI19" s="901" t="s">
        <v>2221</v>
      </c>
      <c r="BJ19" s="901" t="s">
        <v>2212</v>
      </c>
      <c r="BK19" s="901" t="s">
        <v>2214</v>
      </c>
      <c r="BN19" s="901" t="s">
        <v>2207</v>
      </c>
      <c r="BP19" s="877"/>
      <c r="BQ19" s="877"/>
      <c r="BR19" s="877"/>
      <c r="BS19" s="877"/>
      <c r="BT19" s="877"/>
      <c r="BU19" s="877"/>
      <c r="BV19" s="877"/>
      <c r="BW19" s="428"/>
      <c r="BX19" s="428"/>
      <c r="BY19" s="428"/>
      <c r="BZ19" s="428"/>
      <c r="CA19" s="877"/>
      <c r="CB19" s="877"/>
      <c r="CC19" s="877"/>
      <c r="CD19" s="877"/>
      <c r="CE19" s="877"/>
      <c r="CF19" s="877"/>
      <c r="CG19" s="877"/>
      <c r="CH19" s="428"/>
      <c r="CI19" s="876"/>
      <c r="CJ19" s="876"/>
      <c r="CK19" s="876"/>
    </row>
    <row r="20" spans="1:118" s="821" customFormat="1" ht="98.25" customHeight="1">
      <c r="A20" s="819" t="s">
        <v>14</v>
      </c>
      <c r="B20" s="819"/>
      <c r="C20" s="819"/>
      <c r="D20" s="819"/>
      <c r="E20" s="820"/>
      <c r="F20" s="821">
        <f ca="1">IF(G20="","",VLOOKUP(G20,Table!$B$9:$AE$32,Table!$AE$6-1,FALSE))</f>
        <v>17</v>
      </c>
      <c r="G20" s="822" t="str">
        <f ca="1">MID(CELL("filename",A1),FIND("]",CELL("filename",A1))+1,LEN(CELL("filename",A1))-FIND("]",CELL("filename",A1)))</f>
        <v>Zweigen Kanazawa</v>
      </c>
      <c r="H20" s="823" t="s">
        <v>15</v>
      </c>
      <c r="I20" s="820" t="s">
        <v>16</v>
      </c>
      <c r="J20" s="823" t="s">
        <v>17</v>
      </c>
      <c r="K20" s="823" t="s">
        <v>18</v>
      </c>
      <c r="L20" s="824"/>
      <c r="M20" s="825" t="s">
        <v>19</v>
      </c>
      <c r="N20" s="825" t="s">
        <v>20</v>
      </c>
      <c r="O20" s="825" t="s">
        <v>790</v>
      </c>
      <c r="P20" s="825" t="s">
        <v>791</v>
      </c>
      <c r="Q20" s="825" t="s">
        <v>210</v>
      </c>
      <c r="R20" s="825" t="s">
        <v>211</v>
      </c>
      <c r="S20" s="825" t="s">
        <v>212</v>
      </c>
      <c r="T20" s="825" t="s">
        <v>213</v>
      </c>
      <c r="U20" s="825" t="s">
        <v>835</v>
      </c>
      <c r="V20" s="825" t="s">
        <v>836</v>
      </c>
      <c r="W20" s="825" t="s">
        <v>829</v>
      </c>
      <c r="X20" s="825" t="s">
        <v>830</v>
      </c>
      <c r="Y20" s="825" t="s">
        <v>831</v>
      </c>
      <c r="Z20" s="825" t="s">
        <v>832</v>
      </c>
      <c r="AA20" s="825" t="s">
        <v>833</v>
      </c>
      <c r="AB20" s="825" t="s">
        <v>834</v>
      </c>
      <c r="AC20" s="825" t="s">
        <v>828</v>
      </c>
      <c r="AD20" s="825" t="s">
        <v>38</v>
      </c>
      <c r="AE20" s="825" t="s">
        <v>37</v>
      </c>
      <c r="AF20" s="826" t="s">
        <v>21</v>
      </c>
      <c r="AG20" s="887" t="s">
        <v>1855</v>
      </c>
      <c r="AH20" s="887" t="s">
        <v>2591</v>
      </c>
      <c r="AI20" s="887" t="s">
        <v>1853</v>
      </c>
      <c r="AJ20" s="887" t="s">
        <v>1854</v>
      </c>
      <c r="AK20" s="887" t="s">
        <v>1856</v>
      </c>
      <c r="AL20" s="887" t="s">
        <v>1857</v>
      </c>
      <c r="AM20" s="887" t="s">
        <v>3510</v>
      </c>
      <c r="AN20" s="887" t="s">
        <v>2981</v>
      </c>
      <c r="AO20" s="887" t="s">
        <v>1859</v>
      </c>
      <c r="AP20" s="887" t="s">
        <v>1860</v>
      </c>
      <c r="AQ20" s="887" t="s">
        <v>1861</v>
      </c>
      <c r="AR20" s="887" t="s">
        <v>1940</v>
      </c>
      <c r="AS20" s="887" t="s">
        <v>3130</v>
      </c>
      <c r="AT20" s="887" t="s">
        <v>2545</v>
      </c>
      <c r="AU20" s="887" t="s">
        <v>3287</v>
      </c>
      <c r="AV20" s="887" t="s">
        <v>2804</v>
      </c>
      <c r="AW20" s="887" t="s">
        <v>2791</v>
      </c>
      <c r="AX20" s="887" t="s">
        <v>1862</v>
      </c>
      <c r="AY20" s="887" t="s">
        <v>1863</v>
      </c>
      <c r="AZ20" s="887" t="s">
        <v>1864</v>
      </c>
      <c r="BA20" s="887" t="s">
        <v>1865</v>
      </c>
      <c r="BB20" s="887" t="s">
        <v>3102</v>
      </c>
      <c r="BC20" s="887" t="s">
        <v>1941</v>
      </c>
      <c r="BD20" s="887" t="s">
        <v>1867</v>
      </c>
      <c r="BE20" s="887" t="s">
        <v>1868</v>
      </c>
      <c r="BF20" s="887" t="s">
        <v>1870</v>
      </c>
      <c r="BG20" s="887" t="s">
        <v>1871</v>
      </c>
      <c r="BH20" s="887" t="s">
        <v>1872</v>
      </c>
      <c r="BI20" s="887" t="s">
        <v>3103</v>
      </c>
      <c r="BJ20" s="887" t="s">
        <v>1866</v>
      </c>
      <c r="BK20" s="887" t="s">
        <v>1869</v>
      </c>
      <c r="BN20" s="887" t="s">
        <v>1858</v>
      </c>
      <c r="BP20" s="887"/>
      <c r="BQ20" s="864"/>
      <c r="BR20" s="864"/>
      <c r="BS20" s="864"/>
      <c r="BT20" s="864"/>
      <c r="BU20" s="864"/>
      <c r="BV20" s="864"/>
      <c r="BW20" s="847"/>
      <c r="BX20" s="847"/>
      <c r="BY20" s="847"/>
      <c r="BZ20" s="847"/>
      <c r="CA20" s="864"/>
      <c r="CB20" s="864"/>
      <c r="CC20" s="864"/>
      <c r="CD20" s="864"/>
      <c r="CE20" s="864"/>
      <c r="CF20" s="864"/>
      <c r="CG20" s="864"/>
      <c r="CH20" s="824"/>
      <c r="CI20" s="824"/>
      <c r="CJ20" s="824"/>
      <c r="CK20" s="824"/>
      <c r="CL20" s="824"/>
      <c r="CM20" s="824"/>
      <c r="CN20" s="824"/>
      <c r="CO20" s="824"/>
      <c r="CP20" s="824"/>
      <c r="CQ20" s="824"/>
      <c r="CR20" s="824"/>
      <c r="CS20" s="824"/>
    </row>
    <row r="21" spans="1:118" s="821" customFormat="1" ht="98.25" customHeight="1">
      <c r="A21" s="819"/>
      <c r="B21" s="819"/>
      <c r="C21" s="819"/>
      <c r="D21" s="819"/>
      <c r="E21" s="820"/>
      <c r="G21" s="822"/>
      <c r="H21" s="823"/>
      <c r="I21" s="820"/>
      <c r="J21" s="823"/>
      <c r="K21" s="823"/>
      <c r="L21" s="824"/>
      <c r="M21" s="825"/>
      <c r="N21" s="825"/>
      <c r="O21" s="825"/>
      <c r="P21" s="825"/>
      <c r="Q21" s="825"/>
      <c r="R21" s="825"/>
      <c r="S21" s="825"/>
      <c r="T21" s="825"/>
      <c r="U21" s="825"/>
      <c r="V21" s="825"/>
      <c r="W21" s="825"/>
      <c r="X21" s="825"/>
      <c r="Y21" s="825"/>
      <c r="Z21" s="825"/>
      <c r="AA21" s="825"/>
      <c r="AB21" s="825"/>
      <c r="AC21" s="825"/>
      <c r="AD21" s="825"/>
      <c r="AE21" s="825"/>
      <c r="AF21" s="826"/>
      <c r="AG21" s="886" t="s">
        <v>1063</v>
      </c>
      <c r="AH21" s="886" t="s">
        <v>2590</v>
      </c>
      <c r="AI21" s="886" t="s">
        <v>964</v>
      </c>
      <c r="AJ21" s="886" t="s">
        <v>1064</v>
      </c>
      <c r="AK21" s="886" t="s">
        <v>1065</v>
      </c>
      <c r="AL21" s="886" t="s">
        <v>1196</v>
      </c>
      <c r="AM21" s="886" t="s">
        <v>1066</v>
      </c>
      <c r="AN21" s="886" t="s">
        <v>1067</v>
      </c>
      <c r="AO21" s="886" t="s">
        <v>1068</v>
      </c>
      <c r="AP21" s="886" t="s">
        <v>1069</v>
      </c>
      <c r="AQ21" s="886" t="s">
        <v>1070</v>
      </c>
      <c r="AR21" s="886" t="s">
        <v>1073</v>
      </c>
      <c r="AS21" s="886" t="s">
        <v>3131</v>
      </c>
      <c r="AT21" s="886" t="s">
        <v>1072</v>
      </c>
      <c r="AU21" s="886" t="s">
        <v>1198</v>
      </c>
      <c r="AV21" s="886" t="s">
        <v>2805</v>
      </c>
      <c r="AW21" s="886" t="s">
        <v>2792</v>
      </c>
      <c r="AX21" s="886" t="s">
        <v>1199</v>
      </c>
      <c r="AY21" s="886" t="s">
        <v>1691</v>
      </c>
      <c r="AZ21" s="886" t="s">
        <v>1200</v>
      </c>
      <c r="BA21" s="886" t="s">
        <v>1201</v>
      </c>
      <c r="BB21" s="886" t="s">
        <v>1202</v>
      </c>
      <c r="BC21" s="886" t="s">
        <v>1075</v>
      </c>
      <c r="BD21" s="886" t="s">
        <v>1204</v>
      </c>
      <c r="BE21" s="886" t="s">
        <v>1692</v>
      </c>
      <c r="BF21" s="886" t="s">
        <v>1076</v>
      </c>
      <c r="BG21" s="886" t="s">
        <v>1205</v>
      </c>
      <c r="BH21" s="886" t="s">
        <v>1206</v>
      </c>
      <c r="BI21" s="886" t="s">
        <v>1077</v>
      </c>
      <c r="BJ21" s="886" t="s">
        <v>1203</v>
      </c>
      <c r="BK21" s="886" t="s">
        <v>1048</v>
      </c>
      <c r="BL21" s="886" t="s">
        <v>2436</v>
      </c>
      <c r="BN21" s="886" t="s">
        <v>1197</v>
      </c>
      <c r="BP21" s="886"/>
      <c r="BQ21" s="864"/>
      <c r="BR21" s="864"/>
      <c r="BS21" s="864"/>
      <c r="BT21" s="864"/>
      <c r="BU21" s="864"/>
      <c r="BV21" s="864"/>
      <c r="BW21" s="847"/>
      <c r="BX21" s="847"/>
      <c r="BY21" s="847"/>
      <c r="BZ21" s="847"/>
      <c r="CA21" s="864"/>
      <c r="CB21" s="864"/>
      <c r="CC21" s="864"/>
      <c r="CD21" s="864"/>
      <c r="CE21" s="864"/>
      <c r="CF21" s="864"/>
      <c r="CG21" s="864"/>
      <c r="CH21" s="824"/>
      <c r="CI21" s="824"/>
      <c r="CJ21" s="824"/>
      <c r="CK21" s="824"/>
      <c r="CL21" s="824"/>
      <c r="CM21" s="824"/>
      <c r="CN21" s="824"/>
      <c r="CO21" s="824"/>
      <c r="CP21" s="824"/>
      <c r="CQ21" s="824"/>
      <c r="CR21" s="824"/>
      <c r="CS21" s="824"/>
    </row>
    <row r="22" spans="1:118" s="816" customFormat="1" ht="12.75">
      <c r="A22" s="827"/>
      <c r="E22" s="827"/>
      <c r="O22" s="874"/>
      <c r="P22" s="874"/>
      <c r="Q22" s="874"/>
      <c r="AG22" s="829"/>
      <c r="AH22" s="829"/>
      <c r="AI22" s="829"/>
      <c r="AJ22" s="829"/>
      <c r="AK22" s="829"/>
      <c r="AL22" s="829"/>
      <c r="AM22" s="829"/>
      <c r="AN22" s="829"/>
      <c r="AO22" s="829"/>
      <c r="AP22" s="829"/>
      <c r="AQ22" s="829"/>
      <c r="AR22" s="829"/>
      <c r="AS22" s="829"/>
      <c r="AT22" s="829"/>
      <c r="AU22" s="829"/>
      <c r="AV22" s="829"/>
      <c r="AW22" s="829"/>
      <c r="AX22" s="829"/>
      <c r="AY22" s="829"/>
      <c r="AZ22" s="829"/>
      <c r="BA22" s="829"/>
      <c r="BB22" s="829"/>
      <c r="BC22" s="829"/>
      <c r="BF22" s="829"/>
      <c r="BG22" s="829"/>
      <c r="BH22" s="829"/>
      <c r="BI22" s="829"/>
      <c r="BJ22" s="829"/>
      <c r="BK22" s="829"/>
      <c r="BN22" s="829"/>
      <c r="BP22" s="829"/>
      <c r="BQ22" s="829"/>
      <c r="BR22" s="829"/>
      <c r="BS22" s="829"/>
      <c r="BT22" s="829"/>
      <c r="BU22" s="829"/>
      <c r="BV22" s="829"/>
      <c r="BW22" s="829"/>
      <c r="BX22" s="829"/>
      <c r="BY22" s="829"/>
      <c r="BZ22" s="829"/>
      <c r="CA22" s="829"/>
      <c r="CB22" s="829"/>
      <c r="CC22" s="829"/>
      <c r="CD22" s="829"/>
      <c r="CE22" s="829"/>
      <c r="CF22" s="829"/>
      <c r="CG22" s="829"/>
      <c r="CH22" s="829"/>
      <c r="CI22" s="829"/>
      <c r="CJ22" s="829"/>
      <c r="CK22" s="829"/>
    </row>
    <row r="23" spans="1:118" ht="15">
      <c r="A23" s="882">
        <v>6267</v>
      </c>
      <c r="B23" s="884"/>
      <c r="C23" s="884"/>
      <c r="D23" s="884">
        <f ca="1">IF(I23=Table!$C$1,VLOOKUP(G23,Table!$B$38:$AO$61,Table!$AO$35-1,FALSE),"")</f>
        <v>0</v>
      </c>
      <c r="E23" s="884"/>
      <c r="F23" s="884">
        <f ca="1">IF(I23="","",IF(I23=Table!$C$1,VLOOKUP(G23,Table!$B$9:$AE$32,Table!$AE$6-1,FALSE),""))</f>
        <v>15</v>
      </c>
      <c r="G23" s="879" t="s">
        <v>881</v>
      </c>
      <c r="H23" s="879" t="s">
        <v>18</v>
      </c>
      <c r="I23" s="879" t="s">
        <v>891</v>
      </c>
      <c r="J23" s="846">
        <v>0</v>
      </c>
      <c r="K23" s="846">
        <v>1</v>
      </c>
      <c r="L23" s="816" t="str">
        <f>IF(J23="","",IF(J23&gt;K23,"W",IF(J23=K23,"D",IF(J23&lt;K23,"L"))))</f>
        <v>L</v>
      </c>
      <c r="M23" s="816">
        <f>IF(J23="","",J23+K23)</f>
        <v>1</v>
      </c>
      <c r="N23" s="816" t="str">
        <f>IF($J23="","",IF($M23&gt;N$19,"O",IF($M23&lt;N$19,"U",IF($M23=N$19,"-"))))</f>
        <v>U</v>
      </c>
      <c r="O23" s="816">
        <f t="shared" ref="O23:O57" si="23">IF(Q23="","",IF(SIGN(Q23)&lt;&gt;1,VLOOKUP(ABS(Q23),SUP_HDC,3,TRUE),-VLOOKUP(ABS(Q23),SUP_HDC,3,TRUE)))</f>
        <v>0.25</v>
      </c>
      <c r="P23" s="829">
        <f>IF(O23="","",IF((J23-K23+O23)&gt;=0.5,1,IF((J23-K23+O23)=0.25,0.5,IF((J23-K23+O23)&lt;=-0.5,-1,IF((J23-K23+O23)=-0.25,-0.5,0)))))</f>
        <v>-1</v>
      </c>
      <c r="Q23" s="830">
        <v>-0.17</v>
      </c>
      <c r="R23" s="871">
        <f>IF(ISBLANK(Q23),"",J23-K23-Q23)</f>
        <v>-0.83</v>
      </c>
      <c r="S23" s="830">
        <v>2.2000000000000002</v>
      </c>
      <c r="T23" s="871">
        <f>IF(ISBLANK(S23),"",J23+K23-S23)</f>
        <v>-1.2000000000000002</v>
      </c>
      <c r="U23" s="868">
        <f>IF(Q23="","",(Q23+S23)/2)</f>
        <v>1.0150000000000001</v>
      </c>
      <c r="V23" s="868">
        <f>IF(Q23="","",S23-U23)</f>
        <v>1.1850000000000001</v>
      </c>
      <c r="W23" s="816">
        <v>10</v>
      </c>
      <c r="X23" s="816">
        <v>13</v>
      </c>
      <c r="Y23" s="829">
        <v>0</v>
      </c>
      <c r="Z23" s="829">
        <v>7</v>
      </c>
      <c r="AA23" s="829">
        <v>49</v>
      </c>
      <c r="AB23" s="829">
        <v>51</v>
      </c>
      <c r="AC23" s="829"/>
      <c r="AD23" s="816" t="str">
        <f t="array" ref="AD23">IF($J23="","",IF(SUM(IF(ISNUMBER(VALUE(RIGHT($AG23:$DZ23,1))),VALUE(RIGHT($AG23:$DZ23,1)),0))=$J23,"T","F"))</f>
        <v>T</v>
      </c>
      <c r="AE23" s="831">
        <f t="array" ref="AE23">IF($J23="","",SUM(IF(LEFT($AG23:$DZ23,1)="s",1,0))-SUM(IF(RIGHT(LEFT($AG23:$DZ23,2))="-",1,0)))</f>
        <v>0</v>
      </c>
      <c r="AF23" s="816">
        <f t="array" ref="AF23">IF($J23="","",SUM(IF(LEFT($AG23:$DZ23,1)="X",1,0)))</f>
        <v>11</v>
      </c>
      <c r="AG23" s="891" t="s">
        <v>32</v>
      </c>
      <c r="AH23" s="891"/>
      <c r="AI23" s="891" t="s">
        <v>34</v>
      </c>
      <c r="AJ23" s="891" t="s">
        <v>1877</v>
      </c>
      <c r="AK23" s="891" t="s">
        <v>32</v>
      </c>
      <c r="AL23" s="891" t="s">
        <v>1877</v>
      </c>
      <c r="AM23" s="891" t="s">
        <v>34</v>
      </c>
      <c r="AN23" s="891" t="s">
        <v>34</v>
      </c>
      <c r="AO23" s="891" t="s">
        <v>32</v>
      </c>
      <c r="AP23" s="891" t="s">
        <v>34</v>
      </c>
      <c r="AQ23" s="891" t="s">
        <v>1877</v>
      </c>
      <c r="AR23" s="891" t="s">
        <v>32</v>
      </c>
      <c r="AS23" s="891"/>
      <c r="AT23" s="891" t="s">
        <v>34</v>
      </c>
      <c r="AU23" s="891" t="s">
        <v>34</v>
      </c>
      <c r="AV23" s="910"/>
      <c r="AW23" s="910"/>
      <c r="AX23" s="891" t="s">
        <v>34</v>
      </c>
      <c r="AY23" s="891" t="s">
        <v>1877</v>
      </c>
      <c r="AZ23" s="891" t="s">
        <v>35</v>
      </c>
      <c r="BA23" s="891" t="s">
        <v>34</v>
      </c>
      <c r="BB23" s="891" t="s">
        <v>32</v>
      </c>
      <c r="BC23" s="891" t="s">
        <v>36</v>
      </c>
      <c r="BF23" s="891" t="s">
        <v>32</v>
      </c>
      <c r="BG23" s="891" t="s">
        <v>36</v>
      </c>
      <c r="BH23" s="891" t="s">
        <v>2003</v>
      </c>
      <c r="BI23" s="891" t="s">
        <v>32</v>
      </c>
      <c r="BJ23" s="891" t="s">
        <v>35</v>
      </c>
      <c r="BK23" s="891" t="s">
        <v>34</v>
      </c>
      <c r="BN23" s="891" t="s">
        <v>1877</v>
      </c>
      <c r="BP23" s="891"/>
      <c r="BQ23" s="891"/>
      <c r="BR23" s="891"/>
      <c r="BS23" s="891"/>
      <c r="BT23" s="891"/>
      <c r="BU23" s="891"/>
      <c r="BV23" s="891"/>
      <c r="BW23" s="896"/>
      <c r="BX23" s="896"/>
      <c r="BY23" s="896"/>
      <c r="BZ23" s="896"/>
      <c r="CA23" s="896"/>
      <c r="CB23" s="896"/>
      <c r="CC23" s="896"/>
      <c r="CD23" s="896"/>
      <c r="CE23" s="896"/>
      <c r="CF23" s="896"/>
      <c r="CG23" s="896"/>
      <c r="CH23" s="428"/>
      <c r="CI23" s="428"/>
      <c r="CJ23" s="428"/>
      <c r="CK23" s="428"/>
      <c r="CL23" s="230" t="s">
        <v>32</v>
      </c>
      <c r="CM23" s="230" t="s">
        <v>32</v>
      </c>
      <c r="CN23" s="230" t="s">
        <v>32</v>
      </c>
      <c r="CO23" s="230" t="s">
        <v>32</v>
      </c>
      <c r="CP23" s="230" t="s">
        <v>32</v>
      </c>
      <c r="CQ23" s="230" t="s">
        <v>32</v>
      </c>
      <c r="CR23" s="230" t="s">
        <v>32</v>
      </c>
    </row>
    <row r="24" spans="1:118" ht="15">
      <c r="A24" s="882">
        <v>6273</v>
      </c>
      <c r="B24" s="884"/>
      <c r="C24" s="884"/>
      <c r="D24" s="884">
        <f ca="1">IF(I24=Table!$C$1,VLOOKUP(G24,Table!$B$38:$AO$61,Table!$AO$35-1,FALSE),"")</f>
        <v>0</v>
      </c>
      <c r="E24" s="884"/>
      <c r="F24" s="884">
        <f ca="1">IF(I24="","",IF(I24=Table!$C$1,VLOOKUP(G24,Table!$B$9:$AE$32,Table!$AE$6-1,FALSE),""))</f>
        <v>14</v>
      </c>
      <c r="G24" s="879" t="s">
        <v>873</v>
      </c>
      <c r="H24" s="879" t="s">
        <v>18</v>
      </c>
      <c r="I24" s="879" t="s">
        <v>891</v>
      </c>
      <c r="J24" s="846">
        <v>0</v>
      </c>
      <c r="K24" s="846">
        <v>4</v>
      </c>
      <c r="L24" s="816" t="str">
        <f>IF(J24="","",IF(J24&gt;K24,"W",IF(J24=K24,"D",IF(J24&lt;K24,"L"))))</f>
        <v>L</v>
      </c>
      <c r="M24" s="816">
        <f>IF(J24="","",J24+K24)</f>
        <v>4</v>
      </c>
      <c r="N24" s="816" t="str">
        <f t="shared" ref="N24:N29" si="24">IF($J24="","",IF($M24&gt;N$19,"O",IF($M24&lt;N$19,"U",IF($M24=N$19,"-"))))</f>
        <v>O</v>
      </c>
      <c r="O24" s="816">
        <f t="shared" si="23"/>
        <v>0.25</v>
      </c>
      <c r="P24" s="829">
        <f t="shared" ref="P24:P57" si="25">IF(O24="","",IF((J24-K24+O24)&gt;=0.5,1,IF((J24-K24+O24)=0.25,0.5,IF((J24-K24+O24)&lt;=-0.5,-1,IF((J24-K24+O24)=-0.25,-0.5,0)))))</f>
        <v>-1</v>
      </c>
      <c r="Q24" s="830">
        <v>-0.15</v>
      </c>
      <c r="R24" s="871">
        <f t="shared" ref="R24:R29" si="26">IF(ISBLANK(Q24),"",J24-K24-Q24)</f>
        <v>-3.85</v>
      </c>
      <c r="S24" s="830">
        <v>2.1</v>
      </c>
      <c r="T24" s="871">
        <f t="shared" ref="T24:T68" si="27">IF(ISBLANK(S24),"",J24+K24-S24)</f>
        <v>1.9</v>
      </c>
      <c r="U24" s="868">
        <f t="shared" ref="U24:U57" si="28">IF(Q24="","",(Q24+S24)/2)</f>
        <v>0.97500000000000009</v>
      </c>
      <c r="V24" s="868">
        <f t="shared" ref="V24:V57" si="29">IF(Q24="","",S24-U24)</f>
        <v>1.125</v>
      </c>
      <c r="W24" s="829">
        <v>14</v>
      </c>
      <c r="X24" s="829">
        <v>15</v>
      </c>
      <c r="Y24" s="829">
        <v>2</v>
      </c>
      <c r="Z24" s="829">
        <v>8</v>
      </c>
      <c r="AA24" s="829">
        <v>53</v>
      </c>
      <c r="AB24" s="829">
        <v>47</v>
      </c>
      <c r="AD24" s="816" t="str">
        <f t="array" ref="AD24">IF($J24="","",IF(SUM(IF(ISNUMBER(VALUE(RIGHT($AG24:$DZ24,1))),VALUE(RIGHT($AG24:$DZ24,1)),0))=$J24,"T","F"))</f>
        <v>T</v>
      </c>
      <c r="AE24" s="831">
        <f t="array" ref="AE24">IF($J24="","",SUM(IF(LEFT($AG24:$DZ24,1)="s",1,0))-SUM(IF(RIGHT(LEFT($AG24:$DZ24,2))="-",1,0)))</f>
        <v>0</v>
      </c>
      <c r="AF24" s="816">
        <f t="array" ref="AF24">IF($J24="","",SUM(IF(LEFT($AG24:$DZ24,1)="X",1,0)))</f>
        <v>11</v>
      </c>
      <c r="AG24" s="891" t="s">
        <v>32</v>
      </c>
      <c r="AH24" s="891"/>
      <c r="AI24" s="891" t="s">
        <v>34</v>
      </c>
      <c r="AJ24" s="891" t="s">
        <v>1877</v>
      </c>
      <c r="AK24" s="891" t="s">
        <v>32</v>
      </c>
      <c r="AL24" s="891" t="s">
        <v>1877</v>
      </c>
      <c r="AM24" s="891" t="s">
        <v>35</v>
      </c>
      <c r="AN24" s="891" t="s">
        <v>34</v>
      </c>
      <c r="AO24" s="891" t="s">
        <v>32</v>
      </c>
      <c r="AP24" s="891" t="s">
        <v>34</v>
      </c>
      <c r="AQ24" s="891" t="s">
        <v>32</v>
      </c>
      <c r="AR24" s="891" t="s">
        <v>32</v>
      </c>
      <c r="AS24" s="891"/>
      <c r="AT24" s="891" t="s">
        <v>34</v>
      </c>
      <c r="AU24" s="891" t="s">
        <v>34</v>
      </c>
      <c r="AV24" s="910"/>
      <c r="AW24" s="910"/>
      <c r="AX24" s="891" t="s">
        <v>34</v>
      </c>
      <c r="AY24" s="891" t="s">
        <v>1877</v>
      </c>
      <c r="AZ24" s="891" t="s">
        <v>34</v>
      </c>
      <c r="BA24" s="891" t="s">
        <v>32</v>
      </c>
      <c r="BB24" s="891" t="s">
        <v>36</v>
      </c>
      <c r="BC24" s="891" t="s">
        <v>36</v>
      </c>
      <c r="BF24" s="891" t="s">
        <v>32</v>
      </c>
      <c r="BG24" s="891" t="s">
        <v>36</v>
      </c>
      <c r="BH24" s="891" t="s">
        <v>2003</v>
      </c>
      <c r="BI24" s="904" t="s">
        <v>35</v>
      </c>
      <c r="BJ24" s="891" t="s">
        <v>35</v>
      </c>
      <c r="BK24" s="891" t="s">
        <v>34</v>
      </c>
      <c r="BN24" s="891" t="s">
        <v>1877</v>
      </c>
      <c r="BP24" s="891"/>
      <c r="BQ24" s="891"/>
      <c r="BR24" s="891"/>
      <c r="BS24" s="891"/>
      <c r="BT24" s="891"/>
      <c r="BU24" s="891"/>
      <c r="BV24" s="891"/>
      <c r="BW24" s="896"/>
      <c r="BX24" s="896"/>
      <c r="BY24" s="896"/>
      <c r="BZ24" s="896"/>
      <c r="CA24" s="896"/>
      <c r="CB24" s="896"/>
      <c r="CC24" s="896"/>
      <c r="CD24" s="896"/>
      <c r="CE24" s="896"/>
      <c r="CF24" s="896"/>
      <c r="CG24" s="896"/>
      <c r="CH24" s="428"/>
      <c r="CI24" s="428"/>
      <c r="CJ24" s="428"/>
      <c r="CK24" s="428"/>
      <c r="CL24" s="230" t="s">
        <v>32</v>
      </c>
      <c r="CM24" s="230" t="s">
        <v>32</v>
      </c>
      <c r="CN24" s="230" t="s">
        <v>32</v>
      </c>
      <c r="CO24" s="230" t="s">
        <v>32</v>
      </c>
      <c r="CP24" s="230" t="s">
        <v>32</v>
      </c>
      <c r="CQ24" s="230" t="s">
        <v>32</v>
      </c>
      <c r="CR24" s="230" t="s">
        <v>32</v>
      </c>
    </row>
    <row r="25" spans="1:118" ht="15">
      <c r="A25" s="882">
        <v>6281</v>
      </c>
      <c r="B25" s="884"/>
      <c r="C25" s="884"/>
      <c r="D25" s="884">
        <f ca="1">IF(I25=Table!$C$1,VLOOKUP(G25,Table!$B$38:$AO$61,Table!$AO$35-1,FALSE),"")</f>
        <v>0</v>
      </c>
      <c r="E25" s="884"/>
      <c r="F25" s="884">
        <f ca="1">IF(I25="","",IF(I25=Table!$C$1,VLOOKUP(G25,Table!$B$9:$AE$32,Table!$AE$6-1,FALSE),""))</f>
        <v>1</v>
      </c>
      <c r="G25" s="879" t="s">
        <v>1086</v>
      </c>
      <c r="H25" s="879" t="s">
        <v>22</v>
      </c>
      <c r="I25" s="879" t="s">
        <v>891</v>
      </c>
      <c r="J25" s="846">
        <v>0</v>
      </c>
      <c r="K25" s="846">
        <v>0</v>
      </c>
      <c r="L25" s="816" t="str">
        <f>IF(J25="","",IF(J25&gt;K25,"W",IF(J25=K25,"D",IF(J25&lt;K25,"L"))))</f>
        <v>D</v>
      </c>
      <c r="M25" s="816">
        <f>IF(J25="","",J25+K25)</f>
        <v>0</v>
      </c>
      <c r="N25" s="816" t="str">
        <f t="shared" si="24"/>
        <v>U</v>
      </c>
      <c r="O25" s="816">
        <f t="shared" si="23"/>
        <v>0.75</v>
      </c>
      <c r="P25" s="829">
        <f t="shared" si="25"/>
        <v>1</v>
      </c>
      <c r="Q25" s="830">
        <v>-0.76</v>
      </c>
      <c r="R25" s="871">
        <f t="shared" si="26"/>
        <v>0.76</v>
      </c>
      <c r="S25" s="830">
        <v>2.36</v>
      </c>
      <c r="T25" s="871">
        <f t="shared" si="27"/>
        <v>-2.36</v>
      </c>
      <c r="U25" s="868">
        <f t="shared" si="28"/>
        <v>0.79999999999999993</v>
      </c>
      <c r="V25" s="868">
        <f t="shared" si="29"/>
        <v>1.56</v>
      </c>
      <c r="W25" s="829">
        <v>7</v>
      </c>
      <c r="X25" s="829">
        <v>11</v>
      </c>
      <c r="Y25" s="829">
        <v>2</v>
      </c>
      <c r="Z25" s="829">
        <v>5</v>
      </c>
      <c r="AA25" s="829">
        <v>41</v>
      </c>
      <c r="AB25" s="829">
        <v>59</v>
      </c>
      <c r="AC25" s="829"/>
      <c r="AD25" s="816" t="str">
        <f t="array" ref="AD25">IF($J25="","",IF(SUM(IF(ISNUMBER(VALUE(RIGHT($AG25:$DZ25,1))),VALUE(RIGHT($AG25:$DZ25,1)),0))=$J25,"T","F"))</f>
        <v>T</v>
      </c>
      <c r="AE25" s="831">
        <f t="array" ref="AE25">IF($J25="","",SUM(IF(LEFT($AG25:$DZ25,1)="s",1,0))-SUM(IF(RIGHT(LEFT($AG25:$DZ25,2))="-",1,0)))</f>
        <v>0</v>
      </c>
      <c r="AF25" s="816">
        <f t="array" ref="AF25">IF($J25="","",SUM(IF(LEFT($AG25:$DZ25,1)="X",1,0)))</f>
        <v>11</v>
      </c>
      <c r="AG25" s="891" t="s">
        <v>32</v>
      </c>
      <c r="AH25" s="891"/>
      <c r="AI25" s="891" t="s">
        <v>34</v>
      </c>
      <c r="AJ25" s="891" t="s">
        <v>1877</v>
      </c>
      <c r="AK25" s="891" t="s">
        <v>32</v>
      </c>
      <c r="AL25" s="904" t="s">
        <v>34</v>
      </c>
      <c r="AM25" s="891" t="s">
        <v>34</v>
      </c>
      <c r="AN25" s="891" t="s">
        <v>34</v>
      </c>
      <c r="AO25" s="891" t="s">
        <v>32</v>
      </c>
      <c r="AP25" s="891" t="s">
        <v>35</v>
      </c>
      <c r="AQ25" s="891" t="s">
        <v>32</v>
      </c>
      <c r="AR25" s="891" t="s">
        <v>32</v>
      </c>
      <c r="AS25" s="891"/>
      <c r="AT25" s="891" t="s">
        <v>34</v>
      </c>
      <c r="AU25" s="891" t="s">
        <v>34</v>
      </c>
      <c r="AV25" s="910"/>
      <c r="AW25" s="910"/>
      <c r="AX25" s="891" t="s">
        <v>34</v>
      </c>
      <c r="AY25" s="891" t="s">
        <v>32</v>
      </c>
      <c r="AZ25" s="891" t="s">
        <v>1877</v>
      </c>
      <c r="BA25" s="891" t="s">
        <v>36</v>
      </c>
      <c r="BB25" s="891" t="s">
        <v>36</v>
      </c>
      <c r="BC25" s="891" t="s">
        <v>1877</v>
      </c>
      <c r="BF25" s="891" t="s">
        <v>32</v>
      </c>
      <c r="BG25" s="891" t="s">
        <v>36</v>
      </c>
      <c r="BH25" s="891" t="s">
        <v>2003</v>
      </c>
      <c r="BI25" s="891" t="s">
        <v>35</v>
      </c>
      <c r="BJ25" s="891" t="s">
        <v>35</v>
      </c>
      <c r="BK25" s="891" t="s">
        <v>34</v>
      </c>
      <c r="BN25" s="891" t="s">
        <v>1877</v>
      </c>
      <c r="BP25" s="891"/>
      <c r="BQ25" s="891"/>
      <c r="BR25" s="891"/>
      <c r="BS25" s="891"/>
      <c r="BT25" s="891"/>
      <c r="BU25" s="891"/>
      <c r="BV25" s="891"/>
      <c r="BW25" s="896"/>
      <c r="BX25" s="896"/>
      <c r="BY25" s="896"/>
      <c r="BZ25" s="896"/>
      <c r="CA25" s="896"/>
      <c r="CB25" s="896"/>
      <c r="CC25" s="896"/>
      <c r="CD25" s="896"/>
      <c r="CE25" s="896"/>
      <c r="CF25" s="896"/>
      <c r="CG25" s="896"/>
      <c r="CH25" s="428"/>
      <c r="CI25" s="428"/>
      <c r="CJ25" s="428"/>
      <c r="CK25" s="428"/>
      <c r="CL25" s="230" t="s">
        <v>32</v>
      </c>
      <c r="CM25" s="230" t="s">
        <v>32</v>
      </c>
      <c r="CN25" s="230" t="s">
        <v>32</v>
      </c>
      <c r="CO25" s="230" t="s">
        <v>32</v>
      </c>
      <c r="CP25" s="230" t="s">
        <v>32</v>
      </c>
      <c r="CQ25" s="230" t="s">
        <v>32</v>
      </c>
      <c r="CR25" s="230" t="s">
        <v>32</v>
      </c>
    </row>
    <row r="26" spans="1:118" ht="15">
      <c r="A26" s="882">
        <v>6287</v>
      </c>
      <c r="B26" s="884"/>
      <c r="C26" s="884"/>
      <c r="D26" s="884">
        <f ca="1">IF(I26=Table!$C$1,VLOOKUP(G26,Table!$B$38:$AO$61,Table!$AO$35-1,FALSE),"")</f>
        <v>0</v>
      </c>
      <c r="E26" s="884"/>
      <c r="F26" s="884">
        <f ca="1">IF(I26="","",IF(I26=Table!$C$1,VLOOKUP(G26,Table!$B$9:$AE$32,Table!$AE$6-1,FALSE),""))</f>
        <v>2</v>
      </c>
      <c r="G26" s="879" t="s">
        <v>886</v>
      </c>
      <c r="H26" s="879" t="s">
        <v>18</v>
      </c>
      <c r="I26" s="879" t="s">
        <v>891</v>
      </c>
      <c r="J26" s="846">
        <v>1</v>
      </c>
      <c r="K26" s="846">
        <v>2</v>
      </c>
      <c r="L26" s="816" t="str">
        <f t="shared" ref="L26:L29" si="30">IF(J26="","",IF(J26&gt;K26,"W",IF(J26=K26,"D",IF(J26&lt;K26,"L"))))</f>
        <v>L</v>
      </c>
      <c r="M26" s="816">
        <f t="shared" ref="M26:M29" si="31">IF(J26="","",J26+K26)</f>
        <v>3</v>
      </c>
      <c r="N26" s="816" t="str">
        <f t="shared" si="24"/>
        <v>O</v>
      </c>
      <c r="O26" s="816">
        <f t="shared" si="23"/>
        <v>0.25</v>
      </c>
      <c r="P26" s="829">
        <f t="shared" si="25"/>
        <v>-1</v>
      </c>
      <c r="Q26" s="830">
        <v>-0.15</v>
      </c>
      <c r="R26" s="871">
        <f t="shared" si="26"/>
        <v>-0.85</v>
      </c>
      <c r="S26" s="830">
        <v>2.04</v>
      </c>
      <c r="T26" s="871">
        <f t="shared" si="27"/>
        <v>0.96</v>
      </c>
      <c r="U26" s="868">
        <f t="shared" si="28"/>
        <v>0.94500000000000006</v>
      </c>
      <c r="V26" s="868">
        <f t="shared" si="29"/>
        <v>1.095</v>
      </c>
      <c r="W26" s="829">
        <v>13</v>
      </c>
      <c r="X26" s="829">
        <v>11</v>
      </c>
      <c r="Y26" s="829">
        <v>2</v>
      </c>
      <c r="Z26" s="829">
        <v>5</v>
      </c>
      <c r="AA26" s="829">
        <v>46</v>
      </c>
      <c r="AB26" s="829">
        <v>54</v>
      </c>
      <c r="AC26" s="829"/>
      <c r="AD26" s="816" t="str">
        <f t="array" ref="AD26">IF($J26="","",IF(SUM(IF(ISNUMBER(VALUE(RIGHT($AG26:$DZ26,1))),VALUE(RIGHT($AG26:$DZ26,1)),0))=$J26,"T","F"))</f>
        <v>T</v>
      </c>
      <c r="AE26" s="831">
        <f t="array" ref="AE26">IF($J26="","",SUM(IF(LEFT($AG26:$DZ26,1)="s",1,0))-SUM(IF(RIGHT(LEFT($AG26:$DZ26,2))="-",1,0)))</f>
        <v>0</v>
      </c>
      <c r="AF26" s="816">
        <f t="array" ref="AF26">IF($J26="","",SUM(IF(LEFT($AG26:$DZ26,1)="X",1,0)))</f>
        <v>11</v>
      </c>
      <c r="AG26" s="891" t="s">
        <v>32</v>
      </c>
      <c r="AH26" s="891"/>
      <c r="AI26" s="891" t="s">
        <v>34</v>
      </c>
      <c r="AJ26" s="891" t="s">
        <v>1877</v>
      </c>
      <c r="AK26" s="891" t="s">
        <v>1877</v>
      </c>
      <c r="AL26" s="891" t="s">
        <v>34</v>
      </c>
      <c r="AM26" s="891" t="s">
        <v>34</v>
      </c>
      <c r="AN26" s="891" t="s">
        <v>34</v>
      </c>
      <c r="AO26" s="891" t="s">
        <v>32</v>
      </c>
      <c r="AP26" s="891" t="s">
        <v>35</v>
      </c>
      <c r="AQ26" s="891" t="s">
        <v>32</v>
      </c>
      <c r="AR26" s="891" t="s">
        <v>32</v>
      </c>
      <c r="AS26" s="891"/>
      <c r="AT26" s="891" t="s">
        <v>34</v>
      </c>
      <c r="AU26" s="891" t="s">
        <v>34</v>
      </c>
      <c r="AV26" s="910"/>
      <c r="AW26" s="910"/>
      <c r="AX26" s="891" t="s">
        <v>34</v>
      </c>
      <c r="AY26" s="891" t="s">
        <v>1877</v>
      </c>
      <c r="AZ26" s="891" t="s">
        <v>32</v>
      </c>
      <c r="BA26" s="891" t="s">
        <v>36</v>
      </c>
      <c r="BB26" s="904" t="s">
        <v>36</v>
      </c>
      <c r="BC26" s="891" t="s">
        <v>32</v>
      </c>
      <c r="BF26" s="891" t="s">
        <v>1877</v>
      </c>
      <c r="BG26" s="891" t="s">
        <v>36</v>
      </c>
      <c r="BH26" s="891" t="s">
        <v>2003</v>
      </c>
      <c r="BI26" s="891" t="s">
        <v>35</v>
      </c>
      <c r="BJ26" s="891" t="s">
        <v>35</v>
      </c>
      <c r="BK26" s="891" t="s">
        <v>2097</v>
      </c>
      <c r="BN26" s="891" t="s">
        <v>32</v>
      </c>
      <c r="BP26" s="891"/>
      <c r="BQ26" s="891"/>
      <c r="BR26" s="891"/>
      <c r="BS26" s="891"/>
      <c r="BT26" s="891"/>
      <c r="BU26" s="891"/>
      <c r="BV26" s="891"/>
      <c r="BW26" s="896"/>
      <c r="BX26" s="896"/>
      <c r="BY26" s="896"/>
      <c r="BZ26" s="896"/>
      <c r="CA26" s="896"/>
      <c r="CB26" s="896"/>
      <c r="CC26" s="896"/>
      <c r="CD26" s="896"/>
      <c r="CE26" s="896"/>
      <c r="CF26" s="896"/>
      <c r="CG26" s="896"/>
      <c r="CH26" s="4"/>
      <c r="CI26" s="4"/>
      <c r="CJ26" s="4"/>
      <c r="CK26" s="4"/>
      <c r="CL26" s="4" t="s">
        <v>32</v>
      </c>
      <c r="CM26" s="4" t="s">
        <v>32</v>
      </c>
      <c r="CN26" s="4" t="s">
        <v>32</v>
      </c>
      <c r="CO26" s="6" t="s">
        <v>32</v>
      </c>
      <c r="CP26" s="6" t="s">
        <v>32</v>
      </c>
      <c r="CQ26" s="6" t="s">
        <v>32</v>
      </c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20"/>
    </row>
    <row r="27" spans="1:118" ht="15">
      <c r="A27" s="882">
        <v>6295</v>
      </c>
      <c r="B27" s="884"/>
      <c r="C27" s="884"/>
      <c r="D27" s="884">
        <f ca="1">IF(I27=Table!$C$1,VLOOKUP(G27,Table!$B$38:$AO$61,Table!$AO$35-1,FALSE),"")</f>
        <v>0</v>
      </c>
      <c r="E27" s="884"/>
      <c r="F27" s="884">
        <f ca="1">IF(I27="","",IF(I27=Table!$C$1,VLOOKUP(G27,Table!$B$9:$AE$32,Table!$AE$6-1,FALSE),""))</f>
        <v>16</v>
      </c>
      <c r="G27" s="879" t="s">
        <v>872</v>
      </c>
      <c r="H27" s="879" t="s">
        <v>22</v>
      </c>
      <c r="I27" s="879" t="s">
        <v>891</v>
      </c>
      <c r="J27" s="846">
        <v>2</v>
      </c>
      <c r="K27" s="846">
        <v>2</v>
      </c>
      <c r="L27" s="816" t="str">
        <f t="shared" si="30"/>
        <v>D</v>
      </c>
      <c r="M27" s="816">
        <f t="shared" si="31"/>
        <v>4</v>
      </c>
      <c r="N27" s="816" t="str">
        <f t="shared" si="24"/>
        <v>O</v>
      </c>
      <c r="O27" s="816">
        <f t="shared" si="23"/>
        <v>0.25</v>
      </c>
      <c r="P27" s="829">
        <f t="shared" si="25"/>
        <v>0.5</v>
      </c>
      <c r="Q27" s="830">
        <v>-0.2</v>
      </c>
      <c r="R27" s="871">
        <f t="shared" si="26"/>
        <v>0.2</v>
      </c>
      <c r="S27" s="830">
        <v>2.2000000000000002</v>
      </c>
      <c r="T27" s="871">
        <f t="shared" si="27"/>
        <v>1.7999999999999998</v>
      </c>
      <c r="U27" s="868">
        <f t="shared" si="28"/>
        <v>1</v>
      </c>
      <c r="V27" s="868">
        <f t="shared" si="29"/>
        <v>1.2000000000000002</v>
      </c>
      <c r="W27" s="829">
        <v>13</v>
      </c>
      <c r="X27" s="829">
        <v>15</v>
      </c>
      <c r="Y27" s="829">
        <v>6</v>
      </c>
      <c r="Z27" s="829">
        <v>8</v>
      </c>
      <c r="AA27" s="829">
        <v>49</v>
      </c>
      <c r="AB27" s="829">
        <v>51</v>
      </c>
      <c r="AC27" s="829"/>
      <c r="AD27" s="816" t="str">
        <f t="array" ref="AD27">IF($J27="","",IF(SUM(IF(ISNUMBER(VALUE(RIGHT($AG27:$DZ27,1))),VALUE(RIGHT($AG27:$DZ27,1)),0))=$J27,"T","F"))</f>
        <v>T</v>
      </c>
      <c r="AE27" s="831">
        <f t="array" ref="AE27">IF($J27="","",SUM(IF(LEFT($AG27:$DZ27,1)="s",1,0))-SUM(IF(RIGHT(LEFT($AG27:$DZ27,2))="-",1,0)))</f>
        <v>0</v>
      </c>
      <c r="AF27" s="816">
        <f t="array" ref="AF27">IF($J27="","",SUM(IF(LEFT($AG27:$DZ27,1)="X",1,0)))</f>
        <v>11</v>
      </c>
      <c r="AG27" s="891"/>
      <c r="AH27" s="891"/>
      <c r="AI27" s="891" t="s">
        <v>34</v>
      </c>
      <c r="AJ27" s="891" t="s">
        <v>1877</v>
      </c>
      <c r="AK27" s="891" t="s">
        <v>1877</v>
      </c>
      <c r="AL27" s="891" t="s">
        <v>34</v>
      </c>
      <c r="AM27" s="891" t="s">
        <v>34</v>
      </c>
      <c r="AN27" s="891" t="s">
        <v>35</v>
      </c>
      <c r="AO27" s="891" t="s">
        <v>32</v>
      </c>
      <c r="AP27" s="891" t="s">
        <v>34</v>
      </c>
      <c r="AQ27" s="891" t="s">
        <v>32</v>
      </c>
      <c r="AR27" s="891" t="s">
        <v>32</v>
      </c>
      <c r="AS27" s="891"/>
      <c r="AT27" s="891" t="s">
        <v>36</v>
      </c>
      <c r="AU27" s="891" t="s">
        <v>34</v>
      </c>
      <c r="AV27" s="910"/>
      <c r="AW27" s="910"/>
      <c r="AX27" s="891" t="s">
        <v>34</v>
      </c>
      <c r="AY27" s="891" t="s">
        <v>1877</v>
      </c>
      <c r="AZ27" s="891" t="s">
        <v>32</v>
      </c>
      <c r="BA27" s="891" t="s">
        <v>35</v>
      </c>
      <c r="BB27" s="891" t="s">
        <v>36</v>
      </c>
      <c r="BC27" s="891" t="s">
        <v>32</v>
      </c>
      <c r="BF27" s="891" t="s">
        <v>32</v>
      </c>
      <c r="BG27" s="891" t="s">
        <v>1877</v>
      </c>
      <c r="BH27" s="891" t="s">
        <v>36</v>
      </c>
      <c r="BI27" s="891" t="s">
        <v>2146</v>
      </c>
      <c r="BJ27" s="891" t="s">
        <v>35</v>
      </c>
      <c r="BK27" s="891" t="s">
        <v>2147</v>
      </c>
      <c r="BN27" s="891" t="s">
        <v>32</v>
      </c>
      <c r="BP27" s="891"/>
      <c r="BQ27" s="891"/>
      <c r="BR27" s="891"/>
      <c r="BS27" s="891"/>
      <c r="BT27" s="891"/>
      <c r="BU27" s="891"/>
      <c r="BV27" s="891"/>
      <c r="BW27" s="896"/>
      <c r="BX27" s="896"/>
      <c r="BY27" s="896"/>
      <c r="BZ27" s="896"/>
      <c r="CA27" s="896"/>
      <c r="CB27" s="896"/>
      <c r="CC27" s="896"/>
      <c r="CD27" s="896"/>
      <c r="CE27" s="896"/>
      <c r="CF27" s="896"/>
      <c r="CG27" s="896"/>
      <c r="CH27" s="865"/>
      <c r="CI27" s="865"/>
      <c r="CJ27" s="865"/>
      <c r="CK27" s="865"/>
      <c r="CL27" s="865" t="s">
        <v>32</v>
      </c>
      <c r="CM27" s="865" t="s">
        <v>32</v>
      </c>
      <c r="CN27" s="865" t="s">
        <v>32</v>
      </c>
      <c r="CO27" s="4" t="s">
        <v>32</v>
      </c>
      <c r="CP27" s="6" t="s">
        <v>32</v>
      </c>
      <c r="CQ27" s="6" t="s">
        <v>32</v>
      </c>
      <c r="CR27" s="6" t="s">
        <v>32</v>
      </c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</row>
    <row r="28" spans="1:118" ht="15">
      <c r="A28" s="882">
        <v>6302</v>
      </c>
      <c r="B28" s="884"/>
      <c r="C28" s="884"/>
      <c r="D28" s="884">
        <f ca="1">IF(I28=Table!$C$1,VLOOKUP(G28,Table!$B$38:$AO$61,Table!$AO$35-1,FALSE),"")</f>
        <v>0</v>
      </c>
      <c r="E28" s="884"/>
      <c r="F28" s="884">
        <f ca="1">IF(I28="","",IF(I28=Table!$C$1,VLOOKUP(G28,Table!$B$9:$AE$32,Table!$AE$6-1,FALSE),""))</f>
        <v>22</v>
      </c>
      <c r="G28" s="879" t="s">
        <v>1087</v>
      </c>
      <c r="H28" s="879" t="s">
        <v>22</v>
      </c>
      <c r="I28" s="879" t="s">
        <v>891</v>
      </c>
      <c r="J28" s="846">
        <v>2</v>
      </c>
      <c r="K28" s="846">
        <v>0</v>
      </c>
      <c r="L28" s="816" t="str">
        <f t="shared" si="30"/>
        <v>W</v>
      </c>
      <c r="M28" s="816">
        <f t="shared" si="31"/>
        <v>2</v>
      </c>
      <c r="N28" s="816" t="str">
        <f t="shared" si="24"/>
        <v>U</v>
      </c>
      <c r="O28" s="816">
        <f t="shared" si="23"/>
        <v>-0.25</v>
      </c>
      <c r="P28" s="829">
        <f t="shared" si="25"/>
        <v>1</v>
      </c>
      <c r="Q28" s="830">
        <v>0.39</v>
      </c>
      <c r="R28" s="871">
        <f t="shared" si="26"/>
        <v>1.6099999999999999</v>
      </c>
      <c r="S28" s="830">
        <v>2.27</v>
      </c>
      <c r="T28" s="871">
        <f t="shared" si="27"/>
        <v>-0.27</v>
      </c>
      <c r="U28" s="868">
        <f t="shared" si="28"/>
        <v>1.33</v>
      </c>
      <c r="V28" s="868">
        <f t="shared" si="29"/>
        <v>0.94</v>
      </c>
      <c r="W28" s="829">
        <v>18</v>
      </c>
      <c r="X28" s="829">
        <v>10</v>
      </c>
      <c r="Y28" s="829">
        <v>2</v>
      </c>
      <c r="Z28" s="829">
        <v>5</v>
      </c>
      <c r="AA28" s="829">
        <v>39</v>
      </c>
      <c r="AB28" s="829">
        <v>61</v>
      </c>
      <c r="AC28" s="829"/>
      <c r="AD28" s="816" t="str">
        <f t="array" ref="AD28">IF($J28="","",IF(SUM(IF(ISNUMBER(VALUE(RIGHT($AG28:$DZ28,1))),VALUE(RIGHT($AG28:$DZ28,1)),0))=$J28,"T","F"))</f>
        <v>T</v>
      </c>
      <c r="AE28" s="831">
        <f t="array" ref="AE28">IF($J28="","",SUM(IF(LEFT($AG28:$DZ28,1)="s",1,0))-SUM(IF(RIGHT(LEFT($AG28:$DZ28,2))="-",1,0)))</f>
        <v>0</v>
      </c>
      <c r="AF28" s="816">
        <f t="array" ref="AF28">IF($J28="","",SUM(IF(LEFT($AG28:$DZ28,1)="X",1,0)))</f>
        <v>11</v>
      </c>
      <c r="AG28" s="891" t="s">
        <v>32</v>
      </c>
      <c r="AH28" s="891"/>
      <c r="AI28" s="891" t="s">
        <v>34</v>
      </c>
      <c r="AJ28" s="891" t="s">
        <v>1877</v>
      </c>
      <c r="AK28" s="891" t="s">
        <v>32</v>
      </c>
      <c r="AL28" s="891" t="s">
        <v>34</v>
      </c>
      <c r="AM28" s="891" t="s">
        <v>34</v>
      </c>
      <c r="AN28" s="891" t="s">
        <v>1877</v>
      </c>
      <c r="AO28" s="891" t="s">
        <v>32</v>
      </c>
      <c r="AP28" s="904" t="s">
        <v>34</v>
      </c>
      <c r="AQ28" s="891" t="s">
        <v>1877</v>
      </c>
      <c r="AR28" s="891" t="s">
        <v>32</v>
      </c>
      <c r="AS28" s="891"/>
      <c r="AT28" s="891" t="s">
        <v>34</v>
      </c>
      <c r="AU28" s="891" t="s">
        <v>34</v>
      </c>
      <c r="AV28" s="910"/>
      <c r="AW28" s="910"/>
      <c r="AX28" s="891" t="s">
        <v>34</v>
      </c>
      <c r="AY28" s="891" t="s">
        <v>32</v>
      </c>
      <c r="AZ28" s="891" t="s">
        <v>1877</v>
      </c>
      <c r="BA28" s="891" t="s">
        <v>34</v>
      </c>
      <c r="BB28" s="891" t="s">
        <v>36</v>
      </c>
      <c r="BC28" s="891" t="s">
        <v>32</v>
      </c>
      <c r="BF28" s="891" t="s">
        <v>32</v>
      </c>
      <c r="BG28" s="891" t="s">
        <v>36</v>
      </c>
      <c r="BH28" s="891" t="s">
        <v>36</v>
      </c>
      <c r="BI28" s="891" t="s">
        <v>2169</v>
      </c>
      <c r="BJ28" s="904" t="s">
        <v>35</v>
      </c>
      <c r="BK28" s="891" t="s">
        <v>35</v>
      </c>
      <c r="BN28" s="891" t="s">
        <v>32</v>
      </c>
      <c r="BP28" s="891"/>
      <c r="BQ28" s="891"/>
      <c r="BR28" s="891"/>
      <c r="BS28" s="891"/>
      <c r="BT28" s="891"/>
      <c r="BU28" s="891"/>
      <c r="BV28" s="891"/>
      <c r="BW28" s="896"/>
      <c r="BX28" s="896"/>
      <c r="BY28" s="896"/>
      <c r="BZ28" s="896"/>
      <c r="CA28" s="896"/>
      <c r="CB28" s="896"/>
      <c r="CC28" s="896"/>
      <c r="CD28" s="896"/>
      <c r="CE28" s="896"/>
      <c r="CF28" s="896"/>
      <c r="CG28" s="896"/>
      <c r="CH28" s="4"/>
      <c r="CI28" s="4"/>
      <c r="CJ28" s="4"/>
      <c r="CK28" s="4"/>
      <c r="CL28" s="4" t="s">
        <v>32</v>
      </c>
      <c r="CM28" s="4" t="s">
        <v>32</v>
      </c>
      <c r="CN28" s="4" t="s">
        <v>32</v>
      </c>
      <c r="CO28" s="4" t="s">
        <v>32</v>
      </c>
      <c r="CP28" s="6" t="s">
        <v>32</v>
      </c>
      <c r="CQ28" s="6" t="s">
        <v>32</v>
      </c>
      <c r="CR28" s="6" t="s">
        <v>32</v>
      </c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</row>
    <row r="29" spans="1:118" ht="15">
      <c r="A29" s="882">
        <v>6308</v>
      </c>
      <c r="B29" s="884"/>
      <c r="C29" s="884"/>
      <c r="D29" s="884">
        <f ca="1">IF(I29=Table!$C$1,VLOOKUP(G29,Table!$B$38:$AO$61,Table!$AO$35-1,FALSE),"")</f>
        <v>0</v>
      </c>
      <c r="E29" s="884"/>
      <c r="F29" s="884">
        <f ca="1">IF(I29="","",IF(I29=Table!$C$1,VLOOKUP(G29,Table!$B$9:$AE$32,Table!$AE$6-1,FALSE),""))</f>
        <v>13</v>
      </c>
      <c r="G29" s="879" t="s">
        <v>884</v>
      </c>
      <c r="H29" s="879" t="s">
        <v>18</v>
      </c>
      <c r="I29" s="879" t="s">
        <v>891</v>
      </c>
      <c r="J29" s="846">
        <v>1</v>
      </c>
      <c r="K29" s="846">
        <v>0</v>
      </c>
      <c r="L29" s="816" t="str">
        <f t="shared" si="30"/>
        <v>W</v>
      </c>
      <c r="M29" s="816">
        <f t="shared" si="31"/>
        <v>1</v>
      </c>
      <c r="N29" s="816" t="str">
        <f t="shared" si="24"/>
        <v>U</v>
      </c>
      <c r="O29" s="816">
        <f t="shared" si="23"/>
        <v>0</v>
      </c>
      <c r="P29" s="829">
        <f t="shared" si="25"/>
        <v>1</v>
      </c>
      <c r="Q29" s="830">
        <v>-0.08</v>
      </c>
      <c r="R29" s="871">
        <f t="shared" si="26"/>
        <v>1.08</v>
      </c>
      <c r="S29" s="830">
        <v>2.1800000000000002</v>
      </c>
      <c r="T29" s="871">
        <f t="shared" si="27"/>
        <v>-1.1800000000000002</v>
      </c>
      <c r="U29" s="868">
        <f t="shared" si="28"/>
        <v>1.05</v>
      </c>
      <c r="V29" s="868">
        <f t="shared" si="29"/>
        <v>1.1300000000000001</v>
      </c>
      <c r="W29" s="829">
        <v>10</v>
      </c>
      <c r="X29" s="829">
        <v>10</v>
      </c>
      <c r="Y29" s="829">
        <v>6</v>
      </c>
      <c r="Z29" s="829">
        <v>1</v>
      </c>
      <c r="AA29" s="829">
        <v>49</v>
      </c>
      <c r="AB29" s="829">
        <v>51</v>
      </c>
      <c r="AC29" s="829"/>
      <c r="AD29" s="816" t="str">
        <f t="array" ref="AD29">IF($J29="","",IF(SUM(IF(ISNUMBER(VALUE(RIGHT($AG29:$DZ29,1))),VALUE(RIGHT($AG29:$DZ29,1)),0))=$J29,"T","F"))</f>
        <v>T</v>
      </c>
      <c r="AE29" s="831">
        <f t="array" ref="AE29">IF($J29="","",SUM(IF(LEFT($AG29:$DZ29,1)="s",1,0))-SUM(IF(RIGHT(LEFT($AG29:$DZ29,2))="-",1,0)))</f>
        <v>0</v>
      </c>
      <c r="AF29" s="816">
        <f t="array" ref="AF29">IF($J29="","",SUM(IF(LEFT($AG29:$DZ29,1)="X",1,0)))</f>
        <v>11</v>
      </c>
      <c r="AG29" s="891" t="s">
        <v>1877</v>
      </c>
      <c r="AH29" s="891"/>
      <c r="AI29" s="891" t="s">
        <v>34</v>
      </c>
      <c r="AJ29" s="891" t="s">
        <v>32</v>
      </c>
      <c r="AK29" s="891" t="s">
        <v>32</v>
      </c>
      <c r="AL29" s="891" t="s">
        <v>34</v>
      </c>
      <c r="AM29" s="891" t="s">
        <v>34</v>
      </c>
      <c r="AN29" s="891" t="s">
        <v>1877</v>
      </c>
      <c r="AO29" s="891" t="s">
        <v>32</v>
      </c>
      <c r="AP29" s="891" t="s">
        <v>34</v>
      </c>
      <c r="AQ29" s="891" t="s">
        <v>1877</v>
      </c>
      <c r="AR29" s="891" t="s">
        <v>32</v>
      </c>
      <c r="AS29" s="891"/>
      <c r="AT29" s="891" t="s">
        <v>2188</v>
      </c>
      <c r="AU29" s="891" t="s">
        <v>34</v>
      </c>
      <c r="AV29" s="910"/>
      <c r="AW29" s="910"/>
      <c r="AX29" s="891" t="s">
        <v>34</v>
      </c>
      <c r="AY29" s="891" t="s">
        <v>32</v>
      </c>
      <c r="AZ29" s="891" t="s">
        <v>1877</v>
      </c>
      <c r="BA29" s="891" t="s">
        <v>34</v>
      </c>
      <c r="BB29" s="891" t="s">
        <v>32</v>
      </c>
      <c r="BC29" s="891" t="s">
        <v>32</v>
      </c>
      <c r="BF29" s="891" t="s">
        <v>1877</v>
      </c>
      <c r="BG29" s="891" t="s">
        <v>36</v>
      </c>
      <c r="BH29" s="891" t="s">
        <v>36</v>
      </c>
      <c r="BI29" s="891" t="s">
        <v>34</v>
      </c>
      <c r="BJ29" s="891" t="s">
        <v>35</v>
      </c>
      <c r="BK29" s="891" t="s">
        <v>35</v>
      </c>
      <c r="BN29" s="891" t="s">
        <v>32</v>
      </c>
      <c r="BP29" s="891"/>
      <c r="BQ29" s="891"/>
      <c r="BR29" s="891"/>
      <c r="BS29" s="891"/>
      <c r="BT29" s="891"/>
      <c r="BU29" s="891"/>
      <c r="BV29" s="891"/>
      <c r="BW29" s="896"/>
      <c r="BX29" s="896"/>
      <c r="BY29" s="896"/>
      <c r="BZ29" s="896"/>
      <c r="CA29" s="896"/>
      <c r="CB29" s="896"/>
      <c r="CC29" s="896"/>
      <c r="CD29" s="896"/>
      <c r="CE29" s="896"/>
      <c r="CF29" s="896"/>
      <c r="CG29" s="891"/>
      <c r="CH29" s="4"/>
      <c r="CI29" s="4"/>
      <c r="CJ29" s="4"/>
      <c r="CK29" s="4"/>
      <c r="CL29" s="4" t="s">
        <v>32</v>
      </c>
      <c r="CM29" s="4" t="s">
        <v>32</v>
      </c>
      <c r="CN29" s="4" t="s">
        <v>32</v>
      </c>
      <c r="CO29" s="4" t="s">
        <v>32</v>
      </c>
      <c r="CP29" s="6" t="s">
        <v>32</v>
      </c>
      <c r="CQ29" s="6" t="s">
        <v>32</v>
      </c>
      <c r="CR29" s="6" t="s">
        <v>32</v>
      </c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</row>
    <row r="30" spans="1:118" ht="15">
      <c r="A30" s="882">
        <v>6315</v>
      </c>
      <c r="B30" s="884"/>
      <c r="C30" s="884"/>
      <c r="D30" s="884">
        <f ca="1">IF(I30=Table!$C$1,VLOOKUP(G30,Table!$B$38:$AO$61,Table!$AO$35-1,FALSE),"")</f>
        <v>0</v>
      </c>
      <c r="E30" s="884"/>
      <c r="F30" s="884">
        <f ca="1">IF(I30="","",IF(I30=Table!$C$1,VLOOKUP(G30,Table!$B$9:$AE$32,Table!$AE$6-1,FALSE),""))</f>
        <v>9</v>
      </c>
      <c r="G30" s="879" t="s">
        <v>1083</v>
      </c>
      <c r="H30" s="879" t="s">
        <v>18</v>
      </c>
      <c r="I30" s="879" t="s">
        <v>891</v>
      </c>
      <c r="J30" s="846">
        <v>0</v>
      </c>
      <c r="K30" s="846">
        <v>1</v>
      </c>
      <c r="L30" s="816" t="str">
        <f>IF(J30="","",IF(J30&gt;K30,"W",IF(J30=K30,"D",IF(J30&lt;K30,"L"))))</f>
        <v>L</v>
      </c>
      <c r="M30" s="816">
        <f>IF(J30="","",J30+K30)</f>
        <v>1</v>
      </c>
      <c r="N30" s="816" t="str">
        <f>IF($J30="","",IF($M30&gt;N$19,"O",IF($M30&lt;N$19,"U",IF($M30=N$19,"-"))))</f>
        <v>U</v>
      </c>
      <c r="O30" s="816">
        <f t="shared" si="23"/>
        <v>0.25</v>
      </c>
      <c r="P30" s="829">
        <f t="shared" si="25"/>
        <v>-1</v>
      </c>
      <c r="Q30" s="830">
        <v>-0.25</v>
      </c>
      <c r="R30" s="871">
        <f>IF(ISBLANK(Q30),"",J30-K30-Q30)</f>
        <v>-0.75</v>
      </c>
      <c r="S30" s="830">
        <v>2.13</v>
      </c>
      <c r="T30" s="871">
        <f t="shared" si="27"/>
        <v>-1.1299999999999999</v>
      </c>
      <c r="U30" s="868">
        <f t="shared" si="28"/>
        <v>0.94</v>
      </c>
      <c r="V30" s="868">
        <f t="shared" si="29"/>
        <v>1.19</v>
      </c>
      <c r="W30" s="829">
        <v>9</v>
      </c>
      <c r="X30" s="829">
        <v>14</v>
      </c>
      <c r="Y30" s="829">
        <v>2</v>
      </c>
      <c r="Z30" s="829">
        <v>5</v>
      </c>
      <c r="AA30" s="829">
        <v>34</v>
      </c>
      <c r="AB30" s="829">
        <v>66</v>
      </c>
      <c r="AC30" s="829"/>
      <c r="AD30" s="816" t="str">
        <f t="array" ref="AD30">IF($J30="","",IF(SUM(IF(ISNUMBER(VALUE(RIGHT($AG30:$DZ30,1))),VALUE(RIGHT($AG30:$DZ30,1)),0))=$J30,"T","F"))</f>
        <v>T</v>
      </c>
      <c r="AE30" s="831">
        <f t="array" ref="AE30">IF($J30="","",SUM(IF(LEFT($AG30:$DZ30,1)="s",1,0))-SUM(IF(RIGHT(LEFT($AG30:$DZ30,2))="-",1,0)))</f>
        <v>0</v>
      </c>
      <c r="AF30" s="816">
        <f t="array" ref="AF30">IF($J30="","",SUM(IF(LEFT($AG30:$DZ30,1)="X",1,0)))</f>
        <v>11</v>
      </c>
      <c r="AG30" s="891" t="s">
        <v>1877</v>
      </c>
      <c r="AH30" s="891"/>
      <c r="AI30" s="891" t="s">
        <v>34</v>
      </c>
      <c r="AJ30" s="891" t="s">
        <v>32</v>
      </c>
      <c r="AK30" s="891" t="s">
        <v>32</v>
      </c>
      <c r="AL30" s="891" t="s">
        <v>34</v>
      </c>
      <c r="AM30" s="904" t="s">
        <v>34</v>
      </c>
      <c r="AN30" s="891" t="s">
        <v>1877</v>
      </c>
      <c r="AO30" s="891" t="s">
        <v>32</v>
      </c>
      <c r="AP30" s="891" t="s">
        <v>34</v>
      </c>
      <c r="AQ30" s="891" t="s">
        <v>1877</v>
      </c>
      <c r="AR30" s="891" t="s">
        <v>32</v>
      </c>
      <c r="AS30" s="891"/>
      <c r="AT30" s="891" t="s">
        <v>34</v>
      </c>
      <c r="AU30" s="891" t="s">
        <v>34</v>
      </c>
      <c r="AV30" s="910"/>
      <c r="AW30" s="910"/>
      <c r="AX30" s="904" t="s">
        <v>34</v>
      </c>
      <c r="AY30" s="891" t="s">
        <v>32</v>
      </c>
      <c r="AZ30" s="891" t="s">
        <v>1877</v>
      </c>
      <c r="BA30" s="891" t="s">
        <v>34</v>
      </c>
      <c r="BB30" s="891" t="s">
        <v>36</v>
      </c>
      <c r="BC30" s="891" t="s">
        <v>32</v>
      </c>
      <c r="BD30" s="891" t="s">
        <v>32</v>
      </c>
      <c r="BE30" s="891" t="s">
        <v>32</v>
      </c>
      <c r="BF30" s="891" t="s">
        <v>36</v>
      </c>
      <c r="BG30" s="891" t="s">
        <v>36</v>
      </c>
      <c r="BH30" s="891" t="s">
        <v>32</v>
      </c>
      <c r="BI30" s="891" t="s">
        <v>35</v>
      </c>
      <c r="BJ30" s="904" t="s">
        <v>35</v>
      </c>
      <c r="BK30" s="891" t="s">
        <v>35</v>
      </c>
      <c r="BL30" s="891"/>
      <c r="BM30" s="891"/>
      <c r="BN30" s="891" t="s">
        <v>32</v>
      </c>
      <c r="BO30" s="891"/>
      <c r="BP30" s="891"/>
      <c r="BQ30" s="891"/>
      <c r="BR30" s="891"/>
      <c r="BS30" s="891"/>
      <c r="BT30" s="891"/>
      <c r="BU30" s="891"/>
      <c r="BV30" s="891"/>
      <c r="BW30" s="896"/>
      <c r="BX30" s="896"/>
      <c r="BY30" s="896"/>
      <c r="BZ30" s="896"/>
      <c r="CA30" s="896"/>
      <c r="CB30" s="896"/>
      <c r="CC30" s="896"/>
      <c r="CD30" s="896"/>
      <c r="CE30" s="896"/>
      <c r="CF30" s="896"/>
      <c r="CG30" s="896"/>
      <c r="CH30" s="428"/>
      <c r="CI30" s="428"/>
      <c r="CJ30" s="428"/>
      <c r="CK30" s="428"/>
      <c r="CL30" s="230" t="s">
        <v>32</v>
      </c>
      <c r="CM30" s="230" t="s">
        <v>32</v>
      </c>
      <c r="CN30" s="230" t="s">
        <v>32</v>
      </c>
      <c r="CO30" s="230" t="s">
        <v>32</v>
      </c>
      <c r="CP30" s="230" t="s">
        <v>32</v>
      </c>
      <c r="CQ30" s="230" t="s">
        <v>32</v>
      </c>
      <c r="CR30" s="230" t="s">
        <v>32</v>
      </c>
    </row>
    <row r="31" spans="1:118" ht="15">
      <c r="A31" s="882">
        <v>6323</v>
      </c>
      <c r="B31" s="884"/>
      <c r="C31" s="884"/>
      <c r="D31" s="884">
        <f ca="1">IF(I31=Table!$C$1,VLOOKUP(G31,Table!$B$38:$AO$61,Table!$AO$35-1,FALSE),"")</f>
        <v>0</v>
      </c>
      <c r="E31" s="884"/>
      <c r="F31" s="884">
        <f ca="1">IF(I31="","",IF(I31=Table!$C$1,VLOOKUP(G31,Table!$B$9:$AE$32,Table!$AE$6-1,FALSE),""))</f>
        <v>21</v>
      </c>
      <c r="G31" s="879" t="s">
        <v>890</v>
      </c>
      <c r="H31" s="879" t="s">
        <v>22</v>
      </c>
      <c r="I31" s="879" t="s">
        <v>891</v>
      </c>
      <c r="J31" s="846">
        <v>0</v>
      </c>
      <c r="K31" s="846">
        <v>2</v>
      </c>
      <c r="L31" s="816" t="str">
        <f>IF(J31="","",IF(J31&gt;K31,"W",IF(J31=K31,"D",IF(J31&lt;K31,"L"))))</f>
        <v>L</v>
      </c>
      <c r="M31" s="816">
        <f>IF(J31="","",J31+K31)</f>
        <v>2</v>
      </c>
      <c r="N31" s="816" t="str">
        <f>IF($J31="","",IF($M31&gt;N$19,"O",IF($M31&lt;N$19,"U",IF($M31=N$19,"-"))))</f>
        <v>U</v>
      </c>
      <c r="O31" s="816">
        <f t="shared" si="23"/>
        <v>-0.25</v>
      </c>
      <c r="P31" s="829">
        <f t="shared" si="25"/>
        <v>-1</v>
      </c>
      <c r="Q31" s="830">
        <v>0.24</v>
      </c>
      <c r="R31" s="871">
        <f>IF(ISBLANK(Q31),"",J31-K31-Q31)</f>
        <v>-2.2400000000000002</v>
      </c>
      <c r="S31" s="830">
        <v>2.12</v>
      </c>
      <c r="T31" s="871">
        <f t="shared" si="27"/>
        <v>-0.12000000000000011</v>
      </c>
      <c r="U31" s="868">
        <f t="shared" si="28"/>
        <v>1.1800000000000002</v>
      </c>
      <c r="V31" s="868">
        <f t="shared" si="29"/>
        <v>0.94</v>
      </c>
      <c r="W31" s="829">
        <v>18</v>
      </c>
      <c r="X31" s="829">
        <v>13</v>
      </c>
      <c r="Y31" s="829">
        <v>2</v>
      </c>
      <c r="Z31" s="829">
        <v>4</v>
      </c>
      <c r="AA31" s="829">
        <v>50</v>
      </c>
      <c r="AB31" s="829">
        <v>50</v>
      </c>
      <c r="AC31" s="829"/>
      <c r="AD31" s="816" t="str">
        <f t="array" ref="AD31">IF($J31="","",IF(SUM(IF(ISNUMBER(VALUE(RIGHT($AG31:$DZ31,1))),VALUE(RIGHT($AG31:$DZ31,1)),0))=$J31,"T","F"))</f>
        <v>T</v>
      </c>
      <c r="AE31" s="831">
        <f t="array" ref="AE31">IF($J31="","",SUM(IF(LEFT($AG31:$DZ31,1)="s",1,0))-SUM(IF(RIGHT(LEFT($AG31:$DZ31,2))="-",1,0)))</f>
        <v>0</v>
      </c>
      <c r="AF31" s="816">
        <f t="array" ref="AF31">IF($J31="","",SUM(IF(LEFT($AG31:$DZ31,1)="X",1,0)))</f>
        <v>11</v>
      </c>
      <c r="AG31" s="891" t="s">
        <v>32</v>
      </c>
      <c r="AH31" s="891"/>
      <c r="AI31" s="891" t="s">
        <v>34</v>
      </c>
      <c r="AJ31" s="891" t="s">
        <v>1877</v>
      </c>
      <c r="AK31" s="891" t="s">
        <v>1877</v>
      </c>
      <c r="AL31" s="891" t="s">
        <v>34</v>
      </c>
      <c r="AM31" s="891" t="s">
        <v>35</v>
      </c>
      <c r="AN31" s="891" t="s">
        <v>1877</v>
      </c>
      <c r="AO31" s="891" t="s">
        <v>32</v>
      </c>
      <c r="AP31" s="891" t="s">
        <v>34</v>
      </c>
      <c r="AQ31" s="891" t="s">
        <v>32</v>
      </c>
      <c r="AR31" s="891" t="s">
        <v>32</v>
      </c>
      <c r="AS31" s="891"/>
      <c r="AT31" s="891" t="s">
        <v>34</v>
      </c>
      <c r="AU31" s="891" t="s">
        <v>34</v>
      </c>
      <c r="AV31" s="910"/>
      <c r="AW31" s="910"/>
      <c r="AX31" s="891" t="s">
        <v>34</v>
      </c>
      <c r="AY31" s="891" t="s">
        <v>32</v>
      </c>
      <c r="AZ31" s="891" t="s">
        <v>32</v>
      </c>
      <c r="BA31" s="891" t="s">
        <v>34</v>
      </c>
      <c r="BB31" s="891" t="s">
        <v>36</v>
      </c>
      <c r="BC31" s="891" t="s">
        <v>32</v>
      </c>
      <c r="BD31" s="891" t="s">
        <v>32</v>
      </c>
      <c r="BE31" s="891" t="s">
        <v>32</v>
      </c>
      <c r="BF31" s="891" t="s">
        <v>36</v>
      </c>
      <c r="BG31" s="891" t="s">
        <v>1877</v>
      </c>
      <c r="BH31" s="891" t="s">
        <v>36</v>
      </c>
      <c r="BI31" s="891" t="s">
        <v>35</v>
      </c>
      <c r="BJ31" s="891" t="s">
        <v>35</v>
      </c>
      <c r="BK31" s="891" t="s">
        <v>34</v>
      </c>
      <c r="BL31" s="891"/>
      <c r="BM31" s="891"/>
      <c r="BN31" s="891" t="s">
        <v>32</v>
      </c>
      <c r="BO31" s="891"/>
      <c r="BP31" s="891"/>
      <c r="BQ31" s="891"/>
      <c r="BR31" s="891"/>
      <c r="BS31" s="891"/>
      <c r="BT31" s="896"/>
      <c r="BU31" s="896"/>
      <c r="BV31" s="891"/>
      <c r="BW31" s="896"/>
      <c r="BX31" s="896"/>
      <c r="BY31" s="896"/>
      <c r="BZ31" s="896"/>
      <c r="CA31" s="896"/>
      <c r="CB31" s="896"/>
      <c r="CC31" s="896"/>
      <c r="CD31" s="896"/>
      <c r="CE31" s="896"/>
      <c r="CF31" s="896"/>
      <c r="CG31" s="896"/>
      <c r="CH31" s="428"/>
      <c r="CI31" s="428"/>
      <c r="CJ31" s="428"/>
      <c r="CK31" s="428"/>
    </row>
    <row r="32" spans="1:118" ht="15">
      <c r="A32" s="882">
        <v>6329</v>
      </c>
      <c r="B32" s="884"/>
      <c r="C32" s="884"/>
      <c r="D32" s="884">
        <f ca="1">IF(I32=Table!$C$1,VLOOKUP(G32,Table!$B$38:$AO$61,Table!$AO$35-1,FALSE),"")</f>
        <v>0</v>
      </c>
      <c r="E32" s="884"/>
      <c r="F32" s="884">
        <f ca="1">IF(I32="","",IF(I32=Table!$C$1,VLOOKUP(G32,Table!$B$9:$AE$32,Table!$AE$6-1,FALSE),""))</f>
        <v>18</v>
      </c>
      <c r="G32" s="879" t="s">
        <v>887</v>
      </c>
      <c r="H32" s="879" t="s">
        <v>18</v>
      </c>
      <c r="I32" s="879" t="s">
        <v>891</v>
      </c>
      <c r="J32" s="846">
        <v>0</v>
      </c>
      <c r="K32" s="846">
        <v>1</v>
      </c>
      <c r="L32" s="816" t="str">
        <f t="shared" ref="L32:L66" si="32">IF(J32="","",IF(J32&gt;K32,"W",IF(J32=K32,"D",IF(J32&lt;K32,"L"))))</f>
        <v>L</v>
      </c>
      <c r="M32" s="816">
        <f t="shared" ref="M32:M66" si="33">IF(J32="","",J32+K32)</f>
        <v>1</v>
      </c>
      <c r="N32" s="816" t="str">
        <f t="shared" ref="N32:N66" si="34">IF($J32="","",IF($M32&gt;N$19,"O",IF($M32&lt;N$19,"U",IF($M32=N$19,"-"))))</f>
        <v>U</v>
      </c>
      <c r="O32" s="816">
        <f t="shared" si="23"/>
        <v>0.25</v>
      </c>
      <c r="P32" s="829">
        <f t="shared" si="25"/>
        <v>-1</v>
      </c>
      <c r="Q32" s="830">
        <v>-0.35</v>
      </c>
      <c r="R32" s="871">
        <f t="shared" ref="R32:R49" si="35">IF(ISBLANK(Q32),"",J32-K32-Q32)</f>
        <v>-0.65</v>
      </c>
      <c r="S32" s="830">
        <v>2.23</v>
      </c>
      <c r="T32" s="871">
        <f t="shared" si="27"/>
        <v>-1.23</v>
      </c>
      <c r="U32" s="868">
        <f t="shared" si="28"/>
        <v>0.94</v>
      </c>
      <c r="V32" s="868">
        <f t="shared" si="29"/>
        <v>1.29</v>
      </c>
      <c r="W32" s="829">
        <v>13</v>
      </c>
      <c r="X32" s="829">
        <v>11</v>
      </c>
      <c r="Y32" s="829">
        <v>4</v>
      </c>
      <c r="Z32" s="829">
        <v>3</v>
      </c>
      <c r="AA32" s="829">
        <v>38</v>
      </c>
      <c r="AB32" s="829">
        <v>62</v>
      </c>
      <c r="AC32" s="829"/>
      <c r="AD32" s="816" t="str">
        <f t="array" ref="AD32">IF($J32="","",IF(SUM(IF(ISNUMBER(VALUE(RIGHT($AG32:$DZ32,1))),VALUE(RIGHT($AG32:$DZ32,1)),0))=$J32,"T","F"))</f>
        <v>T</v>
      </c>
      <c r="AE32" s="831">
        <f t="array" ref="AE32">IF($J32="","",SUM(IF(LEFT($AG32:$DZ32,1)="s",1,0))-SUM(IF(RIGHT(LEFT($AG32:$DZ32,2))="-",1,0)))</f>
        <v>0</v>
      </c>
      <c r="AF32" s="816">
        <f t="array" ref="AF32">IF($J32="","",SUM(IF(LEFT($AG32:$DZ32,1)="X",1,0)))</f>
        <v>11</v>
      </c>
      <c r="AG32" s="891"/>
      <c r="AH32" s="891"/>
      <c r="AI32" s="891" t="s">
        <v>2344</v>
      </c>
      <c r="AJ32" s="891" t="s">
        <v>2351</v>
      </c>
      <c r="AK32" s="891" t="s">
        <v>2351</v>
      </c>
      <c r="AL32" s="891" t="s">
        <v>2345</v>
      </c>
      <c r="AM32" s="904" t="s">
        <v>2345</v>
      </c>
      <c r="AN32" s="891" t="s">
        <v>2351</v>
      </c>
      <c r="AO32" s="891"/>
      <c r="AP32" s="891" t="s">
        <v>871</v>
      </c>
      <c r="AQ32" s="891"/>
      <c r="AR32" s="891"/>
      <c r="AS32" s="891"/>
      <c r="AT32" s="891" t="s">
        <v>2345</v>
      </c>
      <c r="AU32" s="891" t="s">
        <v>2345</v>
      </c>
      <c r="AV32" s="910"/>
      <c r="AW32" s="910"/>
      <c r="AX32" s="891" t="s">
        <v>2345</v>
      </c>
      <c r="AY32" s="891"/>
      <c r="AZ32" s="891"/>
      <c r="BA32" s="891" t="s">
        <v>2396</v>
      </c>
      <c r="BB32" s="891" t="s">
        <v>2345</v>
      </c>
      <c r="BC32" s="891"/>
      <c r="BD32" s="891"/>
      <c r="BE32" s="891"/>
      <c r="BF32" s="891" t="s">
        <v>2350</v>
      </c>
      <c r="BG32" s="891" t="s">
        <v>2350</v>
      </c>
      <c r="BH32" s="891" t="s">
        <v>2350</v>
      </c>
      <c r="BI32" s="891" t="s">
        <v>2345</v>
      </c>
      <c r="BJ32" s="891" t="s">
        <v>2351</v>
      </c>
      <c r="BK32" s="904" t="s">
        <v>871</v>
      </c>
      <c r="BL32" s="891"/>
      <c r="BM32" s="891"/>
      <c r="BN32" s="891"/>
      <c r="BO32" s="891"/>
      <c r="BP32" s="891"/>
      <c r="BQ32" s="891"/>
      <c r="BR32" s="891"/>
      <c r="BS32" s="891"/>
      <c r="BT32" s="896"/>
      <c r="BU32" s="896"/>
      <c r="BV32" s="896"/>
      <c r="BW32" s="896"/>
      <c r="BX32" s="896"/>
      <c r="BY32" s="896"/>
      <c r="BZ32" s="896"/>
      <c r="CA32" s="896"/>
      <c r="CB32" s="896"/>
      <c r="CC32" s="896"/>
      <c r="CD32" s="896"/>
      <c r="CE32" s="896"/>
      <c r="CF32" s="896"/>
      <c r="CG32" s="896"/>
      <c r="CH32" s="428"/>
      <c r="CI32" s="428"/>
      <c r="CJ32" s="428"/>
      <c r="CK32" s="428"/>
      <c r="CL32" s="230" t="s">
        <v>32</v>
      </c>
      <c r="CM32" s="230" t="s">
        <v>32</v>
      </c>
      <c r="CN32" s="230" t="s">
        <v>32</v>
      </c>
      <c r="CO32" s="230" t="s">
        <v>32</v>
      </c>
      <c r="CP32" s="230" t="s">
        <v>32</v>
      </c>
      <c r="CQ32" s="230" t="s">
        <v>32</v>
      </c>
      <c r="CR32" s="230" t="s">
        <v>32</v>
      </c>
    </row>
    <row r="33" spans="1:123" ht="15">
      <c r="A33" s="882">
        <v>6333</v>
      </c>
      <c r="B33" s="884"/>
      <c r="C33" s="884"/>
      <c r="D33" s="884">
        <f ca="1">IF(I33=Table!$C$1,VLOOKUP(G33,Table!$B$38:$AO$61,Table!$AO$35-1,FALSE),"")</f>
        <v>0</v>
      </c>
      <c r="E33" s="884"/>
      <c r="F33" s="884">
        <f ca="1">IF(I33="","",IF(I33=Table!$C$1,VLOOKUP(G33,Table!$B$9:$AE$32,Table!$AE$6-1,FALSE),""))</f>
        <v>5</v>
      </c>
      <c r="G33" s="879" t="s">
        <v>889</v>
      </c>
      <c r="H33" s="879" t="s">
        <v>18</v>
      </c>
      <c r="I33" s="879" t="s">
        <v>891</v>
      </c>
      <c r="J33" s="846">
        <v>1</v>
      </c>
      <c r="K33" s="846">
        <v>2</v>
      </c>
      <c r="L33" s="816" t="str">
        <f t="shared" si="32"/>
        <v>L</v>
      </c>
      <c r="M33" s="816">
        <f t="shared" si="33"/>
        <v>3</v>
      </c>
      <c r="N33" s="816" t="str">
        <f t="shared" si="34"/>
        <v>O</v>
      </c>
      <c r="O33" s="816">
        <f t="shared" si="23"/>
        <v>0.25</v>
      </c>
      <c r="P33" s="829">
        <f t="shared" si="25"/>
        <v>-1</v>
      </c>
      <c r="Q33" s="830">
        <v>-0.28000000000000003</v>
      </c>
      <c r="R33" s="871">
        <f t="shared" si="35"/>
        <v>-0.72</v>
      </c>
      <c r="S33" s="830">
        <v>2.33</v>
      </c>
      <c r="T33" s="871">
        <f t="shared" si="27"/>
        <v>0.66999999999999993</v>
      </c>
      <c r="U33" s="868">
        <f t="shared" si="28"/>
        <v>1.0249999999999999</v>
      </c>
      <c r="V33" s="868">
        <f t="shared" si="29"/>
        <v>1.3050000000000002</v>
      </c>
      <c r="W33" s="829">
        <v>6</v>
      </c>
      <c r="X33" s="829">
        <v>12</v>
      </c>
      <c r="Y33" s="829">
        <v>1</v>
      </c>
      <c r="Z33" s="829">
        <v>4</v>
      </c>
      <c r="AA33" s="829">
        <v>41</v>
      </c>
      <c r="AB33" s="829">
        <v>59</v>
      </c>
      <c r="AC33" s="829"/>
      <c r="AD33" s="816" t="str">
        <f t="array" ref="AD33">IF($J33="","",IF(SUM(IF(ISNUMBER(VALUE(RIGHT($AG33:$DZ33,1))),VALUE(RIGHT($AG33:$DZ33,1)),0))=$J33,"T","F"))</f>
        <v>T</v>
      </c>
      <c r="AE33" s="831">
        <f t="array" ref="AE33">IF($J33="","",SUM(IF(LEFT($AG33:$DZ33,1)="s",1,0))-SUM(IF(RIGHT(LEFT($AG33:$DZ33,2))="-",1,0)))</f>
        <v>0</v>
      </c>
      <c r="AF33" s="816">
        <f t="array" ref="AF33">IF($J33="","",SUM(IF(LEFT($AG33:$DZ33,1)="X",1,0)))</f>
        <v>11</v>
      </c>
      <c r="AG33" s="891"/>
      <c r="AH33" s="891"/>
      <c r="AI33" s="891" t="s">
        <v>34</v>
      </c>
      <c r="AJ33" s="891" t="s">
        <v>1877</v>
      </c>
      <c r="AK33" s="891" t="s">
        <v>1877</v>
      </c>
      <c r="AL33" s="891" t="s">
        <v>34</v>
      </c>
      <c r="AM33" s="891" t="s">
        <v>34</v>
      </c>
      <c r="AN33" s="891" t="s">
        <v>36</v>
      </c>
      <c r="AO33" s="891" t="s">
        <v>32</v>
      </c>
      <c r="AP33" s="891" t="s">
        <v>1877</v>
      </c>
      <c r="AQ33" s="891" t="s">
        <v>32</v>
      </c>
      <c r="AR33" s="891" t="s">
        <v>32</v>
      </c>
      <c r="AS33" s="891"/>
      <c r="AT33" s="891" t="s">
        <v>35</v>
      </c>
      <c r="AU33" s="891" t="s">
        <v>34</v>
      </c>
      <c r="AV33" s="910"/>
      <c r="AW33" s="910"/>
      <c r="AX33" s="891" t="s">
        <v>34</v>
      </c>
      <c r="AY33" s="891" t="s">
        <v>32</v>
      </c>
      <c r="AZ33" s="891" t="s">
        <v>32</v>
      </c>
      <c r="BA33" s="891" t="s">
        <v>36</v>
      </c>
      <c r="BB33" s="891" t="s">
        <v>34</v>
      </c>
      <c r="BC33" s="891" t="s">
        <v>32</v>
      </c>
      <c r="BD33" s="891" t="s">
        <v>32</v>
      </c>
      <c r="BE33" s="891" t="s">
        <v>32</v>
      </c>
      <c r="BF33" s="891" t="s">
        <v>35</v>
      </c>
      <c r="BG33" s="891" t="s">
        <v>36</v>
      </c>
      <c r="BH33" s="891" t="s">
        <v>1877</v>
      </c>
      <c r="BI33" s="904" t="s">
        <v>34</v>
      </c>
      <c r="BJ33" s="891" t="s">
        <v>35</v>
      </c>
      <c r="BK33" s="891" t="s">
        <v>2419</v>
      </c>
      <c r="BL33" s="891"/>
      <c r="BM33" s="891"/>
      <c r="BN33" s="891" t="s">
        <v>32</v>
      </c>
      <c r="BO33" s="891"/>
      <c r="BP33" s="891"/>
      <c r="BQ33" s="891"/>
      <c r="BR33" s="891"/>
      <c r="BS33" s="891"/>
      <c r="BT33" s="896"/>
      <c r="BU33" s="896"/>
      <c r="BV33" s="896"/>
      <c r="BW33" s="896"/>
      <c r="BX33" s="896"/>
      <c r="BY33" s="896"/>
      <c r="BZ33" s="896"/>
      <c r="CA33" s="896"/>
      <c r="CB33" s="896"/>
      <c r="CC33" s="896"/>
      <c r="CD33" s="896"/>
      <c r="CE33" s="896"/>
      <c r="CF33" s="896"/>
      <c r="CG33" s="896"/>
      <c r="CH33" s="428"/>
      <c r="CI33" s="428"/>
      <c r="CJ33" s="428"/>
      <c r="CK33" s="428"/>
    </row>
    <row r="34" spans="1:123" ht="15">
      <c r="A34" s="882">
        <v>6337</v>
      </c>
      <c r="B34" s="884"/>
      <c r="C34" s="884"/>
      <c r="D34" s="884">
        <f ca="1">IF(I34=Table!$C$1,VLOOKUP(G34,Table!$B$38:$AO$61,Table!$AO$35-1,FALSE),"")</f>
        <v>0</v>
      </c>
      <c r="E34" s="884"/>
      <c r="F34" s="884">
        <f ca="1">IF(I34="","",IF(I34=Table!$C$1,VLOOKUP(G34,Table!$B$9:$AE$32,Table!$AE$6-1,FALSE),""))</f>
        <v>6</v>
      </c>
      <c r="G34" s="879" t="s">
        <v>876</v>
      </c>
      <c r="H34" s="879" t="s">
        <v>22</v>
      </c>
      <c r="I34" s="879" t="s">
        <v>891</v>
      </c>
      <c r="J34" s="908">
        <v>2</v>
      </c>
      <c r="K34" s="908">
        <v>1</v>
      </c>
      <c r="L34" s="816" t="str">
        <f t="shared" si="32"/>
        <v>W</v>
      </c>
      <c r="M34" s="816">
        <f t="shared" si="33"/>
        <v>3</v>
      </c>
      <c r="N34" s="816" t="str">
        <f t="shared" si="34"/>
        <v>O</v>
      </c>
      <c r="O34" s="816">
        <f t="shared" si="23"/>
        <v>0.25</v>
      </c>
      <c r="P34" s="829">
        <f t="shared" si="25"/>
        <v>1</v>
      </c>
      <c r="Q34" s="830">
        <v>-0.28000000000000003</v>
      </c>
      <c r="R34" s="871">
        <f t="shared" si="35"/>
        <v>1.28</v>
      </c>
      <c r="S34" s="830">
        <v>2.35</v>
      </c>
      <c r="T34" s="871">
        <f t="shared" si="27"/>
        <v>0.64999999999999991</v>
      </c>
      <c r="U34" s="868">
        <f t="shared" si="28"/>
        <v>1.0350000000000001</v>
      </c>
      <c r="V34" s="868">
        <f t="shared" si="29"/>
        <v>1.3149999999999999</v>
      </c>
      <c r="W34" s="829">
        <v>13</v>
      </c>
      <c r="X34" s="829">
        <v>27</v>
      </c>
      <c r="Y34" s="829">
        <v>5</v>
      </c>
      <c r="Z34" s="829">
        <v>4</v>
      </c>
      <c r="AA34" s="829">
        <v>29</v>
      </c>
      <c r="AB34" s="829">
        <v>71</v>
      </c>
      <c r="AC34" s="829"/>
      <c r="AD34" s="816" t="str">
        <f t="array" ref="AD34">IF($J34="","",IF(SUM(IF(ISNUMBER(VALUE(RIGHT($AG34:$DZ34,1))),VALUE(RIGHT($AG34:$DZ34,1)),0))=$J34,"T","F"))</f>
        <v>T</v>
      </c>
      <c r="AE34" s="831">
        <f t="array" ref="AE34">IF($J34="","",SUM(IF(LEFT($AG34:$DZ34,1)="s",1,0))-SUM(IF(RIGHT(LEFT($AG34:$DZ34,2))="-",1,0)))</f>
        <v>0</v>
      </c>
      <c r="AF34" s="816">
        <f t="array" ref="AF34">IF($J34="","",SUM(IF(LEFT($AG34:$DZ34,1)="X",1,0)))</f>
        <v>11</v>
      </c>
      <c r="AG34" s="891" t="s">
        <v>32</v>
      </c>
      <c r="AH34" s="891"/>
      <c r="AI34" s="891" t="s">
        <v>34</v>
      </c>
      <c r="AJ34" s="891" t="s">
        <v>1877</v>
      </c>
      <c r="AK34" s="891" t="s">
        <v>1877</v>
      </c>
      <c r="AL34" s="891" t="s">
        <v>34</v>
      </c>
      <c r="AM34" s="891" t="s">
        <v>35</v>
      </c>
      <c r="AN34" s="891" t="s">
        <v>34</v>
      </c>
      <c r="AO34" s="891" t="s">
        <v>32</v>
      </c>
      <c r="AP34" s="909" t="s">
        <v>34</v>
      </c>
      <c r="AQ34" s="891" t="s">
        <v>32</v>
      </c>
      <c r="AR34" s="891" t="s">
        <v>32</v>
      </c>
      <c r="AS34" s="891"/>
      <c r="AT34" s="891" t="s">
        <v>36</v>
      </c>
      <c r="AU34" s="891" t="s">
        <v>34</v>
      </c>
      <c r="AV34" s="910"/>
      <c r="AW34" s="910"/>
      <c r="AX34" s="891" t="s">
        <v>34</v>
      </c>
      <c r="AY34" s="891" t="s">
        <v>32</v>
      </c>
      <c r="AZ34" s="891" t="s">
        <v>1886</v>
      </c>
      <c r="BA34" s="891" t="s">
        <v>35</v>
      </c>
      <c r="BB34" s="906" t="s">
        <v>2438</v>
      </c>
      <c r="BC34" s="891" t="s">
        <v>32</v>
      </c>
      <c r="BD34" s="891" t="s">
        <v>32</v>
      </c>
      <c r="BE34" s="891" t="s">
        <v>32</v>
      </c>
      <c r="BF34" s="891" t="s">
        <v>1877</v>
      </c>
      <c r="BG34" s="891" t="s">
        <v>1877</v>
      </c>
      <c r="BH34" s="891" t="s">
        <v>35</v>
      </c>
      <c r="BI34" s="891" t="s">
        <v>34</v>
      </c>
      <c r="BJ34" s="891" t="s">
        <v>36</v>
      </c>
      <c r="BK34" s="891" t="s">
        <v>2437</v>
      </c>
      <c r="BL34" s="891">
        <v>1</v>
      </c>
      <c r="BM34" s="891"/>
      <c r="BN34" s="891" t="s">
        <v>32</v>
      </c>
      <c r="BO34" s="891"/>
      <c r="BP34" s="891"/>
      <c r="BQ34" s="891"/>
      <c r="BR34" s="891"/>
      <c r="BS34" s="891"/>
      <c r="BT34" s="891"/>
      <c r="BU34" s="891"/>
      <c r="BV34" s="891"/>
      <c r="BW34" s="896"/>
      <c r="BX34" s="896"/>
      <c r="BY34" s="896"/>
      <c r="BZ34" s="896"/>
      <c r="CA34" s="896"/>
      <c r="CB34" s="896"/>
      <c r="CC34" s="896"/>
      <c r="CD34" s="896"/>
      <c r="CE34" s="896"/>
      <c r="CF34" s="896"/>
      <c r="CG34" s="896"/>
      <c r="CH34" s="428"/>
      <c r="CI34" s="428"/>
      <c r="CJ34" s="428"/>
      <c r="CK34" s="428"/>
      <c r="CO34" s="4" t="s">
        <v>32</v>
      </c>
      <c r="CP34" s="6" t="s">
        <v>32</v>
      </c>
      <c r="CQ34" s="6" t="s">
        <v>32</v>
      </c>
      <c r="CR34" s="6" t="s">
        <v>32</v>
      </c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</row>
    <row r="35" spans="1:123" ht="15">
      <c r="A35" s="882">
        <v>6343</v>
      </c>
      <c r="B35" s="884"/>
      <c r="C35" s="884"/>
      <c r="D35" s="884">
        <f ca="1">IF(I35=Table!$C$1,VLOOKUP(G35,Table!$B$38:$AO$61,Table!$AO$35-1,FALSE),"")</f>
        <v>0</v>
      </c>
      <c r="E35" s="884"/>
      <c r="F35" s="884">
        <f ca="1">IF(I35="","",IF(I35=Table!$C$1,VLOOKUP(G35,Table!$B$9:$AE$32,Table!$AE$6-1,FALSE),""))</f>
        <v>11</v>
      </c>
      <c r="G35" s="879" t="s">
        <v>874</v>
      </c>
      <c r="H35" s="879" t="s">
        <v>22</v>
      </c>
      <c r="I35" s="879" t="s">
        <v>891</v>
      </c>
      <c r="J35" s="846">
        <v>1</v>
      </c>
      <c r="K35" s="846">
        <v>1</v>
      </c>
      <c r="L35" s="816" t="str">
        <f>IF(J35="","",IF(J35&gt;K35,"W",IF(J35=K35,"D",IF(J35&lt;K35,"L"))))</f>
        <v>D</v>
      </c>
      <c r="M35" s="816">
        <f>IF(J35="","",J35+K35)</f>
        <v>2</v>
      </c>
      <c r="N35" s="816" t="str">
        <f>IF($J35="","",IF($M35&gt;N$19,"O",IF($M35&lt;N$19,"U",IF($M35=N$19,"-"))))</f>
        <v>U</v>
      </c>
      <c r="O35" s="816">
        <f>IF(Q35="","",IF(SIGN(Q35)&lt;&gt;1,VLOOKUP(ABS(Q35),SUP_HDC,3,TRUE),-VLOOKUP(ABS(Q35),SUP_HDC,3,TRUE)))</f>
        <v>0</v>
      </c>
      <c r="P35" s="829">
        <f>IF(O35="","",IF((J35-K35+O35)&gt;=0.5,1,IF((J35-K35+O35)=0.25,0.5,IF((J35-K35+O35)&lt;=-0.5,-1,IF((J35-K35+O35)=-0.25,-0.5,0)))))</f>
        <v>0</v>
      </c>
      <c r="Q35" s="830">
        <v>-0.1</v>
      </c>
      <c r="R35" s="871">
        <f t="shared" si="35"/>
        <v>0.1</v>
      </c>
      <c r="S35" s="830">
        <v>2.04</v>
      </c>
      <c r="T35" s="871">
        <f>IF(ISBLANK(S35),"",J35+K35-S35)</f>
        <v>-4.0000000000000036E-2</v>
      </c>
      <c r="U35" s="868">
        <f>IF(Q35="","",(Q35+S35)/2)</f>
        <v>0.97</v>
      </c>
      <c r="V35" s="868">
        <f>IF(Q35="","",S35-U35)</f>
        <v>1.07</v>
      </c>
      <c r="W35" s="829">
        <v>8</v>
      </c>
      <c r="X35" s="829">
        <v>9</v>
      </c>
      <c r="Y35" s="829">
        <v>3</v>
      </c>
      <c r="Z35" s="829">
        <v>2</v>
      </c>
      <c r="AA35" s="829">
        <v>42</v>
      </c>
      <c r="AB35" s="829">
        <v>58</v>
      </c>
      <c r="AC35" s="829"/>
      <c r="AD35" s="816" t="str">
        <f t="array" ref="AD35">IF($J35="","",IF(SUM(IF(ISNUMBER(VALUE(RIGHT($AG35:$DZ35,1))),VALUE(RIGHT($AG35:$DZ35,1)),0))=$J35,"T","F"))</f>
        <v>T</v>
      </c>
      <c r="AE35" s="831">
        <f t="array" ref="AE35">IF($J35="","",SUM(IF(LEFT($AG35:$DZ35,1)="s",1,0))-SUM(IF(RIGHT(LEFT($AG35:$DZ35,2))="-",1,0)))</f>
        <v>0</v>
      </c>
      <c r="AF35" s="816">
        <f t="array" ref="AF35">IF($J35="","",SUM(IF(LEFT($AG35:$DZ35,1)="X",1,0)))</f>
        <v>11</v>
      </c>
      <c r="AG35" s="891" t="s">
        <v>32</v>
      </c>
      <c r="AH35" s="891"/>
      <c r="AI35" s="891" t="s">
        <v>34</v>
      </c>
      <c r="AJ35" s="891" t="s">
        <v>1877</v>
      </c>
      <c r="AK35" s="891" t="s">
        <v>1877</v>
      </c>
      <c r="AL35" s="891" t="s">
        <v>32</v>
      </c>
      <c r="AM35" s="891" t="s">
        <v>34</v>
      </c>
      <c r="AN35" s="891" t="s">
        <v>34</v>
      </c>
      <c r="AO35" s="891" t="s">
        <v>32</v>
      </c>
      <c r="AP35" s="891" t="s">
        <v>2476</v>
      </c>
      <c r="AQ35" s="891" t="s">
        <v>1877</v>
      </c>
      <c r="AR35" s="891" t="s">
        <v>32</v>
      </c>
      <c r="AS35" s="891"/>
      <c r="AT35" s="891" t="s">
        <v>34</v>
      </c>
      <c r="AU35" s="891" t="s">
        <v>34</v>
      </c>
      <c r="AV35" s="910"/>
      <c r="AW35" s="910"/>
      <c r="AX35" s="891" t="s">
        <v>34</v>
      </c>
      <c r="AY35" s="891" t="s">
        <v>36</v>
      </c>
      <c r="AZ35" s="891" t="s">
        <v>1886</v>
      </c>
      <c r="BA35" s="891" t="s">
        <v>32</v>
      </c>
      <c r="BB35" s="891" t="s">
        <v>34</v>
      </c>
      <c r="BC35" s="891" t="s">
        <v>1877</v>
      </c>
      <c r="BD35" s="891" t="s">
        <v>32</v>
      </c>
      <c r="BE35" s="891" t="s">
        <v>32</v>
      </c>
      <c r="BF35" s="891" t="s">
        <v>36</v>
      </c>
      <c r="BG35" s="891" t="s">
        <v>36</v>
      </c>
      <c r="BH35" s="891" t="s">
        <v>35</v>
      </c>
      <c r="BI35" s="891" t="s">
        <v>35</v>
      </c>
      <c r="BJ35" s="891" t="s">
        <v>35</v>
      </c>
      <c r="BK35" s="891" t="s">
        <v>2477</v>
      </c>
      <c r="BL35" s="891"/>
      <c r="BM35" s="891"/>
      <c r="BN35" s="891" t="s">
        <v>32</v>
      </c>
      <c r="BO35" s="891"/>
      <c r="BP35" s="891"/>
      <c r="BQ35" s="891"/>
      <c r="BR35" s="891"/>
      <c r="BS35" s="891"/>
      <c r="BT35" s="891"/>
      <c r="BU35" s="891"/>
      <c r="BV35" s="891"/>
      <c r="BW35" s="896"/>
      <c r="BX35" s="896"/>
      <c r="BY35" s="896"/>
      <c r="BZ35" s="896"/>
      <c r="CA35" s="891"/>
      <c r="CB35" s="891"/>
      <c r="CC35" s="891"/>
      <c r="CD35" s="891"/>
      <c r="CE35" s="891"/>
      <c r="CF35" s="891"/>
      <c r="CG35" s="891"/>
      <c r="CH35" s="428"/>
      <c r="CI35" s="428"/>
      <c r="CJ35" s="428"/>
      <c r="CK35" s="428"/>
      <c r="CL35" s="230" t="s">
        <v>32</v>
      </c>
      <c r="CM35" s="230" t="s">
        <v>32</v>
      </c>
      <c r="CN35" s="230" t="s">
        <v>32</v>
      </c>
      <c r="CO35" s="230" t="s">
        <v>32</v>
      </c>
      <c r="CP35" s="230" t="s">
        <v>32</v>
      </c>
      <c r="CQ35" s="230" t="s">
        <v>32</v>
      </c>
      <c r="CR35" s="230" t="s">
        <v>32</v>
      </c>
    </row>
    <row r="36" spans="1:123" ht="15">
      <c r="A36" s="882">
        <v>6347</v>
      </c>
      <c r="B36" s="884"/>
      <c r="C36" s="884"/>
      <c r="D36" s="884">
        <f ca="1">IF(I36=Table!$C$1,VLOOKUP(G36,Table!$B$38:$AO$61,Table!$AO$35-1,FALSE),"")</f>
        <v>0</v>
      </c>
      <c r="E36" s="884"/>
      <c r="F36" s="884">
        <f ca="1">IF(I36="","",IF(I36=Table!$C$1,VLOOKUP(G36,Table!$B$9:$AE$32,Table!$AE$6-1,FALSE),""))</f>
        <v>7</v>
      </c>
      <c r="G36" s="879" t="s">
        <v>888</v>
      </c>
      <c r="H36" s="879" t="s">
        <v>18</v>
      </c>
      <c r="I36" s="879" t="s">
        <v>891</v>
      </c>
      <c r="J36" s="846">
        <v>1</v>
      </c>
      <c r="K36" s="846">
        <v>1</v>
      </c>
      <c r="L36" s="816" t="str">
        <f t="shared" si="32"/>
        <v>D</v>
      </c>
      <c r="M36" s="816">
        <f t="shared" si="33"/>
        <v>2</v>
      </c>
      <c r="N36" s="816" t="str">
        <f t="shared" si="34"/>
        <v>U</v>
      </c>
      <c r="O36" s="816">
        <f t="shared" si="23"/>
        <v>0.5</v>
      </c>
      <c r="P36" s="829">
        <f t="shared" si="25"/>
        <v>1</v>
      </c>
      <c r="Q36" s="830">
        <v>-0.59</v>
      </c>
      <c r="R36" s="871">
        <f t="shared" si="35"/>
        <v>0.59</v>
      </c>
      <c r="S36" s="830">
        <v>2.38</v>
      </c>
      <c r="T36" s="871">
        <f t="shared" si="27"/>
        <v>-0.37999999999999989</v>
      </c>
      <c r="U36" s="868">
        <f t="shared" si="28"/>
        <v>0.89500000000000002</v>
      </c>
      <c r="V36" s="868">
        <f t="shared" si="29"/>
        <v>1.4849999999999999</v>
      </c>
      <c r="W36" s="829">
        <v>9</v>
      </c>
      <c r="X36" s="829">
        <v>33</v>
      </c>
      <c r="Y36" s="829">
        <v>1</v>
      </c>
      <c r="Z36" s="829">
        <v>5</v>
      </c>
      <c r="AA36" s="829">
        <v>36</v>
      </c>
      <c r="AB36" s="829">
        <v>64</v>
      </c>
      <c r="AC36" s="829"/>
      <c r="AD36" s="816" t="str">
        <f t="array" ref="AD36">IF($J36="","",IF(SUM(IF(ISNUMBER(VALUE(RIGHT($AG36:$DZ36,1))),VALUE(RIGHT($AG36:$DZ36,1)),0))=$J36,"T","F"))</f>
        <v>T</v>
      </c>
      <c r="AE36" s="831">
        <f t="array" ref="AE36">IF($J36="","",SUM(IF(LEFT($AG36:$DZ36,1)="s",1,0))-SUM(IF(RIGHT(LEFT($AG36:$DZ36,2))="-",1,0)))</f>
        <v>0</v>
      </c>
      <c r="AF36" s="816">
        <f t="array" ref="AF36">IF($J36="","",SUM(IF(LEFT($AG36:$DZ36,1)="X",1,0)))</f>
        <v>11</v>
      </c>
      <c r="AG36" s="891"/>
      <c r="AH36" s="891"/>
      <c r="AI36" s="891" t="s">
        <v>34</v>
      </c>
      <c r="AJ36" s="891" t="s">
        <v>1877</v>
      </c>
      <c r="AK36" s="891" t="s">
        <v>32</v>
      </c>
      <c r="AL36" s="891" t="s">
        <v>36</v>
      </c>
      <c r="AM36" s="891" t="s">
        <v>35</v>
      </c>
      <c r="AN36" s="891" t="s">
        <v>34</v>
      </c>
      <c r="AO36" s="891" t="s">
        <v>32</v>
      </c>
      <c r="AP36" s="891" t="s">
        <v>32</v>
      </c>
      <c r="AQ36" s="891" t="s">
        <v>1877</v>
      </c>
      <c r="AR36" s="891" t="s">
        <v>32</v>
      </c>
      <c r="AS36" s="891"/>
      <c r="AT36" s="891" t="s">
        <v>34</v>
      </c>
      <c r="AU36" s="891" t="s">
        <v>34</v>
      </c>
      <c r="AV36" s="910"/>
      <c r="AW36" s="910"/>
      <c r="AX36" s="891" t="s">
        <v>34</v>
      </c>
      <c r="AY36" s="891" t="s">
        <v>1877</v>
      </c>
      <c r="AZ36" s="891" t="s">
        <v>1886</v>
      </c>
      <c r="BA36" s="891" t="s">
        <v>34</v>
      </c>
      <c r="BB36" s="891" t="s">
        <v>34</v>
      </c>
      <c r="BC36" s="891" t="s">
        <v>32</v>
      </c>
      <c r="BD36" s="891" t="s">
        <v>32</v>
      </c>
      <c r="BE36" s="891" t="s">
        <v>32</v>
      </c>
      <c r="BF36" s="891" t="s">
        <v>36</v>
      </c>
      <c r="BG36" s="891" t="s">
        <v>36</v>
      </c>
      <c r="BH36" s="891" t="s">
        <v>35</v>
      </c>
      <c r="BI36" s="891" t="s">
        <v>2496</v>
      </c>
      <c r="BJ36" s="891" t="s">
        <v>1877</v>
      </c>
      <c r="BK36" s="891" t="s">
        <v>35</v>
      </c>
      <c r="BL36" s="891"/>
      <c r="BM36" s="891"/>
      <c r="BN36" s="891" t="s">
        <v>32</v>
      </c>
      <c r="BO36" s="891"/>
      <c r="BP36" s="891"/>
      <c r="BQ36" s="891"/>
      <c r="BR36" s="891"/>
      <c r="BS36" s="891"/>
      <c r="BT36" s="891"/>
      <c r="BU36" s="891"/>
      <c r="BV36" s="891"/>
      <c r="BW36" s="891"/>
      <c r="BX36" s="891"/>
      <c r="BY36" s="891"/>
      <c r="BZ36" s="891"/>
      <c r="CA36" s="891"/>
      <c r="CB36" s="891"/>
      <c r="CC36" s="891"/>
      <c r="CD36" s="891"/>
      <c r="CE36" s="896"/>
      <c r="CF36" s="896"/>
      <c r="CG36" s="896"/>
      <c r="CH36" s="428"/>
      <c r="CI36" s="428"/>
      <c r="CJ36" s="428"/>
      <c r="CK36" s="428"/>
      <c r="CL36" s="230" t="s">
        <v>32</v>
      </c>
      <c r="CM36" s="230" t="s">
        <v>32</v>
      </c>
      <c r="CN36" s="230" t="s">
        <v>32</v>
      </c>
      <c r="CO36" s="230" t="s">
        <v>32</v>
      </c>
      <c r="CP36" s="230" t="s">
        <v>32</v>
      </c>
      <c r="CQ36" s="230" t="s">
        <v>32</v>
      </c>
      <c r="CR36" s="230" t="s">
        <v>32</v>
      </c>
    </row>
    <row r="37" spans="1:123" ht="15">
      <c r="A37" s="882">
        <v>6351</v>
      </c>
      <c r="B37" s="884"/>
      <c r="C37" s="884"/>
      <c r="D37" s="884">
        <f ca="1">IF(I37=Table!$C$1,VLOOKUP(G37,Table!$B$38:$AO$61,Table!$AO$35-1,FALSE),"")</f>
        <v>0</v>
      </c>
      <c r="E37" s="884"/>
      <c r="F37" s="884">
        <f ca="1">IF(I37="","",IF(I37=Table!$C$1,VLOOKUP(G37,Table!$B$9:$AE$32,Table!$AE$6-1,FALSE),""))</f>
        <v>4</v>
      </c>
      <c r="G37" s="879" t="s">
        <v>1084</v>
      </c>
      <c r="H37" s="879" t="s">
        <v>22</v>
      </c>
      <c r="I37" s="879" t="s">
        <v>891</v>
      </c>
      <c r="J37" s="846">
        <v>0</v>
      </c>
      <c r="K37" s="846">
        <v>5</v>
      </c>
      <c r="L37" s="816" t="str">
        <f t="shared" si="32"/>
        <v>L</v>
      </c>
      <c r="M37" s="816">
        <f t="shared" si="33"/>
        <v>5</v>
      </c>
      <c r="N37" s="816" t="str">
        <f t="shared" si="34"/>
        <v>O</v>
      </c>
      <c r="O37" s="816">
        <f t="shared" si="23"/>
        <v>0.5</v>
      </c>
      <c r="P37" s="829">
        <f t="shared" si="25"/>
        <v>-1</v>
      </c>
      <c r="Q37" s="830">
        <v>-0.56000000000000005</v>
      </c>
      <c r="R37" s="871">
        <f t="shared" si="35"/>
        <v>-4.4399999999999995</v>
      </c>
      <c r="S37" s="830">
        <v>2.21</v>
      </c>
      <c r="T37" s="871">
        <f t="shared" si="27"/>
        <v>2.79</v>
      </c>
      <c r="U37" s="868">
        <f t="shared" si="28"/>
        <v>0.82499999999999996</v>
      </c>
      <c r="V37" s="868">
        <f t="shared" si="29"/>
        <v>1.385</v>
      </c>
      <c r="W37" s="829">
        <v>8</v>
      </c>
      <c r="X37" s="829">
        <v>21</v>
      </c>
      <c r="Y37" s="829">
        <v>1</v>
      </c>
      <c r="Z37" s="829">
        <v>12</v>
      </c>
      <c r="AA37" s="829">
        <v>50</v>
      </c>
      <c r="AB37" s="829">
        <v>50</v>
      </c>
      <c r="AC37" s="829"/>
      <c r="AD37" s="816" t="str">
        <f t="array" ref="AD37">IF($J37="","",IF(SUM(IF(ISNUMBER(VALUE(RIGHT($AG37:$DZ37,1))),VALUE(RIGHT($AG37:$DZ37,1)),0))=$J37,"T","F"))</f>
        <v>T</v>
      </c>
      <c r="AE37" s="831">
        <f t="array" ref="AE37">IF($J37="","",SUM(IF(LEFT($AG37:$DZ37,1)="s",1,0))-SUM(IF(RIGHT(LEFT($AG37:$DZ37,2))="-",1,0)))</f>
        <v>0</v>
      </c>
      <c r="AF37" s="816">
        <f t="array" ref="AF37">IF($J37="","",SUM(IF(LEFT($AG37:$DZ37,1)="X",1,0)))</f>
        <v>11</v>
      </c>
      <c r="AG37" s="891" t="s">
        <v>32</v>
      </c>
      <c r="AH37" s="891"/>
      <c r="AI37" s="891" t="s">
        <v>34</v>
      </c>
      <c r="AJ37" s="891" t="s">
        <v>1877</v>
      </c>
      <c r="AK37" s="891" t="s">
        <v>32</v>
      </c>
      <c r="AL37" s="891" t="s">
        <v>34</v>
      </c>
      <c r="AM37" s="906" t="s">
        <v>2507</v>
      </c>
      <c r="AN37" s="904" t="s">
        <v>34</v>
      </c>
      <c r="AO37" s="891" t="s">
        <v>32</v>
      </c>
      <c r="AP37" s="891" t="s">
        <v>32</v>
      </c>
      <c r="AQ37" s="891" t="s">
        <v>1877</v>
      </c>
      <c r="AR37" s="891" t="s">
        <v>32</v>
      </c>
      <c r="AS37" s="891"/>
      <c r="AT37" s="891" t="s">
        <v>35</v>
      </c>
      <c r="AU37" s="891" t="s">
        <v>34</v>
      </c>
      <c r="AV37" s="910"/>
      <c r="AW37" s="910"/>
      <c r="AX37" s="891" t="s">
        <v>34</v>
      </c>
      <c r="AY37" s="891" t="s">
        <v>1877</v>
      </c>
      <c r="AZ37" s="891" t="s">
        <v>1886</v>
      </c>
      <c r="BA37" s="891" t="s">
        <v>36</v>
      </c>
      <c r="BB37" s="891" t="s">
        <v>34</v>
      </c>
      <c r="BC37" s="891" t="s">
        <v>32</v>
      </c>
      <c r="BD37" s="891" t="s">
        <v>32</v>
      </c>
      <c r="BE37" s="891" t="s">
        <v>32</v>
      </c>
      <c r="BF37" s="891" t="s">
        <v>1877</v>
      </c>
      <c r="BG37" s="891" t="s">
        <v>36</v>
      </c>
      <c r="BH37" s="891" t="s">
        <v>35</v>
      </c>
      <c r="BI37" s="891" t="s">
        <v>34</v>
      </c>
      <c r="BJ37" s="891" t="s">
        <v>35</v>
      </c>
      <c r="BK37" s="891" t="s">
        <v>34</v>
      </c>
      <c r="BL37" s="891"/>
      <c r="BM37" s="891"/>
      <c r="BN37" s="891" t="s">
        <v>32</v>
      </c>
      <c r="BO37" s="891"/>
      <c r="BP37" s="891"/>
      <c r="BQ37" s="891"/>
      <c r="BR37" s="891"/>
      <c r="BS37" s="891"/>
      <c r="BT37" s="891"/>
      <c r="BU37" s="891"/>
      <c r="BV37" s="896"/>
      <c r="BW37" s="896"/>
      <c r="BX37" s="896"/>
      <c r="BY37" s="896"/>
      <c r="BZ37" s="896"/>
      <c r="CA37" s="896"/>
      <c r="CB37" s="896"/>
      <c r="CC37" s="896"/>
      <c r="CD37" s="896"/>
      <c r="CE37" s="896"/>
      <c r="CF37" s="896"/>
      <c r="CG37" s="896"/>
      <c r="CH37" s="428"/>
      <c r="CI37" s="428"/>
      <c r="CJ37" s="428"/>
      <c r="CK37" s="428"/>
      <c r="CP37" s="4" t="s">
        <v>32</v>
      </c>
      <c r="CQ37" s="4" t="s">
        <v>32</v>
      </c>
      <c r="CR37" s="4" t="s">
        <v>32</v>
      </c>
      <c r="CS37" s="4" t="s">
        <v>32</v>
      </c>
      <c r="CT37" s="4" t="s">
        <v>32</v>
      </c>
      <c r="CU37" s="4" t="s">
        <v>32</v>
      </c>
      <c r="CV37" s="6" t="s">
        <v>32</v>
      </c>
      <c r="CW37" s="6" t="s">
        <v>32</v>
      </c>
      <c r="CX37" s="6" t="s">
        <v>32</v>
      </c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</row>
    <row r="38" spans="1:123" ht="15">
      <c r="A38" s="882">
        <v>6358</v>
      </c>
      <c r="B38" s="884"/>
      <c r="C38" s="884"/>
      <c r="D38" s="884">
        <f ca="1">IF(I38=Table!$C$1,VLOOKUP(G38,Table!$B$38:$AO$61,Table!$AO$35-1,FALSE),"")</f>
        <v>0</v>
      </c>
      <c r="E38" s="884"/>
      <c r="F38" s="884">
        <f ca="1">IF(I38="","",IF(I38=Table!$C$1,VLOOKUP(G38,Table!$B$9:$AE$32,Table!$AE$6-1,FALSE),""))</f>
        <v>8</v>
      </c>
      <c r="G38" s="879" t="s">
        <v>880</v>
      </c>
      <c r="H38" s="879" t="s">
        <v>22</v>
      </c>
      <c r="I38" s="879" t="s">
        <v>891</v>
      </c>
      <c r="J38" s="908">
        <v>0</v>
      </c>
      <c r="K38" s="846">
        <v>4</v>
      </c>
      <c r="L38" s="816" t="str">
        <f t="shared" si="32"/>
        <v>L</v>
      </c>
      <c r="M38" s="816">
        <f t="shared" si="33"/>
        <v>4</v>
      </c>
      <c r="N38" s="816" t="str">
        <f t="shared" si="34"/>
        <v>O</v>
      </c>
      <c r="O38" s="816">
        <f t="shared" si="23"/>
        <v>0.75</v>
      </c>
      <c r="P38" s="829">
        <f t="shared" si="25"/>
        <v>-1</v>
      </c>
      <c r="Q38" s="830">
        <v>-0.76</v>
      </c>
      <c r="R38" s="871">
        <f t="shared" si="35"/>
        <v>-3.24</v>
      </c>
      <c r="S38" s="830">
        <v>2.33</v>
      </c>
      <c r="T38" s="871">
        <f t="shared" si="27"/>
        <v>1.67</v>
      </c>
      <c r="U38" s="868">
        <f t="shared" si="28"/>
        <v>0.78500000000000003</v>
      </c>
      <c r="V38" s="868">
        <f t="shared" si="29"/>
        <v>1.5449999999999999</v>
      </c>
      <c r="W38" s="829">
        <v>9</v>
      </c>
      <c r="X38" s="829">
        <v>14</v>
      </c>
      <c r="Y38" s="829">
        <v>2</v>
      </c>
      <c r="Z38" s="829">
        <v>5</v>
      </c>
      <c r="AA38" s="829">
        <v>42</v>
      </c>
      <c r="AB38" s="829">
        <v>58</v>
      </c>
      <c r="AC38" s="829"/>
      <c r="AD38" s="816" t="str">
        <f t="array" ref="AD38">IF($J38="","",IF(SUM(IF(ISNUMBER(VALUE(RIGHT($AG38:$DZ38,1))),VALUE(RIGHT($AG38:$DZ38,1)),0))=$J38,"T","F"))</f>
        <v>T</v>
      </c>
      <c r="AE38" s="831">
        <f t="array" ref="AE38">IF($J38="","",SUM(IF(LEFT($AG38:$DZ38,1)="s",1,0))-SUM(IF(RIGHT(LEFT($AG38:$DZ38,2))="-",1,0)))</f>
        <v>0</v>
      </c>
      <c r="AF38" s="816">
        <f t="array" ref="AF38">IF($J38="","",SUM(IF(LEFT($AG38:$DZ38,1)="X",1,0)))</f>
        <v>11</v>
      </c>
      <c r="AG38" s="891" t="s">
        <v>32</v>
      </c>
      <c r="AH38" s="891"/>
      <c r="AI38" s="891" t="s">
        <v>34</v>
      </c>
      <c r="AJ38" s="891" t="s">
        <v>1877</v>
      </c>
      <c r="AK38" s="891" t="s">
        <v>32</v>
      </c>
      <c r="AL38" s="891" t="s">
        <v>34</v>
      </c>
      <c r="AM38" s="891" t="s">
        <v>32</v>
      </c>
      <c r="AN38" s="891" t="s">
        <v>34</v>
      </c>
      <c r="AO38" s="891" t="s">
        <v>32</v>
      </c>
      <c r="AP38" s="891" t="s">
        <v>32</v>
      </c>
      <c r="AQ38" s="891" t="s">
        <v>32</v>
      </c>
      <c r="AR38" s="891" t="s">
        <v>32</v>
      </c>
      <c r="AS38" s="891"/>
      <c r="AT38" s="909" t="s">
        <v>34</v>
      </c>
      <c r="AU38" s="891" t="s">
        <v>34</v>
      </c>
      <c r="AV38" s="910"/>
      <c r="AW38" s="910"/>
      <c r="AX38" s="891" t="s">
        <v>34</v>
      </c>
      <c r="AY38" s="891" t="s">
        <v>1877</v>
      </c>
      <c r="AZ38" s="891" t="s">
        <v>1886</v>
      </c>
      <c r="BA38" s="891" t="s">
        <v>35</v>
      </c>
      <c r="BB38" s="891" t="s">
        <v>34</v>
      </c>
      <c r="BC38" s="891" t="s">
        <v>1877</v>
      </c>
      <c r="BD38" s="891" t="s">
        <v>32</v>
      </c>
      <c r="BE38" s="891" t="s">
        <v>32</v>
      </c>
      <c r="BF38" s="891" t="s">
        <v>36</v>
      </c>
      <c r="BG38" s="891" t="s">
        <v>36</v>
      </c>
      <c r="BH38" s="891" t="s">
        <v>36</v>
      </c>
      <c r="BI38" s="891" t="s">
        <v>35</v>
      </c>
      <c r="BJ38" s="891" t="s">
        <v>35</v>
      </c>
      <c r="BK38" s="891" t="s">
        <v>34</v>
      </c>
      <c r="BL38" s="891"/>
      <c r="BM38" s="891"/>
      <c r="BN38" s="891" t="s">
        <v>1877</v>
      </c>
      <c r="BO38" s="891"/>
      <c r="BP38" s="891"/>
      <c r="BQ38" s="891"/>
      <c r="BR38" s="891"/>
      <c r="BS38" s="891"/>
      <c r="BT38" s="891"/>
      <c r="BU38" s="891"/>
      <c r="BV38" s="891"/>
      <c r="BW38" s="896"/>
      <c r="BX38" s="896"/>
      <c r="BY38" s="896"/>
      <c r="BZ38" s="896"/>
      <c r="CA38" s="896"/>
      <c r="CB38" s="896"/>
      <c r="CC38" s="896"/>
      <c r="CD38" s="896"/>
      <c r="CE38" s="896"/>
      <c r="CF38" s="896"/>
      <c r="CG38" s="896"/>
      <c r="CH38" s="428"/>
      <c r="CI38" s="428"/>
      <c r="CJ38" s="428"/>
      <c r="CK38" s="428"/>
      <c r="CL38" s="230" t="s">
        <v>32</v>
      </c>
      <c r="CM38" s="230" t="s">
        <v>32</v>
      </c>
      <c r="CN38" s="230" t="s">
        <v>32</v>
      </c>
      <c r="CO38" s="230" t="s">
        <v>32</v>
      </c>
      <c r="CP38" s="230" t="s">
        <v>32</v>
      </c>
      <c r="CQ38" s="230" t="s">
        <v>32</v>
      </c>
      <c r="CR38" s="230" t="s">
        <v>32</v>
      </c>
    </row>
    <row r="39" spans="1:123" ht="15">
      <c r="A39" s="882">
        <v>6364</v>
      </c>
      <c r="B39" s="884"/>
      <c r="C39" s="884"/>
      <c r="D39" s="884">
        <f ca="1">IF(I39=Table!$C$1,VLOOKUP(G39,Table!$B$38:$AO$61,Table!$AO$35-1,FALSE),"")</f>
        <v>0</v>
      </c>
      <c r="E39" s="884"/>
      <c r="F39" s="884">
        <f ca="1">IF(I39="","",IF(I39=Table!$C$1,VLOOKUP(G39,Table!$B$9:$AE$32,Table!$AE$6-1,FALSE),""))</f>
        <v>3</v>
      </c>
      <c r="G39" s="879" t="s">
        <v>1085</v>
      </c>
      <c r="H39" s="879" t="s">
        <v>18</v>
      </c>
      <c r="I39" s="879" t="s">
        <v>891</v>
      </c>
      <c r="J39" s="846">
        <v>3</v>
      </c>
      <c r="K39" s="846">
        <v>2</v>
      </c>
      <c r="L39" s="816" t="str">
        <f t="shared" si="32"/>
        <v>W</v>
      </c>
      <c r="M39" s="816">
        <f t="shared" si="33"/>
        <v>5</v>
      </c>
      <c r="N39" s="816" t="str">
        <f t="shared" si="34"/>
        <v>O</v>
      </c>
      <c r="O39" s="816">
        <f t="shared" si="23"/>
        <v>0.75</v>
      </c>
      <c r="P39" s="829">
        <f t="shared" si="25"/>
        <v>1</v>
      </c>
      <c r="Q39" s="830">
        <v>-0.86</v>
      </c>
      <c r="R39" s="871">
        <f t="shared" si="35"/>
        <v>1.8599999999999999</v>
      </c>
      <c r="S39" s="830">
        <v>2.71</v>
      </c>
      <c r="T39" s="871">
        <f t="shared" si="27"/>
        <v>2.29</v>
      </c>
      <c r="U39" s="868">
        <f t="shared" si="28"/>
        <v>0.92500000000000004</v>
      </c>
      <c r="V39" s="868">
        <f t="shared" si="29"/>
        <v>1.7849999999999999</v>
      </c>
      <c r="W39" s="829">
        <v>17</v>
      </c>
      <c r="X39" s="829">
        <v>19</v>
      </c>
      <c r="Y39" s="829">
        <v>5</v>
      </c>
      <c r="Z39" s="829">
        <v>10</v>
      </c>
      <c r="AA39" s="829">
        <v>36</v>
      </c>
      <c r="AB39" s="829">
        <v>64</v>
      </c>
      <c r="AC39" s="829"/>
      <c r="AD39" s="816" t="str">
        <f t="array" ref="AD39">IF($J39="","",IF(SUM(IF(ISNUMBER(VALUE(RIGHT($AG39:$DZ39,1))),VALUE(RIGHT($AG39:$DZ39,1)),0))=$J39,"T","F"))</f>
        <v>T</v>
      </c>
      <c r="AE39" s="831">
        <f t="array" ref="AE39">IF($J39="","",SUM(IF(LEFT($AG39:$DZ39,1)="s",1,0))-SUM(IF(RIGHT(LEFT($AG39:$DZ39,2))="-",1,0)))</f>
        <v>0</v>
      </c>
      <c r="AF39" s="816">
        <f t="array" ref="AF39">IF($J39="","",SUM(IF(LEFT($AG39:$DZ39,1)="X",1,0)))</f>
        <v>11</v>
      </c>
      <c r="AG39" s="891" t="s">
        <v>32</v>
      </c>
      <c r="AH39" s="891"/>
      <c r="AI39" s="891" t="s">
        <v>34</v>
      </c>
      <c r="AJ39" s="891" t="s">
        <v>1877</v>
      </c>
      <c r="AK39" s="891" t="s">
        <v>32</v>
      </c>
      <c r="AL39" s="891" t="s">
        <v>34</v>
      </c>
      <c r="AM39" s="891" t="s">
        <v>34</v>
      </c>
      <c r="AN39" s="904" t="s">
        <v>35</v>
      </c>
      <c r="AO39" s="891" t="s">
        <v>32</v>
      </c>
      <c r="AP39" s="891" t="s">
        <v>32</v>
      </c>
      <c r="AQ39" s="891" t="s">
        <v>32</v>
      </c>
      <c r="AR39" s="891" t="s">
        <v>32</v>
      </c>
      <c r="AS39" s="891"/>
      <c r="AT39" s="891" t="s">
        <v>2560</v>
      </c>
      <c r="AU39" s="891" t="s">
        <v>34</v>
      </c>
      <c r="AV39" s="910"/>
      <c r="AW39" s="910"/>
      <c r="AX39" s="891" t="s">
        <v>34</v>
      </c>
      <c r="AY39" s="891" t="s">
        <v>1877</v>
      </c>
      <c r="AZ39" s="891" t="s">
        <v>1886</v>
      </c>
      <c r="BA39" s="891" t="s">
        <v>34</v>
      </c>
      <c r="BB39" s="891" t="s">
        <v>34</v>
      </c>
      <c r="BC39" s="891" t="s">
        <v>1877</v>
      </c>
      <c r="BD39" s="891" t="s">
        <v>32</v>
      </c>
      <c r="BE39" s="891" t="s">
        <v>32</v>
      </c>
      <c r="BF39" s="891" t="s">
        <v>2561</v>
      </c>
      <c r="BG39" s="891" t="s">
        <v>36</v>
      </c>
      <c r="BH39" s="891" t="s">
        <v>1877</v>
      </c>
      <c r="BI39" s="904" t="s">
        <v>34</v>
      </c>
      <c r="BJ39" s="891" t="s">
        <v>35</v>
      </c>
      <c r="BK39" s="891" t="s">
        <v>2562</v>
      </c>
      <c r="BL39" s="891"/>
      <c r="BM39" s="891"/>
      <c r="BN39" s="891" t="s">
        <v>36</v>
      </c>
      <c r="BO39" s="891"/>
      <c r="BP39" s="891"/>
      <c r="BQ39" s="891"/>
      <c r="BR39" s="891"/>
      <c r="BS39" s="891"/>
      <c r="BT39" s="896"/>
      <c r="BU39" s="896"/>
      <c r="BV39" s="896"/>
      <c r="BW39" s="896"/>
      <c r="BX39" s="896"/>
      <c r="BY39" s="896"/>
      <c r="BZ39" s="896"/>
      <c r="CA39" s="896"/>
      <c r="CB39" s="896"/>
      <c r="CC39" s="896"/>
      <c r="CD39" s="896"/>
      <c r="CE39" s="896"/>
      <c r="CF39" s="896"/>
      <c r="CG39" s="896"/>
      <c r="CH39" s="428"/>
      <c r="CI39" s="428"/>
      <c r="CJ39" s="428"/>
      <c r="CK39" s="428"/>
      <c r="CL39" s="230" t="s">
        <v>32</v>
      </c>
      <c r="CM39" s="230" t="s">
        <v>32</v>
      </c>
      <c r="CN39" s="230" t="s">
        <v>32</v>
      </c>
      <c r="CO39" s="230" t="s">
        <v>32</v>
      </c>
      <c r="CP39" s="230" t="s">
        <v>32</v>
      </c>
      <c r="CQ39" s="230" t="s">
        <v>32</v>
      </c>
      <c r="CR39" s="230" t="s">
        <v>32</v>
      </c>
    </row>
    <row r="40" spans="1:123" ht="15">
      <c r="A40" s="882">
        <v>6372</v>
      </c>
      <c r="B40" s="884"/>
      <c r="C40" s="884"/>
      <c r="D40" s="884">
        <f ca="1">IF(I40=Table!$C$1,VLOOKUP(G40,Table!$B$38:$AO$61,Table!$AO$35-1,FALSE),"")</f>
        <v>0</v>
      </c>
      <c r="E40" s="884"/>
      <c r="F40" s="884">
        <f ca="1">IF(I40="","",IF(I40=Table!$C$1,VLOOKUP(G40,Table!$B$9:$AE$32,Table!$AE$6-1,FALSE),""))</f>
        <v>19</v>
      </c>
      <c r="G40" s="879" t="s">
        <v>885</v>
      </c>
      <c r="H40" s="879" t="s">
        <v>18</v>
      </c>
      <c r="I40" s="879" t="s">
        <v>891</v>
      </c>
      <c r="J40" s="846">
        <v>0</v>
      </c>
      <c r="K40" s="846">
        <v>1</v>
      </c>
      <c r="L40" s="816" t="str">
        <f t="shared" si="32"/>
        <v>L</v>
      </c>
      <c r="M40" s="816">
        <f t="shared" si="33"/>
        <v>1</v>
      </c>
      <c r="N40" s="816" t="str">
        <f t="shared" si="34"/>
        <v>U</v>
      </c>
      <c r="O40" s="816">
        <f t="shared" si="23"/>
        <v>0.25</v>
      </c>
      <c r="P40" s="829">
        <f t="shared" si="25"/>
        <v>-1</v>
      </c>
      <c r="Q40" s="830">
        <v>-0.25</v>
      </c>
      <c r="R40" s="871">
        <f t="shared" si="35"/>
        <v>-0.75</v>
      </c>
      <c r="S40" s="830">
        <v>2.38</v>
      </c>
      <c r="T40" s="871">
        <f t="shared" si="27"/>
        <v>-1.38</v>
      </c>
      <c r="U40" s="868">
        <f t="shared" si="28"/>
        <v>1.0649999999999999</v>
      </c>
      <c r="V40" s="868">
        <f t="shared" si="29"/>
        <v>1.3149999999999999</v>
      </c>
      <c r="W40" s="829">
        <v>12</v>
      </c>
      <c r="X40" s="829">
        <v>14</v>
      </c>
      <c r="Y40" s="829">
        <v>2</v>
      </c>
      <c r="Z40" s="829">
        <v>4</v>
      </c>
      <c r="AA40" s="829">
        <v>50</v>
      </c>
      <c r="AB40" s="829">
        <v>50</v>
      </c>
      <c r="AC40" s="829"/>
      <c r="AD40" s="816" t="str">
        <f t="array" ref="AD40">IF($J40="","",IF(SUM(IF(ISNUMBER(VALUE(RIGHT($AG40:$DZ40,1))),VALUE(RIGHT($AG40:$DZ40,1)),0))=$J40,"T","F"))</f>
        <v>T</v>
      </c>
      <c r="AE40" s="831">
        <f t="array" ref="AE40">IF($J40="","",SUM(IF(LEFT($AG40:$DZ40,1)="s",1,0))-SUM(IF(RIGHT(LEFT($AG40:$DZ40,2))="-",1,0)))</f>
        <v>0</v>
      </c>
      <c r="AF40" s="816">
        <f t="array" ref="AF40">IF($J40="","",SUM(IF(LEFT($AG40:$DZ40,1)="X",1,0)))</f>
        <v>11</v>
      </c>
      <c r="AG40" s="891"/>
      <c r="AH40" s="891" t="s">
        <v>2592</v>
      </c>
      <c r="AI40" s="891" t="s">
        <v>34</v>
      </c>
      <c r="AJ40" s="891" t="s">
        <v>1886</v>
      </c>
      <c r="AK40" s="891" t="s">
        <v>32</v>
      </c>
      <c r="AL40" s="891" t="s">
        <v>34</v>
      </c>
      <c r="AM40" s="891" t="s">
        <v>32</v>
      </c>
      <c r="AN40" s="891" t="s">
        <v>34</v>
      </c>
      <c r="AO40" s="891" t="s">
        <v>32</v>
      </c>
      <c r="AP40" s="891" t="s">
        <v>36</v>
      </c>
      <c r="AQ40" s="891" t="s">
        <v>32</v>
      </c>
      <c r="AR40" s="891" t="s">
        <v>32</v>
      </c>
      <c r="AS40" s="891"/>
      <c r="AT40" s="891" t="s">
        <v>34</v>
      </c>
      <c r="AU40" s="904" t="s">
        <v>34</v>
      </c>
      <c r="AV40" s="910"/>
      <c r="AW40" s="910"/>
      <c r="AX40" s="891" t="s">
        <v>35</v>
      </c>
      <c r="AY40" s="904" t="s">
        <v>36</v>
      </c>
      <c r="AZ40" s="891" t="s">
        <v>1886</v>
      </c>
      <c r="BA40" s="891" t="s">
        <v>34</v>
      </c>
      <c r="BB40" s="891" t="s">
        <v>35</v>
      </c>
      <c r="BC40" s="891" t="s">
        <v>32</v>
      </c>
      <c r="BD40" s="891" t="s">
        <v>32</v>
      </c>
      <c r="BE40" s="891" t="s">
        <v>32</v>
      </c>
      <c r="BF40" s="891" t="s">
        <v>35</v>
      </c>
      <c r="BG40" s="891" t="s">
        <v>1877</v>
      </c>
      <c r="BH40" s="891" t="s">
        <v>36</v>
      </c>
      <c r="BI40" s="891" t="s">
        <v>34</v>
      </c>
      <c r="BJ40" s="891" t="s">
        <v>1877</v>
      </c>
      <c r="BK40" s="891" t="s">
        <v>34</v>
      </c>
      <c r="BL40" s="891"/>
      <c r="BM40" s="891"/>
      <c r="BN40" s="891" t="s">
        <v>1877</v>
      </c>
      <c r="BO40" s="891"/>
      <c r="BP40" s="891"/>
      <c r="BQ40" s="891"/>
      <c r="BR40" s="891"/>
      <c r="BS40" s="891"/>
      <c r="BT40" s="896"/>
      <c r="BU40" s="891"/>
      <c r="BV40" s="891"/>
      <c r="BW40" s="896"/>
      <c r="BX40" s="896"/>
      <c r="BY40" s="896"/>
      <c r="BZ40" s="896"/>
      <c r="CA40" s="896"/>
      <c r="CB40" s="896"/>
      <c r="CC40" s="896"/>
      <c r="CD40" s="896"/>
      <c r="CE40" s="896"/>
      <c r="CF40" s="896"/>
      <c r="CG40" s="896"/>
      <c r="CH40" s="428"/>
      <c r="CI40" s="428"/>
      <c r="CJ40" s="428"/>
      <c r="CK40" s="428"/>
      <c r="CL40" s="230" t="s">
        <v>32</v>
      </c>
      <c r="CM40" s="230" t="s">
        <v>32</v>
      </c>
      <c r="CN40" s="230" t="s">
        <v>32</v>
      </c>
      <c r="CO40" s="230" t="s">
        <v>32</v>
      </c>
      <c r="CP40" s="230" t="s">
        <v>32</v>
      </c>
      <c r="CQ40" s="230" t="s">
        <v>32</v>
      </c>
      <c r="CR40" s="230" t="s">
        <v>32</v>
      </c>
    </row>
    <row r="41" spans="1:123" ht="15">
      <c r="A41" s="882">
        <v>6378</v>
      </c>
      <c r="B41" s="884"/>
      <c r="C41" s="884"/>
      <c r="D41" s="884">
        <f ca="1">IF(I41=Table!$C$1,VLOOKUP(G41,Table!$B$38:$AO$61,Table!$AO$35-1,FALSE),"")</f>
        <v>0</v>
      </c>
      <c r="E41" s="884"/>
      <c r="F41" s="884">
        <f ca="1">IF(I41="","",IF(I41=Table!$C$1,VLOOKUP(G41,Table!$B$9:$AE$32,Table!$AE$6-1,FALSE),""))</f>
        <v>20</v>
      </c>
      <c r="G41" s="879" t="s">
        <v>882</v>
      </c>
      <c r="H41" s="879" t="s">
        <v>22</v>
      </c>
      <c r="I41" s="879" t="s">
        <v>891</v>
      </c>
      <c r="J41" s="846">
        <v>3</v>
      </c>
      <c r="K41" s="846">
        <v>2</v>
      </c>
      <c r="L41" s="816" t="str">
        <f t="shared" si="32"/>
        <v>W</v>
      </c>
      <c r="M41" s="816">
        <f t="shared" si="33"/>
        <v>5</v>
      </c>
      <c r="N41" s="816" t="str">
        <f t="shared" si="34"/>
        <v>O</v>
      </c>
      <c r="O41" s="816">
        <f t="shared" si="23"/>
        <v>0</v>
      </c>
      <c r="P41" s="829">
        <f t="shared" si="25"/>
        <v>1</v>
      </c>
      <c r="Q41" s="830">
        <v>-0.11</v>
      </c>
      <c r="R41" s="871">
        <f t="shared" si="35"/>
        <v>1.1100000000000001</v>
      </c>
      <c r="S41" s="830">
        <v>2.38</v>
      </c>
      <c r="T41" s="871">
        <f t="shared" si="27"/>
        <v>2.62</v>
      </c>
      <c r="U41" s="868">
        <f t="shared" si="28"/>
        <v>1.135</v>
      </c>
      <c r="V41" s="868">
        <f t="shared" si="29"/>
        <v>1.2449999999999999</v>
      </c>
      <c r="W41" s="829">
        <v>12</v>
      </c>
      <c r="X41" s="829">
        <v>20</v>
      </c>
      <c r="Y41" s="829">
        <v>4</v>
      </c>
      <c r="Z41" s="829">
        <v>9</v>
      </c>
      <c r="AA41" s="829">
        <v>37</v>
      </c>
      <c r="AB41" s="829">
        <v>63</v>
      </c>
      <c r="AC41" s="829"/>
      <c r="AD41" s="816" t="str">
        <f t="array" ref="AD41">IF($J41="","",IF(SUM(IF(ISNUMBER(VALUE(RIGHT($AG41:$DZ41,1))),VALUE(RIGHT($AG41:$DZ41,1)),0))=$J41,"T","F"))</f>
        <v>T</v>
      </c>
      <c r="AE41" s="831">
        <f t="array" ref="AE41">IF($J41="","",SUM(IF(LEFT($AG41:$DZ41,1)="s",1,0))-SUM(IF(RIGHT(LEFT($AG41:$DZ41,2))="-",1,0)))</f>
        <v>0</v>
      </c>
      <c r="AF41" s="816">
        <f t="array" ref="AF41">IF($J41="","",SUM(IF(LEFT($AG41:$DZ41,1)="X",1,0)))</f>
        <v>11</v>
      </c>
      <c r="AG41" s="891" t="s">
        <v>32</v>
      </c>
      <c r="AH41" s="891" t="s">
        <v>1877</v>
      </c>
      <c r="AI41" s="891" t="s">
        <v>34</v>
      </c>
      <c r="AJ41" s="891" t="s">
        <v>1886</v>
      </c>
      <c r="AK41" s="891" t="s">
        <v>32</v>
      </c>
      <c r="AL41" s="891" t="s">
        <v>34</v>
      </c>
      <c r="AM41" s="891" t="s">
        <v>34</v>
      </c>
      <c r="AN41" s="891" t="s">
        <v>34</v>
      </c>
      <c r="AO41" s="891" t="s">
        <v>32</v>
      </c>
      <c r="AP41" s="891" t="s">
        <v>36</v>
      </c>
      <c r="AQ41" s="891" t="s">
        <v>32</v>
      </c>
      <c r="AR41" s="891" t="s">
        <v>32</v>
      </c>
      <c r="AS41" s="891"/>
      <c r="AT41" s="891" t="s">
        <v>1877</v>
      </c>
      <c r="AU41" s="891" t="s">
        <v>34</v>
      </c>
      <c r="AV41" s="910"/>
      <c r="AW41" s="910"/>
      <c r="AX41" s="891" t="s">
        <v>35</v>
      </c>
      <c r="AY41" s="891" t="s">
        <v>36</v>
      </c>
      <c r="AZ41" s="891" t="s">
        <v>1886</v>
      </c>
      <c r="BA41" s="891" t="s">
        <v>34</v>
      </c>
      <c r="BB41" s="891" t="s">
        <v>2675</v>
      </c>
      <c r="BC41" s="891" t="s">
        <v>32</v>
      </c>
      <c r="BD41" s="891" t="s">
        <v>32</v>
      </c>
      <c r="BE41" s="891" t="s">
        <v>32</v>
      </c>
      <c r="BF41" s="891" t="s">
        <v>1877</v>
      </c>
      <c r="BG41" s="891" t="s">
        <v>36</v>
      </c>
      <c r="BH41" s="891" t="s">
        <v>1877</v>
      </c>
      <c r="BI41" s="891" t="s">
        <v>2672</v>
      </c>
      <c r="BJ41" s="904" t="s">
        <v>35</v>
      </c>
      <c r="BK41" s="891" t="s">
        <v>35</v>
      </c>
      <c r="BL41" s="891">
        <v>1</v>
      </c>
      <c r="BM41" s="891"/>
      <c r="BN41" s="891" t="s">
        <v>32</v>
      </c>
      <c r="BO41" s="891"/>
      <c r="BP41" s="891"/>
      <c r="BQ41" s="891"/>
      <c r="BR41" s="891"/>
      <c r="BS41" s="891"/>
      <c r="BT41" s="896"/>
      <c r="BU41" s="891"/>
      <c r="BV41" s="896"/>
      <c r="BW41" s="896"/>
      <c r="BX41" s="896"/>
      <c r="BY41" s="896"/>
      <c r="BZ41" s="896"/>
      <c r="CA41" s="896"/>
      <c r="CB41" s="896"/>
      <c r="CC41" s="896"/>
      <c r="CD41" s="896"/>
      <c r="CE41" s="896"/>
      <c r="CF41" s="896"/>
      <c r="CG41" s="896"/>
      <c r="CH41" s="4"/>
      <c r="CI41" s="4"/>
      <c r="CJ41" s="4"/>
      <c r="CK41" s="4"/>
      <c r="CL41" s="6" t="s">
        <v>32</v>
      </c>
      <c r="CM41" s="6" t="s">
        <v>32</v>
      </c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</row>
    <row r="42" spans="1:123" ht="15">
      <c r="A42" s="912">
        <v>6382</v>
      </c>
      <c r="B42" s="894"/>
      <c r="C42" s="894"/>
      <c r="D42" s="894"/>
      <c r="E42" s="894"/>
      <c r="F42" s="894"/>
      <c r="G42" s="828" t="s">
        <v>883</v>
      </c>
      <c r="H42" s="828" t="s">
        <v>22</v>
      </c>
      <c r="I42" s="828" t="s">
        <v>2649</v>
      </c>
      <c r="J42" s="895">
        <v>2</v>
      </c>
      <c r="K42" s="895">
        <v>0</v>
      </c>
      <c r="L42" s="816" t="str">
        <f t="shared" ref="L42" si="36">IF(J42="","",IF(J42&gt;K42,"W",IF(J42=K42,"D",IF(J42&lt;K42,"L"))))</f>
        <v>W</v>
      </c>
      <c r="M42" s="816">
        <f t="shared" ref="M42" si="37">IF(J42="","",J42+K42)</f>
        <v>2</v>
      </c>
      <c r="N42" s="816" t="str">
        <f t="shared" si="34"/>
        <v>U</v>
      </c>
      <c r="O42" s="816" t="str">
        <f t="shared" ref="O42" si="38">IF(Q42="","",IF(SIGN(Q42)&lt;&gt;1,VLOOKUP(ABS(Q42),SUP_HDC,3,TRUE),-VLOOKUP(ABS(Q42),SUP_HDC,3,TRUE)))</f>
        <v/>
      </c>
      <c r="P42" s="829" t="str">
        <f t="shared" ref="P42" si="39">IF(O42="","",IF((J42-K42+O42)&gt;=0.5,1,IF((J42-K42+O42)=0.25,0.5,IF((J42-K42+O42)&lt;=-0.5,-1,IF((J42-K42+O42)=-0.25,-0.5,0)))))</f>
        <v/>
      </c>
      <c r="Q42" s="830"/>
      <c r="R42" s="871" t="str">
        <f t="shared" ref="R42" si="40">IF(ISBLANK(Q42),"",J42-K42-Q42)</f>
        <v/>
      </c>
      <c r="S42" s="830"/>
      <c r="T42" s="871" t="str">
        <f t="shared" ref="T42" si="41">IF(ISBLANK(S42),"",J42+K42-S42)</f>
        <v/>
      </c>
      <c r="U42" s="868" t="str">
        <f t="shared" ref="U42" si="42">IF(Q42="","",(Q42+S42)/2)</f>
        <v/>
      </c>
      <c r="V42" s="868" t="str">
        <f t="shared" ref="V42" si="43">IF(Q42="","",S42-U42)</f>
        <v/>
      </c>
      <c r="W42" s="829"/>
      <c r="X42" s="829"/>
      <c r="Y42" s="829"/>
      <c r="Z42" s="829"/>
      <c r="AA42" s="829"/>
      <c r="AB42" s="829"/>
      <c r="AC42" s="829"/>
      <c r="AD42" s="816" t="str">
        <f t="array" ref="AD42">IF($J42="","",IF(SUM(IF(ISNUMBER(VALUE(RIGHT($AG42:$DZ42,1))),VALUE(RIGHT($AG42:$DZ42,1)),0))=$J42,"T","F"))</f>
        <v>T</v>
      </c>
      <c r="AE42" s="831">
        <f t="array" ref="AE42">IF($J42="","",SUM(IF(LEFT($AG42:$DZ42,1)="s",1,0))-SUM(IF(RIGHT(LEFT($AG42:$DZ42,2))="-",1,0)))</f>
        <v>0</v>
      </c>
      <c r="AF42" s="816">
        <f t="array" ref="AF42">IF($J42="","",SUM(IF(LEFT($AG42:$DZ42,1)="X",1,0)))</f>
        <v>11</v>
      </c>
      <c r="AG42" s="891" t="s">
        <v>32</v>
      </c>
      <c r="AH42" s="891" t="s">
        <v>32</v>
      </c>
      <c r="AI42" s="891" t="s">
        <v>34</v>
      </c>
      <c r="AJ42" s="891" t="s">
        <v>1877</v>
      </c>
      <c r="AK42" s="891" t="s">
        <v>32</v>
      </c>
      <c r="AL42" s="891" t="s">
        <v>34</v>
      </c>
      <c r="AM42" s="891" t="s">
        <v>34</v>
      </c>
      <c r="AN42" s="891" t="s">
        <v>1877</v>
      </c>
      <c r="AO42" s="891" t="s">
        <v>32</v>
      </c>
      <c r="AP42" s="891" t="s">
        <v>34</v>
      </c>
      <c r="AQ42" s="891" t="s">
        <v>32</v>
      </c>
      <c r="AR42" s="891" t="s">
        <v>32</v>
      </c>
      <c r="AS42" s="891"/>
      <c r="AT42" s="891" t="s">
        <v>34</v>
      </c>
      <c r="AU42" s="891" t="s">
        <v>34</v>
      </c>
      <c r="AV42" s="891"/>
      <c r="AW42" s="910"/>
      <c r="AX42" s="904" t="s">
        <v>2718</v>
      </c>
      <c r="AY42" s="891" t="s">
        <v>1877</v>
      </c>
      <c r="AZ42" s="891" t="s">
        <v>1886</v>
      </c>
      <c r="BA42" s="891" t="s">
        <v>35</v>
      </c>
      <c r="BB42" s="891" t="s">
        <v>2718</v>
      </c>
      <c r="BC42" s="891" t="s">
        <v>36</v>
      </c>
      <c r="BD42" s="891" t="s">
        <v>32</v>
      </c>
      <c r="BE42" s="891" t="s">
        <v>32</v>
      </c>
      <c r="BF42" s="891" t="s">
        <v>36</v>
      </c>
      <c r="BG42" s="891" t="s">
        <v>35</v>
      </c>
      <c r="BH42" s="891" t="s">
        <v>35</v>
      </c>
      <c r="BI42" s="891" t="s">
        <v>32</v>
      </c>
      <c r="BJ42" s="891" t="s">
        <v>32</v>
      </c>
      <c r="BK42" s="891" t="s">
        <v>36</v>
      </c>
      <c r="BL42" s="891"/>
      <c r="BM42" s="891"/>
      <c r="BN42" s="891" t="s">
        <v>1877</v>
      </c>
      <c r="BO42" s="891"/>
      <c r="BP42" s="891"/>
      <c r="BQ42" s="891"/>
      <c r="BR42" s="891"/>
      <c r="BS42" s="891"/>
      <c r="BT42" s="896"/>
      <c r="BU42" s="891"/>
      <c r="BV42" s="896"/>
      <c r="BW42" s="896"/>
      <c r="BX42" s="896"/>
      <c r="BY42" s="896"/>
      <c r="BZ42" s="896"/>
      <c r="CA42" s="896"/>
      <c r="CB42" s="896"/>
      <c r="CC42" s="896"/>
      <c r="CD42" s="896"/>
      <c r="CE42" s="896"/>
      <c r="CF42" s="896"/>
      <c r="CG42" s="896"/>
      <c r="CH42" s="4"/>
      <c r="CI42" s="4"/>
      <c r="CJ42" s="4"/>
      <c r="CK42" s="4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</row>
    <row r="43" spans="1:123" ht="15">
      <c r="A43" s="882">
        <v>6386</v>
      </c>
      <c r="B43" s="884"/>
      <c r="C43" s="884"/>
      <c r="D43" s="884">
        <f ca="1">IF(I43=Table!$C$1,VLOOKUP(G43,Table!$B$38:$AO$61,Table!$AO$35-1,FALSE),"")</f>
        <v>0</v>
      </c>
      <c r="E43" s="884"/>
      <c r="F43" s="884">
        <f ca="1">IF(I43="","",IF(I43=Table!$C$1,VLOOKUP(G43,Table!$B$9:$AE$32,Table!$AE$6-1,FALSE),""))</f>
        <v>12</v>
      </c>
      <c r="G43" s="879" t="s">
        <v>879</v>
      </c>
      <c r="H43" s="879" t="s">
        <v>18</v>
      </c>
      <c r="I43" s="879" t="s">
        <v>891</v>
      </c>
      <c r="J43" s="846">
        <v>3</v>
      </c>
      <c r="K43" s="846">
        <v>1</v>
      </c>
      <c r="L43" s="816" t="str">
        <f t="shared" si="32"/>
        <v>W</v>
      </c>
      <c r="M43" s="816">
        <f t="shared" si="33"/>
        <v>4</v>
      </c>
      <c r="N43" s="816" t="str">
        <f t="shared" si="34"/>
        <v>O</v>
      </c>
      <c r="O43" s="816">
        <f t="shared" si="23"/>
        <v>0.75</v>
      </c>
      <c r="P43" s="829">
        <f t="shared" si="25"/>
        <v>1</v>
      </c>
      <c r="Q43" s="830">
        <v>-0.75</v>
      </c>
      <c r="R43" s="871">
        <f t="shared" si="35"/>
        <v>2.75</v>
      </c>
      <c r="S43" s="830">
        <v>2.5299999999999998</v>
      </c>
      <c r="T43" s="871">
        <f t="shared" si="27"/>
        <v>1.4700000000000002</v>
      </c>
      <c r="U43" s="868">
        <f t="shared" si="28"/>
        <v>0.8899999999999999</v>
      </c>
      <c r="V43" s="868">
        <f t="shared" si="29"/>
        <v>1.64</v>
      </c>
      <c r="W43" s="829">
        <v>10</v>
      </c>
      <c r="X43" s="829">
        <v>22</v>
      </c>
      <c r="Y43" s="829">
        <v>5</v>
      </c>
      <c r="Z43" s="829">
        <v>6</v>
      </c>
      <c r="AA43" s="829">
        <v>49</v>
      </c>
      <c r="AB43" s="829">
        <v>51</v>
      </c>
      <c r="AC43" s="829"/>
      <c r="AD43" s="816" t="str">
        <f t="array" ref="AD43">IF($J43="","",IF(SUM(IF(ISNUMBER(VALUE(RIGHT($AG43:$DZ43,1))),VALUE(RIGHT($AG43:$DZ43,1)),0))=$J43,"T","F"))</f>
        <v>T</v>
      </c>
      <c r="AE43" s="831">
        <f t="array" ref="AE43">IF($J43="","",SUM(IF(LEFT($AG43:$DZ43,1)="s",1,0))-SUM(IF(RIGHT(LEFT($AG43:$DZ43,2))="-",1,0)))</f>
        <v>0</v>
      </c>
      <c r="AF43" s="816">
        <f t="array" ref="AF43">IF($J43="","",SUM(IF(LEFT($AG43:$DZ43,1)="X",1,0)))</f>
        <v>11</v>
      </c>
      <c r="AG43" s="891" t="s">
        <v>32</v>
      </c>
      <c r="AH43" s="891" t="s">
        <v>1877</v>
      </c>
      <c r="AI43" s="891" t="s">
        <v>34</v>
      </c>
      <c r="AJ43" s="891" t="s">
        <v>32</v>
      </c>
      <c r="AK43" s="891" t="s">
        <v>32</v>
      </c>
      <c r="AL43" s="891" t="s">
        <v>34</v>
      </c>
      <c r="AM43" s="891" t="s">
        <v>34</v>
      </c>
      <c r="AN43" s="891" t="s">
        <v>36</v>
      </c>
      <c r="AO43" s="891" t="s">
        <v>32</v>
      </c>
      <c r="AP43" s="891" t="s">
        <v>34</v>
      </c>
      <c r="AQ43" s="891" t="s">
        <v>32</v>
      </c>
      <c r="AR43" s="891" t="s">
        <v>32</v>
      </c>
      <c r="AS43" s="891"/>
      <c r="AT43" s="891" t="s">
        <v>35</v>
      </c>
      <c r="AU43" s="891" t="s">
        <v>34</v>
      </c>
      <c r="AV43" s="891"/>
      <c r="AW43" s="910"/>
      <c r="AX43" s="891" t="s">
        <v>34</v>
      </c>
      <c r="AY43" s="891" t="s">
        <v>1877</v>
      </c>
      <c r="AZ43" s="891" t="s">
        <v>1886</v>
      </c>
      <c r="BA43" s="891" t="s">
        <v>35</v>
      </c>
      <c r="BB43" s="891" t="s">
        <v>2738</v>
      </c>
      <c r="BC43" s="891" t="s">
        <v>32</v>
      </c>
      <c r="BD43" s="891" t="s">
        <v>32</v>
      </c>
      <c r="BE43" s="891" t="s">
        <v>32</v>
      </c>
      <c r="BF43" s="891" t="s">
        <v>36</v>
      </c>
      <c r="BG43" s="904" t="s">
        <v>36</v>
      </c>
      <c r="BH43" s="891" t="s">
        <v>1877</v>
      </c>
      <c r="BI43" s="891" t="s">
        <v>2734</v>
      </c>
      <c r="BJ43" s="891" t="s">
        <v>1877</v>
      </c>
      <c r="BK43" s="891" t="s">
        <v>2734</v>
      </c>
      <c r="BL43" s="891"/>
      <c r="BM43" s="891"/>
      <c r="BN43" s="891" t="s">
        <v>32</v>
      </c>
      <c r="BO43" s="891"/>
      <c r="BP43" s="891"/>
      <c r="BQ43" s="891"/>
      <c r="BR43" s="891"/>
      <c r="BS43" s="891"/>
      <c r="BT43" s="896"/>
      <c r="BU43" s="896"/>
      <c r="BV43" s="896"/>
      <c r="BW43" s="896"/>
      <c r="BX43" s="896"/>
      <c r="BY43" s="896"/>
      <c r="BZ43" s="896"/>
      <c r="CA43" s="896"/>
      <c r="CB43" s="896"/>
      <c r="CC43" s="896"/>
      <c r="CD43" s="896"/>
      <c r="CE43" s="896"/>
      <c r="CF43" s="896"/>
      <c r="CG43" s="896"/>
      <c r="CH43" s="428"/>
      <c r="CI43" s="428"/>
      <c r="CJ43" s="428"/>
      <c r="CK43" s="428"/>
      <c r="CL43" s="230" t="s">
        <v>32</v>
      </c>
      <c r="CM43" s="230" t="s">
        <v>32</v>
      </c>
      <c r="CN43" s="230" t="s">
        <v>32</v>
      </c>
      <c r="CO43" s="230" t="s">
        <v>32</v>
      </c>
      <c r="CP43" s="230" t="s">
        <v>32</v>
      </c>
      <c r="CQ43" s="230" t="s">
        <v>32</v>
      </c>
      <c r="CR43" s="230" t="s">
        <v>32</v>
      </c>
    </row>
    <row r="44" spans="1:123" ht="15">
      <c r="A44" s="882">
        <v>6392</v>
      </c>
      <c r="B44" s="884"/>
      <c r="C44" s="884"/>
      <c r="D44" s="884">
        <f ca="1">IF(I44=Table!$C$1,VLOOKUP(G44,Table!$B$38:$AO$61,Table!$AO$35-1,FALSE),"")</f>
        <v>0</v>
      </c>
      <c r="E44" s="884"/>
      <c r="F44" s="884">
        <f ca="1">IF(I44="","",IF(I44=Table!$C$1,VLOOKUP(G44,Table!$B$9:$AE$32,Table!$AE$6-1,FALSE),""))</f>
        <v>10</v>
      </c>
      <c r="G44" s="879" t="s">
        <v>883</v>
      </c>
      <c r="H44" s="879" t="s">
        <v>22</v>
      </c>
      <c r="I44" s="879" t="s">
        <v>891</v>
      </c>
      <c r="J44" s="846">
        <v>3</v>
      </c>
      <c r="K44" s="846">
        <v>2</v>
      </c>
      <c r="L44" s="816" t="str">
        <f t="shared" si="32"/>
        <v>W</v>
      </c>
      <c r="M44" s="816">
        <f t="shared" si="33"/>
        <v>5</v>
      </c>
      <c r="N44" s="816" t="str">
        <f t="shared" si="34"/>
        <v>O</v>
      </c>
      <c r="O44" s="816">
        <f t="shared" si="23"/>
        <v>0.25</v>
      </c>
      <c r="P44" s="829">
        <f t="shared" si="25"/>
        <v>1</v>
      </c>
      <c r="Q44" s="830">
        <v>-0.28000000000000003</v>
      </c>
      <c r="R44" s="871">
        <f t="shared" si="35"/>
        <v>1.28</v>
      </c>
      <c r="S44" s="830">
        <v>2.38</v>
      </c>
      <c r="T44" s="871">
        <f t="shared" si="27"/>
        <v>2.62</v>
      </c>
      <c r="U44" s="868">
        <f t="shared" si="28"/>
        <v>1.0499999999999998</v>
      </c>
      <c r="V44" s="868">
        <f t="shared" si="29"/>
        <v>1.33</v>
      </c>
      <c r="W44" s="829">
        <v>13</v>
      </c>
      <c r="X44" s="829">
        <v>27</v>
      </c>
      <c r="Y44" s="829">
        <v>8</v>
      </c>
      <c r="Z44" s="829">
        <v>9</v>
      </c>
      <c r="AA44" s="829">
        <v>48</v>
      </c>
      <c r="AB44" s="829">
        <v>52</v>
      </c>
      <c r="AC44" s="829"/>
      <c r="AD44" s="816" t="str">
        <f t="array" ref="AD44">IF($J44="","",IF(SUM(IF(ISNUMBER(VALUE(RIGHT($AG44:$DZ44,1))),VALUE(RIGHT($AG44:$DZ44,1)),0))=$J44,"T","F"))</f>
        <v>T</v>
      </c>
      <c r="AE44" s="831">
        <f t="array" ref="AE44">IF($J44="","",SUM(IF(LEFT($AG44:$DZ44,1)="s",1,0))-SUM(IF(RIGHT(LEFT($AG44:$DZ44,2))="-",1,0)))</f>
        <v>0</v>
      </c>
      <c r="AF44" s="816">
        <f t="array" ref="AF44">IF($J44="","",SUM(IF(LEFT($AG44:$DZ44,1)="X",1,0)))</f>
        <v>11</v>
      </c>
      <c r="AG44" s="891" t="s">
        <v>32</v>
      </c>
      <c r="AH44" s="891" t="s">
        <v>1877</v>
      </c>
      <c r="AI44" s="891" t="s">
        <v>34</v>
      </c>
      <c r="AJ44" s="891" t="s">
        <v>32</v>
      </c>
      <c r="AK44" s="891" t="s">
        <v>32</v>
      </c>
      <c r="AL44" s="891" t="s">
        <v>34</v>
      </c>
      <c r="AM44" s="891" t="s">
        <v>34</v>
      </c>
      <c r="AN44" s="891" t="s">
        <v>1877</v>
      </c>
      <c r="AO44" s="891" t="s">
        <v>32</v>
      </c>
      <c r="AP44" s="891" t="s">
        <v>34</v>
      </c>
      <c r="AQ44" s="891" t="s">
        <v>32</v>
      </c>
      <c r="AR44" s="891" t="s">
        <v>32</v>
      </c>
      <c r="AS44" s="891"/>
      <c r="AT44" s="891" t="s">
        <v>35</v>
      </c>
      <c r="AU44" s="891" t="s">
        <v>34</v>
      </c>
      <c r="AV44" s="891" t="s">
        <v>2806</v>
      </c>
      <c r="AW44" s="910" t="s">
        <v>32</v>
      </c>
      <c r="AX44" s="891" t="s">
        <v>34</v>
      </c>
      <c r="AY44" s="891" t="s">
        <v>32</v>
      </c>
      <c r="AZ44" s="891" t="s">
        <v>1886</v>
      </c>
      <c r="BA44" s="904" t="s">
        <v>34</v>
      </c>
      <c r="BB44" s="891" t="s">
        <v>2800</v>
      </c>
      <c r="BC44" s="891" t="s">
        <v>32</v>
      </c>
      <c r="BD44" s="891" t="s">
        <v>32</v>
      </c>
      <c r="BE44" s="891" t="s">
        <v>32</v>
      </c>
      <c r="BF44" s="891" t="s">
        <v>36</v>
      </c>
      <c r="BG44" s="891" t="s">
        <v>36</v>
      </c>
      <c r="BH44" s="891" t="s">
        <v>1877</v>
      </c>
      <c r="BI44" s="891" t="s">
        <v>2803</v>
      </c>
      <c r="BJ44" s="891" t="s">
        <v>1877</v>
      </c>
      <c r="BK44" s="891" t="s">
        <v>2800</v>
      </c>
      <c r="BL44" s="891"/>
      <c r="BM44" s="891"/>
      <c r="BN44" s="891" t="s">
        <v>32</v>
      </c>
      <c r="BO44" s="891"/>
      <c r="BP44" s="891"/>
      <c r="BQ44" s="891"/>
      <c r="BR44" s="891"/>
      <c r="BS44" s="891"/>
      <c r="BT44" s="896"/>
      <c r="BU44" s="896"/>
      <c r="BV44" s="896"/>
      <c r="BW44" s="896"/>
      <c r="BX44" s="896"/>
      <c r="BY44" s="896"/>
      <c r="BZ44" s="896"/>
      <c r="CA44" s="896"/>
      <c r="CB44" s="896"/>
      <c r="CC44" s="896"/>
      <c r="CD44" s="896"/>
      <c r="CE44" s="896"/>
      <c r="CF44" s="896"/>
      <c r="CG44" s="896"/>
      <c r="CH44" s="428"/>
      <c r="CI44" s="428"/>
      <c r="CJ44" s="428"/>
      <c r="CK44" s="428"/>
    </row>
    <row r="45" spans="1:123" ht="15">
      <c r="A45" s="882">
        <v>6399</v>
      </c>
      <c r="B45" s="884"/>
      <c r="C45" s="884"/>
      <c r="D45" s="884">
        <f ca="1">IF(I45=Table!$C$1,VLOOKUP(G45,Table!$B$38:$AO$61,Table!$AO$35-1,FALSE),"")</f>
        <v>0</v>
      </c>
      <c r="E45" s="884"/>
      <c r="F45" s="884">
        <f ca="1">IF(I45="","",IF(I45=Table!$C$1,VLOOKUP(G45,Table!$B$9:$AE$32,Table!$AE$6-1,FALSE),""))</f>
        <v>4</v>
      </c>
      <c r="G45" s="879" t="s">
        <v>1084</v>
      </c>
      <c r="H45" s="879" t="s">
        <v>18</v>
      </c>
      <c r="I45" s="879" t="s">
        <v>891</v>
      </c>
      <c r="J45" s="846">
        <v>2</v>
      </c>
      <c r="K45" s="846">
        <v>0</v>
      </c>
      <c r="L45" s="816" t="str">
        <f t="shared" si="32"/>
        <v>W</v>
      </c>
      <c r="M45" s="816">
        <f t="shared" si="33"/>
        <v>2</v>
      </c>
      <c r="N45" s="816" t="str">
        <f t="shared" si="34"/>
        <v>U</v>
      </c>
      <c r="O45" s="816">
        <f t="shared" si="23"/>
        <v>1</v>
      </c>
      <c r="P45" s="829">
        <f t="shared" si="25"/>
        <v>1</v>
      </c>
      <c r="Q45" s="830">
        <v>-1.0900000000000001</v>
      </c>
      <c r="R45" s="871">
        <f t="shared" si="35"/>
        <v>3.09</v>
      </c>
      <c r="S45" s="830">
        <v>2.82</v>
      </c>
      <c r="T45" s="871">
        <f t="shared" si="27"/>
        <v>-0.81999999999999984</v>
      </c>
      <c r="U45" s="868">
        <f t="shared" si="28"/>
        <v>0.86499999999999988</v>
      </c>
      <c r="V45" s="868">
        <f t="shared" si="29"/>
        <v>1.9550000000000001</v>
      </c>
      <c r="W45" s="829">
        <v>12</v>
      </c>
      <c r="X45" s="829">
        <v>25</v>
      </c>
      <c r="Y45" s="829">
        <v>6</v>
      </c>
      <c r="Z45" s="829">
        <v>5</v>
      </c>
      <c r="AA45" s="829">
        <v>42</v>
      </c>
      <c r="AB45" s="829">
        <v>58</v>
      </c>
      <c r="AC45" s="829"/>
      <c r="AD45" s="816" t="str">
        <f t="array" ref="AD45">IF($J45="","",IF(SUM(IF(ISNUMBER(VALUE(RIGHT($AG45:$DZ45,1))),VALUE(RIGHT($AG45:$DZ45,1)),0))=$J45,"T","F"))</f>
        <v>T</v>
      </c>
      <c r="AE45" s="831">
        <f t="array" ref="AE45">IF($J45="","",SUM(IF(LEFT($AG45:$DZ45,1)="s",1,0))-SUM(IF(RIGHT(LEFT($AG45:$DZ45,2))="-",1,0)))</f>
        <v>0</v>
      </c>
      <c r="AF45" s="816">
        <f t="array" ref="AF45">IF($J45="","",SUM(IF(LEFT($AG45:$DZ45,1)="X",1,0)))</f>
        <v>11</v>
      </c>
      <c r="AG45" s="891" t="s">
        <v>32</v>
      </c>
      <c r="AH45" s="891" t="s">
        <v>1877</v>
      </c>
      <c r="AI45" s="891" t="s">
        <v>34</v>
      </c>
      <c r="AJ45" s="891" t="s">
        <v>32</v>
      </c>
      <c r="AK45" s="891" t="s">
        <v>32</v>
      </c>
      <c r="AL45" s="891" t="s">
        <v>34</v>
      </c>
      <c r="AM45" s="891" t="s">
        <v>35</v>
      </c>
      <c r="AN45" s="904" t="s">
        <v>36</v>
      </c>
      <c r="AO45" s="891" t="s">
        <v>32</v>
      </c>
      <c r="AP45" s="891" t="s">
        <v>35</v>
      </c>
      <c r="AQ45" s="891" t="s">
        <v>32</v>
      </c>
      <c r="AR45" s="891" t="s">
        <v>32</v>
      </c>
      <c r="AS45" s="891"/>
      <c r="AT45" s="891" t="s">
        <v>32</v>
      </c>
      <c r="AU45" s="891" t="s">
        <v>34</v>
      </c>
      <c r="AV45" s="891" t="s">
        <v>34</v>
      </c>
      <c r="AW45" s="910" t="s">
        <v>32</v>
      </c>
      <c r="AX45" s="891" t="s">
        <v>34</v>
      </c>
      <c r="AY45" s="891" t="s">
        <v>1877</v>
      </c>
      <c r="AZ45" s="891" t="s">
        <v>1886</v>
      </c>
      <c r="BA45" s="891" t="s">
        <v>2841</v>
      </c>
      <c r="BB45" s="891" t="s">
        <v>34</v>
      </c>
      <c r="BC45" s="891" t="s">
        <v>32</v>
      </c>
      <c r="BD45" s="891" t="s">
        <v>32</v>
      </c>
      <c r="BE45" s="891" t="s">
        <v>32</v>
      </c>
      <c r="BF45" s="891" t="s">
        <v>36</v>
      </c>
      <c r="BG45" s="891" t="s">
        <v>36</v>
      </c>
      <c r="BH45" s="891" t="s">
        <v>1877</v>
      </c>
      <c r="BI45" s="891" t="s">
        <v>34</v>
      </c>
      <c r="BJ45" s="891" t="s">
        <v>1877</v>
      </c>
      <c r="BK45" s="891" t="s">
        <v>35</v>
      </c>
      <c r="BL45" s="891"/>
      <c r="BM45" s="891"/>
      <c r="BN45" s="891" t="s">
        <v>32</v>
      </c>
      <c r="BO45" s="891"/>
      <c r="BP45" s="891"/>
      <c r="BQ45" s="891"/>
      <c r="BR45" s="891"/>
      <c r="BS45" s="891"/>
      <c r="BT45" s="896"/>
      <c r="BU45" s="891"/>
      <c r="BV45" s="896"/>
      <c r="BW45" s="896"/>
      <c r="BX45" s="896"/>
      <c r="BY45" s="896"/>
      <c r="BZ45" s="896"/>
      <c r="CA45" s="891"/>
      <c r="CB45" s="891"/>
      <c r="CC45" s="891"/>
      <c r="CD45" s="891"/>
      <c r="CE45" s="891"/>
      <c r="CF45" s="891"/>
      <c r="CG45" s="891"/>
      <c r="CH45" s="428"/>
      <c r="CI45" s="428"/>
      <c r="CJ45" s="428"/>
      <c r="CK45" s="428"/>
    </row>
    <row r="46" spans="1:123" ht="15">
      <c r="A46" s="912">
        <v>6403</v>
      </c>
      <c r="B46" s="894"/>
      <c r="C46" s="894"/>
      <c r="D46" s="894"/>
      <c r="E46" s="894"/>
      <c r="F46" s="894"/>
      <c r="G46" s="828" t="s">
        <v>2769</v>
      </c>
      <c r="H46" s="828" t="s">
        <v>2759</v>
      </c>
      <c r="I46" s="828" t="s">
        <v>2649</v>
      </c>
      <c r="J46" s="898">
        <v>1</v>
      </c>
      <c r="K46" s="898">
        <v>3</v>
      </c>
      <c r="L46" s="816" t="str">
        <f t="shared" si="32"/>
        <v>L</v>
      </c>
      <c r="M46" s="816">
        <f t="shared" si="33"/>
        <v>4</v>
      </c>
      <c r="N46" s="816" t="str">
        <f t="shared" si="34"/>
        <v>O</v>
      </c>
      <c r="O46" s="816"/>
      <c r="P46" s="829"/>
      <c r="Q46" s="830"/>
      <c r="R46" s="871" t="str">
        <f t="shared" si="35"/>
        <v/>
      </c>
      <c r="S46" s="830"/>
      <c r="T46" s="871" t="str">
        <f t="shared" si="27"/>
        <v/>
      </c>
      <c r="U46" s="868"/>
      <c r="V46" s="868"/>
      <c r="W46" s="829"/>
      <c r="X46" s="829"/>
      <c r="Y46" s="829"/>
      <c r="Z46" s="829"/>
      <c r="AA46" s="829"/>
      <c r="AB46" s="829"/>
      <c r="AC46" s="829"/>
      <c r="AE46" s="831"/>
      <c r="AG46" s="891" t="s">
        <v>32</v>
      </c>
      <c r="AH46" s="891" t="s">
        <v>32</v>
      </c>
      <c r="AI46" s="891" t="s">
        <v>34</v>
      </c>
      <c r="AJ46" s="891" t="s">
        <v>1877</v>
      </c>
      <c r="AK46" s="891" t="s">
        <v>1877</v>
      </c>
      <c r="AL46" s="891" t="s">
        <v>34</v>
      </c>
      <c r="AM46" s="891" t="s">
        <v>34</v>
      </c>
      <c r="AN46" s="904" t="s">
        <v>34</v>
      </c>
      <c r="AO46" s="891" t="s">
        <v>32</v>
      </c>
      <c r="AP46" s="891" t="s">
        <v>34</v>
      </c>
      <c r="AQ46" s="891" t="s">
        <v>32</v>
      </c>
      <c r="AR46" s="891" t="s">
        <v>32</v>
      </c>
      <c r="AS46" s="891"/>
      <c r="AT46" s="891" t="s">
        <v>32</v>
      </c>
      <c r="AU46" s="891" t="s">
        <v>34</v>
      </c>
      <c r="AV46" s="891" t="s">
        <v>32</v>
      </c>
      <c r="AW46" s="910" t="s">
        <v>32</v>
      </c>
      <c r="AX46" s="891" t="s">
        <v>34</v>
      </c>
      <c r="AY46" s="891" t="s">
        <v>1877</v>
      </c>
      <c r="AZ46" s="891" t="s">
        <v>1886</v>
      </c>
      <c r="BA46" s="891" t="s">
        <v>35</v>
      </c>
      <c r="BB46" s="891" t="s">
        <v>36</v>
      </c>
      <c r="BC46" s="891" t="s">
        <v>32</v>
      </c>
      <c r="BD46" s="891" t="s">
        <v>32</v>
      </c>
      <c r="BE46" s="891" t="s">
        <v>32</v>
      </c>
      <c r="BF46" s="891" t="s">
        <v>2852</v>
      </c>
      <c r="BG46" s="891" t="s">
        <v>35</v>
      </c>
      <c r="BH46" s="891" t="s">
        <v>36</v>
      </c>
      <c r="BI46" s="891" t="s">
        <v>34</v>
      </c>
      <c r="BJ46" s="891" t="s">
        <v>1877</v>
      </c>
      <c r="BK46" s="891" t="s">
        <v>36</v>
      </c>
      <c r="BL46" s="891"/>
      <c r="BM46" s="891"/>
      <c r="BN46" s="891" t="s">
        <v>32</v>
      </c>
      <c r="BO46" s="891"/>
      <c r="BP46" s="891"/>
      <c r="BQ46" s="891"/>
      <c r="BR46" s="891"/>
      <c r="BS46" s="891"/>
      <c r="BT46" s="896"/>
      <c r="BU46" s="891"/>
      <c r="BV46" s="896"/>
      <c r="BW46" s="896"/>
      <c r="BX46" s="896"/>
      <c r="BY46" s="896"/>
      <c r="BZ46" s="896"/>
      <c r="CA46" s="891"/>
      <c r="CB46" s="891"/>
      <c r="CC46" s="891"/>
      <c r="CD46" s="891"/>
      <c r="CE46" s="891"/>
      <c r="CF46" s="891"/>
      <c r="CG46" s="891"/>
      <c r="CH46" s="428"/>
      <c r="CI46" s="428"/>
      <c r="CJ46" s="428"/>
      <c r="CK46" s="428"/>
    </row>
    <row r="47" spans="1:123" ht="15">
      <c r="A47" s="882">
        <v>6406</v>
      </c>
      <c r="B47" s="884"/>
      <c r="C47" s="884"/>
      <c r="D47" s="884">
        <f ca="1">IF(I47=Table!$C$1,VLOOKUP(G47,Table!$B$38:$AO$61,Table!$AO$35-1,FALSE),"")</f>
        <v>0</v>
      </c>
      <c r="E47" s="884"/>
      <c r="F47" s="884">
        <f ca="1">IF(I47="","",IF(I47=Table!$C$1,VLOOKUP(G47,Table!$B$9:$AE$32,Table!$AE$6-1,FALSE),""))</f>
        <v>13</v>
      </c>
      <c r="G47" s="879" t="s">
        <v>884</v>
      </c>
      <c r="H47" s="879" t="s">
        <v>22</v>
      </c>
      <c r="I47" s="879" t="s">
        <v>891</v>
      </c>
      <c r="J47" s="846">
        <v>1</v>
      </c>
      <c r="K47" s="846">
        <v>2</v>
      </c>
      <c r="L47" s="816" t="str">
        <f t="shared" si="32"/>
        <v>L</v>
      </c>
      <c r="M47" s="816">
        <f t="shared" si="33"/>
        <v>3</v>
      </c>
      <c r="N47" s="816" t="str">
        <f t="shared" si="34"/>
        <v>O</v>
      </c>
      <c r="O47" s="816">
        <f t="shared" si="23"/>
        <v>0.25</v>
      </c>
      <c r="P47" s="829">
        <f t="shared" si="25"/>
        <v>-1</v>
      </c>
      <c r="Q47" s="830">
        <v>-0.26</v>
      </c>
      <c r="R47" s="871">
        <f t="shared" si="35"/>
        <v>-0.74</v>
      </c>
      <c r="S47" s="830">
        <v>2.44</v>
      </c>
      <c r="T47" s="871">
        <f t="shared" si="27"/>
        <v>0.56000000000000005</v>
      </c>
      <c r="U47" s="868">
        <f t="shared" si="28"/>
        <v>1.0899999999999999</v>
      </c>
      <c r="V47" s="868">
        <f t="shared" si="29"/>
        <v>1.35</v>
      </c>
      <c r="W47" s="829">
        <v>12</v>
      </c>
      <c r="X47" s="829">
        <v>16</v>
      </c>
      <c r="Y47" s="829">
        <v>4</v>
      </c>
      <c r="Z47" s="829">
        <v>5</v>
      </c>
      <c r="AA47" s="829">
        <v>52</v>
      </c>
      <c r="AB47" s="829">
        <v>48</v>
      </c>
      <c r="AC47" s="829"/>
      <c r="AD47" s="816" t="str">
        <f t="array" ref="AD47">IF($J47="","",IF(SUM(IF(ISNUMBER(VALUE(RIGHT($AG47:$DZ47,1))),VALUE(RIGHT($AG47:$DZ47,1)),0))=$J47,"T","F"))</f>
        <v>T</v>
      </c>
      <c r="AE47" s="831">
        <f t="array" ref="AE47">IF($J47="","",SUM(IF(LEFT($AG47:$DZ47,1)="s",1,0))-SUM(IF(RIGHT(LEFT($AG47:$DZ47,2))="-",1,0)))</f>
        <v>0</v>
      </c>
      <c r="AF47" s="816">
        <f t="array" ref="AF47">IF($J47="","",SUM(IF(LEFT($AG47:$DZ47,1)="X",1,0)))</f>
        <v>11</v>
      </c>
      <c r="AG47" s="891" t="s">
        <v>32</v>
      </c>
      <c r="AH47" s="891" t="s">
        <v>1877</v>
      </c>
      <c r="AI47" s="891" t="s">
        <v>34</v>
      </c>
      <c r="AJ47" s="891" t="s">
        <v>32</v>
      </c>
      <c r="AK47" s="891" t="s">
        <v>32</v>
      </c>
      <c r="AL47" s="891" t="s">
        <v>34</v>
      </c>
      <c r="AM47" s="891" t="s">
        <v>35</v>
      </c>
      <c r="AN47" s="891" t="s">
        <v>36</v>
      </c>
      <c r="AO47" s="891" t="s">
        <v>32</v>
      </c>
      <c r="AP47" s="891" t="s">
        <v>35</v>
      </c>
      <c r="AQ47" s="891" t="s">
        <v>32</v>
      </c>
      <c r="AR47" s="891" t="s">
        <v>32</v>
      </c>
      <c r="AS47" s="891"/>
      <c r="AT47" s="891" t="s">
        <v>32</v>
      </c>
      <c r="AU47" s="891" t="s">
        <v>34</v>
      </c>
      <c r="AV47" s="891" t="s">
        <v>34</v>
      </c>
      <c r="AW47" s="910" t="s">
        <v>32</v>
      </c>
      <c r="AX47" s="891" t="s">
        <v>34</v>
      </c>
      <c r="AY47" s="891" t="s">
        <v>1877</v>
      </c>
      <c r="AZ47" s="891" t="s">
        <v>1886</v>
      </c>
      <c r="BA47" s="891" t="s">
        <v>35</v>
      </c>
      <c r="BB47" s="891" t="s">
        <v>34</v>
      </c>
      <c r="BC47" s="891" t="s">
        <v>32</v>
      </c>
      <c r="BD47" s="891" t="s">
        <v>32</v>
      </c>
      <c r="BE47" s="891" t="s">
        <v>32</v>
      </c>
      <c r="BF47" s="891" t="s">
        <v>36</v>
      </c>
      <c r="BG47" s="891" t="s">
        <v>36</v>
      </c>
      <c r="BH47" s="891" t="s">
        <v>1877</v>
      </c>
      <c r="BI47" s="891" t="s">
        <v>2883</v>
      </c>
      <c r="BJ47" s="891" t="s">
        <v>1877</v>
      </c>
      <c r="BK47" s="891" t="s">
        <v>34</v>
      </c>
      <c r="BL47" s="891"/>
      <c r="BM47" s="891"/>
      <c r="BN47" s="891" t="s">
        <v>32</v>
      </c>
      <c r="BO47" s="891"/>
      <c r="BP47" s="891"/>
      <c r="BQ47" s="891"/>
      <c r="BR47" s="891"/>
      <c r="BS47" s="891"/>
      <c r="BT47" s="896"/>
      <c r="BU47" s="896"/>
      <c r="BV47" s="896"/>
      <c r="BW47" s="896"/>
      <c r="BX47" s="896"/>
      <c r="BY47" s="896"/>
      <c r="BZ47" s="896"/>
      <c r="CA47" s="896"/>
      <c r="CB47" s="896"/>
      <c r="CC47" s="896"/>
      <c r="CD47" s="896"/>
      <c r="CE47" s="896"/>
      <c r="CF47" s="896"/>
      <c r="CG47" s="896"/>
      <c r="CH47" s="428"/>
      <c r="CI47" s="428"/>
      <c r="CJ47" s="428"/>
      <c r="CK47" s="428"/>
    </row>
    <row r="48" spans="1:123" ht="15">
      <c r="A48" s="882">
        <v>6413</v>
      </c>
      <c r="B48" s="884"/>
      <c r="C48" s="884"/>
      <c r="D48" s="884">
        <f ca="1">IF(I48=Table!$C$1,VLOOKUP(G48,Table!$B$38:$AO$61,Table!$AO$35-1,FALSE),"")</f>
        <v>0</v>
      </c>
      <c r="E48" s="884"/>
      <c r="F48" s="884">
        <f ca="1">IF(I48="","",IF(I48=Table!$C$1,VLOOKUP(G48,Table!$B$9:$AE$32,Table!$AE$6-1,FALSE),""))</f>
        <v>6</v>
      </c>
      <c r="G48" s="879" t="s">
        <v>876</v>
      </c>
      <c r="H48" s="879" t="s">
        <v>18</v>
      </c>
      <c r="I48" s="879" t="s">
        <v>891</v>
      </c>
      <c r="J48" s="846">
        <v>0</v>
      </c>
      <c r="K48" s="846">
        <v>2</v>
      </c>
      <c r="L48" s="816" t="str">
        <f t="shared" si="32"/>
        <v>L</v>
      </c>
      <c r="M48" s="816">
        <f t="shared" si="33"/>
        <v>2</v>
      </c>
      <c r="N48" s="816" t="str">
        <f t="shared" si="34"/>
        <v>U</v>
      </c>
      <c r="O48" s="816">
        <f t="shared" si="23"/>
        <v>0.75</v>
      </c>
      <c r="P48" s="829">
        <f t="shared" si="25"/>
        <v>-1</v>
      </c>
      <c r="Q48" s="830">
        <v>-0.93</v>
      </c>
      <c r="R48" s="871">
        <f t="shared" si="35"/>
        <v>-1.0699999999999998</v>
      </c>
      <c r="S48" s="830">
        <v>3.06</v>
      </c>
      <c r="T48" s="871">
        <f t="shared" si="27"/>
        <v>-1.06</v>
      </c>
      <c r="U48" s="868">
        <f t="shared" si="28"/>
        <v>1.0649999999999999</v>
      </c>
      <c r="V48" s="868">
        <f t="shared" si="29"/>
        <v>1.9950000000000001</v>
      </c>
      <c r="W48" s="829">
        <v>7</v>
      </c>
      <c r="X48" s="829">
        <v>16</v>
      </c>
      <c r="Y48" s="829">
        <v>2</v>
      </c>
      <c r="Z48" s="829">
        <v>10</v>
      </c>
      <c r="AA48" s="829">
        <v>39</v>
      </c>
      <c r="AB48" s="829">
        <v>61</v>
      </c>
      <c r="AC48" s="829"/>
      <c r="AD48" s="816" t="str">
        <f t="array" ref="AD48">IF($J48="","",IF(SUM(IF(ISNUMBER(VALUE(RIGHT($AG48:$DZ48,1))),VALUE(RIGHT($AG48:$DZ48,1)),0))=$J48,"T","F"))</f>
        <v>T</v>
      </c>
      <c r="AE48" s="831">
        <f t="array" ref="AE48">IF($J48="","",SUM(IF(LEFT($AG48:$DZ48,1)="s",1,0))-SUM(IF(RIGHT(LEFT($AG48:$DZ48,2))="-",1,0)))</f>
        <v>0</v>
      </c>
      <c r="AF48" s="816">
        <f t="array" ref="AF48">IF($J48="","",SUM(IF(LEFT($AG48:$DZ48,1)="X",1,0)))</f>
        <v>11</v>
      </c>
      <c r="AG48" s="891" t="s">
        <v>32</v>
      </c>
      <c r="AH48" s="891" t="s">
        <v>1877</v>
      </c>
      <c r="AI48" s="891" t="s">
        <v>34</v>
      </c>
      <c r="AJ48" s="891" t="s">
        <v>32</v>
      </c>
      <c r="AK48" s="891" t="s">
        <v>32</v>
      </c>
      <c r="AL48" s="891" t="s">
        <v>34</v>
      </c>
      <c r="AM48" s="891" t="s">
        <v>36</v>
      </c>
      <c r="AN48" s="891" t="s">
        <v>34</v>
      </c>
      <c r="AO48" s="891" t="s">
        <v>32</v>
      </c>
      <c r="AP48" s="891" t="s">
        <v>34</v>
      </c>
      <c r="AQ48" s="891" t="s">
        <v>32</v>
      </c>
      <c r="AR48" s="891" t="s">
        <v>32</v>
      </c>
      <c r="AS48" s="891"/>
      <c r="AT48" s="891" t="s">
        <v>32</v>
      </c>
      <c r="AU48" s="904" t="s">
        <v>34</v>
      </c>
      <c r="AV48" s="891" t="s">
        <v>34</v>
      </c>
      <c r="AW48" s="891" t="s">
        <v>32</v>
      </c>
      <c r="AX48" s="891" t="s">
        <v>35</v>
      </c>
      <c r="AY48" s="891" t="s">
        <v>1877</v>
      </c>
      <c r="AZ48" s="891" t="s">
        <v>1886</v>
      </c>
      <c r="BA48" s="891" t="s">
        <v>35</v>
      </c>
      <c r="BB48" s="891" t="s">
        <v>35</v>
      </c>
      <c r="BC48" s="891" t="s">
        <v>32</v>
      </c>
      <c r="BD48" s="891" t="s">
        <v>32</v>
      </c>
      <c r="BE48" s="891" t="s">
        <v>32</v>
      </c>
      <c r="BF48" s="891" t="s">
        <v>36</v>
      </c>
      <c r="BG48" s="891" t="s">
        <v>36</v>
      </c>
      <c r="BH48" s="891" t="s">
        <v>1877</v>
      </c>
      <c r="BI48" s="891" t="s">
        <v>34</v>
      </c>
      <c r="BJ48" s="891" t="s">
        <v>1877</v>
      </c>
      <c r="BK48" s="891" t="s">
        <v>34</v>
      </c>
      <c r="BL48" s="891"/>
      <c r="BM48" s="891"/>
      <c r="BN48" s="891" t="s">
        <v>32</v>
      </c>
      <c r="BO48" s="891"/>
      <c r="BP48" s="891"/>
      <c r="BQ48" s="891"/>
      <c r="BR48" s="891"/>
      <c r="BS48" s="891"/>
      <c r="BT48" s="896"/>
      <c r="BU48" s="896"/>
      <c r="BV48" s="896"/>
      <c r="BW48" s="896"/>
      <c r="BX48" s="896"/>
      <c r="BY48" s="896"/>
      <c r="BZ48" s="896"/>
      <c r="CA48" s="896"/>
      <c r="CB48" s="896"/>
      <c r="CC48" s="896"/>
      <c r="CD48" s="896"/>
      <c r="CE48" s="896"/>
      <c r="CF48" s="896"/>
      <c r="CG48" s="896"/>
      <c r="CH48" s="428"/>
      <c r="CI48" s="428"/>
      <c r="CJ48" s="428"/>
      <c r="CK48" s="428"/>
    </row>
    <row r="49" spans="1:89" ht="15">
      <c r="A49" s="882">
        <v>6420</v>
      </c>
      <c r="B49" s="884"/>
      <c r="C49" s="884"/>
      <c r="D49" s="884">
        <f ca="1">IF(I49=Table!$C$1,VLOOKUP(G49,Table!$B$38:$AO$61,Table!$AO$35-1,FALSE),"")</f>
        <v>0</v>
      </c>
      <c r="E49" s="884"/>
      <c r="F49" s="884">
        <f ca="1">IF(I49="","",IF(I49=Table!$C$1,VLOOKUP(G49,Table!$B$9:$AE$32,Table!$AE$6-1,FALSE),""))</f>
        <v>8</v>
      </c>
      <c r="G49" s="879" t="s">
        <v>880</v>
      </c>
      <c r="H49" s="879" t="s">
        <v>18</v>
      </c>
      <c r="I49" s="879" t="s">
        <v>891</v>
      </c>
      <c r="J49" s="846">
        <v>0</v>
      </c>
      <c r="K49" s="846">
        <v>4</v>
      </c>
      <c r="L49" s="816" t="str">
        <f t="shared" si="32"/>
        <v>L</v>
      </c>
      <c r="M49" s="816">
        <f t="shared" si="33"/>
        <v>4</v>
      </c>
      <c r="N49" s="816" t="str">
        <f t="shared" si="34"/>
        <v>O</v>
      </c>
      <c r="O49" s="816">
        <f t="shared" si="23"/>
        <v>1</v>
      </c>
      <c r="P49" s="829">
        <f t="shared" si="25"/>
        <v>-1</v>
      </c>
      <c r="Q49" s="830">
        <v>-0.97</v>
      </c>
      <c r="R49" s="871">
        <f t="shared" si="35"/>
        <v>-3.0300000000000002</v>
      </c>
      <c r="S49" s="830">
        <v>2.71</v>
      </c>
      <c r="T49" s="871">
        <f t="shared" si="27"/>
        <v>1.29</v>
      </c>
      <c r="U49" s="868">
        <f t="shared" si="28"/>
        <v>0.87</v>
      </c>
      <c r="V49" s="868">
        <f t="shared" si="29"/>
        <v>1.8399999999999999</v>
      </c>
      <c r="W49" s="829">
        <v>17</v>
      </c>
      <c r="X49" s="829">
        <v>14</v>
      </c>
      <c r="Y49" s="829">
        <v>4</v>
      </c>
      <c r="Z49" s="829">
        <v>6</v>
      </c>
      <c r="AA49" s="829">
        <v>45</v>
      </c>
      <c r="AB49" s="816">
        <v>55</v>
      </c>
      <c r="AC49" s="829"/>
      <c r="AD49" s="816" t="str">
        <f t="array" ref="AD49">IF($J49="","",IF(SUM(IF(ISNUMBER(VALUE(RIGHT($AG49:$DZ49,1))),VALUE(RIGHT($AG49:$DZ49,1)),0))=$J49,"T","F"))</f>
        <v>T</v>
      </c>
      <c r="AE49" s="831">
        <f t="array" ref="AE49">IF($J49="","",SUM(IF(LEFT($AG49:$DZ49,1)="s",1,0))-SUM(IF(RIGHT(LEFT($AG49:$DZ49,2))="-",1,0)))</f>
        <v>0</v>
      </c>
      <c r="AF49" s="816">
        <f t="array" ref="AF49">IF($J49="","",SUM(IF(LEFT($AG49:$DZ49,1)="X",1,0)))</f>
        <v>11</v>
      </c>
      <c r="AG49" s="891" t="s">
        <v>32</v>
      </c>
      <c r="AH49" s="891" t="s">
        <v>1877</v>
      </c>
      <c r="AI49" s="891" t="s">
        <v>34</v>
      </c>
      <c r="AJ49" s="891" t="s">
        <v>32</v>
      </c>
      <c r="AK49" s="891" t="s">
        <v>32</v>
      </c>
      <c r="AL49" s="891" t="s">
        <v>34</v>
      </c>
      <c r="AM49" s="891" t="s">
        <v>36</v>
      </c>
      <c r="AN49" s="891" t="s">
        <v>35</v>
      </c>
      <c r="AO49" s="891" t="s">
        <v>32</v>
      </c>
      <c r="AP49" s="891" t="s">
        <v>32</v>
      </c>
      <c r="AQ49" s="891" t="s">
        <v>32</v>
      </c>
      <c r="AR49" s="891" t="s">
        <v>32</v>
      </c>
      <c r="AS49" s="891"/>
      <c r="AT49" s="891" t="s">
        <v>32</v>
      </c>
      <c r="AU49" s="891" t="s">
        <v>34</v>
      </c>
      <c r="AV49" s="891" t="s">
        <v>34</v>
      </c>
      <c r="AW49" s="891" t="s">
        <v>1877</v>
      </c>
      <c r="AX49" s="891" t="s">
        <v>34</v>
      </c>
      <c r="AY49" s="891" t="s">
        <v>1877</v>
      </c>
      <c r="AZ49" s="891" t="s">
        <v>1886</v>
      </c>
      <c r="BA49" s="891" t="s">
        <v>35</v>
      </c>
      <c r="BB49" s="891" t="s">
        <v>34</v>
      </c>
      <c r="BC49" s="891" t="s">
        <v>32</v>
      </c>
      <c r="BD49" s="891" t="s">
        <v>32</v>
      </c>
      <c r="BE49" s="891" t="s">
        <v>32</v>
      </c>
      <c r="BF49" s="891" t="s">
        <v>36</v>
      </c>
      <c r="BG49" s="891" t="s">
        <v>35</v>
      </c>
      <c r="BH49" s="891" t="s">
        <v>36</v>
      </c>
      <c r="BI49" s="891" t="s">
        <v>34</v>
      </c>
      <c r="BJ49" s="891" t="s">
        <v>1877</v>
      </c>
      <c r="BK49" s="891" t="s">
        <v>34</v>
      </c>
      <c r="BL49" s="891"/>
      <c r="BM49" s="891"/>
      <c r="BN49" s="891" t="s">
        <v>32</v>
      </c>
      <c r="BO49" s="891"/>
      <c r="BP49" s="891"/>
      <c r="BQ49" s="891"/>
      <c r="BR49" s="891"/>
      <c r="BS49" s="891" t="s">
        <v>32</v>
      </c>
      <c r="BT49" s="896" t="s">
        <v>32</v>
      </c>
      <c r="BU49" s="896" t="s">
        <v>32</v>
      </c>
      <c r="BV49" s="896" t="s">
        <v>32</v>
      </c>
      <c r="BW49" s="896" t="s">
        <v>32</v>
      </c>
      <c r="BX49" s="896" t="s">
        <v>32</v>
      </c>
      <c r="BY49" s="896" t="s">
        <v>32</v>
      </c>
      <c r="BZ49" s="896" t="s">
        <v>32</v>
      </c>
      <c r="CA49" s="896"/>
      <c r="CB49" s="896"/>
      <c r="CC49" s="896"/>
      <c r="CD49" s="896"/>
      <c r="CE49" s="896"/>
      <c r="CF49" s="896"/>
      <c r="CG49" s="896"/>
      <c r="CH49" s="428"/>
      <c r="CI49" s="428"/>
      <c r="CJ49" s="428"/>
      <c r="CK49" s="428"/>
    </row>
    <row r="50" spans="1:89" ht="15">
      <c r="A50" s="882">
        <v>6427</v>
      </c>
      <c r="B50" s="884"/>
      <c r="C50" s="884"/>
      <c r="D50" s="884">
        <f ca="1">IF(I50=Table!$C$1,VLOOKUP(G50,Table!$B$38:$AO$61,Table!$AO$35-1,FALSE),"")</f>
        <v>0</v>
      </c>
      <c r="E50" s="884"/>
      <c r="F50" s="884">
        <f ca="1">IF(I50="","",IF(I50=Table!$C$1,VLOOKUP(G50,Table!$B$9:$AE$32,Table!$AE$6-1,FALSE),""))</f>
        <v>5</v>
      </c>
      <c r="G50" s="879" t="s">
        <v>889</v>
      </c>
      <c r="H50" s="879" t="s">
        <v>22</v>
      </c>
      <c r="I50" s="879" t="s">
        <v>891</v>
      </c>
      <c r="J50" s="846">
        <v>0</v>
      </c>
      <c r="K50" s="846">
        <v>0</v>
      </c>
      <c r="L50" s="816" t="str">
        <f t="shared" si="32"/>
        <v>D</v>
      </c>
      <c r="M50" s="816">
        <f t="shared" si="33"/>
        <v>0</v>
      </c>
      <c r="N50" s="816" t="str">
        <f t="shared" si="34"/>
        <v>U</v>
      </c>
      <c r="O50" s="816">
        <f t="shared" si="23"/>
        <v>0.5</v>
      </c>
      <c r="P50" s="829">
        <f t="shared" si="25"/>
        <v>1</v>
      </c>
      <c r="Q50" s="830">
        <v>-0.55000000000000004</v>
      </c>
      <c r="R50" s="871">
        <f t="shared" ref="R50:R66" si="44">IF(ISBLANK(Q50),"",J50-K50-Q50)</f>
        <v>0.55000000000000004</v>
      </c>
      <c r="S50" s="830">
        <v>2.75</v>
      </c>
      <c r="T50" s="871">
        <f t="shared" si="27"/>
        <v>-2.75</v>
      </c>
      <c r="U50" s="868">
        <f t="shared" si="28"/>
        <v>1.1000000000000001</v>
      </c>
      <c r="V50" s="868">
        <f t="shared" si="29"/>
        <v>1.65</v>
      </c>
      <c r="W50" s="829">
        <v>17</v>
      </c>
      <c r="X50" s="829">
        <v>11</v>
      </c>
      <c r="Y50" s="829">
        <v>3</v>
      </c>
      <c r="Z50" s="829">
        <v>5</v>
      </c>
      <c r="AA50" s="829">
        <v>53</v>
      </c>
      <c r="AB50" s="829">
        <v>47</v>
      </c>
      <c r="AC50" s="829"/>
      <c r="AD50" s="816" t="str">
        <f t="array" ref="AD50">IF($J50="","",IF(SUM(IF(ISNUMBER(VALUE(RIGHT($AG50:$DZ50,1))),VALUE(RIGHT($AG50:$DZ50,1)),0))=$J50,"T","F"))</f>
        <v>T</v>
      </c>
      <c r="AE50" s="831">
        <f t="array" ref="AE50">IF($J50="","",SUM(IF(LEFT($AG50:$DZ50,1)="s",1,0))-SUM(IF(RIGHT(LEFT($AG50:$DZ50,2))="-",1,0)))</f>
        <v>0</v>
      </c>
      <c r="AF50" s="816">
        <f t="array" ref="AF50">IF($J50="","",SUM(IF(LEFT($AG50:$DZ50,1)="X",1,0)))</f>
        <v>11</v>
      </c>
      <c r="AG50" s="891" t="s">
        <v>32</v>
      </c>
      <c r="AH50" s="891" t="s">
        <v>1877</v>
      </c>
      <c r="AI50" s="891" t="s">
        <v>34</v>
      </c>
      <c r="AJ50" s="891" t="s">
        <v>32</v>
      </c>
      <c r="AK50" s="891" t="s">
        <v>32</v>
      </c>
      <c r="AL50" s="891" t="s">
        <v>34</v>
      </c>
      <c r="AM50" s="891" t="s">
        <v>34</v>
      </c>
      <c r="AN50" s="891" t="s">
        <v>3010</v>
      </c>
      <c r="AO50" s="891" t="s">
        <v>32</v>
      </c>
      <c r="AP50" s="891" t="s">
        <v>34</v>
      </c>
      <c r="AQ50" s="891" t="s">
        <v>32</v>
      </c>
      <c r="AR50" s="891" t="s">
        <v>32</v>
      </c>
      <c r="AS50" s="891"/>
      <c r="AT50" s="891" t="s">
        <v>32</v>
      </c>
      <c r="AU50" s="891" t="s">
        <v>34</v>
      </c>
      <c r="AV50" s="891" t="s">
        <v>34</v>
      </c>
      <c r="AW50" s="891" t="s">
        <v>1877</v>
      </c>
      <c r="AX50" s="891" t="s">
        <v>35</v>
      </c>
      <c r="AY50" s="891" t="s">
        <v>36</v>
      </c>
      <c r="AZ50" s="891" t="s">
        <v>1886</v>
      </c>
      <c r="BA50" s="891" t="s">
        <v>35</v>
      </c>
      <c r="BB50" s="891" t="s">
        <v>35</v>
      </c>
      <c r="BC50" s="891" t="s">
        <v>32</v>
      </c>
      <c r="BD50" s="891" t="s">
        <v>32</v>
      </c>
      <c r="BE50" s="891" t="s">
        <v>32</v>
      </c>
      <c r="BF50" s="891" t="s">
        <v>36</v>
      </c>
      <c r="BG50" s="891" t="s">
        <v>36</v>
      </c>
      <c r="BH50" s="891" t="s">
        <v>1877</v>
      </c>
      <c r="BI50" s="891" t="s">
        <v>34</v>
      </c>
      <c r="BJ50" s="891" t="s">
        <v>1877</v>
      </c>
      <c r="BK50" s="891" t="s">
        <v>34</v>
      </c>
      <c r="BL50" s="891" t="s">
        <v>32</v>
      </c>
      <c r="BM50" s="891" t="s">
        <v>32</v>
      </c>
      <c r="BN50" s="910" t="s">
        <v>32</v>
      </c>
      <c r="BO50" s="891"/>
      <c r="BP50" s="891"/>
      <c r="BQ50" s="891"/>
      <c r="BR50" s="891"/>
      <c r="BS50" s="891"/>
      <c r="BT50" s="896"/>
      <c r="BU50" s="896"/>
      <c r="BV50" s="896"/>
      <c r="BW50" s="896"/>
      <c r="BX50" s="896"/>
      <c r="BY50" s="896"/>
      <c r="BZ50" s="896"/>
      <c r="CA50" s="896"/>
      <c r="CB50" s="896"/>
      <c r="CC50" s="896"/>
      <c r="CD50" s="896"/>
      <c r="CE50" s="896"/>
      <c r="CF50" s="896"/>
      <c r="CG50" s="896"/>
      <c r="CH50" s="428"/>
      <c r="CI50" s="428"/>
      <c r="CJ50" s="428"/>
      <c r="CK50" s="428"/>
    </row>
    <row r="51" spans="1:89" ht="15">
      <c r="A51" s="882">
        <v>6433</v>
      </c>
      <c r="B51" s="884"/>
      <c r="C51" s="884"/>
      <c r="D51" s="884">
        <f ca="1">IF(I51=Table!$C$1,VLOOKUP(G51,Table!$B$38:$AO$61,Table!$AO$35-1,FALSE),"")</f>
        <v>0</v>
      </c>
      <c r="E51" s="884"/>
      <c r="F51" s="884">
        <f ca="1">IF(I51="","",IF(I51=Table!$C$1,VLOOKUP(G51,Table!$B$9:$AE$32,Table!$AE$6-1,FALSE),""))</f>
        <v>11</v>
      </c>
      <c r="G51" s="879" t="s">
        <v>874</v>
      </c>
      <c r="H51" s="879" t="s">
        <v>18</v>
      </c>
      <c r="I51" s="879" t="s">
        <v>891</v>
      </c>
      <c r="J51" s="846">
        <v>1</v>
      </c>
      <c r="K51" s="846">
        <v>2</v>
      </c>
      <c r="L51" s="816" t="str">
        <f t="shared" si="32"/>
        <v>L</v>
      </c>
      <c r="M51" s="816">
        <f t="shared" si="33"/>
        <v>3</v>
      </c>
      <c r="N51" s="816" t="str">
        <f t="shared" si="34"/>
        <v>O</v>
      </c>
      <c r="O51" s="816">
        <f t="shared" si="23"/>
        <v>0.5</v>
      </c>
      <c r="P51" s="829">
        <f t="shared" si="25"/>
        <v>-1</v>
      </c>
      <c r="Q51" s="830">
        <v>-0.63</v>
      </c>
      <c r="R51" s="871">
        <f t="shared" si="44"/>
        <v>-0.37</v>
      </c>
      <c r="S51" s="830">
        <v>2.38</v>
      </c>
      <c r="T51" s="871">
        <f t="shared" si="27"/>
        <v>0.62000000000000011</v>
      </c>
      <c r="U51" s="868">
        <f t="shared" si="28"/>
        <v>0.875</v>
      </c>
      <c r="V51" s="868">
        <f t="shared" si="29"/>
        <v>1.5049999999999999</v>
      </c>
      <c r="W51" s="829">
        <v>9</v>
      </c>
      <c r="X51" s="829">
        <v>9</v>
      </c>
      <c r="Y51" s="829">
        <v>3</v>
      </c>
      <c r="Z51" s="829">
        <v>4</v>
      </c>
      <c r="AA51" s="829">
        <v>52</v>
      </c>
      <c r="AB51" s="829">
        <v>48</v>
      </c>
      <c r="AC51" s="829"/>
      <c r="AD51" s="816" t="str">
        <f t="array" ref="AD51">IF($J51="","",IF(SUM(IF(ISNUMBER(VALUE(RIGHT($AG51:$DZ51,1))),VALUE(RIGHT($AG51:$DZ51,1)),0))=$J51,"T","F"))</f>
        <v>T</v>
      </c>
      <c r="AE51" s="831">
        <f t="array" ref="AE51">IF($J51="","",SUM(IF(LEFT($AG51:$DZ51,1)="s",1,0))-SUM(IF(RIGHT(LEFT($AG51:$DZ51,2))="-",1,0)))</f>
        <v>0</v>
      </c>
      <c r="AF51" s="816">
        <f t="array" ref="AF51">IF($J51="","",SUM(IF(LEFT($AG51:$DZ51,1)="X",1,0)))</f>
        <v>11</v>
      </c>
      <c r="AG51" s="891"/>
      <c r="AH51" s="891" t="s">
        <v>1877</v>
      </c>
      <c r="AI51" s="891" t="s">
        <v>34</v>
      </c>
      <c r="AJ51" s="891" t="s">
        <v>32</v>
      </c>
      <c r="AK51" s="891" t="s">
        <v>32</v>
      </c>
      <c r="AL51" s="904" t="s">
        <v>34</v>
      </c>
      <c r="AM51" s="891" t="s">
        <v>1877</v>
      </c>
      <c r="AN51" s="891" t="s">
        <v>34</v>
      </c>
      <c r="AO51" s="891" t="s">
        <v>32</v>
      </c>
      <c r="AP51" s="904" t="s">
        <v>34</v>
      </c>
      <c r="AQ51" s="891" t="s">
        <v>32</v>
      </c>
      <c r="AR51" s="891" t="s">
        <v>32</v>
      </c>
      <c r="AS51" s="891"/>
      <c r="AT51" s="891" t="s">
        <v>32</v>
      </c>
      <c r="AU51" s="891" t="s">
        <v>34</v>
      </c>
      <c r="AV51" s="891" t="s">
        <v>34</v>
      </c>
      <c r="AW51" s="891" t="s">
        <v>1877</v>
      </c>
      <c r="AX51" s="891" t="s">
        <v>34</v>
      </c>
      <c r="AY51" s="891" t="s">
        <v>1877</v>
      </c>
      <c r="AZ51" s="891" t="s">
        <v>1886</v>
      </c>
      <c r="BA51" s="891" t="s">
        <v>35</v>
      </c>
      <c r="BB51" s="891" t="s">
        <v>35</v>
      </c>
      <c r="BC51" s="891" t="s">
        <v>32</v>
      </c>
      <c r="BD51" s="891" t="s">
        <v>32</v>
      </c>
      <c r="BE51" s="891" t="s">
        <v>32</v>
      </c>
      <c r="BF51" s="891" t="s">
        <v>36</v>
      </c>
      <c r="BG51" s="891" t="s">
        <v>3064</v>
      </c>
      <c r="BH51" s="891" t="s">
        <v>36</v>
      </c>
      <c r="BI51" s="891" t="s">
        <v>34</v>
      </c>
      <c r="BJ51" s="891" t="s">
        <v>32</v>
      </c>
      <c r="BK51" s="891" t="s">
        <v>35</v>
      </c>
      <c r="BL51" s="891"/>
      <c r="BM51" s="891"/>
      <c r="BN51" s="910"/>
      <c r="BO51" s="891"/>
      <c r="BP51" s="891"/>
      <c r="BQ51" s="891"/>
      <c r="BR51" s="891"/>
      <c r="BS51" s="891"/>
      <c r="BT51" s="896"/>
      <c r="BU51" s="896"/>
      <c r="BV51" s="896"/>
      <c r="BW51" s="896"/>
      <c r="BX51" s="896"/>
      <c r="BY51" s="896"/>
      <c r="BZ51" s="896"/>
      <c r="CA51" s="896"/>
      <c r="CB51" s="896"/>
      <c r="CC51" s="896"/>
      <c r="CD51" s="896"/>
      <c r="CE51" s="896"/>
      <c r="CF51" s="896"/>
      <c r="CG51" s="896"/>
      <c r="CH51" s="428"/>
      <c r="CI51" s="428"/>
      <c r="CJ51" s="428"/>
      <c r="CK51" s="428"/>
    </row>
    <row r="52" spans="1:89" ht="15">
      <c r="A52" s="882">
        <v>6438</v>
      </c>
      <c r="B52" s="884"/>
      <c r="C52" s="884"/>
      <c r="D52" s="884">
        <f ca="1">IF(I52=Table!$C$1,VLOOKUP(G52,Table!$B$38:$AO$61,Table!$AO$35-1,FALSE),"")</f>
        <v>0</v>
      </c>
      <c r="E52" s="884"/>
      <c r="F52" s="884">
        <f ca="1">IF(I52="","",IF(I52=Table!$C$1,VLOOKUP(G52,Table!$B$9:$AE$32,Table!$AE$6-1,FALSE),""))</f>
        <v>7</v>
      </c>
      <c r="G52" s="879" t="s">
        <v>888</v>
      </c>
      <c r="H52" s="879" t="s">
        <v>22</v>
      </c>
      <c r="I52" s="879" t="s">
        <v>891</v>
      </c>
      <c r="J52" s="846">
        <v>0</v>
      </c>
      <c r="K52" s="846">
        <v>4</v>
      </c>
      <c r="L52" s="816" t="str">
        <f t="shared" si="32"/>
        <v>L</v>
      </c>
      <c r="M52" s="816">
        <f t="shared" si="33"/>
        <v>4</v>
      </c>
      <c r="N52" s="816" t="str">
        <f t="shared" si="34"/>
        <v>O</v>
      </c>
      <c r="O52" s="816">
        <f t="shared" si="23"/>
        <v>0.5</v>
      </c>
      <c r="P52" s="829">
        <f t="shared" si="25"/>
        <v>-1</v>
      </c>
      <c r="Q52" s="830">
        <v>-0.6</v>
      </c>
      <c r="R52" s="871">
        <f t="shared" si="44"/>
        <v>-3.4</v>
      </c>
      <c r="S52" s="830">
        <v>2.65</v>
      </c>
      <c r="T52" s="871">
        <f t="shared" si="27"/>
        <v>1.35</v>
      </c>
      <c r="U52" s="868">
        <f t="shared" si="28"/>
        <v>1.0249999999999999</v>
      </c>
      <c r="V52" s="868">
        <f t="shared" si="29"/>
        <v>1.625</v>
      </c>
      <c r="W52" s="829">
        <v>11</v>
      </c>
      <c r="X52" s="829">
        <v>15</v>
      </c>
      <c r="Y52" s="829">
        <v>0</v>
      </c>
      <c r="Z52" s="829">
        <v>9</v>
      </c>
      <c r="AA52" s="829">
        <v>40</v>
      </c>
      <c r="AB52" s="829">
        <v>60</v>
      </c>
      <c r="AC52" s="829"/>
      <c r="AD52" s="816" t="str">
        <f t="array" ref="AD52">IF($J52="","",IF(SUM(IF(ISNUMBER(VALUE(RIGHT($AG52:$DZ52,1))),VALUE(RIGHT($AG52:$DZ52,1)),0))=$J52,"T","F"))</f>
        <v>T</v>
      </c>
      <c r="AE52" s="831">
        <f t="array" ref="AE52">IF($J52="","",SUM(IF(LEFT($AG52:$DZ52,1)="s",1,0))-SUM(IF(RIGHT(LEFT($AG52:$DZ52,2))="-",1,0)))</f>
        <v>0</v>
      </c>
      <c r="AF52" s="816">
        <f t="array" ref="AF52">IF($J52="","",SUM(IF(LEFT($AG52:$DZ52,1)="X",1,0)))</f>
        <v>11</v>
      </c>
      <c r="AG52" s="891" t="s">
        <v>32</v>
      </c>
      <c r="AH52" s="891" t="s">
        <v>1877</v>
      </c>
      <c r="AI52" s="891" t="s">
        <v>34</v>
      </c>
      <c r="AJ52" s="891" t="s">
        <v>32</v>
      </c>
      <c r="AK52" s="891" t="s">
        <v>32</v>
      </c>
      <c r="AL52" s="891" t="s">
        <v>1877</v>
      </c>
      <c r="AM52" s="891" t="s">
        <v>36</v>
      </c>
      <c r="AN52" s="891" t="s">
        <v>34</v>
      </c>
      <c r="AO52" s="891" t="s">
        <v>32</v>
      </c>
      <c r="AP52" s="891" t="s">
        <v>35</v>
      </c>
      <c r="AQ52" s="891" t="s">
        <v>32</v>
      </c>
      <c r="AR52" s="891" t="s">
        <v>32</v>
      </c>
      <c r="AS52" s="891"/>
      <c r="AT52" s="891" t="s">
        <v>32</v>
      </c>
      <c r="AU52" s="891" t="s">
        <v>34</v>
      </c>
      <c r="AV52" s="891" t="s">
        <v>34</v>
      </c>
      <c r="AW52" s="904" t="s">
        <v>34</v>
      </c>
      <c r="AX52" s="891" t="s">
        <v>34</v>
      </c>
      <c r="AY52" s="891" t="s">
        <v>1877</v>
      </c>
      <c r="AZ52" s="891" t="s">
        <v>1886</v>
      </c>
      <c r="BA52" s="891" t="s">
        <v>34</v>
      </c>
      <c r="BB52" s="891" t="s">
        <v>35</v>
      </c>
      <c r="BC52" s="891" t="s">
        <v>32</v>
      </c>
      <c r="BD52" s="891" t="s">
        <v>32</v>
      </c>
      <c r="BE52" s="891" t="s">
        <v>32</v>
      </c>
      <c r="BF52" s="891" t="s">
        <v>32</v>
      </c>
      <c r="BG52" s="906" t="s">
        <v>3092</v>
      </c>
      <c r="BH52" s="891" t="s">
        <v>36</v>
      </c>
      <c r="BI52" s="904" t="s">
        <v>34</v>
      </c>
      <c r="BJ52" s="891" t="s">
        <v>1877</v>
      </c>
      <c r="BK52" s="891" t="s">
        <v>34</v>
      </c>
      <c r="BL52" s="891"/>
      <c r="BM52" s="891"/>
      <c r="BN52" s="910"/>
      <c r="BO52" s="891"/>
      <c r="BP52" s="891"/>
      <c r="BQ52" s="891"/>
      <c r="BR52" s="891"/>
      <c r="BS52" s="891"/>
      <c r="BT52" s="896"/>
      <c r="BU52" s="896"/>
      <c r="BV52" s="896"/>
      <c r="BW52" s="896"/>
      <c r="BX52" s="896"/>
      <c r="BY52" s="896"/>
      <c r="BZ52" s="896"/>
      <c r="CA52" s="896"/>
      <c r="CB52" s="896"/>
      <c r="CC52" s="896"/>
      <c r="CD52" s="896"/>
      <c r="CE52" s="896"/>
      <c r="CF52" s="896"/>
      <c r="CG52" s="896"/>
      <c r="CH52" s="428"/>
      <c r="CI52" s="428"/>
      <c r="CJ52" s="428"/>
      <c r="CK52" s="428"/>
    </row>
    <row r="53" spans="1:89" ht="15">
      <c r="A53" s="882">
        <v>6442</v>
      </c>
      <c r="B53" s="884"/>
      <c r="C53" s="884"/>
      <c r="D53" s="884">
        <f ca="1">IF(I53=Table!$C$1,VLOOKUP(G53,Table!$B$38:$AO$61,Table!$AO$35-1,FALSE),"")</f>
        <v>0</v>
      </c>
      <c r="E53" s="884"/>
      <c r="F53" s="884">
        <f ca="1">IF(I53="","",IF(I53=Table!$C$1,VLOOKUP(G53,Table!$B$9:$AE$32,Table!$AE$6-1,FALSE),""))</f>
        <v>22</v>
      </c>
      <c r="G53" s="879" t="s">
        <v>1087</v>
      </c>
      <c r="H53" s="879" t="s">
        <v>18</v>
      </c>
      <c r="I53" s="879" t="s">
        <v>891</v>
      </c>
      <c r="J53" s="846">
        <v>1</v>
      </c>
      <c r="K53" s="846">
        <v>1</v>
      </c>
      <c r="L53" s="816" t="str">
        <f t="shared" si="32"/>
        <v>D</v>
      </c>
      <c r="M53" s="816">
        <f t="shared" si="33"/>
        <v>2</v>
      </c>
      <c r="N53" s="816" t="str">
        <f t="shared" si="34"/>
        <v>U</v>
      </c>
      <c r="O53" s="816">
        <f t="shared" si="23"/>
        <v>0</v>
      </c>
      <c r="P53" s="829">
        <f t="shared" si="25"/>
        <v>0</v>
      </c>
      <c r="Q53" s="830">
        <v>0.04</v>
      </c>
      <c r="R53" s="871">
        <f t="shared" si="44"/>
        <v>-0.04</v>
      </c>
      <c r="S53" s="830">
        <v>2.54</v>
      </c>
      <c r="T53" s="871">
        <f t="shared" si="27"/>
        <v>-0.54</v>
      </c>
      <c r="U53" s="868">
        <f t="shared" si="28"/>
        <v>1.29</v>
      </c>
      <c r="V53" s="868">
        <f t="shared" si="29"/>
        <v>1.25</v>
      </c>
      <c r="W53" s="829">
        <v>12</v>
      </c>
      <c r="X53" s="829">
        <v>7</v>
      </c>
      <c r="Y53" s="829">
        <v>2</v>
      </c>
      <c r="Z53" s="829">
        <v>2</v>
      </c>
      <c r="AA53" s="829">
        <v>47</v>
      </c>
      <c r="AB53" s="829">
        <v>53</v>
      </c>
      <c r="AC53" s="829"/>
      <c r="AD53" s="816" t="str">
        <f t="array" ref="AD53">IF($J53="","",IF(SUM(IF(ISNUMBER(VALUE(RIGHT($AG53:$DZ53,1))),VALUE(RIGHT($AG53:$DZ53,1)),0))=$J53,"T","F"))</f>
        <v>T</v>
      </c>
      <c r="AE53" s="831">
        <f t="array" ref="AE53">IF($J53="","",SUM(IF(LEFT($AG53:$DZ53,1)="s",1,0))-SUM(IF(RIGHT(LEFT($AG53:$DZ53,2))="-",1,0)))</f>
        <v>0</v>
      </c>
      <c r="AF53" s="816">
        <f t="array" ref="AF53">IF($J53="","",SUM(IF(LEFT($AG53:$DZ53,1)="X",1,0)))</f>
        <v>11</v>
      </c>
      <c r="AG53" s="891" t="s">
        <v>32</v>
      </c>
      <c r="AH53" s="891" t="s">
        <v>1877</v>
      </c>
      <c r="AI53" s="891" t="s">
        <v>34</v>
      </c>
      <c r="AJ53" s="891" t="s">
        <v>32</v>
      </c>
      <c r="AK53" s="891" t="s">
        <v>32</v>
      </c>
      <c r="AL53" s="891" t="s">
        <v>1877</v>
      </c>
      <c r="AM53" s="891" t="s">
        <v>36</v>
      </c>
      <c r="AN53" s="891" t="s">
        <v>35</v>
      </c>
      <c r="AO53" s="891" t="s">
        <v>32</v>
      </c>
      <c r="AP53" s="891" t="s">
        <v>1877</v>
      </c>
      <c r="AQ53" s="891" t="s">
        <v>32</v>
      </c>
      <c r="AR53" s="891" t="s">
        <v>32</v>
      </c>
      <c r="AS53" s="891" t="s">
        <v>3132</v>
      </c>
      <c r="AT53" s="891" t="s">
        <v>32</v>
      </c>
      <c r="AU53" s="891" t="s">
        <v>34</v>
      </c>
      <c r="AV53" s="891" t="s">
        <v>34</v>
      </c>
      <c r="AW53" s="891" t="s">
        <v>34</v>
      </c>
      <c r="AX53" s="891" t="s">
        <v>3114</v>
      </c>
      <c r="AY53" s="891" t="s">
        <v>1877</v>
      </c>
      <c r="AZ53" s="891" t="s">
        <v>1886</v>
      </c>
      <c r="BA53" s="891" t="s">
        <v>34</v>
      </c>
      <c r="BB53" s="891" t="s">
        <v>35</v>
      </c>
      <c r="BC53" s="891" t="s">
        <v>32</v>
      </c>
      <c r="BD53" s="891" t="s">
        <v>32</v>
      </c>
      <c r="BE53" s="891" t="s">
        <v>32</v>
      </c>
      <c r="BF53" s="891" t="s">
        <v>36</v>
      </c>
      <c r="BG53" s="891" t="s">
        <v>32</v>
      </c>
      <c r="BH53" s="891" t="s">
        <v>36</v>
      </c>
      <c r="BI53" s="891" t="s">
        <v>3119</v>
      </c>
      <c r="BJ53" s="891" t="s">
        <v>35</v>
      </c>
      <c r="BK53" s="891" t="s">
        <v>34</v>
      </c>
      <c r="BL53" s="891" t="s">
        <v>32</v>
      </c>
      <c r="BM53" s="891" t="s">
        <v>32</v>
      </c>
      <c r="BN53" s="910" t="s">
        <v>32</v>
      </c>
      <c r="BO53" s="891" t="s">
        <v>32</v>
      </c>
      <c r="BP53" s="891" t="s">
        <v>32</v>
      </c>
      <c r="BQ53" s="891" t="s">
        <v>32</v>
      </c>
      <c r="BR53" s="891" t="s">
        <v>32</v>
      </c>
      <c r="BS53" s="891" t="s">
        <v>32</v>
      </c>
      <c r="BT53" s="896"/>
      <c r="BU53" s="896"/>
      <c r="BV53" s="896"/>
      <c r="BW53" s="896"/>
      <c r="BX53" s="896"/>
      <c r="BY53" s="896"/>
      <c r="BZ53" s="896"/>
      <c r="CA53" s="896"/>
      <c r="CB53" s="896"/>
      <c r="CC53" s="896"/>
      <c r="CD53" s="896"/>
      <c r="CE53" s="896"/>
      <c r="CF53" s="896"/>
      <c r="CG53" s="896"/>
      <c r="CH53" s="428"/>
      <c r="CI53" s="428"/>
      <c r="CJ53" s="428"/>
      <c r="CK53" s="428"/>
    </row>
    <row r="54" spans="1:89" ht="15">
      <c r="A54" s="882">
        <v>6448</v>
      </c>
      <c r="B54" s="884"/>
      <c r="C54" s="884"/>
      <c r="D54" s="884">
        <f ca="1">IF(I54=Table!$C$1,VLOOKUP(G54,Table!$B$38:$AO$61,Table!$AO$35-1,FALSE),"")</f>
        <v>0</v>
      </c>
      <c r="E54" s="884"/>
      <c r="F54" s="884">
        <f ca="1">IF(I54="","",IF(I54=Table!$C$1,VLOOKUP(G54,Table!$B$9:$AE$32,Table!$AE$6-1,FALSE),""))</f>
        <v>19</v>
      </c>
      <c r="G54" s="879" t="s">
        <v>885</v>
      </c>
      <c r="H54" s="879" t="s">
        <v>22</v>
      </c>
      <c r="I54" s="879" t="s">
        <v>891</v>
      </c>
      <c r="J54" s="846">
        <v>1</v>
      </c>
      <c r="K54" s="846">
        <v>2</v>
      </c>
      <c r="L54" s="816" t="str">
        <f t="shared" si="32"/>
        <v>L</v>
      </c>
      <c r="M54" s="816">
        <f t="shared" si="33"/>
        <v>3</v>
      </c>
      <c r="N54" s="816" t="str">
        <f t="shared" si="34"/>
        <v>O</v>
      </c>
      <c r="O54" s="816">
        <f t="shared" si="23"/>
        <v>0</v>
      </c>
      <c r="P54" s="829">
        <f t="shared" si="25"/>
        <v>-1</v>
      </c>
      <c r="Q54" s="830">
        <v>7.0000000000000007E-2</v>
      </c>
      <c r="R54" s="871">
        <f t="shared" si="44"/>
        <v>-1.07</v>
      </c>
      <c r="S54" s="830">
        <v>2.5</v>
      </c>
      <c r="T54" s="871">
        <f t="shared" si="27"/>
        <v>0.5</v>
      </c>
      <c r="U54" s="868">
        <f t="shared" si="28"/>
        <v>1.2849999999999999</v>
      </c>
      <c r="V54" s="868">
        <f t="shared" si="29"/>
        <v>1.2150000000000001</v>
      </c>
      <c r="W54" s="829">
        <v>22</v>
      </c>
      <c r="X54" s="829">
        <v>7</v>
      </c>
      <c r="Y54" s="829">
        <v>3</v>
      </c>
      <c r="Z54" s="829">
        <v>3</v>
      </c>
      <c r="AA54" s="829">
        <v>64</v>
      </c>
      <c r="AB54" s="829">
        <v>36</v>
      </c>
      <c r="AC54" s="829"/>
      <c r="AD54" s="816" t="str">
        <f t="array" ref="AD54">IF($J54="","",IF(SUM(IF(ISNUMBER(VALUE(RIGHT($AG54:$DZ54,1))),VALUE(RIGHT($AG54:$DZ54,1)),0))=$J54,"T","F"))</f>
        <v>T</v>
      </c>
      <c r="AE54" s="831">
        <f t="array" ref="AE54">IF($J54="","",SUM(IF(LEFT($AG54:$DZ54,1)="s",1,0))-SUM(IF(RIGHT(LEFT($AG54:$DZ54,2))="-",1,0)))</f>
        <v>0</v>
      </c>
      <c r="AF54" s="816">
        <f t="array" ref="AF54">IF($J54="","",SUM(IF(LEFT($AG54:$DZ54,1)="X",1,0)))</f>
        <v>11</v>
      </c>
      <c r="AG54" s="891" t="s">
        <v>32</v>
      </c>
      <c r="AH54" s="891" t="s">
        <v>1877</v>
      </c>
      <c r="AI54" s="891" t="s">
        <v>34</v>
      </c>
      <c r="AJ54" s="891" t="s">
        <v>32</v>
      </c>
      <c r="AK54" s="891" t="s">
        <v>32</v>
      </c>
      <c r="AL54" s="891" t="s">
        <v>1877</v>
      </c>
      <c r="AM54" s="891" t="s">
        <v>36</v>
      </c>
      <c r="AN54" s="891" t="s">
        <v>35</v>
      </c>
      <c r="AO54" s="891" t="s">
        <v>32</v>
      </c>
      <c r="AP54" s="891" t="s">
        <v>1877</v>
      </c>
      <c r="AQ54" s="891" t="s">
        <v>32</v>
      </c>
      <c r="AR54" s="891" t="s">
        <v>32</v>
      </c>
      <c r="AS54" s="891" t="s">
        <v>34</v>
      </c>
      <c r="AT54" s="891" t="s">
        <v>32</v>
      </c>
      <c r="AU54" s="891" t="s">
        <v>34</v>
      </c>
      <c r="AV54" s="891" t="s">
        <v>34</v>
      </c>
      <c r="AW54" s="904" t="s">
        <v>34</v>
      </c>
      <c r="AX54" s="891" t="s">
        <v>34</v>
      </c>
      <c r="AY54" s="891" t="s">
        <v>32</v>
      </c>
      <c r="AZ54" s="891" t="s">
        <v>1886</v>
      </c>
      <c r="BA54" s="891" t="s">
        <v>35</v>
      </c>
      <c r="BB54" s="891" t="s">
        <v>34</v>
      </c>
      <c r="BC54" s="891" t="s">
        <v>32</v>
      </c>
      <c r="BD54" s="891" t="s">
        <v>32</v>
      </c>
      <c r="BE54" s="891" t="s">
        <v>32</v>
      </c>
      <c r="BF54" s="891" t="s">
        <v>36</v>
      </c>
      <c r="BG54" s="891" t="s">
        <v>1877</v>
      </c>
      <c r="BH54" s="891" t="s">
        <v>36</v>
      </c>
      <c r="BI54" s="891" t="s">
        <v>35</v>
      </c>
      <c r="BJ54" s="891" t="s">
        <v>32</v>
      </c>
      <c r="BK54" s="891" t="s">
        <v>3147</v>
      </c>
      <c r="BL54" s="891" t="s">
        <v>32</v>
      </c>
      <c r="BM54" s="891" t="s">
        <v>32</v>
      </c>
      <c r="BN54" s="910" t="s">
        <v>32</v>
      </c>
      <c r="BO54" s="891"/>
      <c r="BP54" s="891"/>
      <c r="BQ54" s="891"/>
      <c r="BR54" s="891"/>
      <c r="BS54" s="891"/>
      <c r="BT54" s="896"/>
      <c r="BU54" s="896"/>
      <c r="BV54" s="896"/>
      <c r="BW54" s="896"/>
      <c r="BX54" s="896"/>
      <c r="BY54" s="896"/>
      <c r="BZ54" s="896"/>
      <c r="CA54" s="896"/>
      <c r="CB54" s="896"/>
      <c r="CC54" s="896"/>
      <c r="CD54" s="896"/>
      <c r="CE54" s="896"/>
      <c r="CF54" s="896"/>
      <c r="CG54" s="896"/>
      <c r="CH54" s="428"/>
      <c r="CI54" s="428"/>
      <c r="CJ54" s="428"/>
      <c r="CK54" s="428"/>
    </row>
    <row r="55" spans="1:89" ht="15">
      <c r="A55" s="882">
        <v>6455</v>
      </c>
      <c r="B55" s="884"/>
      <c r="C55" s="884"/>
      <c r="D55" s="884"/>
      <c r="E55" s="884"/>
      <c r="F55" s="884">
        <f ca="1">IF(I55="","",IF(I55=Table!$C$1,VLOOKUP(G55,Table!$B$9:$AE$32,Table!$AE$6-1,FALSE),""))</f>
        <v>2</v>
      </c>
      <c r="G55" s="879" t="s">
        <v>886</v>
      </c>
      <c r="H55" s="879" t="s">
        <v>22</v>
      </c>
      <c r="I55" s="879" t="s">
        <v>891</v>
      </c>
      <c r="J55" s="846">
        <v>1</v>
      </c>
      <c r="K55" s="846">
        <v>2</v>
      </c>
      <c r="L55" s="816" t="str">
        <f t="shared" si="32"/>
        <v>L</v>
      </c>
      <c r="M55" s="816">
        <f t="shared" si="33"/>
        <v>3</v>
      </c>
      <c r="N55" s="816" t="str">
        <f t="shared" si="34"/>
        <v>O</v>
      </c>
      <c r="O55" s="816">
        <f t="shared" ref="O55" si="45">IF(Q55="","",IF(SIGN(Q55)&lt;&gt;1,VLOOKUP(ABS(Q55),SUP_HDC,3,TRUE),-VLOOKUP(ABS(Q55),SUP_HDC,3,TRUE)))</f>
        <v>0.25</v>
      </c>
      <c r="P55" s="829">
        <f t="shared" ref="P55" si="46">IF(O55="","",IF((J55-K55+O55)&gt;=0.5,1,IF((J55-K55+O55)=0.25,0.5,IF((J55-K55+O55)&lt;=-0.5,-1,IF((J55-K55+O55)=-0.25,-0.5,0)))))</f>
        <v>-1</v>
      </c>
      <c r="Q55" s="830">
        <v>-0.15</v>
      </c>
      <c r="R55" s="871">
        <f t="shared" ref="R55" si="47">IF(ISBLANK(Q55),"",J55-K55-Q55)</f>
        <v>-0.85</v>
      </c>
      <c r="S55" s="830">
        <v>2.38</v>
      </c>
      <c r="T55" s="871">
        <f t="shared" ref="T55" si="48">IF(ISBLANK(S55),"",J55+K55-S55)</f>
        <v>0.62000000000000011</v>
      </c>
      <c r="U55" s="868">
        <f t="shared" ref="U55" si="49">IF(Q55="","",(Q55+S55)/2)</f>
        <v>1.115</v>
      </c>
      <c r="V55" s="868">
        <f t="shared" ref="V55" si="50">IF(Q55="","",S55-U55)</f>
        <v>1.2649999999999999</v>
      </c>
      <c r="W55" s="829">
        <v>16</v>
      </c>
      <c r="X55" s="829">
        <v>11</v>
      </c>
      <c r="Y55" s="829">
        <v>2</v>
      </c>
      <c r="Z55" s="829">
        <v>3</v>
      </c>
      <c r="AA55" s="829">
        <v>54</v>
      </c>
      <c r="AB55" s="829">
        <v>46</v>
      </c>
      <c r="AC55" s="829"/>
      <c r="AD55" s="816" t="str">
        <f t="array" ref="AD55">IF($J55="","",IF(SUM(IF(ISNUMBER(VALUE(RIGHT($AG55:$DZ55,1))),VALUE(RIGHT($AG55:$DZ55,1)),0))=$J55,"T","F"))</f>
        <v>T</v>
      </c>
      <c r="AE55" s="831">
        <f t="array" ref="AE55">IF($J55="","",SUM(IF(LEFT($AG55:$DZ55,1)="s",1,0))-SUM(IF(RIGHT(LEFT($AG55:$DZ55,2))="-",1,0)))</f>
        <v>0</v>
      </c>
      <c r="AF55" s="816">
        <f t="array" ref="AF55">IF($J55="","",SUM(IF(LEFT($AG55:$DZ55,1)="X",1,0)))</f>
        <v>11</v>
      </c>
      <c r="AG55" s="891"/>
      <c r="AH55" s="891" t="s">
        <v>1877</v>
      </c>
      <c r="AI55" s="891" t="s">
        <v>34</v>
      </c>
      <c r="AJ55" s="891" t="s">
        <v>32</v>
      </c>
      <c r="AK55" s="891" t="s">
        <v>32</v>
      </c>
      <c r="AL55" s="891" t="s">
        <v>1877</v>
      </c>
      <c r="AM55" s="891" t="s">
        <v>34</v>
      </c>
      <c r="AN55" s="891" t="s">
        <v>36</v>
      </c>
      <c r="AO55" s="891" t="s">
        <v>32</v>
      </c>
      <c r="AP55" s="891" t="s">
        <v>1877</v>
      </c>
      <c r="AQ55" s="891" t="s">
        <v>32</v>
      </c>
      <c r="AR55" s="891" t="s">
        <v>32</v>
      </c>
      <c r="AS55" s="891" t="s">
        <v>34</v>
      </c>
      <c r="AT55" s="891" t="s">
        <v>32</v>
      </c>
      <c r="AU55" s="904" t="s">
        <v>35</v>
      </c>
      <c r="AV55" s="891" t="s">
        <v>34</v>
      </c>
      <c r="AW55" s="904" t="s">
        <v>34</v>
      </c>
      <c r="AX55" s="891" t="s">
        <v>34</v>
      </c>
      <c r="AY55" s="891" t="s">
        <v>32</v>
      </c>
      <c r="AZ55" s="891" t="s">
        <v>1886</v>
      </c>
      <c r="BA55" s="891" t="s">
        <v>35</v>
      </c>
      <c r="BB55" s="904" t="s">
        <v>35</v>
      </c>
      <c r="BC55" s="891" t="s">
        <v>32</v>
      </c>
      <c r="BD55" s="891" t="s">
        <v>32</v>
      </c>
      <c r="BE55" s="891" t="s">
        <v>32</v>
      </c>
      <c r="BF55" s="891" t="s">
        <v>1877</v>
      </c>
      <c r="BG55" s="891" t="s">
        <v>36</v>
      </c>
      <c r="BH55" s="891" t="s">
        <v>36</v>
      </c>
      <c r="BI55" s="891" t="s">
        <v>3174</v>
      </c>
      <c r="BJ55" s="891" t="s">
        <v>32</v>
      </c>
      <c r="BK55" s="904" t="s">
        <v>34</v>
      </c>
      <c r="BL55" s="891"/>
      <c r="BM55" s="891"/>
      <c r="BN55" s="910"/>
      <c r="BO55" s="891"/>
      <c r="BP55" s="891"/>
      <c r="BQ55" s="891"/>
      <c r="BR55" s="891"/>
      <c r="BS55" s="891"/>
      <c r="BT55" s="896"/>
      <c r="BU55" s="896"/>
      <c r="BV55" s="896"/>
      <c r="BW55" s="896"/>
      <c r="BX55" s="896"/>
      <c r="BY55" s="896"/>
      <c r="BZ55" s="896"/>
      <c r="CA55" s="896"/>
      <c r="CB55" s="896"/>
      <c r="CC55" s="896"/>
      <c r="CD55" s="896"/>
      <c r="CE55" s="896"/>
      <c r="CF55" s="896"/>
      <c r="CG55" s="896"/>
      <c r="CH55" s="428"/>
      <c r="CI55" s="428"/>
      <c r="CJ55" s="428"/>
      <c r="CK55" s="428"/>
    </row>
    <row r="56" spans="1:89" ht="15">
      <c r="A56" s="882">
        <v>6462</v>
      </c>
      <c r="B56" s="884"/>
      <c r="C56" s="884"/>
      <c r="D56" s="884"/>
      <c r="E56" s="884"/>
      <c r="F56" s="884">
        <f ca="1">IF(I56="","",IF(I56=Table!$C$1,VLOOKUP(G56,Table!$B$9:$AE$32,Table!$AE$6-1,FALSE),""))</f>
        <v>10</v>
      </c>
      <c r="G56" s="879" t="s">
        <v>883</v>
      </c>
      <c r="H56" s="879" t="s">
        <v>18</v>
      </c>
      <c r="I56" s="879" t="s">
        <v>891</v>
      </c>
      <c r="J56" s="846">
        <v>0</v>
      </c>
      <c r="K56" s="846">
        <v>2</v>
      </c>
      <c r="L56" s="816" t="str">
        <f t="shared" si="32"/>
        <v>L</v>
      </c>
      <c r="M56" s="816">
        <f t="shared" si="33"/>
        <v>2</v>
      </c>
      <c r="N56" s="816" t="str">
        <f t="shared" si="34"/>
        <v>U</v>
      </c>
      <c r="O56" s="816">
        <f t="shared" ref="O56" si="51">IF(Q56="","",IF(SIGN(Q56)&lt;&gt;1,VLOOKUP(ABS(Q56),SUP_HDC,3,TRUE),-VLOOKUP(ABS(Q56),SUP_HDC,3,TRUE)))</f>
        <v>0.5</v>
      </c>
      <c r="P56" s="829">
        <f t="shared" ref="P56" si="52">IF(O56="","",IF((J56-K56+O56)&gt;=0.5,1,IF((J56-K56+O56)=0.25,0.5,IF((J56-K56+O56)&lt;=-0.5,-1,IF((J56-K56+O56)=-0.25,-0.5,0)))))</f>
        <v>-1</v>
      </c>
      <c r="Q56" s="830">
        <v>-0.63</v>
      </c>
      <c r="R56" s="871">
        <f t="shared" ref="R56" si="53">IF(ISBLANK(Q56),"",J56-K56-Q56)</f>
        <v>-1.37</v>
      </c>
      <c r="S56" s="830">
        <v>2.65</v>
      </c>
      <c r="T56" s="871">
        <f t="shared" ref="T56" si="54">IF(ISBLANK(S56),"",J56+K56-S56)</f>
        <v>-0.64999999999999991</v>
      </c>
      <c r="U56" s="868">
        <f t="shared" ref="U56" si="55">IF(Q56="","",(Q56+S56)/2)</f>
        <v>1.01</v>
      </c>
      <c r="V56" s="868">
        <f t="shared" ref="V56" si="56">IF(Q56="","",S56-U56)</f>
        <v>1.64</v>
      </c>
      <c r="W56" s="829">
        <v>9</v>
      </c>
      <c r="X56" s="829">
        <v>15</v>
      </c>
      <c r="Y56" s="829">
        <v>2</v>
      </c>
      <c r="Z56" s="829">
        <v>8</v>
      </c>
      <c r="AA56" s="829">
        <v>45</v>
      </c>
      <c r="AB56" s="829">
        <v>55</v>
      </c>
      <c r="AC56" s="829"/>
      <c r="AD56" s="816" t="str">
        <f t="array" ref="AD56">IF($J56="","",IF(SUM(IF(ISNUMBER(VALUE(RIGHT($AG56:$DZ56,1))),VALUE(RIGHT($AG56:$DZ56,1)),0))=$J56,"T","F"))</f>
        <v>T</v>
      </c>
      <c r="AE56" s="831">
        <f t="array" ref="AE56">IF($J56="","",SUM(IF(LEFT($AG56:$DZ56,1)="s",1,0))-SUM(IF(RIGHT(LEFT($AG56:$DZ56,2))="-",1,0)))</f>
        <v>0</v>
      </c>
      <c r="AF56" s="816">
        <f t="array" ref="AF56">IF($J56="","",SUM(IF(LEFT($AG56:$DZ56,1)="X",1,0)))</f>
        <v>11</v>
      </c>
      <c r="AG56" s="891" t="s">
        <v>32</v>
      </c>
      <c r="AH56" s="891" t="s">
        <v>1877</v>
      </c>
      <c r="AI56" s="891" t="s">
        <v>34</v>
      </c>
      <c r="AJ56" s="891" t="s">
        <v>32</v>
      </c>
      <c r="AK56" s="891" t="s">
        <v>32</v>
      </c>
      <c r="AL56" s="891" t="s">
        <v>1877</v>
      </c>
      <c r="AM56" s="891" t="s">
        <v>34</v>
      </c>
      <c r="AN56" s="891" t="s">
        <v>1877</v>
      </c>
      <c r="AO56" s="891" t="s">
        <v>32</v>
      </c>
      <c r="AP56" s="891" t="s">
        <v>1877</v>
      </c>
      <c r="AQ56" s="891" t="s">
        <v>32</v>
      </c>
      <c r="AR56" s="891" t="s">
        <v>32</v>
      </c>
      <c r="AS56" s="891" t="s">
        <v>34</v>
      </c>
      <c r="AT56" s="891" t="s">
        <v>32</v>
      </c>
      <c r="AU56" s="891" t="s">
        <v>34</v>
      </c>
      <c r="AV56" s="891" t="s">
        <v>34</v>
      </c>
      <c r="AW56" s="904" t="s">
        <v>34</v>
      </c>
      <c r="AX56" s="891" t="s">
        <v>34</v>
      </c>
      <c r="AY56" s="891" t="s">
        <v>32</v>
      </c>
      <c r="AZ56" s="891" t="s">
        <v>1886</v>
      </c>
      <c r="BA56" s="891" t="s">
        <v>35</v>
      </c>
      <c r="BB56" s="891" t="s">
        <v>35</v>
      </c>
      <c r="BC56" s="891" t="s">
        <v>32</v>
      </c>
      <c r="BD56" s="891" t="s">
        <v>32</v>
      </c>
      <c r="BE56" s="891" t="s">
        <v>32</v>
      </c>
      <c r="BF56" s="891" t="s">
        <v>32</v>
      </c>
      <c r="BG56" s="904" t="s">
        <v>36</v>
      </c>
      <c r="BH56" s="891" t="s">
        <v>36</v>
      </c>
      <c r="BI56" s="891" t="s">
        <v>34</v>
      </c>
      <c r="BJ56" s="891" t="s">
        <v>1877</v>
      </c>
      <c r="BK56" s="891" t="s">
        <v>34</v>
      </c>
      <c r="BL56" s="891"/>
      <c r="BM56" s="891"/>
      <c r="BN56" s="910"/>
      <c r="BO56" s="891"/>
      <c r="BP56" s="891"/>
      <c r="BQ56" s="891"/>
      <c r="BR56" s="891"/>
      <c r="BS56" s="891"/>
      <c r="BT56" s="896"/>
      <c r="BU56" s="896"/>
      <c r="BV56" s="896"/>
      <c r="BW56" s="896"/>
      <c r="BX56" s="896"/>
      <c r="BY56" s="896"/>
      <c r="BZ56" s="896"/>
      <c r="CA56" s="896"/>
      <c r="CB56" s="896"/>
      <c r="CC56" s="896"/>
      <c r="CD56" s="896"/>
      <c r="CE56" s="896"/>
      <c r="CF56" s="896"/>
      <c r="CG56" s="896"/>
      <c r="CH56" s="428"/>
      <c r="CI56" s="428"/>
      <c r="CJ56" s="428"/>
      <c r="CK56" s="428"/>
    </row>
    <row r="57" spans="1:89" ht="15">
      <c r="A57" s="882">
        <v>6469</v>
      </c>
      <c r="B57" s="884"/>
      <c r="C57" s="884"/>
      <c r="D57" s="884">
        <f ca="1">IF(I57=Table!$C$1,VLOOKUP(G57,Table!$B$38:$AO$61,Table!$AO$35-1,FALSE),"")</f>
        <v>0</v>
      </c>
      <c r="E57" s="884"/>
      <c r="F57" s="884">
        <f ca="1">IF(I57="","",IF(I57=Table!$C$1,VLOOKUP(G57,Table!$B$9:$AE$32,Table!$AE$6-1,FALSE),""))</f>
        <v>3</v>
      </c>
      <c r="G57" s="879" t="s">
        <v>1085</v>
      </c>
      <c r="H57" s="879" t="s">
        <v>22</v>
      </c>
      <c r="I57" s="879" t="s">
        <v>891</v>
      </c>
      <c r="J57" s="846">
        <v>3</v>
      </c>
      <c r="K57" s="846">
        <v>1</v>
      </c>
      <c r="L57" s="816" t="str">
        <f t="shared" si="32"/>
        <v>W</v>
      </c>
      <c r="M57" s="816">
        <f t="shared" si="33"/>
        <v>4</v>
      </c>
      <c r="N57" s="816" t="str">
        <f t="shared" si="34"/>
        <v>O</v>
      </c>
      <c r="O57" s="816">
        <f t="shared" si="23"/>
        <v>0.5</v>
      </c>
      <c r="P57" s="829">
        <f t="shared" si="25"/>
        <v>1</v>
      </c>
      <c r="Q57" s="830">
        <v>-0.65</v>
      </c>
      <c r="R57" s="871">
        <f t="shared" si="44"/>
        <v>2.65</v>
      </c>
      <c r="S57" s="830">
        <v>3</v>
      </c>
      <c r="T57" s="871">
        <f t="shared" si="27"/>
        <v>1</v>
      </c>
      <c r="U57" s="868">
        <f t="shared" si="28"/>
        <v>1.175</v>
      </c>
      <c r="V57" s="868">
        <f t="shared" si="29"/>
        <v>1.825</v>
      </c>
      <c r="W57" s="829">
        <v>15</v>
      </c>
      <c r="X57" s="829">
        <v>21</v>
      </c>
      <c r="Y57" s="829">
        <v>4</v>
      </c>
      <c r="Z57" s="829">
        <v>5</v>
      </c>
      <c r="AA57" s="829">
        <v>30</v>
      </c>
      <c r="AB57" s="829">
        <v>70</v>
      </c>
      <c r="AC57" s="829"/>
      <c r="AD57" s="816" t="str">
        <f t="array" ref="AD57">IF($J57="","",IF(SUM(IF(ISNUMBER(VALUE(RIGHT($AG57:$DZ57,1))),VALUE(RIGHT($AG57:$DZ57,1)),0))=$J57,"T","F"))</f>
        <v>T</v>
      </c>
      <c r="AE57" s="831">
        <f t="array" ref="AE57">IF($J57="","",SUM(IF(LEFT($AG57:$DZ57,1)="s",1,0))-SUM(IF(RIGHT(LEFT($AG57:$DZ57,2))="-",1,0)))</f>
        <v>0</v>
      </c>
      <c r="AF57" s="816">
        <f t="array" ref="AF57">IF($J57="","",SUM(IF(LEFT($AG57:$DZ57,1)="X",1,0)))</f>
        <v>11</v>
      </c>
      <c r="AG57" s="891" t="s">
        <v>32</v>
      </c>
      <c r="AH57" s="891" t="s">
        <v>1877</v>
      </c>
      <c r="AI57" s="891" t="s">
        <v>34</v>
      </c>
      <c r="AJ57" s="891" t="s">
        <v>32</v>
      </c>
      <c r="AK57" s="891" t="s">
        <v>32</v>
      </c>
      <c r="AL57" s="891" t="s">
        <v>34</v>
      </c>
      <c r="AM57" s="891" t="s">
        <v>34</v>
      </c>
      <c r="AN57" s="891" t="s">
        <v>36</v>
      </c>
      <c r="AO57" s="891" t="s">
        <v>32</v>
      </c>
      <c r="AP57" s="891" t="s">
        <v>1877</v>
      </c>
      <c r="AQ57" s="891" t="s">
        <v>32</v>
      </c>
      <c r="AR57" s="891" t="s">
        <v>32</v>
      </c>
      <c r="AS57" s="891" t="s">
        <v>34</v>
      </c>
      <c r="AT57" s="891" t="s">
        <v>1877</v>
      </c>
      <c r="AU57" s="904" t="s">
        <v>34</v>
      </c>
      <c r="AV57" s="891" t="s">
        <v>34</v>
      </c>
      <c r="AW57" s="891" t="s">
        <v>3256</v>
      </c>
      <c r="AX57" s="891" t="s">
        <v>35</v>
      </c>
      <c r="AY57" s="891" t="s">
        <v>32</v>
      </c>
      <c r="AZ57" s="891" t="s">
        <v>1886</v>
      </c>
      <c r="BA57" s="891" t="s">
        <v>35</v>
      </c>
      <c r="BB57" s="891" t="s">
        <v>3274</v>
      </c>
      <c r="BC57" s="891" t="s">
        <v>32</v>
      </c>
      <c r="BD57" s="891" t="s">
        <v>32</v>
      </c>
      <c r="BE57" s="891" t="s">
        <v>32</v>
      </c>
      <c r="BF57" s="891" t="s">
        <v>3254</v>
      </c>
      <c r="BG57" s="891" t="s">
        <v>1877</v>
      </c>
      <c r="BH57" s="891" t="s">
        <v>36</v>
      </c>
      <c r="BI57" s="891" t="s">
        <v>34</v>
      </c>
      <c r="BJ57" s="891" t="s">
        <v>32</v>
      </c>
      <c r="BK57" s="904" t="s">
        <v>3252</v>
      </c>
      <c r="BL57" s="891"/>
      <c r="BM57" s="891"/>
      <c r="BN57" s="910"/>
      <c r="BO57" s="891"/>
      <c r="BP57" s="891"/>
      <c r="BQ57" s="891"/>
      <c r="BR57" s="891"/>
      <c r="BS57" s="891"/>
      <c r="BT57" s="896"/>
      <c r="BU57" s="896"/>
      <c r="BV57" s="896"/>
      <c r="BW57" s="896"/>
      <c r="BX57" s="896"/>
      <c r="BY57" s="896"/>
      <c r="BZ57" s="896"/>
      <c r="CA57" s="896"/>
      <c r="CB57" s="896"/>
      <c r="CC57" s="896"/>
      <c r="CD57" s="896"/>
      <c r="CE57" s="896"/>
      <c r="CF57" s="896"/>
      <c r="CG57" s="896"/>
      <c r="CH57" s="428"/>
      <c r="CI57" s="428"/>
      <c r="CJ57" s="428"/>
      <c r="CK57" s="428"/>
    </row>
    <row r="58" spans="1:89" ht="15">
      <c r="A58" s="882">
        <v>6476</v>
      </c>
      <c r="B58" s="884"/>
      <c r="C58" s="884"/>
      <c r="D58" s="884">
        <f ca="1">IF(I58=Table!$C$1,VLOOKUP(G58,Table!$B$38:$AO$61,Table!$AO$35-1,FALSE),"")</f>
        <v>0</v>
      </c>
      <c r="E58" s="884"/>
      <c r="F58" s="884">
        <f ca="1">IF(I58="","",IF(I58=Table!$C$1,VLOOKUP(G58,Table!$B$9:$AE$32,Table!$AE$6-1,FALSE),""))</f>
        <v>9</v>
      </c>
      <c r="G58" s="879" t="s">
        <v>1083</v>
      </c>
      <c r="H58" s="879" t="s">
        <v>22</v>
      </c>
      <c r="I58" s="879" t="s">
        <v>891</v>
      </c>
      <c r="J58" s="846">
        <v>1</v>
      </c>
      <c r="K58" s="846">
        <v>1</v>
      </c>
      <c r="L58" s="816" t="str">
        <f t="shared" si="32"/>
        <v>D</v>
      </c>
      <c r="M58" s="816">
        <f t="shared" si="33"/>
        <v>2</v>
      </c>
      <c r="N58" s="816" t="str">
        <f t="shared" si="34"/>
        <v>U</v>
      </c>
      <c r="O58" s="816">
        <f t="shared" ref="O58:O66" si="57">IF(Q58="","",IF(SIGN(Q58)&lt;&gt;1,VLOOKUP(ABS(Q58),SUP_HDC,3,TRUE),-VLOOKUP(ABS(Q58),SUP_HDC,3,TRUE)))</f>
        <v>0.25</v>
      </c>
      <c r="P58" s="829">
        <f t="shared" ref="P58:P66" si="58">IF(O58="","",IF((J58-K58+O58)&gt;=0.5,1,IF((J58-K58+O58)=0.25,0.5,IF((J58-K58+O58)&lt;=-0.5,-1,IF((J58-K58+O58)=-0.25,-0.5,0)))))</f>
        <v>0.5</v>
      </c>
      <c r="Q58" s="830">
        <v>-0.26</v>
      </c>
      <c r="R58" s="871">
        <f t="shared" si="44"/>
        <v>0.26</v>
      </c>
      <c r="S58" s="830">
        <v>2.64</v>
      </c>
      <c r="T58" s="871">
        <f t="shared" si="27"/>
        <v>-0.64000000000000012</v>
      </c>
      <c r="U58" s="868">
        <f t="shared" ref="U58:U68" si="59">IF(Q58="","",(Q58+S58)/2)</f>
        <v>1.19</v>
      </c>
      <c r="V58" s="868">
        <f t="shared" ref="V58:V68" si="60">IF(Q58="","",S58-U58)</f>
        <v>1.4500000000000002</v>
      </c>
      <c r="W58" s="829">
        <v>10</v>
      </c>
      <c r="X58" s="829">
        <v>17</v>
      </c>
      <c r="Y58" s="829">
        <v>3</v>
      </c>
      <c r="Z58" s="829">
        <v>8</v>
      </c>
      <c r="AA58" s="829">
        <v>34</v>
      </c>
      <c r="AB58" s="829">
        <v>66</v>
      </c>
      <c r="AC58" s="829"/>
      <c r="AD58" s="816" t="str">
        <f t="array" ref="AD58">IF($J58="","",IF(SUM(IF(ISNUMBER(VALUE(RIGHT($AG58:$DZ58,1))),VALUE(RIGHT($AG58:$DZ58,1)),0))=$J58,"T","F"))</f>
        <v>T</v>
      </c>
      <c r="AE58" s="831">
        <f t="array" ref="AE58">IF($J58="","",SUM(IF(LEFT($AG58:$DZ58,1)="s",1,0))-SUM(IF(RIGHT(LEFT($AG58:$DZ58,2))="-",1,0)))</f>
        <v>0</v>
      </c>
      <c r="AF58" s="816">
        <f t="array" ref="AF58">IF($J58="","",SUM(IF(LEFT($AG58:$DZ58,1)="X",1,0)))</f>
        <v>11</v>
      </c>
      <c r="AG58" s="891" t="s">
        <v>32</v>
      </c>
      <c r="AH58" s="891" t="s">
        <v>1877</v>
      </c>
      <c r="AI58" s="891" t="s">
        <v>34</v>
      </c>
      <c r="AJ58" s="891" t="s">
        <v>32</v>
      </c>
      <c r="AK58" s="891" t="s">
        <v>32</v>
      </c>
      <c r="AL58" s="891" t="s">
        <v>34</v>
      </c>
      <c r="AM58" s="891" t="s">
        <v>34</v>
      </c>
      <c r="AN58" s="891" t="s">
        <v>35</v>
      </c>
      <c r="AO58" s="891" t="s">
        <v>32</v>
      </c>
      <c r="AP58" s="891" t="s">
        <v>36</v>
      </c>
      <c r="AQ58" s="891" t="s">
        <v>32</v>
      </c>
      <c r="AR58" s="891" t="s">
        <v>32</v>
      </c>
      <c r="AS58" s="891" t="s">
        <v>34</v>
      </c>
      <c r="AT58" s="891" t="s">
        <v>1877</v>
      </c>
      <c r="AU58" s="891" t="s">
        <v>3328</v>
      </c>
      <c r="AV58" s="891" t="s">
        <v>34</v>
      </c>
      <c r="AW58" s="891" t="s">
        <v>32</v>
      </c>
      <c r="AX58" s="891" t="s">
        <v>34</v>
      </c>
      <c r="AY58" s="891" t="s">
        <v>1877</v>
      </c>
      <c r="AZ58" s="891" t="s">
        <v>1886</v>
      </c>
      <c r="BA58" s="891" t="s">
        <v>36</v>
      </c>
      <c r="BB58" s="891" t="s">
        <v>36</v>
      </c>
      <c r="BC58" s="891" t="s">
        <v>32</v>
      </c>
      <c r="BD58" s="891" t="s">
        <v>32</v>
      </c>
      <c r="BE58" s="891" t="s">
        <v>32</v>
      </c>
      <c r="BF58" s="891" t="s">
        <v>35</v>
      </c>
      <c r="BG58" s="891" t="s">
        <v>1877</v>
      </c>
      <c r="BH58" s="891" t="s">
        <v>3333</v>
      </c>
      <c r="BI58" s="891" t="s">
        <v>34</v>
      </c>
      <c r="BJ58" s="891" t="s">
        <v>32</v>
      </c>
      <c r="BK58" s="891" t="s">
        <v>34</v>
      </c>
      <c r="BL58" s="891"/>
      <c r="BM58" s="891"/>
      <c r="BN58" s="910"/>
      <c r="BO58" s="891"/>
      <c r="BP58" s="891"/>
      <c r="BQ58" s="891"/>
      <c r="BR58" s="891"/>
      <c r="BS58" s="891"/>
      <c r="BT58" s="896"/>
      <c r="BU58" s="896"/>
      <c r="BV58" s="896"/>
      <c r="BW58" s="896"/>
      <c r="BX58" s="896"/>
      <c r="BY58" s="896"/>
      <c r="BZ58" s="896"/>
      <c r="CA58" s="896"/>
      <c r="CB58" s="896"/>
      <c r="CC58" s="896"/>
      <c r="CD58" s="896"/>
      <c r="CE58" s="896"/>
      <c r="CF58" s="896"/>
      <c r="CG58" s="896"/>
      <c r="CH58" s="428"/>
      <c r="CI58" s="428"/>
      <c r="CJ58" s="428"/>
      <c r="CK58" s="428"/>
    </row>
    <row r="59" spans="1:89" ht="15">
      <c r="A59" s="882">
        <v>6483</v>
      </c>
      <c r="B59" s="884"/>
      <c r="C59" s="884"/>
      <c r="D59" s="884">
        <f ca="1">IF(I59=Table!$C$1,VLOOKUP(G59,Table!$B$38:$AO$61,Table!$AO$35-1,FALSE),"")</f>
        <v>0</v>
      </c>
      <c r="E59" s="884"/>
      <c r="F59" s="884">
        <f ca="1">IF(I59="","",IF(I59=Table!$C$1,VLOOKUP(G59,Table!$B$9:$AE$32,Table!$AE$6-1,FALSE),""))</f>
        <v>1</v>
      </c>
      <c r="G59" s="879" t="s">
        <v>1086</v>
      </c>
      <c r="H59" s="879" t="s">
        <v>18</v>
      </c>
      <c r="I59" s="879" t="s">
        <v>891</v>
      </c>
      <c r="J59" s="846">
        <v>2</v>
      </c>
      <c r="K59" s="846">
        <v>4</v>
      </c>
      <c r="L59" s="816" t="str">
        <f t="shared" si="32"/>
        <v>L</v>
      </c>
      <c r="M59" s="816">
        <f t="shared" si="33"/>
        <v>6</v>
      </c>
      <c r="N59" s="816" t="str">
        <f t="shared" si="34"/>
        <v>O</v>
      </c>
      <c r="O59" s="816">
        <f t="shared" si="57"/>
        <v>0.75</v>
      </c>
      <c r="P59" s="829">
        <f t="shared" si="58"/>
        <v>-1</v>
      </c>
      <c r="Q59" s="830">
        <v>-0.9</v>
      </c>
      <c r="R59" s="871">
        <f t="shared" si="44"/>
        <v>-1.1000000000000001</v>
      </c>
      <c r="S59" s="830">
        <v>2.65</v>
      </c>
      <c r="T59" s="871">
        <f t="shared" si="27"/>
        <v>3.35</v>
      </c>
      <c r="U59" s="868">
        <f t="shared" si="59"/>
        <v>0.875</v>
      </c>
      <c r="V59" s="868">
        <f t="shared" si="60"/>
        <v>1.7749999999999999</v>
      </c>
      <c r="W59" s="829">
        <v>15</v>
      </c>
      <c r="X59" s="829">
        <v>18</v>
      </c>
      <c r="Y59" s="829">
        <v>6</v>
      </c>
      <c r="Z59" s="829">
        <v>6</v>
      </c>
      <c r="AA59" s="829">
        <v>47</v>
      </c>
      <c r="AB59" s="829">
        <v>53</v>
      </c>
      <c r="AC59" s="829"/>
      <c r="AD59" s="816" t="str">
        <f t="array" ref="AD59">IF($J59="","",IF(SUM(IF(ISNUMBER(VALUE(RIGHT($AG59:$CL59,1))),VALUE(RIGHT($AG59:$CL59,1)),0))=$J59,"T","F"))</f>
        <v>T</v>
      </c>
      <c r="AE59" s="831">
        <f t="array" ref="AE59">IF($J59="","",SUM(IF(LEFT($AG59:$DX59,1)="s",1,0))-SUM(IF(RIGHT(LEFT($AG59:$DX59,2))="-",1,0)))</f>
        <v>0</v>
      </c>
      <c r="AF59" s="816">
        <f t="array" ref="AF59">IF($J59="","",SUM(IF(LEFT($AG59:$DD59,1)="X",1,0)))</f>
        <v>11</v>
      </c>
      <c r="AG59" s="891"/>
      <c r="AH59" s="891" t="s">
        <v>1877</v>
      </c>
      <c r="AI59" s="891" t="s">
        <v>34</v>
      </c>
      <c r="AJ59" s="891" t="s">
        <v>32</v>
      </c>
      <c r="AK59" s="891" t="s">
        <v>32</v>
      </c>
      <c r="AL59" s="891" t="s">
        <v>34</v>
      </c>
      <c r="AM59" s="904" t="s">
        <v>34</v>
      </c>
      <c r="AN59" s="891" t="s">
        <v>1877</v>
      </c>
      <c r="AO59" s="891" t="s">
        <v>32</v>
      </c>
      <c r="AP59" s="891" t="s">
        <v>36</v>
      </c>
      <c r="AQ59" s="891" t="s">
        <v>32</v>
      </c>
      <c r="AR59" s="891" t="s">
        <v>32</v>
      </c>
      <c r="AS59" s="891" t="s">
        <v>34</v>
      </c>
      <c r="AT59" s="891" t="s">
        <v>1877</v>
      </c>
      <c r="AU59" s="891" t="s">
        <v>34</v>
      </c>
      <c r="AV59" s="891" t="s">
        <v>34</v>
      </c>
      <c r="AW59" s="891" t="s">
        <v>32</v>
      </c>
      <c r="AX59" s="891" t="s">
        <v>34</v>
      </c>
      <c r="AY59" s="891" t="s">
        <v>32</v>
      </c>
      <c r="AZ59" s="891" t="s">
        <v>1886</v>
      </c>
      <c r="BA59" s="891" t="s">
        <v>1877</v>
      </c>
      <c r="BB59" s="891" t="s">
        <v>35</v>
      </c>
      <c r="BC59" s="891" t="s">
        <v>32</v>
      </c>
      <c r="BD59" s="891" t="s">
        <v>32</v>
      </c>
      <c r="BE59" s="891" t="s">
        <v>32</v>
      </c>
      <c r="BF59" s="891" t="s">
        <v>3373</v>
      </c>
      <c r="BG59" s="891" t="s">
        <v>36</v>
      </c>
      <c r="BH59" s="891" t="s">
        <v>35</v>
      </c>
      <c r="BI59" s="891" t="s">
        <v>3362</v>
      </c>
      <c r="BJ59" s="891" t="s">
        <v>32</v>
      </c>
      <c r="BK59" s="891" t="s">
        <v>35</v>
      </c>
      <c r="BL59" s="891"/>
      <c r="BM59" s="891"/>
      <c r="BN59" s="910"/>
      <c r="BO59" s="891"/>
      <c r="BP59" s="891"/>
      <c r="BQ59" s="891"/>
      <c r="BR59" s="891"/>
      <c r="BS59" s="891"/>
      <c r="BT59" s="896"/>
      <c r="BU59" s="896"/>
      <c r="BV59" s="896"/>
      <c r="BW59" s="896"/>
      <c r="BX59" s="896"/>
      <c r="BY59" s="896"/>
      <c r="BZ59" s="896"/>
      <c r="CA59" s="896"/>
      <c r="CB59" s="896"/>
      <c r="CC59" s="896"/>
      <c r="CD59" s="896"/>
      <c r="CE59" s="896"/>
      <c r="CF59" s="896"/>
      <c r="CG59" s="896"/>
      <c r="CH59" s="428"/>
      <c r="CI59" s="428"/>
      <c r="CJ59" s="428"/>
      <c r="CK59" s="428"/>
    </row>
    <row r="60" spans="1:89" ht="15">
      <c r="A60" s="882">
        <v>6490</v>
      </c>
      <c r="B60" s="884"/>
      <c r="C60" s="884"/>
      <c r="D60" s="884">
        <f ca="1">IF(I60=Table!$C$1,VLOOKUP(G60,Table!$B$38:$AO$61,Table!$AO$35-1,FALSE),"")</f>
        <v>0</v>
      </c>
      <c r="E60" s="884"/>
      <c r="F60" s="884">
        <f ca="1">IF(I60="","",IF(I60=Table!$C$1,VLOOKUP(G60,Table!$B$9:$AE$32,Table!$AE$6-1,FALSE),""))</f>
        <v>15</v>
      </c>
      <c r="G60" s="879" t="s">
        <v>881</v>
      </c>
      <c r="H60" s="879" t="s">
        <v>22</v>
      </c>
      <c r="I60" s="879" t="s">
        <v>891</v>
      </c>
      <c r="J60" s="846">
        <v>4</v>
      </c>
      <c r="K60" s="846">
        <v>1</v>
      </c>
      <c r="L60" s="816" t="str">
        <f t="shared" si="32"/>
        <v>W</v>
      </c>
      <c r="M60" s="816">
        <f t="shared" si="33"/>
        <v>5</v>
      </c>
      <c r="N60" s="816" t="str">
        <f t="shared" si="34"/>
        <v>O</v>
      </c>
      <c r="O60" s="816">
        <f t="shared" si="57"/>
        <v>0</v>
      </c>
      <c r="P60" s="829">
        <f t="shared" si="58"/>
        <v>1</v>
      </c>
      <c r="Q60" s="830">
        <v>0.04</v>
      </c>
      <c r="R60" s="871">
        <f t="shared" si="44"/>
        <v>2.96</v>
      </c>
      <c r="S60" s="830">
        <v>2.72</v>
      </c>
      <c r="T60" s="871">
        <f t="shared" si="27"/>
        <v>2.2799999999999998</v>
      </c>
      <c r="U60" s="868">
        <f t="shared" si="59"/>
        <v>1.3800000000000001</v>
      </c>
      <c r="V60" s="868">
        <f t="shared" si="60"/>
        <v>1.34</v>
      </c>
      <c r="W60" s="829">
        <v>20</v>
      </c>
      <c r="X60" s="829">
        <v>10</v>
      </c>
      <c r="Y60" s="829">
        <v>8</v>
      </c>
      <c r="Z60" s="829">
        <v>7</v>
      </c>
      <c r="AA60" s="829">
        <v>45</v>
      </c>
      <c r="AB60" s="829">
        <v>55</v>
      </c>
      <c r="AC60" s="829"/>
      <c r="AD60" s="816" t="str">
        <f t="array" ref="AD60">IF($J60="","",IF(SUM(IF(ISNUMBER(VALUE(RIGHT($AG60:$CL60,1))),VALUE(RIGHT($AG60:$CL60,1)),0))=$J60,"T","F"))</f>
        <v>T</v>
      </c>
      <c r="AE60" s="831">
        <f t="array" ref="AE60">IF($J60="","",SUM(IF(LEFT($AG60:$DX60,1)="s",1,0))-SUM(IF(RIGHT(LEFT($AG60:$DX60,2))="-",1,0)))</f>
        <v>0</v>
      </c>
      <c r="AF60" s="816">
        <f t="array" ref="AF60">IF($J60="","",SUM(IF(LEFT($AG60:$DD60,1)="X",1,0)))</f>
        <v>11</v>
      </c>
      <c r="AG60" s="891" t="s">
        <v>32</v>
      </c>
      <c r="AH60" s="891" t="s">
        <v>32</v>
      </c>
      <c r="AI60" s="891" t="s">
        <v>34</v>
      </c>
      <c r="AJ60" s="891" t="s">
        <v>1877</v>
      </c>
      <c r="AK60" s="891" t="s">
        <v>32</v>
      </c>
      <c r="AL60" s="891" t="s">
        <v>34</v>
      </c>
      <c r="AM60" s="891" t="s">
        <v>34</v>
      </c>
      <c r="AN60" s="891" t="s">
        <v>1877</v>
      </c>
      <c r="AO60" s="891" t="s">
        <v>32</v>
      </c>
      <c r="AP60" s="891" t="s">
        <v>1877</v>
      </c>
      <c r="AQ60" s="891" t="s">
        <v>32</v>
      </c>
      <c r="AR60" s="891" t="s">
        <v>32</v>
      </c>
      <c r="AS60" s="891" t="s">
        <v>34</v>
      </c>
      <c r="AT60" s="891" t="s">
        <v>1877</v>
      </c>
      <c r="AU60" s="904" t="s">
        <v>34</v>
      </c>
      <c r="AV60" s="891" t="s">
        <v>34</v>
      </c>
      <c r="AW60" s="891" t="s">
        <v>32</v>
      </c>
      <c r="AX60" s="891" t="s">
        <v>34</v>
      </c>
      <c r="AY60" s="891" t="s">
        <v>32</v>
      </c>
      <c r="AZ60" s="891" t="s">
        <v>1886</v>
      </c>
      <c r="BA60" s="891" t="s">
        <v>36</v>
      </c>
      <c r="BB60" s="891" t="s">
        <v>36</v>
      </c>
      <c r="BC60" s="891" t="s">
        <v>32</v>
      </c>
      <c r="BD60" s="891" t="s">
        <v>32</v>
      </c>
      <c r="BE60" s="891" t="s">
        <v>32</v>
      </c>
      <c r="BF60" s="891" t="s">
        <v>35</v>
      </c>
      <c r="BG60" s="891" t="s">
        <v>3407</v>
      </c>
      <c r="BH60" s="891" t="s">
        <v>35</v>
      </c>
      <c r="BI60" s="891" t="s">
        <v>3400</v>
      </c>
      <c r="BJ60" s="891" t="s">
        <v>32</v>
      </c>
      <c r="BK60" s="891" t="s">
        <v>3399</v>
      </c>
      <c r="BL60" s="891"/>
      <c r="BM60" s="891"/>
      <c r="BN60" s="910"/>
      <c r="BO60" s="891"/>
      <c r="BP60" s="891"/>
      <c r="BQ60" s="891"/>
      <c r="BR60" s="891"/>
      <c r="BS60" s="891"/>
      <c r="BT60" s="896"/>
      <c r="BU60" s="896"/>
      <c r="BV60" s="896"/>
      <c r="BW60" s="896"/>
      <c r="BX60" s="896"/>
      <c r="BY60" s="896"/>
      <c r="BZ60" s="896"/>
      <c r="CA60" s="896"/>
      <c r="CB60" s="896"/>
      <c r="CC60" s="896"/>
      <c r="CD60" s="896"/>
      <c r="CE60" s="896"/>
      <c r="CF60" s="896"/>
      <c r="CG60" s="896"/>
    </row>
    <row r="61" spans="1:89" ht="15">
      <c r="A61" s="882">
        <v>6497</v>
      </c>
      <c r="B61" s="884"/>
      <c r="C61" s="884"/>
      <c r="D61" s="884">
        <f ca="1">IF(I61=Table!$C$1,VLOOKUP(G61,Table!$B$38:$AO$61,Table!$AO$35-1,FALSE),"")</f>
        <v>0</v>
      </c>
      <c r="E61" s="884"/>
      <c r="F61" s="884">
        <f ca="1">IF(I61="","",IF(I61=Table!$C$1,VLOOKUP(G61,Table!$B$9:$AE$32,Table!$AE$6-1,FALSE),""))</f>
        <v>16</v>
      </c>
      <c r="G61" s="879" t="s">
        <v>872</v>
      </c>
      <c r="H61" s="879" t="s">
        <v>18</v>
      </c>
      <c r="I61" s="879" t="s">
        <v>891</v>
      </c>
      <c r="J61" s="846">
        <v>1</v>
      </c>
      <c r="K61" s="846">
        <v>1</v>
      </c>
      <c r="L61" s="816" t="str">
        <f t="shared" si="32"/>
        <v>D</v>
      </c>
      <c r="M61" s="816">
        <f t="shared" si="33"/>
        <v>2</v>
      </c>
      <c r="N61" s="816" t="str">
        <f t="shared" si="34"/>
        <v>U</v>
      </c>
      <c r="O61" s="816">
        <f t="shared" si="57"/>
        <v>0.25</v>
      </c>
      <c r="P61" s="829">
        <f t="shared" si="58"/>
        <v>0.5</v>
      </c>
      <c r="Q61" s="830">
        <v>-0.24</v>
      </c>
      <c r="R61" s="871">
        <f t="shared" si="44"/>
        <v>0.24</v>
      </c>
      <c r="S61" s="830">
        <v>2.72</v>
      </c>
      <c r="T61" s="871">
        <f t="shared" si="27"/>
        <v>-0.7200000000000002</v>
      </c>
      <c r="U61" s="868">
        <f t="shared" si="59"/>
        <v>1.2400000000000002</v>
      </c>
      <c r="V61" s="868">
        <f t="shared" si="60"/>
        <v>1.48</v>
      </c>
      <c r="W61" s="829">
        <v>8</v>
      </c>
      <c r="X61" s="829">
        <v>24</v>
      </c>
      <c r="Y61" s="829">
        <v>4</v>
      </c>
      <c r="Z61" s="829">
        <v>5</v>
      </c>
      <c r="AA61" s="829">
        <v>49</v>
      </c>
      <c r="AB61" s="829">
        <v>51</v>
      </c>
      <c r="AC61" s="829"/>
      <c r="AD61" s="816" t="str">
        <f t="array" ref="AD61">IF($J61="","",IF(SUM(IF(ISNUMBER(VALUE(RIGHT($AG61:$CL61,1))),VALUE(RIGHT($AG61:$CL61,1)),0))=$J61,"T","F"))</f>
        <v>T</v>
      </c>
      <c r="AE61" s="831">
        <f t="array" ref="AE61">IF($J61="","",SUM(IF(LEFT($AG61:$DX61,1)="s",1,0))-SUM(IF(RIGHT(LEFT($AG61:$DX61,2))="-",1,0)))</f>
        <v>0</v>
      </c>
      <c r="AF61" s="816">
        <f t="array" ref="AF61">IF($J61="","",SUM(IF(LEFT($AG61:$DD61,1)="X",1,0)))</f>
        <v>11</v>
      </c>
      <c r="AG61" s="891"/>
      <c r="AH61" s="891" t="s">
        <v>32</v>
      </c>
      <c r="AI61" s="891" t="s">
        <v>34</v>
      </c>
      <c r="AJ61" s="891" t="s">
        <v>1877</v>
      </c>
      <c r="AK61" s="891" t="s">
        <v>32</v>
      </c>
      <c r="AL61" s="891" t="s">
        <v>34</v>
      </c>
      <c r="AM61" s="891" t="s">
        <v>34</v>
      </c>
      <c r="AN61" s="891" t="s">
        <v>36</v>
      </c>
      <c r="AO61" s="891" t="s">
        <v>32</v>
      </c>
      <c r="AP61" s="891" t="s">
        <v>1877</v>
      </c>
      <c r="AQ61" s="891" t="s">
        <v>32</v>
      </c>
      <c r="AR61" s="891" t="s">
        <v>32</v>
      </c>
      <c r="AS61" s="891" t="s">
        <v>34</v>
      </c>
      <c r="AT61" s="891" t="s">
        <v>1877</v>
      </c>
      <c r="AU61" s="891" t="s">
        <v>34</v>
      </c>
      <c r="AV61" s="891" t="s">
        <v>34</v>
      </c>
      <c r="AW61" s="891" t="s">
        <v>32</v>
      </c>
      <c r="AX61" s="904" t="s">
        <v>35</v>
      </c>
      <c r="AY61" s="891" t="s">
        <v>32</v>
      </c>
      <c r="AZ61" s="891" t="s">
        <v>1886</v>
      </c>
      <c r="BA61" s="891" t="s">
        <v>36</v>
      </c>
      <c r="BB61" s="891" t="s">
        <v>36</v>
      </c>
      <c r="BC61" s="891" t="s">
        <v>32</v>
      </c>
      <c r="BD61" s="891" t="s">
        <v>32</v>
      </c>
      <c r="BE61" s="891" t="s">
        <v>32</v>
      </c>
      <c r="BF61" s="891" t="s">
        <v>35</v>
      </c>
      <c r="BG61" s="891" t="s">
        <v>32</v>
      </c>
      <c r="BH61" s="891" t="s">
        <v>35</v>
      </c>
      <c r="BI61" s="891" t="s">
        <v>34</v>
      </c>
      <c r="BJ61" s="891" t="s">
        <v>1877</v>
      </c>
      <c r="BK61" s="891" t="s">
        <v>3437</v>
      </c>
      <c r="BL61" s="891"/>
      <c r="BM61" s="891"/>
      <c r="BN61" s="910"/>
      <c r="BO61" s="891"/>
      <c r="BP61" s="891"/>
      <c r="BQ61" s="891"/>
      <c r="BR61" s="891"/>
      <c r="BS61" s="891"/>
      <c r="BT61" s="896"/>
      <c r="BU61" s="896"/>
      <c r="BV61" s="896"/>
      <c r="BW61" s="896"/>
      <c r="BX61" s="896"/>
      <c r="BY61" s="896"/>
      <c r="BZ61" s="896"/>
      <c r="CA61" s="896"/>
      <c r="CB61" s="896"/>
      <c r="CC61" s="896"/>
      <c r="CD61" s="896"/>
      <c r="CE61" s="896"/>
      <c r="CF61" s="896"/>
      <c r="CG61" s="896"/>
    </row>
    <row r="62" spans="1:89" ht="15">
      <c r="A62" s="882">
        <v>6504</v>
      </c>
      <c r="B62" s="884"/>
      <c r="C62" s="884"/>
      <c r="D62" s="884">
        <f ca="1">IF(I62=Table!$C$1,VLOOKUP(G62,Table!$B$38:$AO$61,Table!$AO$35-1,FALSE),"")</f>
        <v>0</v>
      </c>
      <c r="E62" s="884"/>
      <c r="F62" s="884">
        <f ca="1">IF(I62="","",IF(I62=Table!$C$1,VLOOKUP(G62,Table!$B$9:$AE$32,Table!$AE$6-1,FALSE),""))</f>
        <v>12</v>
      </c>
      <c r="G62" s="879" t="s">
        <v>879</v>
      </c>
      <c r="H62" s="879" t="s">
        <v>22</v>
      </c>
      <c r="I62" s="879" t="s">
        <v>891</v>
      </c>
      <c r="J62" s="846">
        <v>0</v>
      </c>
      <c r="K62" s="846">
        <v>0</v>
      </c>
      <c r="L62" s="816" t="str">
        <f t="shared" si="32"/>
        <v>D</v>
      </c>
      <c r="M62" s="816">
        <f t="shared" si="33"/>
        <v>0</v>
      </c>
      <c r="N62" s="816" t="str">
        <f t="shared" si="34"/>
        <v>U</v>
      </c>
      <c r="O62" s="816">
        <f t="shared" si="57"/>
        <v>0</v>
      </c>
      <c r="P62" s="829">
        <f t="shared" si="58"/>
        <v>0</v>
      </c>
      <c r="Q62" s="830">
        <v>-0.1</v>
      </c>
      <c r="R62" s="871">
        <f t="shared" si="44"/>
        <v>0.1</v>
      </c>
      <c r="S62" s="830">
        <v>2.7</v>
      </c>
      <c r="T62" s="871">
        <f t="shared" si="27"/>
        <v>-2.7</v>
      </c>
      <c r="U62" s="868">
        <f t="shared" si="59"/>
        <v>1.3</v>
      </c>
      <c r="V62" s="868">
        <f t="shared" si="60"/>
        <v>1.4000000000000001</v>
      </c>
      <c r="W62" s="829">
        <v>9</v>
      </c>
      <c r="X62" s="829">
        <v>10</v>
      </c>
      <c r="Y62" s="829">
        <v>2</v>
      </c>
      <c r="Z62" s="829">
        <v>3</v>
      </c>
      <c r="AA62" s="829">
        <v>45</v>
      </c>
      <c r="AB62" s="829">
        <v>55</v>
      </c>
      <c r="AC62" s="829"/>
      <c r="AD62" s="816" t="str">
        <f t="array" ref="AD62">IF($J62="","",IF(SUM(IF(ISNUMBER(VALUE(RIGHT($AG62:$CL62,1))),VALUE(RIGHT($AG62:$CL62,1)),0))=$J62,"T","F"))</f>
        <v>T</v>
      </c>
      <c r="AE62" s="831">
        <f t="array" ref="AE62">IF($J62="","",SUM(IF(LEFT($AG62:$DX62,1)="s",1,0))-SUM(IF(RIGHT(LEFT($AG62:$DX62,2))="-",1,0)))</f>
        <v>0</v>
      </c>
      <c r="AF62" s="816">
        <f t="array" ref="AF62">IF($J62="","",SUM(IF(LEFT($AG62:$DD62,1)="X",1,0)))</f>
        <v>11</v>
      </c>
      <c r="AG62" s="891" t="s">
        <v>32</v>
      </c>
      <c r="AH62" s="891" t="s">
        <v>32</v>
      </c>
      <c r="AI62" s="891" t="s">
        <v>34</v>
      </c>
      <c r="AJ62" s="891" t="s">
        <v>1877</v>
      </c>
      <c r="AK62" s="891" t="s">
        <v>32</v>
      </c>
      <c r="AL62" s="891" t="s">
        <v>34</v>
      </c>
      <c r="AM62" s="891" t="s">
        <v>34</v>
      </c>
      <c r="AN62" s="891" t="s">
        <v>1877</v>
      </c>
      <c r="AO62" s="891" t="s">
        <v>32</v>
      </c>
      <c r="AP62" s="891" t="s">
        <v>1877</v>
      </c>
      <c r="AQ62" s="891" t="s">
        <v>32</v>
      </c>
      <c r="AR62" s="891" t="s">
        <v>32</v>
      </c>
      <c r="AS62" s="891" t="s">
        <v>34</v>
      </c>
      <c r="AT62" s="891" t="s">
        <v>1877</v>
      </c>
      <c r="AU62" s="891" t="s">
        <v>34</v>
      </c>
      <c r="AV62" s="891" t="s">
        <v>34</v>
      </c>
      <c r="AW62" s="891" t="s">
        <v>32</v>
      </c>
      <c r="AX62" s="891" t="s">
        <v>34</v>
      </c>
      <c r="AY62" s="891" t="s">
        <v>32</v>
      </c>
      <c r="AZ62" s="891" t="s">
        <v>1886</v>
      </c>
      <c r="BA62" s="891" t="s">
        <v>35</v>
      </c>
      <c r="BB62" s="891" t="s">
        <v>36</v>
      </c>
      <c r="BC62" s="891" t="s">
        <v>32</v>
      </c>
      <c r="BD62" s="891" t="s">
        <v>32</v>
      </c>
      <c r="BE62" s="891" t="s">
        <v>32</v>
      </c>
      <c r="BF62" s="891" t="s">
        <v>35</v>
      </c>
      <c r="BG62" s="891" t="s">
        <v>32</v>
      </c>
      <c r="BH62" s="891" t="s">
        <v>36</v>
      </c>
      <c r="BI62" s="891" t="s">
        <v>34</v>
      </c>
      <c r="BJ62" s="891" t="s">
        <v>1877</v>
      </c>
      <c r="BK62" s="891" t="s">
        <v>34</v>
      </c>
      <c r="BL62" s="891"/>
      <c r="BM62" s="891"/>
      <c r="BN62" s="910"/>
      <c r="BO62" s="891"/>
      <c r="BP62" s="891"/>
      <c r="BQ62" s="891"/>
      <c r="BR62" s="891"/>
      <c r="BS62" s="891"/>
      <c r="BT62" s="896"/>
      <c r="BU62" s="896"/>
      <c r="BV62" s="896"/>
      <c r="BW62" s="896"/>
      <c r="BX62" s="896"/>
      <c r="BY62" s="896"/>
      <c r="BZ62" s="896"/>
      <c r="CA62" s="896"/>
      <c r="CB62" s="896"/>
      <c r="CC62" s="896"/>
      <c r="CD62" s="896"/>
      <c r="CE62" s="896"/>
      <c r="CF62" s="896"/>
      <c r="CG62" s="896"/>
    </row>
    <row r="63" spans="1:89" ht="15">
      <c r="A63" s="882">
        <v>6512</v>
      </c>
      <c r="B63" s="884"/>
      <c r="C63" s="884"/>
      <c r="D63" s="884">
        <f ca="1">IF(I63=Table!$C$1,VLOOKUP(G63,Table!$B$38:$AO$61,Table!$AO$35-1,FALSE),"")</f>
        <v>0</v>
      </c>
      <c r="E63" s="884"/>
      <c r="F63" s="884">
        <f ca="1">IF(I63="","",IF(I63=Table!$C$1,VLOOKUP(G63,Table!$B$9:$AE$32,Table!$AE$6-1,FALSE),""))</f>
        <v>20</v>
      </c>
      <c r="G63" s="879" t="s">
        <v>882</v>
      </c>
      <c r="H63" s="879" t="s">
        <v>18</v>
      </c>
      <c r="I63" s="879" t="s">
        <v>891</v>
      </c>
      <c r="J63" s="846">
        <v>1</v>
      </c>
      <c r="K63" s="846">
        <v>0</v>
      </c>
      <c r="L63" s="816" t="str">
        <f t="shared" si="32"/>
        <v>W</v>
      </c>
      <c r="M63" s="816">
        <f t="shared" si="33"/>
        <v>1</v>
      </c>
      <c r="N63" s="816" t="str">
        <f t="shared" si="34"/>
        <v>U</v>
      </c>
      <c r="O63" s="816">
        <f t="shared" si="57"/>
        <v>0.25</v>
      </c>
      <c r="P63" s="829">
        <f t="shared" si="58"/>
        <v>1</v>
      </c>
      <c r="Q63" s="830">
        <v>-0.18</v>
      </c>
      <c r="R63" s="871">
        <f t="shared" si="44"/>
        <v>1.18</v>
      </c>
      <c r="S63" s="830">
        <v>2.75</v>
      </c>
      <c r="T63" s="871">
        <f t="shared" si="27"/>
        <v>-1.75</v>
      </c>
      <c r="U63" s="868">
        <f t="shared" si="59"/>
        <v>1.2849999999999999</v>
      </c>
      <c r="V63" s="868">
        <f t="shared" si="60"/>
        <v>1.4650000000000001</v>
      </c>
      <c r="W63" s="829">
        <v>9</v>
      </c>
      <c r="X63" s="829">
        <v>14</v>
      </c>
      <c r="Y63" s="829">
        <v>3</v>
      </c>
      <c r="Z63" s="829">
        <v>2</v>
      </c>
      <c r="AA63" s="829">
        <v>45</v>
      </c>
      <c r="AB63" s="829">
        <v>55</v>
      </c>
      <c r="AC63" s="829"/>
      <c r="AD63" s="816" t="str">
        <f t="array" ref="AD63">IF($J63="","",IF(SUM(IF(ISNUMBER(VALUE(RIGHT($AG63:$CL63,1))),VALUE(RIGHT($AG63:$CL63,1)),0))=$J63,"T","F"))</f>
        <v>T</v>
      </c>
      <c r="AE63" s="831">
        <f t="array" ref="AE63">IF($J63="","",SUM(IF(LEFT($AG63:$DX63,1)="s",1,0))-SUM(IF(RIGHT(LEFT($AG63:$DX63,2))="-",1,0)))</f>
        <v>0</v>
      </c>
      <c r="AF63" s="816">
        <f t="array" ref="AF63">IF($J63="","",SUM(IF(LEFT($AG63:$DD63,1)="X",1,0)))</f>
        <v>11</v>
      </c>
      <c r="AG63" s="891" t="s">
        <v>32</v>
      </c>
      <c r="AH63" s="891" t="s">
        <v>32</v>
      </c>
      <c r="AI63" s="891" t="s">
        <v>34</v>
      </c>
      <c r="AJ63" s="891" t="s">
        <v>1877</v>
      </c>
      <c r="AK63" s="891" t="s">
        <v>32</v>
      </c>
      <c r="AL63" s="891" t="s">
        <v>34</v>
      </c>
      <c r="AM63" s="904" t="s">
        <v>34</v>
      </c>
      <c r="AN63" s="891" t="s">
        <v>1877</v>
      </c>
      <c r="AO63" s="891" t="s">
        <v>32</v>
      </c>
      <c r="AP63" s="891" t="s">
        <v>1877</v>
      </c>
      <c r="AQ63" s="891" t="s">
        <v>32</v>
      </c>
      <c r="AR63" s="891" t="s">
        <v>32</v>
      </c>
      <c r="AS63" s="891" t="s">
        <v>34</v>
      </c>
      <c r="AT63" s="891" t="s">
        <v>1877</v>
      </c>
      <c r="AU63" s="891" t="s">
        <v>34</v>
      </c>
      <c r="AV63" s="891" t="s">
        <v>34</v>
      </c>
      <c r="AW63" s="891" t="s">
        <v>32</v>
      </c>
      <c r="AX63" s="891" t="s">
        <v>34</v>
      </c>
      <c r="AY63" s="891" t="s">
        <v>32</v>
      </c>
      <c r="AZ63" s="891" t="s">
        <v>32</v>
      </c>
      <c r="BA63" s="891" t="s">
        <v>35</v>
      </c>
      <c r="BB63" s="904" t="s">
        <v>36</v>
      </c>
      <c r="BC63" s="891" t="s">
        <v>32</v>
      </c>
      <c r="BD63" s="891" t="s">
        <v>32</v>
      </c>
      <c r="BE63" s="891" t="s">
        <v>32</v>
      </c>
      <c r="BF63" s="891" t="s">
        <v>35</v>
      </c>
      <c r="BG63" s="891" t="s">
        <v>3483</v>
      </c>
      <c r="BH63" s="891" t="s">
        <v>36</v>
      </c>
      <c r="BI63" s="891" t="s">
        <v>34</v>
      </c>
      <c r="BJ63" s="891" t="s">
        <v>32</v>
      </c>
      <c r="BK63" s="891" t="s">
        <v>35</v>
      </c>
      <c r="BL63" s="891"/>
      <c r="BM63" s="891"/>
      <c r="BN63" s="910"/>
      <c r="BO63" s="891"/>
      <c r="BP63" s="891"/>
      <c r="BQ63" s="891"/>
      <c r="BR63" s="891"/>
      <c r="BS63" s="891"/>
      <c r="BT63" s="896"/>
      <c r="BU63" s="896"/>
      <c r="BV63" s="896"/>
      <c r="BW63" s="896"/>
      <c r="BX63" s="896"/>
      <c r="BY63" s="896"/>
      <c r="BZ63" s="896"/>
      <c r="CA63" s="896"/>
      <c r="CB63" s="896"/>
      <c r="CC63" s="896"/>
      <c r="CD63" s="896"/>
      <c r="CE63" s="896"/>
      <c r="CF63" s="896"/>
      <c r="CG63" s="896"/>
    </row>
    <row r="64" spans="1:89" ht="15">
      <c r="A64" s="882">
        <v>6519</v>
      </c>
      <c r="B64" s="884"/>
      <c r="C64" s="884"/>
      <c r="D64" s="884">
        <f ca="1">IF(I64=Table!$C$1,VLOOKUP(G64,Table!$B$38:$AO$61,Table!$AO$35-1,FALSE),"")</f>
        <v>0</v>
      </c>
      <c r="E64" s="884"/>
      <c r="F64" s="884">
        <f ca="1">IF(I64="","",IF(I64=Table!$C$1,VLOOKUP(G64,Table!$B$9:$AE$32,Table!$AE$6-1,FALSE),""))</f>
        <v>18</v>
      </c>
      <c r="G64" s="879" t="s">
        <v>887</v>
      </c>
      <c r="H64" s="879" t="s">
        <v>22</v>
      </c>
      <c r="I64" s="879" t="s">
        <v>891</v>
      </c>
      <c r="J64" s="846">
        <v>1</v>
      </c>
      <c r="K64" s="846">
        <v>1</v>
      </c>
      <c r="L64" s="816" t="str">
        <f t="shared" si="32"/>
        <v>D</v>
      </c>
      <c r="M64" s="816">
        <f t="shared" si="33"/>
        <v>2</v>
      </c>
      <c r="N64" s="816" t="str">
        <f t="shared" si="34"/>
        <v>U</v>
      </c>
      <c r="O64" s="816">
        <f t="shared" si="57"/>
        <v>0</v>
      </c>
      <c r="P64" s="829">
        <f t="shared" si="58"/>
        <v>0</v>
      </c>
      <c r="Q64" s="830">
        <v>-0.08</v>
      </c>
      <c r="R64" s="871">
        <f t="shared" si="44"/>
        <v>0.08</v>
      </c>
      <c r="S64" s="830">
        <v>2.8</v>
      </c>
      <c r="T64" s="871">
        <f t="shared" si="27"/>
        <v>-0.79999999999999982</v>
      </c>
      <c r="U64" s="868">
        <f t="shared" si="59"/>
        <v>1.3599999999999999</v>
      </c>
      <c r="V64" s="868">
        <f t="shared" si="60"/>
        <v>1.44</v>
      </c>
      <c r="W64" s="829">
        <v>15</v>
      </c>
      <c r="X64" s="829">
        <v>13</v>
      </c>
      <c r="Y64" s="829">
        <v>4</v>
      </c>
      <c r="Z64" s="829">
        <v>5</v>
      </c>
      <c r="AA64" s="829">
        <v>37</v>
      </c>
      <c r="AB64" s="829">
        <v>63</v>
      </c>
      <c r="AC64" s="829"/>
      <c r="AD64" s="816" t="str">
        <f t="array" ref="AD64">IF($J64="","",IF(SUM(IF(ISNUMBER(VALUE(RIGHT($AG64:$CL64,1))),VALUE(RIGHT($AG64:$CL64,1)),0))=$J64,"T","F"))</f>
        <v>T</v>
      </c>
      <c r="AE64" s="831">
        <f t="array" ref="AE64">IF($J64="","",SUM(IF(LEFT($AG64:$DX64,1)="s",1,0))-SUM(IF(RIGHT(LEFT($AG64:$DX64,2))="-",1,0)))</f>
        <v>0</v>
      </c>
      <c r="AF64" s="816">
        <f t="array" ref="AF64">IF($J64="","",SUM(IF(LEFT($AG64:$DD64,1)="X",1,0)))</f>
        <v>11</v>
      </c>
      <c r="AG64" s="891" t="s">
        <v>32</v>
      </c>
      <c r="AH64" s="891" t="s">
        <v>1877</v>
      </c>
      <c r="AI64" s="891" t="s">
        <v>34</v>
      </c>
      <c r="AJ64" s="891" t="s">
        <v>32</v>
      </c>
      <c r="AK64" s="891" t="s">
        <v>32</v>
      </c>
      <c r="AL64" s="891" t="s">
        <v>34</v>
      </c>
      <c r="AM64" s="891" t="s">
        <v>3518</v>
      </c>
      <c r="AN64" s="891" t="s">
        <v>34</v>
      </c>
      <c r="AO64" s="891" t="s">
        <v>32</v>
      </c>
      <c r="AP64" s="891" t="s">
        <v>1877</v>
      </c>
      <c r="AQ64" s="891" t="s">
        <v>32</v>
      </c>
      <c r="AR64" s="891" t="s">
        <v>32</v>
      </c>
      <c r="AS64" s="891" t="s">
        <v>34</v>
      </c>
      <c r="AT64" s="891" t="s">
        <v>1877</v>
      </c>
      <c r="AU64" s="891" t="s">
        <v>34</v>
      </c>
      <c r="AV64" s="891" t="s">
        <v>34</v>
      </c>
      <c r="AW64" s="891" t="s">
        <v>32</v>
      </c>
      <c r="AX64" s="891" t="s">
        <v>34</v>
      </c>
      <c r="AY64" s="891" t="s">
        <v>1877</v>
      </c>
      <c r="AZ64" s="891" t="s">
        <v>32</v>
      </c>
      <c r="BA64" s="891" t="s">
        <v>35</v>
      </c>
      <c r="BB64" s="891" t="s">
        <v>36</v>
      </c>
      <c r="BC64" s="891" t="s">
        <v>32</v>
      </c>
      <c r="BD64" s="891" t="s">
        <v>32</v>
      </c>
      <c r="BE64" s="891" t="s">
        <v>32</v>
      </c>
      <c r="BF64" s="891" t="s">
        <v>35</v>
      </c>
      <c r="BG64" s="891" t="s">
        <v>36</v>
      </c>
      <c r="BH64" s="891" t="s">
        <v>36</v>
      </c>
      <c r="BI64" s="891" t="s">
        <v>34</v>
      </c>
      <c r="BJ64" s="891" t="s">
        <v>32</v>
      </c>
      <c r="BK64" s="891" t="s">
        <v>3520</v>
      </c>
      <c r="BL64" s="891"/>
      <c r="BM64" s="891"/>
      <c r="BN64" s="910"/>
      <c r="BO64" s="891"/>
      <c r="BP64" s="891"/>
      <c r="BQ64" s="891"/>
      <c r="BR64" s="891"/>
      <c r="BS64" s="891"/>
      <c r="BT64" s="896"/>
      <c r="BU64" s="896"/>
      <c r="BV64" s="897"/>
      <c r="BW64" s="897"/>
      <c r="BX64" s="897"/>
      <c r="BY64" s="897"/>
      <c r="BZ64" s="897"/>
      <c r="CA64" s="896"/>
      <c r="CB64" s="896"/>
      <c r="CC64" s="896"/>
      <c r="CD64" s="896"/>
      <c r="CE64" s="896"/>
      <c r="CF64" s="896"/>
      <c r="CG64" s="896"/>
    </row>
    <row r="65" spans="1:85" ht="15">
      <c r="A65" s="882">
        <v>6525</v>
      </c>
      <c r="B65" s="884"/>
      <c r="C65" s="884"/>
      <c r="D65" s="884">
        <f ca="1">IF(I65=Table!$C$1,VLOOKUP(G65,Table!$B$38:$AO$61,Table!$AO$35-1,FALSE),"")</f>
        <v>0</v>
      </c>
      <c r="E65" s="884"/>
      <c r="F65" s="884">
        <f ca="1">IF(I65="","",IF(I65=Table!$C$1,VLOOKUP(G65,Table!$B$9:$AE$32,Table!$AE$6-1,FALSE),""))</f>
        <v>21</v>
      </c>
      <c r="G65" s="879" t="s">
        <v>890</v>
      </c>
      <c r="H65" s="879" t="s">
        <v>18</v>
      </c>
      <c r="I65" s="879" t="s">
        <v>891</v>
      </c>
      <c r="J65" s="846">
        <v>4</v>
      </c>
      <c r="K65" s="846">
        <v>1</v>
      </c>
      <c r="L65" s="816" t="str">
        <f t="shared" si="32"/>
        <v>W</v>
      </c>
      <c r="M65" s="816">
        <f t="shared" si="33"/>
        <v>5</v>
      </c>
      <c r="N65" s="816" t="str">
        <f t="shared" si="34"/>
        <v>O</v>
      </c>
      <c r="O65" s="816">
        <f t="shared" si="57"/>
        <v>0.25</v>
      </c>
      <c r="P65" s="829">
        <f t="shared" si="58"/>
        <v>1</v>
      </c>
      <c r="Q65" s="830">
        <v>-0.15</v>
      </c>
      <c r="R65" s="871">
        <f t="shared" si="44"/>
        <v>3.15</v>
      </c>
      <c r="S65" s="830">
        <v>2.4300000000000002</v>
      </c>
      <c r="T65" s="871">
        <f t="shared" si="27"/>
        <v>2.57</v>
      </c>
      <c r="U65" s="868">
        <f t="shared" si="59"/>
        <v>1.1400000000000001</v>
      </c>
      <c r="V65" s="868">
        <f t="shared" si="60"/>
        <v>1.29</v>
      </c>
      <c r="W65" s="829">
        <v>11</v>
      </c>
      <c r="X65" s="829">
        <v>17</v>
      </c>
      <c r="Y65" s="829">
        <v>5</v>
      </c>
      <c r="Z65" s="829">
        <v>4</v>
      </c>
      <c r="AA65" s="829">
        <v>50</v>
      </c>
      <c r="AB65" s="829">
        <v>50</v>
      </c>
      <c r="AC65" s="829"/>
      <c r="AD65" s="816" t="str">
        <f t="array" ref="AD65">IF($J65="","",IF(SUM(IF(ISNUMBER(VALUE(RIGHT($AG65:$CL65,1))),VALUE(RIGHT($AG65:$CL65,1)),0))=$J65,"T","F"))</f>
        <v>T</v>
      </c>
      <c r="AE65" s="831">
        <f t="array" ref="AE65">IF($J65="","",SUM(IF(LEFT($AG65:$DX65,1)="s",1,0))-SUM(IF(RIGHT(LEFT($AG65:$DX65,2))="-",1,0)))</f>
        <v>0</v>
      </c>
      <c r="AF65" s="816">
        <f t="array" ref="AF65">IF($J65="","",SUM(IF(LEFT($AG65:$DD65,1)="X",1,0)))</f>
        <v>11</v>
      </c>
      <c r="AG65" s="891" t="s">
        <v>32</v>
      </c>
      <c r="AH65" s="891" t="s">
        <v>1877</v>
      </c>
      <c r="AI65" s="891" t="s">
        <v>34</v>
      </c>
      <c r="AJ65" s="891" t="s">
        <v>32</v>
      </c>
      <c r="AK65" s="891" t="s">
        <v>32</v>
      </c>
      <c r="AL65" s="891" t="s">
        <v>34</v>
      </c>
      <c r="AM65" s="891" t="s">
        <v>34</v>
      </c>
      <c r="AN65" s="891" t="s">
        <v>1877</v>
      </c>
      <c r="AO65" s="891" t="s">
        <v>32</v>
      </c>
      <c r="AP65" s="891" t="s">
        <v>1877</v>
      </c>
      <c r="AQ65" s="891" t="s">
        <v>32</v>
      </c>
      <c r="AR65" s="891" t="s">
        <v>32</v>
      </c>
      <c r="AS65" s="891" t="s">
        <v>3545</v>
      </c>
      <c r="AT65" s="891" t="s">
        <v>1877</v>
      </c>
      <c r="AU65" s="891" t="s">
        <v>34</v>
      </c>
      <c r="AV65" s="891" t="s">
        <v>34</v>
      </c>
      <c r="AW65" s="891" t="s">
        <v>32</v>
      </c>
      <c r="AX65" s="891" t="s">
        <v>34</v>
      </c>
      <c r="AY65" s="891" t="s">
        <v>32</v>
      </c>
      <c r="AZ65" s="891" t="s">
        <v>32</v>
      </c>
      <c r="BA65" s="891" t="s">
        <v>32</v>
      </c>
      <c r="BB65" s="891" t="s">
        <v>3547</v>
      </c>
      <c r="BC65" s="891" t="s">
        <v>36</v>
      </c>
      <c r="BD65" s="891" t="s">
        <v>32</v>
      </c>
      <c r="BE65" s="891" t="s">
        <v>32</v>
      </c>
      <c r="BF65" s="891" t="s">
        <v>32</v>
      </c>
      <c r="BG65" s="904" t="s">
        <v>35</v>
      </c>
      <c r="BH65" s="891" t="s">
        <v>3549</v>
      </c>
      <c r="BI65" s="891" t="s">
        <v>34</v>
      </c>
      <c r="BJ65" s="891" t="s">
        <v>36</v>
      </c>
      <c r="BK65" s="891" t="s">
        <v>3548</v>
      </c>
      <c r="BL65" s="891"/>
      <c r="BM65" s="891"/>
      <c r="BN65" s="910"/>
      <c r="BO65" s="891"/>
      <c r="BP65" s="891"/>
      <c r="BQ65" s="891"/>
      <c r="BR65" s="891"/>
      <c r="BS65" s="891"/>
      <c r="BT65" s="896"/>
      <c r="BU65" s="896"/>
      <c r="BV65" s="897"/>
      <c r="BW65" s="897"/>
      <c r="BX65" s="897"/>
      <c r="BY65" s="897"/>
      <c r="BZ65" s="897"/>
      <c r="CA65" s="896"/>
      <c r="CB65" s="896"/>
      <c r="CC65" s="896"/>
      <c r="CD65" s="896"/>
      <c r="CE65" s="896"/>
      <c r="CF65" s="896"/>
      <c r="CG65" s="896"/>
    </row>
    <row r="66" spans="1:85" ht="15">
      <c r="A66" s="882">
        <v>6533</v>
      </c>
      <c r="B66" s="884"/>
      <c r="C66" s="884"/>
      <c r="D66" s="884">
        <f ca="1">IF(I66=Table!$C$1,VLOOKUP(G66,Table!$B$38:$AO$61,Table!$AO$35-1,FALSE),"")</f>
        <v>0</v>
      </c>
      <c r="E66" s="884"/>
      <c r="F66" s="884">
        <f ca="1">IF(I66="","",IF(I66=Table!$C$1,VLOOKUP(G66,Table!$B$9:$AE$32,Table!$AE$6-1,FALSE),""))</f>
        <v>14</v>
      </c>
      <c r="G66" s="879" t="s">
        <v>873</v>
      </c>
      <c r="H66" s="879" t="s">
        <v>22</v>
      </c>
      <c r="I66" s="879" t="s">
        <v>891</v>
      </c>
      <c r="J66" s="846">
        <v>2</v>
      </c>
      <c r="K66" s="846">
        <v>1</v>
      </c>
      <c r="L66" s="816" t="str">
        <f t="shared" si="32"/>
        <v>W</v>
      </c>
      <c r="M66" s="816">
        <f t="shared" si="33"/>
        <v>3</v>
      </c>
      <c r="N66" s="816" t="str">
        <f t="shared" si="34"/>
        <v>O</v>
      </c>
      <c r="O66" s="816">
        <f t="shared" si="57"/>
        <v>0</v>
      </c>
      <c r="P66" s="829">
        <f t="shared" si="58"/>
        <v>1</v>
      </c>
      <c r="Q66" s="830">
        <v>-0.08</v>
      </c>
      <c r="R66" s="871">
        <f t="shared" si="44"/>
        <v>1.08</v>
      </c>
      <c r="S66" s="830">
        <v>2.5</v>
      </c>
      <c r="T66" s="871">
        <f t="shared" si="27"/>
        <v>0.5</v>
      </c>
      <c r="U66" s="868">
        <f t="shared" si="59"/>
        <v>1.21</v>
      </c>
      <c r="V66" s="868">
        <f t="shared" si="60"/>
        <v>1.29</v>
      </c>
      <c r="W66" s="829">
        <v>21</v>
      </c>
      <c r="X66" s="829">
        <v>12</v>
      </c>
      <c r="Y66" s="829">
        <v>7</v>
      </c>
      <c r="Z66" s="829">
        <v>2</v>
      </c>
      <c r="AA66" s="829">
        <v>50</v>
      </c>
      <c r="AB66" s="829">
        <v>50</v>
      </c>
      <c r="AC66" s="829"/>
      <c r="AD66" s="816" t="str">
        <f t="array" ref="AD66">IF($J66="","",IF(SUM(IF(ISNUMBER(VALUE(RIGHT($AG66:$CL66,1))),VALUE(RIGHT($AG66:$CL66,1)),0))=$J66,"T","F"))</f>
        <v>T</v>
      </c>
      <c r="AE66" s="831">
        <f t="array" ref="AE66">IF($J66="","",SUM(IF(LEFT($AG66:$DX66,1)="s",1,0))-SUM(IF(RIGHT(LEFT($AG66:$DX66,2))="-",1,0)))</f>
        <v>0</v>
      </c>
      <c r="AF66" s="816">
        <f t="array" ref="AF66">IF($J66="","",SUM(IF(LEFT($AG66:$DD66,1)="X",1,0)))</f>
        <v>11</v>
      </c>
      <c r="AG66" s="891" t="s">
        <v>32</v>
      </c>
      <c r="AH66" s="891" t="s">
        <v>1877</v>
      </c>
      <c r="AI66" s="891" t="s">
        <v>34</v>
      </c>
      <c r="AJ66" s="891" t="s">
        <v>32</v>
      </c>
      <c r="AK66" s="891" t="s">
        <v>32</v>
      </c>
      <c r="AL66" s="904" t="s">
        <v>34</v>
      </c>
      <c r="AM66" s="891" t="s">
        <v>34</v>
      </c>
      <c r="AN66" s="891" t="s">
        <v>36</v>
      </c>
      <c r="AO66" s="891" t="s">
        <v>32</v>
      </c>
      <c r="AP66" s="891" t="s">
        <v>1877</v>
      </c>
      <c r="AQ66" s="891" t="s">
        <v>36</v>
      </c>
      <c r="AR66" s="891" t="s">
        <v>32</v>
      </c>
      <c r="AS66" s="891" t="s">
        <v>34</v>
      </c>
      <c r="AT66" s="891" t="s">
        <v>1877</v>
      </c>
      <c r="AU66" s="904" t="s">
        <v>34</v>
      </c>
      <c r="AV66" s="891" t="s">
        <v>34</v>
      </c>
      <c r="AW66" s="891" t="s">
        <v>32</v>
      </c>
      <c r="AX66" s="891" t="s">
        <v>35</v>
      </c>
      <c r="AY66" s="891" t="s">
        <v>32</v>
      </c>
      <c r="AZ66" s="891" t="s">
        <v>32</v>
      </c>
      <c r="BA66" s="891" t="s">
        <v>32</v>
      </c>
      <c r="BB66" s="891" t="s">
        <v>32</v>
      </c>
      <c r="BC66" s="891" t="s">
        <v>1877</v>
      </c>
      <c r="BD66" s="891" t="s">
        <v>32</v>
      </c>
      <c r="BE66" s="891" t="s">
        <v>32</v>
      </c>
      <c r="BF66" s="891" t="s">
        <v>3573</v>
      </c>
      <c r="BG66" s="891" t="s">
        <v>36</v>
      </c>
      <c r="BH66" s="891" t="s">
        <v>35</v>
      </c>
      <c r="BI66" s="904" t="s">
        <v>3571</v>
      </c>
      <c r="BJ66" s="891" t="s">
        <v>3574</v>
      </c>
      <c r="BK66" s="891" t="s">
        <v>34</v>
      </c>
      <c r="BL66" s="891"/>
      <c r="BM66" s="891"/>
      <c r="BN66" s="910"/>
      <c r="BO66" s="891"/>
      <c r="BP66" s="891"/>
      <c r="BQ66" s="891"/>
      <c r="BR66" s="891"/>
      <c r="BS66" s="891"/>
      <c r="BT66" s="896"/>
      <c r="BU66" s="896"/>
      <c r="BV66" s="897"/>
      <c r="BW66" s="897"/>
      <c r="BX66" s="897"/>
      <c r="BY66" s="897"/>
      <c r="BZ66" s="897"/>
      <c r="CA66" s="896"/>
      <c r="CB66" s="896"/>
      <c r="CC66" s="896"/>
      <c r="CD66" s="896"/>
      <c r="CE66" s="896"/>
      <c r="CF66" s="896"/>
      <c r="CG66" s="896"/>
    </row>
    <row r="67" spans="1:85" ht="15">
      <c r="A67" s="881"/>
      <c r="B67" s="884"/>
      <c r="C67" s="884"/>
      <c r="D67" s="884" t="str">
        <f>IF(I67=Table!$C$1,VLOOKUP(G67,Table!$B$38:$AO$61,Table!$AO$35-1,FALSE),"")</f>
        <v/>
      </c>
      <c r="E67" s="884"/>
      <c r="F67" s="884" t="str">
        <f>IF(I67="","",IF(I67=Table!$C$1,VLOOKUP(G67,Table!$B$9:$AE$32,Table!$AE$6-1,FALSE),""))</f>
        <v/>
      </c>
      <c r="G67" s="879"/>
      <c r="H67" s="879"/>
      <c r="I67" s="879"/>
      <c r="J67" s="428"/>
      <c r="K67" s="428"/>
      <c r="T67" s="871" t="str">
        <f t="shared" si="27"/>
        <v/>
      </c>
      <c r="U67" s="868" t="str">
        <f t="shared" si="59"/>
        <v/>
      </c>
      <c r="V67" s="868" t="str">
        <f t="shared" si="60"/>
        <v/>
      </c>
      <c r="W67" s="829"/>
      <c r="X67" s="829"/>
      <c r="Y67" s="829"/>
      <c r="Z67" s="829"/>
      <c r="AA67" s="829"/>
      <c r="AB67" s="829"/>
      <c r="AC67" s="829"/>
      <c r="AD67" s="816" t="str">
        <f t="array" ref="AD67">IF($J67="","",IF(SUM(IF(ISNUMBER(VALUE(RIGHT($AG67:$CL67,1))),VALUE(RIGHT($AG67:$CL67,1)),0))=$J67,"T","F"))</f>
        <v/>
      </c>
      <c r="AE67" s="831" t="str">
        <f t="array" ref="AE67">IF($J67="","",SUM(IF(LEFT($AG67:$DX67,1)="s",1,0))-SUM(IF(RIGHT(LEFT($AG67:$DX67,2))="-",1,0)))</f>
        <v/>
      </c>
      <c r="AF67" s="816" t="str">
        <f t="array" ref="AF67">IF($J67="","",SUM(IF(LEFT($AG67:$DD67,1)="X",1,0)))</f>
        <v/>
      </c>
      <c r="AG67" s="891"/>
      <c r="AH67" s="891"/>
      <c r="AI67" s="891"/>
      <c r="AJ67" s="891"/>
      <c r="AK67" s="891"/>
      <c r="AL67" s="891"/>
      <c r="AM67" s="891"/>
      <c r="AN67" s="891"/>
      <c r="AO67" s="891"/>
      <c r="AP67" s="891"/>
      <c r="AQ67" s="891"/>
      <c r="AR67" s="891"/>
      <c r="AS67" s="891"/>
      <c r="AT67" s="891"/>
      <c r="AU67" s="891"/>
      <c r="AV67" s="891"/>
      <c r="AW67" s="891"/>
      <c r="AX67" s="891"/>
      <c r="AY67" s="891"/>
      <c r="AZ67" s="891"/>
      <c r="BA67" s="891"/>
      <c r="BB67" s="891"/>
      <c r="BC67" s="891"/>
      <c r="BD67" s="891"/>
      <c r="BE67" s="891"/>
      <c r="BF67" s="891"/>
      <c r="BG67" s="891"/>
      <c r="BH67" s="891"/>
      <c r="BI67" s="891"/>
      <c r="BJ67" s="891"/>
      <c r="BK67" s="891"/>
      <c r="BL67" s="891"/>
      <c r="BM67" s="891"/>
      <c r="BN67" s="891"/>
      <c r="BO67" s="891"/>
      <c r="BP67" s="891"/>
      <c r="BQ67" s="891"/>
      <c r="BR67" s="891"/>
      <c r="BS67" s="891"/>
      <c r="BT67" s="896"/>
      <c r="BU67" s="896"/>
      <c r="BV67" s="897"/>
      <c r="BW67" s="897"/>
      <c r="BX67" s="897"/>
      <c r="BY67" s="897"/>
      <c r="BZ67" s="897"/>
      <c r="CA67" s="896"/>
      <c r="CB67" s="896"/>
      <c r="CC67" s="896"/>
      <c r="CD67" s="896"/>
      <c r="CE67" s="896"/>
      <c r="CF67" s="896"/>
      <c r="CG67" s="896"/>
    </row>
    <row r="68" spans="1:85" ht="15">
      <c r="A68" s="881"/>
      <c r="B68" s="884"/>
      <c r="C68" s="884"/>
      <c r="D68" s="884" t="str">
        <f>IF(I68=Table!$C$1,VLOOKUP(G68,Table!$B$38:$AO$61,Table!$AO$35-1,FALSE),"")</f>
        <v/>
      </c>
      <c r="E68" s="884"/>
      <c r="F68" s="884" t="str">
        <f>IF(I68="","",IF(I68=Table!$C$1,VLOOKUP(G68,Table!$B$9:$AE$32,Table!$AE$6-1,FALSE),""))</f>
        <v/>
      </c>
      <c r="G68" s="879"/>
      <c r="H68" s="879"/>
      <c r="I68" s="879"/>
      <c r="J68" s="428"/>
      <c r="K68" s="428"/>
      <c r="T68" s="871" t="str">
        <f t="shared" si="27"/>
        <v/>
      </c>
      <c r="U68" s="868" t="str">
        <f t="shared" si="59"/>
        <v/>
      </c>
      <c r="V68" s="868" t="str">
        <f t="shared" si="60"/>
        <v/>
      </c>
      <c r="W68" s="829"/>
      <c r="X68" s="829"/>
      <c r="Y68" s="829"/>
      <c r="Z68" s="829"/>
      <c r="AA68" s="829"/>
      <c r="AB68" s="829"/>
      <c r="AC68" s="829"/>
      <c r="AD68" s="816" t="str">
        <f t="array" ref="AD68">IF($J68="","",IF(SUM(IF(ISNUMBER(VALUE(RIGHT($AG68:$CL68,1))),VALUE(RIGHT($AG68:$CL68,1)),0))=$J68,"T","F"))</f>
        <v/>
      </c>
      <c r="AE68" s="831" t="str">
        <f t="array" ref="AE68">IF($J68="","",SUM(IF(LEFT($AG68:$DX68,1)="s",1,0))-SUM(IF(RIGHT(LEFT($AG68:$DX68,2))="-",1,0)))</f>
        <v/>
      </c>
      <c r="AF68" s="816" t="str">
        <f t="array" ref="AF68">IF($J68="","",SUM(IF(LEFT($AG68:$DD68,1)="X",1,0)))</f>
        <v/>
      </c>
      <c r="AG68" s="891"/>
      <c r="AH68" s="891"/>
      <c r="AI68" s="891"/>
      <c r="AJ68" s="891"/>
      <c r="AK68" s="891"/>
      <c r="AL68" s="891"/>
      <c r="AM68" s="891"/>
      <c r="AN68" s="891"/>
      <c r="AO68" s="891"/>
      <c r="AP68" s="891"/>
      <c r="AQ68" s="891"/>
      <c r="AR68" s="891"/>
      <c r="AS68" s="891"/>
      <c r="AT68" s="891"/>
      <c r="AU68" s="891"/>
      <c r="AV68" s="891"/>
      <c r="AW68" s="891"/>
      <c r="AX68" s="891"/>
      <c r="AY68" s="891"/>
      <c r="AZ68" s="891"/>
      <c r="BA68" s="891"/>
      <c r="BB68" s="891"/>
      <c r="BC68" s="891"/>
      <c r="BD68" s="891"/>
      <c r="BE68" s="891"/>
      <c r="BF68" s="891"/>
      <c r="BG68" s="891"/>
      <c r="BH68" s="891"/>
      <c r="BI68" s="891"/>
      <c r="BJ68" s="891"/>
      <c r="BK68" s="891"/>
      <c r="BL68" s="891"/>
      <c r="BM68" s="891"/>
      <c r="BN68" s="891"/>
      <c r="BO68" s="891"/>
      <c r="BP68" s="891"/>
      <c r="BQ68" s="891"/>
      <c r="BR68" s="891"/>
      <c r="BS68" s="891"/>
      <c r="BT68" s="896"/>
      <c r="BU68" s="896"/>
      <c r="BV68" s="897"/>
      <c r="BW68" s="897"/>
      <c r="BX68" s="897"/>
      <c r="BY68" s="897"/>
      <c r="BZ68" s="897"/>
      <c r="CA68" s="896"/>
      <c r="CB68" s="896"/>
      <c r="CC68" s="896"/>
      <c r="CD68" s="896"/>
      <c r="CE68" s="896"/>
      <c r="CF68" s="896"/>
      <c r="CG68" s="896"/>
    </row>
    <row r="69" spans="1:85" ht="15">
      <c r="A69" s="881"/>
      <c r="B69" s="884"/>
      <c r="C69" s="884"/>
      <c r="D69" s="884" t="str">
        <f>IF(I69=Table!$C$1,VLOOKUP(G69,Table!$B$38:$AO$61,Table!$AO$35-1,FALSE),"")</f>
        <v/>
      </c>
      <c r="E69" s="884"/>
      <c r="F69" s="884"/>
      <c r="G69" s="879"/>
      <c r="H69" s="879"/>
      <c r="I69" s="879"/>
      <c r="J69" s="428"/>
      <c r="K69" s="428"/>
      <c r="T69" s="871" t="str">
        <f t="shared" ref="T69" si="61">IF(ISBLANK(S69),"",J69+K69-S69)</f>
        <v/>
      </c>
      <c r="U69" s="868" t="str">
        <f t="shared" ref="U69" si="62">IF(Q69="","",(Q69+S69)/2)</f>
        <v/>
      </c>
      <c r="V69" s="868" t="str">
        <f t="shared" ref="V69" si="63">IF(Q69="","",S69-U69)</f>
        <v/>
      </c>
      <c r="W69" s="829"/>
      <c r="X69" s="829"/>
      <c r="Y69" s="829"/>
      <c r="Z69" s="829"/>
      <c r="AA69" s="829"/>
      <c r="AB69" s="829"/>
      <c r="AC69" s="829"/>
      <c r="AD69" s="816" t="str">
        <f t="array" ref="AD69">IF($J69="","",IF(SUM(IF(ISNUMBER(VALUE(RIGHT($AG69:$CL69,1))),VALUE(RIGHT($AG69:$CL69,1)),0))=$J69,"T","F"))</f>
        <v/>
      </c>
      <c r="AE69" s="831" t="str">
        <f t="array" ref="AE69">IF($J69="","",SUM(IF(LEFT($AG69:$DX69,1)="s",1,0))-SUM(IF(RIGHT(LEFT($AG69:$DX69,2))="-",1,0)))</f>
        <v/>
      </c>
      <c r="AF69" s="816" t="str">
        <f t="array" ref="AF69">IF($J69="","",SUM(IF(LEFT($AG69:$DD69,1)="X",1,0)))</f>
        <v/>
      </c>
      <c r="AG69" s="891"/>
      <c r="AH69" s="891"/>
      <c r="AI69" s="891"/>
      <c r="AJ69" s="891"/>
      <c r="AK69" s="891"/>
      <c r="AL69" s="891"/>
      <c r="AM69" s="891"/>
      <c r="AN69" s="891"/>
      <c r="AO69" s="891"/>
      <c r="AP69" s="891"/>
      <c r="AQ69" s="891"/>
      <c r="AR69" s="891"/>
      <c r="AS69" s="891"/>
      <c r="AT69" s="891"/>
      <c r="AU69" s="891"/>
      <c r="AV69" s="891"/>
      <c r="AW69" s="891"/>
      <c r="AX69" s="891"/>
      <c r="AY69" s="891"/>
      <c r="AZ69" s="891"/>
      <c r="BA69" s="891"/>
      <c r="BB69" s="891"/>
      <c r="BC69" s="891"/>
      <c r="BD69" s="891"/>
      <c r="BE69" s="891"/>
      <c r="BF69" s="891"/>
      <c r="BG69" s="891"/>
      <c r="BH69" s="891"/>
      <c r="BI69" s="891"/>
      <c r="BJ69" s="891"/>
      <c r="BK69" s="891"/>
      <c r="BL69" s="891"/>
      <c r="BM69" s="891"/>
      <c r="BN69" s="891"/>
      <c r="BO69" s="891"/>
      <c r="BP69" s="891"/>
      <c r="BQ69" s="891"/>
      <c r="BR69" s="891"/>
      <c r="BS69" s="891"/>
      <c r="BT69" s="896"/>
      <c r="BU69" s="896"/>
      <c r="BV69" s="897"/>
      <c r="BW69" s="897"/>
      <c r="BX69" s="897"/>
      <c r="BY69" s="897"/>
      <c r="BZ69" s="897"/>
      <c r="CA69" s="896"/>
      <c r="CB69" s="896"/>
      <c r="CC69" s="896"/>
      <c r="CD69" s="896"/>
      <c r="CE69" s="896"/>
      <c r="CF69" s="896"/>
      <c r="CG69" s="896"/>
    </row>
    <row r="70" spans="1:85" ht="15">
      <c r="A70" s="881"/>
      <c r="B70" s="884"/>
      <c r="C70" s="884"/>
      <c r="D70" s="884" t="str">
        <f>IF(I70=Table!$C$1,VLOOKUP(G70,Table!$B$38:$AO$61,Table!$AO$35-1,FALSE),"")</f>
        <v/>
      </c>
      <c r="E70" s="884"/>
      <c r="F70" s="884"/>
      <c r="G70" s="879"/>
      <c r="H70" s="879"/>
      <c r="I70" s="879"/>
      <c r="J70" s="428"/>
      <c r="K70" s="428"/>
      <c r="T70" s="871" t="str">
        <f t="shared" ref="T70" si="64">IF(ISBLANK(S70),"",J70+K70-S70)</f>
        <v/>
      </c>
      <c r="U70" s="868" t="str">
        <f t="shared" ref="U70" si="65">IF(Q70="","",(Q70+S70)/2)</f>
        <v/>
      </c>
      <c r="V70" s="868" t="str">
        <f t="shared" ref="V70" si="66">IF(Q70="","",S70-U70)</f>
        <v/>
      </c>
      <c r="W70" s="829"/>
      <c r="X70" s="829"/>
      <c r="Y70" s="829"/>
      <c r="Z70" s="829"/>
      <c r="AA70" s="829"/>
      <c r="AB70" s="829"/>
      <c r="AC70" s="829"/>
      <c r="AD70" s="816" t="str">
        <f t="array" ref="AD70">IF($J70="","",IF(SUM(IF(ISNUMBER(VALUE(RIGHT($AG70:$CL70,1))),VALUE(RIGHT($AG70:$CL70,1)),0))=$J70,"T","F"))</f>
        <v/>
      </c>
      <c r="AE70" s="831" t="str">
        <f t="array" ref="AE70">IF($J70="","",SUM(IF(LEFT($AG70:$DX70,1)="s",1,0))-SUM(IF(RIGHT(LEFT($AG70:$DX70,2))="-",1,0)))</f>
        <v/>
      </c>
      <c r="AF70" s="816" t="str">
        <f t="array" ref="AF70">IF($J70="","",SUM(IF(LEFT($AG70:$DD70,1)="X",1,0)))</f>
        <v/>
      </c>
      <c r="AG70" s="891"/>
      <c r="AH70" s="891"/>
      <c r="AI70" s="891"/>
      <c r="AJ70" s="891"/>
      <c r="AK70" s="891"/>
      <c r="AL70" s="891"/>
      <c r="AM70" s="891"/>
      <c r="AN70" s="891"/>
      <c r="AO70" s="891"/>
      <c r="AP70" s="891"/>
      <c r="AQ70" s="891"/>
      <c r="AR70" s="891"/>
      <c r="AS70" s="891"/>
      <c r="AT70" s="891"/>
      <c r="AU70" s="891"/>
      <c r="AV70" s="891"/>
      <c r="AW70" s="891"/>
      <c r="AX70" s="891"/>
      <c r="AY70" s="891"/>
      <c r="AZ70" s="891"/>
      <c r="BA70" s="891"/>
      <c r="BB70" s="891"/>
      <c r="BC70" s="891"/>
      <c r="BD70" s="891"/>
      <c r="BE70" s="891"/>
      <c r="BF70" s="891"/>
      <c r="BG70" s="891"/>
      <c r="BH70" s="891"/>
      <c r="BI70" s="891"/>
      <c r="BJ70" s="891"/>
      <c r="BK70" s="891"/>
      <c r="BL70" s="891"/>
      <c r="BM70" s="891"/>
      <c r="BN70" s="891"/>
      <c r="BO70" s="891"/>
      <c r="BP70" s="891"/>
      <c r="BQ70" s="891"/>
      <c r="BR70" s="891"/>
      <c r="BS70" s="891"/>
      <c r="BT70" s="896"/>
      <c r="BU70" s="896"/>
      <c r="BV70" s="897"/>
      <c r="BW70" s="897"/>
      <c r="BX70" s="897"/>
      <c r="BY70" s="897"/>
      <c r="BZ70" s="897"/>
      <c r="CA70" s="896"/>
      <c r="CB70" s="896"/>
      <c r="CC70" s="896"/>
      <c r="CD70" s="896"/>
      <c r="CE70" s="896"/>
      <c r="CF70" s="896"/>
      <c r="CG70" s="896"/>
    </row>
    <row r="71" spans="1:85" ht="15">
      <c r="A71" s="843"/>
      <c r="E71" s="816"/>
      <c r="G71" s="828"/>
      <c r="H71" s="828"/>
      <c r="I71" s="828"/>
      <c r="J71" s="428"/>
      <c r="K71" s="428"/>
      <c r="T71" s="871"/>
      <c r="U71" s="829"/>
      <c r="V71" s="829"/>
      <c r="W71" s="829"/>
      <c r="X71" s="829"/>
      <c r="Y71" s="829"/>
      <c r="Z71" s="829"/>
      <c r="AA71" s="829"/>
      <c r="AB71" s="829"/>
      <c r="AC71" s="829"/>
      <c r="AE71" s="831"/>
      <c r="AG71" s="891"/>
      <c r="AH71" s="891"/>
      <c r="AI71" s="891"/>
      <c r="AJ71" s="891"/>
      <c r="AK71" s="891"/>
      <c r="AL71" s="891"/>
      <c r="AM71" s="891"/>
      <c r="AN71" s="891"/>
      <c r="AO71" s="891"/>
      <c r="AP71" s="891"/>
      <c r="AQ71" s="891"/>
      <c r="AR71" s="891"/>
      <c r="AS71" s="891"/>
      <c r="AT71" s="891"/>
      <c r="AU71" s="891"/>
      <c r="AV71" s="891"/>
      <c r="AW71" s="891"/>
      <c r="AX71" s="891"/>
      <c r="AY71" s="891"/>
      <c r="AZ71" s="891"/>
      <c r="BA71" s="891"/>
      <c r="BB71" s="891"/>
      <c r="BC71" s="891"/>
      <c r="BD71" s="891"/>
      <c r="BE71" s="891"/>
      <c r="BF71" s="891"/>
      <c r="BG71" s="891"/>
      <c r="BH71" s="891"/>
      <c r="BI71" s="891"/>
      <c r="BJ71" s="891"/>
      <c r="BK71" s="891"/>
      <c r="BL71" s="891"/>
      <c r="BM71" s="891"/>
      <c r="BN71" s="891"/>
      <c r="BO71" s="891"/>
      <c r="BP71" s="891"/>
      <c r="BQ71" s="891"/>
      <c r="BR71" s="891"/>
      <c r="BS71" s="891"/>
      <c r="BT71" s="896"/>
      <c r="BU71" s="896"/>
      <c r="BV71" s="897"/>
      <c r="BW71" s="897"/>
      <c r="BX71" s="897"/>
      <c r="BY71" s="897"/>
      <c r="BZ71" s="897"/>
      <c r="CA71" s="896"/>
      <c r="CB71" s="896"/>
      <c r="CC71" s="896"/>
      <c r="CD71" s="896"/>
      <c r="CE71" s="896"/>
      <c r="CF71" s="896"/>
      <c r="CG71" s="896"/>
    </row>
    <row r="72" spans="1:85" ht="15">
      <c r="A72" s="843"/>
      <c r="E72" s="816"/>
      <c r="G72" s="828"/>
      <c r="H72" s="828"/>
      <c r="I72" s="828"/>
      <c r="J72" s="428"/>
      <c r="K72" s="428"/>
      <c r="T72" s="871"/>
      <c r="U72" s="829"/>
      <c r="V72" s="829"/>
      <c r="W72" s="829"/>
      <c r="X72" s="829"/>
      <c r="Y72" s="829"/>
      <c r="Z72" s="829"/>
      <c r="AA72" s="829"/>
      <c r="AB72" s="829"/>
      <c r="AC72" s="829"/>
      <c r="AE72" s="831"/>
      <c r="AG72" s="891"/>
      <c r="AH72" s="891"/>
      <c r="AI72" s="891"/>
      <c r="AJ72" s="891"/>
      <c r="AK72" s="891"/>
      <c r="AL72" s="891"/>
      <c r="AM72" s="891"/>
      <c r="AN72" s="891"/>
      <c r="AO72" s="891"/>
      <c r="AP72" s="891"/>
      <c r="AQ72" s="891"/>
      <c r="AR72" s="891"/>
      <c r="AS72" s="891"/>
      <c r="AT72" s="891"/>
      <c r="AU72" s="891"/>
      <c r="AV72" s="891"/>
      <c r="AW72" s="891"/>
      <c r="AX72" s="891"/>
      <c r="AY72" s="891"/>
      <c r="AZ72" s="891"/>
      <c r="BA72" s="891"/>
      <c r="BB72" s="891"/>
      <c r="BC72" s="891"/>
      <c r="BD72" s="891"/>
      <c r="BE72" s="891"/>
      <c r="BF72" s="891"/>
      <c r="BG72" s="891"/>
      <c r="BH72" s="891"/>
      <c r="BI72" s="891"/>
      <c r="BJ72" s="891"/>
      <c r="BK72" s="891"/>
      <c r="BL72" s="891"/>
      <c r="BM72" s="891"/>
      <c r="BN72" s="891"/>
      <c r="BO72" s="891"/>
      <c r="BP72" s="891"/>
      <c r="BQ72" s="891"/>
      <c r="BR72" s="891"/>
      <c r="BS72" s="891"/>
      <c r="BT72" s="896"/>
      <c r="BU72" s="896"/>
      <c r="BV72" s="897"/>
      <c r="BW72" s="897"/>
      <c r="BX72" s="897"/>
      <c r="BY72" s="897"/>
      <c r="BZ72" s="897"/>
      <c r="CA72" s="896"/>
      <c r="CB72" s="896"/>
      <c r="CC72" s="896"/>
      <c r="CD72" s="896"/>
      <c r="CE72" s="896"/>
      <c r="CF72" s="896"/>
      <c r="CG72" s="896"/>
    </row>
    <row r="73" spans="1:85" ht="15">
      <c r="A73" s="843"/>
      <c r="E73" s="816"/>
      <c r="G73" s="828"/>
      <c r="H73" s="828"/>
      <c r="I73" s="828"/>
      <c r="J73" s="428"/>
      <c r="K73" s="428"/>
      <c r="T73" s="829"/>
      <c r="U73" s="829"/>
      <c r="V73" s="829"/>
      <c r="W73" s="829"/>
      <c r="X73" s="829"/>
      <c r="Y73" s="829"/>
      <c r="Z73" s="829"/>
      <c r="AA73" s="829"/>
      <c r="AB73" s="829"/>
      <c r="AC73" s="829"/>
      <c r="AE73" s="831"/>
      <c r="AG73" s="896"/>
      <c r="AH73" s="896"/>
      <c r="AI73" s="896"/>
      <c r="AJ73" s="896"/>
      <c r="AK73" s="893"/>
      <c r="AL73" s="896"/>
      <c r="AM73" s="896"/>
      <c r="AN73" s="896"/>
      <c r="AO73" s="896"/>
      <c r="AP73" s="896"/>
      <c r="AQ73" s="896"/>
      <c r="AR73" s="896"/>
      <c r="AS73" s="896"/>
      <c r="AT73" s="896"/>
      <c r="AU73" s="896"/>
      <c r="AV73" s="896"/>
      <c r="AW73" s="896"/>
      <c r="AX73" s="896"/>
      <c r="AY73" s="896"/>
      <c r="AZ73" s="896"/>
      <c r="BA73" s="896"/>
      <c r="BB73" s="896"/>
      <c r="BC73" s="896"/>
      <c r="BD73" s="896"/>
      <c r="BE73" s="896"/>
      <c r="BF73" s="893"/>
      <c r="BG73" s="893"/>
      <c r="BH73" s="893"/>
      <c r="BI73" s="893"/>
      <c r="BJ73" s="893"/>
      <c r="BK73" s="893"/>
      <c r="BL73" s="896"/>
      <c r="BM73" s="896"/>
      <c r="BN73" s="896"/>
      <c r="BO73" s="896"/>
      <c r="BP73" s="896"/>
      <c r="BQ73" s="893"/>
      <c r="BR73" s="896"/>
      <c r="BS73" s="893"/>
      <c r="BT73" s="896"/>
      <c r="BU73" s="896"/>
      <c r="BV73" s="897"/>
      <c r="BW73" s="897"/>
      <c r="BX73" s="897"/>
      <c r="BY73" s="897"/>
      <c r="BZ73" s="897"/>
      <c r="CA73" s="896"/>
      <c r="CB73" s="896"/>
      <c r="CC73" s="896"/>
      <c r="CD73" s="896"/>
      <c r="CE73" s="896"/>
      <c r="CF73" s="896"/>
      <c r="CG73" s="896"/>
    </row>
    <row r="74" spans="1:85" ht="15">
      <c r="A74" s="843"/>
      <c r="D74" s="816" t="str">
        <f>IF(I74=Table!$C$1,VLOOKUP(G74,Table!$B$38:$AO$61,Table!$AO$35-1,FALSE),"")</f>
        <v/>
      </c>
      <c r="E74" s="816"/>
      <c r="F74" s="816" t="str">
        <f>IF(I74="","",IF(I74=Table!$C$1,VLOOKUP(G74,Table!$B$9:$AE$32,Table!$AE$6-1,FALSE),""))</f>
        <v/>
      </c>
      <c r="G74" s="828"/>
      <c r="H74" s="828"/>
      <c r="I74" s="828"/>
      <c r="J74" s="428"/>
      <c r="K74" s="428"/>
      <c r="L74" s="816" t="str">
        <f t="shared" ref="L74:L131" si="67">IF(J74="","",IF(J74&gt;K74,"W",IF(J74=K74,"D",IF(J74&lt;K74,"L"))))</f>
        <v/>
      </c>
      <c r="M74" s="816" t="str">
        <f t="shared" ref="M74:M131" si="68">IF(J74="","",J74+K74)</f>
        <v/>
      </c>
      <c r="N74" s="816" t="str">
        <f t="shared" ref="N74:N131" si="69">IF($J74="","",IF($M74&gt;N$19,"O",IF($M74&lt;N$19,"U",IF($M74=N$19,"-"))))</f>
        <v/>
      </c>
      <c r="R74" s="816" t="str">
        <f t="shared" ref="R74:R131" si="70">IF(ISBLANK(Q74),"",J74-K74-Q74)</f>
        <v/>
      </c>
      <c r="T74" s="829" t="str">
        <f t="shared" ref="T74:T131" si="71">IF(ISBLANK(S74),"",J74+K74-S74)</f>
        <v/>
      </c>
      <c r="U74" s="829"/>
      <c r="V74" s="829"/>
      <c r="W74" s="829"/>
      <c r="X74" s="829"/>
      <c r="Y74" s="829"/>
      <c r="Z74" s="829"/>
      <c r="AA74" s="829"/>
      <c r="AB74" s="829"/>
      <c r="AC74" s="829"/>
      <c r="AD74" s="816" t="str">
        <f t="array" ref="AD74">IF($J74="","",IF(SUM(IF(ISNUMBER(VALUE(RIGHT($AG74:$CL74,1))),VALUE(RIGHT($AG74:$CL74,1)),0))=$J74,"T","F"))</f>
        <v/>
      </c>
      <c r="AE74" s="831" t="str">
        <f t="array" ref="AE74">IF($J74="","",SUM(IF(LEFT($AG74:$DX74,1)="s",1,0))-SUM(IF(RIGHT(LEFT($AG74:$DX74,2))="-",1,0)))</f>
        <v/>
      </c>
      <c r="AF74" s="816" t="str">
        <f t="array" ref="AF74">IF($J74="","",SUM(IF(LEFT($AG74:$DD74,1)="X",1,0)))</f>
        <v/>
      </c>
      <c r="AG74" s="897"/>
      <c r="AH74" s="897"/>
      <c r="AI74" s="897"/>
      <c r="AJ74" s="897"/>
      <c r="AK74" s="893"/>
      <c r="AL74" s="897"/>
      <c r="AM74" s="897"/>
      <c r="AN74" s="897"/>
      <c r="AO74" s="897"/>
      <c r="AP74" s="897"/>
      <c r="AQ74" s="897"/>
      <c r="AR74" s="897"/>
      <c r="AS74" s="897"/>
      <c r="AT74" s="897"/>
      <c r="AU74" s="897"/>
      <c r="AV74" s="897"/>
      <c r="AW74" s="897"/>
      <c r="AX74" s="897"/>
      <c r="AY74" s="897"/>
      <c r="AZ74" s="897"/>
      <c r="BA74" s="897"/>
      <c r="BB74" s="897"/>
      <c r="BC74" s="897"/>
      <c r="BD74" s="897"/>
      <c r="BE74" s="897"/>
      <c r="BF74" s="893"/>
      <c r="BG74" s="893"/>
      <c r="BH74" s="893"/>
      <c r="BI74" s="893"/>
      <c r="BJ74" s="893"/>
      <c r="BK74" s="893"/>
      <c r="BL74" s="897"/>
      <c r="BM74" s="897"/>
      <c r="BN74" s="897"/>
      <c r="BO74" s="897"/>
      <c r="BP74" s="897"/>
      <c r="BQ74" s="893"/>
      <c r="BR74" s="897"/>
      <c r="BS74" s="893"/>
      <c r="BT74" s="897"/>
      <c r="BU74" s="897"/>
      <c r="BV74" s="897"/>
      <c r="BW74" s="897"/>
      <c r="BX74" s="897"/>
      <c r="BY74" s="897"/>
      <c r="BZ74" s="897"/>
      <c r="CA74" s="897"/>
      <c r="CB74" s="897"/>
      <c r="CC74" s="897"/>
      <c r="CD74" s="897"/>
      <c r="CE74" s="897"/>
      <c r="CF74" s="897"/>
      <c r="CG74" s="897"/>
    </row>
    <row r="75" spans="1:85" ht="15">
      <c r="A75" s="843"/>
      <c r="D75" s="816" t="str">
        <f>IF(I75=Table!$C$1,VLOOKUP(G75,Table!$B$38:$AO$61,Table!$AO$35-1,FALSE),"")</f>
        <v/>
      </c>
      <c r="E75" s="816"/>
      <c r="F75" s="816" t="str">
        <f>IF(I75="","",IF(I75=Table!$C$1,VLOOKUP(G75,Table!$B$9:$AE$32,Table!$AE$6-1,FALSE),""))</f>
        <v/>
      </c>
      <c r="G75" s="828"/>
      <c r="H75" s="828"/>
      <c r="I75" s="828"/>
      <c r="J75" s="428"/>
      <c r="K75" s="428"/>
      <c r="L75" s="816" t="str">
        <f t="shared" si="67"/>
        <v/>
      </c>
      <c r="M75" s="816" t="str">
        <f t="shared" si="68"/>
        <v/>
      </c>
      <c r="N75" s="816" t="str">
        <f t="shared" si="69"/>
        <v/>
      </c>
      <c r="R75" s="816" t="str">
        <f t="shared" si="70"/>
        <v/>
      </c>
      <c r="T75" s="829" t="str">
        <f t="shared" si="71"/>
        <v/>
      </c>
      <c r="U75" s="829"/>
      <c r="V75" s="829"/>
      <c r="W75" s="829"/>
      <c r="X75" s="829"/>
      <c r="Y75" s="829"/>
      <c r="Z75" s="829"/>
      <c r="AA75" s="829"/>
      <c r="AB75" s="829"/>
      <c r="AC75" s="829"/>
      <c r="AD75" s="816" t="str">
        <f t="array" ref="AD75">IF($J75="","",IF(SUM(IF(ISNUMBER(VALUE(RIGHT($AG75:$CL75,1))),VALUE(RIGHT($AG75:$CL75,1)),0))=$J75,"T","F"))</f>
        <v/>
      </c>
      <c r="AE75" s="831" t="str">
        <f t="array" ref="AE75">IF($J75="","",SUM(IF(LEFT($AG75:$DX75,1)="s",1,0))-SUM(IF(RIGHT(LEFT($AG75:$DX75,2))="-",1,0)))</f>
        <v/>
      </c>
      <c r="AF75" s="816" t="str">
        <f t="array" ref="AF75">IF($J75="","",SUM(IF(LEFT($AG75:$DD75,1)="X",1,0)))</f>
        <v/>
      </c>
      <c r="AG75" s="897"/>
      <c r="AH75" s="897"/>
      <c r="AI75" s="897"/>
      <c r="AJ75" s="897"/>
      <c r="AK75" s="893"/>
      <c r="AL75" s="897"/>
      <c r="AM75" s="897"/>
      <c r="AN75" s="897"/>
      <c r="AO75" s="897"/>
      <c r="AP75" s="897"/>
      <c r="AQ75" s="897"/>
      <c r="AR75" s="897"/>
      <c r="AS75" s="897"/>
      <c r="AT75" s="897"/>
      <c r="AU75" s="897"/>
      <c r="AV75" s="897"/>
      <c r="AW75" s="897"/>
      <c r="AX75" s="897"/>
      <c r="AY75" s="897"/>
      <c r="AZ75" s="897"/>
      <c r="BA75" s="897"/>
      <c r="BB75" s="897"/>
      <c r="BC75" s="897"/>
      <c r="BD75" s="897"/>
      <c r="BE75" s="897"/>
      <c r="BF75" s="893"/>
      <c r="BG75" s="893"/>
      <c r="BH75" s="893"/>
      <c r="BI75" s="893"/>
      <c r="BJ75" s="893"/>
      <c r="BK75" s="893"/>
      <c r="BL75" s="897"/>
      <c r="BM75" s="897"/>
      <c r="BN75" s="897"/>
      <c r="BO75" s="897"/>
      <c r="BP75" s="897"/>
      <c r="BQ75" s="893"/>
      <c r="BR75" s="897"/>
      <c r="BS75" s="893"/>
      <c r="BT75" s="897"/>
      <c r="BU75" s="897"/>
      <c r="BV75" s="897"/>
      <c r="BW75" s="897"/>
      <c r="BX75" s="897"/>
      <c r="BY75" s="897"/>
      <c r="BZ75" s="897"/>
      <c r="CA75" s="897"/>
      <c r="CB75" s="897"/>
      <c r="CC75" s="897"/>
      <c r="CD75" s="897"/>
      <c r="CE75" s="897"/>
      <c r="CF75" s="897"/>
      <c r="CG75" s="897"/>
    </row>
    <row r="76" spans="1:85" ht="15">
      <c r="A76" s="843"/>
      <c r="D76" s="816" t="str">
        <f>IF(I76=Table!$C$1,VLOOKUP(G76,Table!$B$38:$AO$61,Table!$AO$35-1,FALSE),"")</f>
        <v/>
      </c>
      <c r="E76" s="816"/>
      <c r="F76" s="816" t="str">
        <f>IF(I76="","",IF(I76=Table!$C$1,VLOOKUP(G76,Table!$B$9:$AE$32,Table!$AE$6-1,FALSE),""))</f>
        <v/>
      </c>
      <c r="G76" s="828"/>
      <c r="H76" s="828"/>
      <c r="I76" s="828"/>
      <c r="J76" s="428"/>
      <c r="K76" s="428"/>
      <c r="L76" s="816" t="str">
        <f t="shared" si="67"/>
        <v/>
      </c>
      <c r="M76" s="816" t="str">
        <f t="shared" si="68"/>
        <v/>
      </c>
      <c r="N76" s="816" t="str">
        <f t="shared" si="69"/>
        <v/>
      </c>
      <c r="R76" s="816" t="str">
        <f t="shared" si="70"/>
        <v/>
      </c>
      <c r="T76" s="829" t="str">
        <f t="shared" si="71"/>
        <v/>
      </c>
      <c r="U76" s="829"/>
      <c r="V76" s="829"/>
      <c r="W76" s="829"/>
      <c r="X76" s="829"/>
      <c r="Y76" s="829"/>
      <c r="Z76" s="829"/>
      <c r="AA76" s="829"/>
      <c r="AB76" s="829"/>
      <c r="AC76" s="829"/>
      <c r="AD76" s="816" t="str">
        <f t="array" ref="AD76">IF($J76="","",IF(SUM(IF(ISNUMBER(VALUE(RIGHT($AG76:$CL76,1))),VALUE(RIGHT($AG76:$CL76,1)),0))=$J76,"T","F"))</f>
        <v/>
      </c>
      <c r="AE76" s="831" t="str">
        <f t="array" ref="AE76">IF($J76="","",SUM(IF(LEFT($AG76:$DX76,1)="s",1,0))-SUM(IF(RIGHT(LEFT($AG76:$DX76,2))="-",1,0)))</f>
        <v/>
      </c>
      <c r="AF76" s="816" t="str">
        <f t="array" ref="AF76">IF($J76="","",SUM(IF(LEFT($AG76:$DD76,1)="X",1,0)))</f>
        <v/>
      </c>
      <c r="AG76" s="897"/>
      <c r="AH76" s="897"/>
      <c r="AI76" s="897"/>
      <c r="AJ76" s="897"/>
      <c r="AK76" s="893"/>
      <c r="AL76" s="897"/>
      <c r="AM76" s="897"/>
      <c r="AN76" s="897"/>
      <c r="AO76" s="897"/>
      <c r="AP76" s="897"/>
      <c r="AQ76" s="897"/>
      <c r="AR76" s="897"/>
      <c r="AS76" s="897"/>
      <c r="AT76" s="897"/>
      <c r="AU76" s="897"/>
      <c r="AV76" s="897"/>
      <c r="AW76" s="897"/>
      <c r="AX76" s="897"/>
      <c r="AY76" s="897"/>
      <c r="AZ76" s="897"/>
      <c r="BA76" s="897"/>
      <c r="BB76" s="897"/>
      <c r="BC76" s="897"/>
      <c r="BD76" s="897"/>
      <c r="BE76" s="897"/>
      <c r="BF76" s="893"/>
      <c r="BG76" s="893"/>
      <c r="BH76" s="893"/>
      <c r="BI76" s="893"/>
      <c r="BJ76" s="893"/>
      <c r="BK76" s="893"/>
      <c r="BL76" s="897"/>
      <c r="BM76" s="897"/>
      <c r="BN76" s="897"/>
      <c r="BO76" s="897"/>
      <c r="BP76" s="897"/>
      <c r="BQ76" s="893"/>
      <c r="BR76" s="897"/>
      <c r="BS76" s="893"/>
      <c r="BT76" s="897"/>
      <c r="BU76" s="897"/>
      <c r="BV76" s="897"/>
      <c r="BW76" s="897"/>
      <c r="BX76" s="897"/>
      <c r="BY76" s="897"/>
      <c r="BZ76" s="897"/>
      <c r="CA76" s="897"/>
      <c r="CB76" s="897"/>
      <c r="CC76" s="897"/>
      <c r="CD76" s="897"/>
      <c r="CE76" s="897"/>
      <c r="CF76" s="897"/>
      <c r="CG76" s="897"/>
    </row>
    <row r="77" spans="1:85" ht="15">
      <c r="A77" s="844"/>
      <c r="D77" s="816" t="str">
        <f>IF(I77=Table!$C$1,VLOOKUP(G77,Table!$B$38:$AO$61,Table!$AO$35-1,FALSE),"")</f>
        <v/>
      </c>
      <c r="E77" s="816"/>
      <c r="F77" s="816" t="str">
        <f>IF(I77="","",IF(I77=Table!$C$1,VLOOKUP(G77,Table!$B$9:$AE$32,Table!$AE$6-1,FALSE),""))</f>
        <v/>
      </c>
      <c r="G77" s="230"/>
      <c r="H77" s="230"/>
      <c r="I77" s="230"/>
      <c r="J77" s="428"/>
      <c r="K77" s="428"/>
      <c r="L77" s="816" t="str">
        <f t="shared" si="67"/>
        <v/>
      </c>
      <c r="M77" s="816" t="str">
        <f t="shared" si="68"/>
        <v/>
      </c>
      <c r="N77" s="816" t="str">
        <f t="shared" si="69"/>
        <v/>
      </c>
      <c r="R77" s="816" t="str">
        <f t="shared" si="70"/>
        <v/>
      </c>
      <c r="T77" s="829" t="str">
        <f t="shared" si="71"/>
        <v/>
      </c>
      <c r="U77" s="829"/>
      <c r="V77" s="829"/>
      <c r="W77" s="829"/>
      <c r="X77" s="829"/>
      <c r="Y77" s="829"/>
      <c r="Z77" s="829"/>
      <c r="AA77" s="829"/>
      <c r="AB77" s="829"/>
      <c r="AC77" s="829"/>
      <c r="AD77" s="816" t="str">
        <f t="array" ref="AD77">IF($J77="","",IF(SUM(IF(ISNUMBER(VALUE(RIGHT($AG77:$CL77,1))),VALUE(RIGHT($AG77:$CL77,1)),0))=$J77,"T","F"))</f>
        <v/>
      </c>
      <c r="AE77" s="831" t="str">
        <f t="array" ref="AE77">IF($J77="","",SUM(IF(LEFT($AG77:$DX77,1)="s",1,0))-SUM(IF(RIGHT(LEFT($AG77:$DX77,2))="-",1,0)))</f>
        <v/>
      </c>
      <c r="AF77" s="816" t="str">
        <f t="array" ref="AF77">IF($J77="","",SUM(IF(LEFT($AG77:$DD77,1)="X",1,0)))</f>
        <v/>
      </c>
      <c r="AG77" s="897"/>
      <c r="AH77" s="897"/>
      <c r="AI77" s="897"/>
      <c r="AJ77" s="897"/>
      <c r="AK77" s="893"/>
      <c r="AL77" s="897"/>
      <c r="AM77" s="897"/>
      <c r="AN77" s="897"/>
      <c r="AO77" s="897"/>
      <c r="AP77" s="897"/>
      <c r="AQ77" s="897"/>
      <c r="AR77" s="897"/>
      <c r="AS77" s="897"/>
      <c r="AT77" s="897"/>
      <c r="AU77" s="897"/>
      <c r="AV77" s="897"/>
      <c r="AW77" s="897"/>
      <c r="AX77" s="897"/>
      <c r="AY77" s="897"/>
      <c r="AZ77" s="897"/>
      <c r="BA77" s="897"/>
      <c r="BB77" s="897"/>
      <c r="BC77" s="897"/>
      <c r="BD77" s="897"/>
      <c r="BE77" s="897"/>
      <c r="BF77" s="893"/>
      <c r="BG77" s="893"/>
      <c r="BH77" s="893"/>
      <c r="BI77" s="893"/>
      <c r="BJ77" s="893"/>
      <c r="BK77" s="893"/>
      <c r="BL77" s="897"/>
      <c r="BM77" s="897"/>
      <c r="BN77" s="897"/>
      <c r="BO77" s="897"/>
      <c r="BP77" s="897"/>
      <c r="BQ77" s="893"/>
      <c r="BR77" s="897"/>
      <c r="BS77" s="893"/>
      <c r="BT77" s="897"/>
      <c r="BU77" s="897"/>
      <c r="BV77" s="897"/>
      <c r="BW77" s="897"/>
      <c r="BX77" s="897"/>
      <c r="BY77" s="897"/>
      <c r="BZ77" s="897"/>
      <c r="CA77" s="897"/>
      <c r="CB77" s="897"/>
      <c r="CC77" s="897"/>
      <c r="CD77" s="897"/>
      <c r="CE77" s="897"/>
      <c r="CF77" s="897"/>
      <c r="CG77" s="897"/>
    </row>
    <row r="78" spans="1:85" ht="15">
      <c r="A78" s="844"/>
      <c r="D78" s="816" t="str">
        <f>IF(I78=Table!$C$1,VLOOKUP(G78,Table!$B$38:$AO$61,Table!$AO$35-1,FALSE),"")</f>
        <v/>
      </c>
      <c r="E78" s="816"/>
      <c r="F78" s="816" t="str">
        <f>IF(I78="","",IF(I78=Table!$C$1,VLOOKUP(G78,Table!$B$9:$AE$32,Table!$AE$6-1,FALSE),""))</f>
        <v/>
      </c>
      <c r="G78" s="230"/>
      <c r="H78" s="230"/>
      <c r="I78" s="230"/>
      <c r="J78" s="428"/>
      <c r="K78" s="428"/>
      <c r="L78" s="816" t="str">
        <f t="shared" si="67"/>
        <v/>
      </c>
      <c r="M78" s="816" t="str">
        <f t="shared" si="68"/>
        <v/>
      </c>
      <c r="N78" s="816" t="str">
        <f t="shared" si="69"/>
        <v/>
      </c>
      <c r="R78" s="816" t="str">
        <f t="shared" si="70"/>
        <v/>
      </c>
      <c r="T78" s="829" t="str">
        <f t="shared" si="71"/>
        <v/>
      </c>
      <c r="U78" s="829"/>
      <c r="V78" s="829"/>
      <c r="W78" s="829"/>
      <c r="X78" s="829"/>
      <c r="Y78" s="829"/>
      <c r="Z78" s="829"/>
      <c r="AA78" s="829"/>
      <c r="AB78" s="829"/>
      <c r="AC78" s="829"/>
      <c r="AD78" s="816" t="str">
        <f t="array" ref="AD78">IF($J78="","",IF(SUM(IF(ISNUMBER(VALUE(RIGHT($AG78:$CL78,1))),VALUE(RIGHT($AG78:$CL78,1)),0))=$J78,"T","F"))</f>
        <v/>
      </c>
      <c r="AE78" s="831" t="str">
        <f t="array" ref="AE78">IF($J78="","",SUM(IF(LEFT($AG78:$DX78,1)="s",1,0))-SUM(IF(RIGHT(LEFT($AG78:$DX78,2))="-",1,0)))</f>
        <v/>
      </c>
      <c r="AF78" s="816" t="str">
        <f t="array" ref="AF78">IF($J78="","",SUM(IF(LEFT($AG78:$DD78,1)="X",1,0)))</f>
        <v/>
      </c>
      <c r="AG78" s="897"/>
      <c r="AH78" s="897"/>
      <c r="AI78" s="897"/>
      <c r="AJ78" s="897"/>
      <c r="AK78" s="893"/>
      <c r="AL78" s="897"/>
      <c r="AM78" s="897"/>
      <c r="AN78" s="897"/>
      <c r="AO78" s="897"/>
      <c r="AP78" s="897"/>
      <c r="AQ78" s="897"/>
      <c r="AR78" s="897"/>
      <c r="AS78" s="897"/>
      <c r="AT78" s="897"/>
      <c r="AU78" s="897"/>
      <c r="AV78" s="897"/>
      <c r="AW78" s="897"/>
      <c r="AX78" s="897"/>
      <c r="AY78" s="897"/>
      <c r="AZ78" s="897"/>
      <c r="BA78" s="897"/>
      <c r="BB78" s="897"/>
      <c r="BC78" s="897"/>
      <c r="BD78" s="897"/>
      <c r="BE78" s="897"/>
      <c r="BF78" s="893"/>
      <c r="BG78" s="893"/>
      <c r="BH78" s="893"/>
      <c r="BI78" s="893"/>
      <c r="BJ78" s="893"/>
      <c r="BK78" s="893"/>
      <c r="BL78" s="897"/>
      <c r="BM78" s="897"/>
      <c r="BN78" s="897"/>
      <c r="BO78" s="897"/>
      <c r="BP78" s="897"/>
      <c r="BQ78" s="893"/>
      <c r="BR78" s="897"/>
      <c r="BS78" s="893"/>
      <c r="BT78" s="897"/>
      <c r="BU78" s="897"/>
      <c r="BV78" s="897"/>
      <c r="BW78" s="897"/>
      <c r="BX78" s="897"/>
      <c r="BY78" s="897"/>
      <c r="BZ78" s="897"/>
      <c r="CA78" s="897"/>
      <c r="CB78" s="897"/>
      <c r="CC78" s="897"/>
      <c r="CD78" s="897"/>
      <c r="CE78" s="897"/>
      <c r="CF78" s="897"/>
      <c r="CG78" s="897"/>
    </row>
    <row r="79" spans="1:85" ht="15">
      <c r="A79" s="844"/>
      <c r="D79" s="816" t="str">
        <f>IF(I79=Table!$C$1,VLOOKUP(G79,Table!$B$38:$AO$61,Table!$AO$35-1,FALSE),"")</f>
        <v/>
      </c>
      <c r="E79" s="816"/>
      <c r="F79" s="816" t="str">
        <f>IF(I79="","",IF(I79=Table!$C$1,VLOOKUP(G79,Table!$B$9:$AE$32,Table!$AE$6-1,FALSE),""))</f>
        <v/>
      </c>
      <c r="G79" s="230"/>
      <c r="H79" s="230"/>
      <c r="I79" s="230"/>
      <c r="J79" s="230"/>
      <c r="K79" s="230"/>
      <c r="L79" s="816" t="str">
        <f t="shared" si="67"/>
        <v/>
      </c>
      <c r="M79" s="816" t="str">
        <f t="shared" si="68"/>
        <v/>
      </c>
      <c r="N79" s="816" t="str">
        <f t="shared" si="69"/>
        <v/>
      </c>
      <c r="R79" s="816" t="str">
        <f t="shared" si="70"/>
        <v/>
      </c>
      <c r="T79" s="829" t="str">
        <f t="shared" si="71"/>
        <v/>
      </c>
      <c r="U79" s="829"/>
      <c r="V79" s="829"/>
      <c r="W79" s="829"/>
      <c r="X79" s="829"/>
      <c r="Y79" s="829"/>
      <c r="Z79" s="829"/>
      <c r="AA79" s="829"/>
      <c r="AB79" s="829"/>
      <c r="AC79" s="829"/>
      <c r="AD79" s="816" t="str">
        <f t="array" ref="AD79">IF($J79="","",IF(SUM(IF(ISNUMBER(VALUE(RIGHT($AG79:$CL79,1))),VALUE(RIGHT($AG79:$CL79,1)),0))=$J79,"T","F"))</f>
        <v/>
      </c>
      <c r="AE79" s="831" t="str">
        <f t="array" ref="AE79">IF($J79="","",SUM(IF(LEFT($AG79:$DX79,1)="s",1,0))-SUM(IF(RIGHT(LEFT($AG79:$DX79,2))="-",1,0)))</f>
        <v/>
      </c>
      <c r="AF79" s="816" t="str">
        <f t="array" ref="AF79">IF($J79="","",SUM(IF(LEFT($AG79:$DD79,1)="X",1,0)))</f>
        <v/>
      </c>
      <c r="AG79" s="897"/>
      <c r="AH79" s="897"/>
      <c r="AI79" s="897"/>
      <c r="AJ79" s="897"/>
      <c r="AK79" s="893"/>
      <c r="AL79" s="897"/>
      <c r="AM79" s="897"/>
      <c r="AN79" s="897"/>
      <c r="AO79" s="897"/>
      <c r="AP79" s="897"/>
      <c r="AQ79" s="897"/>
      <c r="AR79" s="897"/>
      <c r="AS79" s="897"/>
      <c r="AT79" s="897"/>
      <c r="AU79" s="897"/>
      <c r="AV79" s="897"/>
      <c r="AW79" s="897"/>
      <c r="AX79" s="897"/>
      <c r="AY79" s="897"/>
      <c r="AZ79" s="897"/>
      <c r="BA79" s="897"/>
      <c r="BB79" s="897"/>
      <c r="BC79" s="897"/>
      <c r="BD79" s="897"/>
      <c r="BE79" s="897"/>
      <c r="BF79" s="893"/>
      <c r="BG79" s="893"/>
      <c r="BH79" s="893"/>
      <c r="BI79" s="893"/>
      <c r="BJ79" s="893"/>
      <c r="BK79" s="893"/>
      <c r="BL79" s="897"/>
      <c r="BM79" s="897"/>
      <c r="BN79" s="897"/>
      <c r="BO79" s="897"/>
      <c r="BP79" s="897"/>
      <c r="BQ79" s="893"/>
      <c r="BR79" s="897"/>
      <c r="BS79" s="893"/>
      <c r="BT79" s="897"/>
      <c r="BU79" s="897"/>
      <c r="BV79" s="897"/>
      <c r="BW79" s="897"/>
      <c r="BX79" s="897"/>
      <c r="BY79" s="897"/>
      <c r="BZ79" s="897"/>
      <c r="CA79" s="897"/>
      <c r="CB79" s="897"/>
      <c r="CC79" s="897"/>
      <c r="CD79" s="897"/>
      <c r="CE79" s="897"/>
      <c r="CF79" s="897"/>
      <c r="CG79" s="897"/>
    </row>
    <row r="80" spans="1:85" ht="15">
      <c r="A80" s="844"/>
      <c r="D80" s="816" t="str">
        <f>IF(I80=Table!$C$1,VLOOKUP(G80,Table!$B$38:$AO$61,Table!$AO$35-1,FALSE),"")</f>
        <v/>
      </c>
      <c r="E80" s="816"/>
      <c r="F80" s="816" t="str">
        <f>IF(I80="","",IF(I80=Table!$C$1,VLOOKUP(G80,Table!$B$9:$AE$32,Table!$AE$6-1,FALSE),""))</f>
        <v/>
      </c>
      <c r="G80" s="230"/>
      <c r="H80" s="230"/>
      <c r="I80" s="230"/>
      <c r="J80" s="230"/>
      <c r="K80" s="230"/>
      <c r="L80" s="816" t="str">
        <f t="shared" si="67"/>
        <v/>
      </c>
      <c r="M80" s="816" t="str">
        <f t="shared" si="68"/>
        <v/>
      </c>
      <c r="N80" s="816" t="str">
        <f t="shared" si="69"/>
        <v/>
      </c>
      <c r="R80" s="816" t="str">
        <f t="shared" si="70"/>
        <v/>
      </c>
      <c r="T80" s="829" t="str">
        <f t="shared" si="71"/>
        <v/>
      </c>
      <c r="U80" s="829"/>
      <c r="V80" s="829"/>
      <c r="W80" s="829"/>
      <c r="X80" s="829"/>
      <c r="Y80" s="829"/>
      <c r="Z80" s="829"/>
      <c r="AA80" s="829"/>
      <c r="AB80" s="829"/>
      <c r="AC80" s="829"/>
      <c r="AD80" s="816" t="str">
        <f t="array" ref="AD80">IF($J80="","",IF(SUM(IF(ISNUMBER(VALUE(RIGHT($AG80:$CL80,1))),VALUE(RIGHT($AG80:$CL80,1)),0))=$J80,"T","F"))</f>
        <v/>
      </c>
      <c r="AE80" s="831" t="str">
        <f t="array" ref="AE80">IF($J80="","",SUM(IF(LEFT($AG80:$DX80,1)="s",1,0))-SUM(IF(RIGHT(LEFT($AG80:$DX80,2))="-",1,0)))</f>
        <v/>
      </c>
      <c r="AF80" s="816" t="str">
        <f t="array" ref="AF80">IF($J80="","",SUM(IF(LEFT($AG80:$DD80,1)="X",1,0)))</f>
        <v/>
      </c>
      <c r="AG80" s="897"/>
      <c r="AH80" s="897"/>
      <c r="AI80" s="897"/>
      <c r="AJ80" s="897"/>
      <c r="AK80" s="893"/>
      <c r="AL80" s="897"/>
      <c r="AM80" s="897"/>
      <c r="AN80" s="897"/>
      <c r="AO80" s="897"/>
      <c r="AP80" s="897"/>
      <c r="AQ80" s="897"/>
      <c r="AR80" s="897"/>
      <c r="AS80" s="897"/>
      <c r="AT80" s="897"/>
      <c r="AU80" s="897"/>
      <c r="AV80" s="897"/>
      <c r="AW80" s="897"/>
      <c r="AX80" s="897"/>
      <c r="AY80" s="897"/>
      <c r="AZ80" s="897"/>
      <c r="BA80" s="897"/>
      <c r="BB80" s="897"/>
      <c r="BC80" s="897"/>
      <c r="BD80" s="897"/>
      <c r="BE80" s="897"/>
      <c r="BF80" s="893"/>
      <c r="BG80" s="893"/>
      <c r="BH80" s="893"/>
      <c r="BI80" s="893"/>
      <c r="BJ80" s="893"/>
      <c r="BK80" s="893"/>
      <c r="BL80" s="897"/>
      <c r="BM80" s="897"/>
      <c r="BN80" s="897"/>
      <c r="BO80" s="897"/>
      <c r="BP80" s="897"/>
      <c r="BQ80" s="893"/>
      <c r="BR80" s="897"/>
      <c r="BS80" s="893"/>
      <c r="BT80" s="897"/>
      <c r="BU80" s="897"/>
      <c r="BV80" s="897"/>
      <c r="BW80" s="897"/>
      <c r="BX80" s="897"/>
      <c r="BY80" s="897"/>
      <c r="BZ80" s="897"/>
      <c r="CA80" s="897"/>
      <c r="CB80" s="897"/>
      <c r="CC80" s="897"/>
      <c r="CD80" s="897"/>
      <c r="CE80" s="897"/>
      <c r="CF80" s="897"/>
      <c r="CG80" s="897"/>
    </row>
    <row r="81" spans="1:85" ht="15">
      <c r="A81" s="844"/>
      <c r="D81" s="816" t="str">
        <f>IF(I81=Table!$C$1,VLOOKUP(G81,Table!$B$38:$AO$61,Table!$AO$35-1,FALSE),"")</f>
        <v/>
      </c>
      <c r="E81" s="816"/>
      <c r="F81" s="816" t="str">
        <f>IF(I81="","",IF(I81=Table!$C$1,VLOOKUP(G81,Table!$B$9:$AE$32,Table!$AE$6-1,FALSE),""))</f>
        <v/>
      </c>
      <c r="G81" s="230"/>
      <c r="H81" s="230"/>
      <c r="I81" s="230"/>
      <c r="J81" s="230"/>
      <c r="K81" s="230"/>
      <c r="L81" s="816" t="str">
        <f t="shared" si="67"/>
        <v/>
      </c>
      <c r="M81" s="816" t="str">
        <f t="shared" si="68"/>
        <v/>
      </c>
      <c r="N81" s="816" t="str">
        <f t="shared" si="69"/>
        <v/>
      </c>
      <c r="R81" s="816" t="str">
        <f t="shared" si="70"/>
        <v/>
      </c>
      <c r="T81" s="829" t="str">
        <f t="shared" si="71"/>
        <v/>
      </c>
      <c r="U81" s="829"/>
      <c r="V81" s="829"/>
      <c r="W81" s="829"/>
      <c r="X81" s="829"/>
      <c r="Y81" s="829"/>
      <c r="Z81" s="829"/>
      <c r="AA81" s="829"/>
      <c r="AB81" s="829"/>
      <c r="AC81" s="829"/>
      <c r="AD81" s="816" t="str">
        <f t="array" ref="AD81">IF($J81="","",IF(SUM(IF(ISNUMBER(VALUE(RIGHT($AG81:$CL81,1))),VALUE(RIGHT($AG81:$CL81,1)),0))=$J81,"T","F"))</f>
        <v/>
      </c>
      <c r="AE81" s="831" t="str">
        <f t="array" ref="AE81">IF($J81="","",SUM(IF(LEFT($AG81:$DX81,1)="s",1,0))-SUM(IF(RIGHT(LEFT($AG81:$DX81,2))="-",1,0)))</f>
        <v/>
      </c>
      <c r="AF81" s="816" t="str">
        <f t="array" ref="AF81">IF($J81="","",SUM(IF(LEFT($AG81:$DD81,1)="X",1,0)))</f>
        <v/>
      </c>
      <c r="AG81" s="897"/>
      <c r="AH81" s="897"/>
      <c r="AI81" s="897"/>
      <c r="AJ81" s="897"/>
      <c r="AK81" s="893"/>
      <c r="AL81" s="897"/>
      <c r="AM81" s="897"/>
      <c r="AN81" s="897"/>
      <c r="AO81" s="897"/>
      <c r="AP81" s="897"/>
      <c r="AQ81" s="897"/>
      <c r="AR81" s="897"/>
      <c r="AS81" s="897"/>
      <c r="AT81" s="897"/>
      <c r="AU81" s="897"/>
      <c r="AV81" s="897"/>
      <c r="AW81" s="897"/>
      <c r="AX81" s="897"/>
      <c r="AY81" s="897"/>
      <c r="AZ81" s="897"/>
      <c r="BA81" s="897"/>
      <c r="BB81" s="897"/>
      <c r="BC81" s="897"/>
      <c r="BD81" s="897"/>
      <c r="BE81" s="897"/>
      <c r="BF81" s="893"/>
      <c r="BG81" s="893"/>
      <c r="BH81" s="893"/>
      <c r="BI81" s="893"/>
      <c r="BJ81" s="893"/>
      <c r="BK81" s="893"/>
      <c r="BL81" s="897"/>
      <c r="BM81" s="897"/>
      <c r="BN81" s="897"/>
      <c r="BO81" s="897"/>
      <c r="BP81" s="897"/>
      <c r="BQ81" s="893"/>
      <c r="BR81" s="897"/>
      <c r="BS81" s="893"/>
      <c r="BT81" s="897"/>
      <c r="BU81" s="897"/>
      <c r="BV81" s="897"/>
      <c r="BW81" s="897"/>
      <c r="BX81" s="897"/>
      <c r="BY81" s="897"/>
      <c r="BZ81" s="897"/>
      <c r="CA81" s="897"/>
      <c r="CB81" s="897"/>
      <c r="CC81" s="897"/>
      <c r="CD81" s="897"/>
      <c r="CE81" s="897"/>
      <c r="CF81" s="897"/>
      <c r="CG81" s="897"/>
    </row>
    <row r="82" spans="1:85" ht="15">
      <c r="A82" s="844"/>
      <c r="D82" s="816" t="str">
        <f>IF(I82=Table!$C$1,VLOOKUP(G82,Table!$B$38:$AO$61,Table!$AO$35-1,FALSE),"")</f>
        <v/>
      </c>
      <c r="E82" s="816" t="s">
        <v>32</v>
      </c>
      <c r="F82" s="816" t="str">
        <f>IF(I82="","",IF(I82=Table!$C$1,VLOOKUP(G82,Table!$B$9:$AE$32,Table!$AE$6-1,FALSE),""))</f>
        <v/>
      </c>
      <c r="G82" s="230"/>
      <c r="H82" s="230"/>
      <c r="I82" s="230"/>
      <c r="J82" s="230"/>
      <c r="K82" s="230"/>
      <c r="L82" s="816" t="str">
        <f t="shared" si="67"/>
        <v/>
      </c>
      <c r="M82" s="816" t="str">
        <f t="shared" si="68"/>
        <v/>
      </c>
      <c r="N82" s="816" t="str">
        <f t="shared" si="69"/>
        <v/>
      </c>
      <c r="R82" s="816" t="str">
        <f t="shared" si="70"/>
        <v/>
      </c>
      <c r="T82" s="829" t="str">
        <f t="shared" si="71"/>
        <v/>
      </c>
      <c r="U82" s="829"/>
      <c r="V82" s="829"/>
      <c r="W82" s="829"/>
      <c r="X82" s="829"/>
      <c r="Y82" s="829"/>
      <c r="Z82" s="829"/>
      <c r="AA82" s="829"/>
      <c r="AB82" s="829"/>
      <c r="AC82" s="829"/>
      <c r="AD82" s="816" t="str">
        <f t="array" ref="AD82">IF($J82="","",IF(SUM(IF(ISNUMBER(VALUE(RIGHT($AG82:$CL82,1))),VALUE(RIGHT($AG82:$CL82,1)),0))=$J82,"T","F"))</f>
        <v/>
      </c>
      <c r="AE82" s="831" t="str">
        <f t="array" ref="AE82">IF($J82="","",SUM(IF(LEFT($AG82:$DX82,1)="s",1,0))-SUM(IF(RIGHT(LEFT($AG82:$DX82,2))="-",1,0)))</f>
        <v/>
      </c>
      <c r="AF82" s="816" t="str">
        <f t="array" ref="AF82">IF($J82="","",SUM(IF(LEFT($AG82:$DD82,1)="X",1,0)))</f>
        <v/>
      </c>
      <c r="AG82" s="897"/>
      <c r="AH82" s="897"/>
      <c r="AI82" s="897"/>
      <c r="AJ82" s="897"/>
      <c r="AK82" s="893"/>
      <c r="AL82" s="897"/>
      <c r="AM82" s="897"/>
      <c r="AN82" s="897"/>
      <c r="AO82" s="897"/>
      <c r="AP82" s="897"/>
      <c r="AQ82" s="897"/>
      <c r="AR82" s="897"/>
      <c r="AS82" s="897"/>
      <c r="AT82" s="897"/>
      <c r="AU82" s="897"/>
      <c r="AV82" s="897"/>
      <c r="AW82" s="897"/>
      <c r="AX82" s="897"/>
      <c r="AY82" s="897"/>
      <c r="AZ82" s="897"/>
      <c r="BA82" s="897"/>
      <c r="BB82" s="897"/>
      <c r="BC82" s="897"/>
      <c r="BD82" s="897"/>
      <c r="BE82" s="897"/>
      <c r="BF82" s="893"/>
      <c r="BG82" s="893"/>
      <c r="BH82" s="893"/>
      <c r="BI82" s="893"/>
      <c r="BJ82" s="893"/>
      <c r="BK82" s="893"/>
      <c r="BL82" s="897"/>
      <c r="BM82" s="897"/>
      <c r="BN82" s="897"/>
      <c r="BO82" s="897"/>
      <c r="BP82" s="897"/>
      <c r="BQ82" s="893"/>
      <c r="BR82" s="897"/>
      <c r="BS82" s="893"/>
      <c r="BT82" s="897"/>
      <c r="BU82" s="897"/>
      <c r="BV82" s="897"/>
      <c r="BW82" s="897"/>
      <c r="BX82" s="897"/>
      <c r="BY82" s="897"/>
      <c r="BZ82" s="897"/>
      <c r="CA82" s="897"/>
      <c r="CB82" s="897"/>
      <c r="CC82" s="897"/>
      <c r="CD82" s="897"/>
      <c r="CE82" s="897"/>
      <c r="CF82" s="897"/>
      <c r="CG82" s="897"/>
    </row>
    <row r="83" spans="1:85" ht="15">
      <c r="A83" s="844"/>
      <c r="D83" s="816" t="str">
        <f>IF(I83=Table!$C$1,VLOOKUP(G83,Table!$B$38:$AO$61,Table!$AO$35-1,FALSE),"")</f>
        <v/>
      </c>
      <c r="E83" s="816" t="s">
        <v>32</v>
      </c>
      <c r="F83" s="816" t="str">
        <f>IF(I83="","",IF(I83=Table!$C$1,VLOOKUP(G83,Table!$B$9:$AE$32,Table!$AE$6-1,FALSE),""))</f>
        <v/>
      </c>
      <c r="G83" s="230"/>
      <c r="H83" s="230"/>
      <c r="I83" s="230"/>
      <c r="J83" s="230"/>
      <c r="K83" s="230"/>
      <c r="L83" s="816" t="str">
        <f t="shared" si="67"/>
        <v/>
      </c>
      <c r="M83" s="816" t="str">
        <f t="shared" si="68"/>
        <v/>
      </c>
      <c r="N83" s="816" t="str">
        <f t="shared" si="69"/>
        <v/>
      </c>
      <c r="R83" s="816" t="str">
        <f t="shared" si="70"/>
        <v/>
      </c>
      <c r="T83" s="829" t="str">
        <f t="shared" si="71"/>
        <v/>
      </c>
      <c r="U83" s="829"/>
      <c r="V83" s="829"/>
      <c r="W83" s="829"/>
      <c r="X83" s="829"/>
      <c r="Y83" s="829"/>
      <c r="Z83" s="829"/>
      <c r="AA83" s="829"/>
      <c r="AB83" s="829"/>
      <c r="AC83" s="829"/>
      <c r="AD83" s="816" t="str">
        <f t="array" ref="AD83">IF($J83="","",IF(SUM(IF(ISNUMBER(VALUE(RIGHT($AG83:$CL83,1))),VALUE(RIGHT($AG83:$CL83,1)),0))=$J83,"T","F"))</f>
        <v/>
      </c>
      <c r="AE83" s="831" t="str">
        <f t="array" ref="AE83">IF($J83="","",SUM(IF(LEFT($AG83:$DX83,1)="s",1,0))-SUM(IF(RIGHT(LEFT($AG83:$DX83,2))="-",1,0)))</f>
        <v/>
      </c>
      <c r="AF83" s="816" t="str">
        <f t="array" ref="AF83">IF($J83="","",SUM(IF(LEFT($AG83:$DD83,1)="X",1,0)))</f>
        <v/>
      </c>
      <c r="AG83" s="897"/>
      <c r="AH83" s="897"/>
      <c r="AI83" s="897"/>
      <c r="AJ83" s="897"/>
      <c r="AK83" s="893"/>
      <c r="AL83" s="897"/>
      <c r="AM83" s="897"/>
      <c r="AN83" s="897"/>
      <c r="AO83" s="897"/>
      <c r="AP83" s="897"/>
      <c r="AQ83" s="897"/>
      <c r="AR83" s="897"/>
      <c r="AS83" s="897"/>
      <c r="AT83" s="897"/>
      <c r="AU83" s="897"/>
      <c r="AV83" s="897"/>
      <c r="AW83" s="897"/>
      <c r="AX83" s="897"/>
      <c r="AY83" s="897"/>
      <c r="AZ83" s="897"/>
      <c r="BA83" s="897"/>
      <c r="BB83" s="897"/>
      <c r="BC83" s="897"/>
      <c r="BD83" s="897"/>
      <c r="BE83" s="897"/>
      <c r="BF83" s="893"/>
      <c r="BG83" s="893"/>
      <c r="BH83" s="893"/>
      <c r="BI83" s="893"/>
      <c r="BJ83" s="893"/>
      <c r="BK83" s="893"/>
      <c r="BL83" s="897"/>
      <c r="BM83" s="897"/>
      <c r="BN83" s="897"/>
      <c r="BO83" s="897"/>
      <c r="BP83" s="897"/>
      <c r="BQ83" s="893"/>
      <c r="BR83" s="897"/>
      <c r="BS83" s="893"/>
      <c r="BT83" s="897"/>
      <c r="BU83" s="897"/>
      <c r="BV83" s="897"/>
      <c r="BW83" s="897"/>
      <c r="BX83" s="897"/>
      <c r="BY83" s="897"/>
      <c r="BZ83" s="897"/>
      <c r="CA83" s="897"/>
      <c r="CB83" s="897"/>
      <c r="CC83" s="897"/>
      <c r="CD83" s="897"/>
      <c r="CE83" s="897"/>
      <c r="CF83" s="897"/>
      <c r="CG83" s="897"/>
    </row>
    <row r="84" spans="1:85" ht="15">
      <c r="A84" s="844"/>
      <c r="D84" s="816" t="str">
        <f>IF(I84=Table!$C$1,VLOOKUP(G84,Table!$B$38:$AO$61,Table!$AO$35-1,FALSE),"")</f>
        <v/>
      </c>
      <c r="E84" s="816" t="s">
        <v>32</v>
      </c>
      <c r="F84" s="816" t="str">
        <f>IF(I84="","",IF(I84=Table!$C$1,VLOOKUP(G84,Table!$B$9:$AE$32,Table!$AE$6-1,FALSE),""))</f>
        <v/>
      </c>
      <c r="G84" s="230"/>
      <c r="H84" s="230"/>
      <c r="I84" s="230"/>
      <c r="J84" s="230"/>
      <c r="K84" s="230"/>
      <c r="L84" s="816" t="str">
        <f t="shared" si="67"/>
        <v/>
      </c>
      <c r="M84" s="816" t="str">
        <f t="shared" si="68"/>
        <v/>
      </c>
      <c r="N84" s="816" t="str">
        <f t="shared" si="69"/>
        <v/>
      </c>
      <c r="R84" s="816" t="str">
        <f t="shared" si="70"/>
        <v/>
      </c>
      <c r="T84" s="829" t="str">
        <f t="shared" si="71"/>
        <v/>
      </c>
      <c r="U84" s="829"/>
      <c r="V84" s="829"/>
      <c r="W84" s="829"/>
      <c r="X84" s="829"/>
      <c r="Y84" s="829"/>
      <c r="Z84" s="829"/>
      <c r="AA84" s="829"/>
      <c r="AB84" s="829"/>
      <c r="AC84" s="829"/>
      <c r="AD84" s="816" t="str">
        <f t="array" ref="AD84">IF($J84="","",IF(SUM(IF(ISNUMBER(VALUE(RIGHT($AG84:$CL84,1))),VALUE(RIGHT($AG84:$CL84,1)),0))=$J84,"T","F"))</f>
        <v/>
      </c>
      <c r="AE84" s="831" t="str">
        <f t="array" ref="AE84">IF($J84="","",SUM(IF(LEFT($AG84:$DX84,1)="s",1,0))-SUM(IF(RIGHT(LEFT($AG84:$DX84,2))="-",1,0)))</f>
        <v/>
      </c>
      <c r="AF84" s="816" t="str">
        <f t="array" ref="AF84">IF($J84="","",SUM(IF(LEFT($AG84:$DD84,1)="X",1,0)))</f>
        <v/>
      </c>
      <c r="AG84" s="897"/>
      <c r="AH84" s="897"/>
      <c r="AI84" s="897"/>
      <c r="AJ84" s="897"/>
      <c r="AK84" s="893"/>
      <c r="AL84" s="897"/>
      <c r="AM84" s="897"/>
      <c r="AN84" s="897"/>
      <c r="AO84" s="897"/>
      <c r="AP84" s="897"/>
      <c r="AQ84" s="897"/>
      <c r="AR84" s="897"/>
      <c r="AS84" s="897"/>
      <c r="AT84" s="897"/>
      <c r="AU84" s="897"/>
      <c r="AV84" s="897"/>
      <c r="AW84" s="897"/>
      <c r="AX84" s="897"/>
      <c r="AY84" s="897"/>
      <c r="AZ84" s="897"/>
      <c r="BA84" s="897"/>
      <c r="BB84" s="897"/>
      <c r="BC84" s="897"/>
      <c r="BD84" s="897"/>
      <c r="BE84" s="897"/>
      <c r="BF84" s="893"/>
      <c r="BG84" s="893"/>
      <c r="BH84" s="893"/>
      <c r="BI84" s="893"/>
      <c r="BJ84" s="893"/>
      <c r="BK84" s="893"/>
      <c r="BL84" s="897"/>
      <c r="BM84" s="897"/>
      <c r="BN84" s="897"/>
      <c r="BO84" s="897"/>
      <c r="BP84" s="897"/>
      <c r="BQ84" s="893"/>
      <c r="BR84" s="897"/>
      <c r="BS84" s="893"/>
      <c r="BT84" s="897"/>
      <c r="BU84" s="897"/>
      <c r="BV84" s="897"/>
      <c r="BW84" s="897"/>
      <c r="BX84" s="897"/>
      <c r="BY84" s="897"/>
      <c r="BZ84" s="897"/>
      <c r="CA84" s="897"/>
      <c r="CB84" s="897"/>
      <c r="CC84" s="897"/>
      <c r="CD84" s="897"/>
      <c r="CE84" s="897"/>
      <c r="CF84" s="897"/>
      <c r="CG84" s="897"/>
    </row>
    <row r="85" spans="1:85" ht="15">
      <c r="A85" s="844"/>
      <c r="D85" s="816" t="str">
        <f>IF(I85=Table!$C$1,VLOOKUP(G85,Table!$B$38:$AO$61,Table!$AO$35-1,FALSE),"")</f>
        <v/>
      </c>
      <c r="E85" s="816" t="s">
        <v>32</v>
      </c>
      <c r="F85" s="816" t="str">
        <f>IF(I85="","",IF(I85=Table!$C$1,VLOOKUP(G85,Table!$B$9:$AE$32,Table!$AE$6-1,FALSE),""))</f>
        <v/>
      </c>
      <c r="G85" s="230"/>
      <c r="H85" s="230"/>
      <c r="I85" s="230"/>
      <c r="J85" s="230"/>
      <c r="K85" s="230"/>
      <c r="L85" s="816" t="str">
        <f t="shared" si="67"/>
        <v/>
      </c>
      <c r="M85" s="816" t="str">
        <f t="shared" si="68"/>
        <v/>
      </c>
      <c r="N85" s="816" t="str">
        <f t="shared" si="69"/>
        <v/>
      </c>
      <c r="R85" s="816" t="str">
        <f t="shared" si="70"/>
        <v/>
      </c>
      <c r="T85" s="829" t="str">
        <f t="shared" si="71"/>
        <v/>
      </c>
      <c r="U85" s="829"/>
      <c r="V85" s="829"/>
      <c r="W85" s="829"/>
      <c r="X85" s="829"/>
      <c r="Y85" s="829"/>
      <c r="Z85" s="829"/>
      <c r="AA85" s="829"/>
      <c r="AB85" s="829"/>
      <c r="AC85" s="829"/>
      <c r="AD85" s="816" t="str">
        <f t="array" ref="AD85">IF($J85="","",IF(SUM(IF(ISNUMBER(VALUE(RIGHT($AG85:$CL85,1))),VALUE(RIGHT($AG85:$CL85,1)),0))=$J85,"T","F"))</f>
        <v/>
      </c>
      <c r="AE85" s="831" t="str">
        <f t="array" ref="AE85">IF($J85="","",SUM(IF(LEFT($AG85:$DX85,1)="s",1,0))-SUM(IF(RIGHT(LEFT($AG85:$DX85,2))="-",1,0)))</f>
        <v/>
      </c>
      <c r="AF85" s="816" t="str">
        <f t="array" ref="AF85">IF($J85="","",SUM(IF(LEFT($AG85:$DD85,1)="X",1,0)))</f>
        <v/>
      </c>
      <c r="AG85" s="897"/>
      <c r="AH85" s="897"/>
      <c r="AI85" s="897"/>
      <c r="AJ85" s="897"/>
      <c r="AK85" s="893"/>
      <c r="AL85" s="897"/>
      <c r="AM85" s="897"/>
      <c r="AN85" s="897"/>
      <c r="AO85" s="897"/>
      <c r="AP85" s="897"/>
      <c r="AQ85" s="897"/>
      <c r="AR85" s="897"/>
      <c r="AS85" s="897"/>
      <c r="AT85" s="897"/>
      <c r="AU85" s="897"/>
      <c r="AV85" s="897"/>
      <c r="AW85" s="897"/>
      <c r="AX85" s="897"/>
      <c r="AY85" s="897"/>
      <c r="AZ85" s="897"/>
      <c r="BA85" s="897"/>
      <c r="BB85" s="897"/>
      <c r="BC85" s="897"/>
      <c r="BD85" s="897"/>
      <c r="BE85" s="897"/>
      <c r="BF85" s="893"/>
      <c r="BG85" s="893"/>
      <c r="BH85" s="893"/>
      <c r="BI85" s="893"/>
      <c r="BJ85" s="893"/>
      <c r="BK85" s="893"/>
      <c r="BL85" s="897"/>
      <c r="BM85" s="897"/>
      <c r="BN85" s="897"/>
      <c r="BO85" s="897"/>
      <c r="BP85" s="897"/>
      <c r="BQ85" s="893"/>
      <c r="BR85" s="897"/>
      <c r="BS85" s="893"/>
      <c r="BT85" s="897"/>
      <c r="BU85" s="897"/>
      <c r="BV85" s="897"/>
      <c r="BW85" s="897"/>
      <c r="BX85" s="897"/>
      <c r="BY85" s="897"/>
      <c r="BZ85" s="897"/>
      <c r="CA85" s="897"/>
      <c r="CB85" s="897"/>
      <c r="CC85" s="897"/>
      <c r="CD85" s="897"/>
      <c r="CE85" s="897"/>
      <c r="CF85" s="897"/>
      <c r="CG85" s="897"/>
    </row>
    <row r="86" spans="1:85" ht="15">
      <c r="A86" s="844"/>
      <c r="D86" s="816" t="str">
        <f>IF(I86=Table!$C$1,VLOOKUP(G86,Table!$B$38:$AO$61,Table!$AO$35-1,FALSE),"")</f>
        <v/>
      </c>
      <c r="E86" s="816" t="s">
        <v>32</v>
      </c>
      <c r="F86" s="816" t="str">
        <f>IF(I86="","",IF(I86=Table!$C$1,VLOOKUP(G86,Table!$B$9:$AE$32,Table!$AE$6-1,FALSE),""))</f>
        <v/>
      </c>
      <c r="G86" s="230"/>
      <c r="H86" s="230"/>
      <c r="I86" s="230"/>
      <c r="J86" s="230"/>
      <c r="K86" s="230"/>
      <c r="L86" s="816" t="str">
        <f t="shared" si="67"/>
        <v/>
      </c>
      <c r="M86" s="816" t="str">
        <f t="shared" si="68"/>
        <v/>
      </c>
      <c r="N86" s="816" t="str">
        <f t="shared" si="69"/>
        <v/>
      </c>
      <c r="R86" s="816" t="str">
        <f t="shared" si="70"/>
        <v/>
      </c>
      <c r="T86" s="829" t="str">
        <f t="shared" si="71"/>
        <v/>
      </c>
      <c r="U86" s="829"/>
      <c r="V86" s="829"/>
      <c r="W86" s="829"/>
      <c r="X86" s="829"/>
      <c r="Y86" s="829"/>
      <c r="Z86" s="829"/>
      <c r="AA86" s="829"/>
      <c r="AB86" s="829"/>
      <c r="AC86" s="829"/>
      <c r="AD86" s="816" t="str">
        <f t="array" ref="AD86">IF($J86="","",IF(SUM(IF(ISNUMBER(VALUE(RIGHT($AG86:$CL86,1))),VALUE(RIGHT($AG86:$CL86,1)),0))=$J86,"T","F"))</f>
        <v/>
      </c>
      <c r="AE86" s="831" t="str">
        <f t="array" ref="AE86">IF($J86="","",SUM(IF(LEFT($AG86:$DX86,1)="s",1,0))-SUM(IF(RIGHT(LEFT($AG86:$DX86,2))="-",1,0)))</f>
        <v/>
      </c>
      <c r="AF86" s="816" t="str">
        <f t="array" ref="AF86">IF($J86="","",SUM(IF(LEFT($AG86:$DD86,1)="X",1,0)))</f>
        <v/>
      </c>
      <c r="AG86" s="897"/>
      <c r="AH86" s="897"/>
      <c r="AI86" s="897"/>
      <c r="AJ86" s="897"/>
      <c r="AK86" s="893"/>
      <c r="AL86" s="897"/>
      <c r="AM86" s="897"/>
      <c r="AN86" s="897"/>
      <c r="AO86" s="897"/>
      <c r="AP86" s="897"/>
      <c r="AQ86" s="897"/>
      <c r="AR86" s="897"/>
      <c r="AS86" s="897"/>
      <c r="AT86" s="897"/>
      <c r="AU86" s="897"/>
      <c r="AV86" s="897"/>
      <c r="AW86" s="897"/>
      <c r="AX86" s="897"/>
      <c r="AY86" s="897"/>
      <c r="AZ86" s="897"/>
      <c r="BA86" s="897"/>
      <c r="BB86" s="897"/>
      <c r="BC86" s="897"/>
      <c r="BD86" s="897"/>
      <c r="BE86" s="897"/>
      <c r="BF86" s="893"/>
      <c r="BG86" s="893"/>
      <c r="BH86" s="893"/>
      <c r="BI86" s="893"/>
      <c r="BJ86" s="893"/>
      <c r="BK86" s="893"/>
      <c r="BL86" s="897"/>
      <c r="BM86" s="897"/>
      <c r="BN86" s="897"/>
      <c r="BO86" s="897"/>
      <c r="BP86" s="897"/>
      <c r="BQ86" s="893"/>
      <c r="BR86" s="897"/>
      <c r="BS86" s="893"/>
      <c r="BT86" s="897"/>
      <c r="BU86" s="897"/>
      <c r="BV86" s="897"/>
      <c r="BW86" s="897"/>
      <c r="BX86" s="897"/>
      <c r="BY86" s="897"/>
      <c r="BZ86" s="897"/>
      <c r="CA86" s="897"/>
      <c r="CB86" s="897"/>
      <c r="CC86" s="897"/>
      <c r="CD86" s="897"/>
      <c r="CE86" s="897"/>
      <c r="CF86" s="897"/>
      <c r="CG86" s="897"/>
    </row>
    <row r="87" spans="1:85" ht="15">
      <c r="A87" s="844"/>
      <c r="D87" s="816" t="str">
        <f>IF(I87=Table!$C$1,VLOOKUP(G87,Table!$B$38:$AO$61,Table!$AO$35-1,FALSE),"")</f>
        <v/>
      </c>
      <c r="E87" s="816" t="s">
        <v>32</v>
      </c>
      <c r="F87" s="816" t="str">
        <f>IF(I87="","",IF(I87=Table!$C$1,VLOOKUP(G87,Table!$B$9:$AE$32,Table!$AE$6-1,FALSE),""))</f>
        <v/>
      </c>
      <c r="G87" s="787"/>
      <c r="H87" s="833"/>
      <c r="I87" s="833"/>
      <c r="J87" s="833"/>
      <c r="K87" s="833"/>
      <c r="L87" s="816" t="str">
        <f t="shared" si="67"/>
        <v/>
      </c>
      <c r="M87" s="816" t="str">
        <f t="shared" si="68"/>
        <v/>
      </c>
      <c r="N87" s="816" t="str">
        <f t="shared" si="69"/>
        <v/>
      </c>
      <c r="R87" s="816" t="str">
        <f t="shared" si="70"/>
        <v/>
      </c>
      <c r="T87" s="829" t="str">
        <f t="shared" si="71"/>
        <v/>
      </c>
      <c r="U87" s="829"/>
      <c r="V87" s="829"/>
      <c r="W87" s="829"/>
      <c r="X87" s="829"/>
      <c r="Y87" s="829"/>
      <c r="Z87" s="829"/>
      <c r="AA87" s="829"/>
      <c r="AB87" s="829"/>
      <c r="AC87" s="829"/>
      <c r="AD87" s="816" t="str">
        <f t="array" ref="AD87">IF($J87="","",IF(SUM(IF(ISNUMBER(VALUE(RIGHT($AG87:$CL87,1))),VALUE(RIGHT($AG87:$CL87,1)),0))=$J87,"T","F"))</f>
        <v/>
      </c>
      <c r="AE87" s="831" t="str">
        <f t="array" ref="AE87">IF($J87="","",SUM(IF(LEFT($AG87:$DX87,1)="s",1,0))-SUM(IF(RIGHT(LEFT($AG87:$DX87,2))="-",1,0)))</f>
        <v/>
      </c>
      <c r="AF87" s="816" t="str">
        <f t="array" ref="AF87">IF($J87="","",SUM(IF(LEFT($AG87:$DD87,1)="X",1,0)))</f>
        <v/>
      </c>
      <c r="AG87" s="897"/>
      <c r="AH87" s="897"/>
      <c r="AI87" s="897"/>
      <c r="AJ87" s="897"/>
      <c r="AK87" s="893"/>
      <c r="AL87" s="897"/>
      <c r="AM87" s="897"/>
      <c r="AN87" s="897"/>
      <c r="AO87" s="897"/>
      <c r="AP87" s="897"/>
      <c r="AQ87" s="897"/>
      <c r="AR87" s="897"/>
      <c r="AS87" s="897"/>
      <c r="AT87" s="897"/>
      <c r="AU87" s="897"/>
      <c r="AV87" s="897"/>
      <c r="AW87" s="897"/>
      <c r="AX87" s="897"/>
      <c r="AY87" s="897"/>
      <c r="AZ87" s="897"/>
      <c r="BA87" s="897"/>
      <c r="BB87" s="897"/>
      <c r="BC87" s="897"/>
      <c r="BD87" s="897"/>
      <c r="BE87" s="897"/>
      <c r="BF87" s="893"/>
      <c r="BG87" s="893"/>
      <c r="BH87" s="893"/>
      <c r="BI87" s="893"/>
      <c r="BJ87" s="893"/>
      <c r="BK87" s="893"/>
      <c r="BL87" s="897"/>
      <c r="BM87" s="897"/>
      <c r="BN87" s="897"/>
      <c r="BO87" s="897"/>
      <c r="BP87" s="897"/>
      <c r="BQ87" s="893"/>
      <c r="BR87" s="897"/>
      <c r="BS87" s="893"/>
      <c r="BT87" s="897"/>
      <c r="BU87" s="897"/>
      <c r="BV87" s="897"/>
      <c r="BW87" s="897"/>
      <c r="BX87" s="897"/>
      <c r="BY87" s="897"/>
      <c r="BZ87" s="897"/>
      <c r="CA87" s="897"/>
      <c r="CB87" s="897"/>
      <c r="CC87" s="897"/>
      <c r="CD87" s="897"/>
      <c r="CE87" s="897"/>
      <c r="CF87" s="897"/>
      <c r="CG87" s="897"/>
    </row>
    <row r="88" spans="1:85" ht="15">
      <c r="A88" s="845"/>
      <c r="D88" s="816" t="str">
        <f>IF(I88=Table!$C$1,VLOOKUP(G88,Table!$B$38:$AO$61,Table!$AO$35-1,FALSE),"")</f>
        <v/>
      </c>
      <c r="E88" s="816" t="s">
        <v>32</v>
      </c>
      <c r="F88" s="816" t="str">
        <f>IF(I88="","",IF(I88=Table!$C$1,VLOOKUP(G88,Table!$B$9:$AE$32,Table!$AE$6-1,FALSE),""))</f>
        <v/>
      </c>
      <c r="G88" s="833"/>
      <c r="H88" s="833"/>
      <c r="I88" s="833"/>
      <c r="J88" s="833"/>
      <c r="K88" s="833"/>
      <c r="L88" s="816" t="str">
        <f t="shared" si="67"/>
        <v/>
      </c>
      <c r="M88" s="816" t="str">
        <f t="shared" si="68"/>
        <v/>
      </c>
      <c r="N88" s="816" t="str">
        <f t="shared" si="69"/>
        <v/>
      </c>
      <c r="R88" s="816" t="str">
        <f t="shared" si="70"/>
        <v/>
      </c>
      <c r="T88" s="829" t="str">
        <f t="shared" si="71"/>
        <v/>
      </c>
      <c r="U88" s="829"/>
      <c r="V88" s="829"/>
      <c r="W88" s="829"/>
      <c r="X88" s="829"/>
      <c r="Y88" s="829"/>
      <c r="Z88" s="829"/>
      <c r="AA88" s="829"/>
      <c r="AB88" s="829"/>
      <c r="AC88" s="829"/>
      <c r="AD88" s="816" t="str">
        <f t="array" ref="AD88">IF($J88="","",IF(SUM(IF(ISNUMBER(VALUE(RIGHT($AG88:$CL88,1))),VALUE(RIGHT($AG88:$CL88,1)),0))=$J88,"T","F"))</f>
        <v/>
      </c>
      <c r="AE88" s="831" t="str">
        <f t="array" ref="AE88">IF($J88="","",SUM(IF(LEFT($AG88:$DX88,1)="s",1,0))-SUM(IF(RIGHT(LEFT($AG88:$DX88,2))="-",1,0)))</f>
        <v/>
      </c>
      <c r="AF88" s="816" t="str">
        <f t="array" ref="AF88">IF($J88="","",SUM(IF(LEFT($AG88:$DD88,1)="X",1,0)))</f>
        <v/>
      </c>
      <c r="AG88" s="897"/>
      <c r="AH88" s="897"/>
      <c r="AI88" s="897"/>
      <c r="AJ88" s="897"/>
      <c r="AK88" s="893"/>
      <c r="AL88" s="897"/>
      <c r="AM88" s="897"/>
      <c r="AN88" s="897"/>
      <c r="AO88" s="897"/>
      <c r="AP88" s="897"/>
      <c r="AQ88" s="897"/>
      <c r="AR88" s="897"/>
      <c r="AS88" s="897"/>
      <c r="AT88" s="897"/>
      <c r="AU88" s="897"/>
      <c r="AV88" s="897"/>
      <c r="AW88" s="897"/>
      <c r="AX88" s="897"/>
      <c r="AY88" s="897"/>
      <c r="AZ88" s="897"/>
      <c r="BA88" s="897"/>
      <c r="BB88" s="897"/>
      <c r="BC88" s="897"/>
      <c r="BD88" s="897"/>
      <c r="BE88" s="897"/>
      <c r="BF88" s="893"/>
      <c r="BG88" s="893"/>
      <c r="BH88" s="893"/>
      <c r="BI88" s="893"/>
      <c r="BJ88" s="893"/>
      <c r="BK88" s="893"/>
      <c r="BL88" s="897"/>
      <c r="BM88" s="897"/>
      <c r="BN88" s="897"/>
      <c r="BO88" s="897"/>
      <c r="BP88" s="897"/>
      <c r="BQ88" s="893"/>
      <c r="BR88" s="897"/>
      <c r="BS88" s="893"/>
      <c r="BT88" s="897"/>
      <c r="BU88" s="897"/>
      <c r="BV88" s="897"/>
      <c r="BW88" s="897"/>
      <c r="BX88" s="897"/>
      <c r="BY88" s="897"/>
      <c r="BZ88" s="897"/>
      <c r="CA88" s="897"/>
      <c r="CB88" s="897"/>
      <c r="CC88" s="897"/>
      <c r="CD88" s="897"/>
      <c r="CE88" s="897"/>
      <c r="CF88" s="897"/>
      <c r="CG88" s="897"/>
    </row>
    <row r="89" spans="1:85" ht="15">
      <c r="A89" s="845"/>
      <c r="D89" s="816" t="str">
        <f>IF(I89=Table!$C$1,VLOOKUP(G89,Table!$B$38:$AO$61,Table!$AO$35-1,FALSE),"")</f>
        <v/>
      </c>
      <c r="E89" s="816" t="s">
        <v>32</v>
      </c>
      <c r="F89" s="816" t="str">
        <f>IF(I89="","",IF(I89=Table!$C$1,VLOOKUP(G89,Table!$B$9:$AE$32,Table!$AE$6-1,FALSE),""))</f>
        <v/>
      </c>
      <c r="G89" s="833"/>
      <c r="H89" s="833"/>
      <c r="I89" s="833"/>
      <c r="J89" s="833"/>
      <c r="K89" s="833"/>
      <c r="L89" s="816" t="str">
        <f t="shared" si="67"/>
        <v/>
      </c>
      <c r="M89" s="816" t="str">
        <f t="shared" si="68"/>
        <v/>
      </c>
      <c r="N89" s="816" t="str">
        <f t="shared" si="69"/>
        <v/>
      </c>
      <c r="R89" s="816" t="str">
        <f t="shared" si="70"/>
        <v/>
      </c>
      <c r="T89" s="829" t="str">
        <f t="shared" si="71"/>
        <v/>
      </c>
      <c r="U89" s="829"/>
      <c r="V89" s="829"/>
      <c r="W89" s="829"/>
      <c r="X89" s="829"/>
      <c r="Y89" s="829"/>
      <c r="Z89" s="829"/>
      <c r="AA89" s="829"/>
      <c r="AB89" s="829"/>
      <c r="AC89" s="829"/>
      <c r="AD89" s="816" t="str">
        <f t="array" ref="AD89">IF($J89="","",IF(SUM(IF(ISNUMBER(VALUE(RIGHT($AG89:$CL89,1))),VALUE(RIGHT($AG89:$CL89,1)),0))=$J89,"T","F"))</f>
        <v/>
      </c>
      <c r="AE89" s="831" t="str">
        <f t="array" ref="AE89">IF($J89="","",SUM(IF(LEFT($AG89:$DX89,1)="s",1,0))-SUM(IF(RIGHT(LEFT($AG89:$DX89,2))="-",1,0)))</f>
        <v/>
      </c>
      <c r="AF89" s="816" t="str">
        <f t="array" ref="AF89">IF($J89="","",SUM(IF(LEFT($AG89:$DD89,1)="X",1,0)))</f>
        <v/>
      </c>
      <c r="AG89" s="897"/>
      <c r="AH89" s="897"/>
      <c r="AI89" s="897"/>
      <c r="AJ89" s="897"/>
      <c r="AK89" s="893"/>
      <c r="AL89" s="897"/>
      <c r="AM89" s="897"/>
      <c r="AN89" s="897"/>
      <c r="AO89" s="897"/>
      <c r="AP89" s="897"/>
      <c r="AQ89" s="897"/>
      <c r="AR89" s="897"/>
      <c r="AS89" s="897"/>
      <c r="AT89" s="897"/>
      <c r="AU89" s="897"/>
      <c r="AV89" s="897"/>
      <c r="AW89" s="897"/>
      <c r="AX89" s="897"/>
      <c r="AY89" s="897"/>
      <c r="AZ89" s="897"/>
      <c r="BA89" s="897"/>
      <c r="BB89" s="897"/>
      <c r="BC89" s="897"/>
      <c r="BD89" s="897"/>
      <c r="BE89" s="897"/>
      <c r="BF89" s="893"/>
      <c r="BG89" s="893"/>
      <c r="BH89" s="893"/>
      <c r="BI89" s="893"/>
      <c r="BJ89" s="893"/>
      <c r="BK89" s="893"/>
      <c r="BL89" s="897"/>
      <c r="BM89" s="897"/>
      <c r="BN89" s="897"/>
      <c r="BO89" s="897"/>
      <c r="BP89" s="897"/>
      <c r="BQ89" s="893"/>
      <c r="BR89" s="897"/>
      <c r="BS89" s="893"/>
      <c r="BT89" s="897"/>
      <c r="BU89" s="897"/>
      <c r="BV89" s="897"/>
      <c r="BW89" s="897"/>
      <c r="BX89" s="897"/>
      <c r="BY89" s="897"/>
      <c r="BZ89" s="897"/>
      <c r="CA89" s="897"/>
      <c r="CB89" s="897"/>
      <c r="CC89" s="897"/>
      <c r="CD89" s="897"/>
      <c r="CE89" s="897"/>
      <c r="CF89" s="897"/>
      <c r="CG89" s="897"/>
    </row>
    <row r="90" spans="1:85" ht="15">
      <c r="A90" s="845"/>
      <c r="D90" s="816" t="str">
        <f>IF(I90=Table!$C$1,VLOOKUP(G90,Table!$B$38:$AO$61,Table!$AO$35-1,FALSE),"")</f>
        <v/>
      </c>
      <c r="E90" s="816" t="s">
        <v>32</v>
      </c>
      <c r="F90" s="816" t="str">
        <f>IF(I90="","",IF(I90=Table!$C$1,VLOOKUP(G90,Table!$B$9:$AE$32,Table!$AE$6-1,FALSE),""))</f>
        <v/>
      </c>
      <c r="G90" s="833"/>
      <c r="H90" s="833"/>
      <c r="I90" s="833"/>
      <c r="J90" s="833"/>
      <c r="K90" s="833"/>
      <c r="L90" s="816" t="str">
        <f t="shared" si="67"/>
        <v/>
      </c>
      <c r="M90" s="816" t="str">
        <f t="shared" si="68"/>
        <v/>
      </c>
      <c r="N90" s="816" t="str">
        <f t="shared" si="69"/>
        <v/>
      </c>
      <c r="R90" s="816" t="str">
        <f t="shared" si="70"/>
        <v/>
      </c>
      <c r="T90" s="829" t="str">
        <f t="shared" si="71"/>
        <v/>
      </c>
      <c r="U90" s="829"/>
      <c r="V90" s="829"/>
      <c r="W90" s="829"/>
      <c r="X90" s="829"/>
      <c r="Y90" s="829"/>
      <c r="Z90" s="829"/>
      <c r="AA90" s="829"/>
      <c r="AB90" s="829"/>
      <c r="AC90" s="829"/>
      <c r="AD90" s="816" t="str">
        <f t="array" ref="AD90">IF($J90="","",IF(SUM(IF(ISNUMBER(VALUE(RIGHT($AG90:$CL90,1))),VALUE(RIGHT($AG90:$CL90,1)),0))=$J90,"T","F"))</f>
        <v/>
      </c>
      <c r="AE90" s="831" t="str">
        <f t="array" ref="AE90">IF($J90="","",SUM(IF(LEFT($AG90:$DX90,1)="s",1,0))-SUM(IF(RIGHT(LEFT($AG90:$DX90,2))="-",1,0)))</f>
        <v/>
      </c>
      <c r="AF90" s="816" t="str">
        <f t="array" ref="AF90">IF($J90="","",SUM(IF(LEFT($AG90:$DD90,1)="X",1,0)))</f>
        <v/>
      </c>
      <c r="AG90" s="897"/>
      <c r="AH90" s="897"/>
      <c r="AI90" s="897"/>
      <c r="AJ90" s="897"/>
      <c r="AK90" s="893"/>
      <c r="AL90" s="897"/>
      <c r="AM90" s="897"/>
      <c r="AN90" s="897"/>
      <c r="AO90" s="897"/>
      <c r="AP90" s="897"/>
      <c r="AQ90" s="897"/>
      <c r="AR90" s="897"/>
      <c r="AS90" s="897"/>
      <c r="AT90" s="897"/>
      <c r="AU90" s="897"/>
      <c r="AV90" s="897"/>
      <c r="AW90" s="897"/>
      <c r="AX90" s="897"/>
      <c r="AY90" s="897"/>
      <c r="AZ90" s="897"/>
      <c r="BA90" s="897"/>
      <c r="BB90" s="897"/>
      <c r="BC90" s="897"/>
      <c r="BD90" s="897"/>
      <c r="BE90" s="897"/>
      <c r="BF90" s="893"/>
      <c r="BG90" s="893"/>
      <c r="BH90" s="893"/>
      <c r="BI90" s="893"/>
      <c r="BJ90" s="893"/>
      <c r="BK90" s="893"/>
      <c r="BL90" s="897"/>
      <c r="BM90" s="897"/>
      <c r="BN90" s="897"/>
      <c r="BO90" s="897"/>
      <c r="BP90" s="897"/>
      <c r="BQ90" s="893"/>
      <c r="BR90" s="897"/>
      <c r="BS90" s="893"/>
      <c r="BT90" s="897"/>
      <c r="BU90" s="897"/>
      <c r="BV90" s="897"/>
      <c r="BW90" s="897"/>
      <c r="BX90" s="897"/>
      <c r="BY90" s="897"/>
      <c r="BZ90" s="897"/>
      <c r="CA90" s="897"/>
      <c r="CB90" s="897"/>
      <c r="CC90" s="897"/>
      <c r="CD90" s="897"/>
      <c r="CE90" s="897"/>
      <c r="CF90" s="897"/>
      <c r="CG90" s="897"/>
    </row>
    <row r="91" spans="1:85" ht="15">
      <c r="A91" s="845"/>
      <c r="D91" s="816" t="str">
        <f>IF(I91=Table!$C$1,VLOOKUP(G91,Table!$B$38:$AO$61,Table!$AO$35-1,FALSE),"")</f>
        <v/>
      </c>
      <c r="E91" s="816" t="s">
        <v>32</v>
      </c>
      <c r="F91" s="816" t="str">
        <f>IF(I91="","",IF(I91=Table!$C$1,VLOOKUP(G91,Table!$B$9:$AE$32,Table!$AE$6-1,FALSE),""))</f>
        <v/>
      </c>
      <c r="G91" s="833"/>
      <c r="H91" s="833"/>
      <c r="I91" s="833"/>
      <c r="J91" s="833"/>
      <c r="K91" s="833"/>
      <c r="L91" s="816" t="str">
        <f t="shared" si="67"/>
        <v/>
      </c>
      <c r="M91" s="816" t="str">
        <f t="shared" si="68"/>
        <v/>
      </c>
      <c r="N91" s="816" t="str">
        <f t="shared" si="69"/>
        <v/>
      </c>
      <c r="R91" s="816" t="str">
        <f t="shared" si="70"/>
        <v/>
      </c>
      <c r="T91" s="829" t="str">
        <f t="shared" si="71"/>
        <v/>
      </c>
      <c r="U91" s="829"/>
      <c r="V91" s="829"/>
      <c r="W91" s="829"/>
      <c r="X91" s="829"/>
      <c r="Y91" s="829"/>
      <c r="Z91" s="829"/>
      <c r="AA91" s="829"/>
      <c r="AB91" s="829"/>
      <c r="AC91" s="829"/>
      <c r="AD91" s="816" t="str">
        <f t="array" ref="AD91">IF($J91="","",IF(SUM(IF(ISNUMBER(VALUE(RIGHT($AG91:$CL91,1))),VALUE(RIGHT($AG91:$CL91,1)),0))=$J91,"T","F"))</f>
        <v/>
      </c>
      <c r="AE91" s="831" t="str">
        <f t="array" ref="AE91">IF($J91="","",SUM(IF(LEFT($AG91:$DX91,1)="s",1,0))-SUM(IF(RIGHT(LEFT($AG91:$DX91,2))="-",1,0)))</f>
        <v/>
      </c>
      <c r="AF91" s="816" t="str">
        <f t="array" ref="AF91">IF($J91="","",SUM(IF(LEFT($AG91:$DD91,1)="X",1,0)))</f>
        <v/>
      </c>
      <c r="AG91" s="897"/>
      <c r="AH91" s="897"/>
      <c r="AI91" s="897"/>
      <c r="AJ91" s="897"/>
      <c r="AK91" s="893"/>
      <c r="AL91" s="897"/>
      <c r="AM91" s="897"/>
      <c r="AN91" s="897"/>
      <c r="AO91" s="897"/>
      <c r="AP91" s="897"/>
      <c r="AQ91" s="897"/>
      <c r="AR91" s="897"/>
      <c r="AS91" s="897"/>
      <c r="AT91" s="897"/>
      <c r="AU91" s="897"/>
      <c r="AV91" s="897"/>
      <c r="AW91" s="897"/>
      <c r="AX91" s="897"/>
      <c r="AY91" s="897"/>
      <c r="AZ91" s="897"/>
      <c r="BA91" s="897"/>
      <c r="BB91" s="897"/>
      <c r="BC91" s="897"/>
      <c r="BD91" s="897"/>
      <c r="BE91" s="897"/>
      <c r="BF91" s="893"/>
      <c r="BG91" s="893"/>
      <c r="BH91" s="893"/>
      <c r="BI91" s="893"/>
      <c r="BJ91" s="893"/>
      <c r="BK91" s="893"/>
      <c r="BL91" s="897"/>
      <c r="BM91" s="897"/>
      <c r="BN91" s="897"/>
      <c r="BO91" s="897"/>
      <c r="BP91" s="897"/>
      <c r="BQ91" s="893"/>
      <c r="BR91" s="897"/>
      <c r="BS91" s="893"/>
      <c r="BT91" s="897"/>
      <c r="BU91" s="897"/>
      <c r="BV91" s="897"/>
      <c r="BW91" s="897"/>
      <c r="BX91" s="897"/>
      <c r="BY91" s="897"/>
      <c r="BZ91" s="897"/>
      <c r="CA91" s="897"/>
      <c r="CB91" s="897"/>
      <c r="CC91" s="897"/>
      <c r="CD91" s="897"/>
      <c r="CE91" s="897"/>
      <c r="CF91" s="897"/>
      <c r="CG91" s="897"/>
    </row>
    <row r="92" spans="1:85" ht="15">
      <c r="A92" s="845"/>
      <c r="D92" s="816" t="str">
        <f>IF(I92=Table!$C$1,VLOOKUP(G92,Table!$B$38:$AO$61,Table!$AO$35-1,FALSE),"")</f>
        <v/>
      </c>
      <c r="E92" s="816" t="s">
        <v>32</v>
      </c>
      <c r="F92" s="816" t="str">
        <f>IF(I92="","",IF(I92=Table!$C$1,VLOOKUP(G92,Table!$B$9:$AE$32,Table!$AE$6-1,FALSE),""))</f>
        <v/>
      </c>
      <c r="G92" s="833"/>
      <c r="H92" s="833"/>
      <c r="I92" s="833"/>
      <c r="J92" s="833"/>
      <c r="K92" s="833"/>
      <c r="L92" s="816" t="str">
        <f t="shared" si="67"/>
        <v/>
      </c>
      <c r="M92" s="816" t="str">
        <f t="shared" si="68"/>
        <v/>
      </c>
      <c r="N92" s="816" t="str">
        <f t="shared" si="69"/>
        <v/>
      </c>
      <c r="R92" s="816" t="str">
        <f t="shared" si="70"/>
        <v/>
      </c>
      <c r="T92" s="829" t="str">
        <f t="shared" si="71"/>
        <v/>
      </c>
      <c r="U92" s="829"/>
      <c r="V92" s="829"/>
      <c r="W92" s="829"/>
      <c r="X92" s="829"/>
      <c r="Y92" s="829"/>
      <c r="Z92" s="829"/>
      <c r="AA92" s="829"/>
      <c r="AB92" s="829"/>
      <c r="AC92" s="829"/>
      <c r="AD92" s="816" t="str">
        <f t="array" ref="AD92">IF($J92="","",IF(SUM(IF(ISNUMBER(VALUE(RIGHT($AG92:$CL92,1))),VALUE(RIGHT($AG92:$CL92,1)),0))=$J92,"T","F"))</f>
        <v/>
      </c>
      <c r="AE92" s="831" t="str">
        <f t="array" ref="AE92">IF($J92="","",SUM(IF(LEFT($AG92:$DX92,1)="s",1,0))-SUM(IF(RIGHT(LEFT($AG92:$DX92,2))="-",1,0)))</f>
        <v/>
      </c>
      <c r="AF92" s="816" t="str">
        <f t="array" ref="AF92">IF($J92="","",SUM(IF(LEFT($AG92:$DD92,1)="X",1,0)))</f>
        <v/>
      </c>
      <c r="AG92" s="897"/>
      <c r="AH92" s="897"/>
      <c r="AI92" s="897"/>
      <c r="AJ92" s="897"/>
      <c r="AK92" s="893"/>
      <c r="AL92" s="897"/>
      <c r="AM92" s="897"/>
      <c r="AN92" s="897"/>
      <c r="AO92" s="897"/>
      <c r="AP92" s="897"/>
      <c r="AQ92" s="897"/>
      <c r="AR92" s="897"/>
      <c r="AS92" s="897"/>
      <c r="AT92" s="897"/>
      <c r="AU92" s="897"/>
      <c r="AV92" s="897"/>
      <c r="AW92" s="897"/>
      <c r="AX92" s="897"/>
      <c r="AY92" s="897"/>
      <c r="AZ92" s="897"/>
      <c r="BA92" s="897"/>
      <c r="BB92" s="897"/>
      <c r="BC92" s="897"/>
      <c r="BD92" s="897"/>
      <c r="BE92" s="897"/>
      <c r="BF92" s="893"/>
      <c r="BG92" s="893"/>
      <c r="BH92" s="893"/>
      <c r="BI92" s="893"/>
      <c r="BJ92" s="893"/>
      <c r="BK92" s="893"/>
      <c r="BL92" s="897"/>
      <c r="BM92" s="897"/>
      <c r="BN92" s="897"/>
      <c r="BO92" s="897"/>
      <c r="BP92" s="897"/>
      <c r="BQ92" s="893"/>
      <c r="BR92" s="897"/>
      <c r="BS92" s="893"/>
      <c r="BT92" s="897"/>
      <c r="BU92" s="897"/>
      <c r="BV92" s="897"/>
      <c r="BW92" s="897"/>
      <c r="BX92" s="897"/>
      <c r="BY92" s="897"/>
      <c r="BZ92" s="897"/>
      <c r="CA92" s="897"/>
      <c r="CB92" s="897"/>
      <c r="CC92" s="897"/>
      <c r="CD92" s="897"/>
      <c r="CE92" s="897"/>
      <c r="CF92" s="897"/>
      <c r="CG92" s="897"/>
    </row>
    <row r="93" spans="1:85" ht="15">
      <c r="A93" s="845"/>
      <c r="D93" s="816" t="str">
        <f>IF(I93=Table!$C$1,VLOOKUP(G93,Table!$B$38:$AO$61,Table!$AO$35-1,FALSE),"")</f>
        <v/>
      </c>
      <c r="E93" s="816" t="s">
        <v>32</v>
      </c>
      <c r="F93" s="816" t="str">
        <f>IF(I93="","",IF(I93=Table!$C$1,VLOOKUP(G93,Table!$B$9:$AE$32,Table!$AE$6-1,FALSE),""))</f>
        <v/>
      </c>
      <c r="G93" s="833"/>
      <c r="H93" s="833"/>
      <c r="I93" s="833"/>
      <c r="J93" s="833"/>
      <c r="K93" s="833"/>
      <c r="L93" s="816" t="str">
        <f t="shared" si="67"/>
        <v/>
      </c>
      <c r="M93" s="816" t="str">
        <f t="shared" si="68"/>
        <v/>
      </c>
      <c r="N93" s="816" t="str">
        <f t="shared" si="69"/>
        <v/>
      </c>
      <c r="R93" s="816" t="str">
        <f t="shared" si="70"/>
        <v/>
      </c>
      <c r="T93" s="829" t="str">
        <f t="shared" si="71"/>
        <v/>
      </c>
      <c r="U93" s="829"/>
      <c r="V93" s="829"/>
      <c r="W93" s="829"/>
      <c r="X93" s="829"/>
      <c r="Y93" s="829"/>
      <c r="Z93" s="829"/>
      <c r="AA93" s="829"/>
      <c r="AB93" s="829"/>
      <c r="AC93" s="829"/>
      <c r="AD93" s="816" t="str">
        <f t="array" ref="AD93">IF($J93="","",IF(SUM(IF(ISNUMBER(VALUE(RIGHT($AG93:$CL93,1))),VALUE(RIGHT($AG93:$CL93,1)),0))=$J93,"T","F"))</f>
        <v/>
      </c>
      <c r="AE93" s="831" t="str">
        <f t="array" ref="AE93">IF($J93="","",SUM(IF(LEFT($AG93:$DX93,1)="s",1,0))-SUM(IF(RIGHT(LEFT($AG93:$DX93,2))="-",1,0)))</f>
        <v/>
      </c>
      <c r="AF93" s="816" t="str">
        <f t="array" ref="AF93">IF($J93="","",SUM(IF(LEFT($AG93:$DD93,1)="X",1,0)))</f>
        <v/>
      </c>
      <c r="AG93" s="897"/>
      <c r="AH93" s="897"/>
      <c r="AI93" s="897"/>
      <c r="AJ93" s="897"/>
      <c r="AK93" s="893"/>
      <c r="AL93" s="897"/>
      <c r="AM93" s="897"/>
      <c r="AN93" s="897"/>
      <c r="AO93" s="897"/>
      <c r="AP93" s="897"/>
      <c r="AQ93" s="897"/>
      <c r="AR93" s="897"/>
      <c r="AS93" s="897"/>
      <c r="AT93" s="897"/>
      <c r="AU93" s="897"/>
      <c r="AV93" s="897"/>
      <c r="AW93" s="897"/>
      <c r="AX93" s="897"/>
      <c r="AY93" s="897"/>
      <c r="AZ93" s="897"/>
      <c r="BA93" s="897"/>
      <c r="BB93" s="897"/>
      <c r="BC93" s="897"/>
      <c r="BD93" s="897"/>
      <c r="BE93" s="897"/>
      <c r="BF93" s="893"/>
      <c r="BG93" s="893"/>
      <c r="BH93" s="893"/>
      <c r="BI93" s="893"/>
      <c r="BJ93" s="893"/>
      <c r="BK93" s="893"/>
      <c r="BL93" s="897"/>
      <c r="BM93" s="897"/>
      <c r="BN93" s="897"/>
      <c r="BO93" s="897"/>
      <c r="BP93" s="897"/>
      <c r="BQ93" s="893"/>
      <c r="BR93" s="897"/>
      <c r="BS93" s="893"/>
      <c r="BT93" s="897"/>
      <c r="BU93" s="897"/>
      <c r="BV93" s="897"/>
      <c r="BW93" s="897"/>
      <c r="BX93" s="897"/>
      <c r="BY93" s="897"/>
      <c r="BZ93" s="897"/>
      <c r="CA93" s="897"/>
      <c r="CB93" s="897"/>
      <c r="CC93" s="897"/>
      <c r="CD93" s="897"/>
      <c r="CE93" s="897"/>
      <c r="CF93" s="897"/>
      <c r="CG93" s="897"/>
    </row>
    <row r="94" spans="1:85" ht="15">
      <c r="A94" s="845"/>
      <c r="D94" s="816" t="str">
        <f>IF(I94=Table!$C$1,VLOOKUP(G94,Table!$B$38:$AO$61,Table!$AO$35-1,FALSE),"")</f>
        <v/>
      </c>
      <c r="E94" s="816" t="s">
        <v>32</v>
      </c>
      <c r="F94" s="816" t="str">
        <f>IF(I94="","",IF(I94=Table!$C$1,VLOOKUP(G94,Table!$B$9:$AE$32,Table!$AE$6-1,FALSE),""))</f>
        <v/>
      </c>
      <c r="G94" s="833"/>
      <c r="H94" s="833"/>
      <c r="I94" s="833"/>
      <c r="J94" s="833"/>
      <c r="K94" s="833"/>
      <c r="L94" s="816" t="str">
        <f t="shared" si="67"/>
        <v/>
      </c>
      <c r="M94" s="816" t="str">
        <f t="shared" si="68"/>
        <v/>
      </c>
      <c r="N94" s="816" t="str">
        <f t="shared" si="69"/>
        <v/>
      </c>
      <c r="R94" s="816" t="str">
        <f t="shared" si="70"/>
        <v/>
      </c>
      <c r="T94" s="829" t="str">
        <f t="shared" si="71"/>
        <v/>
      </c>
      <c r="U94" s="829"/>
      <c r="V94" s="829"/>
      <c r="W94" s="829"/>
      <c r="X94" s="829"/>
      <c r="Y94" s="829"/>
      <c r="Z94" s="829"/>
      <c r="AA94" s="829"/>
      <c r="AB94" s="829"/>
      <c r="AC94" s="829"/>
      <c r="AD94" s="816" t="str">
        <f t="array" ref="AD94">IF($J94="","",IF(SUM(IF(ISNUMBER(VALUE(RIGHT($AG94:$CL94,1))),VALUE(RIGHT($AG94:$CL94,1)),0))=$J94,"T","F"))</f>
        <v/>
      </c>
      <c r="AE94" s="831" t="str">
        <f t="array" ref="AE94">IF($J94="","",SUM(IF(LEFT($AG94:$DX94,1)="s",1,0))-SUM(IF(RIGHT(LEFT($AG94:$DX94,2))="-",1,0)))</f>
        <v/>
      </c>
      <c r="AF94" s="816" t="str">
        <f t="array" ref="AF94">IF($J94="","",SUM(IF(LEFT($AG94:$DD94,1)="X",1,0)))</f>
        <v/>
      </c>
      <c r="AG94" s="897"/>
      <c r="AH94" s="897"/>
      <c r="AI94" s="897"/>
      <c r="AJ94" s="897"/>
      <c r="AK94" s="893"/>
      <c r="AL94" s="897"/>
      <c r="AM94" s="897"/>
      <c r="AN94" s="897"/>
      <c r="AO94" s="897"/>
      <c r="AP94" s="897"/>
      <c r="AQ94" s="897"/>
      <c r="AR94" s="897"/>
      <c r="AS94" s="897"/>
      <c r="AT94" s="897"/>
      <c r="AU94" s="897"/>
      <c r="AV94" s="897"/>
      <c r="AW94" s="897"/>
      <c r="AX94" s="897"/>
      <c r="AY94" s="897"/>
      <c r="AZ94" s="897"/>
      <c r="BA94" s="897"/>
      <c r="BB94" s="897"/>
      <c r="BC94" s="897"/>
      <c r="BD94" s="897"/>
      <c r="BE94" s="897"/>
      <c r="BF94" s="893"/>
      <c r="BG94" s="893"/>
      <c r="BH94" s="893"/>
      <c r="BI94" s="893"/>
      <c r="BJ94" s="893"/>
      <c r="BK94" s="893"/>
      <c r="BL94" s="897"/>
      <c r="BM94" s="897"/>
      <c r="BN94" s="897"/>
      <c r="BO94" s="897"/>
      <c r="BP94" s="897"/>
      <c r="BQ94" s="893"/>
      <c r="BR94" s="897"/>
      <c r="BS94" s="893"/>
      <c r="BT94" s="897"/>
      <c r="BU94" s="897"/>
      <c r="BV94" s="897"/>
      <c r="BW94" s="897"/>
      <c r="BX94" s="897"/>
      <c r="BY94" s="897"/>
      <c r="BZ94" s="897"/>
      <c r="CA94" s="897"/>
      <c r="CB94" s="897"/>
      <c r="CC94" s="897"/>
      <c r="CD94" s="897"/>
      <c r="CE94" s="897"/>
      <c r="CF94" s="897"/>
      <c r="CG94" s="897"/>
    </row>
    <row r="95" spans="1:85" ht="15">
      <c r="A95" s="845"/>
      <c r="D95" s="816" t="str">
        <f>IF(I95=Table!$C$1,VLOOKUP(G95,Table!$B$38:$AO$61,Table!$AO$35-1,FALSE),"")</f>
        <v/>
      </c>
      <c r="E95" s="816" t="s">
        <v>32</v>
      </c>
      <c r="F95" s="816" t="str">
        <f>IF(I95="","",IF(I95=Table!$C$1,VLOOKUP(G95,Table!$B$9:$AE$32,Table!$AE$6-1,FALSE),""))</f>
        <v/>
      </c>
      <c r="G95" s="833"/>
      <c r="H95" s="833"/>
      <c r="I95" s="833"/>
      <c r="J95" s="833"/>
      <c r="K95" s="833"/>
      <c r="L95" s="816" t="str">
        <f t="shared" si="67"/>
        <v/>
      </c>
      <c r="M95" s="816" t="str">
        <f t="shared" si="68"/>
        <v/>
      </c>
      <c r="N95" s="816" t="str">
        <f t="shared" si="69"/>
        <v/>
      </c>
      <c r="R95" s="816" t="str">
        <f t="shared" si="70"/>
        <v/>
      </c>
      <c r="T95" s="829" t="str">
        <f t="shared" si="71"/>
        <v/>
      </c>
      <c r="U95" s="829"/>
      <c r="V95" s="829"/>
      <c r="W95" s="829"/>
      <c r="X95" s="829"/>
      <c r="Y95" s="829"/>
      <c r="Z95" s="829"/>
      <c r="AA95" s="829"/>
      <c r="AB95" s="829"/>
      <c r="AC95" s="829"/>
      <c r="AD95" s="816" t="str">
        <f t="array" ref="AD95">IF($J95="","",IF(SUM(IF(ISNUMBER(VALUE(RIGHT($AG95:$CL95,1))),VALUE(RIGHT($AG95:$CL95,1)),0))=$J95,"T","F"))</f>
        <v/>
      </c>
      <c r="AE95" s="831" t="str">
        <f t="array" ref="AE95">IF($J95="","",SUM(IF(LEFT($AG95:$DX95,1)="s",1,0))-SUM(IF(RIGHT(LEFT($AG95:$DX95,2))="-",1,0)))</f>
        <v/>
      </c>
      <c r="AF95" s="816" t="str">
        <f t="array" ref="AF95">IF($J95="","",SUM(IF(LEFT($AG95:$DD95,1)="X",1,0)))</f>
        <v/>
      </c>
      <c r="AG95" s="897"/>
      <c r="AH95" s="897"/>
      <c r="AI95" s="897"/>
      <c r="AJ95" s="897"/>
      <c r="AK95" s="893"/>
      <c r="AL95" s="897"/>
      <c r="AM95" s="897"/>
      <c r="AN95" s="897"/>
      <c r="AO95" s="897"/>
      <c r="AP95" s="897"/>
      <c r="AQ95" s="897"/>
      <c r="AR95" s="897"/>
      <c r="AS95" s="897"/>
      <c r="AT95" s="897"/>
      <c r="AU95" s="897"/>
      <c r="AV95" s="897"/>
      <c r="AW95" s="897"/>
      <c r="AX95" s="897"/>
      <c r="AY95" s="897"/>
      <c r="AZ95" s="897"/>
      <c r="BA95" s="897"/>
      <c r="BB95" s="897"/>
      <c r="BC95" s="897"/>
      <c r="BD95" s="897"/>
      <c r="BE95" s="897"/>
      <c r="BF95" s="893"/>
      <c r="BG95" s="893"/>
      <c r="BH95" s="893"/>
      <c r="BI95" s="893"/>
      <c r="BJ95" s="893"/>
      <c r="BK95" s="893"/>
      <c r="BL95" s="897"/>
      <c r="BM95" s="897"/>
      <c r="BN95" s="897"/>
      <c r="BO95" s="897"/>
      <c r="BP95" s="897"/>
      <c r="BQ95" s="893"/>
      <c r="BR95" s="897"/>
      <c r="BS95" s="893"/>
      <c r="BT95" s="897"/>
      <c r="BU95" s="897"/>
      <c r="BV95" s="897"/>
      <c r="BW95" s="897"/>
      <c r="BX95" s="897"/>
      <c r="BY95" s="897"/>
      <c r="BZ95" s="897"/>
      <c r="CA95" s="897"/>
      <c r="CB95" s="897"/>
      <c r="CC95" s="897"/>
      <c r="CD95" s="897"/>
      <c r="CE95" s="897"/>
      <c r="CF95" s="897"/>
      <c r="CG95" s="897"/>
    </row>
    <row r="96" spans="1:85" ht="15">
      <c r="A96" s="845"/>
      <c r="D96" s="816" t="str">
        <f>IF(I96=Table!$C$1,VLOOKUP(G96,Table!$B$38:$AO$61,Table!$AO$35-1,FALSE),"")</f>
        <v/>
      </c>
      <c r="E96" s="816" t="s">
        <v>32</v>
      </c>
      <c r="F96" s="816" t="str">
        <f>IF(I96="","",IF(I96=Table!$C$1,VLOOKUP(G96,Table!$B$9:$AE$32,Table!$AE$6-1,FALSE),""))</f>
        <v/>
      </c>
      <c r="G96" s="833"/>
      <c r="H96" s="833"/>
      <c r="I96" s="833"/>
      <c r="J96" s="833"/>
      <c r="K96" s="833"/>
      <c r="L96" s="816" t="str">
        <f t="shared" si="67"/>
        <v/>
      </c>
      <c r="M96" s="816" t="str">
        <f t="shared" si="68"/>
        <v/>
      </c>
      <c r="N96" s="816" t="str">
        <f t="shared" si="69"/>
        <v/>
      </c>
      <c r="R96" s="816" t="str">
        <f t="shared" si="70"/>
        <v/>
      </c>
      <c r="T96" s="829" t="str">
        <f t="shared" si="71"/>
        <v/>
      </c>
      <c r="U96" s="829"/>
      <c r="V96" s="829"/>
      <c r="W96" s="829"/>
      <c r="X96" s="829"/>
      <c r="Y96" s="829"/>
      <c r="Z96" s="829"/>
      <c r="AA96" s="829"/>
      <c r="AB96" s="829"/>
      <c r="AC96" s="829"/>
      <c r="AD96" s="816" t="str">
        <f t="array" ref="AD96">IF($J96="","",IF(SUM(IF(ISNUMBER(VALUE(RIGHT($AG96:$CL96,1))),VALUE(RIGHT($AG96:$CL96,1)),0))=$J96,"T","F"))</f>
        <v/>
      </c>
      <c r="AE96" s="831" t="str">
        <f t="array" ref="AE96">IF($J96="","",SUM(IF(LEFT($AG96:$DX96,1)="s",1,0))-SUM(IF(RIGHT(LEFT($AG96:$DX96,2))="-",1,0)))</f>
        <v/>
      </c>
      <c r="AF96" s="816" t="str">
        <f t="array" ref="AF96">IF($J96="","",SUM(IF(LEFT($AG96:$DD96,1)="X",1,0)))</f>
        <v/>
      </c>
      <c r="AG96" s="897"/>
      <c r="AH96" s="897"/>
      <c r="AI96" s="897"/>
      <c r="AJ96" s="897"/>
      <c r="AK96" s="893"/>
      <c r="AL96" s="897"/>
      <c r="AM96" s="897"/>
      <c r="AN96" s="897"/>
      <c r="AO96" s="897"/>
      <c r="AP96" s="897"/>
      <c r="AQ96" s="897"/>
      <c r="AR96" s="897"/>
      <c r="AS96" s="897"/>
      <c r="AT96" s="897"/>
      <c r="AU96" s="897"/>
      <c r="AV96" s="897"/>
      <c r="AW96" s="897"/>
      <c r="AX96" s="897"/>
      <c r="AY96" s="897"/>
      <c r="AZ96" s="897"/>
      <c r="BA96" s="897"/>
      <c r="BB96" s="897"/>
      <c r="BC96" s="897"/>
      <c r="BD96" s="897"/>
      <c r="BE96" s="897"/>
      <c r="BF96" s="893"/>
      <c r="BG96" s="893"/>
      <c r="BH96" s="893"/>
      <c r="BI96" s="893"/>
      <c r="BJ96" s="893"/>
      <c r="BK96" s="893"/>
      <c r="BL96" s="897"/>
      <c r="BM96" s="897"/>
      <c r="BN96" s="897"/>
      <c r="BO96" s="897"/>
      <c r="BP96" s="897"/>
      <c r="BQ96" s="893"/>
      <c r="BR96" s="897"/>
      <c r="BS96" s="893"/>
      <c r="BT96" s="897"/>
      <c r="BU96" s="897"/>
      <c r="BV96" s="897"/>
      <c r="BW96" s="897"/>
      <c r="BX96" s="897"/>
      <c r="BY96" s="897"/>
      <c r="BZ96" s="897"/>
      <c r="CA96" s="897"/>
      <c r="CB96" s="897"/>
      <c r="CC96" s="897"/>
      <c r="CD96" s="897"/>
      <c r="CE96" s="897"/>
      <c r="CF96" s="897"/>
      <c r="CG96" s="897"/>
    </row>
    <row r="97" spans="1:85" ht="15">
      <c r="A97" s="845"/>
      <c r="D97" s="816" t="str">
        <f>IF(I97=Table!$C$1,VLOOKUP(G97,Table!$B$38:$AO$61,Table!$AO$35-1,FALSE),"")</f>
        <v/>
      </c>
      <c r="E97" s="816" t="s">
        <v>32</v>
      </c>
      <c r="F97" s="816" t="str">
        <f>IF(I97="","",IF(I97=Table!$C$1,VLOOKUP(G97,Table!$B$9:$AE$32,Table!$AE$6-1,FALSE),""))</f>
        <v/>
      </c>
      <c r="G97" s="833"/>
      <c r="H97" s="833"/>
      <c r="I97" s="833"/>
      <c r="J97" s="833"/>
      <c r="K97" s="833"/>
      <c r="L97" s="816" t="str">
        <f t="shared" si="67"/>
        <v/>
      </c>
      <c r="M97" s="816" t="str">
        <f t="shared" si="68"/>
        <v/>
      </c>
      <c r="N97" s="816" t="str">
        <f t="shared" si="69"/>
        <v/>
      </c>
      <c r="R97" s="816" t="str">
        <f t="shared" si="70"/>
        <v/>
      </c>
      <c r="T97" s="829" t="str">
        <f t="shared" si="71"/>
        <v/>
      </c>
      <c r="U97" s="829"/>
      <c r="V97" s="829"/>
      <c r="W97" s="829"/>
      <c r="X97" s="829"/>
      <c r="Y97" s="829"/>
      <c r="Z97" s="829"/>
      <c r="AA97" s="829"/>
      <c r="AB97" s="829"/>
      <c r="AC97" s="829"/>
      <c r="AD97" s="816" t="str">
        <f t="array" ref="AD97">IF($J97="","",IF(SUM(IF(ISNUMBER(VALUE(RIGHT($AG97:$CL97,1))),VALUE(RIGHT($AG97:$CL97,1)),0))=$J97,"T","F"))</f>
        <v/>
      </c>
      <c r="AE97" s="831" t="str">
        <f t="array" ref="AE97">IF($J97="","",SUM(IF(LEFT($AG97:$DX97,1)="s",1,0))-SUM(IF(RIGHT(LEFT($AG97:$DX97,2))="-",1,0)))</f>
        <v/>
      </c>
      <c r="AF97" s="816" t="str">
        <f t="array" ref="AF97">IF($J97="","",SUM(IF(LEFT($AG97:$DD97,1)="X",1,0)))</f>
        <v/>
      </c>
      <c r="AG97" s="897"/>
      <c r="AH97" s="897"/>
      <c r="AI97" s="897"/>
      <c r="AJ97" s="897"/>
      <c r="AK97" s="893"/>
      <c r="AL97" s="897"/>
      <c r="AM97" s="897"/>
      <c r="AN97" s="897"/>
      <c r="AO97" s="897"/>
      <c r="AP97" s="897"/>
      <c r="AQ97" s="897"/>
      <c r="AR97" s="897"/>
      <c r="AS97" s="897"/>
      <c r="AT97" s="897"/>
      <c r="AU97" s="897"/>
      <c r="AV97" s="897"/>
      <c r="AW97" s="897"/>
      <c r="AX97" s="897"/>
      <c r="AY97" s="897"/>
      <c r="AZ97" s="897"/>
      <c r="BA97" s="897"/>
      <c r="BB97" s="897"/>
      <c r="BC97" s="897"/>
      <c r="BD97" s="897"/>
      <c r="BE97" s="897"/>
      <c r="BF97" s="893"/>
      <c r="BG97" s="893"/>
      <c r="BH97" s="893"/>
      <c r="BI97" s="893"/>
      <c r="BJ97" s="893"/>
      <c r="BK97" s="893"/>
      <c r="BL97" s="897"/>
      <c r="BM97" s="897"/>
      <c r="BN97" s="897"/>
      <c r="BO97" s="897"/>
      <c r="BP97" s="897"/>
      <c r="BQ97" s="893"/>
      <c r="BR97" s="897"/>
      <c r="BS97" s="893"/>
      <c r="BT97" s="897"/>
      <c r="BU97" s="897"/>
      <c r="BV97" s="897"/>
      <c r="BW97" s="897"/>
      <c r="BX97" s="897"/>
      <c r="BY97" s="897"/>
      <c r="BZ97" s="897"/>
      <c r="CA97" s="897"/>
      <c r="CB97" s="897"/>
      <c r="CC97" s="897"/>
      <c r="CD97" s="897"/>
      <c r="CE97" s="897"/>
      <c r="CF97" s="897"/>
      <c r="CG97" s="897"/>
    </row>
    <row r="98" spans="1:85" ht="15">
      <c r="A98" s="845"/>
      <c r="D98" s="816" t="str">
        <f>IF(I98=Table!$C$1,VLOOKUP(G98,Table!$B$38:$AO$61,Table!$AO$35-1,FALSE),"")</f>
        <v/>
      </c>
      <c r="E98" s="816" t="s">
        <v>32</v>
      </c>
      <c r="F98" s="816" t="str">
        <f>IF(I98="","",IF(I98=Table!$C$1,VLOOKUP(G98,Table!$B$9:$AE$32,Table!$AE$6-1,FALSE),""))</f>
        <v/>
      </c>
      <c r="G98" s="833"/>
      <c r="H98" s="833"/>
      <c r="I98" s="833"/>
      <c r="J98" s="833"/>
      <c r="K98" s="833"/>
      <c r="L98" s="816" t="str">
        <f t="shared" si="67"/>
        <v/>
      </c>
      <c r="M98" s="816" t="str">
        <f t="shared" si="68"/>
        <v/>
      </c>
      <c r="N98" s="816" t="str">
        <f t="shared" si="69"/>
        <v/>
      </c>
      <c r="R98" s="816" t="str">
        <f t="shared" si="70"/>
        <v/>
      </c>
      <c r="T98" s="829" t="str">
        <f t="shared" si="71"/>
        <v/>
      </c>
      <c r="U98" s="829"/>
      <c r="V98" s="829"/>
      <c r="W98" s="829"/>
      <c r="X98" s="829"/>
      <c r="Y98" s="829"/>
      <c r="Z98" s="829"/>
      <c r="AA98" s="829"/>
      <c r="AB98" s="829"/>
      <c r="AC98" s="829"/>
      <c r="AD98" s="816" t="str">
        <f t="array" ref="AD98">IF($J98="","",IF(SUM(IF(ISNUMBER(VALUE(RIGHT($AG98:$CL98,1))),VALUE(RIGHT($AG98:$CL98,1)),0))=$J98,"T","F"))</f>
        <v/>
      </c>
      <c r="AE98" s="831" t="str">
        <f t="array" ref="AE98">IF($J98="","",SUM(IF(LEFT($AG98:$DX98,1)="s",1,0))-SUM(IF(RIGHT(LEFT($AG98:$DX98,2))="-",1,0)))</f>
        <v/>
      </c>
      <c r="AF98" s="816" t="str">
        <f t="array" ref="AF98">IF($J98="","",SUM(IF(LEFT($AG98:$DD98,1)="X",1,0)))</f>
        <v/>
      </c>
      <c r="AG98" s="897"/>
      <c r="AH98" s="897"/>
      <c r="AI98" s="897"/>
      <c r="AJ98" s="897"/>
      <c r="AK98" s="893"/>
      <c r="AL98" s="897"/>
      <c r="AM98" s="897"/>
      <c r="AN98" s="897"/>
      <c r="AO98" s="897"/>
      <c r="AP98" s="897"/>
      <c r="AQ98" s="897"/>
      <c r="AR98" s="897"/>
      <c r="AS98" s="897"/>
      <c r="AT98" s="897"/>
      <c r="AU98" s="897"/>
      <c r="AV98" s="897"/>
      <c r="AW98" s="897"/>
      <c r="AX98" s="897"/>
      <c r="AY98" s="897"/>
      <c r="AZ98" s="897"/>
      <c r="BA98" s="897"/>
      <c r="BB98" s="897"/>
      <c r="BC98" s="897"/>
      <c r="BD98" s="897"/>
      <c r="BE98" s="897"/>
      <c r="BF98" s="893"/>
      <c r="BG98" s="893"/>
      <c r="BH98" s="893"/>
      <c r="BI98" s="893"/>
      <c r="BJ98" s="893"/>
      <c r="BK98" s="893"/>
      <c r="BL98" s="897"/>
      <c r="BM98" s="897"/>
      <c r="BN98" s="897"/>
      <c r="BO98" s="897"/>
      <c r="BP98" s="897"/>
      <c r="BQ98" s="893"/>
      <c r="BR98" s="897"/>
      <c r="BS98" s="893"/>
      <c r="BT98" s="897"/>
      <c r="BU98" s="897"/>
      <c r="BV98" s="897"/>
      <c r="BW98" s="897"/>
      <c r="BX98" s="897"/>
      <c r="BY98" s="897"/>
      <c r="BZ98" s="897"/>
      <c r="CA98" s="897"/>
      <c r="CB98" s="897"/>
      <c r="CC98" s="897"/>
      <c r="CD98" s="897"/>
      <c r="CE98" s="897"/>
      <c r="CF98" s="897"/>
      <c r="CG98" s="897"/>
    </row>
    <row r="99" spans="1:85" ht="15">
      <c r="A99" s="845"/>
      <c r="D99" s="816" t="str">
        <f>IF(I99=Table!$C$1,VLOOKUP(G99,Table!$B$38:$AO$61,Table!$AO$35-1,FALSE),"")</f>
        <v/>
      </c>
      <c r="E99" s="816" t="s">
        <v>32</v>
      </c>
      <c r="F99" s="816" t="str">
        <f>IF(I99="","",IF(I99=Table!$C$1,VLOOKUP(G99,Table!$B$9:$AE$32,Table!$AE$6-1,FALSE),""))</f>
        <v/>
      </c>
      <c r="G99" s="833"/>
      <c r="H99" s="833"/>
      <c r="I99" s="833"/>
      <c r="J99" s="833"/>
      <c r="K99" s="833"/>
      <c r="L99" s="816" t="str">
        <f t="shared" si="67"/>
        <v/>
      </c>
      <c r="M99" s="816" t="str">
        <f t="shared" si="68"/>
        <v/>
      </c>
      <c r="N99" s="816" t="str">
        <f t="shared" si="69"/>
        <v/>
      </c>
      <c r="R99" s="816" t="str">
        <f t="shared" si="70"/>
        <v/>
      </c>
      <c r="T99" s="829" t="str">
        <f t="shared" si="71"/>
        <v/>
      </c>
      <c r="U99" s="829"/>
      <c r="V99" s="829"/>
      <c r="W99" s="829"/>
      <c r="X99" s="829"/>
      <c r="Y99" s="829"/>
      <c r="Z99" s="829"/>
      <c r="AA99" s="829"/>
      <c r="AB99" s="829"/>
      <c r="AC99" s="829"/>
      <c r="AD99" s="816" t="str">
        <f t="array" ref="AD99">IF($J99="","",IF(SUM(IF(ISNUMBER(VALUE(RIGHT($AG99:$CL99,1))),VALUE(RIGHT($AG99:$CL99,1)),0))=$J99,"T","F"))</f>
        <v/>
      </c>
      <c r="AE99" s="831" t="str">
        <f t="array" ref="AE99">IF($J99="","",SUM(IF(LEFT($AG99:$DX99,1)="s",1,0))-SUM(IF(RIGHT(LEFT($AG99:$DX99,2))="-",1,0)))</f>
        <v/>
      </c>
      <c r="AF99" s="816" t="str">
        <f t="array" ref="AF99">IF($J99="","",SUM(IF(LEFT($AG99:$DD99,1)="X",1,0)))</f>
        <v/>
      </c>
      <c r="AG99" s="897"/>
      <c r="AH99" s="897"/>
      <c r="AI99" s="897"/>
      <c r="AJ99" s="897"/>
      <c r="AK99" s="893"/>
      <c r="AL99" s="897"/>
      <c r="AM99" s="897"/>
      <c r="AN99" s="897"/>
      <c r="AO99" s="897"/>
      <c r="AP99" s="897"/>
      <c r="AQ99" s="897"/>
      <c r="AR99" s="897"/>
      <c r="AS99" s="897"/>
      <c r="AT99" s="897"/>
      <c r="AU99" s="897"/>
      <c r="AV99" s="897"/>
      <c r="AW99" s="897"/>
      <c r="AX99" s="897"/>
      <c r="AY99" s="897"/>
      <c r="AZ99" s="897"/>
      <c r="BA99" s="897"/>
      <c r="BB99" s="897"/>
      <c r="BC99" s="897"/>
      <c r="BD99" s="897"/>
      <c r="BE99" s="897"/>
      <c r="BF99" s="893"/>
      <c r="BG99" s="893"/>
      <c r="BH99" s="893"/>
      <c r="BI99" s="893"/>
      <c r="BJ99" s="893"/>
      <c r="BK99" s="893"/>
      <c r="BL99" s="897"/>
      <c r="BM99" s="897"/>
      <c r="BN99" s="897"/>
      <c r="BO99" s="897"/>
      <c r="BP99" s="897"/>
      <c r="BQ99" s="893"/>
      <c r="BR99" s="897"/>
      <c r="BS99" s="893"/>
      <c r="BT99" s="897"/>
      <c r="BU99" s="897"/>
      <c r="BV99" s="897"/>
      <c r="BW99" s="897"/>
      <c r="BX99" s="897"/>
      <c r="BY99" s="897"/>
      <c r="BZ99" s="897"/>
      <c r="CA99" s="897"/>
      <c r="CB99" s="897"/>
      <c r="CC99" s="897"/>
      <c r="CD99" s="897"/>
      <c r="CE99" s="897"/>
      <c r="CF99" s="897"/>
      <c r="CG99" s="897"/>
    </row>
    <row r="100" spans="1:85" ht="15">
      <c r="A100" s="845"/>
      <c r="D100" s="816" t="str">
        <f>IF(I100=Table!$C$1,VLOOKUP(G100,Table!$B$38:$AO$61,Table!$AO$35-1,FALSE),"")</f>
        <v/>
      </c>
      <c r="E100" s="816" t="s">
        <v>32</v>
      </c>
      <c r="F100" s="816" t="str">
        <f>IF(I100="","",IF(I100=Table!$C$1,VLOOKUP(G100,Table!$B$9:$AE$32,Table!$AE$6-1,FALSE),""))</f>
        <v/>
      </c>
      <c r="G100" s="833"/>
      <c r="H100" s="833"/>
      <c r="I100" s="833"/>
      <c r="J100" s="833"/>
      <c r="K100" s="833"/>
      <c r="L100" s="816" t="str">
        <f t="shared" si="67"/>
        <v/>
      </c>
      <c r="M100" s="816" t="str">
        <f t="shared" si="68"/>
        <v/>
      </c>
      <c r="N100" s="816" t="str">
        <f t="shared" si="69"/>
        <v/>
      </c>
      <c r="R100" s="816" t="str">
        <f t="shared" si="70"/>
        <v/>
      </c>
      <c r="T100" s="829" t="str">
        <f t="shared" si="71"/>
        <v/>
      </c>
      <c r="U100" s="829"/>
      <c r="V100" s="829"/>
      <c r="W100" s="829"/>
      <c r="X100" s="829"/>
      <c r="Y100" s="829"/>
      <c r="Z100" s="829"/>
      <c r="AA100" s="829"/>
      <c r="AB100" s="829"/>
      <c r="AC100" s="829"/>
      <c r="AD100" s="816" t="str">
        <f t="array" ref="AD100">IF($J100="","",IF(SUM(IF(ISNUMBER(VALUE(RIGHT($AG100:$CL100,1))),VALUE(RIGHT($AG100:$CL100,1)),0))=$J100,"T","F"))</f>
        <v/>
      </c>
      <c r="AE100" s="831" t="str">
        <f t="array" ref="AE100">IF($J100="","",SUM(IF(LEFT($AG100:$DX100,1)="s",1,0))-SUM(IF(RIGHT(LEFT($AG100:$DX100,2))="-",1,0)))</f>
        <v/>
      </c>
      <c r="AF100" s="816" t="str">
        <f t="array" ref="AF100">IF($J100="","",SUM(IF(LEFT($AG100:$DD100,1)="X",1,0)))</f>
        <v/>
      </c>
      <c r="AG100" s="897"/>
      <c r="AH100" s="897"/>
      <c r="AI100" s="897"/>
      <c r="AJ100" s="897"/>
      <c r="AK100" s="893"/>
      <c r="AL100" s="897"/>
      <c r="AM100" s="897"/>
      <c r="AN100" s="897"/>
      <c r="AO100" s="897"/>
      <c r="AP100" s="897"/>
      <c r="AQ100" s="897"/>
      <c r="AR100" s="897"/>
      <c r="AS100" s="897"/>
      <c r="AT100" s="897"/>
      <c r="AU100" s="897"/>
      <c r="AV100" s="897"/>
      <c r="AW100" s="897"/>
      <c r="AX100" s="897"/>
      <c r="AY100" s="897"/>
      <c r="AZ100" s="897"/>
      <c r="BA100" s="897"/>
      <c r="BB100" s="897"/>
      <c r="BC100" s="897"/>
      <c r="BD100" s="897"/>
      <c r="BE100" s="897"/>
      <c r="BF100" s="893"/>
      <c r="BG100" s="893"/>
      <c r="BH100" s="893"/>
      <c r="BI100" s="893"/>
      <c r="BJ100" s="893"/>
      <c r="BK100" s="893"/>
      <c r="BL100" s="897"/>
      <c r="BM100" s="897"/>
      <c r="BN100" s="897"/>
      <c r="BO100" s="897"/>
      <c r="BP100" s="897"/>
      <c r="BQ100" s="893"/>
      <c r="BR100" s="897"/>
      <c r="BS100" s="893"/>
      <c r="BT100" s="897"/>
      <c r="BU100" s="897"/>
      <c r="BV100" s="897"/>
      <c r="BW100" s="897"/>
      <c r="BX100" s="897"/>
      <c r="BY100" s="897"/>
      <c r="BZ100" s="897"/>
      <c r="CA100" s="897"/>
      <c r="CB100" s="897"/>
      <c r="CC100" s="897"/>
      <c r="CD100" s="897"/>
      <c r="CE100" s="897"/>
      <c r="CF100" s="897"/>
      <c r="CG100" s="897"/>
    </row>
    <row r="101" spans="1:85" ht="15">
      <c r="A101" s="845"/>
      <c r="D101" s="816" t="str">
        <f>IF(I101=Table!$C$1,VLOOKUP(G101,Table!$B$38:$AO$61,Table!$AO$35-1,FALSE),"")</f>
        <v/>
      </c>
      <c r="E101" s="816" t="s">
        <v>32</v>
      </c>
      <c r="F101" s="816" t="str">
        <f>IF(I101="","",IF(I101=Table!$C$1,VLOOKUP(G101,Table!$B$9:$AE$32,Table!$AE$6-1,FALSE),""))</f>
        <v/>
      </c>
      <c r="G101" s="833"/>
      <c r="H101" s="833"/>
      <c r="I101" s="833"/>
      <c r="J101" s="833"/>
      <c r="K101" s="833"/>
      <c r="L101" s="816" t="str">
        <f t="shared" si="67"/>
        <v/>
      </c>
      <c r="M101" s="816" t="str">
        <f t="shared" si="68"/>
        <v/>
      </c>
      <c r="N101" s="816" t="str">
        <f t="shared" si="69"/>
        <v/>
      </c>
      <c r="R101" s="816" t="str">
        <f t="shared" si="70"/>
        <v/>
      </c>
      <c r="T101" s="829" t="str">
        <f t="shared" si="71"/>
        <v/>
      </c>
      <c r="U101" s="829"/>
      <c r="V101" s="829"/>
      <c r="W101" s="829"/>
      <c r="X101" s="829"/>
      <c r="Y101" s="829"/>
      <c r="Z101" s="829"/>
      <c r="AA101" s="829"/>
      <c r="AB101" s="829"/>
      <c r="AC101" s="829"/>
      <c r="AD101" s="816" t="str">
        <f t="array" ref="AD101">IF($J101="","",IF(SUM(IF(ISNUMBER(VALUE(RIGHT($AG101:$CL101,1))),VALUE(RIGHT($AG101:$CL101,1)),0))=$J101,"T","F"))</f>
        <v/>
      </c>
      <c r="AE101" s="831" t="str">
        <f t="array" ref="AE101">IF($J101="","",SUM(IF(LEFT($AG101:$DX101,1)="s",1,0))-SUM(IF(RIGHT(LEFT($AG101:$DX101,2))="-",1,0)))</f>
        <v/>
      </c>
      <c r="AF101" s="816" t="str">
        <f t="array" ref="AF101">IF($J101="","",SUM(IF(LEFT($AG101:$DD101,1)="X",1,0)))</f>
        <v/>
      </c>
      <c r="AG101" s="897"/>
      <c r="AH101" s="897"/>
      <c r="AI101" s="897"/>
      <c r="AJ101" s="897"/>
      <c r="AK101" s="893"/>
      <c r="AL101" s="897"/>
      <c r="AM101" s="897"/>
      <c r="AN101" s="897"/>
      <c r="AO101" s="897"/>
      <c r="AP101" s="897"/>
      <c r="AQ101" s="897"/>
      <c r="AR101" s="897"/>
      <c r="AS101" s="897"/>
      <c r="AT101" s="897"/>
      <c r="AU101" s="897"/>
      <c r="AV101" s="897"/>
      <c r="AW101" s="897"/>
      <c r="AX101" s="897"/>
      <c r="AY101" s="897"/>
      <c r="AZ101" s="897"/>
      <c r="BA101" s="897"/>
      <c r="BB101" s="897"/>
      <c r="BC101" s="897"/>
      <c r="BD101" s="897"/>
      <c r="BE101" s="897"/>
      <c r="BF101" s="893"/>
      <c r="BG101" s="893"/>
      <c r="BH101" s="893"/>
      <c r="BI101" s="893"/>
      <c r="BJ101" s="893"/>
      <c r="BK101" s="893"/>
      <c r="BL101" s="897"/>
      <c r="BM101" s="897"/>
      <c r="BN101" s="897"/>
      <c r="BO101" s="897"/>
      <c r="BP101" s="897"/>
      <c r="BQ101" s="893"/>
      <c r="BR101" s="897"/>
      <c r="BS101" s="893"/>
      <c r="BT101" s="897"/>
      <c r="BU101" s="897"/>
      <c r="BV101" s="897"/>
      <c r="BW101" s="897"/>
      <c r="BX101" s="897"/>
      <c r="BY101" s="897"/>
      <c r="BZ101" s="897"/>
      <c r="CA101" s="897"/>
      <c r="CB101" s="897"/>
      <c r="CC101" s="897"/>
      <c r="CD101" s="897"/>
      <c r="CE101" s="897"/>
      <c r="CF101" s="897"/>
      <c r="CG101" s="897"/>
    </row>
    <row r="102" spans="1:85" ht="15">
      <c r="A102" s="845"/>
      <c r="D102" s="816" t="str">
        <f>IF(I102=Table!$C$1,VLOOKUP(G102,Table!$B$38:$AO$61,Table!$AO$35-1,FALSE),"")</f>
        <v/>
      </c>
      <c r="E102" s="816" t="s">
        <v>32</v>
      </c>
      <c r="F102" s="816" t="str">
        <f>IF(I102="","",IF(I102=Table!$C$1,VLOOKUP(G102,Table!$B$9:$AE$32,Table!$AE$6-1,FALSE),""))</f>
        <v/>
      </c>
      <c r="G102" s="833"/>
      <c r="H102" s="833"/>
      <c r="I102" s="833"/>
      <c r="J102" s="833"/>
      <c r="K102" s="833"/>
      <c r="L102" s="816" t="str">
        <f t="shared" si="67"/>
        <v/>
      </c>
      <c r="M102" s="816" t="str">
        <f t="shared" si="68"/>
        <v/>
      </c>
      <c r="N102" s="816" t="str">
        <f t="shared" si="69"/>
        <v/>
      </c>
      <c r="R102" s="816" t="str">
        <f t="shared" si="70"/>
        <v/>
      </c>
      <c r="T102" s="829" t="str">
        <f t="shared" si="71"/>
        <v/>
      </c>
      <c r="U102" s="829"/>
      <c r="V102" s="829"/>
      <c r="W102" s="829"/>
      <c r="X102" s="829"/>
      <c r="Y102" s="829"/>
      <c r="Z102" s="829"/>
      <c r="AA102" s="829"/>
      <c r="AB102" s="829"/>
      <c r="AC102" s="829"/>
      <c r="AD102" s="816" t="str">
        <f t="array" ref="AD102">IF($J102="","",IF(SUM(IF(ISNUMBER(VALUE(RIGHT($AG102:$CL102,1))),VALUE(RIGHT($AG102:$CL102,1)),0))=$J102,"T","F"))</f>
        <v/>
      </c>
      <c r="AE102" s="831" t="str">
        <f t="array" ref="AE102">IF($J102="","",SUM(IF(LEFT($AG102:$DX102,1)="s",1,0))-SUM(IF(RIGHT(LEFT($AG102:$DX102,2))="-",1,0)))</f>
        <v/>
      </c>
      <c r="AF102" s="816" t="str">
        <f t="array" ref="AF102">IF($J102="","",SUM(IF(LEFT($AG102:$DD102,1)="X",1,0)))</f>
        <v/>
      </c>
      <c r="AG102" s="897"/>
      <c r="AH102" s="897"/>
      <c r="AI102" s="897"/>
      <c r="AJ102" s="897"/>
      <c r="AK102" s="893"/>
      <c r="AL102" s="897"/>
      <c r="AM102" s="897"/>
      <c r="AN102" s="897"/>
      <c r="AO102" s="897"/>
      <c r="AP102" s="897"/>
      <c r="AQ102" s="897"/>
      <c r="AR102" s="897"/>
      <c r="AS102" s="897"/>
      <c r="AT102" s="897"/>
      <c r="AU102" s="897"/>
      <c r="AV102" s="897"/>
      <c r="AW102" s="897"/>
      <c r="AX102" s="897"/>
      <c r="AY102" s="897"/>
      <c r="AZ102" s="897"/>
      <c r="BA102" s="897"/>
      <c r="BB102" s="897"/>
      <c r="BC102" s="897"/>
      <c r="BD102" s="897"/>
      <c r="BE102" s="897"/>
      <c r="BF102" s="893"/>
      <c r="BG102" s="893"/>
      <c r="BH102" s="893"/>
      <c r="BI102" s="893"/>
      <c r="BJ102" s="893"/>
      <c r="BK102" s="893"/>
      <c r="BL102" s="897"/>
      <c r="BM102" s="897"/>
      <c r="BN102" s="897"/>
      <c r="BO102" s="897"/>
      <c r="BP102" s="897"/>
      <c r="BQ102" s="893"/>
      <c r="BR102" s="897"/>
      <c r="BS102" s="893"/>
      <c r="BT102" s="897"/>
      <c r="BU102" s="897"/>
      <c r="BV102" s="897"/>
      <c r="BW102" s="897"/>
      <c r="BX102" s="897"/>
      <c r="BY102" s="897"/>
      <c r="BZ102" s="897"/>
      <c r="CA102" s="897"/>
      <c r="CB102" s="897"/>
      <c r="CC102" s="897"/>
      <c r="CD102" s="897"/>
      <c r="CE102" s="897"/>
      <c r="CF102" s="897"/>
      <c r="CG102" s="897"/>
    </row>
    <row r="103" spans="1:85" ht="15">
      <c r="A103" s="845"/>
      <c r="D103" s="816" t="str">
        <f>IF(I103=Table!$C$1,VLOOKUP(G103,Table!$B$38:$AO$61,Table!$AO$35-1,FALSE),"")</f>
        <v/>
      </c>
      <c r="E103" s="816" t="s">
        <v>32</v>
      </c>
      <c r="F103" s="816" t="str">
        <f>IF(I103="","",IF(I103=Table!$C$1,VLOOKUP(G103,Table!$B$9:$AE$32,Table!$AE$6-1,FALSE),""))</f>
        <v/>
      </c>
      <c r="G103" s="833"/>
      <c r="H103" s="833"/>
      <c r="I103" s="833"/>
      <c r="J103" s="833"/>
      <c r="K103" s="833"/>
      <c r="L103" s="816" t="str">
        <f t="shared" si="67"/>
        <v/>
      </c>
      <c r="M103" s="816" t="str">
        <f t="shared" si="68"/>
        <v/>
      </c>
      <c r="N103" s="816" t="str">
        <f t="shared" si="69"/>
        <v/>
      </c>
      <c r="R103" s="816" t="str">
        <f t="shared" si="70"/>
        <v/>
      </c>
      <c r="T103" s="829" t="str">
        <f t="shared" si="71"/>
        <v/>
      </c>
      <c r="U103" s="829"/>
      <c r="V103" s="829"/>
      <c r="W103" s="829"/>
      <c r="X103" s="829"/>
      <c r="Y103" s="829"/>
      <c r="Z103" s="829"/>
      <c r="AA103" s="829"/>
      <c r="AB103" s="829"/>
      <c r="AC103" s="829"/>
      <c r="AD103" s="816" t="str">
        <f t="array" ref="AD103">IF($J103="","",IF(SUM(IF(ISNUMBER(VALUE(RIGHT($AG103:$CL103,1))),VALUE(RIGHT($AG103:$CL103,1)),0))=$J103,"T","F"))</f>
        <v/>
      </c>
      <c r="AE103" s="831" t="str">
        <f t="array" ref="AE103">IF($J103="","",SUM(IF(LEFT($AG103:$DX103,1)="s",1,0))-SUM(IF(RIGHT(LEFT($AG103:$DX103,2))="-",1,0)))</f>
        <v/>
      </c>
      <c r="AF103" s="816" t="str">
        <f t="array" ref="AF103">IF($J103="","",SUM(IF(LEFT($AG103:$DD103,1)="X",1,0)))</f>
        <v/>
      </c>
      <c r="AG103" s="897"/>
      <c r="AH103" s="897"/>
      <c r="AI103" s="897"/>
      <c r="AJ103" s="897"/>
      <c r="AK103" s="893"/>
      <c r="AL103" s="897"/>
      <c r="AM103" s="897"/>
      <c r="AN103" s="897"/>
      <c r="AO103" s="897"/>
      <c r="AP103" s="897"/>
      <c r="AQ103" s="897"/>
      <c r="AR103" s="897"/>
      <c r="AS103" s="897"/>
      <c r="AT103" s="897"/>
      <c r="AU103" s="897"/>
      <c r="AV103" s="897"/>
      <c r="AW103" s="897"/>
      <c r="AX103" s="897"/>
      <c r="AY103" s="897"/>
      <c r="AZ103" s="897"/>
      <c r="BA103" s="897"/>
      <c r="BB103" s="897"/>
      <c r="BC103" s="897"/>
      <c r="BD103" s="897"/>
      <c r="BE103" s="897"/>
      <c r="BF103" s="893"/>
      <c r="BG103" s="893"/>
      <c r="BH103" s="893"/>
      <c r="BI103" s="893"/>
      <c r="BJ103" s="893"/>
      <c r="BK103" s="893"/>
      <c r="BL103" s="897"/>
      <c r="BM103" s="897"/>
      <c r="BN103" s="897"/>
      <c r="BO103" s="897"/>
      <c r="BP103" s="897"/>
      <c r="BQ103" s="893"/>
      <c r="BR103" s="897"/>
      <c r="BS103" s="893"/>
      <c r="BT103" s="897"/>
      <c r="BU103" s="897"/>
      <c r="BV103" s="897"/>
      <c r="BW103" s="897"/>
      <c r="BX103" s="897"/>
      <c r="BY103" s="897"/>
      <c r="BZ103" s="897"/>
      <c r="CA103" s="897"/>
      <c r="CB103" s="897"/>
      <c r="CC103" s="897"/>
      <c r="CD103" s="897"/>
      <c r="CE103" s="897"/>
      <c r="CF103" s="897"/>
      <c r="CG103" s="897"/>
    </row>
    <row r="104" spans="1:85" ht="15">
      <c r="A104" s="845"/>
      <c r="D104" s="816" t="str">
        <f>IF(I104=Table!$C$1,VLOOKUP(G104,Table!$B$38:$AO$61,Table!$AO$35-1,FALSE),"")</f>
        <v/>
      </c>
      <c r="E104" s="816" t="s">
        <v>32</v>
      </c>
      <c r="F104" s="816" t="str">
        <f>IF(I104="","",IF(I104=Table!$C$1,VLOOKUP(G104,Table!$B$9:$AE$32,Table!$AE$6-1,FALSE),""))</f>
        <v/>
      </c>
      <c r="G104" s="833"/>
      <c r="H104" s="833"/>
      <c r="I104" s="833"/>
      <c r="J104" s="833"/>
      <c r="K104" s="833"/>
      <c r="L104" s="816" t="str">
        <f t="shared" si="67"/>
        <v/>
      </c>
      <c r="M104" s="816" t="str">
        <f t="shared" si="68"/>
        <v/>
      </c>
      <c r="N104" s="816" t="str">
        <f t="shared" si="69"/>
        <v/>
      </c>
      <c r="R104" s="816" t="str">
        <f t="shared" si="70"/>
        <v/>
      </c>
      <c r="T104" s="829" t="str">
        <f t="shared" si="71"/>
        <v/>
      </c>
      <c r="U104" s="829"/>
      <c r="V104" s="829"/>
      <c r="W104" s="829"/>
      <c r="X104" s="829"/>
      <c r="Y104" s="829"/>
      <c r="Z104" s="829"/>
      <c r="AA104" s="829"/>
      <c r="AB104" s="829"/>
      <c r="AC104" s="829"/>
      <c r="AD104" s="816" t="str">
        <f t="array" ref="AD104">IF($J104="","",IF(SUM(IF(ISNUMBER(VALUE(RIGHT($AG104:$CL104,1))),VALUE(RIGHT($AG104:$CL104,1)),0))=$J104,"T","F"))</f>
        <v/>
      </c>
      <c r="AE104" s="831" t="str">
        <f t="array" ref="AE104">IF($J104="","",SUM(IF(LEFT($AG104:$DX104,1)="s",1,0))-SUM(IF(RIGHT(LEFT($AG104:$DX104,2))="-",1,0)))</f>
        <v/>
      </c>
      <c r="AF104" s="816" t="str">
        <f t="array" ref="AF104">IF($J104="","",SUM(IF(LEFT($AG104:$DD104,1)="X",1,0)))</f>
        <v/>
      </c>
      <c r="AG104" s="897"/>
      <c r="AH104" s="897"/>
      <c r="AI104" s="897"/>
      <c r="AJ104" s="897"/>
      <c r="AK104" s="893"/>
      <c r="AL104" s="897"/>
      <c r="AM104" s="897"/>
      <c r="AN104" s="897"/>
      <c r="AO104" s="897"/>
      <c r="AP104" s="897"/>
      <c r="AQ104" s="897"/>
      <c r="AR104" s="897"/>
      <c r="AS104" s="897"/>
      <c r="AT104" s="897"/>
      <c r="AU104" s="897"/>
      <c r="AV104" s="897"/>
      <c r="AW104" s="897"/>
      <c r="AX104" s="897"/>
      <c r="AY104" s="897"/>
      <c r="AZ104" s="897"/>
      <c r="BA104" s="897"/>
      <c r="BB104" s="897"/>
      <c r="BC104" s="897"/>
      <c r="BD104" s="897"/>
      <c r="BE104" s="897"/>
      <c r="BF104" s="893"/>
      <c r="BG104" s="893"/>
      <c r="BH104" s="893"/>
      <c r="BI104" s="893"/>
      <c r="BJ104" s="893"/>
      <c r="BK104" s="893"/>
      <c r="BL104" s="897"/>
      <c r="BM104" s="897"/>
      <c r="BN104" s="897"/>
      <c r="BO104" s="897"/>
      <c r="BP104" s="897"/>
      <c r="BQ104" s="893"/>
      <c r="BR104" s="897"/>
      <c r="BS104" s="893"/>
      <c r="BT104" s="897"/>
      <c r="BU104" s="897"/>
      <c r="BV104" s="897"/>
      <c r="BW104" s="897"/>
      <c r="BX104" s="897"/>
      <c r="BY104" s="897"/>
      <c r="BZ104" s="897"/>
      <c r="CA104" s="897"/>
      <c r="CB104" s="897"/>
      <c r="CC104" s="897"/>
      <c r="CD104" s="897"/>
      <c r="CE104" s="897"/>
      <c r="CF104" s="897"/>
      <c r="CG104" s="897"/>
    </row>
    <row r="105" spans="1:85" ht="15">
      <c r="A105" s="845"/>
      <c r="D105" s="816" t="str">
        <f>IF(I105=Table!$C$1,VLOOKUP(G105,Table!$B$38:$AO$61,Table!$AO$35-1,FALSE),"")</f>
        <v/>
      </c>
      <c r="E105" s="816" t="s">
        <v>32</v>
      </c>
      <c r="F105" s="816" t="str">
        <f>IF(I105="","",IF(I105=Table!$C$1,VLOOKUP(G105,Table!$B$9:$AE$32,Table!$AE$6-1,FALSE),""))</f>
        <v/>
      </c>
      <c r="G105" s="833"/>
      <c r="H105" s="833"/>
      <c r="I105" s="833"/>
      <c r="J105" s="833"/>
      <c r="K105" s="833"/>
      <c r="L105" s="816" t="str">
        <f t="shared" si="67"/>
        <v/>
      </c>
      <c r="M105" s="816" t="str">
        <f t="shared" si="68"/>
        <v/>
      </c>
      <c r="N105" s="816" t="str">
        <f t="shared" si="69"/>
        <v/>
      </c>
      <c r="R105" s="816" t="str">
        <f t="shared" si="70"/>
        <v/>
      </c>
      <c r="T105" s="829" t="str">
        <f t="shared" si="71"/>
        <v/>
      </c>
      <c r="U105" s="829"/>
      <c r="V105" s="829"/>
      <c r="W105" s="829"/>
      <c r="X105" s="829"/>
      <c r="Y105" s="829"/>
      <c r="Z105" s="829"/>
      <c r="AA105" s="829"/>
      <c r="AB105" s="829"/>
      <c r="AC105" s="829"/>
      <c r="AD105" s="816" t="str">
        <f t="array" ref="AD105">IF($J105="","",IF(SUM(IF(ISNUMBER(VALUE(RIGHT($AG105:$CL105,1))),VALUE(RIGHT($AG105:$CL105,1)),0))=$J105,"T","F"))</f>
        <v/>
      </c>
      <c r="AE105" s="831" t="str">
        <f t="array" ref="AE105">IF($J105="","",SUM(IF(LEFT($AG105:$DX105,1)="s",1,0))-SUM(IF(RIGHT(LEFT($AG105:$DX105,2))="-",1,0)))</f>
        <v/>
      </c>
      <c r="AF105" s="816" t="str">
        <f t="array" ref="AF105">IF($J105="","",SUM(IF(LEFT($AG105:$DD105,1)="X",1,0)))</f>
        <v/>
      </c>
      <c r="AG105" s="897"/>
      <c r="AH105" s="897"/>
      <c r="AI105" s="897"/>
      <c r="AJ105" s="897"/>
      <c r="AK105" s="893"/>
      <c r="AL105" s="897"/>
      <c r="AM105" s="897"/>
      <c r="AN105" s="897"/>
      <c r="AO105" s="897"/>
      <c r="AP105" s="897"/>
      <c r="AQ105" s="897"/>
      <c r="AR105" s="897"/>
      <c r="AS105" s="897"/>
      <c r="AT105" s="897"/>
      <c r="AU105" s="897"/>
      <c r="AV105" s="897"/>
      <c r="AW105" s="897"/>
      <c r="AX105" s="897"/>
      <c r="AY105" s="897"/>
      <c r="AZ105" s="897"/>
      <c r="BA105" s="897"/>
      <c r="BB105" s="897"/>
      <c r="BC105" s="897"/>
      <c r="BD105" s="897"/>
      <c r="BE105" s="897"/>
      <c r="BF105" s="893"/>
      <c r="BG105" s="893"/>
      <c r="BH105" s="893"/>
      <c r="BI105" s="893"/>
      <c r="BJ105" s="893"/>
      <c r="BK105" s="893"/>
      <c r="BL105" s="897"/>
      <c r="BM105" s="897"/>
      <c r="BN105" s="897"/>
      <c r="BO105" s="897"/>
      <c r="BP105" s="897"/>
      <c r="BQ105" s="893"/>
      <c r="BR105" s="897"/>
      <c r="BS105" s="893"/>
      <c r="BT105" s="897"/>
      <c r="BU105" s="897"/>
      <c r="BV105" s="897"/>
      <c r="BW105" s="897"/>
      <c r="BX105" s="897"/>
      <c r="BY105" s="897"/>
      <c r="BZ105" s="897"/>
      <c r="CA105" s="897"/>
      <c r="CB105" s="897"/>
      <c r="CC105" s="897"/>
      <c r="CD105" s="897"/>
      <c r="CE105" s="897"/>
      <c r="CF105" s="897"/>
      <c r="CG105" s="897"/>
    </row>
    <row r="106" spans="1:85" ht="15">
      <c r="A106" s="845"/>
      <c r="D106" s="816" t="str">
        <f>IF(I106=Table!$C$1,VLOOKUP(G106,Table!$B$38:$AO$61,Table!$AO$35-1,FALSE),"")</f>
        <v/>
      </c>
      <c r="E106" s="816" t="s">
        <v>32</v>
      </c>
      <c r="F106" s="816" t="str">
        <f>IF(I106="","",IF(I106=Table!$C$1,VLOOKUP(G106,Table!$B$9:$AE$32,Table!$AE$6-1,FALSE),""))</f>
        <v/>
      </c>
      <c r="G106" s="833"/>
      <c r="H106" s="833"/>
      <c r="I106" s="833"/>
      <c r="J106" s="833"/>
      <c r="K106" s="833"/>
      <c r="L106" s="816" t="str">
        <f t="shared" si="67"/>
        <v/>
      </c>
      <c r="M106" s="816" t="str">
        <f t="shared" si="68"/>
        <v/>
      </c>
      <c r="N106" s="816" t="str">
        <f t="shared" si="69"/>
        <v/>
      </c>
      <c r="R106" s="816" t="str">
        <f t="shared" si="70"/>
        <v/>
      </c>
      <c r="T106" s="829" t="str">
        <f t="shared" si="71"/>
        <v/>
      </c>
      <c r="U106" s="829"/>
      <c r="V106" s="829"/>
      <c r="W106" s="829"/>
      <c r="X106" s="829"/>
      <c r="Y106" s="829"/>
      <c r="Z106" s="829"/>
      <c r="AA106" s="829"/>
      <c r="AB106" s="829"/>
      <c r="AC106" s="829"/>
      <c r="AD106" s="816" t="str">
        <f t="array" ref="AD106">IF($J106="","",IF(SUM(IF(ISNUMBER(VALUE(RIGHT($AG106:$CL106,1))),VALUE(RIGHT($AG106:$CL106,1)),0))=$J106,"T","F"))</f>
        <v/>
      </c>
      <c r="AE106" s="816" t="str">
        <f t="array" ref="AE106">IF($J106="","",SUM(IF(LEFT($AG106:$DX106,1)="s",1,0))-SUM(IF(RIGHT(LEFT($AG106:$DX106,2))="-",1,0)))</f>
        <v/>
      </c>
      <c r="AF106" s="816" t="str">
        <f t="array" ref="AF106">IF($J106="","",SUM(IF(LEFT($AG106:$DD106,1)="X",1,0)))</f>
        <v/>
      </c>
      <c r="AG106" s="897"/>
      <c r="AH106" s="897"/>
      <c r="AI106" s="897"/>
      <c r="AJ106" s="897"/>
      <c r="AK106" s="893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3"/>
      <c r="BG106" s="893"/>
      <c r="BH106" s="893"/>
      <c r="BI106" s="893"/>
      <c r="BJ106" s="893"/>
      <c r="BK106" s="893"/>
      <c r="BL106" s="897"/>
      <c r="BM106" s="897"/>
      <c r="BN106" s="897"/>
      <c r="BO106" s="897"/>
      <c r="BP106" s="897"/>
      <c r="BQ106" s="893"/>
      <c r="BR106" s="897"/>
      <c r="BS106" s="893"/>
      <c r="BT106" s="897"/>
      <c r="BU106" s="897"/>
      <c r="BV106" s="897"/>
      <c r="BW106" s="897"/>
      <c r="BX106" s="897"/>
      <c r="BY106" s="897"/>
      <c r="BZ106" s="897"/>
      <c r="CA106" s="897"/>
      <c r="CB106" s="897"/>
      <c r="CC106" s="897"/>
      <c r="CD106" s="897"/>
      <c r="CE106" s="897"/>
      <c r="CF106" s="897"/>
      <c r="CG106" s="897"/>
    </row>
    <row r="107" spans="1:85" ht="15">
      <c r="A107" s="845"/>
      <c r="D107" s="816" t="str">
        <f>IF(I107=Table!$C$1,VLOOKUP(G107,Table!$B$38:$AO$61,Table!$AO$35-1,FALSE),"")</f>
        <v/>
      </c>
      <c r="E107" s="816" t="s">
        <v>32</v>
      </c>
      <c r="F107" s="816" t="str">
        <f>IF(I107="","",IF(I107=Table!$C$1,VLOOKUP(G107,Table!$B$9:$AE$32,Table!$AE$6-1,FALSE),""))</f>
        <v/>
      </c>
      <c r="G107" s="833"/>
      <c r="H107" s="833"/>
      <c r="I107" s="833"/>
      <c r="J107" s="833"/>
      <c r="K107" s="833"/>
      <c r="L107" s="816" t="str">
        <f t="shared" si="67"/>
        <v/>
      </c>
      <c r="M107" s="816" t="str">
        <f t="shared" si="68"/>
        <v/>
      </c>
      <c r="N107" s="816" t="str">
        <f t="shared" si="69"/>
        <v/>
      </c>
      <c r="R107" s="816" t="str">
        <f t="shared" si="70"/>
        <v/>
      </c>
      <c r="T107" s="829" t="str">
        <f t="shared" si="71"/>
        <v/>
      </c>
      <c r="U107" s="829"/>
      <c r="V107" s="829"/>
      <c r="W107" s="829"/>
      <c r="X107" s="829"/>
      <c r="Y107" s="829"/>
      <c r="Z107" s="829"/>
      <c r="AA107" s="829"/>
      <c r="AB107" s="829"/>
      <c r="AC107" s="829"/>
      <c r="AD107" s="816" t="str">
        <f t="array" ref="AD107">IF($J107="","",IF(SUM(IF(ISNUMBER(VALUE(RIGHT($AG107:$CL107,1))),VALUE(RIGHT($AG107:$CL107,1)),0))=$J107,"T","F"))</f>
        <v/>
      </c>
      <c r="AE107" s="816" t="str">
        <f t="array" ref="AE107">IF($J107="","",SUM(IF(LEFT($AG107:$DX107,1)="s",1,0))-SUM(IF(RIGHT(LEFT($AG107:$DX107,2))="-",1,0)))</f>
        <v/>
      </c>
      <c r="AF107" s="816" t="str">
        <f t="array" ref="AF107">IF($J107="","",SUM(IF(LEFT($AG107:$DD107,1)="X",1,0)))</f>
        <v/>
      </c>
      <c r="AG107" s="897"/>
      <c r="AH107" s="897"/>
      <c r="AI107" s="897"/>
      <c r="AJ107" s="897"/>
      <c r="AK107" s="893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3"/>
      <c r="BG107" s="893"/>
      <c r="BH107" s="893"/>
      <c r="BI107" s="893"/>
      <c r="BJ107" s="893"/>
      <c r="BK107" s="893"/>
      <c r="BL107" s="897"/>
      <c r="BM107" s="897"/>
      <c r="BN107" s="897"/>
      <c r="BO107" s="897"/>
      <c r="BP107" s="897"/>
      <c r="BQ107" s="893"/>
      <c r="BR107" s="897"/>
      <c r="BS107" s="893"/>
      <c r="BT107" s="897"/>
      <c r="BU107" s="897"/>
      <c r="BV107" s="897"/>
      <c r="BW107" s="897"/>
      <c r="BX107" s="897"/>
      <c r="BY107" s="897"/>
      <c r="BZ107" s="897"/>
      <c r="CA107" s="897"/>
      <c r="CB107" s="897"/>
      <c r="CC107" s="897"/>
      <c r="CD107" s="897"/>
      <c r="CE107" s="897"/>
      <c r="CF107" s="897"/>
      <c r="CG107" s="897"/>
    </row>
    <row r="108" spans="1:85" ht="15">
      <c r="A108" s="845"/>
      <c r="D108" s="816" t="str">
        <f>IF(I108=Table!$C$1,VLOOKUP(G108,Table!$B$38:$AO$61,Table!$AO$35-1,FALSE),"")</f>
        <v/>
      </c>
      <c r="E108" s="816" t="s">
        <v>32</v>
      </c>
      <c r="F108" s="816" t="str">
        <f>IF(I108="","",IF(I108=Table!$C$1,VLOOKUP(G108,Table!$B$9:$AE$32,Table!$AE$6-1,FALSE),""))</f>
        <v/>
      </c>
      <c r="G108" s="833"/>
      <c r="H108" s="833"/>
      <c r="I108" s="833"/>
      <c r="J108" s="833"/>
      <c r="K108" s="833"/>
      <c r="L108" s="816" t="str">
        <f t="shared" si="67"/>
        <v/>
      </c>
      <c r="M108" s="816" t="str">
        <f t="shared" si="68"/>
        <v/>
      </c>
      <c r="N108" s="816" t="str">
        <f t="shared" si="69"/>
        <v/>
      </c>
      <c r="R108" s="816" t="str">
        <f t="shared" si="70"/>
        <v/>
      </c>
      <c r="T108" s="829" t="str">
        <f t="shared" si="71"/>
        <v/>
      </c>
      <c r="U108" s="829"/>
      <c r="V108" s="829"/>
      <c r="W108" s="829"/>
      <c r="X108" s="829"/>
      <c r="Y108" s="829"/>
      <c r="Z108" s="829"/>
      <c r="AA108" s="829"/>
      <c r="AB108" s="829"/>
      <c r="AC108" s="829"/>
      <c r="AD108" s="816" t="str">
        <f t="array" ref="AD108">IF($J108="","",IF(SUM(IF(ISNUMBER(VALUE(RIGHT($AG108:$CL108,1))),VALUE(RIGHT($AG108:$CL108,1)),0))=$J108,"T","F"))</f>
        <v/>
      </c>
      <c r="AE108" s="816" t="str">
        <f t="array" ref="AE108">IF($J108="","",SUM(IF(LEFT($AG108:$DX108,1)="s",1,0))-SUM(IF(RIGHT(LEFT($AG108:$DX108,2))="-",1,0)))</f>
        <v/>
      </c>
      <c r="AF108" s="816" t="str">
        <f t="array" ref="AF108">IF($J108="","",SUM(IF(LEFT($AG108:$DD108,1)="X",1,0)))</f>
        <v/>
      </c>
      <c r="AG108" s="897"/>
      <c r="AH108" s="897"/>
      <c r="AI108" s="897"/>
      <c r="AJ108" s="897"/>
      <c r="AK108" s="893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3"/>
      <c r="BG108" s="893"/>
      <c r="BH108" s="893"/>
      <c r="BI108" s="893"/>
      <c r="BJ108" s="893"/>
      <c r="BK108" s="893"/>
      <c r="BL108" s="897"/>
      <c r="BM108" s="897"/>
      <c r="BN108" s="897"/>
      <c r="BO108" s="897"/>
      <c r="BP108" s="897"/>
      <c r="BQ108" s="893"/>
      <c r="BR108" s="897"/>
      <c r="BS108" s="893"/>
      <c r="BT108" s="897"/>
      <c r="BU108" s="897"/>
      <c r="BV108" s="897"/>
      <c r="BW108" s="897"/>
      <c r="BX108" s="897"/>
      <c r="BY108" s="897"/>
      <c r="BZ108" s="897"/>
      <c r="CA108" s="897"/>
      <c r="CB108" s="897"/>
      <c r="CC108" s="897"/>
      <c r="CD108" s="897"/>
      <c r="CE108" s="897"/>
      <c r="CF108" s="897"/>
      <c r="CG108" s="897"/>
    </row>
    <row r="109" spans="1:85" ht="15">
      <c r="D109" s="816" t="str">
        <f>IF(I109=Table!$C$1,VLOOKUP(G109,Table!$B$38:$AO$61,Table!$AO$35-1,FALSE),"")</f>
        <v/>
      </c>
      <c r="E109" s="816" t="s">
        <v>32</v>
      </c>
      <c r="F109" s="816" t="str">
        <f>IF(I109="","",IF(I109=Table!$C$1,VLOOKUP(G109,Table!$B$9:$AE$32,Table!$AE$6-1,FALSE),""))</f>
        <v/>
      </c>
      <c r="G109" s="833"/>
      <c r="H109" s="833"/>
      <c r="I109" s="833"/>
      <c r="J109" s="833"/>
      <c r="K109" s="833"/>
      <c r="L109" s="816" t="str">
        <f t="shared" si="67"/>
        <v/>
      </c>
      <c r="M109" s="816" t="str">
        <f t="shared" si="68"/>
        <v/>
      </c>
      <c r="N109" s="816" t="str">
        <f t="shared" si="69"/>
        <v/>
      </c>
      <c r="R109" s="816" t="str">
        <f t="shared" si="70"/>
        <v/>
      </c>
      <c r="T109" s="829" t="str">
        <f t="shared" si="71"/>
        <v/>
      </c>
      <c r="U109" s="829"/>
      <c r="V109" s="829"/>
      <c r="W109" s="829"/>
      <c r="X109" s="829"/>
      <c r="Y109" s="829"/>
      <c r="Z109" s="829"/>
      <c r="AA109" s="829"/>
      <c r="AB109" s="829"/>
      <c r="AC109" s="829"/>
      <c r="AD109" s="816" t="str">
        <f t="array" ref="AD109">IF($J109="","",IF(SUM(IF(ISNUMBER(VALUE(RIGHT($AG109:$CL109,1))),VALUE(RIGHT($AG109:$CL109,1)),0))=$J109,"T","F"))</f>
        <v/>
      </c>
      <c r="AE109" s="816" t="str">
        <f t="array" ref="AE109">IF($J109="","",SUM(IF(LEFT($AG109:$DX109,1)="s",1,0))-SUM(IF(RIGHT(LEFT($AG109:$DX109,2))="-",1,0)))</f>
        <v/>
      </c>
      <c r="AF109" s="816" t="str">
        <f t="array" ref="AF109">IF($J109="","",SUM(IF(LEFT($AG109:$DD109,1)="X",1,0)))</f>
        <v/>
      </c>
      <c r="AG109" s="897"/>
      <c r="AH109" s="897"/>
      <c r="AI109" s="897"/>
      <c r="AJ109" s="897"/>
      <c r="AK109" s="893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3"/>
      <c r="BG109" s="893"/>
      <c r="BH109" s="893"/>
      <c r="BI109" s="893"/>
      <c r="BJ109" s="893"/>
      <c r="BK109" s="893"/>
      <c r="BL109" s="897"/>
      <c r="BM109" s="897"/>
      <c r="BN109" s="897"/>
      <c r="BO109" s="897"/>
      <c r="BP109" s="897"/>
      <c r="BQ109" s="893"/>
      <c r="BR109" s="897"/>
      <c r="BS109" s="893"/>
      <c r="BT109" s="897"/>
      <c r="BU109" s="897"/>
      <c r="BV109" s="897"/>
      <c r="BW109" s="897"/>
      <c r="BX109" s="897"/>
      <c r="BY109" s="897"/>
      <c r="BZ109" s="897"/>
      <c r="CA109" s="897"/>
      <c r="CB109" s="897"/>
      <c r="CC109" s="897"/>
      <c r="CD109" s="897"/>
      <c r="CE109" s="897"/>
      <c r="CF109" s="897"/>
      <c r="CG109" s="897"/>
    </row>
    <row r="110" spans="1:85" ht="15">
      <c r="D110" s="816" t="str">
        <f>IF(I110=Table!$C$1,VLOOKUP(G110,Table!$B$38:$AO$61,Table!$AO$35-1,FALSE),"")</f>
        <v/>
      </c>
      <c r="E110" s="816" t="s">
        <v>32</v>
      </c>
      <c r="F110" s="816" t="str">
        <f>IF(I110="","",IF(I110=Table!$C$1,VLOOKUP(G110,Table!$B$9:$AE$32,Table!$AE$6-1,FALSE),""))</f>
        <v/>
      </c>
      <c r="G110" s="833"/>
      <c r="H110" s="833"/>
      <c r="I110" s="833"/>
      <c r="J110" s="833"/>
      <c r="K110" s="833"/>
      <c r="L110" s="816" t="str">
        <f t="shared" si="67"/>
        <v/>
      </c>
      <c r="M110" s="816" t="str">
        <f t="shared" si="68"/>
        <v/>
      </c>
      <c r="N110" s="816" t="str">
        <f t="shared" si="69"/>
        <v/>
      </c>
      <c r="R110" s="816" t="str">
        <f t="shared" si="70"/>
        <v/>
      </c>
      <c r="T110" s="829" t="str">
        <f t="shared" si="71"/>
        <v/>
      </c>
      <c r="U110" s="829"/>
      <c r="V110" s="829"/>
      <c r="W110" s="829"/>
      <c r="X110" s="829"/>
      <c r="Y110" s="829"/>
      <c r="Z110" s="829"/>
      <c r="AA110" s="829"/>
      <c r="AB110" s="829"/>
      <c r="AC110" s="829"/>
      <c r="AD110" s="816" t="str">
        <f t="array" ref="AD110">IF($J110="","",IF(SUM(IF(ISNUMBER(VALUE(RIGHT($AG110:$CL110,1))),VALUE(RIGHT($AG110:$CL110,1)),0))=$J110,"T","F"))</f>
        <v/>
      </c>
      <c r="AE110" s="816" t="str">
        <f t="array" ref="AE110">IF($J110="","",SUM(IF(LEFT($AG110:$DX110,1)="s",1,0))-SUM(IF(RIGHT(LEFT($AG110:$DX110,2))="-",1,0)))</f>
        <v/>
      </c>
      <c r="AF110" s="816" t="str">
        <f t="array" ref="AF110">IF($J110="","",SUM(IF(LEFT($AG110:$DD110,1)="X",1,0)))</f>
        <v/>
      </c>
      <c r="AG110" s="897"/>
      <c r="AH110" s="897"/>
      <c r="AI110" s="897"/>
      <c r="AJ110" s="897"/>
      <c r="AK110" s="893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3"/>
      <c r="BG110" s="893"/>
      <c r="BH110" s="893"/>
      <c r="BI110" s="893"/>
      <c r="BJ110" s="893"/>
      <c r="BK110" s="893"/>
      <c r="BL110" s="897"/>
      <c r="BM110" s="897"/>
      <c r="BN110" s="897"/>
      <c r="BO110" s="897"/>
      <c r="BP110" s="897"/>
      <c r="BQ110" s="893"/>
      <c r="BR110" s="897"/>
      <c r="BS110" s="893"/>
      <c r="BT110" s="897"/>
      <c r="BU110" s="897"/>
      <c r="BV110" s="897"/>
      <c r="BW110" s="897"/>
      <c r="BX110" s="897"/>
      <c r="BY110" s="897"/>
      <c r="BZ110" s="897"/>
      <c r="CA110" s="897"/>
      <c r="CB110" s="897"/>
      <c r="CC110" s="897"/>
      <c r="CD110" s="897"/>
      <c r="CE110" s="897"/>
      <c r="CF110" s="897"/>
      <c r="CG110" s="897"/>
    </row>
    <row r="111" spans="1:85" ht="15">
      <c r="D111" s="816" t="str">
        <f>IF(I111=Table!$C$1,VLOOKUP(G111,Table!$B$38:$AO$61,Table!$AO$35-1,FALSE),"")</f>
        <v/>
      </c>
      <c r="E111" s="816" t="s">
        <v>32</v>
      </c>
      <c r="F111" s="816" t="str">
        <f>IF(I111="","",IF(I111=Table!$C$1,VLOOKUP(G111,Table!$B$9:$AE$32,Table!$AE$6-1,FALSE),""))</f>
        <v/>
      </c>
      <c r="G111" s="833"/>
      <c r="H111" s="833"/>
      <c r="I111" s="833"/>
      <c r="J111" s="833"/>
      <c r="K111" s="833"/>
      <c r="L111" s="816" t="str">
        <f t="shared" si="67"/>
        <v/>
      </c>
      <c r="M111" s="816" t="str">
        <f t="shared" si="68"/>
        <v/>
      </c>
      <c r="N111" s="816" t="str">
        <f t="shared" si="69"/>
        <v/>
      </c>
      <c r="R111" s="816" t="str">
        <f t="shared" si="70"/>
        <v/>
      </c>
      <c r="T111" s="829" t="str">
        <f t="shared" si="71"/>
        <v/>
      </c>
      <c r="U111" s="829"/>
      <c r="V111" s="829"/>
      <c r="W111" s="829"/>
      <c r="X111" s="829"/>
      <c r="Y111" s="829"/>
      <c r="Z111" s="829"/>
      <c r="AA111" s="829"/>
      <c r="AB111" s="829"/>
      <c r="AC111" s="829"/>
      <c r="AD111" s="816" t="str">
        <f t="array" ref="AD111">IF($J111="","",IF(SUM(IF(ISNUMBER(VALUE(RIGHT($AG111:$CL111,1))),VALUE(RIGHT($AG111:$CL111,1)),0))=$J111,"T","F"))</f>
        <v/>
      </c>
      <c r="AE111" s="816" t="str">
        <f t="array" ref="AE111">IF($J111="","",SUM(IF(LEFT($AG111:$DX111,1)="s",1,0))-SUM(IF(RIGHT(LEFT($AG111:$DX111,2))="-",1,0)))</f>
        <v/>
      </c>
      <c r="AF111" s="816" t="str">
        <f t="array" ref="AF111">IF($J111="","",SUM(IF(LEFT($AG111:$DD111,1)="X",1,0)))</f>
        <v/>
      </c>
      <c r="AG111" s="897"/>
      <c r="AH111" s="897"/>
      <c r="AI111" s="897"/>
      <c r="AJ111" s="897"/>
      <c r="AK111" s="893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3"/>
      <c r="BG111" s="893"/>
      <c r="BH111" s="893"/>
      <c r="BI111" s="893"/>
      <c r="BJ111" s="893"/>
      <c r="BK111" s="893"/>
      <c r="BL111" s="897"/>
      <c r="BM111" s="897"/>
      <c r="BN111" s="897"/>
      <c r="BO111" s="897"/>
      <c r="BP111" s="897"/>
      <c r="BQ111" s="893"/>
      <c r="BR111" s="897"/>
      <c r="BS111" s="893"/>
      <c r="BT111" s="897"/>
      <c r="BU111" s="897"/>
      <c r="BV111" s="897"/>
      <c r="BW111" s="897"/>
      <c r="BX111" s="897"/>
      <c r="BY111" s="897"/>
      <c r="BZ111" s="897"/>
      <c r="CA111" s="897"/>
      <c r="CB111" s="897"/>
      <c r="CC111" s="897"/>
      <c r="CD111" s="897"/>
      <c r="CE111" s="897"/>
      <c r="CF111" s="897"/>
      <c r="CG111" s="897"/>
    </row>
    <row r="112" spans="1:85" ht="15">
      <c r="D112" s="816" t="str">
        <f>IF(I112=Table!$C$1,VLOOKUP(G112,Table!$B$38:$AO$61,Table!$AO$35-1,FALSE),"")</f>
        <v/>
      </c>
      <c r="E112" s="816" t="s">
        <v>32</v>
      </c>
      <c r="F112" s="816" t="str">
        <f>IF(I112="","",IF(I112=Table!$C$1,VLOOKUP(G112,Table!$B$9:$AE$32,Table!$AE$6-1,FALSE),""))</f>
        <v/>
      </c>
      <c r="G112" s="833"/>
      <c r="H112" s="833"/>
      <c r="I112" s="833"/>
      <c r="J112" s="833"/>
      <c r="K112" s="833"/>
      <c r="L112" s="816" t="str">
        <f t="shared" si="67"/>
        <v/>
      </c>
      <c r="M112" s="816" t="str">
        <f t="shared" si="68"/>
        <v/>
      </c>
      <c r="N112" s="816" t="str">
        <f t="shared" si="69"/>
        <v/>
      </c>
      <c r="R112" s="816" t="str">
        <f t="shared" si="70"/>
        <v/>
      </c>
      <c r="T112" s="829" t="str">
        <f t="shared" si="71"/>
        <v/>
      </c>
      <c r="U112" s="829"/>
      <c r="V112" s="829"/>
      <c r="W112" s="829"/>
      <c r="X112" s="829"/>
      <c r="Y112" s="829"/>
      <c r="Z112" s="829"/>
      <c r="AA112" s="829"/>
      <c r="AB112" s="829"/>
      <c r="AC112" s="829"/>
      <c r="AD112" s="816" t="str">
        <f t="array" ref="AD112">IF($J112="","",IF(SUM(IF(ISNUMBER(VALUE(RIGHT($AG112:$CL112,1))),VALUE(RIGHT($AG112:$CL112,1)),0))=$J112,"T","F"))</f>
        <v/>
      </c>
      <c r="AE112" s="816" t="str">
        <f t="array" ref="AE112">IF($J112="","",SUM(IF(LEFT($AG112:$DX112,1)="s",1,0))-SUM(IF(RIGHT(LEFT($AG112:$DX112,2))="-",1,0)))</f>
        <v/>
      </c>
      <c r="AF112" s="816" t="str">
        <f t="array" ref="AF112">IF($J112="","",SUM(IF(LEFT($AG112:$DD112,1)="X",1,0)))</f>
        <v/>
      </c>
      <c r="AG112" s="897"/>
      <c r="AH112" s="897"/>
      <c r="AI112" s="897"/>
      <c r="AJ112" s="897"/>
      <c r="AK112" s="893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3"/>
      <c r="BG112" s="893"/>
      <c r="BH112" s="893"/>
      <c r="BI112" s="893"/>
      <c r="BJ112" s="893"/>
      <c r="BK112" s="893"/>
      <c r="BL112" s="897"/>
      <c r="BM112" s="897"/>
      <c r="BN112" s="897"/>
      <c r="BO112" s="897"/>
      <c r="BP112" s="897"/>
      <c r="BQ112" s="893"/>
      <c r="BR112" s="897"/>
      <c r="BS112" s="893"/>
      <c r="BT112" s="897"/>
      <c r="BU112" s="897"/>
      <c r="BV112" s="897"/>
      <c r="BW112" s="897"/>
      <c r="BX112" s="897"/>
      <c r="BY112" s="897"/>
      <c r="BZ112" s="897"/>
      <c r="CA112" s="897"/>
      <c r="CB112" s="897"/>
      <c r="CC112" s="897"/>
      <c r="CD112" s="897"/>
      <c r="CE112" s="897"/>
      <c r="CF112" s="897"/>
      <c r="CG112" s="897"/>
    </row>
    <row r="113" spans="4:85" ht="15">
      <c r="D113" s="816" t="str">
        <f>IF(I113=Table!$C$1,VLOOKUP(G113,Table!$B$38:$AO$61,Table!$AO$35-1,FALSE),"")</f>
        <v/>
      </c>
      <c r="E113" s="816" t="s">
        <v>32</v>
      </c>
      <c r="F113" s="816" t="str">
        <f>IF(I113="","",IF(I113=Table!$C$1,VLOOKUP(G113,Table!$B$9:$AE$32,Table!$AE$6-1,FALSE),""))</f>
        <v/>
      </c>
      <c r="G113" s="833"/>
      <c r="H113" s="833"/>
      <c r="I113" s="833"/>
      <c r="J113" s="833"/>
      <c r="K113" s="833"/>
      <c r="L113" s="816" t="str">
        <f t="shared" si="67"/>
        <v/>
      </c>
      <c r="M113" s="816" t="str">
        <f t="shared" si="68"/>
        <v/>
      </c>
      <c r="N113" s="816" t="str">
        <f t="shared" si="69"/>
        <v/>
      </c>
      <c r="R113" s="816" t="str">
        <f t="shared" si="70"/>
        <v/>
      </c>
      <c r="T113" s="829" t="str">
        <f t="shared" si="71"/>
        <v/>
      </c>
      <c r="U113" s="829"/>
      <c r="V113" s="829"/>
      <c r="W113" s="829"/>
      <c r="X113" s="829"/>
      <c r="Y113" s="829"/>
      <c r="Z113" s="829"/>
      <c r="AA113" s="829"/>
      <c r="AB113" s="829"/>
      <c r="AC113" s="829"/>
      <c r="AD113" s="816" t="str">
        <f t="array" ref="AD113">IF($J113="","",IF(SUM(IF(ISNUMBER(VALUE(RIGHT($AG113:$CL113,1))),VALUE(RIGHT($AG113:$CL113,1)),0))=$J113,"T","F"))</f>
        <v/>
      </c>
      <c r="AE113" s="816" t="str">
        <f t="array" ref="AE113">IF($J113="","",SUM(IF(LEFT($AG113:$DX113,1)="s",1,0))-SUM(IF(RIGHT(LEFT($AG113:$DX113,2))="-",1,0)))</f>
        <v/>
      </c>
      <c r="AF113" s="816" t="str">
        <f t="array" ref="AF113">IF($J113="","",SUM(IF(LEFT($AG113:$DD113,1)="X",1,0)))</f>
        <v/>
      </c>
      <c r="AG113" s="897"/>
      <c r="AH113" s="897"/>
      <c r="AI113" s="897"/>
      <c r="AJ113" s="897"/>
      <c r="AK113" s="893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3"/>
      <c r="BG113" s="893"/>
      <c r="BH113" s="893"/>
      <c r="BI113" s="893"/>
      <c r="BJ113" s="893"/>
      <c r="BK113" s="893"/>
      <c r="BL113" s="897"/>
      <c r="BM113" s="897"/>
      <c r="BN113" s="897"/>
      <c r="BO113" s="897"/>
      <c r="BP113" s="897"/>
      <c r="BQ113" s="893"/>
      <c r="BR113" s="897"/>
      <c r="BS113" s="893"/>
      <c r="BT113" s="897"/>
      <c r="BU113" s="897"/>
      <c r="BV113" s="897"/>
      <c r="BW113" s="897"/>
      <c r="BX113" s="897"/>
      <c r="BY113" s="897"/>
      <c r="BZ113" s="897"/>
      <c r="CA113" s="897"/>
      <c r="CB113" s="897"/>
      <c r="CC113" s="897"/>
      <c r="CD113" s="897"/>
      <c r="CE113" s="897"/>
      <c r="CF113" s="897"/>
      <c r="CG113" s="897"/>
    </row>
    <row r="114" spans="4:85" ht="15">
      <c r="D114" s="816" t="str">
        <f>IF(I114=Table!$C$1,VLOOKUP(G114,Table!$B$38:$AO$61,Table!$AO$35-1,FALSE),"")</f>
        <v/>
      </c>
      <c r="E114" s="816" t="s">
        <v>32</v>
      </c>
      <c r="F114" s="816" t="str">
        <f>IF(I114="","",IF(I114=Table!$C$1,VLOOKUP(G114,Table!$B$9:$AE$32,Table!$AE$6-1,FALSE),""))</f>
        <v/>
      </c>
      <c r="G114" s="833"/>
      <c r="H114" s="833"/>
      <c r="I114" s="833"/>
      <c r="J114" s="833"/>
      <c r="K114" s="833"/>
      <c r="L114" s="816" t="str">
        <f t="shared" si="67"/>
        <v/>
      </c>
      <c r="M114" s="816" t="str">
        <f t="shared" si="68"/>
        <v/>
      </c>
      <c r="N114" s="816" t="str">
        <f t="shared" si="69"/>
        <v/>
      </c>
      <c r="R114" s="816" t="str">
        <f t="shared" si="70"/>
        <v/>
      </c>
      <c r="T114" s="829" t="str">
        <f t="shared" si="71"/>
        <v/>
      </c>
      <c r="U114" s="829"/>
      <c r="V114" s="829"/>
      <c r="W114" s="829"/>
      <c r="X114" s="829"/>
      <c r="Y114" s="829"/>
      <c r="Z114" s="829"/>
      <c r="AA114" s="829"/>
      <c r="AB114" s="829"/>
      <c r="AC114" s="829"/>
      <c r="AD114" s="816" t="str">
        <f t="array" ref="AD114">IF($J114="","",IF(SUM(IF(ISNUMBER(VALUE(RIGHT($AG114:$CL114,1))),VALUE(RIGHT($AG114:$CL114,1)),0))=$J114,"T","F"))</f>
        <v/>
      </c>
      <c r="AE114" s="816" t="str">
        <f t="array" ref="AE114">IF($J114="","",SUM(IF(LEFT($AG114:$DX114,1)="s",1,0))-SUM(IF(RIGHT(LEFT($AG114:$DX114,2))="-",1,0)))</f>
        <v/>
      </c>
      <c r="AF114" s="816" t="str">
        <f t="array" ref="AF114">IF($J114="","",SUM(IF(LEFT($AG114:$DD114,1)="X",1,0)))</f>
        <v/>
      </c>
      <c r="AG114" s="897"/>
      <c r="AH114" s="897"/>
      <c r="AI114" s="897"/>
      <c r="AJ114" s="897"/>
      <c r="AK114" s="893"/>
      <c r="AL114" s="897"/>
      <c r="AM114" s="897"/>
      <c r="AN114" s="897"/>
      <c r="AO114" s="897"/>
      <c r="AP114" s="897"/>
      <c r="AQ114" s="897"/>
      <c r="AR114" s="897"/>
      <c r="AS114" s="897"/>
      <c r="AT114" s="897"/>
      <c r="AU114" s="897"/>
      <c r="AV114" s="897"/>
      <c r="AW114" s="897"/>
      <c r="AX114" s="897"/>
      <c r="AY114" s="897"/>
      <c r="AZ114" s="897"/>
      <c r="BA114" s="897"/>
      <c r="BB114" s="897"/>
      <c r="BC114" s="897"/>
      <c r="BD114" s="897"/>
      <c r="BE114" s="897"/>
      <c r="BF114" s="893"/>
      <c r="BG114" s="893"/>
      <c r="BH114" s="893"/>
      <c r="BI114" s="893"/>
      <c r="BJ114" s="893"/>
      <c r="BK114" s="893"/>
      <c r="BL114" s="897"/>
      <c r="BM114" s="897"/>
      <c r="BN114" s="897"/>
      <c r="BO114" s="897"/>
      <c r="BP114" s="897"/>
      <c r="BQ114" s="893"/>
      <c r="BR114" s="897"/>
      <c r="BS114" s="893"/>
      <c r="BT114" s="897"/>
      <c r="BU114" s="897"/>
      <c r="BV114" s="897"/>
      <c r="BW114" s="897"/>
      <c r="BX114" s="897"/>
      <c r="BY114" s="897"/>
      <c r="BZ114" s="897"/>
      <c r="CA114" s="897"/>
      <c r="CB114" s="897"/>
      <c r="CC114" s="897"/>
      <c r="CD114" s="897"/>
      <c r="CE114" s="897"/>
      <c r="CF114" s="897"/>
      <c r="CG114" s="897"/>
    </row>
    <row r="115" spans="4:85" ht="15">
      <c r="D115" s="816" t="str">
        <f>IF(I115=Table!$C$1,VLOOKUP(G115,Table!$B$38:$AO$61,Table!$AO$35-1,FALSE),"")</f>
        <v/>
      </c>
      <c r="E115" s="816" t="s">
        <v>32</v>
      </c>
      <c r="F115" s="816" t="str">
        <f>IF(I115="","",IF(I115=Table!$C$1,VLOOKUP(G115,Table!$B$9:$AE$32,Table!$AE$6-1,FALSE),""))</f>
        <v/>
      </c>
      <c r="G115" s="833"/>
      <c r="H115" s="833"/>
      <c r="I115" s="833"/>
      <c r="J115" s="833"/>
      <c r="K115" s="833"/>
      <c r="L115" s="816" t="str">
        <f t="shared" si="67"/>
        <v/>
      </c>
      <c r="M115" s="816" t="str">
        <f t="shared" si="68"/>
        <v/>
      </c>
      <c r="N115" s="816" t="str">
        <f t="shared" si="69"/>
        <v/>
      </c>
      <c r="R115" s="816" t="str">
        <f t="shared" si="70"/>
        <v/>
      </c>
      <c r="T115" s="829" t="str">
        <f t="shared" si="71"/>
        <v/>
      </c>
      <c r="U115" s="829"/>
      <c r="V115" s="829"/>
      <c r="W115" s="829"/>
      <c r="X115" s="829"/>
      <c r="Y115" s="829"/>
      <c r="Z115" s="829"/>
      <c r="AA115" s="829"/>
      <c r="AB115" s="829"/>
      <c r="AC115" s="829"/>
      <c r="AD115" s="816" t="str">
        <f t="array" ref="AD115">IF($J115="","",IF(SUM(IF(ISNUMBER(VALUE(RIGHT($AG115:$CL115,1))),VALUE(RIGHT($AG115:$CL115,1)),0))=$J115,"T","F"))</f>
        <v/>
      </c>
      <c r="AE115" s="816" t="str">
        <f t="array" ref="AE115">IF($J115="","",SUM(IF(LEFT($AG115:$DX115,1)="s",1,0))-SUM(IF(RIGHT(LEFT($AG115:$DX115,2))="-",1,0)))</f>
        <v/>
      </c>
      <c r="AF115" s="816" t="str">
        <f t="array" ref="AF115">IF($J115="","",SUM(IF(LEFT($AG115:$DD115,1)="X",1,0)))</f>
        <v/>
      </c>
      <c r="AG115" s="897"/>
      <c r="AH115" s="897"/>
      <c r="AI115" s="897"/>
      <c r="AJ115" s="897"/>
      <c r="AK115" s="893"/>
      <c r="AL115" s="897"/>
      <c r="AM115" s="897"/>
      <c r="AN115" s="897"/>
      <c r="AO115" s="897"/>
      <c r="AP115" s="897"/>
      <c r="AQ115" s="897"/>
      <c r="AR115" s="897"/>
      <c r="AS115" s="897"/>
      <c r="AT115" s="897"/>
      <c r="AU115" s="897"/>
      <c r="AV115" s="897"/>
      <c r="AW115" s="897"/>
      <c r="AX115" s="897"/>
      <c r="AY115" s="897"/>
      <c r="AZ115" s="897"/>
      <c r="BA115" s="897"/>
      <c r="BB115" s="897"/>
      <c r="BC115" s="897"/>
      <c r="BD115" s="897"/>
      <c r="BE115" s="897"/>
      <c r="BF115" s="893"/>
      <c r="BG115" s="893"/>
      <c r="BH115" s="893"/>
      <c r="BI115" s="893"/>
      <c r="BJ115" s="893"/>
      <c r="BK115" s="893"/>
      <c r="BL115" s="897"/>
      <c r="BM115" s="897"/>
      <c r="BN115" s="897"/>
      <c r="BO115" s="897"/>
      <c r="BP115" s="897"/>
      <c r="BQ115" s="893"/>
      <c r="BR115" s="897"/>
      <c r="BS115" s="893"/>
      <c r="BT115" s="897"/>
      <c r="BU115" s="897"/>
      <c r="BV115" s="897"/>
      <c r="BW115" s="897"/>
      <c r="BX115" s="897"/>
      <c r="BY115" s="897"/>
      <c r="BZ115" s="897"/>
      <c r="CA115" s="897"/>
      <c r="CB115" s="897"/>
      <c r="CC115" s="897"/>
      <c r="CD115" s="897"/>
      <c r="CE115" s="897"/>
      <c r="CF115" s="897"/>
      <c r="CG115" s="897"/>
    </row>
    <row r="116" spans="4:85" ht="15">
      <c r="D116" s="816" t="str">
        <f>IF(I116=Table!$C$1,VLOOKUP(G116,Table!$B$38:$AO$61,Table!$AO$35-1,FALSE),"")</f>
        <v/>
      </c>
      <c r="E116" s="816" t="s">
        <v>32</v>
      </c>
      <c r="F116" s="816" t="str">
        <f>IF(I116="","",IF(I116=Table!$C$1,VLOOKUP(G116,Table!$B$9:$AE$32,Table!$AE$6-1,FALSE),""))</f>
        <v/>
      </c>
      <c r="G116" s="833"/>
      <c r="H116" s="833"/>
      <c r="I116" s="833"/>
      <c r="J116" s="833"/>
      <c r="K116" s="833"/>
      <c r="L116" s="816" t="str">
        <f t="shared" si="67"/>
        <v/>
      </c>
      <c r="M116" s="816" t="str">
        <f t="shared" si="68"/>
        <v/>
      </c>
      <c r="N116" s="816" t="str">
        <f t="shared" si="69"/>
        <v/>
      </c>
      <c r="R116" s="816" t="str">
        <f t="shared" si="70"/>
        <v/>
      </c>
      <c r="T116" s="829" t="str">
        <f t="shared" si="71"/>
        <v/>
      </c>
      <c r="U116" s="829"/>
      <c r="V116" s="829"/>
      <c r="W116" s="829"/>
      <c r="X116" s="829"/>
      <c r="Y116" s="829"/>
      <c r="Z116" s="829"/>
      <c r="AA116" s="829"/>
      <c r="AB116" s="829"/>
      <c r="AC116" s="829"/>
      <c r="AD116" s="816" t="str">
        <f t="array" ref="AD116">IF($J116="","",IF(SUM(IF(ISNUMBER(VALUE(RIGHT($AG116:$CL116,1))),VALUE(RIGHT($AG116:$CL116,1)),0))=$J116,"T","F"))</f>
        <v/>
      </c>
      <c r="AE116" s="816" t="str">
        <f t="array" ref="AE116">IF($J116="","",SUM(IF(LEFT($AG116:$DX116,1)="s",1,0))-SUM(IF(RIGHT(LEFT($AG116:$DX116,2))="-",1,0)))</f>
        <v/>
      </c>
      <c r="AF116" s="816" t="str">
        <f t="array" ref="AF116">IF($J116="","",SUM(IF(LEFT($AG116:$DD116,1)="X",1,0)))</f>
        <v/>
      </c>
      <c r="AG116" s="897"/>
      <c r="AH116" s="897"/>
      <c r="AI116" s="897"/>
      <c r="AJ116" s="897"/>
      <c r="AK116" s="893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7"/>
      <c r="BD116" s="897"/>
      <c r="BE116" s="897"/>
      <c r="BF116" s="893"/>
      <c r="BG116" s="893"/>
      <c r="BH116" s="893"/>
      <c r="BI116" s="893"/>
      <c r="BJ116" s="893"/>
      <c r="BK116" s="893"/>
      <c r="BL116" s="897"/>
      <c r="BM116" s="897"/>
      <c r="BN116" s="897"/>
      <c r="BO116" s="897"/>
      <c r="BP116" s="897"/>
      <c r="BQ116" s="893"/>
      <c r="BR116" s="897"/>
      <c r="BS116" s="893"/>
      <c r="BT116" s="897"/>
      <c r="BU116" s="897"/>
      <c r="BV116" s="897"/>
      <c r="BW116" s="897"/>
      <c r="BX116" s="897"/>
      <c r="BY116" s="897"/>
      <c r="BZ116" s="897"/>
      <c r="CA116" s="897"/>
      <c r="CB116" s="897"/>
      <c r="CC116" s="897"/>
      <c r="CD116" s="897"/>
      <c r="CE116" s="897"/>
      <c r="CF116" s="897"/>
      <c r="CG116" s="897"/>
    </row>
    <row r="117" spans="4:85" ht="15">
      <c r="D117" s="816" t="str">
        <f>IF(I117=Table!$C$1,VLOOKUP(G117,Table!$B$38:$AO$61,Table!$AO$35-1,FALSE),"")</f>
        <v/>
      </c>
      <c r="E117" s="816" t="s">
        <v>32</v>
      </c>
      <c r="F117" s="816" t="str">
        <f>IF(I117="","",IF(I117=Table!$C$1,VLOOKUP(G117,Table!$B$9:$AE$32,Table!$AE$6-1,FALSE),""))</f>
        <v/>
      </c>
      <c r="G117" s="833"/>
      <c r="H117" s="833"/>
      <c r="I117" s="833"/>
      <c r="J117" s="833"/>
      <c r="K117" s="833"/>
      <c r="L117" s="816" t="str">
        <f t="shared" si="67"/>
        <v/>
      </c>
      <c r="M117" s="816" t="str">
        <f t="shared" si="68"/>
        <v/>
      </c>
      <c r="N117" s="816" t="str">
        <f t="shared" si="69"/>
        <v/>
      </c>
      <c r="R117" s="816" t="str">
        <f t="shared" si="70"/>
        <v/>
      </c>
      <c r="T117" s="829" t="str">
        <f t="shared" si="71"/>
        <v/>
      </c>
      <c r="U117" s="829"/>
      <c r="V117" s="829"/>
      <c r="W117" s="829"/>
      <c r="X117" s="829"/>
      <c r="Y117" s="829"/>
      <c r="Z117" s="829"/>
      <c r="AA117" s="829"/>
      <c r="AB117" s="829"/>
      <c r="AC117" s="829"/>
      <c r="AD117" s="816" t="str">
        <f t="array" ref="AD117">IF($J117="","",IF(SUM(IF(ISNUMBER(VALUE(RIGHT($AG117:$CL117,1))),VALUE(RIGHT($AG117:$CL117,1)),0))=$J117,"T","F"))</f>
        <v/>
      </c>
      <c r="AE117" s="816" t="str">
        <f t="array" ref="AE117">IF($J117="","",SUM(IF(LEFT($AG117:$DX117,1)="s",1,0))-SUM(IF(RIGHT(LEFT($AG117:$DX117,2))="-",1,0)))</f>
        <v/>
      </c>
      <c r="AF117" s="816" t="str">
        <f t="array" ref="AF117">IF($J117="","",SUM(IF(LEFT($AG117:$DD117,1)="X",1,0)))</f>
        <v/>
      </c>
      <c r="AG117" s="897"/>
      <c r="AH117" s="897"/>
      <c r="AI117" s="897"/>
      <c r="AJ117" s="897"/>
      <c r="AK117" s="893"/>
      <c r="AL117" s="897"/>
      <c r="AM117" s="897"/>
      <c r="AN117" s="897"/>
      <c r="AO117" s="897"/>
      <c r="AP117" s="897"/>
      <c r="AQ117" s="897"/>
      <c r="AR117" s="897"/>
      <c r="AS117" s="897"/>
      <c r="AT117" s="897"/>
      <c r="AU117" s="897"/>
      <c r="AV117" s="897"/>
      <c r="AW117" s="897"/>
      <c r="AX117" s="897"/>
      <c r="AY117" s="897"/>
      <c r="AZ117" s="897"/>
      <c r="BA117" s="897"/>
      <c r="BB117" s="897"/>
      <c r="BC117" s="897"/>
      <c r="BD117" s="897"/>
      <c r="BE117" s="897"/>
      <c r="BF117" s="893"/>
      <c r="BG117" s="893"/>
      <c r="BH117" s="893"/>
      <c r="BI117" s="893"/>
      <c r="BJ117" s="893"/>
      <c r="BK117" s="893"/>
      <c r="BL117" s="897"/>
      <c r="BM117" s="897"/>
      <c r="BN117" s="897"/>
      <c r="BO117" s="897"/>
      <c r="BP117" s="897"/>
      <c r="BQ117" s="893"/>
      <c r="BR117" s="897"/>
      <c r="BS117" s="893"/>
      <c r="BT117" s="897"/>
      <c r="BU117" s="897"/>
      <c r="BV117" s="897"/>
      <c r="BW117" s="897"/>
      <c r="BX117" s="897"/>
      <c r="BY117" s="897"/>
      <c r="BZ117" s="897"/>
      <c r="CA117" s="897"/>
      <c r="CB117" s="897"/>
      <c r="CC117" s="897"/>
      <c r="CD117" s="897"/>
      <c r="CE117" s="897"/>
      <c r="CF117" s="897"/>
      <c r="CG117" s="897"/>
    </row>
    <row r="118" spans="4:85" ht="15">
      <c r="D118" s="816" t="str">
        <f>IF(I118=Table!$C$1,VLOOKUP(G118,Table!$B$38:$AO$61,Table!$AO$35-1,FALSE),"")</f>
        <v/>
      </c>
      <c r="E118" s="816" t="s">
        <v>32</v>
      </c>
      <c r="F118" s="816" t="str">
        <f>IF(I118="","",IF(I118=Table!$C$1,VLOOKUP(G118,Table!$B$9:$AE$32,Table!$AE$6-1,FALSE),""))</f>
        <v/>
      </c>
      <c r="G118" s="833"/>
      <c r="H118" s="833"/>
      <c r="I118" s="833"/>
      <c r="J118" s="833"/>
      <c r="K118" s="833"/>
      <c r="L118" s="816" t="str">
        <f t="shared" si="67"/>
        <v/>
      </c>
      <c r="M118" s="816" t="str">
        <f t="shared" si="68"/>
        <v/>
      </c>
      <c r="N118" s="816" t="str">
        <f t="shared" si="69"/>
        <v/>
      </c>
      <c r="R118" s="816" t="str">
        <f t="shared" si="70"/>
        <v/>
      </c>
      <c r="T118" s="829" t="str">
        <f t="shared" si="71"/>
        <v/>
      </c>
      <c r="U118" s="829"/>
      <c r="V118" s="829"/>
      <c r="W118" s="829"/>
      <c r="X118" s="829"/>
      <c r="Y118" s="829"/>
      <c r="Z118" s="829"/>
      <c r="AA118" s="829"/>
      <c r="AB118" s="829"/>
      <c r="AC118" s="829"/>
      <c r="AD118" s="816" t="str">
        <f t="array" ref="AD118">IF($J118="","",IF(SUM(IF(ISNUMBER(VALUE(RIGHT($AG118:$CL118,1))),VALUE(RIGHT($AG118:$CL118,1)),0))=$J118,"T","F"))</f>
        <v/>
      </c>
      <c r="AE118" s="816" t="str">
        <f t="array" ref="AE118">IF($J118="","",SUM(IF(LEFT($AG118:$DX118,1)="s",1,0))-SUM(IF(RIGHT(LEFT($AG118:$DX118,2))="-",1,0)))</f>
        <v/>
      </c>
      <c r="AF118" s="816" t="str">
        <f t="array" ref="AF118">IF($J118="","",SUM(IF(LEFT($AG118:$DD118,1)="X",1,0)))</f>
        <v/>
      </c>
      <c r="AG118" s="897"/>
      <c r="AH118" s="897"/>
      <c r="AI118" s="897"/>
      <c r="AJ118" s="897"/>
      <c r="AK118" s="893"/>
      <c r="AL118" s="897"/>
      <c r="AM118" s="897"/>
      <c r="AN118" s="897"/>
      <c r="AO118" s="897"/>
      <c r="AP118" s="897"/>
      <c r="AQ118" s="897"/>
      <c r="AR118" s="897"/>
      <c r="AS118" s="897"/>
      <c r="AT118" s="897"/>
      <c r="AU118" s="897"/>
      <c r="AV118" s="897"/>
      <c r="AW118" s="897"/>
      <c r="AX118" s="897"/>
      <c r="AY118" s="897"/>
      <c r="AZ118" s="897"/>
      <c r="BA118" s="897"/>
      <c r="BB118" s="897"/>
      <c r="BC118" s="897"/>
      <c r="BD118" s="897"/>
      <c r="BE118" s="897"/>
      <c r="BF118" s="893"/>
      <c r="BG118" s="893"/>
      <c r="BH118" s="893"/>
      <c r="BI118" s="893"/>
      <c r="BJ118" s="893"/>
      <c r="BK118" s="893"/>
      <c r="BL118" s="897"/>
      <c r="BM118" s="897"/>
      <c r="BN118" s="897"/>
      <c r="BO118" s="897"/>
      <c r="BP118" s="897"/>
      <c r="BQ118" s="893"/>
      <c r="BR118" s="897"/>
      <c r="BS118" s="893"/>
      <c r="BT118" s="897"/>
      <c r="BU118" s="897"/>
      <c r="BV118" s="897"/>
      <c r="BW118" s="897"/>
      <c r="BX118" s="897"/>
      <c r="BY118" s="897"/>
      <c r="BZ118" s="897"/>
      <c r="CA118" s="897"/>
      <c r="CB118" s="897"/>
      <c r="CC118" s="897"/>
      <c r="CD118" s="897"/>
      <c r="CE118" s="897"/>
      <c r="CF118" s="897"/>
      <c r="CG118" s="897"/>
    </row>
    <row r="119" spans="4:85" ht="15">
      <c r="D119" s="816" t="str">
        <f>IF(I119=Table!$C$1,VLOOKUP(G119,Table!$B$38:$AO$61,Table!$AO$35-1,FALSE),"")</f>
        <v/>
      </c>
      <c r="E119" s="816" t="s">
        <v>32</v>
      </c>
      <c r="F119" s="816" t="str">
        <f>IF(I119="","",IF(I119=Table!$C$1,VLOOKUP(G119,Table!$B$9:$AE$32,Table!$AE$6-1,FALSE),""))</f>
        <v/>
      </c>
      <c r="G119" s="833"/>
      <c r="H119" s="833"/>
      <c r="I119" s="833"/>
      <c r="J119" s="833"/>
      <c r="K119" s="833"/>
      <c r="L119" s="816" t="str">
        <f t="shared" si="67"/>
        <v/>
      </c>
      <c r="M119" s="816" t="str">
        <f t="shared" si="68"/>
        <v/>
      </c>
      <c r="N119" s="816" t="str">
        <f t="shared" si="69"/>
        <v/>
      </c>
      <c r="R119" s="816" t="str">
        <f t="shared" si="70"/>
        <v/>
      </c>
      <c r="T119" s="829" t="str">
        <f t="shared" si="71"/>
        <v/>
      </c>
      <c r="U119" s="829"/>
      <c r="V119" s="829"/>
      <c r="W119" s="829"/>
      <c r="X119" s="829"/>
      <c r="Y119" s="829"/>
      <c r="Z119" s="829"/>
      <c r="AA119" s="829"/>
      <c r="AB119" s="829"/>
      <c r="AC119" s="829"/>
      <c r="AD119" s="816" t="str">
        <f t="array" ref="AD119">IF($J119="","",IF(SUM(IF(ISNUMBER(VALUE(RIGHT($AG119:$CL119,1))),VALUE(RIGHT($AG119:$CL119,1)),0))=$J119,"T","F"))</f>
        <v/>
      </c>
      <c r="AE119" s="816" t="str">
        <f t="array" ref="AE119">IF($J119="","",SUM(IF(LEFT($AG119:$DX119,1)="s",1,0))-SUM(IF(RIGHT(LEFT($AG119:$DX119,2))="-",1,0)))</f>
        <v/>
      </c>
      <c r="AF119" s="816" t="str">
        <f t="array" ref="AF119">IF($J119="","",SUM(IF(LEFT($AG119:$DD119,1)="X",1,0)))</f>
        <v/>
      </c>
      <c r="AG119" s="897"/>
      <c r="AH119" s="897"/>
      <c r="AI119" s="897"/>
      <c r="AJ119" s="897"/>
      <c r="AK119" s="893"/>
      <c r="AL119" s="897"/>
      <c r="AM119" s="897"/>
      <c r="AN119" s="897"/>
      <c r="AO119" s="897"/>
      <c r="AP119" s="897"/>
      <c r="AQ119" s="897"/>
      <c r="AR119" s="897"/>
      <c r="AS119" s="897"/>
      <c r="AT119" s="897"/>
      <c r="AU119" s="897"/>
      <c r="AV119" s="897"/>
      <c r="AW119" s="897"/>
      <c r="AX119" s="897"/>
      <c r="AY119" s="897"/>
      <c r="AZ119" s="897"/>
      <c r="BA119" s="897"/>
      <c r="BB119" s="897"/>
      <c r="BC119" s="897"/>
      <c r="BD119" s="897"/>
      <c r="BE119" s="897"/>
      <c r="BF119" s="893"/>
      <c r="BG119" s="893"/>
      <c r="BH119" s="893"/>
      <c r="BI119" s="893"/>
      <c r="BJ119" s="893"/>
      <c r="BK119" s="893"/>
      <c r="BL119" s="897"/>
      <c r="BM119" s="897"/>
      <c r="BN119" s="897"/>
      <c r="BO119" s="897"/>
      <c r="BP119" s="897"/>
      <c r="BQ119" s="893"/>
      <c r="BR119" s="897"/>
      <c r="BS119" s="893"/>
      <c r="BT119" s="897"/>
      <c r="BU119" s="897"/>
      <c r="BV119" s="897"/>
      <c r="BW119" s="897"/>
      <c r="BX119" s="897"/>
      <c r="BY119" s="897"/>
      <c r="BZ119" s="897"/>
      <c r="CA119" s="897"/>
      <c r="CB119" s="897"/>
      <c r="CC119" s="897"/>
      <c r="CD119" s="897"/>
      <c r="CE119" s="897"/>
      <c r="CF119" s="897"/>
      <c r="CG119" s="897"/>
    </row>
    <row r="120" spans="4:85" ht="15">
      <c r="D120" s="816" t="str">
        <f>IF(I120=Table!$C$1,VLOOKUP(G120,Table!$B$38:$AO$61,Table!$AO$35-1,FALSE),"")</f>
        <v/>
      </c>
      <c r="E120" s="816" t="s">
        <v>32</v>
      </c>
      <c r="F120" s="816" t="str">
        <f>IF(I120="","",IF(I120=Table!$C$1,VLOOKUP(G120,Table!$B$9:$AE$32,Table!$AE$6-1,FALSE),""))</f>
        <v/>
      </c>
      <c r="G120" s="833"/>
      <c r="H120" s="833"/>
      <c r="I120" s="833"/>
      <c r="J120" s="833"/>
      <c r="K120" s="833"/>
      <c r="L120" s="816" t="str">
        <f t="shared" si="67"/>
        <v/>
      </c>
      <c r="M120" s="816" t="str">
        <f t="shared" si="68"/>
        <v/>
      </c>
      <c r="N120" s="816" t="str">
        <f t="shared" si="69"/>
        <v/>
      </c>
      <c r="R120" s="816" t="str">
        <f t="shared" si="70"/>
        <v/>
      </c>
      <c r="T120" s="829" t="str">
        <f t="shared" si="71"/>
        <v/>
      </c>
      <c r="U120" s="829"/>
      <c r="V120" s="829"/>
      <c r="W120" s="829"/>
      <c r="X120" s="829"/>
      <c r="Y120" s="829"/>
      <c r="Z120" s="829"/>
      <c r="AA120" s="829"/>
      <c r="AB120" s="829"/>
      <c r="AC120" s="829"/>
      <c r="AD120" s="816" t="str">
        <f t="array" ref="AD120">IF($J120="","",IF(SUM(IF(ISNUMBER(VALUE(RIGHT($AG120:$CL120,1))),VALUE(RIGHT($AG120:$CL120,1)),0))=$J120,"T","F"))</f>
        <v/>
      </c>
      <c r="AE120" s="816" t="str">
        <f t="array" ref="AE120">IF($J120="","",SUM(IF(LEFT($AG120:$DX120,1)="s",1,0))-SUM(IF(RIGHT(LEFT($AG120:$DX120,2))="-",1,0)))</f>
        <v/>
      </c>
      <c r="AF120" s="816" t="str">
        <f t="array" ref="AF120">IF($J120="","",SUM(IF(LEFT($AG120:$DD120,1)="X",1,0)))</f>
        <v/>
      </c>
      <c r="AG120" s="897"/>
      <c r="AH120" s="897"/>
      <c r="AI120" s="897"/>
      <c r="AJ120" s="897"/>
      <c r="AK120" s="893"/>
      <c r="AL120" s="897"/>
      <c r="AM120" s="897"/>
      <c r="AN120" s="897"/>
      <c r="AO120" s="897"/>
      <c r="AP120" s="897"/>
      <c r="AQ120" s="897"/>
      <c r="AR120" s="897"/>
      <c r="AS120" s="897"/>
      <c r="AT120" s="897"/>
      <c r="AU120" s="897"/>
      <c r="AV120" s="897"/>
      <c r="AW120" s="897"/>
      <c r="AX120" s="897"/>
      <c r="AY120" s="897"/>
      <c r="AZ120" s="897"/>
      <c r="BA120" s="897"/>
      <c r="BB120" s="897"/>
      <c r="BC120" s="897"/>
      <c r="BD120" s="897"/>
      <c r="BE120" s="897"/>
      <c r="BF120" s="893"/>
      <c r="BG120" s="893"/>
      <c r="BH120" s="893"/>
      <c r="BI120" s="893"/>
      <c r="BJ120" s="893"/>
      <c r="BK120" s="893"/>
      <c r="BL120" s="897"/>
      <c r="BM120" s="897"/>
      <c r="BN120" s="897"/>
      <c r="BO120" s="897"/>
      <c r="BP120" s="897"/>
      <c r="BQ120" s="893"/>
      <c r="BR120" s="897"/>
      <c r="BS120" s="893"/>
      <c r="BT120" s="897"/>
      <c r="BU120" s="897"/>
      <c r="BV120" s="897"/>
      <c r="BW120" s="897"/>
      <c r="BX120" s="897"/>
      <c r="BY120" s="897"/>
      <c r="BZ120" s="897"/>
      <c r="CA120" s="897"/>
      <c r="CB120" s="897"/>
      <c r="CC120" s="897"/>
      <c r="CD120" s="897"/>
      <c r="CE120" s="897"/>
      <c r="CF120" s="897"/>
      <c r="CG120" s="897"/>
    </row>
    <row r="121" spans="4:85" ht="15">
      <c r="D121" s="816" t="str">
        <f>IF(I121=Table!$C$1,VLOOKUP(G121,Table!$B$38:$AO$61,Table!$AO$35-1,FALSE),"")</f>
        <v/>
      </c>
      <c r="E121" s="816" t="s">
        <v>32</v>
      </c>
      <c r="F121" s="816" t="str">
        <f>IF(I121="","",IF(I121=Table!$C$1,VLOOKUP(G121,Table!$B$9:$AE$32,Table!$AE$6-1,FALSE),""))</f>
        <v/>
      </c>
      <c r="G121" s="833"/>
      <c r="H121" s="833"/>
      <c r="I121" s="833"/>
      <c r="J121" s="833"/>
      <c r="K121" s="833"/>
      <c r="L121" s="816" t="str">
        <f t="shared" si="67"/>
        <v/>
      </c>
      <c r="M121" s="816" t="str">
        <f t="shared" si="68"/>
        <v/>
      </c>
      <c r="N121" s="816" t="str">
        <f t="shared" si="69"/>
        <v/>
      </c>
      <c r="R121" s="816" t="str">
        <f t="shared" si="70"/>
        <v/>
      </c>
      <c r="T121" s="829" t="str">
        <f t="shared" si="71"/>
        <v/>
      </c>
      <c r="U121" s="829"/>
      <c r="V121" s="829"/>
      <c r="W121" s="829"/>
      <c r="X121" s="829"/>
      <c r="Y121" s="829"/>
      <c r="Z121" s="829"/>
      <c r="AA121" s="829"/>
      <c r="AB121" s="829"/>
      <c r="AC121" s="829"/>
      <c r="AD121" s="816" t="str">
        <f t="array" ref="AD121">IF($J121="","",IF(SUM(IF(ISNUMBER(VALUE(RIGHT($AG121:$CL121,1))),VALUE(RIGHT($AG121:$CL121,1)),0))=$J121,"T","F"))</f>
        <v/>
      </c>
      <c r="AE121" s="816" t="str">
        <f t="array" ref="AE121">IF($J121="","",SUM(IF(LEFT($AG121:$DX121,1)="s",1,0))-SUM(IF(RIGHT(LEFT($AG121:$DX121,2))="-",1,0)))</f>
        <v/>
      </c>
      <c r="AF121" s="816" t="str">
        <f t="array" ref="AF121">IF($J121="","",SUM(IF(LEFT($AG121:$DD121,1)="X",1,0)))</f>
        <v/>
      </c>
      <c r="AG121" s="897"/>
      <c r="AH121" s="897"/>
      <c r="AI121" s="897"/>
      <c r="AJ121" s="897"/>
      <c r="AK121" s="893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3"/>
      <c r="BG121" s="893"/>
      <c r="BH121" s="893"/>
      <c r="BI121" s="893"/>
      <c r="BJ121" s="893"/>
      <c r="BK121" s="893"/>
      <c r="BL121" s="897"/>
      <c r="BM121" s="897"/>
      <c r="BN121" s="897"/>
      <c r="BO121" s="897"/>
      <c r="BP121" s="897"/>
      <c r="BQ121" s="893"/>
      <c r="BR121" s="897"/>
      <c r="BS121" s="893"/>
      <c r="BT121" s="897"/>
      <c r="BU121" s="897"/>
      <c r="BV121" s="897"/>
      <c r="BW121" s="897"/>
      <c r="BX121" s="897"/>
      <c r="BY121" s="897"/>
      <c r="BZ121" s="897"/>
      <c r="CA121" s="897"/>
      <c r="CB121" s="897"/>
      <c r="CC121" s="897"/>
      <c r="CD121" s="897"/>
      <c r="CE121" s="897"/>
      <c r="CF121" s="897"/>
      <c r="CG121" s="897"/>
    </row>
    <row r="122" spans="4:85" ht="15">
      <c r="D122" s="816" t="str">
        <f>IF(I122=Table!$C$1,VLOOKUP(G122,Table!$B$38:$AO$61,Table!$AO$35-1,FALSE),"")</f>
        <v/>
      </c>
      <c r="E122" s="816" t="s">
        <v>32</v>
      </c>
      <c r="F122" s="816" t="str">
        <f>IF(I122="","",IF(I122=Table!$C$1,VLOOKUP(G122,Table!$B$9:$AE$32,Table!$AE$6-1,FALSE),""))</f>
        <v/>
      </c>
      <c r="G122" s="833"/>
      <c r="H122" s="833"/>
      <c r="I122" s="833"/>
      <c r="J122" s="833"/>
      <c r="K122" s="833"/>
      <c r="L122" s="816" t="str">
        <f t="shared" si="67"/>
        <v/>
      </c>
      <c r="M122" s="816" t="str">
        <f t="shared" si="68"/>
        <v/>
      </c>
      <c r="N122" s="816" t="str">
        <f t="shared" si="69"/>
        <v/>
      </c>
      <c r="R122" s="816" t="str">
        <f t="shared" si="70"/>
        <v/>
      </c>
      <c r="T122" s="829" t="str">
        <f t="shared" si="71"/>
        <v/>
      </c>
      <c r="U122" s="829"/>
      <c r="V122" s="829"/>
      <c r="W122" s="829"/>
      <c r="X122" s="829"/>
      <c r="Y122" s="829"/>
      <c r="Z122" s="829"/>
      <c r="AA122" s="829"/>
      <c r="AB122" s="829"/>
      <c r="AC122" s="829"/>
      <c r="AD122" s="816" t="str">
        <f t="array" ref="AD122">IF($J122="","",IF(SUM(IF(ISNUMBER(VALUE(RIGHT($AG122:$CL122,1))),VALUE(RIGHT($AG122:$CL122,1)),0))=$J122,"T","F"))</f>
        <v/>
      </c>
      <c r="AE122" s="816" t="str">
        <f t="array" ref="AE122">IF($J122="","",SUM(IF(LEFT($AG122:$DX122,1)="s",1,0))-SUM(IF(RIGHT(LEFT($AG122:$DX122,2))="-",1,0)))</f>
        <v/>
      </c>
      <c r="AF122" s="816" t="str">
        <f t="array" ref="AF122">IF($J122="","",SUM(IF(LEFT($AG122:$DD122,1)="X",1,0)))</f>
        <v/>
      </c>
      <c r="AG122" s="897"/>
      <c r="AH122" s="897"/>
      <c r="AI122" s="897"/>
      <c r="AJ122" s="897"/>
      <c r="AK122" s="893"/>
      <c r="AL122" s="897"/>
      <c r="AM122" s="897"/>
      <c r="AN122" s="897"/>
      <c r="AO122" s="897"/>
      <c r="AP122" s="897"/>
      <c r="AQ122" s="897"/>
      <c r="AR122" s="897"/>
      <c r="AS122" s="897"/>
      <c r="AT122" s="897"/>
      <c r="AU122" s="897"/>
      <c r="AV122" s="897"/>
      <c r="AW122" s="897"/>
      <c r="AX122" s="897"/>
      <c r="AY122" s="897"/>
      <c r="AZ122" s="897"/>
      <c r="BA122" s="897"/>
      <c r="BB122" s="897"/>
      <c r="BC122" s="897"/>
      <c r="BD122" s="897"/>
      <c r="BE122" s="897"/>
      <c r="BF122" s="893"/>
      <c r="BG122" s="893"/>
      <c r="BH122" s="893"/>
      <c r="BI122" s="893"/>
      <c r="BJ122" s="893"/>
      <c r="BK122" s="893"/>
      <c r="BL122" s="897"/>
      <c r="BM122" s="897"/>
      <c r="BN122" s="897"/>
      <c r="BO122" s="897"/>
      <c r="BP122" s="897"/>
      <c r="BQ122" s="893"/>
      <c r="BR122" s="897"/>
      <c r="BS122" s="893"/>
      <c r="BT122" s="897"/>
      <c r="BU122" s="897"/>
      <c r="BV122" s="897"/>
      <c r="BW122" s="897"/>
      <c r="BX122" s="897"/>
      <c r="BY122" s="897"/>
      <c r="BZ122" s="897"/>
      <c r="CA122" s="897"/>
      <c r="CB122" s="897"/>
      <c r="CC122" s="897"/>
      <c r="CD122" s="897"/>
      <c r="CE122" s="897"/>
      <c r="CF122" s="897"/>
      <c r="CG122" s="897"/>
    </row>
    <row r="123" spans="4:85" ht="15">
      <c r="D123" s="816" t="str">
        <f>IF(I123=Table!$C$1,VLOOKUP(G123,Table!$B$38:$AO$61,Table!$AO$35-1,FALSE),"")</f>
        <v/>
      </c>
      <c r="E123" s="816" t="s">
        <v>32</v>
      </c>
      <c r="F123" s="816" t="str">
        <f>IF(I123="","",IF(I123=Table!$C$1,VLOOKUP(G123,Table!$B$9:$AE$32,Table!$AE$6-1,FALSE),""))</f>
        <v/>
      </c>
      <c r="G123" s="833"/>
      <c r="H123" s="833"/>
      <c r="I123" s="833"/>
      <c r="J123" s="833"/>
      <c r="K123" s="833"/>
      <c r="L123" s="816" t="str">
        <f t="shared" si="67"/>
        <v/>
      </c>
      <c r="M123" s="816" t="str">
        <f t="shared" si="68"/>
        <v/>
      </c>
      <c r="N123" s="816" t="str">
        <f t="shared" si="69"/>
        <v/>
      </c>
      <c r="R123" s="816" t="str">
        <f t="shared" si="70"/>
        <v/>
      </c>
      <c r="T123" s="829" t="str">
        <f t="shared" si="71"/>
        <v/>
      </c>
      <c r="U123" s="829"/>
      <c r="V123" s="829"/>
      <c r="W123" s="829"/>
      <c r="X123" s="829"/>
      <c r="Y123" s="829"/>
      <c r="Z123" s="829"/>
      <c r="AA123" s="829"/>
      <c r="AB123" s="829"/>
      <c r="AC123" s="829"/>
      <c r="AD123" s="816" t="str">
        <f t="array" ref="AD123">IF($J123="","",IF(SUM(IF(ISNUMBER(VALUE(RIGHT($AG123:$CL123,1))),VALUE(RIGHT($AG123:$CL123,1)),0))=$J123,"T","F"))</f>
        <v/>
      </c>
      <c r="AE123" s="816" t="str">
        <f t="array" ref="AE123">IF($J123="","",SUM(IF(LEFT($AG123:$DX123,1)="s",1,0))-SUM(IF(RIGHT(LEFT($AG123:$DX123,2))="-",1,0)))</f>
        <v/>
      </c>
      <c r="AF123" s="816" t="str">
        <f t="array" ref="AF123">IF($J123="","",SUM(IF(LEFT($AG123:$DD123,1)="X",1,0)))</f>
        <v/>
      </c>
      <c r="AG123" s="897"/>
      <c r="AH123" s="897"/>
      <c r="AI123" s="897"/>
      <c r="AJ123" s="897"/>
      <c r="AK123" s="893"/>
      <c r="AL123" s="897"/>
      <c r="AM123" s="897"/>
      <c r="AN123" s="897"/>
      <c r="AO123" s="897"/>
      <c r="AP123" s="897"/>
      <c r="AQ123" s="897"/>
      <c r="AR123" s="897"/>
      <c r="AS123" s="897"/>
      <c r="AT123" s="897"/>
      <c r="AU123" s="897"/>
      <c r="AV123" s="897"/>
      <c r="AW123" s="897"/>
      <c r="AX123" s="897"/>
      <c r="AY123" s="897"/>
      <c r="AZ123" s="897"/>
      <c r="BA123" s="897"/>
      <c r="BB123" s="897"/>
      <c r="BC123" s="897"/>
      <c r="BD123" s="897"/>
      <c r="BE123" s="897"/>
      <c r="BF123" s="893"/>
      <c r="BG123" s="893"/>
      <c r="BH123" s="893"/>
      <c r="BI123" s="893"/>
      <c r="BJ123" s="893"/>
      <c r="BK123" s="893"/>
      <c r="BL123" s="897"/>
      <c r="BM123" s="897"/>
      <c r="BN123" s="897"/>
      <c r="BO123" s="897"/>
      <c r="BP123" s="897"/>
      <c r="BQ123" s="893"/>
      <c r="BR123" s="897"/>
      <c r="BS123" s="893"/>
      <c r="BT123" s="897"/>
      <c r="BU123" s="897"/>
      <c r="BV123" s="897"/>
      <c r="BW123" s="897"/>
      <c r="BX123" s="897"/>
      <c r="BY123" s="897"/>
      <c r="BZ123" s="897"/>
      <c r="CA123" s="897"/>
      <c r="CB123" s="897"/>
      <c r="CC123" s="897"/>
      <c r="CD123" s="897"/>
      <c r="CE123" s="897"/>
      <c r="CF123" s="897"/>
      <c r="CG123" s="897"/>
    </row>
    <row r="124" spans="4:85" ht="15">
      <c r="D124" s="816" t="str">
        <f>IF(I124=Table!$C$1,VLOOKUP(G124,Table!$B$38:$AO$61,Table!$AO$35-1,FALSE),"")</f>
        <v/>
      </c>
      <c r="E124" s="816" t="s">
        <v>32</v>
      </c>
      <c r="F124" s="816" t="str">
        <f>IF(I124="","",IF(I124=Table!$C$1,VLOOKUP(G124,Table!$B$9:$AE$32,Table!$AE$6-1,FALSE),""))</f>
        <v/>
      </c>
      <c r="G124" s="833"/>
      <c r="H124" s="833"/>
      <c r="I124" s="833"/>
      <c r="J124" s="833"/>
      <c r="K124" s="833"/>
      <c r="L124" s="816" t="str">
        <f t="shared" si="67"/>
        <v/>
      </c>
      <c r="M124" s="816" t="str">
        <f t="shared" si="68"/>
        <v/>
      </c>
      <c r="N124" s="816" t="str">
        <f t="shared" si="69"/>
        <v/>
      </c>
      <c r="R124" s="816" t="str">
        <f t="shared" si="70"/>
        <v/>
      </c>
      <c r="T124" s="829" t="str">
        <f t="shared" si="71"/>
        <v/>
      </c>
      <c r="U124" s="829"/>
      <c r="V124" s="829"/>
      <c r="W124" s="829"/>
      <c r="X124" s="829"/>
      <c r="Y124" s="829"/>
      <c r="Z124" s="829"/>
      <c r="AA124" s="829"/>
      <c r="AB124" s="829"/>
      <c r="AC124" s="829"/>
      <c r="AD124" s="816" t="str">
        <f t="array" ref="AD124">IF($J124="","",IF(SUM(IF(ISNUMBER(VALUE(RIGHT($AG124:$CL124,1))),VALUE(RIGHT($AG124:$CL124,1)),0))=$J124,"T","F"))</f>
        <v/>
      </c>
      <c r="AE124" s="816" t="str">
        <f t="array" ref="AE124">IF($J124="","",SUM(IF(LEFT($AG124:$DX124,1)="s",1,0))-SUM(IF(RIGHT(LEFT($AG124:$DX124,2))="-",1,0)))</f>
        <v/>
      </c>
      <c r="AF124" s="816" t="str">
        <f t="array" ref="AF124">IF($J124="","",SUM(IF(LEFT($AG124:$DD124,1)="X",1,0)))</f>
        <v/>
      </c>
      <c r="AG124" s="897"/>
      <c r="AH124" s="897"/>
      <c r="AI124" s="897"/>
      <c r="AJ124" s="897"/>
      <c r="AK124" s="893"/>
      <c r="AL124" s="897"/>
      <c r="AM124" s="897"/>
      <c r="AN124" s="897"/>
      <c r="AO124" s="897"/>
      <c r="AP124" s="897"/>
      <c r="AQ124" s="897"/>
      <c r="AR124" s="897"/>
      <c r="AS124" s="897"/>
      <c r="AT124" s="897"/>
      <c r="AU124" s="897"/>
      <c r="AV124" s="897"/>
      <c r="AW124" s="897"/>
      <c r="AX124" s="897"/>
      <c r="AY124" s="897"/>
      <c r="AZ124" s="897"/>
      <c r="BA124" s="897"/>
      <c r="BB124" s="897"/>
      <c r="BC124" s="897"/>
      <c r="BD124" s="897"/>
      <c r="BE124" s="897"/>
      <c r="BF124" s="893"/>
      <c r="BG124" s="893"/>
      <c r="BH124" s="893"/>
      <c r="BI124" s="893"/>
      <c r="BJ124" s="893"/>
      <c r="BK124" s="893"/>
      <c r="BL124" s="897"/>
      <c r="BM124" s="897"/>
      <c r="BN124" s="897"/>
      <c r="BO124" s="897"/>
      <c r="BP124" s="897"/>
      <c r="BQ124" s="893"/>
      <c r="BR124" s="897"/>
      <c r="BS124" s="893"/>
      <c r="BT124" s="897"/>
      <c r="BU124" s="897"/>
      <c r="BV124" s="897"/>
      <c r="BW124" s="897"/>
      <c r="BX124" s="897"/>
      <c r="BY124" s="897"/>
      <c r="BZ124" s="897"/>
      <c r="CA124" s="897"/>
      <c r="CB124" s="897"/>
      <c r="CC124" s="897"/>
      <c r="CD124" s="897"/>
      <c r="CE124" s="897"/>
      <c r="CF124" s="897"/>
      <c r="CG124" s="897"/>
    </row>
    <row r="125" spans="4:85" ht="15">
      <c r="D125" s="816" t="str">
        <f>IF(I125=Table!$C$1,VLOOKUP(G125,Table!$B$38:$AO$61,Table!$AO$35-1,FALSE),"")</f>
        <v/>
      </c>
      <c r="E125" s="816" t="s">
        <v>32</v>
      </c>
      <c r="F125" s="816" t="str">
        <f>IF(I125="","",IF(I125=Table!$C$1,VLOOKUP(G125,Table!$B$9:$AE$32,Table!$AE$6-1,FALSE),""))</f>
        <v/>
      </c>
      <c r="G125" s="833"/>
      <c r="H125" s="833"/>
      <c r="I125" s="833"/>
      <c r="J125" s="833"/>
      <c r="K125" s="833"/>
      <c r="L125" s="816" t="str">
        <f t="shared" si="67"/>
        <v/>
      </c>
      <c r="M125" s="816" t="str">
        <f t="shared" si="68"/>
        <v/>
      </c>
      <c r="N125" s="816" t="str">
        <f t="shared" si="69"/>
        <v/>
      </c>
      <c r="R125" s="816" t="str">
        <f t="shared" si="70"/>
        <v/>
      </c>
      <c r="T125" s="829" t="str">
        <f t="shared" si="71"/>
        <v/>
      </c>
      <c r="U125" s="829"/>
      <c r="V125" s="829"/>
      <c r="W125" s="829"/>
      <c r="X125" s="829"/>
      <c r="Y125" s="829"/>
      <c r="Z125" s="829"/>
      <c r="AA125" s="829"/>
      <c r="AB125" s="829"/>
      <c r="AC125" s="829"/>
      <c r="AD125" s="816" t="str">
        <f t="array" ref="AD125">IF($J125="","",IF(SUM(IF(ISNUMBER(VALUE(RIGHT($AG125:$CL125,1))),VALUE(RIGHT($AG125:$CL125,1)),0))=$J125,"T","F"))</f>
        <v/>
      </c>
      <c r="AE125" s="816" t="str">
        <f t="array" ref="AE125">IF($J125="","",SUM(IF(LEFT($AG125:$DX125,1)="s",1,0))-SUM(IF(RIGHT(LEFT($AG125:$DX125,2))="-",1,0)))</f>
        <v/>
      </c>
      <c r="AF125" s="816" t="str">
        <f t="array" ref="AF125">IF($J125="","",SUM(IF(LEFT($AG125:$DD125,1)="X",1,0)))</f>
        <v/>
      </c>
      <c r="AG125" s="897"/>
      <c r="AH125" s="897"/>
      <c r="AI125" s="897"/>
      <c r="AJ125" s="897"/>
      <c r="AK125" s="893"/>
      <c r="AL125" s="897"/>
      <c r="AM125" s="897"/>
      <c r="AN125" s="897"/>
      <c r="AO125" s="897"/>
      <c r="AP125" s="897"/>
      <c r="AQ125" s="897"/>
      <c r="AR125" s="897"/>
      <c r="AS125" s="897"/>
      <c r="AT125" s="897"/>
      <c r="AU125" s="897"/>
      <c r="AV125" s="897"/>
      <c r="AW125" s="897"/>
      <c r="AX125" s="897"/>
      <c r="AY125" s="897"/>
      <c r="AZ125" s="897"/>
      <c r="BA125" s="897"/>
      <c r="BB125" s="897"/>
      <c r="BC125" s="897"/>
      <c r="BD125" s="897"/>
      <c r="BE125" s="897"/>
      <c r="BF125" s="893"/>
      <c r="BG125" s="893"/>
      <c r="BH125" s="893"/>
      <c r="BI125" s="893"/>
      <c r="BJ125" s="893"/>
      <c r="BK125" s="893"/>
      <c r="BL125" s="897"/>
      <c r="BM125" s="897"/>
      <c r="BN125" s="897"/>
      <c r="BO125" s="897"/>
      <c r="BP125" s="897"/>
      <c r="BQ125" s="893"/>
      <c r="BR125" s="897"/>
      <c r="BS125" s="893"/>
      <c r="BT125" s="897"/>
      <c r="BU125" s="897"/>
      <c r="BV125" s="897"/>
      <c r="BW125" s="897"/>
      <c r="BX125" s="897"/>
      <c r="BY125" s="897"/>
      <c r="BZ125" s="897"/>
      <c r="CA125" s="897"/>
      <c r="CB125" s="897"/>
      <c r="CC125" s="897"/>
      <c r="CD125" s="897"/>
      <c r="CE125" s="897"/>
      <c r="CF125" s="897"/>
      <c r="CG125" s="897"/>
    </row>
    <row r="126" spans="4:85">
      <c r="D126" s="816" t="str">
        <f>IF(I126=Table!$C$1,VLOOKUP(G126,Table!$B$38:$AO$61,Table!$AO$35-1,FALSE),"")</f>
        <v/>
      </c>
      <c r="E126" s="816" t="s">
        <v>32</v>
      </c>
      <c r="F126" s="816" t="str">
        <f>IF(I126="","",IF(I126=Table!$C$1,VLOOKUP(G126,Table!$B$9:$AE$32,Table!$AE$6-1,FALSE),""))</f>
        <v/>
      </c>
      <c r="G126" s="833"/>
      <c r="H126" s="833"/>
      <c r="I126" s="833"/>
      <c r="J126" s="833"/>
      <c r="K126" s="833"/>
      <c r="L126" s="816" t="str">
        <f t="shared" si="67"/>
        <v/>
      </c>
      <c r="M126" s="816" t="str">
        <f t="shared" si="68"/>
        <v/>
      </c>
      <c r="N126" s="816" t="str">
        <f t="shared" si="69"/>
        <v/>
      </c>
      <c r="R126" s="816" t="str">
        <f t="shared" si="70"/>
        <v/>
      </c>
      <c r="T126" s="829" t="str">
        <f t="shared" si="71"/>
        <v/>
      </c>
      <c r="U126" s="829"/>
      <c r="V126" s="829"/>
      <c r="W126" s="829"/>
      <c r="X126" s="829"/>
      <c r="Y126" s="829"/>
      <c r="Z126" s="829"/>
      <c r="AA126" s="829"/>
      <c r="AB126" s="829"/>
      <c r="AC126" s="829"/>
      <c r="AD126" s="816" t="str">
        <f t="array" ref="AD126">IF($J126="","",IF(SUM(IF(ISNUMBER(VALUE(RIGHT($AG126:$CL126,1))),VALUE(RIGHT($AG126:$CL126,1)),0))=$J126,"T","F"))</f>
        <v/>
      </c>
      <c r="AE126" s="816" t="str">
        <f t="array" ref="AE126">IF($J126="","",SUM(IF(LEFT($AG126:$DX126,1)="s",1,0))-SUM(IF(RIGHT(LEFT($AG126:$DX126,2))="-",1,0)))</f>
        <v/>
      </c>
      <c r="AF126" s="816" t="str">
        <f t="array" ref="AF126">IF($J126="","",SUM(IF(LEFT($AG126:$DD126,1)="X",1,0)))</f>
        <v/>
      </c>
    </row>
    <row r="127" spans="4:85">
      <c r="D127" s="816" t="str">
        <f>IF(I127=Table!$C$1,VLOOKUP(G127,Table!$B$38:$AO$61,Table!$AO$35-1,FALSE),"")</f>
        <v/>
      </c>
      <c r="E127" s="816" t="s">
        <v>32</v>
      </c>
      <c r="F127" s="816" t="str">
        <f>IF(I127="","",IF(I127=Table!$C$1,VLOOKUP(G127,Table!$B$9:$AE$32,Table!$AE$6-1,FALSE),""))</f>
        <v/>
      </c>
      <c r="G127" s="833"/>
      <c r="H127" s="833"/>
      <c r="I127" s="833"/>
      <c r="J127" s="833"/>
      <c r="K127" s="833"/>
      <c r="L127" s="816" t="str">
        <f t="shared" si="67"/>
        <v/>
      </c>
      <c r="M127" s="816" t="str">
        <f t="shared" si="68"/>
        <v/>
      </c>
      <c r="N127" s="816" t="str">
        <f t="shared" si="69"/>
        <v/>
      </c>
      <c r="R127" s="816" t="str">
        <f t="shared" si="70"/>
        <v/>
      </c>
      <c r="T127" s="829" t="str">
        <f t="shared" si="71"/>
        <v/>
      </c>
      <c r="U127" s="829"/>
      <c r="V127" s="829"/>
      <c r="W127" s="829"/>
      <c r="X127" s="829"/>
      <c r="Y127" s="829"/>
      <c r="Z127" s="829"/>
      <c r="AA127" s="829"/>
      <c r="AB127" s="829"/>
      <c r="AC127" s="829"/>
      <c r="AD127" s="816" t="str">
        <f t="array" ref="AD127">IF($J127="","",IF(SUM(IF(ISNUMBER(VALUE(RIGHT($AG127:$CL127,1))),VALUE(RIGHT($AG127:$CL127,1)),0))=$J127,"T","F"))</f>
        <v/>
      </c>
      <c r="AE127" s="816" t="str">
        <f t="array" ref="AE127">IF($J127="","",SUM(IF(LEFT($AG127:$DX127,1)="s",1,0))-SUM(IF(RIGHT(LEFT($AG127:$DX127,2))="-",1,0)))</f>
        <v/>
      </c>
      <c r="AF127" s="816" t="str">
        <f t="array" ref="AF127">IF($J127="","",SUM(IF(LEFT($AG127:$DD127,1)="X",1,0)))</f>
        <v/>
      </c>
    </row>
    <row r="128" spans="4:85">
      <c r="D128" s="816" t="str">
        <f>IF(I128=Table!$C$1,VLOOKUP(G128,Table!$B$38:$AO$61,Table!$AO$35-1,FALSE),"")</f>
        <v/>
      </c>
      <c r="E128" s="816" t="s">
        <v>32</v>
      </c>
      <c r="F128" s="816" t="str">
        <f>IF(I128="","",IF(I128=Table!$C$1,VLOOKUP(G128,Table!$B$9:$AE$32,Table!$AE$6-1,FALSE),""))</f>
        <v/>
      </c>
      <c r="G128" s="833"/>
      <c r="H128" s="833"/>
      <c r="I128" s="833"/>
      <c r="J128" s="833"/>
      <c r="K128" s="833"/>
      <c r="L128" s="816" t="str">
        <f t="shared" si="67"/>
        <v/>
      </c>
      <c r="M128" s="816" t="str">
        <f t="shared" si="68"/>
        <v/>
      </c>
      <c r="N128" s="816" t="str">
        <f t="shared" si="69"/>
        <v/>
      </c>
      <c r="R128" s="816" t="str">
        <f t="shared" si="70"/>
        <v/>
      </c>
      <c r="T128" s="829" t="str">
        <f t="shared" si="71"/>
        <v/>
      </c>
      <c r="U128" s="829"/>
      <c r="V128" s="829"/>
      <c r="W128" s="829"/>
      <c r="X128" s="829"/>
      <c r="Y128" s="829"/>
      <c r="Z128" s="829"/>
      <c r="AA128" s="829"/>
      <c r="AB128" s="829"/>
      <c r="AC128" s="829"/>
      <c r="AD128" s="816" t="str">
        <f t="array" ref="AD128">IF($J128="","",IF(SUM(IF(ISNUMBER(VALUE(RIGHT($AG128:$CL128,1))),VALUE(RIGHT($AG128:$CL128,1)),0))=$J128,"T","F"))</f>
        <v/>
      </c>
      <c r="AE128" s="816" t="str">
        <f t="array" ref="AE128">IF($J128="","",SUM(IF(LEFT($AG128:$DX128,1)="s",1,0))-SUM(IF(RIGHT(LEFT($AG128:$DX128,2))="-",1,0)))</f>
        <v/>
      </c>
      <c r="AF128" s="816" t="str">
        <f t="array" ref="AF128">IF($J128="","",SUM(IF(LEFT($AG128:$DD128,1)="X",1,0)))</f>
        <v/>
      </c>
    </row>
    <row r="129" spans="4:32">
      <c r="D129" s="816" t="str">
        <f>IF(I129=Table!$C$1,VLOOKUP(G129,Table!$B$38:$AO$61,Table!$AO$35-1,FALSE),"")</f>
        <v/>
      </c>
      <c r="E129" s="816" t="s">
        <v>32</v>
      </c>
      <c r="F129" s="816" t="str">
        <f>IF(I129="","",IF(I129=Table!$C$1,VLOOKUP(G129,Table!$B$9:$AE$32,Table!$AE$6-1,FALSE),""))</f>
        <v/>
      </c>
      <c r="G129" s="833"/>
      <c r="H129" s="833"/>
      <c r="I129" s="833"/>
      <c r="J129" s="833"/>
      <c r="K129" s="833"/>
      <c r="L129" s="816" t="str">
        <f t="shared" si="67"/>
        <v/>
      </c>
      <c r="M129" s="816" t="str">
        <f t="shared" si="68"/>
        <v/>
      </c>
      <c r="N129" s="816" t="str">
        <f t="shared" si="69"/>
        <v/>
      </c>
      <c r="R129" s="816" t="str">
        <f t="shared" si="70"/>
        <v/>
      </c>
      <c r="T129" s="829" t="str">
        <f t="shared" si="71"/>
        <v/>
      </c>
      <c r="U129" s="829"/>
      <c r="V129" s="829"/>
      <c r="W129" s="829"/>
      <c r="X129" s="829"/>
      <c r="Y129" s="829"/>
      <c r="Z129" s="829"/>
      <c r="AA129" s="829"/>
      <c r="AB129" s="829"/>
      <c r="AC129" s="829"/>
      <c r="AD129" s="816" t="str">
        <f t="array" ref="AD129">IF($J129="","",IF(SUM(IF(ISNUMBER(VALUE(RIGHT($AG129:$CL129,1))),VALUE(RIGHT($AG129:$CL129,1)),0))=$J129,"T","F"))</f>
        <v/>
      </c>
      <c r="AE129" s="816" t="str">
        <f t="array" ref="AE129">IF($J129="","",SUM(IF(LEFT($AG129:$DX129,1)="s",1,0))-SUM(IF(RIGHT(LEFT($AG129:$DX129,2))="-",1,0)))</f>
        <v/>
      </c>
      <c r="AF129" s="816" t="str">
        <f t="array" ref="AF129">IF($J129="","",SUM(IF(LEFT($AG129:$DD129,1)="X",1,0)))</f>
        <v/>
      </c>
    </row>
    <row r="130" spans="4:32">
      <c r="D130" s="816" t="str">
        <f>IF(I130=Table!$C$1,VLOOKUP(G130,Table!$B$38:$AO$61,Table!$AO$35-1,FALSE),"")</f>
        <v/>
      </c>
      <c r="E130" s="816" t="s">
        <v>32</v>
      </c>
      <c r="F130" s="816" t="str">
        <f>IF(I130="","",IF(I130=Table!$C$1,VLOOKUP(G130,Table!$B$9:$AE$32,Table!$AE$6-1,FALSE),""))</f>
        <v/>
      </c>
      <c r="G130" s="833"/>
      <c r="H130" s="833"/>
      <c r="I130" s="833"/>
      <c r="J130" s="833"/>
      <c r="K130" s="833"/>
      <c r="L130" s="816" t="str">
        <f t="shared" si="67"/>
        <v/>
      </c>
      <c r="M130" s="816" t="str">
        <f t="shared" si="68"/>
        <v/>
      </c>
      <c r="N130" s="816" t="str">
        <f t="shared" si="69"/>
        <v/>
      </c>
      <c r="R130" s="816" t="str">
        <f t="shared" si="70"/>
        <v/>
      </c>
      <c r="T130" s="829" t="str">
        <f t="shared" si="71"/>
        <v/>
      </c>
      <c r="U130" s="829"/>
      <c r="V130" s="829"/>
      <c r="W130" s="829"/>
      <c r="X130" s="829"/>
      <c r="Y130" s="829"/>
      <c r="Z130" s="829"/>
      <c r="AA130" s="829"/>
      <c r="AB130" s="829"/>
      <c r="AC130" s="829"/>
      <c r="AD130" s="816" t="str">
        <f t="array" ref="AD130">IF($J130="","",IF(SUM(IF(ISNUMBER(VALUE(RIGHT($AG130:$CL130,1))),VALUE(RIGHT($AG130:$CL130,1)),0))=$J130,"T","F"))</f>
        <v/>
      </c>
      <c r="AE130" s="816" t="str">
        <f t="array" ref="AE130">IF($J130="","",SUM(IF(LEFT($AG130:$DX130,1)="s",1,0))-SUM(IF(RIGHT(LEFT($AG130:$DX130,2))="-",1,0)))</f>
        <v/>
      </c>
      <c r="AF130" s="816" t="str">
        <f t="array" ref="AF130">IF($J130="","",SUM(IF(LEFT($AG130:$DD130,1)="X",1,0)))</f>
        <v/>
      </c>
    </row>
    <row r="131" spans="4:32">
      <c r="D131" s="816" t="str">
        <f>IF(I131=Table!$C$1,VLOOKUP(G131,Table!$B$38:$AO$61,Table!$AO$35-1,FALSE),"")</f>
        <v/>
      </c>
      <c r="E131" s="816" t="s">
        <v>32</v>
      </c>
      <c r="F131" s="816" t="str">
        <f>IF(I131="","",IF(I131=Table!$C$1,VLOOKUP(G131,Table!$B$9:$AE$32,Table!$AE$6-1,FALSE),""))</f>
        <v/>
      </c>
      <c r="G131" s="833"/>
      <c r="H131" s="833"/>
      <c r="I131" s="833"/>
      <c r="J131" s="833"/>
      <c r="K131" s="833"/>
      <c r="L131" s="816" t="str">
        <f t="shared" si="67"/>
        <v/>
      </c>
      <c r="M131" s="816" t="str">
        <f t="shared" si="68"/>
        <v/>
      </c>
      <c r="N131" s="816" t="str">
        <f t="shared" si="69"/>
        <v/>
      </c>
      <c r="R131" s="816" t="str">
        <f t="shared" si="70"/>
        <v/>
      </c>
      <c r="T131" s="829" t="str">
        <f t="shared" si="71"/>
        <v/>
      </c>
      <c r="U131" s="829"/>
      <c r="V131" s="829"/>
      <c r="W131" s="829"/>
      <c r="X131" s="829"/>
      <c r="Y131" s="829"/>
      <c r="Z131" s="829"/>
      <c r="AA131" s="829"/>
      <c r="AB131" s="829"/>
      <c r="AC131" s="829"/>
      <c r="AD131" s="816" t="str">
        <f t="array" ref="AD131">IF($J131="","",IF(SUM(IF(ISNUMBER(VALUE(RIGHT($AG131:$CL131,1))),VALUE(RIGHT($AG131:$CL131,1)),0))=$J131,"T","F"))</f>
        <v/>
      </c>
      <c r="AE131" s="816" t="str">
        <f t="array" ref="AE131">IF($J131="","",SUM(IF(LEFT($AG131:$DX131,1)="s",1,0))-SUM(IF(RIGHT(LEFT($AG131:$DX131,2))="-",1,0)))</f>
        <v/>
      </c>
      <c r="AF131" s="816" t="str">
        <f t="array" ref="AF131">IF($J131="","",SUM(IF(LEFT($AG131:$DD131,1)="X",1,0)))</f>
        <v/>
      </c>
    </row>
    <row r="132" spans="4:32">
      <c r="G132" s="833"/>
      <c r="H132" s="833"/>
      <c r="I132" s="833"/>
      <c r="J132" s="833"/>
      <c r="K132" s="833"/>
      <c r="T132" s="829"/>
      <c r="U132" s="829"/>
      <c r="V132" s="829"/>
      <c r="W132" s="829"/>
      <c r="X132" s="829"/>
      <c r="Y132" s="829"/>
      <c r="Z132" s="829"/>
      <c r="AA132" s="829"/>
      <c r="AB132" s="829"/>
      <c r="AC132" s="829"/>
    </row>
    <row r="133" spans="4:32">
      <c r="G133" s="833"/>
      <c r="H133" s="833"/>
      <c r="I133" s="833"/>
      <c r="J133" s="833"/>
      <c r="K133" s="833"/>
      <c r="T133" s="829"/>
      <c r="U133" s="829"/>
      <c r="V133" s="829"/>
      <c r="W133" s="829"/>
      <c r="X133" s="829"/>
      <c r="Y133" s="829"/>
      <c r="Z133" s="829"/>
      <c r="AA133" s="829"/>
      <c r="AB133" s="829"/>
      <c r="AC133" s="829"/>
    </row>
    <row r="134" spans="4:32">
      <c r="G134" s="833"/>
      <c r="H134" s="833"/>
      <c r="I134" s="833"/>
      <c r="J134" s="833"/>
      <c r="K134" s="833"/>
      <c r="T134" s="829"/>
      <c r="U134" s="829"/>
      <c r="V134" s="829"/>
      <c r="W134" s="829"/>
      <c r="X134" s="829"/>
      <c r="Y134" s="829"/>
      <c r="Z134" s="829"/>
      <c r="AA134" s="829"/>
      <c r="AB134" s="829"/>
      <c r="AC134" s="829"/>
    </row>
    <row r="135" spans="4:32">
      <c r="G135" s="833"/>
      <c r="H135" s="833"/>
      <c r="I135" s="833"/>
      <c r="J135" s="833"/>
      <c r="K135" s="833"/>
      <c r="T135" s="829"/>
      <c r="U135" s="829"/>
      <c r="V135" s="829"/>
      <c r="W135" s="829"/>
      <c r="X135" s="829"/>
      <c r="Y135" s="829"/>
      <c r="Z135" s="829"/>
      <c r="AA135" s="829"/>
      <c r="AB135" s="829"/>
      <c r="AC135" s="829"/>
    </row>
    <row r="136" spans="4:32">
      <c r="G136" s="833"/>
      <c r="H136" s="833"/>
      <c r="I136" s="833"/>
      <c r="J136" s="833"/>
      <c r="K136" s="833"/>
      <c r="T136" s="829"/>
      <c r="U136" s="829"/>
      <c r="V136" s="829"/>
      <c r="W136" s="829"/>
      <c r="X136" s="829"/>
      <c r="Y136" s="829"/>
      <c r="Z136" s="829"/>
      <c r="AA136" s="829"/>
      <c r="AB136" s="829"/>
      <c r="AC136" s="829"/>
    </row>
    <row r="137" spans="4:32">
      <c r="G137" s="833"/>
      <c r="H137" s="833"/>
      <c r="I137" s="833"/>
      <c r="J137" s="833"/>
      <c r="K137" s="833"/>
      <c r="T137" s="829"/>
      <c r="U137" s="829"/>
      <c r="V137" s="829"/>
      <c r="W137" s="829"/>
      <c r="X137" s="829"/>
      <c r="Y137" s="829"/>
      <c r="Z137" s="829"/>
      <c r="AA137" s="829"/>
      <c r="AB137" s="829"/>
      <c r="AC137" s="829"/>
    </row>
    <row r="138" spans="4:32">
      <c r="G138" s="833"/>
      <c r="H138" s="833"/>
      <c r="I138" s="833"/>
      <c r="J138" s="833"/>
      <c r="K138" s="833"/>
      <c r="T138" s="829"/>
      <c r="U138" s="829"/>
      <c r="V138" s="829"/>
      <c r="W138" s="829"/>
      <c r="X138" s="829"/>
      <c r="Y138" s="829"/>
      <c r="Z138" s="829"/>
      <c r="AA138" s="829"/>
      <c r="AB138" s="829"/>
      <c r="AC138" s="829"/>
    </row>
    <row r="139" spans="4:32">
      <c r="G139" s="833"/>
      <c r="H139" s="833"/>
      <c r="I139" s="833"/>
      <c r="J139" s="833"/>
      <c r="K139" s="833"/>
      <c r="T139" s="829"/>
      <c r="U139" s="829"/>
      <c r="V139" s="829"/>
      <c r="W139" s="829"/>
      <c r="X139" s="829"/>
      <c r="Y139" s="829"/>
      <c r="Z139" s="829"/>
      <c r="AA139" s="829"/>
      <c r="AB139" s="829"/>
      <c r="AC139" s="829"/>
    </row>
    <row r="140" spans="4:32">
      <c r="G140" s="833"/>
      <c r="H140" s="833"/>
      <c r="I140" s="833"/>
      <c r="J140" s="833"/>
      <c r="K140" s="833"/>
      <c r="T140" s="829"/>
      <c r="U140" s="829"/>
      <c r="V140" s="829"/>
      <c r="W140" s="829"/>
      <c r="X140" s="829"/>
      <c r="Y140" s="829"/>
      <c r="Z140" s="829"/>
      <c r="AA140" s="829"/>
      <c r="AB140" s="829"/>
      <c r="AC140" s="829"/>
    </row>
    <row r="141" spans="4:32">
      <c r="G141" s="833"/>
      <c r="H141" s="833"/>
      <c r="I141" s="833"/>
      <c r="J141" s="833"/>
      <c r="K141" s="833"/>
      <c r="T141" s="829"/>
      <c r="U141" s="829"/>
      <c r="V141" s="829"/>
      <c r="W141" s="829"/>
      <c r="X141" s="829"/>
      <c r="Y141" s="829"/>
      <c r="Z141" s="829"/>
      <c r="AA141" s="829"/>
      <c r="AB141" s="829"/>
      <c r="AC141" s="829"/>
    </row>
    <row r="142" spans="4:32">
      <c r="G142" s="833"/>
      <c r="H142" s="833"/>
      <c r="I142" s="833"/>
      <c r="J142" s="833"/>
      <c r="K142" s="833"/>
      <c r="T142" s="829"/>
      <c r="U142" s="829"/>
      <c r="V142" s="829"/>
      <c r="W142" s="829"/>
      <c r="X142" s="829"/>
      <c r="Y142" s="829"/>
      <c r="Z142" s="829"/>
      <c r="AA142" s="829"/>
      <c r="AB142" s="829"/>
      <c r="AC142" s="829"/>
    </row>
    <row r="143" spans="4:32">
      <c r="G143" s="833"/>
      <c r="H143" s="833"/>
      <c r="I143" s="833"/>
      <c r="J143" s="833"/>
      <c r="K143" s="833"/>
      <c r="T143" s="829"/>
      <c r="U143" s="829"/>
      <c r="V143" s="829"/>
      <c r="W143" s="829"/>
      <c r="X143" s="829"/>
      <c r="Y143" s="829"/>
      <c r="Z143" s="829"/>
      <c r="AA143" s="829"/>
      <c r="AB143" s="829"/>
      <c r="AC143" s="829"/>
    </row>
    <row r="144" spans="4:32">
      <c r="G144" s="833"/>
      <c r="H144" s="833"/>
      <c r="I144" s="833"/>
      <c r="J144" s="833"/>
      <c r="K144" s="833"/>
      <c r="T144" s="829"/>
      <c r="U144" s="829"/>
      <c r="V144" s="829"/>
      <c r="W144" s="829"/>
      <c r="X144" s="829"/>
      <c r="Y144" s="829"/>
      <c r="Z144" s="829"/>
      <c r="AA144" s="829"/>
      <c r="AB144" s="829"/>
      <c r="AC144" s="829"/>
    </row>
    <row r="145" spans="7:29">
      <c r="G145" s="833"/>
      <c r="H145" s="833"/>
      <c r="I145" s="833"/>
      <c r="J145" s="833"/>
      <c r="K145" s="833"/>
      <c r="T145" s="829"/>
      <c r="U145" s="829"/>
      <c r="V145" s="829"/>
      <c r="W145" s="829"/>
      <c r="X145" s="829"/>
      <c r="Y145" s="829"/>
      <c r="Z145" s="829"/>
      <c r="AA145" s="829"/>
      <c r="AB145" s="829"/>
      <c r="AC145" s="829"/>
    </row>
    <row r="146" spans="7:29">
      <c r="G146" s="833"/>
      <c r="H146" s="833"/>
      <c r="I146" s="833"/>
      <c r="J146" s="833"/>
      <c r="K146" s="833"/>
      <c r="T146" s="829"/>
      <c r="U146" s="829"/>
      <c r="V146" s="829"/>
      <c r="W146" s="829"/>
      <c r="X146" s="829"/>
      <c r="Y146" s="829"/>
      <c r="Z146" s="829"/>
      <c r="AA146" s="829"/>
      <c r="AB146" s="829"/>
      <c r="AC146" s="829"/>
    </row>
    <row r="147" spans="7:29">
      <c r="G147" s="833"/>
      <c r="H147" s="833"/>
      <c r="I147" s="833"/>
      <c r="J147" s="833"/>
      <c r="K147" s="833"/>
      <c r="T147" s="829"/>
      <c r="U147" s="829"/>
      <c r="V147" s="829"/>
      <c r="W147" s="829"/>
      <c r="X147" s="829"/>
      <c r="Y147" s="829"/>
      <c r="Z147" s="829"/>
      <c r="AA147" s="829"/>
      <c r="AB147" s="829"/>
      <c r="AC147" s="829"/>
    </row>
    <row r="148" spans="7:29">
      <c r="G148" s="833"/>
      <c r="H148" s="833"/>
      <c r="I148" s="833"/>
      <c r="J148" s="833"/>
      <c r="K148" s="833"/>
      <c r="T148" s="829"/>
      <c r="U148" s="829"/>
      <c r="V148" s="829"/>
      <c r="W148" s="829"/>
      <c r="X148" s="829"/>
      <c r="Y148" s="829"/>
      <c r="Z148" s="829"/>
      <c r="AA148" s="829"/>
      <c r="AB148" s="829"/>
      <c r="AC148" s="829"/>
    </row>
    <row r="149" spans="7:29">
      <c r="G149" s="833"/>
      <c r="H149" s="833"/>
      <c r="I149" s="833"/>
      <c r="J149" s="833"/>
      <c r="K149" s="833"/>
      <c r="T149" s="829"/>
      <c r="U149" s="829"/>
      <c r="V149" s="829"/>
      <c r="W149" s="829"/>
      <c r="X149" s="829"/>
      <c r="Y149" s="829"/>
      <c r="Z149" s="829"/>
      <c r="AA149" s="829"/>
      <c r="AB149" s="829"/>
      <c r="AC149" s="829"/>
    </row>
    <row r="150" spans="7:29">
      <c r="G150" s="833"/>
      <c r="H150" s="833"/>
      <c r="I150" s="833"/>
      <c r="J150" s="833"/>
      <c r="K150" s="833"/>
      <c r="T150" s="829"/>
      <c r="U150" s="829"/>
      <c r="V150" s="829"/>
      <c r="W150" s="829"/>
      <c r="X150" s="829"/>
      <c r="Y150" s="829"/>
      <c r="Z150" s="829"/>
      <c r="AA150" s="829"/>
      <c r="AB150" s="829"/>
      <c r="AC150" s="829"/>
    </row>
    <row r="151" spans="7:29">
      <c r="G151" s="833"/>
      <c r="H151" s="833"/>
      <c r="I151" s="833"/>
      <c r="J151" s="833"/>
      <c r="K151" s="833"/>
      <c r="T151" s="829"/>
      <c r="U151" s="829"/>
      <c r="V151" s="829"/>
      <c r="W151" s="829"/>
      <c r="X151" s="829"/>
      <c r="Y151" s="829"/>
      <c r="Z151" s="829"/>
      <c r="AA151" s="829"/>
      <c r="AB151" s="829"/>
      <c r="AC151" s="829"/>
    </row>
    <row r="152" spans="7:29">
      <c r="G152" s="833"/>
      <c r="H152" s="833"/>
      <c r="I152" s="833"/>
      <c r="J152" s="833"/>
      <c r="K152" s="833"/>
      <c r="T152" s="829"/>
      <c r="U152" s="829"/>
      <c r="V152" s="829"/>
      <c r="W152" s="829"/>
      <c r="X152" s="829"/>
      <c r="Y152" s="829"/>
      <c r="Z152" s="829"/>
      <c r="AA152" s="829"/>
      <c r="AB152" s="829"/>
      <c r="AC152" s="829"/>
    </row>
    <row r="153" spans="7:29">
      <c r="G153" s="833"/>
      <c r="H153" s="833"/>
      <c r="I153" s="833"/>
      <c r="J153" s="833"/>
      <c r="K153" s="833"/>
      <c r="T153" s="829"/>
      <c r="U153" s="829"/>
      <c r="V153" s="829"/>
      <c r="W153" s="829"/>
      <c r="X153" s="829"/>
      <c r="Y153" s="829"/>
      <c r="Z153" s="829"/>
      <c r="AA153" s="829"/>
      <c r="AB153" s="829"/>
      <c r="AC153" s="829"/>
    </row>
    <row r="154" spans="7:29">
      <c r="G154" s="833"/>
      <c r="H154" s="833"/>
      <c r="I154" s="833"/>
      <c r="J154" s="833"/>
      <c r="K154" s="833"/>
      <c r="T154" s="829"/>
      <c r="U154" s="829"/>
      <c r="V154" s="829"/>
      <c r="W154" s="829"/>
      <c r="X154" s="829"/>
      <c r="Y154" s="829"/>
      <c r="Z154" s="829"/>
      <c r="AA154" s="829"/>
      <c r="AB154" s="829"/>
      <c r="AC154" s="829"/>
    </row>
    <row r="155" spans="7:29">
      <c r="G155" s="833"/>
      <c r="H155" s="833"/>
      <c r="I155" s="833"/>
      <c r="J155" s="833"/>
      <c r="K155" s="833"/>
      <c r="T155" s="829"/>
      <c r="U155" s="829"/>
      <c r="V155" s="829"/>
      <c r="W155" s="829"/>
      <c r="X155" s="829"/>
      <c r="Y155" s="829"/>
      <c r="Z155" s="829"/>
      <c r="AA155" s="829"/>
      <c r="AB155" s="829"/>
      <c r="AC155" s="829"/>
    </row>
    <row r="156" spans="7:29">
      <c r="G156" s="833"/>
      <c r="H156" s="833"/>
      <c r="I156" s="833"/>
      <c r="J156" s="833"/>
      <c r="K156" s="833"/>
      <c r="T156" s="829"/>
      <c r="U156" s="829"/>
      <c r="V156" s="829"/>
      <c r="W156" s="829"/>
      <c r="X156" s="829"/>
      <c r="Y156" s="829"/>
      <c r="Z156" s="829"/>
      <c r="AA156" s="829"/>
      <c r="AB156" s="829"/>
      <c r="AC156" s="829"/>
    </row>
    <row r="157" spans="7:29">
      <c r="G157" s="833"/>
      <c r="H157" s="833"/>
      <c r="I157" s="833"/>
      <c r="J157" s="833"/>
      <c r="K157" s="833"/>
      <c r="T157" s="829"/>
      <c r="U157" s="829"/>
      <c r="V157" s="829"/>
      <c r="W157" s="829"/>
      <c r="X157" s="829"/>
      <c r="Y157" s="829"/>
      <c r="Z157" s="829"/>
      <c r="AA157" s="829"/>
      <c r="AB157" s="829"/>
      <c r="AC157" s="829"/>
    </row>
    <row r="158" spans="7:29">
      <c r="G158" s="833"/>
      <c r="H158" s="833"/>
      <c r="I158" s="833"/>
      <c r="J158" s="833"/>
      <c r="K158" s="833"/>
      <c r="T158" s="829"/>
      <c r="U158" s="829"/>
      <c r="V158" s="829"/>
      <c r="W158" s="829"/>
      <c r="X158" s="829"/>
      <c r="Y158" s="829"/>
      <c r="Z158" s="829"/>
      <c r="AA158" s="829"/>
      <c r="AB158" s="829"/>
      <c r="AC158" s="829"/>
    </row>
    <row r="159" spans="7:29">
      <c r="G159" s="833"/>
      <c r="H159" s="833"/>
      <c r="I159" s="833"/>
      <c r="J159" s="833"/>
      <c r="K159" s="833"/>
      <c r="T159" s="829"/>
      <c r="U159" s="829"/>
      <c r="V159" s="829"/>
      <c r="W159" s="829"/>
      <c r="X159" s="829"/>
      <c r="Y159" s="829"/>
      <c r="Z159" s="829"/>
      <c r="AA159" s="829"/>
      <c r="AB159" s="829"/>
      <c r="AC159" s="829"/>
    </row>
    <row r="160" spans="7:29">
      <c r="G160" s="833"/>
      <c r="H160" s="833"/>
      <c r="I160" s="833"/>
      <c r="J160" s="833"/>
      <c r="K160" s="833"/>
      <c r="T160" s="829"/>
      <c r="U160" s="829"/>
      <c r="V160" s="829"/>
      <c r="W160" s="829"/>
      <c r="X160" s="829"/>
      <c r="Y160" s="829"/>
      <c r="Z160" s="829"/>
      <c r="AA160" s="829"/>
      <c r="AB160" s="829"/>
      <c r="AC160" s="829"/>
    </row>
    <row r="161" spans="7:29">
      <c r="G161" s="833"/>
      <c r="H161" s="833"/>
      <c r="I161" s="833"/>
      <c r="J161" s="833"/>
      <c r="K161" s="833"/>
      <c r="T161" s="829"/>
      <c r="U161" s="829"/>
      <c r="V161" s="829"/>
      <c r="W161" s="829"/>
      <c r="X161" s="829"/>
      <c r="Y161" s="829"/>
      <c r="Z161" s="829"/>
      <c r="AA161" s="829"/>
      <c r="AB161" s="829"/>
      <c r="AC161" s="829"/>
    </row>
    <row r="162" spans="7:29">
      <c r="G162" s="833"/>
      <c r="H162" s="833"/>
      <c r="I162" s="833"/>
      <c r="J162" s="833"/>
      <c r="K162" s="833"/>
      <c r="T162" s="829"/>
      <c r="U162" s="829"/>
      <c r="V162" s="829"/>
      <c r="W162" s="829"/>
      <c r="X162" s="829"/>
      <c r="Y162" s="829"/>
      <c r="Z162" s="829"/>
      <c r="AA162" s="829"/>
      <c r="AB162" s="829"/>
      <c r="AC162" s="829"/>
    </row>
    <row r="163" spans="7:29">
      <c r="G163" s="833"/>
      <c r="H163" s="833"/>
      <c r="I163" s="833"/>
      <c r="J163" s="833"/>
      <c r="K163" s="833"/>
      <c r="T163" s="829"/>
      <c r="U163" s="829"/>
      <c r="V163" s="829"/>
      <c r="W163" s="829"/>
      <c r="X163" s="829"/>
      <c r="Y163" s="829"/>
      <c r="Z163" s="829"/>
      <c r="AA163" s="829"/>
      <c r="AB163" s="829"/>
      <c r="AC163" s="829"/>
    </row>
    <row r="164" spans="7:29">
      <c r="G164" s="833"/>
      <c r="H164" s="833"/>
      <c r="I164" s="833"/>
      <c r="J164" s="833"/>
      <c r="K164" s="833"/>
      <c r="T164" s="829"/>
      <c r="U164" s="829"/>
      <c r="V164" s="829"/>
      <c r="W164" s="829"/>
      <c r="X164" s="829"/>
      <c r="Y164" s="829"/>
      <c r="Z164" s="829"/>
      <c r="AA164" s="829"/>
      <c r="AB164" s="829"/>
      <c r="AC164" s="829"/>
    </row>
    <row r="165" spans="7:29">
      <c r="G165" s="833"/>
      <c r="H165" s="833"/>
      <c r="I165" s="833"/>
      <c r="J165" s="833"/>
      <c r="K165" s="833"/>
      <c r="T165" s="829"/>
      <c r="U165" s="829"/>
      <c r="V165" s="829"/>
      <c r="W165" s="829"/>
      <c r="X165" s="829"/>
      <c r="Y165" s="829"/>
      <c r="Z165" s="829"/>
      <c r="AA165" s="829"/>
      <c r="AB165" s="829"/>
      <c r="AC165" s="829"/>
    </row>
    <row r="166" spans="7:29">
      <c r="G166" s="833"/>
      <c r="H166" s="833"/>
      <c r="I166" s="833"/>
      <c r="J166" s="833"/>
      <c r="K166" s="833"/>
      <c r="T166" s="829"/>
      <c r="U166" s="829"/>
      <c r="V166" s="829"/>
      <c r="W166" s="829"/>
      <c r="X166" s="829"/>
      <c r="Y166" s="829"/>
      <c r="Z166" s="829"/>
      <c r="AA166" s="829"/>
      <c r="AB166" s="829"/>
      <c r="AC166" s="829"/>
    </row>
    <row r="167" spans="7:29">
      <c r="G167" s="833"/>
      <c r="H167" s="833"/>
      <c r="I167" s="833"/>
      <c r="J167" s="833"/>
      <c r="K167" s="833"/>
      <c r="T167" s="829"/>
      <c r="U167" s="829"/>
      <c r="V167" s="829"/>
      <c r="W167" s="829"/>
      <c r="X167" s="829"/>
      <c r="Y167" s="829"/>
      <c r="Z167" s="829"/>
      <c r="AA167" s="829"/>
      <c r="AB167" s="829"/>
      <c r="AC167" s="829"/>
    </row>
    <row r="168" spans="7:29">
      <c r="G168" s="833"/>
      <c r="H168" s="833"/>
      <c r="I168" s="833"/>
      <c r="J168" s="833"/>
      <c r="K168" s="833"/>
      <c r="T168" s="829"/>
      <c r="U168" s="829"/>
      <c r="V168" s="829"/>
      <c r="W168" s="829"/>
      <c r="X168" s="829"/>
      <c r="Y168" s="829"/>
      <c r="Z168" s="829"/>
      <c r="AA168" s="829"/>
      <c r="AB168" s="829"/>
      <c r="AC168" s="829"/>
    </row>
    <row r="169" spans="7:29">
      <c r="G169" s="833"/>
      <c r="H169" s="833"/>
      <c r="I169" s="833"/>
      <c r="J169" s="833"/>
      <c r="K169" s="833"/>
      <c r="T169" s="829"/>
      <c r="U169" s="829"/>
      <c r="V169" s="829"/>
      <c r="W169" s="829"/>
      <c r="X169" s="829"/>
      <c r="Y169" s="829"/>
      <c r="Z169" s="829"/>
      <c r="AA169" s="829"/>
      <c r="AB169" s="829"/>
      <c r="AC169" s="829"/>
    </row>
    <row r="170" spans="7:29">
      <c r="G170" s="833"/>
      <c r="H170" s="833"/>
      <c r="I170" s="833"/>
      <c r="J170" s="833"/>
      <c r="K170" s="833"/>
      <c r="T170" s="829"/>
      <c r="U170" s="829"/>
      <c r="V170" s="829"/>
      <c r="W170" s="829"/>
      <c r="X170" s="829"/>
      <c r="Y170" s="829"/>
      <c r="Z170" s="829"/>
      <c r="AA170" s="829"/>
      <c r="AB170" s="829"/>
      <c r="AC170" s="829"/>
    </row>
    <row r="171" spans="7:29">
      <c r="G171" s="833"/>
      <c r="H171" s="833"/>
      <c r="I171" s="833"/>
      <c r="J171" s="833"/>
      <c r="K171" s="833"/>
      <c r="T171" s="829"/>
      <c r="U171" s="829"/>
      <c r="V171" s="829"/>
      <c r="W171" s="829"/>
      <c r="X171" s="829"/>
      <c r="Y171" s="829"/>
      <c r="Z171" s="829"/>
      <c r="AA171" s="829"/>
      <c r="AB171" s="829"/>
      <c r="AC171" s="829"/>
    </row>
    <row r="172" spans="7:29">
      <c r="G172" s="833"/>
      <c r="H172" s="833"/>
      <c r="I172" s="833"/>
      <c r="J172" s="833"/>
      <c r="K172" s="833"/>
      <c r="T172" s="829"/>
      <c r="U172" s="829"/>
      <c r="V172" s="829"/>
      <c r="W172" s="829"/>
      <c r="X172" s="829"/>
      <c r="Y172" s="829"/>
      <c r="Z172" s="829"/>
      <c r="AA172" s="829"/>
      <c r="AB172" s="829"/>
      <c r="AC172" s="829"/>
    </row>
    <row r="173" spans="7:29">
      <c r="G173" s="833"/>
      <c r="H173" s="833"/>
      <c r="I173" s="833"/>
      <c r="J173" s="833"/>
      <c r="K173" s="833"/>
      <c r="T173" s="829"/>
      <c r="U173" s="829"/>
      <c r="V173" s="829"/>
      <c r="W173" s="829"/>
      <c r="X173" s="829"/>
      <c r="Y173" s="829"/>
      <c r="Z173" s="829"/>
      <c r="AA173" s="829"/>
      <c r="AB173" s="829"/>
      <c r="AC173" s="829"/>
    </row>
    <row r="174" spans="7:29">
      <c r="G174" s="833"/>
      <c r="H174" s="833"/>
      <c r="I174" s="833"/>
      <c r="J174" s="833"/>
      <c r="K174" s="833"/>
      <c r="T174" s="829"/>
      <c r="U174" s="829"/>
      <c r="V174" s="829"/>
      <c r="W174" s="829"/>
      <c r="X174" s="829"/>
      <c r="Y174" s="829"/>
      <c r="Z174" s="829"/>
      <c r="AA174" s="829"/>
      <c r="AB174" s="829"/>
      <c r="AC174" s="829"/>
    </row>
    <row r="175" spans="7:29">
      <c r="G175" s="833"/>
      <c r="H175" s="833"/>
      <c r="I175" s="833"/>
      <c r="J175" s="833"/>
      <c r="K175" s="833"/>
      <c r="T175" s="829"/>
      <c r="U175" s="829"/>
      <c r="V175" s="829"/>
      <c r="W175" s="829"/>
      <c r="X175" s="829"/>
      <c r="Y175" s="829"/>
      <c r="Z175" s="829"/>
      <c r="AA175" s="829"/>
      <c r="AB175" s="829"/>
      <c r="AC175" s="829"/>
    </row>
    <row r="176" spans="7:29">
      <c r="G176" s="833"/>
      <c r="H176" s="833"/>
      <c r="I176" s="833"/>
      <c r="J176" s="833"/>
      <c r="K176" s="833"/>
      <c r="T176" s="829"/>
      <c r="U176" s="829"/>
      <c r="V176" s="829"/>
      <c r="W176" s="829"/>
      <c r="X176" s="829"/>
      <c r="Y176" s="829"/>
      <c r="Z176" s="829"/>
      <c r="AA176" s="829"/>
      <c r="AB176" s="829"/>
      <c r="AC176" s="829"/>
    </row>
    <row r="177" spans="7:29">
      <c r="G177" s="833"/>
      <c r="H177" s="833"/>
      <c r="I177" s="833"/>
      <c r="J177" s="833"/>
      <c r="K177" s="833"/>
      <c r="T177" s="829"/>
      <c r="U177" s="829"/>
      <c r="V177" s="829"/>
      <c r="W177" s="829"/>
      <c r="X177" s="829"/>
      <c r="Y177" s="829"/>
      <c r="Z177" s="829"/>
      <c r="AA177" s="829"/>
      <c r="AB177" s="829"/>
      <c r="AC177" s="829"/>
    </row>
    <row r="178" spans="7:29">
      <c r="G178" s="833"/>
      <c r="H178" s="833"/>
      <c r="I178" s="833"/>
      <c r="J178" s="833"/>
      <c r="K178" s="833"/>
      <c r="T178" s="829"/>
      <c r="U178" s="829"/>
      <c r="V178" s="829"/>
      <c r="W178" s="829"/>
      <c r="X178" s="829"/>
      <c r="Y178" s="829"/>
      <c r="Z178" s="829"/>
      <c r="AA178" s="829"/>
      <c r="AB178" s="829"/>
      <c r="AC178" s="829"/>
    </row>
    <row r="179" spans="7:29">
      <c r="G179" s="833"/>
      <c r="H179" s="833"/>
      <c r="I179" s="833"/>
      <c r="J179" s="833"/>
      <c r="K179" s="833"/>
      <c r="T179" s="829"/>
      <c r="U179" s="829"/>
      <c r="V179" s="829"/>
      <c r="W179" s="829"/>
      <c r="X179" s="829"/>
      <c r="Y179" s="829"/>
      <c r="Z179" s="829"/>
      <c r="AA179" s="829"/>
      <c r="AB179" s="829"/>
      <c r="AC179" s="829"/>
    </row>
    <row r="180" spans="7:29">
      <c r="G180" s="833"/>
      <c r="H180" s="833"/>
      <c r="I180" s="833"/>
      <c r="J180" s="833"/>
      <c r="K180" s="833"/>
      <c r="T180" s="829"/>
      <c r="U180" s="829"/>
      <c r="V180" s="829"/>
      <c r="W180" s="829"/>
      <c r="X180" s="829"/>
      <c r="Y180" s="829"/>
      <c r="Z180" s="829"/>
      <c r="AA180" s="829"/>
      <c r="AB180" s="829"/>
      <c r="AC180" s="829"/>
    </row>
    <row r="181" spans="7:29">
      <c r="G181" s="833"/>
      <c r="H181" s="833"/>
      <c r="I181" s="833"/>
      <c r="J181" s="833"/>
      <c r="K181" s="833"/>
      <c r="T181" s="829"/>
      <c r="U181" s="829"/>
      <c r="V181" s="829"/>
      <c r="W181" s="829"/>
      <c r="X181" s="829"/>
      <c r="Y181" s="829"/>
      <c r="Z181" s="829"/>
      <c r="AA181" s="829"/>
      <c r="AB181" s="829"/>
      <c r="AC181" s="829"/>
    </row>
    <row r="182" spans="7:29">
      <c r="G182" s="833"/>
      <c r="H182" s="833"/>
      <c r="I182" s="833"/>
      <c r="J182" s="833"/>
      <c r="K182" s="833"/>
      <c r="T182" s="829"/>
      <c r="U182" s="829"/>
      <c r="V182" s="829"/>
      <c r="W182" s="829"/>
      <c r="X182" s="829"/>
      <c r="Y182" s="829"/>
      <c r="Z182" s="829"/>
      <c r="AA182" s="829"/>
      <c r="AB182" s="829"/>
      <c r="AC182" s="829"/>
    </row>
    <row r="183" spans="7:29">
      <c r="G183" s="833"/>
      <c r="H183" s="833"/>
      <c r="I183" s="833"/>
      <c r="J183" s="833"/>
      <c r="K183" s="833"/>
      <c r="T183" s="829"/>
      <c r="U183" s="829"/>
      <c r="V183" s="829"/>
      <c r="W183" s="829"/>
      <c r="X183" s="829"/>
      <c r="Y183" s="829"/>
      <c r="Z183" s="829"/>
      <c r="AA183" s="829"/>
      <c r="AB183" s="829"/>
      <c r="AC183" s="829"/>
    </row>
    <row r="184" spans="7:29">
      <c r="G184" s="833"/>
      <c r="H184" s="833"/>
      <c r="I184" s="833"/>
      <c r="J184" s="833"/>
      <c r="K184" s="833"/>
      <c r="T184" s="829"/>
      <c r="U184" s="829"/>
      <c r="V184" s="829"/>
      <c r="W184" s="829"/>
      <c r="X184" s="829"/>
      <c r="Y184" s="829"/>
      <c r="Z184" s="829"/>
      <c r="AA184" s="829"/>
      <c r="AB184" s="829"/>
      <c r="AC184" s="829"/>
    </row>
    <row r="185" spans="7:29">
      <c r="G185" s="833"/>
      <c r="H185" s="833"/>
      <c r="I185" s="833"/>
      <c r="J185" s="833"/>
      <c r="K185" s="833"/>
      <c r="T185" s="829"/>
      <c r="U185" s="829"/>
      <c r="V185" s="829"/>
      <c r="W185" s="829"/>
      <c r="X185" s="829"/>
      <c r="Y185" s="829"/>
      <c r="Z185" s="829"/>
      <c r="AA185" s="829"/>
      <c r="AB185" s="829"/>
      <c r="AC185" s="829"/>
    </row>
    <row r="186" spans="7:29">
      <c r="G186" s="833"/>
      <c r="H186" s="833"/>
      <c r="I186" s="833"/>
      <c r="J186" s="833"/>
      <c r="K186" s="833"/>
      <c r="T186" s="829"/>
      <c r="U186" s="829"/>
      <c r="V186" s="829"/>
      <c r="W186" s="829"/>
      <c r="X186" s="829"/>
      <c r="Y186" s="829"/>
      <c r="Z186" s="829"/>
      <c r="AA186" s="829"/>
      <c r="AB186" s="829"/>
      <c r="AC186" s="829"/>
    </row>
    <row r="187" spans="7:29">
      <c r="G187" s="833"/>
      <c r="H187" s="833"/>
      <c r="I187" s="833"/>
      <c r="J187" s="833"/>
      <c r="K187" s="833"/>
      <c r="T187" s="829"/>
      <c r="U187" s="829"/>
      <c r="V187" s="829"/>
      <c r="W187" s="829"/>
      <c r="X187" s="829"/>
      <c r="Y187" s="829"/>
      <c r="Z187" s="829"/>
      <c r="AA187" s="829"/>
      <c r="AB187" s="829"/>
      <c r="AC187" s="829"/>
    </row>
    <row r="188" spans="7:29">
      <c r="G188" s="833"/>
      <c r="H188" s="833"/>
      <c r="I188" s="833"/>
      <c r="J188" s="833"/>
      <c r="K188" s="833"/>
      <c r="T188" s="829"/>
      <c r="U188" s="829"/>
      <c r="V188" s="829"/>
      <c r="W188" s="829"/>
      <c r="X188" s="829"/>
      <c r="Y188" s="829"/>
      <c r="Z188" s="829"/>
      <c r="AA188" s="829"/>
      <c r="AB188" s="829"/>
      <c r="AC188" s="829"/>
    </row>
    <row r="189" spans="7:29">
      <c r="G189" s="833"/>
      <c r="H189" s="833"/>
      <c r="I189" s="833"/>
      <c r="J189" s="833"/>
      <c r="K189" s="833"/>
      <c r="T189" s="829"/>
      <c r="U189" s="829"/>
      <c r="V189" s="829"/>
      <c r="W189" s="829"/>
      <c r="X189" s="829"/>
      <c r="Y189" s="829"/>
      <c r="Z189" s="829"/>
      <c r="AA189" s="829"/>
      <c r="AB189" s="829"/>
      <c r="AC189" s="829"/>
    </row>
    <row r="190" spans="7:29">
      <c r="G190" s="833"/>
      <c r="H190" s="833"/>
      <c r="I190" s="833"/>
      <c r="J190" s="833"/>
      <c r="K190" s="833"/>
      <c r="T190" s="829"/>
      <c r="U190" s="829"/>
      <c r="V190" s="829"/>
      <c r="W190" s="829"/>
      <c r="X190" s="829"/>
      <c r="Y190" s="829"/>
      <c r="Z190" s="829"/>
      <c r="AA190" s="829"/>
      <c r="AB190" s="829"/>
      <c r="AC190" s="829"/>
    </row>
    <row r="191" spans="7:29">
      <c r="G191" s="833"/>
      <c r="H191" s="833"/>
      <c r="I191" s="833"/>
      <c r="J191" s="833"/>
      <c r="K191" s="833"/>
      <c r="T191" s="829"/>
      <c r="U191" s="829"/>
      <c r="V191" s="829"/>
      <c r="W191" s="829"/>
      <c r="X191" s="829"/>
      <c r="Y191" s="829"/>
      <c r="Z191" s="829"/>
      <c r="AA191" s="829"/>
      <c r="AB191" s="829"/>
      <c r="AC191" s="829"/>
    </row>
    <row r="192" spans="7:29">
      <c r="G192" s="833"/>
      <c r="H192" s="833"/>
      <c r="I192" s="833"/>
      <c r="J192" s="833"/>
      <c r="K192" s="833"/>
      <c r="T192" s="829"/>
      <c r="U192" s="829"/>
      <c r="V192" s="829"/>
      <c r="W192" s="829"/>
      <c r="X192" s="829"/>
      <c r="Y192" s="829"/>
      <c r="Z192" s="829"/>
      <c r="AA192" s="829"/>
      <c r="AB192" s="829"/>
      <c r="AC192" s="829"/>
    </row>
    <row r="193" spans="7:29">
      <c r="G193" s="833"/>
      <c r="H193" s="833"/>
      <c r="I193" s="833"/>
      <c r="J193" s="833"/>
      <c r="K193" s="833"/>
      <c r="T193" s="829"/>
      <c r="U193" s="829"/>
      <c r="V193" s="829"/>
      <c r="W193" s="829"/>
      <c r="X193" s="829"/>
      <c r="Y193" s="829"/>
      <c r="Z193" s="829"/>
      <c r="AA193" s="829"/>
      <c r="AB193" s="829"/>
      <c r="AC193" s="829"/>
    </row>
    <row r="194" spans="7:29">
      <c r="G194" s="833"/>
      <c r="H194" s="833"/>
      <c r="I194" s="833"/>
      <c r="J194" s="833"/>
      <c r="K194" s="833"/>
      <c r="T194" s="829"/>
      <c r="U194" s="829"/>
      <c r="V194" s="829"/>
      <c r="W194" s="829"/>
      <c r="X194" s="829"/>
      <c r="Y194" s="829"/>
      <c r="Z194" s="829"/>
      <c r="AA194" s="829"/>
      <c r="AB194" s="829"/>
      <c r="AC194" s="829"/>
    </row>
    <row r="195" spans="7:29">
      <c r="G195" s="833"/>
      <c r="H195" s="833"/>
      <c r="I195" s="833"/>
      <c r="J195" s="833"/>
      <c r="K195" s="833"/>
      <c r="T195" s="829"/>
      <c r="U195" s="829"/>
      <c r="V195" s="829"/>
      <c r="W195" s="829"/>
      <c r="X195" s="829"/>
      <c r="Y195" s="829"/>
      <c r="Z195" s="829"/>
      <c r="AA195" s="829"/>
      <c r="AB195" s="829"/>
      <c r="AC195" s="829"/>
    </row>
    <row r="196" spans="7:29">
      <c r="G196" s="833"/>
      <c r="H196" s="833"/>
      <c r="I196" s="833"/>
      <c r="J196" s="833"/>
      <c r="K196" s="833"/>
      <c r="T196" s="829"/>
      <c r="U196" s="829"/>
      <c r="V196" s="829"/>
      <c r="W196" s="829"/>
      <c r="X196" s="829"/>
      <c r="Y196" s="829"/>
      <c r="Z196" s="829"/>
      <c r="AA196" s="829"/>
      <c r="AB196" s="829"/>
      <c r="AC196" s="829"/>
    </row>
    <row r="197" spans="7:29">
      <c r="G197" s="833"/>
      <c r="H197" s="833"/>
      <c r="I197" s="833"/>
      <c r="J197" s="833"/>
      <c r="K197" s="833"/>
      <c r="T197" s="829"/>
      <c r="U197" s="829"/>
      <c r="V197" s="829"/>
      <c r="W197" s="829"/>
      <c r="X197" s="829"/>
      <c r="Y197" s="829"/>
      <c r="Z197" s="829"/>
      <c r="AA197" s="829"/>
      <c r="AB197" s="829"/>
      <c r="AC197" s="829"/>
    </row>
    <row r="198" spans="7:29">
      <c r="G198" s="833"/>
      <c r="H198" s="833"/>
      <c r="I198" s="833"/>
      <c r="J198" s="833"/>
      <c r="K198" s="833"/>
      <c r="T198" s="829"/>
      <c r="U198" s="829"/>
      <c r="V198" s="829"/>
      <c r="W198" s="829"/>
      <c r="X198" s="829"/>
      <c r="Y198" s="829"/>
      <c r="Z198" s="829"/>
      <c r="AA198" s="829"/>
      <c r="AB198" s="829"/>
      <c r="AC198" s="829"/>
    </row>
    <row r="199" spans="7:29">
      <c r="G199" s="833"/>
      <c r="H199" s="833"/>
      <c r="I199" s="833"/>
      <c r="J199" s="833"/>
      <c r="K199" s="833"/>
      <c r="T199" s="829"/>
      <c r="U199" s="829"/>
      <c r="V199" s="829"/>
      <c r="W199" s="829"/>
      <c r="X199" s="829"/>
      <c r="Y199" s="829"/>
      <c r="Z199" s="829"/>
      <c r="AA199" s="829"/>
      <c r="AB199" s="829"/>
      <c r="AC199" s="829"/>
    </row>
    <row r="200" spans="7:29">
      <c r="G200" s="833"/>
      <c r="H200" s="833"/>
      <c r="I200" s="833"/>
      <c r="J200" s="833"/>
      <c r="K200" s="833"/>
      <c r="T200" s="829"/>
      <c r="U200" s="829"/>
      <c r="V200" s="829"/>
      <c r="W200" s="829"/>
      <c r="X200" s="829"/>
      <c r="Y200" s="829"/>
      <c r="Z200" s="829"/>
      <c r="AA200" s="829"/>
      <c r="AB200" s="829"/>
      <c r="AC200" s="829"/>
    </row>
    <row r="201" spans="7:29">
      <c r="G201" s="833"/>
      <c r="H201" s="833"/>
      <c r="I201" s="833"/>
      <c r="J201" s="833"/>
      <c r="K201" s="833"/>
      <c r="T201" s="829"/>
      <c r="U201" s="829"/>
      <c r="V201" s="829"/>
      <c r="W201" s="829"/>
      <c r="X201" s="829"/>
      <c r="Y201" s="829"/>
      <c r="Z201" s="829"/>
      <c r="AA201" s="829"/>
      <c r="AB201" s="829"/>
      <c r="AC201" s="829"/>
    </row>
    <row r="202" spans="7:29">
      <c r="G202" s="833"/>
      <c r="H202" s="833"/>
      <c r="I202" s="833"/>
      <c r="J202" s="833"/>
      <c r="K202" s="833"/>
      <c r="T202" s="829"/>
      <c r="U202" s="829"/>
      <c r="V202" s="829"/>
      <c r="W202" s="829"/>
      <c r="X202" s="829"/>
      <c r="Y202" s="829"/>
      <c r="Z202" s="829"/>
      <c r="AA202" s="829"/>
      <c r="AB202" s="829"/>
      <c r="AC202" s="829"/>
    </row>
    <row r="203" spans="7:29">
      <c r="G203" s="833"/>
      <c r="H203" s="833"/>
      <c r="I203" s="833"/>
      <c r="J203" s="833"/>
      <c r="K203" s="833"/>
      <c r="T203" s="829"/>
      <c r="U203" s="829"/>
      <c r="V203" s="829"/>
      <c r="W203" s="829"/>
      <c r="X203" s="829"/>
      <c r="Y203" s="829"/>
      <c r="Z203" s="829"/>
      <c r="AA203" s="829"/>
      <c r="AB203" s="829"/>
      <c r="AC203" s="829"/>
    </row>
    <row r="204" spans="7:29">
      <c r="G204" s="833"/>
      <c r="H204" s="833"/>
      <c r="I204" s="833"/>
      <c r="J204" s="833"/>
      <c r="K204" s="833"/>
      <c r="T204" s="829"/>
      <c r="U204" s="829"/>
      <c r="V204" s="829"/>
      <c r="W204" s="829"/>
      <c r="X204" s="829"/>
      <c r="Y204" s="829"/>
      <c r="Z204" s="829"/>
      <c r="AA204" s="829"/>
      <c r="AB204" s="829"/>
      <c r="AC204" s="829"/>
    </row>
    <row r="205" spans="7:29">
      <c r="G205" s="833"/>
      <c r="H205" s="833"/>
      <c r="I205" s="833"/>
      <c r="J205" s="833"/>
      <c r="K205" s="833"/>
      <c r="T205" s="829"/>
      <c r="U205" s="829"/>
      <c r="V205" s="829"/>
      <c r="W205" s="829"/>
      <c r="X205" s="829"/>
      <c r="Y205" s="829"/>
      <c r="Z205" s="829"/>
      <c r="AA205" s="829"/>
      <c r="AB205" s="829"/>
      <c r="AC205" s="829"/>
    </row>
    <row r="206" spans="7:29">
      <c r="G206" s="833"/>
      <c r="H206" s="833"/>
      <c r="I206" s="833"/>
      <c r="J206" s="833"/>
      <c r="K206" s="833"/>
      <c r="T206" s="829"/>
      <c r="U206" s="829"/>
      <c r="V206" s="829"/>
      <c r="W206" s="829"/>
      <c r="X206" s="829"/>
      <c r="Y206" s="829"/>
      <c r="Z206" s="829"/>
      <c r="AA206" s="829"/>
      <c r="AB206" s="829"/>
      <c r="AC206" s="829"/>
    </row>
    <row r="207" spans="7:29">
      <c r="G207" s="833"/>
      <c r="H207" s="833"/>
      <c r="I207" s="833"/>
      <c r="J207" s="833"/>
      <c r="K207" s="833"/>
      <c r="T207" s="829"/>
      <c r="U207" s="829"/>
      <c r="V207" s="829"/>
      <c r="W207" s="829"/>
      <c r="X207" s="829"/>
      <c r="Y207" s="829"/>
      <c r="Z207" s="829"/>
      <c r="AA207" s="829"/>
      <c r="AB207" s="829"/>
      <c r="AC207" s="829"/>
    </row>
    <row r="208" spans="7:29">
      <c r="G208" s="833"/>
      <c r="H208" s="833"/>
      <c r="I208" s="833"/>
      <c r="J208" s="833"/>
      <c r="K208" s="833"/>
      <c r="T208" s="829"/>
      <c r="U208" s="829"/>
      <c r="V208" s="829"/>
      <c r="W208" s="829"/>
      <c r="X208" s="829"/>
      <c r="Y208" s="829"/>
      <c r="Z208" s="829"/>
      <c r="AA208" s="829"/>
      <c r="AB208" s="829"/>
      <c r="AC208" s="829"/>
    </row>
    <row r="209" spans="7:29">
      <c r="G209" s="833"/>
      <c r="H209" s="833"/>
      <c r="I209" s="833"/>
      <c r="J209" s="833"/>
      <c r="K209" s="833"/>
      <c r="T209" s="829"/>
      <c r="U209" s="829"/>
      <c r="V209" s="829"/>
      <c r="W209" s="829"/>
      <c r="X209" s="829"/>
      <c r="Y209" s="829"/>
      <c r="Z209" s="829"/>
      <c r="AA209" s="829"/>
      <c r="AB209" s="829"/>
      <c r="AC209" s="829"/>
    </row>
    <row r="210" spans="7:29">
      <c r="G210" s="833"/>
      <c r="H210" s="833"/>
      <c r="I210" s="833"/>
      <c r="J210" s="833"/>
      <c r="K210" s="833"/>
      <c r="T210" s="829"/>
      <c r="U210" s="829"/>
      <c r="V210" s="829"/>
      <c r="W210" s="829"/>
      <c r="X210" s="829"/>
      <c r="Y210" s="829"/>
      <c r="Z210" s="829"/>
      <c r="AA210" s="829"/>
      <c r="AB210" s="829"/>
      <c r="AC210" s="829"/>
    </row>
    <row r="211" spans="7:29">
      <c r="G211" s="833"/>
      <c r="H211" s="833"/>
      <c r="I211" s="833"/>
      <c r="J211" s="833"/>
      <c r="K211" s="833"/>
      <c r="T211" s="829"/>
      <c r="U211" s="829"/>
      <c r="V211" s="829"/>
      <c r="W211" s="829"/>
      <c r="X211" s="829"/>
      <c r="Y211" s="829"/>
      <c r="Z211" s="829"/>
      <c r="AA211" s="829"/>
      <c r="AB211" s="829"/>
      <c r="AC211" s="829"/>
    </row>
    <row r="212" spans="7:29">
      <c r="G212" s="833"/>
      <c r="H212" s="833"/>
      <c r="I212" s="833"/>
      <c r="J212" s="833"/>
      <c r="K212" s="833"/>
      <c r="T212" s="829"/>
      <c r="U212" s="829"/>
      <c r="V212" s="829"/>
      <c r="W212" s="829"/>
      <c r="X212" s="829"/>
      <c r="Y212" s="829"/>
      <c r="Z212" s="829"/>
      <c r="AA212" s="829"/>
      <c r="AB212" s="829"/>
      <c r="AC212" s="829"/>
    </row>
    <row r="213" spans="7:29">
      <c r="G213" s="833"/>
      <c r="H213" s="833"/>
      <c r="I213" s="833"/>
      <c r="J213" s="833"/>
      <c r="K213" s="833"/>
      <c r="T213" s="829"/>
      <c r="U213" s="829"/>
      <c r="V213" s="829"/>
      <c r="W213" s="829"/>
      <c r="X213" s="829"/>
      <c r="Y213" s="829"/>
      <c r="Z213" s="829"/>
      <c r="AA213" s="829"/>
      <c r="AB213" s="829"/>
      <c r="AC213" s="829"/>
    </row>
    <row r="214" spans="7:29">
      <c r="G214" s="833"/>
      <c r="H214" s="833"/>
      <c r="I214" s="833"/>
      <c r="J214" s="833"/>
      <c r="K214" s="833"/>
      <c r="T214" s="829"/>
      <c r="U214" s="829"/>
      <c r="V214" s="829"/>
      <c r="W214" s="829"/>
      <c r="X214" s="829"/>
      <c r="Y214" s="829"/>
      <c r="Z214" s="829"/>
      <c r="AA214" s="829"/>
      <c r="AB214" s="829"/>
      <c r="AC214" s="829"/>
    </row>
    <row r="215" spans="7:29">
      <c r="G215" s="833"/>
      <c r="H215" s="833"/>
      <c r="I215" s="833"/>
      <c r="J215" s="833"/>
      <c r="K215" s="833"/>
      <c r="T215" s="829"/>
      <c r="U215" s="829"/>
      <c r="V215" s="829"/>
      <c r="W215" s="829"/>
      <c r="X215" s="829"/>
      <c r="Y215" s="829"/>
      <c r="Z215" s="829"/>
      <c r="AA215" s="829"/>
      <c r="AB215" s="829"/>
      <c r="AC215" s="829"/>
    </row>
    <row r="216" spans="7:29">
      <c r="G216" s="833"/>
      <c r="H216" s="833"/>
      <c r="I216" s="833"/>
      <c r="J216" s="833"/>
      <c r="K216" s="833"/>
      <c r="T216" s="829"/>
      <c r="U216" s="829"/>
      <c r="V216" s="829"/>
      <c r="W216" s="829"/>
      <c r="X216" s="829"/>
      <c r="Y216" s="829"/>
      <c r="Z216" s="829"/>
      <c r="AA216" s="829"/>
      <c r="AB216" s="829"/>
      <c r="AC216" s="829"/>
    </row>
    <row r="217" spans="7:29">
      <c r="G217" s="833"/>
      <c r="H217" s="833"/>
      <c r="I217" s="833"/>
      <c r="J217" s="833"/>
      <c r="K217" s="833"/>
      <c r="T217" s="829"/>
      <c r="U217" s="829"/>
      <c r="V217" s="829"/>
      <c r="W217" s="829"/>
      <c r="X217" s="829"/>
      <c r="Y217" s="829"/>
      <c r="Z217" s="829"/>
      <c r="AA217" s="829"/>
      <c r="AB217" s="829"/>
      <c r="AC217" s="829"/>
    </row>
    <row r="218" spans="7:29">
      <c r="G218" s="833"/>
      <c r="H218" s="833"/>
      <c r="I218" s="833"/>
      <c r="J218" s="833"/>
      <c r="K218" s="833"/>
      <c r="T218" s="829"/>
      <c r="U218" s="829"/>
      <c r="V218" s="829"/>
      <c r="W218" s="829"/>
      <c r="X218" s="829"/>
      <c r="Y218" s="829"/>
      <c r="Z218" s="829"/>
      <c r="AA218" s="829"/>
      <c r="AB218" s="829"/>
      <c r="AC218" s="829"/>
    </row>
    <row r="219" spans="7:29">
      <c r="G219" s="833"/>
      <c r="H219" s="833"/>
      <c r="I219" s="833"/>
      <c r="J219" s="833"/>
      <c r="K219" s="833"/>
      <c r="T219" s="829"/>
      <c r="U219" s="829"/>
      <c r="V219" s="829"/>
      <c r="W219" s="829"/>
      <c r="X219" s="829"/>
      <c r="Y219" s="829"/>
      <c r="Z219" s="829"/>
      <c r="AA219" s="829"/>
      <c r="AB219" s="829"/>
      <c r="AC219" s="829"/>
    </row>
    <row r="220" spans="7:29">
      <c r="G220" s="833"/>
      <c r="H220" s="833"/>
      <c r="I220" s="833"/>
      <c r="J220" s="833"/>
      <c r="K220" s="833"/>
      <c r="T220" s="829"/>
      <c r="U220" s="829"/>
      <c r="V220" s="829"/>
      <c r="W220" s="829"/>
      <c r="X220" s="829"/>
      <c r="Y220" s="829"/>
      <c r="Z220" s="829"/>
      <c r="AA220" s="829"/>
      <c r="AB220" s="829"/>
      <c r="AC220" s="829"/>
    </row>
    <row r="221" spans="7:29">
      <c r="G221" s="833"/>
      <c r="H221" s="833"/>
      <c r="I221" s="833"/>
      <c r="J221" s="833"/>
      <c r="K221" s="833"/>
      <c r="T221" s="829"/>
      <c r="U221" s="829"/>
      <c r="V221" s="829"/>
      <c r="W221" s="829"/>
      <c r="X221" s="829"/>
      <c r="Y221" s="829"/>
      <c r="Z221" s="829"/>
      <c r="AA221" s="829"/>
      <c r="AB221" s="829"/>
      <c r="AC221" s="829"/>
    </row>
    <row r="222" spans="7:29">
      <c r="G222" s="833"/>
      <c r="H222" s="833"/>
      <c r="I222" s="833"/>
      <c r="J222" s="833"/>
      <c r="K222" s="833"/>
      <c r="T222" s="829"/>
      <c r="U222" s="829"/>
      <c r="V222" s="829"/>
      <c r="W222" s="829"/>
      <c r="X222" s="829"/>
      <c r="Y222" s="829"/>
      <c r="Z222" s="829"/>
      <c r="AA222" s="829"/>
      <c r="AB222" s="829"/>
      <c r="AC222" s="829"/>
    </row>
    <row r="223" spans="7:29">
      <c r="G223" s="833"/>
      <c r="H223" s="833"/>
      <c r="I223" s="833"/>
      <c r="J223" s="833"/>
      <c r="K223" s="833"/>
      <c r="T223" s="829"/>
      <c r="U223" s="829"/>
      <c r="V223" s="829"/>
      <c r="W223" s="829"/>
      <c r="X223" s="829"/>
      <c r="Y223" s="829"/>
      <c r="Z223" s="829"/>
      <c r="AA223" s="829"/>
      <c r="AB223" s="829"/>
      <c r="AC223" s="829"/>
    </row>
    <row r="224" spans="7:29">
      <c r="G224" s="833"/>
      <c r="H224" s="833"/>
      <c r="I224" s="833"/>
      <c r="J224" s="833"/>
      <c r="K224" s="833"/>
      <c r="T224" s="829"/>
      <c r="U224" s="829"/>
      <c r="V224" s="829"/>
      <c r="W224" s="829"/>
      <c r="X224" s="829"/>
      <c r="Y224" s="829"/>
      <c r="Z224" s="829"/>
      <c r="AA224" s="829"/>
      <c r="AB224" s="829"/>
      <c r="AC224" s="829"/>
    </row>
    <row r="225" spans="7:29">
      <c r="G225" s="833"/>
      <c r="H225" s="833"/>
      <c r="I225" s="833"/>
      <c r="J225" s="833"/>
      <c r="K225" s="833"/>
      <c r="T225" s="829"/>
      <c r="U225" s="829"/>
      <c r="V225" s="829"/>
      <c r="W225" s="829"/>
      <c r="X225" s="829"/>
      <c r="Y225" s="829"/>
      <c r="Z225" s="829"/>
      <c r="AA225" s="829"/>
      <c r="AB225" s="829"/>
      <c r="AC225" s="829"/>
    </row>
    <row r="226" spans="7:29">
      <c r="G226" s="833"/>
      <c r="H226" s="833"/>
      <c r="I226" s="833"/>
      <c r="J226" s="833"/>
      <c r="K226" s="833"/>
      <c r="T226" s="829"/>
      <c r="U226" s="829"/>
      <c r="V226" s="829"/>
      <c r="W226" s="829"/>
      <c r="X226" s="829"/>
      <c r="Y226" s="829"/>
      <c r="Z226" s="829"/>
      <c r="AA226" s="829"/>
      <c r="AB226" s="829"/>
      <c r="AC226" s="829"/>
    </row>
    <row r="227" spans="7:29">
      <c r="G227" s="833"/>
      <c r="H227" s="833"/>
      <c r="I227" s="833"/>
      <c r="J227" s="833"/>
      <c r="K227" s="833"/>
      <c r="T227" s="829"/>
      <c r="U227" s="829"/>
      <c r="V227" s="829"/>
      <c r="W227" s="829"/>
      <c r="X227" s="829"/>
      <c r="Y227" s="829"/>
      <c r="Z227" s="829"/>
      <c r="AA227" s="829"/>
      <c r="AB227" s="829"/>
      <c r="AC227" s="829"/>
    </row>
    <row r="228" spans="7:29">
      <c r="G228" s="833"/>
      <c r="H228" s="833"/>
      <c r="I228" s="833"/>
      <c r="J228" s="833"/>
      <c r="K228" s="833"/>
      <c r="T228" s="829"/>
      <c r="U228" s="829"/>
      <c r="V228" s="829"/>
      <c r="W228" s="829"/>
      <c r="X228" s="829"/>
      <c r="Y228" s="829"/>
      <c r="Z228" s="829"/>
      <c r="AA228" s="829"/>
      <c r="AB228" s="829"/>
      <c r="AC228" s="829"/>
    </row>
    <row r="229" spans="7:29">
      <c r="G229" s="833"/>
      <c r="H229" s="833"/>
      <c r="I229" s="833"/>
      <c r="J229" s="833"/>
      <c r="K229" s="833"/>
      <c r="T229" s="829"/>
      <c r="U229" s="829"/>
      <c r="V229" s="829"/>
      <c r="W229" s="829"/>
      <c r="X229" s="829"/>
      <c r="Y229" s="829"/>
      <c r="Z229" s="829"/>
      <c r="AA229" s="829"/>
      <c r="AB229" s="829"/>
      <c r="AC229" s="829"/>
    </row>
    <row r="230" spans="7:29">
      <c r="G230" s="833"/>
      <c r="H230" s="833"/>
      <c r="I230" s="833"/>
      <c r="J230" s="833"/>
      <c r="K230" s="833"/>
      <c r="T230" s="829"/>
      <c r="U230" s="829"/>
      <c r="V230" s="829"/>
      <c r="W230" s="829"/>
      <c r="X230" s="829"/>
      <c r="Y230" s="829"/>
      <c r="Z230" s="829"/>
      <c r="AA230" s="829"/>
      <c r="AB230" s="829"/>
      <c r="AC230" s="829"/>
    </row>
    <row r="231" spans="7:29">
      <c r="G231" s="833"/>
      <c r="H231" s="833"/>
      <c r="I231" s="833"/>
      <c r="J231" s="833"/>
      <c r="K231" s="833"/>
      <c r="T231" s="829"/>
      <c r="U231" s="829"/>
      <c r="V231" s="829"/>
      <c r="W231" s="829"/>
      <c r="X231" s="829"/>
      <c r="Y231" s="829"/>
      <c r="Z231" s="829"/>
      <c r="AA231" s="829"/>
      <c r="AB231" s="829"/>
      <c r="AC231" s="829"/>
    </row>
    <row r="232" spans="7:29">
      <c r="G232" s="833"/>
      <c r="H232" s="833"/>
      <c r="I232" s="833"/>
      <c r="J232" s="833"/>
      <c r="K232" s="833"/>
      <c r="T232" s="829"/>
      <c r="U232" s="829"/>
      <c r="V232" s="829"/>
      <c r="W232" s="829"/>
      <c r="X232" s="829"/>
      <c r="Y232" s="829"/>
      <c r="Z232" s="829"/>
      <c r="AA232" s="829"/>
      <c r="AB232" s="829"/>
      <c r="AC232" s="829"/>
    </row>
    <row r="233" spans="7:29">
      <c r="G233" s="833"/>
      <c r="H233" s="833"/>
      <c r="I233" s="833"/>
      <c r="J233" s="833"/>
      <c r="K233" s="833"/>
      <c r="T233" s="829"/>
      <c r="U233" s="829"/>
      <c r="V233" s="829"/>
      <c r="W233" s="829"/>
      <c r="X233" s="829"/>
      <c r="Y233" s="829"/>
      <c r="Z233" s="829"/>
      <c r="AA233" s="829"/>
      <c r="AB233" s="829"/>
      <c r="AC233" s="829"/>
    </row>
    <row r="234" spans="7:29">
      <c r="G234" s="833"/>
      <c r="H234" s="833"/>
      <c r="I234" s="833"/>
      <c r="J234" s="833"/>
      <c r="K234" s="833"/>
      <c r="T234" s="829"/>
      <c r="U234" s="829"/>
      <c r="V234" s="829"/>
      <c r="W234" s="829"/>
      <c r="X234" s="829"/>
      <c r="Y234" s="829"/>
      <c r="Z234" s="829"/>
      <c r="AA234" s="829"/>
      <c r="AB234" s="829"/>
      <c r="AC234" s="829"/>
    </row>
    <row r="235" spans="7:29">
      <c r="G235" s="833"/>
      <c r="H235" s="833"/>
      <c r="I235" s="833"/>
      <c r="J235" s="833"/>
      <c r="K235" s="833"/>
      <c r="T235" s="829"/>
      <c r="U235" s="829"/>
      <c r="V235" s="829"/>
      <c r="W235" s="829"/>
      <c r="X235" s="829"/>
      <c r="Y235" s="829"/>
      <c r="Z235" s="829"/>
      <c r="AA235" s="829"/>
      <c r="AB235" s="829"/>
      <c r="AC235" s="829"/>
    </row>
    <row r="236" spans="7:29">
      <c r="G236" s="833"/>
      <c r="H236" s="833"/>
      <c r="I236" s="833"/>
      <c r="J236" s="833"/>
      <c r="K236" s="833"/>
      <c r="T236" s="829"/>
      <c r="U236" s="829"/>
      <c r="V236" s="829"/>
      <c r="W236" s="829"/>
      <c r="X236" s="829"/>
      <c r="Y236" s="829"/>
      <c r="Z236" s="829"/>
      <c r="AA236" s="829"/>
      <c r="AB236" s="829"/>
      <c r="AC236" s="829"/>
    </row>
    <row r="237" spans="7:29">
      <c r="G237" s="833"/>
      <c r="H237" s="833"/>
      <c r="I237" s="833"/>
      <c r="J237" s="833"/>
      <c r="K237" s="833"/>
      <c r="T237" s="829"/>
      <c r="U237" s="829"/>
      <c r="V237" s="829"/>
      <c r="W237" s="829"/>
      <c r="X237" s="829"/>
      <c r="Y237" s="829"/>
      <c r="Z237" s="829"/>
      <c r="AA237" s="829"/>
      <c r="AB237" s="829"/>
      <c r="AC237" s="829"/>
    </row>
    <row r="238" spans="7:29">
      <c r="G238" s="833"/>
      <c r="H238" s="833"/>
      <c r="I238" s="833"/>
      <c r="J238" s="833"/>
      <c r="K238" s="833"/>
      <c r="T238" s="829"/>
      <c r="U238" s="829"/>
      <c r="V238" s="829"/>
      <c r="W238" s="829"/>
      <c r="X238" s="829"/>
      <c r="Y238" s="829"/>
      <c r="Z238" s="829"/>
      <c r="AA238" s="829"/>
      <c r="AB238" s="829"/>
      <c r="AC238" s="829"/>
    </row>
  </sheetData>
  <autoFilter ref="A22:DJ78"/>
  <mergeCells count="3">
    <mergeCell ref="W19:X19"/>
    <mergeCell ref="Y19:Z19"/>
    <mergeCell ref="AA19:AB19"/>
  </mergeCells>
  <phoneticPr fontId="21" type="noConversion"/>
  <conditionalFormatting sqref="AD23:AD308">
    <cfRule type="cellIs" dxfId="426" priority="37" operator="equal">
      <formula>"T"</formula>
    </cfRule>
  </conditionalFormatting>
  <conditionalFormatting sqref="N23:N308">
    <cfRule type="cellIs" dxfId="425" priority="44" stopIfTrue="1" operator="equal">
      <formula>"U"</formula>
    </cfRule>
    <cfRule type="cellIs" dxfId="424" priority="45" stopIfTrue="1" operator="equal">
      <formula>"O"</formula>
    </cfRule>
  </conditionalFormatting>
  <conditionalFormatting sqref="L23:L308">
    <cfRule type="cellIs" dxfId="423" priority="42" stopIfTrue="1" operator="equal">
      <formula>"W"</formula>
    </cfRule>
    <cfRule type="cellIs" dxfId="422" priority="43" stopIfTrue="1" operator="equal">
      <formula>"D"</formula>
    </cfRule>
  </conditionalFormatting>
  <conditionalFormatting sqref="AF23:AF308">
    <cfRule type="cellIs" dxfId="421" priority="40" stopIfTrue="1" operator="notEqual">
      <formula>11</formula>
    </cfRule>
    <cfRule type="cellIs" dxfId="420" priority="41" stopIfTrue="1" operator="between">
      <formula>0</formula>
      <formula>20</formula>
    </cfRule>
  </conditionalFormatting>
  <conditionalFormatting sqref="AE23:AE308">
    <cfRule type="cellIs" dxfId="419" priority="38" stopIfTrue="1" operator="notEqual">
      <formula>0</formula>
    </cfRule>
    <cfRule type="cellIs" dxfId="418" priority="39" stopIfTrue="1" operator="between">
      <formula>0</formula>
      <formula>20</formula>
    </cfRule>
  </conditionalFormatting>
  <conditionalFormatting sqref="CI19:CZ19">
    <cfRule type="expression" dxfId="417" priority="33">
      <formula>CI19="G"</formula>
    </cfRule>
    <cfRule type="expression" dxfId="416" priority="34">
      <formula>CI19="M"</formula>
    </cfRule>
    <cfRule type="expression" dxfId="415" priority="35">
      <formula>CI19="D"</formula>
    </cfRule>
    <cfRule type="expression" dxfId="414" priority="36">
      <formula>CI19="A"</formula>
    </cfRule>
  </conditionalFormatting>
  <conditionalFormatting sqref="BP19:CH19 AG19:BK19 BN19">
    <cfRule type="expression" dxfId="413" priority="29">
      <formula>AG19="G"</formula>
    </cfRule>
    <cfRule type="expression" dxfId="412" priority="30">
      <formula>OR(AG19="M",AG19="CM",AG19="LM",AG19="RM",AG19="DM",AG19="AM")</formula>
    </cfRule>
    <cfRule type="expression" dxfId="411" priority="31">
      <formula>OR(AG19="D",AG19="CB",AG19="LB",AG19="RB")</formula>
    </cfRule>
    <cfRule type="expression" dxfId="410" priority="32">
      <formula>OR(AG19="A",AG19="CF",AG19="SS",AG19="ST",AG19="RW",AG19="LW")</formula>
    </cfRule>
  </conditionalFormatting>
  <conditionalFormatting sqref="BQ66:BY66 BP23:BY29 BF23:BK29 BO30:BY65 AO23:BC29 BN23:BN29 AG23:AN72 AO30:BS72">
    <cfRule type="expression" dxfId="409" priority="27">
      <formula>IF(ISNUMBER(VALUE(RIGHT(AG23,1))),1,0)</formula>
    </cfRule>
  </conditionalFormatting>
  <conditionalFormatting sqref="CA16:CG16 BQ16:BV16 BN16 AG16:BL16">
    <cfRule type="top10" dxfId="408" priority="46" stopIfTrue="1" rank="5"/>
  </conditionalFormatting>
  <conditionalFormatting sqref="CA15:CG15 BQ15:BV15 BN15 AG15:BL15">
    <cfRule type="top10" dxfId="407" priority="47" rank="11"/>
  </conditionalFormatting>
  <conditionalFormatting sqref="CA17:CG17 BQ17:BV17 BN17 AG17:BL17">
    <cfRule type="top10" dxfId="406" priority="48" stopIfTrue="1" rank="5"/>
  </conditionalFormatting>
  <conditionalFormatting sqref="CA14:CG14 BQ14:BV14 BN14 AG14:BL14">
    <cfRule type="top10" dxfId="405" priority="49" rank="11"/>
  </conditionalFormatting>
  <conditionalFormatting sqref="BI62:BI65 BI67:BI69">
    <cfRule type="expression" dxfId="404" priority="26">
      <formula>IF(ISNUMBER(VALUE(RIGHT(BI62,1))),1,0)</formula>
    </cfRule>
  </conditionalFormatting>
  <conditionalFormatting sqref="BI66">
    <cfRule type="expression" dxfId="403" priority="25">
      <formula>IF(ISNUMBER(VALUE(RIGHT(BI66,1))),1,0)</formula>
    </cfRule>
  </conditionalFormatting>
  <conditionalFormatting sqref="AM69">
    <cfRule type="expression" dxfId="402" priority="24">
      <formula>IF(ISNUMBER(VALUE(RIGHT(AM69,1))),1,0)</formula>
    </cfRule>
  </conditionalFormatting>
  <conditionalFormatting sqref="BG70">
    <cfRule type="expression" dxfId="401" priority="23">
      <formula>IF(ISNUMBER(VALUE(RIGHT(BG70,1))),1,0)</formula>
    </cfRule>
  </conditionalFormatting>
  <conditionalFormatting sqref="AG19:BK19 BN19">
    <cfRule type="cellIs" dxfId="400" priority="11" operator="equal">
      <formula>"M"</formula>
    </cfRule>
  </conditionalFormatting>
  <conditionalFormatting sqref="AG19:BK19 BN19">
    <cfRule type="cellIs" dxfId="399" priority="10" operator="equal">
      <formula>"D"</formula>
    </cfRule>
  </conditionalFormatting>
  <conditionalFormatting sqref="AG19:BK19 BN19">
    <cfRule type="cellIs" dxfId="398" priority="8" operator="equal">
      <formula>"G"</formula>
    </cfRule>
    <cfRule type="cellIs" dxfId="397" priority="9" operator="equal">
      <formula>"A"</formula>
    </cfRule>
  </conditionalFormatting>
  <conditionalFormatting sqref="AG19:BK19 BN19">
    <cfRule type="containsText" dxfId="396" priority="5" operator="containsText" text="FW">
      <formula>NOT(ISERROR(SEARCH("FW",AG19)))</formula>
    </cfRule>
    <cfRule type="containsText" dxfId="395" priority="6" operator="containsText" text="MF">
      <formula>NOT(ISERROR(SEARCH("MF",AG19)))</formula>
    </cfRule>
    <cfRule type="containsText" dxfId="394" priority="7" operator="containsText" text="DF">
      <formula>NOT(ISERROR(SEARCH("DF",AG19)))</formula>
    </cfRule>
  </conditionalFormatting>
  <conditionalFormatting sqref="BM16 BO16:BP16">
    <cfRule type="top10" dxfId="393" priority="12" stopIfTrue="1" rank="5"/>
  </conditionalFormatting>
  <conditionalFormatting sqref="BM15 BO15:BP15">
    <cfRule type="top10" dxfId="392" priority="13" rank="11"/>
  </conditionalFormatting>
  <conditionalFormatting sqref="BM17 BO17:BP17">
    <cfRule type="top10" dxfId="391" priority="14" stopIfTrue="1" rank="5"/>
  </conditionalFormatting>
  <conditionalFormatting sqref="BM14 BO14:BP14">
    <cfRule type="top10" dxfId="390" priority="15" rank="11"/>
  </conditionalFormatting>
  <dataValidations disablePrompts="1" count="2">
    <dataValidation allowBlank="1" showInputMessage="1" showErrorMessage="1" errorTitle="Invalid Code" error="Invalid Code" sqref="K2"/>
    <dataValidation type="list" errorStyle="information" allowBlank="1" showInputMessage="1" showErrorMessage="1" errorTitle="Error" error="Invalid League Code" sqref="T1:AC1">
      <formula1>$I23:$I240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CN102"/>
  <sheetViews>
    <sheetView zoomScaleNormal="100" workbookViewId="0">
      <selection activeCell="CM1" sqref="CM1:CM22"/>
    </sheetView>
  </sheetViews>
  <sheetFormatPr defaultColWidth="9.125" defaultRowHeight="13.5"/>
  <cols>
    <col min="1" max="1" width="1.875" style="6" customWidth="1"/>
    <col min="2" max="2" width="14.25" style="6" customWidth="1"/>
    <col min="3" max="3" width="14.125" style="6" customWidth="1"/>
    <col min="4" max="4" width="10.375" style="6" customWidth="1"/>
    <col min="5" max="5" width="16.25" style="6" customWidth="1"/>
    <col min="6" max="6" width="0.75" style="7" customWidth="1"/>
    <col min="7" max="7" width="4" style="4" customWidth="1"/>
    <col min="8" max="8" width="8" style="7" customWidth="1"/>
    <col min="9" max="9" width="4.375" style="6" customWidth="1"/>
    <col min="10" max="10" width="13.375" style="6" bestFit="1" customWidth="1"/>
    <col min="11" max="11" width="10.625" style="6" customWidth="1"/>
    <col min="12" max="12" width="10.375" style="6" customWidth="1"/>
    <col min="13" max="18" width="9.125" style="6"/>
    <col min="19" max="19" width="9.125" style="6" customWidth="1"/>
    <col min="20" max="21" width="9.125" style="6"/>
    <col min="22" max="22" width="11.875" style="6" customWidth="1"/>
    <col min="23" max="32" width="9.125" style="6"/>
    <col min="33" max="33" width="9.875" style="6" customWidth="1"/>
    <col min="34" max="40" width="9.125" style="6"/>
    <col min="41" max="42" width="10.125" style="6" customWidth="1"/>
    <col min="43" max="47" width="9.125" style="6"/>
    <col min="48" max="48" width="8.75" style="4" customWidth="1"/>
    <col min="49" max="90" width="9.125" style="6"/>
    <col min="91" max="91" width="19.625" style="6" bestFit="1" customWidth="1"/>
    <col min="92" max="16384" width="9.125" style="6"/>
  </cols>
  <sheetData>
    <row r="1" spans="1:92" s="2" customFormat="1" ht="13.5" customHeight="1">
      <c r="A1" s="1"/>
      <c r="B1" s="1"/>
      <c r="E1" s="1"/>
      <c r="F1" s="1"/>
      <c r="G1" s="3"/>
      <c r="H1" s="4" t="s">
        <v>208</v>
      </c>
      <c r="K1" s="2">
        <v>2</v>
      </c>
      <c r="L1" s="2">
        <v>3</v>
      </c>
      <c r="M1" s="2">
        <v>4</v>
      </c>
      <c r="N1" s="2">
        <v>5</v>
      </c>
      <c r="O1" s="2">
        <v>6</v>
      </c>
      <c r="P1" s="2">
        <v>7</v>
      </c>
      <c r="Q1" s="2">
        <v>8</v>
      </c>
      <c r="R1" s="2">
        <v>9</v>
      </c>
      <c r="S1" s="2">
        <v>10</v>
      </c>
      <c r="T1" s="2">
        <v>11</v>
      </c>
      <c r="U1" s="2">
        <v>12</v>
      </c>
      <c r="V1" s="2">
        <v>13</v>
      </c>
      <c r="W1" s="2">
        <v>14</v>
      </c>
      <c r="X1" s="2">
        <v>15</v>
      </c>
      <c r="Y1" s="2">
        <v>16</v>
      </c>
      <c r="Z1" s="2">
        <v>17</v>
      </c>
      <c r="AA1" s="2">
        <v>18</v>
      </c>
      <c r="AB1" s="2">
        <v>19</v>
      </c>
      <c r="AC1" s="2">
        <v>20</v>
      </c>
      <c r="AD1" s="2">
        <v>21</v>
      </c>
      <c r="AE1" s="2">
        <v>22</v>
      </c>
      <c r="AF1" s="2">
        <v>23</v>
      </c>
      <c r="AG1" s="2">
        <v>24</v>
      </c>
      <c r="AH1" s="2">
        <v>25</v>
      </c>
      <c r="AI1" s="2">
        <v>26</v>
      </c>
      <c r="AJ1" s="2">
        <v>27</v>
      </c>
      <c r="AK1" s="2">
        <v>28</v>
      </c>
      <c r="AL1" s="2">
        <v>29</v>
      </c>
      <c r="AM1" s="2">
        <v>30</v>
      </c>
      <c r="AN1" s="2">
        <v>31</v>
      </c>
      <c r="AO1" s="2">
        <v>32</v>
      </c>
      <c r="AP1" s="2">
        <v>33</v>
      </c>
      <c r="AQ1" s="2">
        <v>34</v>
      </c>
      <c r="AR1" s="2">
        <v>35</v>
      </c>
      <c r="AS1" s="2">
        <v>36</v>
      </c>
      <c r="AT1" s="2">
        <v>37</v>
      </c>
      <c r="AU1" s="2">
        <v>38</v>
      </c>
      <c r="AV1" s="2">
        <v>39</v>
      </c>
      <c r="AW1" s="2">
        <v>40</v>
      </c>
      <c r="AX1" s="2">
        <v>41</v>
      </c>
      <c r="AY1" s="2">
        <v>42</v>
      </c>
      <c r="AZ1" s="2">
        <v>43</v>
      </c>
      <c r="BA1" s="2">
        <v>44</v>
      </c>
      <c r="BB1" s="2">
        <v>45</v>
      </c>
      <c r="BC1" s="2">
        <v>46</v>
      </c>
      <c r="BD1" s="2">
        <v>47</v>
      </c>
      <c r="BE1" s="2">
        <v>48</v>
      </c>
      <c r="CF1" s="5"/>
      <c r="CM1" s="6" t="s">
        <v>892</v>
      </c>
      <c r="CN1" s="6"/>
    </row>
    <row r="2" spans="1:92">
      <c r="A2" s="7"/>
      <c r="B2" s="7"/>
      <c r="E2" s="7"/>
      <c r="G2" s="4" t="s">
        <v>24</v>
      </c>
      <c r="H2" s="8" t="s">
        <v>209</v>
      </c>
      <c r="I2" s="8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CF2" s="5"/>
      <c r="CM2" s="6" t="s">
        <v>878</v>
      </c>
    </row>
    <row r="3" spans="1:92">
      <c r="A3" s="7"/>
      <c r="B3" s="9" t="s">
        <v>25</v>
      </c>
      <c r="E3" s="9" t="s">
        <v>26</v>
      </c>
      <c r="G3" s="4" t="s">
        <v>27</v>
      </c>
      <c r="H3" s="4"/>
      <c r="I3" s="4"/>
      <c r="J3" s="6" t="s">
        <v>28</v>
      </c>
      <c r="K3" s="10" t="s">
        <v>772</v>
      </c>
      <c r="M3" s="6" t="e">
        <f>VLOOKUP(K3,CM1:CN19,2,FALSE)</f>
        <v>#N/A</v>
      </c>
      <c r="CF3" s="5"/>
      <c r="CM3" s="6" t="s">
        <v>881</v>
      </c>
    </row>
    <row r="4" spans="1:92">
      <c r="A4" s="7"/>
      <c r="B4" s="6">
        <v>1</v>
      </c>
      <c r="C4" s="6" t="s">
        <v>841</v>
      </c>
      <c r="D4" s="5"/>
      <c r="E4" s="11" t="str">
        <f>IF(ISNUMBER(B4),IF(RIGHT(TRIM(C4),11)="Substituted",LEFT(TRIM(C4),LEN(TRIM(C4))-12),TRIM(C4)),IF(B4="",IF(RIGHT(TRIM(C4),11)="Substituted",LEFT(TRIM(C4),LEN(TRIM(C4))-12),TRIM(C4)),IF(RIGHT(TRIM(B4),11)="Substituted",LEFT(TRIM(B4),LEN(TRIM(B4))-12),TRIM(B4))))</f>
        <v>E. Pettersen</v>
      </c>
      <c r="G4" s="12" t="str">
        <f>IF(ISNUMBER(B4),IF(C4="","",IF(RIGHT(TRIM(C4),11)="Substituted",IF(D4="","X-"&amp;H4,"X-"&amp;H4&amp;IF(H4="","1","")),IF(D4="","X"&amp;H4,"X"&amp;H4&amp;IF(H4="","1","")))),IF(B4="",IF(RIGHT(TRIM(C4),11)="Substituted",IF(D4="","X-"&amp;H4,"X-"&amp;H4&amp;IF(H4="","1","")),IF(D4="","X"&amp;H4,"X"&amp;H4&amp;IF(H4="","1",""))),IF(RIGHT(TRIM(B4),11)="Substituted",IF(C4="","X-"&amp;H4,"X-"&amp;H4&amp;IF(H4="","1","")),IF(C4="","X"&amp;H4,"X"&amp;H4&amp;IF(H4="","1","")))))</f>
        <v>X</v>
      </c>
      <c r="I4" s="4"/>
      <c r="J4" s="13" t="s">
        <v>29</v>
      </c>
      <c r="K4" s="13" t="e">
        <f>IF(VLOOKUP($K$3,Squad!$A:$AT,K1,0)=0,"",VLOOKUP($K$3,Squad!$A:$AT,K1,0))</f>
        <v>#N/A</v>
      </c>
      <c r="L4" s="13" t="e">
        <f>IF(VLOOKUP($K$3,Squad!$A:$AT,L1,0)=0,"",VLOOKUP($K$3,Squad!$A:$AT,L1,0))</f>
        <v>#N/A</v>
      </c>
      <c r="M4" s="13" t="e">
        <f>IF(VLOOKUP($K$3,Squad!$A:$AT,M1,0)=0,"",VLOOKUP($K$3,Squad!$A:$AT,M1,0))</f>
        <v>#N/A</v>
      </c>
      <c r="N4" s="13" t="e">
        <f>IF(VLOOKUP($K$3,Squad!$A:$AT,N1,0)=0,"",VLOOKUP($K$3,Squad!$A:$AT,N1,0))</f>
        <v>#N/A</v>
      </c>
      <c r="O4" s="13" t="e">
        <f>IF(VLOOKUP($K$3,Squad!$A:$AT,O1,0)=0,"",VLOOKUP($K$3,Squad!$A:$AT,O1,0))</f>
        <v>#N/A</v>
      </c>
      <c r="P4" s="13" t="e">
        <f>IF(VLOOKUP($K$3,Squad!$A:$AT,P1,0)=0,"",VLOOKUP($K$3,Squad!$A:$AT,P1,0))</f>
        <v>#N/A</v>
      </c>
      <c r="Q4" s="13" t="e">
        <f>IF(VLOOKUP($K$3,Squad!$A:$AT,Q1,0)=0,"",VLOOKUP($K$3,Squad!$A:$AT,Q1,0))</f>
        <v>#N/A</v>
      </c>
      <c r="R4" s="13" t="e">
        <f>IF(VLOOKUP($K$3,Squad!$A:$AT,R1,0)=0,"",VLOOKUP($K$3,Squad!$A:$AT,R1,0))</f>
        <v>#N/A</v>
      </c>
      <c r="S4" s="13" t="e">
        <f>IF(VLOOKUP($K$3,Squad!$A:$AT,S1,0)=0,"",VLOOKUP($K$3,Squad!$A:$AT,S1,0))</f>
        <v>#N/A</v>
      </c>
      <c r="T4" s="13" t="e">
        <f>IF(VLOOKUP($K$3,Squad!$A:$AT,T1,0)=0,"",VLOOKUP($K$3,Squad!$A:$AT,T1,0))</f>
        <v>#N/A</v>
      </c>
      <c r="U4" s="13" t="e">
        <f>IF(VLOOKUP($K$3,Squad!$A:$AT,U1,0)=0,"",VLOOKUP($K$3,Squad!$A:$AT,U1,0))</f>
        <v>#N/A</v>
      </c>
      <c r="V4" s="13" t="e">
        <f>IF(VLOOKUP($K$3,Squad!$A:$AT,V1,0)=0,"",VLOOKUP($K$3,Squad!$A:$AT,V1,0))</f>
        <v>#N/A</v>
      </c>
      <c r="W4" s="13" t="e">
        <f>IF(VLOOKUP($K$3,Squad!$A:$AT,W1,0)=0,"",VLOOKUP($K$3,Squad!$A:$AT,W1,0))</f>
        <v>#N/A</v>
      </c>
      <c r="X4" s="13" t="e">
        <f>IF(VLOOKUP($K$3,Squad!$A:$AT,X1,0)=0,"",VLOOKUP($K$3,Squad!$A:$AT,X1,0))</f>
        <v>#N/A</v>
      </c>
      <c r="Y4" s="13" t="e">
        <f>IF(VLOOKUP($K$3,Squad!$A:$AT,Y1,0)=0,"",VLOOKUP($K$3,Squad!$A:$AT,Y1,0))</f>
        <v>#N/A</v>
      </c>
      <c r="Z4" s="13" t="e">
        <f>IF(VLOOKUP($K$3,Squad!$A:$AT,Z1,0)=0,"",VLOOKUP($K$3,Squad!$A:$AT,Z1,0))</f>
        <v>#N/A</v>
      </c>
      <c r="AA4" s="13" t="e">
        <f>IF(VLOOKUP($K$3,Squad!$A:$AT,AA1,0)=0,"",VLOOKUP($K$3,Squad!$A:$AT,AA1,0))</f>
        <v>#N/A</v>
      </c>
      <c r="AB4" s="13" t="e">
        <f>IF(VLOOKUP($K$3,Squad!$A:$AT,AB1,0)=0,"",VLOOKUP($K$3,Squad!$A:$AT,AB1,0))</f>
        <v>#N/A</v>
      </c>
      <c r="AC4" s="13" t="e">
        <f>IF(VLOOKUP($K$3,Squad!$A:$AT,AC1,0)=0,"",VLOOKUP($K$3,Squad!$A:$AT,AC1,0))</f>
        <v>#N/A</v>
      </c>
      <c r="AD4" s="13" t="e">
        <f>IF(VLOOKUP($K$3,Squad!$A:$AT,AD1,0)=0,"",VLOOKUP($K$3,Squad!$A:$AT,AD1,0))</f>
        <v>#N/A</v>
      </c>
      <c r="AE4" s="13" t="e">
        <f>IF(VLOOKUP($K$3,Squad!$A:$AT,AE1,0)=0,"",VLOOKUP($K$3,Squad!$A:$AT,AE1,0))</f>
        <v>#N/A</v>
      </c>
      <c r="AF4" s="13" t="e">
        <f>IF(VLOOKUP($K$3,Squad!$A:$AT,AF1,0)=0,"",VLOOKUP($K$3,Squad!$A:$AT,AF1,0))</f>
        <v>#N/A</v>
      </c>
      <c r="AG4" s="13" t="e">
        <f>IF(VLOOKUP($K$3,Squad!$A:$AT,AG1,0)=0,"",VLOOKUP($K$3,Squad!$A:$AT,AG1,0))</f>
        <v>#N/A</v>
      </c>
      <c r="AH4" s="13" t="e">
        <f>IF(VLOOKUP($K$3,Squad!$A:$AT,AH1,0)=0,"",VLOOKUP($K$3,Squad!$A:$AT,AH1,0))</f>
        <v>#N/A</v>
      </c>
      <c r="AI4" s="13" t="e">
        <f>IF(VLOOKUP($K$3,Squad!$A:$AT,AI1,0)=0,"",VLOOKUP($K$3,Squad!$A:$AT,AI1,0))</f>
        <v>#N/A</v>
      </c>
      <c r="AJ4" s="13" t="e">
        <f>IF(VLOOKUP($K$3,Squad!$A:$AT,AJ1,0)=0,"",VLOOKUP($K$3,Squad!$A:$AT,AJ1,0))</f>
        <v>#N/A</v>
      </c>
      <c r="AK4" s="13" t="e">
        <f>IF(VLOOKUP($K$3,Squad!$A:$AT,AK1,0)=0,"",VLOOKUP($K$3,Squad!$A:$AT,AK1,0))</f>
        <v>#N/A</v>
      </c>
      <c r="AL4" s="13" t="e">
        <f>IF(VLOOKUP($K$3,Squad!$A:$AT,AL1,0)=0,"",VLOOKUP($K$3,Squad!$A:$AT,AL1,0))</f>
        <v>#N/A</v>
      </c>
      <c r="AM4" s="13" t="e">
        <f>IF(VLOOKUP($K$3,Squad!$A:$AT,AM1,0)=0,"",VLOOKUP($K$3,Squad!$A:$AT,AM1,0))</f>
        <v>#N/A</v>
      </c>
      <c r="AN4" s="13" t="e">
        <f>IF(VLOOKUP($K$3,Squad!$A:$AT,AN1,0)=0,"",VLOOKUP($K$3,Squad!$A:$AT,AN1,0))</f>
        <v>#N/A</v>
      </c>
      <c r="AO4" s="13" t="e">
        <f>IF(VLOOKUP($K$3,Squad!$A:$AT,AO1,0)=0,"",VLOOKUP($K$3,Squad!$A:$AT,AO1,0))</f>
        <v>#N/A</v>
      </c>
      <c r="AP4" s="13" t="e">
        <f>IF(VLOOKUP($K$3,Squad!$A:$AT,AP1,0)=0,"",VLOOKUP($K$3,Squad!$A:$AT,AP1,0))</f>
        <v>#N/A</v>
      </c>
      <c r="AQ4" s="13" t="e">
        <f>IF(VLOOKUP($K$3,Squad!$A:$AT,AQ1,0)=0,"",VLOOKUP($K$3,Squad!$A:$AT,AQ1,0))</f>
        <v>#N/A</v>
      </c>
      <c r="AR4" s="13" t="e">
        <f>IF(VLOOKUP($K$3,Squad!$A:$AT,AR1,0)=0,"",VLOOKUP($K$3,Squad!$A:$AT,AR1,0))</f>
        <v>#N/A</v>
      </c>
      <c r="AS4" s="13" t="e">
        <f>IF(VLOOKUP($K$3,Squad!$A:$AT,AS1,0)=0,"",VLOOKUP($K$3,Squad!$A:$AT,AS1,0))</f>
        <v>#N/A</v>
      </c>
      <c r="AT4" s="13" t="e">
        <f>IF(VLOOKUP($K$3,Squad!$A:$AT,AT1,0)=0,"",VLOOKUP($K$3,Squad!$A:$AT,AT1,0))</f>
        <v>#N/A</v>
      </c>
      <c r="AU4" s="13" t="e">
        <f>IF(VLOOKUP($K$3,Squad!$A:$AT,AU1,0)=0,"",VLOOKUP($K$3,Squad!$A:$AT,AU1,0))</f>
        <v>#N/A</v>
      </c>
      <c r="AV4" s="13" t="e">
        <f>IF(VLOOKUP($K$3,Squad!$A:$AT,AV1,0)=0,"",VLOOKUP($K$3,Squad!$A:$AT,AV1,0))</f>
        <v>#N/A</v>
      </c>
      <c r="AW4" s="13" t="e">
        <f>IF(VLOOKUP($K$3,Squad!$A:$AT,AW1,0)=0,"",VLOOKUP($K$3,Squad!$A:$AT,AW1,0))</f>
        <v>#N/A</v>
      </c>
      <c r="AX4" s="13" t="e">
        <f>IF(VLOOKUP($K$3,Squad!$A:$AT,AX1,0)=0,"",VLOOKUP($K$3,Squad!$A:$AT,AX1,0))</f>
        <v>#N/A</v>
      </c>
      <c r="AY4" s="13" t="e">
        <f>IF(VLOOKUP($K$3,Squad!$A:$AT,AY1,0)=0,"",VLOOKUP($K$3,Squad!$A:$AT,AY1,0))</f>
        <v>#N/A</v>
      </c>
      <c r="AZ4" s="13" t="e">
        <f>IF(VLOOKUP($K$3,Squad!$A:$AT,AZ1,0)=0,"",VLOOKUP($K$3,Squad!$A:$AT,AZ1,0))</f>
        <v>#N/A</v>
      </c>
      <c r="BA4" s="13" t="e">
        <f>IF(VLOOKUP($K$3,Squad!$A:$AT,BA1,0)=0,"",VLOOKUP($K$3,Squad!$A:$AT,BA1,0))</f>
        <v>#N/A</v>
      </c>
      <c r="BB4" s="13" t="e">
        <f>IF(VLOOKUP($K$3,Squad!$A:$AT,BB1,0)=0,"",VLOOKUP($K$3,Squad!$A:$AT,BB1,0))</f>
        <v>#N/A</v>
      </c>
      <c r="BC4" s="13" t="e">
        <f>IF(VLOOKUP($K$3,Squad!$A:$AT,BC1,0)=0,"",VLOOKUP($K$3,Squad!$A:$AT,BC1,0))</f>
        <v>#N/A</v>
      </c>
      <c r="BD4" s="13" t="e">
        <f>IF(VLOOKUP($K$3,Squad!$A:$AT,BD1,0)=0,"",VLOOKUP($K$3,Squad!$A:$AT,BD1,0))</f>
        <v>#N/A</v>
      </c>
      <c r="BE4" s="13" t="e">
        <f>IF(VLOOKUP($K$3,Squad!$A:$AT,BE1,0)=0,"",VLOOKUP($K$3,Squad!$A:$AT,BE1,0))</f>
        <v>#N/A</v>
      </c>
      <c r="CF4" s="5"/>
      <c r="CM4" s="6" t="s">
        <v>884</v>
      </c>
    </row>
    <row r="5" spans="1:92">
      <c r="A5" s="7"/>
      <c r="B5" s="6">
        <v>4</v>
      </c>
      <c r="C5" s="6" t="s">
        <v>855</v>
      </c>
      <c r="D5" s="5"/>
      <c r="E5" s="11" t="str">
        <f t="shared" ref="E5:E14" si="0">IF(ISNUMBER(B5),IF(RIGHT(TRIM(C5),11)="Substituted",LEFT(TRIM(C5),LEN(TRIM(C5))-12),TRIM(C5)),IF(B5="",IF(RIGHT(TRIM(C5),11)="Substituted",LEFT(TRIM(C5),LEN(TRIM(C5))-12),TRIM(C5)),IF(RIGHT(TRIM(B5),11)="Substituted",LEFT(TRIM(B5),LEN(TRIM(B5))-12),TRIM(B5))))</f>
        <v>K. Madsen</v>
      </c>
      <c r="G5" s="12" t="str">
        <f t="shared" ref="G5:G14" si="1">IF(ISNUMBER(B5),IF(C5="","",IF(RIGHT(TRIM(C5),11)="Substituted",IF(D5="","X-"&amp;H5,"X-"&amp;H5&amp;IF(H5="","1","")),IF(D5="","X"&amp;H5,"X"&amp;H5&amp;IF(H5="","1","")))),IF(B5="",IF(RIGHT(TRIM(C5),11)="Substituted",IF(D5="","X-"&amp;H5,"X-"&amp;H5&amp;IF(H5="","1","")),IF(D5="","X"&amp;H5,"X"&amp;H5&amp;IF(H5="","1",""))),IF(RIGHT(TRIM(B5),11)="Substituted",IF(C5="","X-"&amp;H5,"X-"&amp;H5&amp;IF(H5="","1","")),IF(C5="","X"&amp;H5,"X"&amp;H5&amp;IF(H5="","1","")))))</f>
        <v>X</v>
      </c>
      <c r="I5" s="4"/>
      <c r="J5" s="13" t="s">
        <v>30</v>
      </c>
      <c r="K5" s="13" t="e">
        <f>IF(VLOOKUP($K$3&amp;" num",Squad!$A:$AT,K1,0)=0,"",VLOOKUP($K$3&amp;" num",Squad!$A:$AT,K1,0))</f>
        <v>#N/A</v>
      </c>
      <c r="L5" s="13" t="e">
        <f>IF(VLOOKUP($K$3&amp;" num",Squad!$A:$AT,L1,0)=0,"",VLOOKUP($K$3&amp;" num",Squad!$A:$AT,L1,0))</f>
        <v>#N/A</v>
      </c>
      <c r="M5" s="13" t="e">
        <f>IF(VLOOKUP($K$3&amp;" num",Squad!$A:$AT,M1,0)=0,"",VLOOKUP($K$3&amp;" num",Squad!$A:$AT,M1,0))</f>
        <v>#N/A</v>
      </c>
      <c r="N5" s="13" t="e">
        <f>IF(VLOOKUP($K$3&amp;" num",Squad!$A:$AT,N1,0)=0,"",VLOOKUP($K$3&amp;" num",Squad!$A:$AT,N1,0))</f>
        <v>#N/A</v>
      </c>
      <c r="O5" s="13" t="e">
        <f>IF(VLOOKUP($K$3&amp;" num",Squad!$A:$AT,O1,0)=0,"",VLOOKUP($K$3&amp;" num",Squad!$A:$AT,O1,0))</f>
        <v>#N/A</v>
      </c>
      <c r="P5" s="13" t="e">
        <f>IF(VLOOKUP($K$3&amp;" num",Squad!$A:$AT,P1,0)=0,"",VLOOKUP($K$3&amp;" num",Squad!$A:$AT,P1,0))</f>
        <v>#N/A</v>
      </c>
      <c r="Q5" s="13" t="e">
        <f>IF(VLOOKUP($K$3&amp;" num",Squad!$A:$AT,Q1,0)=0,"",VLOOKUP($K$3&amp;" num",Squad!$A:$AT,Q1,0))</f>
        <v>#N/A</v>
      </c>
      <c r="R5" s="13" t="e">
        <f>IF(VLOOKUP($K$3&amp;" num",Squad!$A:$AT,R1,0)=0,"",VLOOKUP($K$3&amp;" num",Squad!$A:$AT,R1,0))</f>
        <v>#N/A</v>
      </c>
      <c r="S5" s="13" t="e">
        <f>IF(VLOOKUP($K$3&amp;" num",Squad!$A:$AT,S1,0)=0,"",VLOOKUP($K$3&amp;" num",Squad!$A:$AT,S1,0))</f>
        <v>#N/A</v>
      </c>
      <c r="T5" s="13" t="e">
        <f>IF(VLOOKUP($K$3&amp;" num",Squad!$A:$AT,T1,0)=0,"",VLOOKUP($K$3&amp;" num",Squad!$A:$AT,T1,0))</f>
        <v>#N/A</v>
      </c>
      <c r="U5" s="13" t="e">
        <f>IF(VLOOKUP($K$3&amp;" num",Squad!$A:$AT,U1,0)=0,"",VLOOKUP($K$3&amp;" num",Squad!$A:$AT,U1,0))</f>
        <v>#N/A</v>
      </c>
      <c r="V5" s="13" t="e">
        <f>IF(VLOOKUP($K$3&amp;" num",Squad!$A:$AT,V1,0)=0,"",VLOOKUP($K$3&amp;" num",Squad!$A:$AT,V1,0))</f>
        <v>#N/A</v>
      </c>
      <c r="W5" s="13" t="e">
        <f>IF(VLOOKUP($K$3&amp;" num",Squad!$A:$AT,W1,0)=0,"",VLOOKUP($K$3&amp;" num",Squad!$A:$AT,W1,0))</f>
        <v>#N/A</v>
      </c>
      <c r="X5" s="13" t="e">
        <f>IF(VLOOKUP($K$3&amp;" num",Squad!$A:$AT,X1,0)=0,"",VLOOKUP($K$3&amp;" num",Squad!$A:$AT,X1,0))</f>
        <v>#N/A</v>
      </c>
      <c r="Y5" s="13" t="e">
        <f>IF(VLOOKUP($K$3&amp;" num",Squad!$A:$AT,Y1,0)=0,"",VLOOKUP($K$3&amp;" num",Squad!$A:$AT,Y1,0))</f>
        <v>#N/A</v>
      </c>
      <c r="Z5" s="13" t="e">
        <f>IF(VLOOKUP($K$3&amp;" num",Squad!$A:$AT,Z1,0)=0,"",VLOOKUP($K$3&amp;" num",Squad!$A:$AT,Z1,0))</f>
        <v>#N/A</v>
      </c>
      <c r="AA5" s="13" t="e">
        <f>IF(VLOOKUP($K$3&amp;" num",Squad!$A:$AT,AA1,0)=0,"",VLOOKUP($K$3&amp;" num",Squad!$A:$AT,AA1,0))</f>
        <v>#N/A</v>
      </c>
      <c r="AB5" s="13" t="e">
        <f>IF(VLOOKUP($K$3&amp;" num",Squad!$A:$AT,AB1,0)=0,"",VLOOKUP($K$3&amp;" num",Squad!$A:$AT,AB1,0))</f>
        <v>#N/A</v>
      </c>
      <c r="AC5" s="13" t="e">
        <f>IF(VLOOKUP($K$3&amp;" num",Squad!$A:$AT,AC1,0)=0,"",VLOOKUP($K$3&amp;" num",Squad!$A:$AT,AC1,0))</f>
        <v>#N/A</v>
      </c>
      <c r="AD5" s="13" t="e">
        <f>IF(VLOOKUP($K$3&amp;" num",Squad!$A:$AT,AD1,0)=0,"",VLOOKUP($K$3&amp;" num",Squad!$A:$AT,AD1,0))</f>
        <v>#N/A</v>
      </c>
      <c r="AE5" s="13" t="e">
        <f>IF(VLOOKUP($K$3&amp;" num",Squad!$A:$AT,AE1,0)=0,"",VLOOKUP($K$3&amp;" num",Squad!$A:$AT,AE1,0))</f>
        <v>#N/A</v>
      </c>
      <c r="AF5" s="13" t="e">
        <f>IF(VLOOKUP($K$3&amp;" num",Squad!$A:$AT,AF1,0)=0,"",VLOOKUP($K$3&amp;" num",Squad!$A:$AT,AF1,0))</f>
        <v>#N/A</v>
      </c>
      <c r="AG5" s="13" t="e">
        <f>IF(VLOOKUP($K$3&amp;" num",Squad!$A:$AT,AG1,0)=0,"",VLOOKUP($K$3&amp;" num",Squad!$A:$AT,AG1,0))</f>
        <v>#N/A</v>
      </c>
      <c r="AH5" s="13" t="e">
        <f>IF(VLOOKUP($K$3&amp;" num",Squad!$A:$AT,AH1,0)=0,"",VLOOKUP($K$3&amp;" num",Squad!$A:$AT,AH1,0))</f>
        <v>#N/A</v>
      </c>
      <c r="AI5" s="13" t="e">
        <f>IF(VLOOKUP($K$3&amp;" num",Squad!$A:$AT,AI1,0)=0,"",VLOOKUP($K$3&amp;" num",Squad!$A:$AT,AI1,0))</f>
        <v>#N/A</v>
      </c>
      <c r="AJ5" s="13" t="e">
        <f>IF(VLOOKUP($K$3&amp;" num",Squad!$A:$AT,AJ1,0)=0,"",VLOOKUP($K$3&amp;" num",Squad!$A:$AT,AJ1,0))</f>
        <v>#N/A</v>
      </c>
      <c r="AK5" s="13" t="e">
        <f>IF(VLOOKUP($K$3&amp;" num",Squad!$A:$AT,AK1,0)=0,"",VLOOKUP($K$3&amp;" num",Squad!$A:$AT,AK1,0))</f>
        <v>#N/A</v>
      </c>
      <c r="AL5" s="13" t="e">
        <f>IF(VLOOKUP($K$3&amp;" num",Squad!$A:$AT,AL1,0)=0,"",VLOOKUP($K$3&amp;" num",Squad!$A:$AT,AL1,0))</f>
        <v>#N/A</v>
      </c>
      <c r="AM5" s="13" t="e">
        <f>IF(VLOOKUP($K$3&amp;" num",Squad!$A:$AT,AM1,0)=0,"",VLOOKUP($K$3&amp;" num",Squad!$A:$AT,AM1,0))</f>
        <v>#N/A</v>
      </c>
      <c r="AN5" s="13" t="e">
        <f>IF(VLOOKUP($K$3&amp;" num",Squad!$A:$AT,AN1,0)=0,"",VLOOKUP($K$3&amp;" num",Squad!$A:$AT,AN1,0))</f>
        <v>#N/A</v>
      </c>
      <c r="AO5" s="13" t="e">
        <f>IF(VLOOKUP($K$3&amp;" num",Squad!$A:$AT,AO1,0)=0,"",VLOOKUP($K$3&amp;" num",Squad!$A:$AT,AO1,0))</f>
        <v>#N/A</v>
      </c>
      <c r="AP5" s="13" t="e">
        <f>IF(VLOOKUP($K$3&amp;" num",Squad!$A:$AT,AP1,0)=0,"",VLOOKUP($K$3&amp;" num",Squad!$A:$AT,AP1,0))</f>
        <v>#N/A</v>
      </c>
      <c r="AQ5" s="13" t="e">
        <f>IF(VLOOKUP($K$3&amp;" num",Squad!$A:$AT,AQ1,0)=0,"",VLOOKUP($K$3&amp;" num",Squad!$A:$AT,AQ1,0))</f>
        <v>#N/A</v>
      </c>
      <c r="AR5" s="13" t="e">
        <f>IF(VLOOKUP($K$3&amp;" num",Squad!$A:$AT,AR1,0)=0,"",VLOOKUP($K$3&amp;" num",Squad!$A:$AT,AR1,0))</f>
        <v>#N/A</v>
      </c>
      <c r="AS5" s="13" t="e">
        <f>IF(VLOOKUP($K$3&amp;" num",Squad!$A:$AT,AS1,0)=0,"",VLOOKUP($K$3&amp;" num",Squad!$A:$AT,AS1,0))</f>
        <v>#N/A</v>
      </c>
      <c r="AT5" s="13" t="e">
        <f>IF(VLOOKUP($K$3&amp;" num",Squad!$A:$AT,AT1,0)=0,"",VLOOKUP($K$3&amp;" num",Squad!$A:$AT,AT1,0))</f>
        <v>#N/A</v>
      </c>
      <c r="AU5" s="13" t="e">
        <f>IF(VLOOKUP($K$3&amp;" num",Squad!$A:$AT,AU1,0)=0,"",VLOOKUP($K$3&amp;" num",Squad!$A:$AT,AU1,0))</f>
        <v>#N/A</v>
      </c>
      <c r="AV5" s="13" t="e">
        <f>IF(VLOOKUP($K$3&amp;" num",Squad!$A:$AT,AV1,0)=0,"",VLOOKUP($K$3&amp;" num",Squad!$A:$AT,AV1,0))</f>
        <v>#N/A</v>
      </c>
      <c r="AW5" s="13" t="e">
        <f>IF(VLOOKUP($K$3&amp;" num",Squad!$A:$AT,AW1,0)=0,"",VLOOKUP($K$3&amp;" num",Squad!$A:$AT,AW1,0))</f>
        <v>#N/A</v>
      </c>
      <c r="AX5" s="13" t="e">
        <v>#N/A</v>
      </c>
      <c r="AY5" s="13" t="e">
        <v>#N/A</v>
      </c>
      <c r="AZ5" s="13" t="e">
        <v>#N/A</v>
      </c>
      <c r="BA5" s="13" t="e">
        <v>#N/A</v>
      </c>
      <c r="BB5" s="13" t="e">
        <v>#N/A</v>
      </c>
      <c r="BC5" s="13" t="e">
        <v>#N/A</v>
      </c>
      <c r="BD5" s="13" t="e">
        <v>#N/A</v>
      </c>
      <c r="BE5" s="13" t="e">
        <v>#N/A</v>
      </c>
      <c r="CF5" s="5"/>
      <c r="CM5" s="6" t="s">
        <v>887</v>
      </c>
    </row>
    <row r="6" spans="1:92">
      <c r="A6" s="7"/>
      <c r="B6" s="6">
        <v>2</v>
      </c>
      <c r="C6" s="6" t="s">
        <v>856</v>
      </c>
      <c r="D6" s="5"/>
      <c r="E6" s="11" t="str">
        <f t="shared" si="0"/>
        <v>M. Hamoud</v>
      </c>
      <c r="G6" s="12" t="str">
        <f t="shared" si="1"/>
        <v>X</v>
      </c>
      <c r="I6" s="4"/>
      <c r="J6" s="13" t="s">
        <v>31</v>
      </c>
      <c r="K6" s="13" t="e">
        <f>IF(VLOOKUP($K$3&amp;" name",Squad!$A:$AT,K1,0)=0,"",VLOOKUP($K$3&amp;" name",Squad!$A:$AT,K1,0))</f>
        <v>#N/A</v>
      </c>
      <c r="L6" s="13" t="e">
        <f>IF(VLOOKUP($K$3&amp;" name",Squad!$A:$AT,L1,0)=0,"",VLOOKUP($K$3&amp;" name",Squad!$A:$AT,L1,0))</f>
        <v>#N/A</v>
      </c>
      <c r="M6" s="13" t="e">
        <f>IF(VLOOKUP($K$3&amp;" name",Squad!$A:$AT,M1,0)=0,"",VLOOKUP($K$3&amp;" name",Squad!$A:$AT,M1,0))</f>
        <v>#N/A</v>
      </c>
      <c r="N6" s="13" t="e">
        <f>IF(VLOOKUP($K$3&amp;" name",Squad!$A:$AT,N1,0)=0,"",VLOOKUP($K$3&amp;" name",Squad!$A:$AT,N1,0))</f>
        <v>#N/A</v>
      </c>
      <c r="O6" s="13" t="e">
        <f>IF(VLOOKUP($K$3&amp;" name",Squad!$A:$AT,O1,0)=0,"",VLOOKUP($K$3&amp;" name",Squad!$A:$AT,O1,0))</f>
        <v>#N/A</v>
      </c>
      <c r="P6" s="13" t="e">
        <f>IF(VLOOKUP($K$3&amp;" name",Squad!$A:$AT,P1,0)=0,"",VLOOKUP($K$3&amp;" name",Squad!$A:$AT,P1,0))</f>
        <v>#N/A</v>
      </c>
      <c r="Q6" s="13" t="e">
        <f>IF(VLOOKUP($K$3&amp;" name",Squad!$A:$AT,Q1,0)=0,"",VLOOKUP($K$3&amp;" name",Squad!$A:$AT,Q1,0))</f>
        <v>#N/A</v>
      </c>
      <c r="R6" s="13" t="e">
        <f>IF(VLOOKUP($K$3&amp;" name",Squad!$A:$AT,R1,0)=0,"",VLOOKUP($K$3&amp;" name",Squad!$A:$AT,R1,0))</f>
        <v>#N/A</v>
      </c>
      <c r="S6" s="13" t="e">
        <f>IF(VLOOKUP($K$3&amp;" name",Squad!$A:$AT,S1,0)=0,"",VLOOKUP($K$3&amp;" name",Squad!$A:$AT,S1,0))</f>
        <v>#N/A</v>
      </c>
      <c r="T6" s="13" t="e">
        <f>IF(VLOOKUP($K$3&amp;" name",Squad!$A:$AT,T1,0)=0,"",VLOOKUP($K$3&amp;" name",Squad!$A:$AT,T1,0))</f>
        <v>#N/A</v>
      </c>
      <c r="U6" s="13" t="e">
        <f>IF(VLOOKUP($K$3&amp;" name",Squad!$A:$AT,U1,0)=0,"",VLOOKUP($K$3&amp;" name",Squad!$A:$AT,U1,0))</f>
        <v>#N/A</v>
      </c>
      <c r="V6" s="13" t="e">
        <f>IF(VLOOKUP($K$3&amp;" name",Squad!$A:$AT,V1,0)=0,"",VLOOKUP($K$3&amp;" name",Squad!$A:$AT,V1,0))</f>
        <v>#N/A</v>
      </c>
      <c r="W6" s="13" t="e">
        <f>IF(VLOOKUP($K$3&amp;" name",Squad!$A:$AT,W1,0)=0,"",VLOOKUP($K$3&amp;" name",Squad!$A:$AT,W1,0))</f>
        <v>#N/A</v>
      </c>
      <c r="X6" s="13" t="e">
        <f>IF(VLOOKUP($K$3&amp;" name",Squad!$A:$AT,X1,0)=0,"",VLOOKUP($K$3&amp;" name",Squad!$A:$AT,X1,0))</f>
        <v>#N/A</v>
      </c>
      <c r="Y6" s="13" t="e">
        <f>IF(VLOOKUP($K$3&amp;" name",Squad!$A:$AT,Y1,0)=0,"",VLOOKUP($K$3&amp;" name",Squad!$A:$AT,Y1,0))</f>
        <v>#N/A</v>
      </c>
      <c r="Z6" s="13" t="e">
        <f>IF(VLOOKUP($K$3&amp;" name",Squad!$A:$AT,Z1,0)=0,"",VLOOKUP($K$3&amp;" name",Squad!$A:$AT,Z1,0))</f>
        <v>#N/A</v>
      </c>
      <c r="AA6" s="13" t="e">
        <f>IF(VLOOKUP($K$3&amp;" name",Squad!$A:$AT,AA1,0)=0,"",VLOOKUP($K$3&amp;" name",Squad!$A:$AT,AA1,0))</f>
        <v>#N/A</v>
      </c>
      <c r="AB6" s="13" t="e">
        <f>IF(VLOOKUP($K$3&amp;" name",Squad!$A:$AT,AB1,0)=0,"",VLOOKUP($K$3&amp;" name",Squad!$A:$AT,AB1,0))</f>
        <v>#N/A</v>
      </c>
      <c r="AC6" s="13" t="e">
        <f>IF(VLOOKUP($K$3&amp;" name",Squad!$A:$AT,AC1,0)=0,"",VLOOKUP($K$3&amp;" name",Squad!$A:$AT,AC1,0))</f>
        <v>#N/A</v>
      </c>
      <c r="AD6" s="13" t="e">
        <f>IF(VLOOKUP($K$3&amp;" name",Squad!$A:$AT,AD1,0)=0,"",VLOOKUP($K$3&amp;" name",Squad!$A:$AT,AD1,0))</f>
        <v>#N/A</v>
      </c>
      <c r="AE6" s="13" t="e">
        <f>IF(VLOOKUP($K$3&amp;" name",Squad!$A:$AT,AE1,0)=0,"",VLOOKUP($K$3&amp;" name",Squad!$A:$AT,AE1,0))</f>
        <v>#N/A</v>
      </c>
      <c r="AF6" s="13" t="e">
        <f>IF(VLOOKUP($K$3&amp;" name",Squad!$A:$AT,AF1,0)=0,"",VLOOKUP($K$3&amp;" name",Squad!$A:$AT,AF1,0))</f>
        <v>#N/A</v>
      </c>
      <c r="AG6" s="13" t="e">
        <f>IF(VLOOKUP($K$3&amp;" name",Squad!$A:$AT,AG1,0)=0,"",VLOOKUP($K$3&amp;" name",Squad!$A:$AT,AG1,0))</f>
        <v>#N/A</v>
      </c>
      <c r="AH6" s="13" t="e">
        <f>IF(VLOOKUP($K$3&amp;" name",Squad!$A:$AT,AH1,0)=0,"",VLOOKUP($K$3&amp;" name",Squad!$A:$AT,AH1,0))</f>
        <v>#N/A</v>
      </c>
      <c r="AI6" s="13" t="e">
        <f>IF(VLOOKUP($K$3&amp;" name",Squad!$A:$AT,AI1,0)=0,"",VLOOKUP($K$3&amp;" name",Squad!$A:$AT,AI1,0))</f>
        <v>#N/A</v>
      </c>
      <c r="AJ6" s="13" t="e">
        <f>IF(VLOOKUP($K$3&amp;" name",Squad!$A:$AT,AJ1,0)=0,"",VLOOKUP($K$3&amp;" name",Squad!$A:$AT,AJ1,0))</f>
        <v>#N/A</v>
      </c>
      <c r="AK6" s="13" t="e">
        <f>IF(VLOOKUP($K$3&amp;" name",Squad!$A:$AT,AK1,0)=0,"",VLOOKUP($K$3&amp;" name",Squad!$A:$AT,AK1,0))</f>
        <v>#N/A</v>
      </c>
      <c r="AL6" s="13" t="e">
        <f>IF(VLOOKUP($K$3&amp;" name",Squad!$A:$AT,AL1,0)=0,"",VLOOKUP($K$3&amp;" name",Squad!$A:$AT,AL1,0))</f>
        <v>#N/A</v>
      </c>
      <c r="AM6" s="13" t="e">
        <f>IF(VLOOKUP($K$3&amp;" name",Squad!$A:$AT,AM1,0)=0,"",VLOOKUP($K$3&amp;" name",Squad!$A:$AT,AM1,0))</f>
        <v>#N/A</v>
      </c>
      <c r="AN6" s="13" t="e">
        <f>IF(VLOOKUP($K$3&amp;" name",Squad!$A:$AT,AN1,0)=0,"",VLOOKUP($K$3&amp;" name",Squad!$A:$AT,AN1,0))</f>
        <v>#N/A</v>
      </c>
      <c r="AO6" s="13" t="e">
        <f>IF(VLOOKUP($K$3&amp;" name",Squad!$A:$AT,AO1,0)=0,"",VLOOKUP($K$3&amp;" name",Squad!$A:$AT,AO1,0))</f>
        <v>#N/A</v>
      </c>
      <c r="AP6" s="13" t="e">
        <f>IF(VLOOKUP($K$3&amp;" name",Squad!$A:$AT,AP1,0)=0,"",VLOOKUP($K$3&amp;" name",Squad!$A:$AT,AP1,0))</f>
        <v>#N/A</v>
      </c>
      <c r="AQ6" s="13" t="e">
        <f>IF(VLOOKUP($K$3&amp;" name",Squad!$A:$AT,AQ1,0)=0,"",VLOOKUP($K$3&amp;" name",Squad!$A:$AT,AQ1,0))</f>
        <v>#N/A</v>
      </c>
      <c r="AR6" s="13" t="e">
        <f>IF(VLOOKUP($K$3&amp;" name",Squad!$A:$AT,AR1,0)=0,"",VLOOKUP($K$3&amp;" name",Squad!$A:$AT,AR1,0))</f>
        <v>#N/A</v>
      </c>
      <c r="AS6" s="13" t="e">
        <f>IF(VLOOKUP($K$3&amp;" name",Squad!$A:$AT,AS1,0)=0,"",VLOOKUP($K$3&amp;" name",Squad!$A:$AT,AS1,0))</f>
        <v>#N/A</v>
      </c>
      <c r="AT6" s="13" t="e">
        <f>IF(VLOOKUP($K$3&amp;" name",Squad!$A:$AT,AT1,0)=0,"",VLOOKUP($K$3&amp;" name",Squad!$A:$AT,AT1,0))</f>
        <v>#N/A</v>
      </c>
      <c r="AU6" s="13" t="e">
        <f>IF(VLOOKUP($K$3&amp;" name",Squad!$A:$AT,AU1,0)=0,"",VLOOKUP($K$3&amp;" name",Squad!$A:$AT,AU1,0))</f>
        <v>#N/A</v>
      </c>
      <c r="AV6" s="13" t="e">
        <f>IF(VLOOKUP($K$3&amp;" name",Squad!$A:$AT,AV1,0)=0,"",VLOOKUP($K$3&amp;" name",Squad!$A:$AT,AV1,0))</f>
        <v>#N/A</v>
      </c>
      <c r="AW6" s="13" t="e">
        <f>IF(VLOOKUP($K$3&amp;" name",Squad!$A:$AT,AW1,0)=0,"",VLOOKUP($K$3&amp;" name",Squad!$A:$AT,AW1,0))</f>
        <v>#N/A</v>
      </c>
      <c r="AX6" s="13" t="e">
        <f>IF(VLOOKUP($K$3&amp;" name",Squad!$A:$AT,AX1,0)=0,"",VLOOKUP($K$3&amp;" name",Squad!$A:$AT,AX1,0))</f>
        <v>#N/A</v>
      </c>
      <c r="AY6" s="13" t="e">
        <f>IF(VLOOKUP($K$3&amp;" name",Squad!$A:$AT,AY1,0)=0,"",VLOOKUP($K$3&amp;" name",Squad!$A:$AT,AY1,0))</f>
        <v>#N/A</v>
      </c>
      <c r="AZ6" s="13" t="e">
        <f>IF(VLOOKUP($K$3&amp;" name",Squad!$A:$AT,AZ1,0)=0,"",VLOOKUP($K$3&amp;" name",Squad!$A:$AT,AZ1,0))</f>
        <v>#N/A</v>
      </c>
      <c r="BA6" s="13" t="e">
        <f>IF(VLOOKUP($K$3&amp;" name",Squad!$A:$AT,BA1,0)=0,"",VLOOKUP($K$3&amp;" name",Squad!$A:$AT,BA1,0))</f>
        <v>#N/A</v>
      </c>
      <c r="BB6" s="13" t="e">
        <f>IF(VLOOKUP($K$3&amp;" name",Squad!$A:$AT,BB1,0)=0,"",VLOOKUP($K$3&amp;" name",Squad!$A:$AT,BB1,0))</f>
        <v>#N/A</v>
      </c>
      <c r="BC6" s="13" t="e">
        <f>IF(VLOOKUP($K$3&amp;" name",Squad!$A:$AT,BC1,0)=0,"",VLOOKUP($K$3&amp;" name",Squad!$A:$AT,BC1,0))</f>
        <v>#N/A</v>
      </c>
      <c r="BD6" s="13" t="e">
        <f>IF(VLOOKUP($K$3&amp;" name",Squad!$A:$AT,BD1,0)=0,"",VLOOKUP($K$3&amp;" name",Squad!$A:$AT,BD1,0))</f>
        <v>#N/A</v>
      </c>
      <c r="BE6" s="13" t="e">
        <f>IF(VLOOKUP($K$3&amp;" name",Squad!$A:$AT,BE1,0)=0,"",VLOOKUP($K$3&amp;" name",Squad!$A:$AT,BE1,0))</f>
        <v>#N/A</v>
      </c>
      <c r="CF6" s="5"/>
      <c r="CM6" s="6" t="s">
        <v>893</v>
      </c>
    </row>
    <row r="7" spans="1:92">
      <c r="A7" s="7"/>
      <c r="B7" s="6">
        <v>71</v>
      </c>
      <c r="C7" s="6" t="s">
        <v>857</v>
      </c>
      <c r="D7" s="5"/>
      <c r="E7" s="11" t="str">
        <f t="shared" si="0"/>
        <v>G. Valsvik</v>
      </c>
      <c r="G7" s="12" t="str">
        <f t="shared" si="1"/>
        <v>X</v>
      </c>
      <c r="I7" s="4"/>
      <c r="J7" s="14"/>
      <c r="K7" s="15" t="str">
        <f>IF(ISERROR(K6),"",IF(K6="","",IF(ISNA(HLOOKUP(K6,$K$9:$X$10,2,0)),"",HLOOKUP(K6,$K$9:$X$10,2,0))))</f>
        <v/>
      </c>
      <c r="L7" s="15" t="str">
        <f t="shared" ref="L7:BC7" si="2">IF(ISERROR(L6),"",IF(L6="","",IF(ISNA(HLOOKUP(L6,$K$9:$X$10,2,0)),"",HLOOKUP(L6,$K$9:$X$10,2,0))))</f>
        <v/>
      </c>
      <c r="M7" s="15" t="str">
        <f t="shared" si="2"/>
        <v/>
      </c>
      <c r="N7" s="15" t="str">
        <f t="shared" si="2"/>
        <v/>
      </c>
      <c r="O7" s="15" t="str">
        <f t="shared" si="2"/>
        <v/>
      </c>
      <c r="P7" s="15" t="str">
        <f t="shared" si="2"/>
        <v/>
      </c>
      <c r="Q7" s="15" t="str">
        <f t="shared" si="2"/>
        <v/>
      </c>
      <c r="R7" s="15" t="str">
        <f t="shared" si="2"/>
        <v/>
      </c>
      <c r="S7" s="15" t="str">
        <f t="shared" si="2"/>
        <v/>
      </c>
      <c r="T7" s="15" t="str">
        <f t="shared" si="2"/>
        <v/>
      </c>
      <c r="U7" s="15" t="str">
        <f t="shared" si="2"/>
        <v/>
      </c>
      <c r="V7" s="15" t="str">
        <f t="shared" si="2"/>
        <v/>
      </c>
      <c r="W7" s="15" t="str">
        <f t="shared" si="2"/>
        <v/>
      </c>
      <c r="X7" s="15" t="str">
        <f t="shared" si="2"/>
        <v/>
      </c>
      <c r="Y7" s="15" t="str">
        <f t="shared" si="2"/>
        <v/>
      </c>
      <c r="Z7" s="15" t="str">
        <f t="shared" si="2"/>
        <v/>
      </c>
      <c r="AA7" s="15" t="str">
        <f t="shared" si="2"/>
        <v/>
      </c>
      <c r="AB7" s="15" t="str">
        <f t="shared" si="2"/>
        <v/>
      </c>
      <c r="AC7" s="15" t="str">
        <f t="shared" si="2"/>
        <v/>
      </c>
      <c r="AD7" s="15" t="str">
        <f t="shared" si="2"/>
        <v/>
      </c>
      <c r="AE7" s="15" t="str">
        <f t="shared" si="2"/>
        <v/>
      </c>
      <c r="AF7" s="15" t="str">
        <f t="shared" si="2"/>
        <v/>
      </c>
      <c r="AG7" s="15" t="str">
        <f t="shared" si="2"/>
        <v/>
      </c>
      <c r="AH7" s="15" t="str">
        <f t="shared" si="2"/>
        <v/>
      </c>
      <c r="AI7" s="15" t="str">
        <f t="shared" si="2"/>
        <v/>
      </c>
      <c r="AJ7" s="15" t="str">
        <f t="shared" si="2"/>
        <v/>
      </c>
      <c r="AK7" s="15" t="str">
        <f t="shared" si="2"/>
        <v/>
      </c>
      <c r="AL7" s="15" t="str">
        <f t="shared" si="2"/>
        <v/>
      </c>
      <c r="AM7" s="15" t="str">
        <f t="shared" si="2"/>
        <v/>
      </c>
      <c r="AN7" s="15" t="str">
        <f t="shared" si="2"/>
        <v/>
      </c>
      <c r="AO7" s="15" t="str">
        <f t="shared" si="2"/>
        <v/>
      </c>
      <c r="AP7" s="15" t="str">
        <f t="shared" si="2"/>
        <v/>
      </c>
      <c r="AQ7" s="15" t="str">
        <f t="shared" si="2"/>
        <v/>
      </c>
      <c r="AR7" s="15" t="str">
        <f t="shared" si="2"/>
        <v/>
      </c>
      <c r="AS7" s="15" t="str">
        <f t="shared" si="2"/>
        <v/>
      </c>
      <c r="AT7" s="15" t="str">
        <f t="shared" si="2"/>
        <v/>
      </c>
      <c r="AU7" s="15" t="str">
        <f t="shared" si="2"/>
        <v/>
      </c>
      <c r="AV7" s="15" t="str">
        <f t="shared" si="2"/>
        <v/>
      </c>
      <c r="AW7" s="15" t="str">
        <f t="shared" si="2"/>
        <v/>
      </c>
      <c r="AX7" s="15" t="str">
        <f t="shared" si="2"/>
        <v/>
      </c>
      <c r="AY7" s="15" t="str">
        <f t="shared" si="2"/>
        <v/>
      </c>
      <c r="AZ7" s="15" t="str">
        <f t="shared" si="2"/>
        <v/>
      </c>
      <c r="BA7" s="15" t="str">
        <f t="shared" si="2"/>
        <v/>
      </c>
      <c r="BB7" s="15" t="str">
        <f t="shared" si="2"/>
        <v/>
      </c>
      <c r="BC7" s="15" t="str">
        <f t="shared" si="2"/>
        <v/>
      </c>
      <c r="BD7" s="15" t="str">
        <f>IF(ISERROR(BD6),"",IF(BD6="","",IF(ISNA(HLOOKUP(BD6,$K$9:$X$10,2,0)),"",HLOOKUP(BD6,$K$9:$X$10,2,0))))</f>
        <v/>
      </c>
      <c r="BE7" s="15" t="str">
        <f>IF(ISERROR(BE6),"",IF(BE6="","",IF(ISNA(HLOOKUP(BE6,$K$9:$X$10,2,0)),"",HLOOKUP(BE6,$K$9:$X$10,2,0))))</f>
        <v/>
      </c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F7" s="5"/>
      <c r="CM7" s="6" t="s">
        <v>876</v>
      </c>
    </row>
    <row r="8" spans="1:92">
      <c r="A8" s="7"/>
      <c r="B8" s="6">
        <v>26</v>
      </c>
      <c r="C8" s="6" t="s">
        <v>842</v>
      </c>
      <c r="D8" s="5"/>
      <c r="E8" s="11" t="str">
        <f t="shared" si="0"/>
        <v>L. Vilsvik</v>
      </c>
      <c r="G8" s="12" t="str">
        <f t="shared" si="1"/>
        <v>X</v>
      </c>
      <c r="I8" s="4"/>
      <c r="K8" s="17">
        <v>1</v>
      </c>
      <c r="L8" s="17">
        <v>4</v>
      </c>
      <c r="M8" s="17">
        <v>2</v>
      </c>
      <c r="N8" s="17">
        <v>71</v>
      </c>
      <c r="O8" s="17">
        <v>26</v>
      </c>
      <c r="P8" s="17">
        <v>20</v>
      </c>
      <c r="Q8" s="17">
        <v>11</v>
      </c>
      <c r="R8" s="17">
        <v>19</v>
      </c>
      <c r="S8" s="17">
        <v>14</v>
      </c>
      <c r="T8" s="17">
        <v>75</v>
      </c>
      <c r="U8" s="17">
        <v>15</v>
      </c>
      <c r="V8" s="17">
        <v>8</v>
      </c>
      <c r="W8" s="17">
        <v>7</v>
      </c>
      <c r="X8" s="17">
        <v>23</v>
      </c>
      <c r="AG8" s="6" t="s">
        <v>32</v>
      </c>
      <c r="AH8" s="6" t="s">
        <v>32</v>
      </c>
      <c r="AI8" s="6" t="s">
        <v>32</v>
      </c>
      <c r="AJ8" s="6" t="s">
        <v>32</v>
      </c>
      <c r="AO8" s="6" t="s">
        <v>32</v>
      </c>
      <c r="AP8" s="6" t="s">
        <v>32</v>
      </c>
      <c r="AQ8" s="6" t="s">
        <v>32</v>
      </c>
      <c r="AR8" s="6" t="s">
        <v>32</v>
      </c>
      <c r="AS8" s="6" t="s">
        <v>32</v>
      </c>
      <c r="AT8" s="6" t="s">
        <v>32</v>
      </c>
      <c r="AU8" s="6" t="s">
        <v>32</v>
      </c>
      <c r="AV8" s="4" t="s">
        <v>32</v>
      </c>
      <c r="AW8" s="6" t="s">
        <v>32</v>
      </c>
      <c r="AX8" s="6" t="s">
        <v>32</v>
      </c>
      <c r="AY8" s="6" t="s">
        <v>32</v>
      </c>
      <c r="AZ8" s="6" t="s">
        <v>32</v>
      </c>
      <c r="BA8" s="6" t="s">
        <v>32</v>
      </c>
      <c r="BB8" s="6" t="s">
        <v>32</v>
      </c>
      <c r="CF8" s="5"/>
      <c r="CM8" s="6" t="s">
        <v>885</v>
      </c>
    </row>
    <row r="9" spans="1:92">
      <c r="A9" s="7"/>
      <c r="B9" s="6">
        <v>20</v>
      </c>
      <c r="C9" s="6" t="s">
        <v>843</v>
      </c>
      <c r="D9" s="5"/>
      <c r="E9" s="11" t="str">
        <f t="shared" si="0"/>
        <v>M. Abu</v>
      </c>
      <c r="G9" s="12" t="str">
        <f t="shared" si="1"/>
        <v>X-</v>
      </c>
      <c r="I9" s="4"/>
      <c r="K9" s="6" t="s">
        <v>788</v>
      </c>
      <c r="L9" s="6" t="s">
        <v>783</v>
      </c>
      <c r="M9" s="6" t="s">
        <v>782</v>
      </c>
      <c r="N9" s="4" t="s">
        <v>853</v>
      </c>
      <c r="O9" s="4" t="s">
        <v>784</v>
      </c>
      <c r="P9" s="4" t="s">
        <v>818</v>
      </c>
      <c r="Q9" s="4" t="s">
        <v>817</v>
      </c>
      <c r="R9" s="4" t="s">
        <v>785</v>
      </c>
      <c r="S9" s="4" t="s">
        <v>804</v>
      </c>
      <c r="T9" s="4" t="s">
        <v>868</v>
      </c>
      <c r="U9" s="4" t="s">
        <v>819</v>
      </c>
      <c r="V9" s="4" t="s">
        <v>780</v>
      </c>
      <c r="W9" s="4" t="s">
        <v>854</v>
      </c>
      <c r="X9" s="4" t="s">
        <v>525</v>
      </c>
      <c r="CF9" s="5"/>
      <c r="CM9" s="6" t="s">
        <v>879</v>
      </c>
    </row>
    <row r="10" spans="1:92">
      <c r="A10" s="7"/>
      <c r="B10" s="6">
        <v>11</v>
      </c>
      <c r="C10" s="6" t="s">
        <v>844</v>
      </c>
      <c r="D10" s="5" t="s">
        <v>858</v>
      </c>
      <c r="E10" s="11" t="str">
        <f t="shared" si="0"/>
        <v>M. Rønning</v>
      </c>
      <c r="G10" s="12" t="str">
        <f t="shared" si="1"/>
        <v>Xy</v>
      </c>
      <c r="H10" s="7" t="s">
        <v>867</v>
      </c>
      <c r="I10" s="4"/>
      <c r="K10" s="6" t="s">
        <v>34</v>
      </c>
      <c r="L10" s="6" t="s">
        <v>34</v>
      </c>
      <c r="M10" s="6" t="s">
        <v>34</v>
      </c>
      <c r="N10" s="4" t="s">
        <v>34</v>
      </c>
      <c r="O10" s="4" t="s">
        <v>34</v>
      </c>
      <c r="P10" s="4" t="s">
        <v>35</v>
      </c>
      <c r="Q10" s="4" t="s">
        <v>869</v>
      </c>
      <c r="R10" s="4" t="s">
        <v>869</v>
      </c>
      <c r="S10" s="4" t="s">
        <v>34</v>
      </c>
      <c r="T10" s="4" t="s">
        <v>840</v>
      </c>
      <c r="U10" s="4" t="s">
        <v>840</v>
      </c>
      <c r="V10" s="4" t="s">
        <v>803</v>
      </c>
      <c r="W10" s="4" t="s">
        <v>36</v>
      </c>
      <c r="X10" s="4" t="s">
        <v>36</v>
      </c>
      <c r="Y10" s="4"/>
      <c r="Z10" s="4"/>
      <c r="AA10" s="4"/>
      <c r="CF10" s="5"/>
      <c r="CM10" s="6" t="s">
        <v>872</v>
      </c>
    </row>
    <row r="11" spans="1:92">
      <c r="A11" s="7"/>
      <c r="B11" s="6">
        <v>19</v>
      </c>
      <c r="C11" s="6" t="s">
        <v>845</v>
      </c>
      <c r="D11" s="5" t="s">
        <v>859</v>
      </c>
      <c r="E11" s="11" t="str">
        <f t="shared" si="0"/>
        <v>G. Wikheim</v>
      </c>
      <c r="G11" s="12" t="str">
        <f t="shared" si="1"/>
        <v>Xy</v>
      </c>
      <c r="H11" s="7" t="s">
        <v>867</v>
      </c>
      <c r="I11" s="4"/>
      <c r="J11" s="12" t="s">
        <v>33</v>
      </c>
      <c r="K11" s="7" t="str">
        <f>IF(ISNA(HLOOKUP(K9,$K$6:$BZ$6,1,0)),"OBS",HLOOKUP(K9,$K$6:$BZ$6,1,0))</f>
        <v>OBS</v>
      </c>
      <c r="L11" s="7" t="str">
        <f t="shared" ref="L11:X11" si="3">IF(ISNA(HLOOKUP(L9,$K$6:$BZ$6,1,0)),"OBS",HLOOKUP(L9,$K$6:$BZ$6,1,0))</f>
        <v>OBS</v>
      </c>
      <c r="M11" s="7" t="str">
        <f t="shared" si="3"/>
        <v>OBS</v>
      </c>
      <c r="N11" s="7" t="str">
        <f t="shared" si="3"/>
        <v>OBS</v>
      </c>
      <c r="O11" s="7" t="str">
        <f t="shared" si="3"/>
        <v>OBS</v>
      </c>
      <c r="P11" s="7" t="str">
        <f t="shared" si="3"/>
        <v>OBS</v>
      </c>
      <c r="Q11" s="7" t="str">
        <f t="shared" si="3"/>
        <v>OBS</v>
      </c>
      <c r="R11" s="7" t="str">
        <f t="shared" si="3"/>
        <v>OBS</v>
      </c>
      <c r="S11" s="7" t="str">
        <f t="shared" si="3"/>
        <v>OBS</v>
      </c>
      <c r="T11" s="7" t="str">
        <f t="shared" si="3"/>
        <v>OBS</v>
      </c>
      <c r="U11" s="7" t="str">
        <f t="shared" si="3"/>
        <v>OBS</v>
      </c>
      <c r="V11" s="7" t="str">
        <f t="shared" si="3"/>
        <v>OBS</v>
      </c>
      <c r="W11" s="7" t="str">
        <f t="shared" si="3"/>
        <v>OBS</v>
      </c>
      <c r="X11" s="7" t="str">
        <f t="shared" si="3"/>
        <v>OBS</v>
      </c>
      <c r="Y11" s="4"/>
      <c r="CF11" s="5"/>
      <c r="CM11" s="6" t="s">
        <v>880</v>
      </c>
    </row>
    <row r="12" spans="1:92">
      <c r="A12" s="7"/>
      <c r="B12" s="6">
        <v>14</v>
      </c>
      <c r="C12" s="6" t="s">
        <v>847</v>
      </c>
      <c r="D12" s="5"/>
      <c r="E12" s="11" t="str">
        <f t="shared" si="0"/>
        <v>I. Fossum</v>
      </c>
      <c r="G12" s="12" t="str">
        <f t="shared" si="1"/>
        <v>X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CF12" s="5"/>
      <c r="CM12" s="6" t="s">
        <v>873</v>
      </c>
    </row>
    <row r="13" spans="1:92">
      <c r="A13" s="7"/>
      <c r="B13" s="6">
        <v>75</v>
      </c>
      <c r="C13" s="6" t="s">
        <v>860</v>
      </c>
      <c r="D13" s="5" t="s">
        <v>846</v>
      </c>
      <c r="E13" s="11" t="str">
        <f t="shared" si="0"/>
        <v>M. Ogunjimi</v>
      </c>
      <c r="G13" s="12" t="str">
        <f t="shared" si="1"/>
        <v>X-y</v>
      </c>
      <c r="H13" s="7" t="s">
        <v>867</v>
      </c>
      <c r="I13" s="4"/>
      <c r="J13" s="4"/>
      <c r="K13" s="4" t="s">
        <v>32</v>
      </c>
      <c r="L13" s="4" t="s">
        <v>32</v>
      </c>
      <c r="M13" s="4" t="s">
        <v>32</v>
      </c>
      <c r="N13" s="4" t="s">
        <v>32</v>
      </c>
      <c r="O13" s="4" t="s">
        <v>32</v>
      </c>
      <c r="P13" s="4" t="s">
        <v>32</v>
      </c>
      <c r="Q13" s="4" t="s">
        <v>32</v>
      </c>
      <c r="R13" s="4" t="s">
        <v>32</v>
      </c>
      <c r="S13" s="4" t="s">
        <v>32</v>
      </c>
      <c r="T13" s="4" t="s">
        <v>34</v>
      </c>
      <c r="U13" s="4" t="s">
        <v>34</v>
      </c>
      <c r="V13" s="4" t="s">
        <v>32</v>
      </c>
      <c r="W13" s="4" t="s">
        <v>34</v>
      </c>
      <c r="X13" s="4" t="s">
        <v>32</v>
      </c>
      <c r="Y13" s="4" t="s">
        <v>32</v>
      </c>
      <c r="Z13" s="4" t="s">
        <v>34</v>
      </c>
      <c r="AA13" s="4" t="s">
        <v>32</v>
      </c>
      <c r="AB13" s="4" t="s">
        <v>34</v>
      </c>
      <c r="AC13" s="4" t="s">
        <v>36</v>
      </c>
      <c r="AD13" s="4" t="s">
        <v>32</v>
      </c>
      <c r="AE13" s="12" t="s">
        <v>870</v>
      </c>
      <c r="AF13" s="4" t="s">
        <v>34</v>
      </c>
      <c r="AG13" s="12" t="s">
        <v>870</v>
      </c>
      <c r="AH13" s="4" t="s">
        <v>35</v>
      </c>
      <c r="AI13" s="4" t="s">
        <v>32</v>
      </c>
      <c r="AJ13" s="12" t="s">
        <v>871</v>
      </c>
      <c r="AK13" s="4" t="s">
        <v>36</v>
      </c>
      <c r="AL13" s="12" t="s">
        <v>871</v>
      </c>
      <c r="AM13" s="4" t="s">
        <v>32</v>
      </c>
      <c r="AN13" s="4" t="s">
        <v>32</v>
      </c>
      <c r="AO13" s="4" t="s">
        <v>32</v>
      </c>
      <c r="AP13" s="4" t="s">
        <v>32</v>
      </c>
      <c r="AQ13" s="4" t="s">
        <v>32</v>
      </c>
      <c r="AR13" s="4" t="s">
        <v>32</v>
      </c>
      <c r="AS13" s="4" t="s">
        <v>32</v>
      </c>
      <c r="AT13" s="4" t="s">
        <v>32</v>
      </c>
      <c r="AU13" s="4" t="s">
        <v>32</v>
      </c>
      <c r="AV13" s="4" t="s">
        <v>32</v>
      </c>
      <c r="AW13" s="4" t="s">
        <v>32</v>
      </c>
      <c r="AX13" s="4" t="s">
        <v>32</v>
      </c>
      <c r="AY13" s="4" t="s">
        <v>803</v>
      </c>
      <c r="AZ13" s="4" t="s">
        <v>32</v>
      </c>
      <c r="BA13" s="4" t="s">
        <v>32</v>
      </c>
      <c r="BB13" s="4" t="s">
        <v>32</v>
      </c>
      <c r="BC13" s="6" t="s">
        <v>32</v>
      </c>
      <c r="BD13" s="6" t="s">
        <v>32</v>
      </c>
      <c r="BE13" s="6" t="s">
        <v>32</v>
      </c>
      <c r="CF13" s="5"/>
      <c r="CM13" s="6" t="s">
        <v>874</v>
      </c>
    </row>
    <row r="14" spans="1:92">
      <c r="A14" s="7"/>
      <c r="B14" s="6">
        <v>15</v>
      </c>
      <c r="C14" s="6" t="s">
        <v>848</v>
      </c>
      <c r="D14" s="5" t="s">
        <v>861</v>
      </c>
      <c r="E14" s="11" t="str">
        <f t="shared" si="0"/>
        <v>F. Kastrati</v>
      </c>
      <c r="G14" s="12" t="str">
        <f t="shared" si="1"/>
        <v>X-y</v>
      </c>
      <c r="H14" s="7" t="s">
        <v>867</v>
      </c>
      <c r="I14" s="4"/>
      <c r="J14" s="4"/>
      <c r="K14" s="4"/>
      <c r="L14" s="4"/>
      <c r="M14" s="4"/>
      <c r="N14" s="4"/>
      <c r="O14" s="4"/>
      <c r="P14" s="4"/>
      <c r="CF14" s="5"/>
      <c r="CM14" s="6" t="s">
        <v>882</v>
      </c>
    </row>
    <row r="15" spans="1:92">
      <c r="A15" s="7"/>
      <c r="B15" s="18"/>
      <c r="C15" s="18"/>
      <c r="D15" s="18"/>
      <c r="E15" s="18"/>
      <c r="CF15" s="5"/>
      <c r="CM15" s="6" t="s">
        <v>890</v>
      </c>
    </row>
    <row r="16" spans="1:92">
      <c r="A16" s="7"/>
      <c r="B16" s="18"/>
      <c r="E16" s="18"/>
      <c r="I16" s="4"/>
      <c r="CF16" s="5"/>
      <c r="CM16" s="6" t="s">
        <v>877</v>
      </c>
    </row>
    <row r="17" spans="1:91">
      <c r="A17" s="7"/>
      <c r="B17" s="9"/>
      <c r="E17" s="18"/>
      <c r="G17" s="4" t="str">
        <f t="shared" ref="G17" si="4">IF(RIGHT(C17,11)="Substituted","s","")</f>
        <v/>
      </c>
      <c r="L17" s="4"/>
      <c r="CF17" s="5"/>
      <c r="CM17" s="19" t="s">
        <v>894</v>
      </c>
    </row>
    <row r="18" spans="1:91">
      <c r="A18" s="7" t="str">
        <f t="array" ref="A18">IF(SUM(IF(ISNUMBER(B15:B17),1,0))&lt;&gt;1,"",IF(ISNUMBER(B15),B15,IF(ISNUMBER(B16),B16,B17)))</f>
        <v/>
      </c>
      <c r="B18" s="6">
        <v>8</v>
      </c>
      <c r="E18" s="11" t="str">
        <f t="shared" ref="E18:E46" si="5">IF(RIGHT(TRIM(B18),11)="Substituted",LEFT(TRIM(B18),LEN(TRIM(B18))-12),"")</f>
        <v/>
      </c>
      <c r="G18" s="12" t="str">
        <f>IF(RIGHT(TRIM(B18),11)="Substituted",IF(AND(G19="",G20="",G21=""),IF(AND(C18="",C19="",C20="",C21=""),"s"&amp;H18,"s"&amp;H18&amp;IF(H18="","1","")),"s"&amp;H18),"")</f>
        <v/>
      </c>
      <c r="L18" s="4"/>
      <c r="CF18" s="5"/>
      <c r="CM18" s="19" t="s">
        <v>888</v>
      </c>
    </row>
    <row r="19" spans="1:91">
      <c r="A19" s="7">
        <f t="array" ref="A19">IF(SUM(IF(ISNUMBER(B16:B18),1,0))&lt;&gt;1,"",IF(ISNUMBER(B16),B16,IF(ISNUMBER(B17),B17,B18)))</f>
        <v>8</v>
      </c>
      <c r="E19" s="11" t="str">
        <f t="shared" si="5"/>
        <v/>
      </c>
      <c r="G19" s="12" t="str">
        <f t="shared" ref="G19:G53" si="6">IF(RIGHT(TRIM(B19),11)="Substituted",IF(AND(G20="",G21="",G22=""),IF(AND(C19="",C20="",C21="",C22=""),"s"&amp;H19,"s"&amp;H19&amp;IF(H19="","1","")),"s"&amp;H19),"")</f>
        <v/>
      </c>
      <c r="L19" s="4"/>
      <c r="CF19" s="5"/>
      <c r="CM19" s="19" t="s">
        <v>889</v>
      </c>
    </row>
    <row r="20" spans="1:91">
      <c r="A20" s="7">
        <f t="array" ref="A20">IF(SUM(IF(ISNUMBER(B17:B19),1,0))&lt;&gt;1,"",IF(ISNUMBER(B17),B17,IF(ISNUMBER(B18),B18,B19)))</f>
        <v>8</v>
      </c>
      <c r="B20" s="6" t="s">
        <v>849</v>
      </c>
      <c r="E20" s="11" t="str">
        <f t="shared" si="5"/>
        <v>P. Moen</v>
      </c>
      <c r="G20" s="12" t="str">
        <f t="shared" si="6"/>
        <v>s1</v>
      </c>
      <c r="L20" s="4"/>
      <c r="CF20" s="5"/>
      <c r="CM20" s="19" t="s">
        <v>886</v>
      </c>
    </row>
    <row r="21" spans="1:91">
      <c r="A21" s="7">
        <f t="array" ref="A21">IF(SUM(IF(ISNUMBER(B18:B20),1,0))&lt;&gt;1,"",IF(ISNUMBER(B18),B18,IF(ISNUMBER(B19),B19,B20)))</f>
        <v>8</v>
      </c>
      <c r="E21" s="11" t="str">
        <f t="shared" si="5"/>
        <v/>
      </c>
      <c r="G21" s="12" t="str">
        <f t="shared" si="6"/>
        <v/>
      </c>
      <c r="L21" s="4"/>
      <c r="CF21" s="5"/>
      <c r="CM21" s="6" t="s">
        <v>883</v>
      </c>
    </row>
    <row r="22" spans="1:91">
      <c r="A22" s="7" t="str">
        <f t="array" ref="A22">IF(SUM(IF(ISNUMBER(B19:B21),1,0))&lt;&gt;1,"",IF(ISNUMBER(B19),B19,IF(ISNUMBER(B20),B20,B21)))</f>
        <v/>
      </c>
      <c r="B22" s="6" t="s">
        <v>862</v>
      </c>
      <c r="E22" s="11" t="str">
        <f t="shared" si="5"/>
        <v/>
      </c>
      <c r="G22" s="12" t="str">
        <f t="shared" si="6"/>
        <v/>
      </c>
      <c r="L22" s="4"/>
      <c r="CF22" s="5"/>
      <c r="CM22" s="6" t="s">
        <v>875</v>
      </c>
    </row>
    <row r="23" spans="1:91">
      <c r="A23" s="7" t="str">
        <f t="array" ref="A23">IF(SUM(IF(ISNUMBER(B20:B22),1,0))&lt;&gt;1,"",IF(ISNUMBER(B20),B20,IF(ISNUMBER(B21),B21,B22)))</f>
        <v/>
      </c>
      <c r="C23" s="6" t="s">
        <v>863</v>
      </c>
      <c r="E23" s="11" t="str">
        <f t="shared" si="5"/>
        <v/>
      </c>
      <c r="G23" s="12" t="str">
        <f t="shared" si="6"/>
        <v/>
      </c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1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CF23" s="5"/>
    </row>
    <row r="24" spans="1:91">
      <c r="A24" s="7" t="str">
        <f t="array" ref="A24">IF(SUM(IF(ISNUMBER(B21:B23),1,0))&lt;&gt;1,"",IF(ISNUMBER(B21),B21,IF(ISNUMBER(B22),B22,B23)))</f>
        <v/>
      </c>
      <c r="B24" s="6">
        <v>7</v>
      </c>
      <c r="E24" s="11" t="str">
        <f t="shared" si="5"/>
        <v/>
      </c>
      <c r="G24" s="12" t="str">
        <f t="shared" si="6"/>
        <v/>
      </c>
      <c r="L24" s="4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1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CF24" s="5"/>
    </row>
    <row r="25" spans="1:91">
      <c r="A25" s="7">
        <f t="array" ref="A25">IF(SUM(IF(ISNUMBER(B22:B24),1,0))&lt;&gt;1,"",IF(ISNUMBER(B22),B22,IF(ISNUMBER(B23),B23,B24)))</f>
        <v>7</v>
      </c>
      <c r="E25" s="11" t="str">
        <f t="shared" si="5"/>
        <v/>
      </c>
      <c r="G25" s="12" t="str">
        <f t="shared" si="6"/>
        <v/>
      </c>
      <c r="L25" s="4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1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CF25" s="5"/>
    </row>
    <row r="26" spans="1:91">
      <c r="A26" s="7">
        <f t="array" ref="A26">IF(SUM(IF(ISNUMBER(B23:B25),1,0))&lt;&gt;1,"",IF(ISNUMBER(B23),B23,IF(ISNUMBER(B24),B24,B25)))</f>
        <v>7</v>
      </c>
      <c r="B26" s="6" t="s">
        <v>850</v>
      </c>
      <c r="E26" s="11" t="str">
        <f t="shared" si="5"/>
        <v>B. Jradi</v>
      </c>
      <c r="G26" s="12" t="str">
        <f t="shared" si="6"/>
        <v>s</v>
      </c>
      <c r="L26" s="4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1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CF26" s="5"/>
    </row>
    <row r="27" spans="1:91">
      <c r="A27" s="7">
        <f t="array" ref="A27">IF(SUM(IF(ISNUMBER(B24:B26),1,0))&lt;&gt;1,"",IF(ISNUMBER(B24),B24,IF(ISNUMBER(B25),B25,B26)))</f>
        <v>7</v>
      </c>
      <c r="E27" s="11" t="str">
        <f t="shared" si="5"/>
        <v/>
      </c>
      <c r="G27" s="12" t="str">
        <f t="shared" si="6"/>
        <v/>
      </c>
      <c r="L27" s="4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1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CF27" s="5"/>
    </row>
    <row r="28" spans="1:91">
      <c r="A28" s="7" t="str">
        <f t="array" ref="A28">IF(SUM(IF(ISNUMBER(B25:B27),1,0))&lt;&gt;1,"",IF(ISNUMBER(B25),B25,IF(ISNUMBER(B26),B26,B27)))</f>
        <v/>
      </c>
      <c r="B28" s="6" t="s">
        <v>864</v>
      </c>
      <c r="E28" s="11" t="str">
        <f t="shared" si="5"/>
        <v/>
      </c>
      <c r="G28" s="12" t="str">
        <f t="shared" si="6"/>
        <v/>
      </c>
      <c r="L28" s="4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1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CF28" s="5"/>
    </row>
    <row r="29" spans="1:91">
      <c r="A29" s="7" t="str">
        <f t="array" ref="A29">IF(SUM(IF(ISNUMBER(B26:B28),1,0))&lt;&gt;1,"",IF(ISNUMBER(B26),B26,IF(ISNUMBER(B27),B27,B28)))</f>
        <v/>
      </c>
      <c r="E29" s="11" t="str">
        <f t="shared" si="5"/>
        <v/>
      </c>
      <c r="G29" s="12" t="str">
        <f t="shared" si="6"/>
        <v/>
      </c>
      <c r="L29" s="4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1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CF29" s="5"/>
    </row>
    <row r="30" spans="1:91">
      <c r="A30" s="7" t="str">
        <f t="array" ref="A30">IF(SUM(IF(ISNUMBER(B27:B29),1,0))&lt;&gt;1,"",IF(ISNUMBER(B27),B27,IF(ISNUMBER(B28),B28,B29)))</f>
        <v/>
      </c>
      <c r="B30" s="6">
        <v>23</v>
      </c>
      <c r="E30" s="11" t="str">
        <f t="shared" si="5"/>
        <v/>
      </c>
      <c r="G30" s="12" t="str">
        <f t="shared" si="6"/>
        <v/>
      </c>
      <c r="L30" s="4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1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CF30" s="5"/>
    </row>
    <row r="31" spans="1:91">
      <c r="A31" s="7">
        <f t="array" ref="A31">IF(SUM(IF(ISNUMBER(B28:B30),1,0))&lt;&gt;1,"",IF(ISNUMBER(B28),B28,IF(ISNUMBER(B29),B29,B30)))</f>
        <v>23</v>
      </c>
      <c r="E31" s="11" t="str">
        <f t="shared" si="5"/>
        <v/>
      </c>
      <c r="G31" s="12" t="str">
        <f t="shared" si="6"/>
        <v/>
      </c>
      <c r="L31" s="4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1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CF31" s="5"/>
    </row>
    <row r="32" spans="1:91">
      <c r="A32" s="7">
        <f t="array" ref="A32">IF(SUM(IF(ISNUMBER(B29:B31),1,0))&lt;&gt;1,"",IF(ISNUMBER(B29),B29,IF(ISNUMBER(B30),B30,B31)))</f>
        <v>23</v>
      </c>
      <c r="B32" s="6" t="s">
        <v>865</v>
      </c>
      <c r="E32" s="11" t="str">
        <f t="shared" si="5"/>
        <v>T. Sørum</v>
      </c>
      <c r="G32" s="12" t="str">
        <f t="shared" si="6"/>
        <v>s</v>
      </c>
      <c r="L32" s="4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1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CF32" s="5"/>
    </row>
    <row r="33" spans="1:84">
      <c r="A33" s="7">
        <f t="array" ref="A33">IF(SUM(IF(ISNUMBER(B30:B32),1,0))&lt;&gt;1,"",IF(ISNUMBER(B30),B30,IF(ISNUMBER(B31),B31,B32)))</f>
        <v>23</v>
      </c>
      <c r="E33" s="11" t="str">
        <f t="shared" si="5"/>
        <v/>
      </c>
      <c r="G33" s="12" t="str">
        <f t="shared" si="6"/>
        <v/>
      </c>
      <c r="L33" s="4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1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CF33" s="5"/>
    </row>
    <row r="34" spans="1:84">
      <c r="A34" s="7" t="str">
        <f t="array" ref="A34">IF(SUM(IF(ISNUMBER(B31:B33),1,0))&lt;&gt;1,"",IF(ISNUMBER(B31),B31,IF(ISNUMBER(B32),B32,B33)))</f>
        <v/>
      </c>
      <c r="B34" s="6" t="s">
        <v>866</v>
      </c>
      <c r="E34" s="11" t="str">
        <f t="shared" si="5"/>
        <v/>
      </c>
      <c r="G34" s="12" t="str">
        <f t="shared" si="6"/>
        <v/>
      </c>
      <c r="L34" s="4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1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CF34" s="5"/>
    </row>
    <row r="35" spans="1:84">
      <c r="A35" s="7" t="str">
        <f t="array" ref="A35">IF(SUM(IF(ISNUMBER(B32:B34),1,0))&lt;&gt;1,"",IF(ISNUMBER(B32),B32,IF(ISNUMBER(B33),B33,B34)))</f>
        <v/>
      </c>
      <c r="E35" s="11" t="str">
        <f t="shared" si="5"/>
        <v/>
      </c>
      <c r="G35" s="12" t="str">
        <f t="shared" si="6"/>
        <v/>
      </c>
      <c r="L35" s="4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1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CF35" s="5"/>
    </row>
    <row r="36" spans="1:84">
      <c r="A36" s="7" t="str">
        <f t="array" ref="A36">IF(SUM(IF(ISNUMBER(B33:B35),1,0))&lt;&gt;1,"",IF(ISNUMBER(B33),B33,IF(ISNUMBER(B34),B34,B35)))</f>
        <v/>
      </c>
      <c r="B36" s="6">
        <v>6</v>
      </c>
      <c r="E36" s="11" t="str">
        <f t="shared" si="5"/>
        <v/>
      </c>
      <c r="G36" s="12" t="str">
        <f t="shared" si="6"/>
        <v/>
      </c>
      <c r="L36" s="4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1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CF36" s="5"/>
    </row>
    <row r="37" spans="1:84">
      <c r="A37" s="7">
        <f t="array" ref="A37">IF(SUM(IF(ISNUMBER(B34:B36),1,0))&lt;&gt;1,"",IF(ISNUMBER(B34),B34,IF(ISNUMBER(B35),B35,B36)))</f>
        <v>6</v>
      </c>
      <c r="C37" s="4"/>
      <c r="D37" s="4"/>
      <c r="E37" s="11" t="str">
        <f t="shared" si="5"/>
        <v/>
      </c>
      <c r="G37" s="12" t="str">
        <f t="shared" si="6"/>
        <v/>
      </c>
      <c r="L37" s="4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1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CF37" s="5"/>
    </row>
    <row r="38" spans="1:84">
      <c r="A38" s="7">
        <f t="array" ref="A38">IF(SUM(IF(ISNUMBER(B35:B37),1,0))&lt;&gt;1,"",IF(ISNUMBER(B35),B35,IF(ISNUMBER(B36),B36,B37)))</f>
        <v>6</v>
      </c>
      <c r="B38" s="6" t="s">
        <v>852</v>
      </c>
      <c r="E38" s="11" t="str">
        <f t="shared" si="5"/>
        <v/>
      </c>
      <c r="G38" s="12" t="str">
        <f t="shared" si="6"/>
        <v/>
      </c>
      <c r="L38" s="4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1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CF38" s="5"/>
    </row>
    <row r="39" spans="1:84">
      <c r="A39" s="7">
        <f t="array" ref="A39">IF(SUM(IF(ISNUMBER(B36:B38),1,0))&lt;&gt;1,"",IF(ISNUMBER(B36),B36,IF(ISNUMBER(B37),B37,B38)))</f>
        <v>6</v>
      </c>
      <c r="E39" s="11" t="str">
        <f t="shared" si="5"/>
        <v/>
      </c>
      <c r="G39" s="12" t="str">
        <f t="shared" si="6"/>
        <v/>
      </c>
      <c r="L39" s="4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1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CF39" s="5"/>
    </row>
    <row r="40" spans="1:84">
      <c r="A40" s="7" t="str">
        <f t="array" ref="A40">IF(SUM(IF(ISNUMBER(B37:B39),1,0))&lt;&gt;1,"",IF(ISNUMBER(B37),B37,IF(ISNUMBER(B38),B38,B39)))</f>
        <v/>
      </c>
      <c r="B40" s="6">
        <v>12</v>
      </c>
      <c r="E40" s="11" t="str">
        <f t="shared" si="5"/>
        <v/>
      </c>
      <c r="G40" s="12" t="str">
        <f t="shared" si="6"/>
        <v/>
      </c>
      <c r="L40" s="4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1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CF40" s="5"/>
    </row>
    <row r="41" spans="1:84">
      <c r="A41" s="7">
        <f t="array" ref="A41">IF(SUM(IF(ISNUMBER(B38:B40),1,0))&lt;&gt;1,"",IF(ISNUMBER(B38),B38,IF(ISNUMBER(B39),B39,B40)))</f>
        <v>12</v>
      </c>
      <c r="E41" s="11" t="str">
        <f t="shared" si="5"/>
        <v/>
      </c>
      <c r="G41" s="12" t="str">
        <f t="shared" si="6"/>
        <v/>
      </c>
      <c r="L41" s="4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1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CF41" s="5"/>
    </row>
    <row r="42" spans="1:84">
      <c r="A42" s="7">
        <f t="array" ref="A42">IF(SUM(IF(ISNUMBER(B39:B41),1,0))&lt;&gt;1,"",IF(ISNUMBER(B39),B39,IF(ISNUMBER(B40),B40,B41)))</f>
        <v>12</v>
      </c>
      <c r="B42" s="6" t="s">
        <v>781</v>
      </c>
      <c r="E42" s="11" t="str">
        <f t="shared" si="5"/>
        <v/>
      </c>
      <c r="G42" s="12" t="str">
        <f t="shared" si="6"/>
        <v/>
      </c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1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CF42" s="5"/>
    </row>
    <row r="43" spans="1:84">
      <c r="A43" s="7">
        <f t="array" ref="A43">IF(SUM(IF(ISNUMBER(B40:B42),1,0))&lt;&gt;1,"",IF(ISNUMBER(B40),B40,IF(ISNUMBER(B41),B41,B42)))</f>
        <v>12</v>
      </c>
      <c r="E43" s="11" t="str">
        <f t="shared" si="5"/>
        <v/>
      </c>
      <c r="G43" s="12" t="str">
        <f t="shared" si="6"/>
        <v/>
      </c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1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CF43" s="5"/>
    </row>
    <row r="44" spans="1:84">
      <c r="A44" s="7" t="str">
        <f t="array" ref="A44">IF(SUM(IF(ISNUMBER(B41:B43),1,0))&lt;&gt;1,"",IF(ISNUMBER(B41),B41,IF(ISNUMBER(B42),B42,B43)))</f>
        <v/>
      </c>
      <c r="B44" s="6">
        <v>28</v>
      </c>
      <c r="E44" s="11" t="str">
        <f t="shared" si="5"/>
        <v/>
      </c>
      <c r="G44" s="12" t="str">
        <f t="shared" si="6"/>
        <v/>
      </c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1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CF44" s="5"/>
    </row>
    <row r="45" spans="1:84">
      <c r="A45" s="7">
        <f t="array" ref="A45">IF(SUM(IF(ISNUMBER(B42:B44),1,0))&lt;&gt;1,"",IF(ISNUMBER(B42),B42,IF(ISNUMBER(B43),B43,B44)))</f>
        <v>28</v>
      </c>
      <c r="E45" s="11" t="str">
        <f t="shared" si="5"/>
        <v/>
      </c>
      <c r="G45" s="12" t="str">
        <f t="shared" si="6"/>
        <v/>
      </c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1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CF45" s="5"/>
    </row>
    <row r="46" spans="1:84">
      <c r="A46" s="7">
        <f t="array" ref="A46">IF(SUM(IF(ISNUMBER(B43:B45),1,0))&lt;&gt;1,"",IF(ISNUMBER(B43),B43,IF(ISNUMBER(B44),B44,B45)))</f>
        <v>28</v>
      </c>
      <c r="B46" s="6" t="s">
        <v>779</v>
      </c>
      <c r="E46" s="11" t="str">
        <f t="shared" si="5"/>
        <v/>
      </c>
      <c r="G46" s="12" t="str">
        <f t="shared" si="6"/>
        <v/>
      </c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1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CF46" s="5"/>
    </row>
    <row r="47" spans="1:84">
      <c r="A47" s="7">
        <f t="array" ref="A47">IF(SUM(IF(ISNUMBER(B44:B46),1,0))&lt;&gt;1,"",IF(ISNUMBER(B44),B44,IF(ISNUMBER(B45),B45,B46)))</f>
        <v>28</v>
      </c>
      <c r="E47" s="11" t="str">
        <f t="shared" ref="E47:E53" si="7">IF(RIGHT(TRIM(B47),11)="Substituted",LEFT(TRIM(B47),LEN(TRIM(B47))-12),"")</f>
        <v/>
      </c>
      <c r="G47" s="12" t="str">
        <f t="shared" si="6"/>
        <v/>
      </c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1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CF47" s="5"/>
    </row>
    <row r="48" spans="1:84">
      <c r="A48" s="7" t="str">
        <f t="array" ref="A48">IF(SUM(IF(ISNUMBER(B45:B47),1,0))&lt;&gt;1,"",IF(ISNUMBER(B45),B45,IF(ISNUMBER(B46),B46,B47)))</f>
        <v/>
      </c>
      <c r="B48" s="6">
        <v>93</v>
      </c>
      <c r="E48" s="11" t="str">
        <f t="shared" si="7"/>
        <v/>
      </c>
      <c r="G48" s="12" t="str">
        <f t="shared" si="6"/>
        <v/>
      </c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1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CF48" s="5"/>
    </row>
    <row r="49" spans="1:84">
      <c r="A49" s="7">
        <f t="array" ref="A49">IF(SUM(IF(ISNUMBER(B46:B48),1,0))&lt;&gt;1,"",IF(ISNUMBER(B46),B46,IF(ISNUMBER(B47),B47,B48)))</f>
        <v>93</v>
      </c>
      <c r="E49" s="11" t="str">
        <f t="shared" si="7"/>
        <v/>
      </c>
      <c r="G49" s="12" t="str">
        <f t="shared" si="6"/>
        <v/>
      </c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1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CF49" s="5"/>
    </row>
    <row r="50" spans="1:84">
      <c r="A50" s="7">
        <f t="array" ref="A50">IF(SUM(IF(ISNUMBER(B47:B49),1,0))&lt;&gt;1,"",IF(ISNUMBER(B47),B47,IF(ISNUMBER(B48),B48,B49)))</f>
        <v>93</v>
      </c>
      <c r="B50" s="6" t="s">
        <v>851</v>
      </c>
      <c r="E50" s="11" t="str">
        <f t="shared" si="7"/>
        <v/>
      </c>
      <c r="G50" s="12" t="str">
        <f t="shared" si="6"/>
        <v/>
      </c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1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CF50" s="5"/>
    </row>
    <row r="51" spans="1:84">
      <c r="A51" s="7">
        <f t="array" ref="A51">IF(SUM(IF(ISNUMBER(B48:B50),1,0))&lt;&gt;1,"",IF(ISNUMBER(B48),B48,IF(ISNUMBER(B49),B49,B50)))</f>
        <v>93</v>
      </c>
      <c r="E51" s="11" t="str">
        <f t="shared" si="7"/>
        <v/>
      </c>
      <c r="G51" s="12" t="str">
        <f t="shared" si="6"/>
        <v/>
      </c>
      <c r="H51" s="7" t="str">
        <f>IF(ISERROR(FIND(" ",C51)),"","红牌or黄牌+进球")</f>
        <v/>
      </c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1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CF51" s="5"/>
    </row>
    <row r="52" spans="1:84">
      <c r="A52" s="7" t="str">
        <f t="array" ref="A52">IF(SUM(IF(ISNUMBER(B49:B51),1,0))&lt;&gt;1,"",IF(ISNUMBER(B49),B49,IF(ISNUMBER(B50),B50,B51)))</f>
        <v/>
      </c>
      <c r="E52" s="11" t="str">
        <f t="shared" si="7"/>
        <v/>
      </c>
      <c r="G52" s="12" t="str">
        <f t="shared" si="6"/>
        <v/>
      </c>
      <c r="H52" s="7" t="str">
        <f>IF(ISERROR(FIND(" ",C52)),"","红牌or黄牌+进球")</f>
        <v/>
      </c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1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CF52" s="5"/>
    </row>
    <row r="53" spans="1:84">
      <c r="A53" s="7" t="str">
        <f t="array" ref="A53">IF(SUM(IF(ISNUMBER(B50:B52),1,0))&lt;&gt;1,"",IF(ISNUMBER(B50),B50,IF(ISNUMBER(B51),B51,B52)))</f>
        <v/>
      </c>
      <c r="E53" s="11" t="str">
        <f t="shared" si="7"/>
        <v/>
      </c>
      <c r="G53" s="12" t="str">
        <f t="shared" si="6"/>
        <v/>
      </c>
      <c r="H53" s="7" t="str">
        <f>IF(ISERROR(FIND(" ",C53)),"","红牌or黄牌+进球")</f>
        <v/>
      </c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1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CF53" s="5"/>
    </row>
    <row r="54" spans="1:84">
      <c r="A54" s="7" t="str">
        <f t="array" ref="A54">IF(SUM(IF(ISNUMBER(B51:B53),1,0))&lt;&gt;1,"",IF(ISNUMBER(B51),B51,IF(ISNUMBER(B52),B52,B53)))</f>
        <v/>
      </c>
      <c r="E54" s="4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1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CF54" s="5"/>
    </row>
    <row r="55" spans="1:84">
      <c r="A55" s="7" t="str">
        <f t="array" ref="A55">IF(SUM(IF(ISNUMBER(B52:B54),1,0))&lt;&gt;1,"",IF(ISNUMBER(B52),B52,IF(ISNUMBER(B53),B53,B54)))</f>
        <v/>
      </c>
      <c r="E55" s="4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1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CF55" s="5"/>
    </row>
    <row r="56" spans="1:84">
      <c r="A56" s="7" t="str">
        <f t="array" ref="A56">IF(SUM(IF(ISNUMBER(B53:B55),1,0))&lt;&gt;1,"",IF(ISNUMBER(B53),B53,IF(ISNUMBER(B54),B54,B55)))</f>
        <v/>
      </c>
      <c r="E56" s="4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1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CF56" s="5"/>
    </row>
    <row r="57" spans="1:84">
      <c r="A57" s="7" t="str">
        <f t="array" ref="A57">IF(SUM(IF(ISNUMBER(B54:B56),1,0))&lt;&gt;1,"",IF(ISNUMBER(B54),B54,IF(ISNUMBER(B55),B55,B56)))</f>
        <v/>
      </c>
      <c r="E57" s="4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1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CF57" s="5"/>
    </row>
    <row r="58" spans="1:84">
      <c r="A58" s="7" t="str">
        <f t="array" ref="A58">IF(SUM(IF(ISNUMBER(B55:B57),1,0))&lt;&gt;1,"",IF(ISNUMBER(B55),B55,IF(ISNUMBER(B56),B56,B57)))</f>
        <v/>
      </c>
      <c r="E58" s="4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1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CF58" s="5"/>
    </row>
    <row r="59" spans="1:84">
      <c r="A59" s="7" t="str">
        <f t="array" ref="A59">IF(SUM(IF(ISNUMBER(B56:B58),1,0))&lt;&gt;1,"",IF(ISNUMBER(B56),B56,IF(ISNUMBER(B57),B57,B58)))</f>
        <v/>
      </c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1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CF59" s="5"/>
    </row>
    <row r="60" spans="1:84">
      <c r="A60" s="7" t="str">
        <f t="array" ref="A60">IF(SUM(IF(ISNUMBER(B57:B59),1,0))&lt;&gt;1,"",IF(ISNUMBER(B57),B57,IF(ISNUMBER(B58),B58,B59)))</f>
        <v/>
      </c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1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CF60" s="5"/>
    </row>
    <row r="61" spans="1:84">
      <c r="A61" s="7" t="str">
        <f t="array" ref="A61">IF(SUM(IF(ISNUMBER(B58:B60),1,0))&lt;&gt;1,"",IF(ISNUMBER(B58),B58,IF(ISNUMBER(B59),B59,B60)))</f>
        <v/>
      </c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1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</row>
    <row r="62" spans="1:84">
      <c r="A62" s="7" t="str">
        <f t="array" ref="A62">IF(SUM(IF(ISNUMBER(B59:B61),1,0))&lt;&gt;1,"",IF(ISNUMBER(B59),B59,IF(ISNUMBER(B60),B60,B61)))</f>
        <v/>
      </c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1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</row>
    <row r="63" spans="1:84">
      <c r="A63" s="7" t="str">
        <f t="array" ref="A63">IF(SUM(IF(ISNUMBER(B60:B62),1,0))&lt;&gt;1,"",IF(ISNUMBER(B60),B60,IF(ISNUMBER(B61),B61,B62)))</f>
        <v/>
      </c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1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</row>
    <row r="64" spans="1:84">
      <c r="A64" s="7" t="str">
        <f t="array" ref="A64">IF(SUM(IF(ISNUMBER(B61:B63),1,0))&lt;&gt;1,"",IF(ISNUMBER(B61),B61,IF(ISNUMBER(B62),B62,B63)))</f>
        <v/>
      </c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1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</row>
    <row r="65" spans="1:59">
      <c r="A65" s="7" t="str">
        <f t="array" ref="A65">IF(SUM(IF(ISNUMBER(B62:B64),1,0))&lt;&gt;1,"",IF(ISNUMBER(B62),B62,IF(ISNUMBER(B63),B63,B64)))</f>
        <v/>
      </c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1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</row>
    <row r="66" spans="1:59">
      <c r="A66" s="7" t="str">
        <f t="array" ref="A66">IF(SUM(IF(ISNUMBER(B63:B65),1,0))&lt;&gt;1,"",IF(ISNUMBER(B63),B63,IF(ISNUMBER(B64),B64,B65)))</f>
        <v/>
      </c>
      <c r="C66" s="4"/>
      <c r="D66" s="4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1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</row>
    <row r="67" spans="1:59">
      <c r="A67" s="7" t="str">
        <f t="array" ref="A67">IF(SUM(IF(ISNUMBER(B64:B66),1,0))&lt;&gt;1,"",IF(ISNUMBER(B64),B64,IF(ISNUMBER(B65),B65,B66)))</f>
        <v/>
      </c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1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</row>
    <row r="68" spans="1:59"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1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</row>
    <row r="69" spans="1:59"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1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</row>
    <row r="70" spans="1:59">
      <c r="C70" s="4"/>
      <c r="D70" s="4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1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</row>
    <row r="71" spans="1:59"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1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</row>
    <row r="72" spans="1:59"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1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</row>
    <row r="73" spans="1:59">
      <c r="C73" s="4"/>
      <c r="D73" s="4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1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</row>
    <row r="74" spans="1:59">
      <c r="C74" s="4"/>
      <c r="D74" s="4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1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</row>
    <row r="75" spans="1:59"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1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</row>
    <row r="76" spans="1:59">
      <c r="B76" s="22"/>
      <c r="C76" s="22"/>
      <c r="D76" s="22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1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</row>
    <row r="77" spans="1:59">
      <c r="B77" s="17">
        <v>1</v>
      </c>
      <c r="C77" s="6" t="s">
        <v>788</v>
      </c>
      <c r="D77" s="6" t="s">
        <v>34</v>
      </c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1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</row>
    <row r="78" spans="1:59">
      <c r="B78" s="17">
        <v>4</v>
      </c>
      <c r="C78" s="6" t="s">
        <v>783</v>
      </c>
      <c r="D78" s="6" t="s">
        <v>34</v>
      </c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1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</row>
    <row r="79" spans="1:59">
      <c r="B79" s="17">
        <v>2</v>
      </c>
      <c r="C79" s="6" t="s">
        <v>782</v>
      </c>
      <c r="D79" s="6" t="s">
        <v>34</v>
      </c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1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</row>
    <row r="80" spans="1:59">
      <c r="B80" s="17">
        <v>71</v>
      </c>
      <c r="C80" s="4" t="s">
        <v>853</v>
      </c>
      <c r="D80" s="4" t="s">
        <v>34</v>
      </c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1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</row>
    <row r="81" spans="2:59">
      <c r="B81" s="17">
        <v>26</v>
      </c>
      <c r="C81" s="4" t="s">
        <v>784</v>
      </c>
      <c r="D81" s="4" t="s">
        <v>34</v>
      </c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1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</row>
    <row r="82" spans="2:59">
      <c r="B82" s="17">
        <v>20</v>
      </c>
      <c r="C82" s="4" t="s">
        <v>818</v>
      </c>
      <c r="D82" s="4" t="s">
        <v>35</v>
      </c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1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</row>
    <row r="83" spans="2:59">
      <c r="B83" s="17">
        <v>11</v>
      </c>
      <c r="C83" s="4" t="s">
        <v>817</v>
      </c>
      <c r="D83" s="4" t="s">
        <v>869</v>
      </c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1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</row>
    <row r="84" spans="2:59">
      <c r="B84" s="17">
        <v>19</v>
      </c>
      <c r="C84" s="4" t="s">
        <v>785</v>
      </c>
      <c r="D84" s="4" t="s">
        <v>869</v>
      </c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1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</row>
    <row r="85" spans="2:59">
      <c r="B85" s="17">
        <v>14</v>
      </c>
      <c r="C85" s="4" t="s">
        <v>804</v>
      </c>
      <c r="D85" s="4" t="s">
        <v>34</v>
      </c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1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</row>
    <row r="86" spans="2:59">
      <c r="B86" s="17">
        <v>75</v>
      </c>
      <c r="C86" s="4" t="s">
        <v>868</v>
      </c>
      <c r="D86" s="4" t="s">
        <v>840</v>
      </c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1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</row>
    <row r="87" spans="2:59">
      <c r="B87" s="17">
        <v>15</v>
      </c>
      <c r="C87" s="4" t="s">
        <v>819</v>
      </c>
      <c r="D87" s="4" t="s">
        <v>840</v>
      </c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1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</row>
    <row r="88" spans="2:59">
      <c r="B88" s="17">
        <v>8</v>
      </c>
      <c r="C88" s="4" t="s">
        <v>780</v>
      </c>
      <c r="D88" s="4" t="s">
        <v>803</v>
      </c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1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</row>
    <row r="89" spans="2:59">
      <c r="B89" s="17">
        <v>7</v>
      </c>
      <c r="C89" s="4" t="s">
        <v>854</v>
      </c>
      <c r="D89" s="4" t="s">
        <v>36</v>
      </c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1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</row>
    <row r="90" spans="2:59">
      <c r="B90" s="17">
        <v>23</v>
      </c>
      <c r="C90" s="4" t="s">
        <v>525</v>
      </c>
      <c r="D90" s="4" t="s">
        <v>36</v>
      </c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1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</row>
    <row r="91" spans="2:59">
      <c r="B91" s="17"/>
      <c r="C91" s="4"/>
      <c r="D91" s="4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1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</row>
    <row r="92" spans="2:59">
      <c r="B92" s="17"/>
      <c r="C92" s="4"/>
      <c r="D92" s="4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1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</row>
    <row r="93" spans="2:59">
      <c r="B93" s="17"/>
      <c r="C93" s="4"/>
      <c r="D93" s="4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1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</row>
    <row r="94" spans="2:59">
      <c r="B94" s="17"/>
      <c r="C94" s="4"/>
      <c r="D94" s="4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1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</row>
    <row r="95" spans="2:59">
      <c r="B95" s="17"/>
      <c r="C95" s="4"/>
      <c r="D95" s="4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1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</row>
    <row r="96" spans="2:59">
      <c r="B96" s="17"/>
      <c r="C96" s="4"/>
      <c r="D96" s="4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1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</row>
    <row r="97" spans="3:59">
      <c r="C97" s="4"/>
      <c r="D97" s="4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1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</row>
    <row r="98" spans="3:59">
      <c r="C98" s="4"/>
      <c r="D98" s="4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1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</row>
    <row r="99" spans="3:59">
      <c r="C99" s="4"/>
      <c r="D99" s="4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1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</row>
    <row r="100" spans="3:59">
      <c r="C100" s="4"/>
      <c r="D100" s="4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1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</row>
    <row r="101" spans="3:59">
      <c r="C101" s="4"/>
      <c r="D101" s="4"/>
    </row>
    <row r="102" spans="3:59">
      <c r="C102" s="4"/>
      <c r="D102" s="4"/>
    </row>
  </sheetData>
  <sortState ref="CO23:CO37">
    <sortCondition ref="CO22"/>
  </sortState>
  <phoneticPr fontId="21" type="noConversion"/>
  <conditionalFormatting sqref="I9">
    <cfRule type="containsText" dxfId="389" priority="6" operator="containsText" text="OBS">
      <formula>NOT(ISERROR(SEARCH("OBS",I9)))</formula>
    </cfRule>
  </conditionalFormatting>
  <conditionalFormatting sqref="K11:X11">
    <cfRule type="cellIs" dxfId="388" priority="5" operator="equal">
      <formula>"OBS"</formula>
    </cfRule>
  </conditionalFormatting>
  <conditionalFormatting sqref="H4:H53 H2:I2">
    <cfRule type="expression" dxfId="387" priority="4">
      <formula>NOT(H2="")</formula>
    </cfRule>
  </conditionalFormatting>
  <conditionalFormatting sqref="D4:D14">
    <cfRule type="expression" dxfId="386" priority="1">
      <formula>NOT(ISERROR(FIND("' ",D4)))</formula>
    </cfRule>
  </conditionalFormatting>
  <dataValidations count="1">
    <dataValidation type="list" allowBlank="1" showInputMessage="1" showErrorMessage="1" sqref="K3">
      <formula1>$CM$1:$CM$16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100"/>
  <sheetViews>
    <sheetView zoomScale="85" zoomScaleNormal="85" workbookViewId="0">
      <selection activeCell="L45" sqref="L45"/>
    </sheetView>
  </sheetViews>
  <sheetFormatPr defaultColWidth="9.125" defaultRowHeight="14.25"/>
  <cols>
    <col min="1" max="1" width="4" style="230" customWidth="1"/>
    <col min="2" max="2" width="17.75" style="454" customWidth="1"/>
    <col min="3" max="3" width="17" style="566" customWidth="1"/>
    <col min="4" max="5" width="5.125" style="334" customWidth="1"/>
    <col min="6" max="6" width="4.625" style="334" customWidth="1"/>
    <col min="7" max="7" width="5.375" style="334" bestFit="1" customWidth="1"/>
    <col min="8" max="13" width="4.125" style="334" customWidth="1"/>
    <col min="14" max="14" width="4.625" style="334" customWidth="1"/>
    <col min="15" max="17" width="4.125" style="334" customWidth="1"/>
    <col min="18" max="18" width="5.625" style="334" customWidth="1"/>
    <col min="19" max="19" width="4.75" style="334" customWidth="1"/>
    <col min="20" max="22" width="4.125" style="334" customWidth="1"/>
    <col min="23" max="23" width="4.375" style="334" customWidth="1"/>
    <col min="24" max="25" width="4.125" style="334" customWidth="1"/>
    <col min="26" max="26" width="5.75" style="334" customWidth="1"/>
    <col min="27" max="27" width="4.875" style="334" customWidth="1"/>
    <col min="28" max="28" width="4.125" style="334" customWidth="1"/>
    <col min="29" max="29" width="5.125" style="576" customWidth="1"/>
    <col min="30" max="30" width="7.375" style="334" customWidth="1"/>
    <col min="31" max="40" width="10.75" style="215" customWidth="1"/>
    <col min="41" max="41" width="9.125" style="334"/>
    <col min="42" max="42" width="10.375" style="719" customWidth="1"/>
    <col min="43" max="43" width="15.125" style="215" bestFit="1" customWidth="1"/>
    <col min="44" max="16384" width="9.125" style="215"/>
  </cols>
  <sheetData>
    <row r="1" spans="1:43">
      <c r="B1" s="454" t="s">
        <v>40</v>
      </c>
      <c r="C1" s="718" t="s">
        <v>891</v>
      </c>
    </row>
    <row r="2" spans="1:43">
      <c r="B2" s="454" t="s">
        <v>41</v>
      </c>
      <c r="C2" s="666">
        <f ca="1">IF(C1="","",V60/(COUNTA(C38:C60)))</f>
        <v>42.18181818181818</v>
      </c>
      <c r="D2" s="566" t="s">
        <v>792</v>
      </c>
      <c r="R2" s="334">
        <f ca="1">INDIRECT("C3")</f>
        <v>22</v>
      </c>
      <c r="AP2" s="720" t="s">
        <v>42</v>
      </c>
    </row>
    <row r="3" spans="1:43">
      <c r="B3" s="454" t="s">
        <v>43</v>
      </c>
      <c r="C3" s="721">
        <f>COUNTA(C38:C59)</f>
        <v>22</v>
      </c>
      <c r="D3" s="574"/>
      <c r="E3" s="566"/>
      <c r="AO3" s="334" t="s">
        <v>44</v>
      </c>
      <c r="AP3" s="722">
        <v>3</v>
      </c>
    </row>
    <row r="4" spans="1:43">
      <c r="B4" s="723" t="s">
        <v>45</v>
      </c>
      <c r="D4" s="574"/>
      <c r="E4" s="566"/>
      <c r="I4" s="724"/>
      <c r="K4" s="725">
        <v>1</v>
      </c>
      <c r="AO4" s="334" t="s">
        <v>46</v>
      </c>
      <c r="AP4" s="726" t="s">
        <v>47</v>
      </c>
    </row>
    <row r="5" spans="1:43">
      <c r="B5" s="727" t="s">
        <v>48</v>
      </c>
      <c r="AO5" s="334" t="s">
        <v>49</v>
      </c>
      <c r="AP5" s="722"/>
    </row>
    <row r="6" spans="1:43" s="334" customFormat="1" ht="15" thickBot="1">
      <c r="A6" s="230"/>
      <c r="B6" s="230">
        <v>2</v>
      </c>
      <c r="C6" s="334">
        <v>3</v>
      </c>
      <c r="D6" s="334">
        <v>4</v>
      </c>
      <c r="E6" s="334">
        <v>5</v>
      </c>
      <c r="F6" s="334">
        <v>6</v>
      </c>
      <c r="G6" s="334">
        <v>7</v>
      </c>
      <c r="H6" s="334">
        <v>8</v>
      </c>
      <c r="I6" s="334">
        <v>9</v>
      </c>
      <c r="J6" s="334">
        <v>10</v>
      </c>
      <c r="K6" s="334">
        <v>11</v>
      </c>
      <c r="L6" s="334">
        <v>12</v>
      </c>
      <c r="M6" s="334">
        <v>13</v>
      </c>
      <c r="N6" s="334">
        <v>14</v>
      </c>
      <c r="O6" s="334">
        <v>15</v>
      </c>
      <c r="P6" s="334">
        <v>16</v>
      </c>
      <c r="Q6" s="334">
        <v>17</v>
      </c>
      <c r="R6" s="334">
        <v>18</v>
      </c>
      <c r="S6" s="334">
        <v>19</v>
      </c>
      <c r="T6" s="334">
        <v>20</v>
      </c>
      <c r="U6" s="334">
        <v>21</v>
      </c>
      <c r="V6" s="334">
        <v>22</v>
      </c>
      <c r="W6" s="334">
        <v>23</v>
      </c>
      <c r="X6" s="334">
        <v>24</v>
      </c>
      <c r="Y6" s="334">
        <v>25</v>
      </c>
      <c r="Z6" s="334">
        <v>26</v>
      </c>
      <c r="AA6" s="334">
        <v>27</v>
      </c>
      <c r="AB6" s="334">
        <v>28</v>
      </c>
      <c r="AC6" s="576">
        <v>29</v>
      </c>
      <c r="AD6" s="334">
        <v>30</v>
      </c>
      <c r="AE6" s="334">
        <v>31</v>
      </c>
      <c r="AF6" s="334">
        <v>32</v>
      </c>
      <c r="AG6" s="334">
        <v>33</v>
      </c>
      <c r="AH6" s="334">
        <v>34</v>
      </c>
      <c r="AI6" s="334">
        <v>35</v>
      </c>
      <c r="AJ6" s="334">
        <v>36</v>
      </c>
      <c r="AK6" s="334">
        <v>37</v>
      </c>
      <c r="AL6" s="334">
        <v>38</v>
      </c>
      <c r="AM6" s="334">
        <v>39</v>
      </c>
      <c r="AO6" s="576" t="s">
        <v>50</v>
      </c>
      <c r="AP6" s="728" t="s">
        <v>51</v>
      </c>
    </row>
    <row r="7" spans="1:43">
      <c r="A7" s="242"/>
      <c r="B7" s="729" t="s">
        <v>52</v>
      </c>
      <c r="C7" s="372"/>
      <c r="D7" s="368" t="s">
        <v>53</v>
      </c>
      <c r="E7" s="669"/>
      <c r="F7" s="669"/>
      <c r="G7" s="669"/>
      <c r="H7" s="669"/>
      <c r="I7" s="669"/>
      <c r="J7" s="669"/>
      <c r="K7" s="669"/>
      <c r="L7" s="365"/>
      <c r="M7" s="368" t="s">
        <v>54</v>
      </c>
      <c r="N7" s="669"/>
      <c r="O7" s="669"/>
      <c r="P7" s="669"/>
      <c r="Q7" s="669"/>
      <c r="R7" s="669"/>
      <c r="S7" s="669"/>
      <c r="T7" s="669"/>
      <c r="U7" s="365"/>
      <c r="V7" s="368" t="s">
        <v>55</v>
      </c>
      <c r="W7" s="669"/>
      <c r="X7" s="669"/>
      <c r="Y7" s="669"/>
      <c r="Z7" s="669"/>
      <c r="AA7" s="669"/>
      <c r="AB7" s="669"/>
      <c r="AC7" s="669"/>
      <c r="AD7" s="670"/>
      <c r="AE7" s="365"/>
      <c r="AF7" s="730" t="s">
        <v>56</v>
      </c>
      <c r="AG7" s="730"/>
      <c r="AH7" s="730"/>
      <c r="AI7" s="730"/>
      <c r="AJ7" s="730"/>
      <c r="AK7" s="730"/>
      <c r="AL7" s="730"/>
      <c r="AM7" s="730"/>
      <c r="AO7" s="334" t="s">
        <v>57</v>
      </c>
      <c r="AP7" s="726" t="s">
        <v>58</v>
      </c>
    </row>
    <row r="8" spans="1:43" ht="15" thickBot="1">
      <c r="A8" s="731" t="s">
        <v>59</v>
      </c>
      <c r="B8" s="732" t="s">
        <v>60</v>
      </c>
      <c r="C8" s="733" t="s">
        <v>61</v>
      </c>
      <c r="D8" s="734" t="s">
        <v>62</v>
      </c>
      <c r="E8" s="735" t="s">
        <v>63</v>
      </c>
      <c r="F8" s="735" t="s">
        <v>64</v>
      </c>
      <c r="G8" s="735" t="s">
        <v>65</v>
      </c>
      <c r="H8" s="736" t="s">
        <v>66</v>
      </c>
      <c r="I8" s="736" t="s">
        <v>54</v>
      </c>
      <c r="J8" s="736" t="s">
        <v>67</v>
      </c>
      <c r="K8" s="736" t="s">
        <v>68</v>
      </c>
      <c r="L8" s="737" t="s">
        <v>27</v>
      </c>
      <c r="M8" s="734" t="s">
        <v>62</v>
      </c>
      <c r="N8" s="735" t="s">
        <v>63</v>
      </c>
      <c r="O8" s="735" t="s">
        <v>64</v>
      </c>
      <c r="P8" s="735" t="s">
        <v>65</v>
      </c>
      <c r="Q8" s="736" t="s">
        <v>66</v>
      </c>
      <c r="R8" s="736" t="s">
        <v>54</v>
      </c>
      <c r="S8" s="736" t="s">
        <v>67</v>
      </c>
      <c r="T8" s="736" t="s">
        <v>68</v>
      </c>
      <c r="U8" s="737" t="s">
        <v>27</v>
      </c>
      <c r="V8" s="734" t="s">
        <v>62</v>
      </c>
      <c r="W8" s="735" t="s">
        <v>63</v>
      </c>
      <c r="X8" s="735" t="s">
        <v>64</v>
      </c>
      <c r="Y8" s="735" t="s">
        <v>65</v>
      </c>
      <c r="Z8" s="736" t="s">
        <v>66</v>
      </c>
      <c r="AA8" s="736" t="s">
        <v>54</v>
      </c>
      <c r="AB8" s="736" t="s">
        <v>67</v>
      </c>
      <c r="AC8" s="738" t="s">
        <v>68</v>
      </c>
      <c r="AD8" s="293"/>
      <c r="AE8" s="737" t="s">
        <v>27</v>
      </c>
      <c r="AF8" s="739" t="s">
        <v>62</v>
      </c>
      <c r="AG8" s="735" t="s">
        <v>63</v>
      </c>
      <c r="AH8" s="735" t="s">
        <v>64</v>
      </c>
      <c r="AI8" s="735" t="s">
        <v>65</v>
      </c>
      <c r="AJ8" s="736" t="s">
        <v>66</v>
      </c>
      <c r="AK8" s="736" t="s">
        <v>54</v>
      </c>
      <c r="AL8" s="736" t="s">
        <v>67</v>
      </c>
      <c r="AM8" s="736" t="s">
        <v>68</v>
      </c>
      <c r="AO8" s="334" t="s">
        <v>69</v>
      </c>
      <c r="AP8" s="720" t="s">
        <v>70</v>
      </c>
    </row>
    <row r="9" spans="1:43" ht="14.25" customHeight="1">
      <c r="A9" s="740">
        <v>1</v>
      </c>
      <c r="B9" s="741" t="str">
        <f t="shared" ref="B9:B32" ca="1" si="0">IF(A9&gt;$C$3,"",VLOOKUP($A9,$A$38:$AE$60,B$6,FALSE))</f>
        <v>Shonan Bellmare</v>
      </c>
      <c r="C9" s="742" t="str">
        <f t="shared" ref="C9:C32" ca="1" si="1">IF(B9="","",VLOOKUP($A9,$A$38:$AE$60,C$6,FALSE))</f>
        <v>Shonan Bellmare</v>
      </c>
      <c r="D9" s="743">
        <f ca="1">IF($B9="","",VLOOKUP($A9,$A$38:$AE$60,D$6,FALSE))</f>
        <v>21</v>
      </c>
      <c r="E9" s="744">
        <f ca="1">IF($B9="","",VLOOKUP($A9,$A$38:$AE$60,E$6,FALSE))</f>
        <v>12</v>
      </c>
      <c r="F9" s="744">
        <f t="shared" ref="F9:AE19" ca="1" si="2">IF($B9="","",VLOOKUP($A9,$A$38:$AE$60,F$6,FALSE))</f>
        <v>6</v>
      </c>
      <c r="G9" s="744">
        <f t="shared" ca="1" si="2"/>
        <v>3</v>
      </c>
      <c r="H9" s="745">
        <f t="shared" ca="1" si="2"/>
        <v>32</v>
      </c>
      <c r="I9" s="745">
        <f t="shared" ca="1" si="2"/>
        <v>18</v>
      </c>
      <c r="J9" s="745">
        <f t="shared" ca="1" si="2"/>
        <v>14</v>
      </c>
      <c r="K9" s="745">
        <f t="shared" ca="1" si="2"/>
        <v>42</v>
      </c>
      <c r="L9" s="503">
        <f t="shared" ca="1" si="2"/>
        <v>4</v>
      </c>
      <c r="M9" s="743">
        <f t="shared" ca="1" si="2"/>
        <v>21</v>
      </c>
      <c r="N9" s="745">
        <f t="shared" ca="1" si="2"/>
        <v>12</v>
      </c>
      <c r="O9" s="745">
        <f t="shared" ca="1" si="2"/>
        <v>5</v>
      </c>
      <c r="P9" s="745">
        <f t="shared" ca="1" si="2"/>
        <v>4</v>
      </c>
      <c r="Q9" s="745">
        <f t="shared" ca="1" si="2"/>
        <v>26</v>
      </c>
      <c r="R9" s="745">
        <f t="shared" ca="1" si="2"/>
        <v>18</v>
      </c>
      <c r="S9" s="745">
        <f t="shared" ca="1" si="2"/>
        <v>8</v>
      </c>
      <c r="T9" s="745">
        <f t="shared" ca="1" si="2"/>
        <v>41</v>
      </c>
      <c r="U9" s="503">
        <f t="shared" ca="1" si="2"/>
        <v>2</v>
      </c>
      <c r="V9" s="743">
        <f t="shared" ca="1" si="2"/>
        <v>42</v>
      </c>
      <c r="W9" s="745">
        <f t="shared" ca="1" si="2"/>
        <v>24</v>
      </c>
      <c r="X9" s="745">
        <f t="shared" ca="1" si="2"/>
        <v>11</v>
      </c>
      <c r="Y9" s="745">
        <f t="shared" ca="1" si="2"/>
        <v>7</v>
      </c>
      <c r="Z9" s="745">
        <f t="shared" ca="1" si="2"/>
        <v>58</v>
      </c>
      <c r="AA9" s="745">
        <f t="shared" ca="1" si="2"/>
        <v>36</v>
      </c>
      <c r="AB9" s="745">
        <f t="shared" ca="1" si="2"/>
        <v>22</v>
      </c>
      <c r="AC9" s="746">
        <f t="shared" ca="1" si="2"/>
        <v>83</v>
      </c>
      <c r="AD9" s="747">
        <f t="shared" ca="1" si="2"/>
        <v>83.220580001666661</v>
      </c>
      <c r="AE9" s="503">
        <f t="shared" ca="1" si="2"/>
        <v>1</v>
      </c>
      <c r="AF9" s="748">
        <f t="shared" ref="AF9:AF24" ca="1" si="3">SUM(AG9:AI9)</f>
        <v>42</v>
      </c>
      <c r="AG9" s="745">
        <f t="shared" ref="AG9:AI24" ca="1" si="4">N9+E9</f>
        <v>24</v>
      </c>
      <c r="AH9" s="745">
        <f t="shared" ca="1" si="4"/>
        <v>11</v>
      </c>
      <c r="AI9" s="745">
        <f t="shared" ca="1" si="4"/>
        <v>7</v>
      </c>
      <c r="AJ9" s="745">
        <f t="shared" ref="AJ9:AL24" ca="1" si="5">H9+Q9</f>
        <v>58</v>
      </c>
      <c r="AK9" s="745">
        <f t="shared" ca="1" si="5"/>
        <v>36</v>
      </c>
      <c r="AL9" s="745">
        <f t="shared" ca="1" si="5"/>
        <v>22</v>
      </c>
      <c r="AM9" s="746">
        <f t="shared" ref="AM9:AM24" ca="1" si="6">T9+K9</f>
        <v>83</v>
      </c>
      <c r="AN9" s="334"/>
      <c r="AO9" s="334">
        <f ca="1">IF(B9="","",AC9+(($C$3-1)*2*$K$4-V9)*3)</f>
        <v>83</v>
      </c>
      <c r="AP9" s="749" t="str">
        <f ca="1">IF(AO9="","",IF(AO9&lt;INDIRECT("AC$"&amp;(8+$C$3-AP$3)),"Relegate!",IF(AO9&lt;INDIRECT("AC$"&amp;(8+$C$3-AP$3-AP$5)),"Playoff","")))</f>
        <v/>
      </c>
      <c r="AQ9" s="750" t="s">
        <v>39</v>
      </c>
    </row>
    <row r="10" spans="1:43" ht="14.25" customHeight="1">
      <c r="A10" s="740">
        <v>2</v>
      </c>
      <c r="B10" s="751" t="str">
        <f t="shared" ca="1" si="0"/>
        <v>V-Varen Nagasaki</v>
      </c>
      <c r="C10" s="752" t="str">
        <f t="shared" ca="1" si="1"/>
        <v>V-Varen Nagasaki</v>
      </c>
      <c r="D10" s="753">
        <f t="shared" ref="D10:S32" ca="1" si="7">IF($B10="","",VLOOKUP($A10,$A$38:$AE$60,D$6,FALSE))</f>
        <v>21</v>
      </c>
      <c r="E10" s="754">
        <f t="shared" ca="1" si="7"/>
        <v>15</v>
      </c>
      <c r="F10" s="754">
        <f t="shared" ca="1" si="7"/>
        <v>4</v>
      </c>
      <c r="G10" s="754">
        <f t="shared" ca="1" si="7"/>
        <v>2</v>
      </c>
      <c r="H10" s="261">
        <f t="shared" ca="1" si="2"/>
        <v>32</v>
      </c>
      <c r="I10" s="754">
        <f t="shared" ca="1" si="2"/>
        <v>12</v>
      </c>
      <c r="J10" s="754">
        <f t="shared" ca="1" si="2"/>
        <v>20</v>
      </c>
      <c r="K10" s="754">
        <f t="shared" ca="1" si="2"/>
        <v>49</v>
      </c>
      <c r="L10" s="519">
        <f t="shared" ca="1" si="2"/>
        <v>1</v>
      </c>
      <c r="M10" s="515">
        <f t="shared" ca="1" si="2"/>
        <v>21</v>
      </c>
      <c r="N10" s="754">
        <f t="shared" ca="1" si="2"/>
        <v>9</v>
      </c>
      <c r="O10" s="754">
        <f t="shared" ca="1" si="2"/>
        <v>4</v>
      </c>
      <c r="P10" s="754">
        <f t="shared" ca="1" si="2"/>
        <v>8</v>
      </c>
      <c r="Q10" s="754">
        <f t="shared" ca="1" si="2"/>
        <v>27</v>
      </c>
      <c r="R10" s="754">
        <f t="shared" ca="1" si="2"/>
        <v>29</v>
      </c>
      <c r="S10" s="754">
        <f t="shared" ca="1" si="2"/>
        <v>-2</v>
      </c>
      <c r="T10" s="754">
        <f t="shared" ca="1" si="2"/>
        <v>31</v>
      </c>
      <c r="U10" s="519">
        <f t="shared" ca="1" si="2"/>
        <v>6</v>
      </c>
      <c r="V10" s="515">
        <f t="shared" ca="1" si="2"/>
        <v>42</v>
      </c>
      <c r="W10" s="754">
        <f t="shared" ca="1" si="2"/>
        <v>24</v>
      </c>
      <c r="X10" s="754">
        <f t="shared" ca="1" si="2"/>
        <v>8</v>
      </c>
      <c r="Y10" s="754">
        <f t="shared" ca="1" si="2"/>
        <v>10</v>
      </c>
      <c r="Z10" s="754">
        <f t="shared" ca="1" si="2"/>
        <v>59</v>
      </c>
      <c r="AA10" s="754">
        <f t="shared" ca="1" si="2"/>
        <v>41</v>
      </c>
      <c r="AB10" s="754">
        <f t="shared" ca="1" si="2"/>
        <v>18</v>
      </c>
      <c r="AC10" s="755">
        <f t="shared" ca="1" si="2"/>
        <v>80</v>
      </c>
      <c r="AD10" s="235">
        <f t="shared" ca="1" si="2"/>
        <v>80.180590000500004</v>
      </c>
      <c r="AE10" s="519">
        <f t="shared" ca="1" si="2"/>
        <v>2</v>
      </c>
      <c r="AF10" s="261">
        <f t="shared" ca="1" si="3"/>
        <v>42</v>
      </c>
      <c r="AG10" s="754">
        <f t="shared" ca="1" si="4"/>
        <v>24</v>
      </c>
      <c r="AH10" s="754">
        <f t="shared" ca="1" si="4"/>
        <v>8</v>
      </c>
      <c r="AI10" s="754">
        <f t="shared" ca="1" si="4"/>
        <v>10</v>
      </c>
      <c r="AJ10" s="754">
        <f t="shared" ca="1" si="5"/>
        <v>59</v>
      </c>
      <c r="AK10" s="754">
        <f t="shared" ca="1" si="5"/>
        <v>41</v>
      </c>
      <c r="AL10" s="754">
        <f t="shared" ca="1" si="5"/>
        <v>18</v>
      </c>
      <c r="AM10" s="755">
        <f t="shared" ca="1" si="6"/>
        <v>80</v>
      </c>
      <c r="AN10" s="334"/>
      <c r="AO10" s="334">
        <f t="shared" ref="AO10:AO32" ca="1" si="8">IF(B10="","",AC10+(($C$3-1)*2*$K$4-V10)*3)</f>
        <v>80</v>
      </c>
      <c r="AP10" s="749" t="str">
        <f t="shared" ref="AP10:AP32" ca="1" si="9">IF(AO10="","",IF(AO10&lt;INDIRECT("AC$"&amp;(8+$C$3-AP$3)),"Relegate!",IF(AO10&lt;INDIRECT("AC$"&amp;(8+$C$3-AP$3-AP$5)),"Playoff","")))</f>
        <v/>
      </c>
      <c r="AQ10" s="750" t="s">
        <v>39</v>
      </c>
    </row>
    <row r="11" spans="1:43" ht="14.25" customHeight="1">
      <c r="A11" s="756">
        <v>3</v>
      </c>
      <c r="B11" s="757" t="str">
        <f t="shared" ca="1" si="0"/>
        <v>Nagoya Grampus</v>
      </c>
      <c r="C11" s="758" t="str">
        <f t="shared" ca="1" si="1"/>
        <v>Nagoya Grampus</v>
      </c>
      <c r="D11" s="759">
        <f t="shared" ca="1" si="7"/>
        <v>23</v>
      </c>
      <c r="E11" s="353">
        <f t="shared" ca="1" si="7"/>
        <v>14</v>
      </c>
      <c r="F11" s="353">
        <f t="shared" ca="1" si="7"/>
        <v>3</v>
      </c>
      <c r="G11" s="353">
        <f t="shared" ca="1" si="7"/>
        <v>6</v>
      </c>
      <c r="H11" s="760">
        <f t="shared" ca="1" si="2"/>
        <v>52</v>
      </c>
      <c r="I11" s="353">
        <f t="shared" ca="1" si="2"/>
        <v>34</v>
      </c>
      <c r="J11" s="353">
        <f t="shared" ca="1" si="2"/>
        <v>18</v>
      </c>
      <c r="K11" s="353">
        <f t="shared" ca="1" si="2"/>
        <v>45</v>
      </c>
      <c r="L11" s="524">
        <f t="shared" ca="1" si="2"/>
        <v>2</v>
      </c>
      <c r="M11" s="551">
        <f t="shared" ca="1" si="2"/>
        <v>21</v>
      </c>
      <c r="N11" s="353">
        <f t="shared" ca="1" si="2"/>
        <v>10</v>
      </c>
      <c r="O11" s="353">
        <f t="shared" ca="1" si="2"/>
        <v>4</v>
      </c>
      <c r="P11" s="353">
        <f t="shared" ca="1" si="2"/>
        <v>7</v>
      </c>
      <c r="Q11" s="353">
        <f t="shared" ca="1" si="2"/>
        <v>37</v>
      </c>
      <c r="R11" s="353">
        <f t="shared" ca="1" si="2"/>
        <v>33</v>
      </c>
      <c r="S11" s="353">
        <f t="shared" ca="1" si="2"/>
        <v>4</v>
      </c>
      <c r="T11" s="353">
        <f t="shared" ca="1" si="2"/>
        <v>34</v>
      </c>
      <c r="U11" s="524">
        <f t="shared" ca="1" si="2"/>
        <v>4</v>
      </c>
      <c r="V11" s="551">
        <f t="shared" ca="1" si="2"/>
        <v>44</v>
      </c>
      <c r="W11" s="353">
        <f t="shared" ca="1" si="2"/>
        <v>24</v>
      </c>
      <c r="X11" s="353">
        <f t="shared" ca="1" si="2"/>
        <v>7</v>
      </c>
      <c r="Y11" s="353">
        <f t="shared" ca="1" si="2"/>
        <v>13</v>
      </c>
      <c r="Z11" s="353">
        <f t="shared" ca="1" si="2"/>
        <v>89</v>
      </c>
      <c r="AA11" s="353">
        <f t="shared" ca="1" si="2"/>
        <v>67</v>
      </c>
      <c r="AB11" s="353">
        <f t="shared" ca="1" si="2"/>
        <v>22</v>
      </c>
      <c r="AC11" s="761">
        <f t="shared" ca="1" si="2"/>
        <v>79</v>
      </c>
      <c r="AD11" s="762">
        <f t="shared" ca="1" si="2"/>
        <v>79.220890000624991</v>
      </c>
      <c r="AE11" s="524">
        <f t="shared" ca="1" si="2"/>
        <v>3</v>
      </c>
      <c r="AF11" s="760">
        <f t="shared" ca="1" si="3"/>
        <v>44</v>
      </c>
      <c r="AG11" s="353">
        <f t="shared" ca="1" si="4"/>
        <v>24</v>
      </c>
      <c r="AH11" s="353">
        <f t="shared" ca="1" si="4"/>
        <v>7</v>
      </c>
      <c r="AI11" s="353">
        <f t="shared" ca="1" si="4"/>
        <v>13</v>
      </c>
      <c r="AJ11" s="353">
        <f t="shared" ca="1" si="5"/>
        <v>89</v>
      </c>
      <c r="AK11" s="353">
        <f t="shared" ca="1" si="5"/>
        <v>67</v>
      </c>
      <c r="AL11" s="353">
        <f t="shared" ca="1" si="5"/>
        <v>22</v>
      </c>
      <c r="AM11" s="761">
        <f t="shared" ca="1" si="6"/>
        <v>79</v>
      </c>
      <c r="AN11" s="334"/>
      <c r="AO11" s="334">
        <f t="shared" ca="1" si="8"/>
        <v>73</v>
      </c>
      <c r="AP11" s="749" t="str">
        <f t="shared" ca="1" si="9"/>
        <v/>
      </c>
      <c r="AQ11" s="750" t="s">
        <v>39</v>
      </c>
    </row>
    <row r="12" spans="1:43" ht="14.25" customHeight="1">
      <c r="A12" s="756">
        <v>4</v>
      </c>
      <c r="B12" s="757" t="str">
        <f t="shared" ca="1" si="0"/>
        <v>Avispa Fukuoka</v>
      </c>
      <c r="C12" s="758" t="str">
        <f t="shared" ca="1" si="1"/>
        <v>Avispa Fukuoka</v>
      </c>
      <c r="D12" s="759">
        <f t="shared" ca="1" si="7"/>
        <v>21</v>
      </c>
      <c r="E12" s="353">
        <f t="shared" ca="1" si="7"/>
        <v>10</v>
      </c>
      <c r="F12" s="353">
        <f t="shared" ca="1" si="7"/>
        <v>3</v>
      </c>
      <c r="G12" s="353">
        <f t="shared" ca="1" si="7"/>
        <v>8</v>
      </c>
      <c r="H12" s="760">
        <f t="shared" ca="1" si="2"/>
        <v>23</v>
      </c>
      <c r="I12" s="353">
        <f t="shared" ca="1" si="2"/>
        <v>21</v>
      </c>
      <c r="J12" s="353">
        <f t="shared" ca="1" si="2"/>
        <v>2</v>
      </c>
      <c r="K12" s="353">
        <f t="shared" ca="1" si="2"/>
        <v>33</v>
      </c>
      <c r="L12" s="524">
        <f t="shared" ca="1" si="2"/>
        <v>11</v>
      </c>
      <c r="M12" s="551">
        <f t="shared" ca="1" si="2"/>
        <v>22</v>
      </c>
      <c r="N12" s="353">
        <f t="shared" ca="1" si="2"/>
        <v>11</v>
      </c>
      <c r="O12" s="353">
        <f t="shared" ca="1" si="2"/>
        <v>9</v>
      </c>
      <c r="P12" s="353">
        <f t="shared" ca="1" si="2"/>
        <v>2</v>
      </c>
      <c r="Q12" s="353">
        <f t="shared" ca="1" si="2"/>
        <v>31</v>
      </c>
      <c r="R12" s="353">
        <f t="shared" ca="1" si="2"/>
        <v>15</v>
      </c>
      <c r="S12" s="353">
        <f t="shared" ca="1" si="2"/>
        <v>16</v>
      </c>
      <c r="T12" s="353">
        <f t="shared" ca="1" si="2"/>
        <v>42</v>
      </c>
      <c r="U12" s="524">
        <f t="shared" ca="1" si="2"/>
        <v>1</v>
      </c>
      <c r="V12" s="551">
        <f t="shared" ca="1" si="2"/>
        <v>43</v>
      </c>
      <c r="W12" s="353">
        <f t="shared" ca="1" si="2"/>
        <v>22</v>
      </c>
      <c r="X12" s="353">
        <f t="shared" ca="1" si="2"/>
        <v>12</v>
      </c>
      <c r="Y12" s="353">
        <f t="shared" ca="1" si="2"/>
        <v>10</v>
      </c>
      <c r="Z12" s="353">
        <f t="shared" ca="1" si="2"/>
        <v>55</v>
      </c>
      <c r="AA12" s="353">
        <f t="shared" ca="1" si="2"/>
        <v>36</v>
      </c>
      <c r="AB12" s="353">
        <f t="shared" ca="1" si="2"/>
        <v>19</v>
      </c>
      <c r="AC12" s="761">
        <f t="shared" ca="1" si="2"/>
        <v>78</v>
      </c>
      <c r="AD12" s="762">
        <f t="shared" ca="1" si="2"/>
        <v>75.190550009999995</v>
      </c>
      <c r="AE12" s="524">
        <f t="shared" ca="1" si="2"/>
        <v>4</v>
      </c>
      <c r="AF12" s="760">
        <f t="shared" ca="1" si="3"/>
        <v>43</v>
      </c>
      <c r="AG12" s="353">
        <f t="shared" ca="1" si="4"/>
        <v>21</v>
      </c>
      <c r="AH12" s="353">
        <f t="shared" ca="1" si="4"/>
        <v>12</v>
      </c>
      <c r="AI12" s="353">
        <f t="shared" ca="1" si="4"/>
        <v>10</v>
      </c>
      <c r="AJ12" s="353">
        <f t="shared" ca="1" si="5"/>
        <v>54</v>
      </c>
      <c r="AK12" s="353">
        <f t="shared" ca="1" si="5"/>
        <v>36</v>
      </c>
      <c r="AL12" s="353">
        <f t="shared" ca="1" si="5"/>
        <v>18</v>
      </c>
      <c r="AM12" s="761">
        <f t="shared" ca="1" si="6"/>
        <v>75</v>
      </c>
      <c r="AN12" s="334"/>
      <c r="AO12" s="334">
        <f t="shared" ca="1" si="8"/>
        <v>75</v>
      </c>
      <c r="AP12" s="749" t="str">
        <f t="shared" ca="1" si="9"/>
        <v/>
      </c>
      <c r="AQ12" s="750" t="s">
        <v>39</v>
      </c>
    </row>
    <row r="13" spans="1:43" ht="14.25" customHeight="1">
      <c r="A13" s="763">
        <v>5</v>
      </c>
      <c r="B13" s="741" t="str">
        <f t="shared" ca="1" si="0"/>
        <v>Tokyo Verdy</v>
      </c>
      <c r="C13" s="764" t="str">
        <f t="shared" ca="1" si="1"/>
        <v>Tokyo Verdy</v>
      </c>
      <c r="D13" s="753">
        <f t="shared" ca="1" si="7"/>
        <v>21</v>
      </c>
      <c r="E13" s="754">
        <f t="shared" ca="1" si="7"/>
        <v>12</v>
      </c>
      <c r="F13" s="754">
        <f t="shared" ca="1" si="7"/>
        <v>5</v>
      </c>
      <c r="G13" s="754">
        <f t="shared" ca="1" si="7"/>
        <v>4</v>
      </c>
      <c r="H13" s="261">
        <f t="shared" ca="1" si="2"/>
        <v>40</v>
      </c>
      <c r="I13" s="754">
        <f t="shared" ca="1" si="2"/>
        <v>24</v>
      </c>
      <c r="J13" s="754">
        <f t="shared" ca="1" si="2"/>
        <v>16</v>
      </c>
      <c r="K13" s="754">
        <f t="shared" ca="1" si="2"/>
        <v>41</v>
      </c>
      <c r="L13" s="519">
        <f t="shared" ca="1" si="2"/>
        <v>5</v>
      </c>
      <c r="M13" s="515">
        <f t="shared" ca="1" si="2"/>
        <v>21</v>
      </c>
      <c r="N13" s="754">
        <f t="shared" ca="1" si="2"/>
        <v>8</v>
      </c>
      <c r="O13" s="754">
        <f t="shared" ca="1" si="2"/>
        <v>5</v>
      </c>
      <c r="P13" s="754">
        <f t="shared" ca="1" si="2"/>
        <v>8</v>
      </c>
      <c r="Q13" s="754">
        <f t="shared" ca="1" si="2"/>
        <v>24</v>
      </c>
      <c r="R13" s="754">
        <f t="shared" ca="1" si="2"/>
        <v>25</v>
      </c>
      <c r="S13" s="754">
        <f t="shared" ca="1" si="2"/>
        <v>-1</v>
      </c>
      <c r="T13" s="754">
        <f t="shared" ca="1" si="2"/>
        <v>29</v>
      </c>
      <c r="U13" s="519">
        <f t="shared" ca="1" si="2"/>
        <v>9</v>
      </c>
      <c r="V13" s="515">
        <f t="shared" ca="1" si="2"/>
        <v>42</v>
      </c>
      <c r="W13" s="754">
        <f t="shared" ca="1" si="2"/>
        <v>20</v>
      </c>
      <c r="X13" s="754">
        <f t="shared" ca="1" si="2"/>
        <v>10</v>
      </c>
      <c r="Y13" s="754">
        <f t="shared" ca="1" si="2"/>
        <v>13</v>
      </c>
      <c r="Z13" s="754">
        <f t="shared" ca="1" si="2"/>
        <v>64</v>
      </c>
      <c r="AA13" s="754">
        <f t="shared" ca="1" si="2"/>
        <v>50</v>
      </c>
      <c r="AB13" s="754">
        <f t="shared" ca="1" si="2"/>
        <v>14</v>
      </c>
      <c r="AC13" s="755">
        <f t="shared" ca="1" si="2"/>
        <v>70</v>
      </c>
      <c r="AD13" s="235">
        <f t="shared" ca="1" si="2"/>
        <v>70.140640000526318</v>
      </c>
      <c r="AE13" s="519">
        <f t="shared" ca="1" si="2"/>
        <v>5</v>
      </c>
      <c r="AF13" s="261">
        <f t="shared" ca="1" si="3"/>
        <v>42</v>
      </c>
      <c r="AG13" s="754">
        <f t="shared" ca="1" si="4"/>
        <v>20</v>
      </c>
      <c r="AH13" s="754">
        <f t="shared" ca="1" si="4"/>
        <v>10</v>
      </c>
      <c r="AI13" s="754">
        <f t="shared" ca="1" si="4"/>
        <v>12</v>
      </c>
      <c r="AJ13" s="754">
        <f t="shared" ca="1" si="5"/>
        <v>64</v>
      </c>
      <c r="AK13" s="754">
        <f t="shared" ca="1" si="5"/>
        <v>49</v>
      </c>
      <c r="AL13" s="754">
        <f t="shared" ca="1" si="5"/>
        <v>15</v>
      </c>
      <c r="AM13" s="755">
        <f t="shared" ca="1" si="6"/>
        <v>70</v>
      </c>
      <c r="AN13" s="334"/>
      <c r="AO13" s="334">
        <f t="shared" ca="1" si="8"/>
        <v>70</v>
      </c>
      <c r="AP13" s="749" t="str">
        <f t="shared" ca="1" si="9"/>
        <v/>
      </c>
      <c r="AQ13" s="765" t="s">
        <v>23</v>
      </c>
    </row>
    <row r="14" spans="1:43" ht="14.25" customHeight="1">
      <c r="A14" s="740">
        <v>6</v>
      </c>
      <c r="B14" s="751" t="str">
        <f t="shared" ca="1" si="0"/>
        <v>JEF United</v>
      </c>
      <c r="C14" s="752" t="str">
        <f t="shared" ca="1" si="1"/>
        <v>JEF United</v>
      </c>
      <c r="D14" s="753">
        <f t="shared" ca="1" si="7"/>
        <v>21</v>
      </c>
      <c r="E14" s="754">
        <f t="shared" ca="1" si="7"/>
        <v>13</v>
      </c>
      <c r="F14" s="754">
        <f t="shared" ca="1" si="7"/>
        <v>6</v>
      </c>
      <c r="G14" s="754">
        <f t="shared" ca="1" si="7"/>
        <v>2</v>
      </c>
      <c r="H14" s="261">
        <f t="shared" ca="1" si="2"/>
        <v>47</v>
      </c>
      <c r="I14" s="754">
        <f t="shared" ca="1" si="2"/>
        <v>23</v>
      </c>
      <c r="J14" s="754">
        <f t="shared" ca="1" si="2"/>
        <v>24</v>
      </c>
      <c r="K14" s="754">
        <f t="shared" ca="1" si="2"/>
        <v>45</v>
      </c>
      <c r="L14" s="519">
        <f t="shared" ca="1" si="2"/>
        <v>2</v>
      </c>
      <c r="M14" s="515">
        <f t="shared" ca="1" si="2"/>
        <v>22</v>
      </c>
      <c r="N14" s="754">
        <f t="shared" ca="1" si="2"/>
        <v>7</v>
      </c>
      <c r="O14" s="754">
        <f t="shared" ca="1" si="2"/>
        <v>2</v>
      </c>
      <c r="P14" s="754">
        <f t="shared" ca="1" si="2"/>
        <v>13</v>
      </c>
      <c r="Q14" s="754">
        <f t="shared" ca="1" si="2"/>
        <v>25</v>
      </c>
      <c r="R14" s="754">
        <f t="shared" ca="1" si="2"/>
        <v>39</v>
      </c>
      <c r="S14" s="754">
        <f t="shared" ca="1" si="2"/>
        <v>-14</v>
      </c>
      <c r="T14" s="754">
        <f t="shared" ca="1" si="2"/>
        <v>23</v>
      </c>
      <c r="U14" s="519">
        <f t="shared" ca="1" si="2"/>
        <v>13</v>
      </c>
      <c r="V14" s="515">
        <f t="shared" ca="1" si="2"/>
        <v>43</v>
      </c>
      <c r="W14" s="754">
        <f t="shared" ca="1" si="2"/>
        <v>20</v>
      </c>
      <c r="X14" s="754">
        <f t="shared" ca="1" si="2"/>
        <v>8</v>
      </c>
      <c r="Y14" s="754">
        <f t="shared" ca="1" si="2"/>
        <v>15</v>
      </c>
      <c r="Z14" s="754">
        <f t="shared" ca="1" si="2"/>
        <v>72</v>
      </c>
      <c r="AA14" s="754">
        <f t="shared" ca="1" si="2"/>
        <v>62</v>
      </c>
      <c r="AB14" s="754">
        <f t="shared" ca="1" si="2"/>
        <v>10</v>
      </c>
      <c r="AC14" s="755">
        <f t="shared" ca="1" si="2"/>
        <v>68</v>
      </c>
      <c r="AD14" s="235">
        <f t="shared" ca="1" si="2"/>
        <v>68.10072000142857</v>
      </c>
      <c r="AE14" s="519">
        <f t="shared" ca="1" si="2"/>
        <v>6</v>
      </c>
      <c r="AF14" s="261">
        <f t="shared" ca="1" si="3"/>
        <v>43</v>
      </c>
      <c r="AG14" s="754">
        <f t="shared" ca="1" si="4"/>
        <v>20</v>
      </c>
      <c r="AH14" s="754">
        <f t="shared" ca="1" si="4"/>
        <v>8</v>
      </c>
      <c r="AI14" s="754">
        <f t="shared" ca="1" si="4"/>
        <v>15</v>
      </c>
      <c r="AJ14" s="754">
        <f t="shared" ca="1" si="5"/>
        <v>72</v>
      </c>
      <c r="AK14" s="754">
        <f t="shared" ca="1" si="5"/>
        <v>62</v>
      </c>
      <c r="AL14" s="754">
        <f t="shared" ca="1" si="5"/>
        <v>10</v>
      </c>
      <c r="AM14" s="755">
        <f t="shared" ca="1" si="6"/>
        <v>68</v>
      </c>
      <c r="AN14" s="334"/>
      <c r="AO14" s="334">
        <f t="shared" ca="1" si="8"/>
        <v>65</v>
      </c>
      <c r="AP14" s="749" t="str">
        <f t="shared" ca="1" si="9"/>
        <v/>
      </c>
      <c r="AQ14" s="765" t="s">
        <v>23</v>
      </c>
    </row>
    <row r="15" spans="1:43" ht="14.25" customHeight="1">
      <c r="A15" s="756">
        <v>7</v>
      </c>
      <c r="B15" s="757" t="str">
        <f t="shared" ca="1" si="0"/>
        <v>Tokushima Vortis</v>
      </c>
      <c r="C15" s="758" t="str">
        <f t="shared" ca="1" si="1"/>
        <v>Tokushima Vortis</v>
      </c>
      <c r="D15" s="759">
        <f t="shared" ca="1" si="7"/>
        <v>21</v>
      </c>
      <c r="E15" s="353">
        <f t="shared" ca="1" si="7"/>
        <v>8</v>
      </c>
      <c r="F15" s="353">
        <f t="shared" ca="1" si="7"/>
        <v>9</v>
      </c>
      <c r="G15" s="353">
        <f t="shared" ca="1" si="7"/>
        <v>4</v>
      </c>
      <c r="H15" s="760">
        <f t="shared" ca="1" si="2"/>
        <v>39</v>
      </c>
      <c r="I15" s="353">
        <f t="shared" ca="1" si="2"/>
        <v>25</v>
      </c>
      <c r="J15" s="353">
        <f t="shared" ca="1" si="2"/>
        <v>14</v>
      </c>
      <c r="K15" s="353">
        <f t="shared" ca="1" si="2"/>
        <v>33</v>
      </c>
      <c r="L15" s="524">
        <f t="shared" ca="1" si="2"/>
        <v>11</v>
      </c>
      <c r="M15" s="551">
        <f t="shared" ca="1" si="2"/>
        <v>21</v>
      </c>
      <c r="N15" s="353">
        <f t="shared" ca="1" si="2"/>
        <v>10</v>
      </c>
      <c r="O15" s="353">
        <f t="shared" ca="1" si="2"/>
        <v>4</v>
      </c>
      <c r="P15" s="353">
        <f t="shared" ca="1" si="2"/>
        <v>7</v>
      </c>
      <c r="Q15" s="353">
        <f t="shared" ca="1" si="2"/>
        <v>32</v>
      </c>
      <c r="R15" s="353">
        <f t="shared" ca="1" si="2"/>
        <v>20</v>
      </c>
      <c r="S15" s="353">
        <f t="shared" ca="1" si="2"/>
        <v>12</v>
      </c>
      <c r="T15" s="353">
        <f t="shared" ca="1" si="2"/>
        <v>34</v>
      </c>
      <c r="U15" s="524">
        <f t="shared" ca="1" si="2"/>
        <v>4</v>
      </c>
      <c r="V15" s="551">
        <f t="shared" ca="1" si="2"/>
        <v>42</v>
      </c>
      <c r="W15" s="353">
        <f t="shared" ca="1" si="2"/>
        <v>18</v>
      </c>
      <c r="X15" s="353">
        <f t="shared" ca="1" si="2"/>
        <v>13</v>
      </c>
      <c r="Y15" s="353">
        <f t="shared" ca="1" si="2"/>
        <v>11</v>
      </c>
      <c r="Z15" s="353">
        <f t="shared" ca="1" si="2"/>
        <v>71</v>
      </c>
      <c r="AA15" s="353">
        <f t="shared" ca="1" si="2"/>
        <v>45</v>
      </c>
      <c r="AB15" s="353">
        <f t="shared" ca="1" si="2"/>
        <v>26</v>
      </c>
      <c r="AC15" s="761">
        <f t="shared" ca="1" si="2"/>
        <v>67</v>
      </c>
      <c r="AD15" s="762">
        <f t="shared" ca="1" si="2"/>
        <v>67.260710000555562</v>
      </c>
      <c r="AE15" s="524">
        <f t="shared" ca="1" si="2"/>
        <v>7</v>
      </c>
      <c r="AF15" s="760">
        <f t="shared" ca="1" si="3"/>
        <v>42</v>
      </c>
      <c r="AG15" s="353">
        <f t="shared" ca="1" si="4"/>
        <v>18</v>
      </c>
      <c r="AH15" s="353">
        <f t="shared" ca="1" si="4"/>
        <v>13</v>
      </c>
      <c r="AI15" s="353">
        <f t="shared" ca="1" si="4"/>
        <v>11</v>
      </c>
      <c r="AJ15" s="353">
        <f t="shared" ca="1" si="5"/>
        <v>71</v>
      </c>
      <c r="AK15" s="353">
        <f t="shared" ca="1" si="5"/>
        <v>45</v>
      </c>
      <c r="AL15" s="353">
        <f t="shared" ca="1" si="5"/>
        <v>26</v>
      </c>
      <c r="AM15" s="761">
        <f t="shared" ca="1" si="6"/>
        <v>67</v>
      </c>
      <c r="AN15" s="334"/>
      <c r="AO15" s="334">
        <f t="shared" ca="1" si="8"/>
        <v>67</v>
      </c>
      <c r="AP15" s="749" t="str">
        <f t="shared" ca="1" si="9"/>
        <v/>
      </c>
      <c r="AQ15" s="765" t="s">
        <v>23</v>
      </c>
    </row>
    <row r="16" spans="1:43" ht="14.25" customHeight="1">
      <c r="A16" s="756">
        <v>8</v>
      </c>
      <c r="B16" s="757" t="str">
        <f t="shared" ca="1" si="0"/>
        <v>Matsumoto Yamaga</v>
      </c>
      <c r="C16" s="758" t="str">
        <f t="shared" ca="1" si="1"/>
        <v>Matsumoto Yamaga</v>
      </c>
      <c r="D16" s="759">
        <f t="shared" ca="1" si="7"/>
        <v>21</v>
      </c>
      <c r="E16" s="353">
        <f t="shared" ca="1" si="7"/>
        <v>11</v>
      </c>
      <c r="F16" s="353">
        <f t="shared" ca="1" si="7"/>
        <v>3</v>
      </c>
      <c r="G16" s="353">
        <f t="shared" ca="1" si="7"/>
        <v>7</v>
      </c>
      <c r="H16" s="760">
        <f t="shared" ca="1" si="2"/>
        <v>38</v>
      </c>
      <c r="I16" s="353">
        <f t="shared" ca="1" si="2"/>
        <v>22</v>
      </c>
      <c r="J16" s="353">
        <f t="shared" ca="1" si="2"/>
        <v>16</v>
      </c>
      <c r="K16" s="353">
        <f t="shared" ca="1" si="2"/>
        <v>36</v>
      </c>
      <c r="L16" s="524">
        <f t="shared" ca="1" si="2"/>
        <v>7</v>
      </c>
      <c r="M16" s="551">
        <f t="shared" ca="1" si="2"/>
        <v>21</v>
      </c>
      <c r="N16" s="353">
        <f t="shared" ca="1" si="2"/>
        <v>8</v>
      </c>
      <c r="O16" s="353">
        <f t="shared" ca="1" si="2"/>
        <v>6</v>
      </c>
      <c r="P16" s="353">
        <f t="shared" ca="1" si="2"/>
        <v>7</v>
      </c>
      <c r="Q16" s="353">
        <f t="shared" ca="1" si="2"/>
        <v>23</v>
      </c>
      <c r="R16" s="353">
        <f t="shared" ca="1" si="2"/>
        <v>23</v>
      </c>
      <c r="S16" s="353">
        <f t="shared" ca="1" si="2"/>
        <v>0</v>
      </c>
      <c r="T16" s="353">
        <f t="shared" ca="1" si="2"/>
        <v>30</v>
      </c>
      <c r="U16" s="524">
        <f t="shared" ca="1" si="2"/>
        <v>8</v>
      </c>
      <c r="V16" s="551">
        <f t="shared" ca="1" si="2"/>
        <v>42</v>
      </c>
      <c r="W16" s="353">
        <f t="shared" ca="1" si="2"/>
        <v>19</v>
      </c>
      <c r="X16" s="353">
        <f t="shared" ca="1" si="2"/>
        <v>9</v>
      </c>
      <c r="Y16" s="353">
        <f t="shared" ca="1" si="2"/>
        <v>14</v>
      </c>
      <c r="Z16" s="353">
        <f t="shared" ca="1" si="2"/>
        <v>61</v>
      </c>
      <c r="AA16" s="353">
        <f t="shared" ca="1" si="2"/>
        <v>45</v>
      </c>
      <c r="AB16" s="353">
        <f t="shared" ca="1" si="2"/>
        <v>16</v>
      </c>
      <c r="AC16" s="761">
        <f t="shared" ca="1" si="2"/>
        <v>66</v>
      </c>
      <c r="AD16" s="762">
        <f t="shared" ca="1" si="2"/>
        <v>66.160610000909088</v>
      </c>
      <c r="AE16" s="524">
        <f t="shared" ca="1" si="2"/>
        <v>8</v>
      </c>
      <c r="AF16" s="760">
        <f t="shared" ca="1" si="3"/>
        <v>42</v>
      </c>
      <c r="AG16" s="353">
        <f t="shared" ca="1" si="4"/>
        <v>19</v>
      </c>
      <c r="AH16" s="353">
        <f t="shared" ca="1" si="4"/>
        <v>9</v>
      </c>
      <c r="AI16" s="353">
        <f t="shared" ca="1" si="4"/>
        <v>14</v>
      </c>
      <c r="AJ16" s="353">
        <f t="shared" ca="1" si="5"/>
        <v>61</v>
      </c>
      <c r="AK16" s="353">
        <f t="shared" ca="1" si="5"/>
        <v>45</v>
      </c>
      <c r="AL16" s="353">
        <f t="shared" ca="1" si="5"/>
        <v>16</v>
      </c>
      <c r="AM16" s="761">
        <f t="shared" ca="1" si="6"/>
        <v>66</v>
      </c>
      <c r="AN16" s="334"/>
      <c r="AO16" s="334">
        <f t="shared" ca="1" si="8"/>
        <v>66</v>
      </c>
      <c r="AP16" s="749" t="str">
        <f t="shared" ca="1" si="9"/>
        <v/>
      </c>
    </row>
    <row r="17" spans="1:59" ht="14.25" customHeight="1">
      <c r="A17" s="763">
        <v>9</v>
      </c>
      <c r="B17" s="741" t="str">
        <f t="shared" ca="1" si="0"/>
        <v>Oita Trinita</v>
      </c>
      <c r="C17" s="764" t="str">
        <f t="shared" ca="1" si="1"/>
        <v>Oita Trinita</v>
      </c>
      <c r="D17" s="753">
        <f t="shared" ca="1" si="7"/>
        <v>21</v>
      </c>
      <c r="E17" s="754">
        <f t="shared" ca="1" si="7"/>
        <v>6</v>
      </c>
      <c r="F17" s="754">
        <f t="shared" ca="1" si="7"/>
        <v>9</v>
      </c>
      <c r="G17" s="754">
        <f t="shared" ca="1" si="7"/>
        <v>6</v>
      </c>
      <c r="H17" s="261">
        <f t="shared" ca="1" si="2"/>
        <v>25</v>
      </c>
      <c r="I17" s="754">
        <f t="shared" ca="1" si="2"/>
        <v>25</v>
      </c>
      <c r="J17" s="754">
        <f t="shared" ca="1" si="2"/>
        <v>0</v>
      </c>
      <c r="K17" s="754">
        <f t="shared" ca="1" si="2"/>
        <v>27</v>
      </c>
      <c r="L17" s="519">
        <f t="shared" ca="1" si="2"/>
        <v>16</v>
      </c>
      <c r="M17" s="515">
        <f t="shared" ca="1" si="2"/>
        <v>21</v>
      </c>
      <c r="N17" s="754">
        <f t="shared" ca="1" si="2"/>
        <v>11</v>
      </c>
      <c r="O17" s="754">
        <f t="shared" ca="1" si="2"/>
        <v>4</v>
      </c>
      <c r="P17" s="754">
        <f t="shared" ca="1" si="2"/>
        <v>6</v>
      </c>
      <c r="Q17" s="754">
        <f t="shared" ca="1" si="2"/>
        <v>33</v>
      </c>
      <c r="R17" s="754">
        <f t="shared" ca="1" si="2"/>
        <v>25</v>
      </c>
      <c r="S17" s="754">
        <f t="shared" ca="1" si="2"/>
        <v>8</v>
      </c>
      <c r="T17" s="754">
        <f t="shared" ca="1" si="2"/>
        <v>37</v>
      </c>
      <c r="U17" s="519">
        <f t="shared" ca="1" si="2"/>
        <v>3</v>
      </c>
      <c r="V17" s="515">
        <f t="shared" ca="1" si="2"/>
        <v>42</v>
      </c>
      <c r="W17" s="754">
        <f t="shared" ca="1" si="2"/>
        <v>17</v>
      </c>
      <c r="X17" s="754">
        <f t="shared" ca="1" si="2"/>
        <v>13</v>
      </c>
      <c r="Y17" s="754">
        <f t="shared" ca="1" si="2"/>
        <v>12</v>
      </c>
      <c r="Z17" s="754">
        <f t="shared" ca="1" si="2"/>
        <v>58</v>
      </c>
      <c r="AA17" s="754">
        <f t="shared" ca="1" si="2"/>
        <v>50</v>
      </c>
      <c r="AB17" s="754">
        <f t="shared" ca="1" si="2"/>
        <v>8</v>
      </c>
      <c r="AC17" s="755">
        <f t="shared" ca="1" si="2"/>
        <v>64</v>
      </c>
      <c r="AD17" s="235">
        <f t="shared" ca="1" si="2"/>
        <v>64.080580005000002</v>
      </c>
      <c r="AE17" s="519">
        <f t="shared" ca="1" si="2"/>
        <v>9</v>
      </c>
      <c r="AF17" s="261">
        <f t="shared" ca="1" si="3"/>
        <v>42</v>
      </c>
      <c r="AG17" s="754">
        <f t="shared" ca="1" si="4"/>
        <v>17</v>
      </c>
      <c r="AH17" s="754">
        <f t="shared" ca="1" si="4"/>
        <v>13</v>
      </c>
      <c r="AI17" s="754">
        <f t="shared" ca="1" si="4"/>
        <v>12</v>
      </c>
      <c r="AJ17" s="754">
        <f t="shared" ca="1" si="5"/>
        <v>58</v>
      </c>
      <c r="AK17" s="754">
        <f t="shared" ca="1" si="5"/>
        <v>50</v>
      </c>
      <c r="AL17" s="754">
        <f t="shared" ca="1" si="5"/>
        <v>8</v>
      </c>
      <c r="AM17" s="755">
        <f t="shared" ca="1" si="6"/>
        <v>64</v>
      </c>
      <c r="AN17" s="334"/>
      <c r="AO17" s="334">
        <f t="shared" ca="1" si="8"/>
        <v>64</v>
      </c>
      <c r="AP17" s="749" t="str">
        <f t="shared" ca="1" si="9"/>
        <v/>
      </c>
    </row>
    <row r="18" spans="1:59" ht="14.25" customHeight="1">
      <c r="A18" s="740">
        <v>10</v>
      </c>
      <c r="B18" s="751" t="str">
        <f t="shared" ca="1" si="0"/>
        <v>Yokohama</v>
      </c>
      <c r="C18" s="752" t="str">
        <f t="shared" ca="1" si="1"/>
        <v>Yokohama</v>
      </c>
      <c r="D18" s="753">
        <f t="shared" ca="1" si="7"/>
        <v>21</v>
      </c>
      <c r="E18" s="754">
        <f t="shared" ca="1" si="7"/>
        <v>12</v>
      </c>
      <c r="F18" s="754">
        <f t="shared" ca="1" si="7"/>
        <v>3</v>
      </c>
      <c r="G18" s="754">
        <f t="shared" ca="1" si="7"/>
        <v>6</v>
      </c>
      <c r="H18" s="261">
        <f t="shared" ca="1" si="2"/>
        <v>30</v>
      </c>
      <c r="I18" s="754">
        <f t="shared" ca="1" si="2"/>
        <v>17</v>
      </c>
      <c r="J18" s="754">
        <f t="shared" ca="1" si="2"/>
        <v>13</v>
      </c>
      <c r="K18" s="754">
        <f t="shared" ca="1" si="2"/>
        <v>39</v>
      </c>
      <c r="L18" s="519">
        <f t="shared" ca="1" si="2"/>
        <v>6</v>
      </c>
      <c r="M18" s="515">
        <f t="shared" ca="1" si="2"/>
        <v>21</v>
      </c>
      <c r="N18" s="754">
        <f t="shared" ca="1" si="2"/>
        <v>5</v>
      </c>
      <c r="O18" s="754">
        <f t="shared" ca="1" si="2"/>
        <v>9</v>
      </c>
      <c r="P18" s="754">
        <f t="shared" ca="1" si="2"/>
        <v>7</v>
      </c>
      <c r="Q18" s="754">
        <f t="shared" ca="1" si="2"/>
        <v>30</v>
      </c>
      <c r="R18" s="754">
        <f t="shared" ca="1" si="2"/>
        <v>32</v>
      </c>
      <c r="S18" s="754">
        <f t="shared" ca="1" si="2"/>
        <v>-2</v>
      </c>
      <c r="T18" s="754">
        <f t="shared" ca="1" si="2"/>
        <v>24</v>
      </c>
      <c r="U18" s="519">
        <f t="shared" ca="1" si="2"/>
        <v>12</v>
      </c>
      <c r="V18" s="515">
        <f t="shared" ca="1" si="2"/>
        <v>42</v>
      </c>
      <c r="W18" s="754">
        <f t="shared" ca="1" si="2"/>
        <v>17</v>
      </c>
      <c r="X18" s="754">
        <f t="shared" ca="1" si="2"/>
        <v>12</v>
      </c>
      <c r="Y18" s="754">
        <f t="shared" ca="1" si="2"/>
        <v>13</v>
      </c>
      <c r="Z18" s="754">
        <f t="shared" ca="1" si="2"/>
        <v>60</v>
      </c>
      <c r="AA18" s="754">
        <f t="shared" ca="1" si="2"/>
        <v>49</v>
      </c>
      <c r="AB18" s="754">
        <f t="shared" ca="1" si="2"/>
        <v>11</v>
      </c>
      <c r="AC18" s="755">
        <f t="shared" ca="1" si="2"/>
        <v>63</v>
      </c>
      <c r="AD18" s="235">
        <f t="shared" ca="1" si="2"/>
        <v>63.11060000047619</v>
      </c>
      <c r="AE18" s="519">
        <f t="shared" ca="1" si="2"/>
        <v>10</v>
      </c>
      <c r="AF18" s="261">
        <f t="shared" ca="1" si="3"/>
        <v>42</v>
      </c>
      <c r="AG18" s="754">
        <f t="shared" ca="1" si="4"/>
        <v>17</v>
      </c>
      <c r="AH18" s="754">
        <f t="shared" ca="1" si="4"/>
        <v>12</v>
      </c>
      <c r="AI18" s="754">
        <f t="shared" ca="1" si="4"/>
        <v>13</v>
      </c>
      <c r="AJ18" s="754">
        <f t="shared" ca="1" si="5"/>
        <v>60</v>
      </c>
      <c r="AK18" s="754">
        <f t="shared" ca="1" si="5"/>
        <v>49</v>
      </c>
      <c r="AL18" s="754">
        <f t="shared" ca="1" si="5"/>
        <v>11</v>
      </c>
      <c r="AM18" s="755">
        <f t="shared" ca="1" si="6"/>
        <v>63</v>
      </c>
      <c r="AN18" s="334"/>
      <c r="AO18" s="334">
        <f t="shared" ca="1" si="8"/>
        <v>63</v>
      </c>
      <c r="AP18" s="749" t="str">
        <f t="shared" ca="1" si="9"/>
        <v/>
      </c>
    </row>
    <row r="19" spans="1:59" ht="14.25" customHeight="1">
      <c r="A19" s="756">
        <v>11</v>
      </c>
      <c r="B19" s="757" t="str">
        <f t="shared" ca="1" si="0"/>
        <v>Montedio Yamagata</v>
      </c>
      <c r="C19" s="758" t="str">
        <f t="shared" ca="1" si="1"/>
        <v>Montedio Yamagata</v>
      </c>
      <c r="D19" s="759">
        <f t="shared" ca="1" si="7"/>
        <v>21</v>
      </c>
      <c r="E19" s="353">
        <f t="shared" ca="1" si="7"/>
        <v>9</v>
      </c>
      <c r="F19" s="353">
        <f t="shared" ca="1" si="7"/>
        <v>9</v>
      </c>
      <c r="G19" s="353">
        <f t="shared" ca="1" si="7"/>
        <v>3</v>
      </c>
      <c r="H19" s="760">
        <f t="shared" ca="1" si="2"/>
        <v>29</v>
      </c>
      <c r="I19" s="353">
        <f t="shared" ca="1" si="2"/>
        <v>23</v>
      </c>
      <c r="J19" s="353">
        <f t="shared" ca="1" si="2"/>
        <v>6</v>
      </c>
      <c r="K19" s="353">
        <f t="shared" ca="1" si="2"/>
        <v>36</v>
      </c>
      <c r="L19" s="524">
        <f t="shared" ca="1" si="2"/>
        <v>7</v>
      </c>
      <c r="M19" s="551">
        <f t="shared" ca="1" si="2"/>
        <v>21</v>
      </c>
      <c r="N19" s="353">
        <f t="shared" ca="1" si="2"/>
        <v>5</v>
      </c>
      <c r="O19" s="353">
        <f t="shared" ca="1" si="2"/>
        <v>8</v>
      </c>
      <c r="P19" s="353">
        <f t="shared" ca="1" si="2"/>
        <v>8</v>
      </c>
      <c r="Q19" s="353">
        <f t="shared" ca="1" si="2"/>
        <v>16</v>
      </c>
      <c r="R19" s="353">
        <f t="shared" ca="1" si="2"/>
        <v>24</v>
      </c>
      <c r="S19" s="353">
        <f t="shared" ca="1" si="2"/>
        <v>-8</v>
      </c>
      <c r="T19" s="353">
        <f t="shared" ca="1" si="2"/>
        <v>23</v>
      </c>
      <c r="U19" s="524">
        <f t="shared" ref="U19:AE19" ca="1" si="10">IF($B19="","",VLOOKUP($A19,$A$38:$AE$60,U$6,FALSE))</f>
        <v>13</v>
      </c>
      <c r="V19" s="551">
        <f t="shared" ca="1" si="10"/>
        <v>42</v>
      </c>
      <c r="W19" s="353">
        <f t="shared" ca="1" si="10"/>
        <v>14</v>
      </c>
      <c r="X19" s="353">
        <f t="shared" ca="1" si="10"/>
        <v>17</v>
      </c>
      <c r="Y19" s="353">
        <f t="shared" ca="1" si="10"/>
        <v>11</v>
      </c>
      <c r="Z19" s="353">
        <f t="shared" ca="1" si="10"/>
        <v>45</v>
      </c>
      <c r="AA19" s="353">
        <f t="shared" ca="1" si="10"/>
        <v>47</v>
      </c>
      <c r="AB19" s="353">
        <f t="shared" ca="1" si="10"/>
        <v>-2</v>
      </c>
      <c r="AC19" s="761">
        <f t="shared" ca="1" si="10"/>
        <v>59</v>
      </c>
      <c r="AD19" s="762">
        <f t="shared" ca="1" si="10"/>
        <v>58.980450000769231</v>
      </c>
      <c r="AE19" s="524">
        <f t="shared" ca="1" si="10"/>
        <v>11</v>
      </c>
      <c r="AF19" s="760">
        <f t="shared" ca="1" si="3"/>
        <v>42</v>
      </c>
      <c r="AG19" s="353">
        <f t="shared" ca="1" si="4"/>
        <v>14</v>
      </c>
      <c r="AH19" s="353">
        <f t="shared" ca="1" si="4"/>
        <v>17</v>
      </c>
      <c r="AI19" s="353">
        <f t="shared" ca="1" si="4"/>
        <v>11</v>
      </c>
      <c r="AJ19" s="353">
        <f t="shared" ca="1" si="5"/>
        <v>45</v>
      </c>
      <c r="AK19" s="353">
        <f t="shared" ca="1" si="5"/>
        <v>47</v>
      </c>
      <c r="AL19" s="353">
        <f t="shared" ca="1" si="5"/>
        <v>-2</v>
      </c>
      <c r="AM19" s="761">
        <f t="shared" ca="1" si="6"/>
        <v>59</v>
      </c>
      <c r="AN19" s="334"/>
      <c r="AO19" s="334">
        <f t="shared" ca="1" si="8"/>
        <v>59</v>
      </c>
      <c r="AP19" s="749" t="str">
        <f t="shared" ca="1" si="9"/>
        <v/>
      </c>
    </row>
    <row r="20" spans="1:59" ht="14.25" customHeight="1">
      <c r="A20" s="756">
        <v>12</v>
      </c>
      <c r="B20" s="757" t="str">
        <f t="shared" ca="1" si="0"/>
        <v>Kyoto Sanga</v>
      </c>
      <c r="C20" s="758" t="str">
        <f t="shared" ca="1" si="1"/>
        <v>Kyoto Sanga</v>
      </c>
      <c r="D20" s="759">
        <f t="shared" ca="1" si="7"/>
        <v>21</v>
      </c>
      <c r="E20" s="353">
        <f t="shared" ca="1" si="7"/>
        <v>7</v>
      </c>
      <c r="F20" s="353">
        <f t="shared" ca="1" si="7"/>
        <v>8</v>
      </c>
      <c r="G20" s="353">
        <f t="shared" ca="1" si="7"/>
        <v>6</v>
      </c>
      <c r="H20" s="760">
        <f t="shared" ca="1" si="7"/>
        <v>26</v>
      </c>
      <c r="I20" s="353">
        <f t="shared" ca="1" si="7"/>
        <v>24</v>
      </c>
      <c r="J20" s="353">
        <f t="shared" ca="1" si="7"/>
        <v>2</v>
      </c>
      <c r="K20" s="353">
        <f t="shared" ca="1" si="7"/>
        <v>29</v>
      </c>
      <c r="L20" s="524">
        <f t="shared" ca="1" si="7"/>
        <v>14</v>
      </c>
      <c r="M20" s="551">
        <f t="shared" ca="1" si="7"/>
        <v>21</v>
      </c>
      <c r="N20" s="353">
        <f t="shared" ca="1" si="7"/>
        <v>7</v>
      </c>
      <c r="O20" s="353">
        <f t="shared" ca="1" si="7"/>
        <v>7</v>
      </c>
      <c r="P20" s="353">
        <f t="shared" ca="1" si="7"/>
        <v>7</v>
      </c>
      <c r="Q20" s="353">
        <f t="shared" ca="1" si="7"/>
        <v>29</v>
      </c>
      <c r="R20" s="353">
        <f t="shared" ca="1" si="7"/>
        <v>23</v>
      </c>
      <c r="S20" s="353">
        <f t="shared" ca="1" si="7"/>
        <v>6</v>
      </c>
      <c r="T20" s="353">
        <f t="shared" ref="R20:AE32" ca="1" si="11">IF($B20="","",VLOOKUP($A20,$A$38:$AE$60,T$6,FALSE))</f>
        <v>28</v>
      </c>
      <c r="U20" s="524">
        <f t="shared" ca="1" si="11"/>
        <v>10</v>
      </c>
      <c r="V20" s="551">
        <f t="shared" ca="1" si="11"/>
        <v>42</v>
      </c>
      <c r="W20" s="353">
        <f t="shared" ca="1" si="11"/>
        <v>14</v>
      </c>
      <c r="X20" s="353">
        <f t="shared" ca="1" si="11"/>
        <v>15</v>
      </c>
      <c r="Y20" s="353">
        <f t="shared" ca="1" si="11"/>
        <v>13</v>
      </c>
      <c r="Z20" s="353">
        <f t="shared" ca="1" si="11"/>
        <v>55</v>
      </c>
      <c r="AA20" s="353">
        <f t="shared" ca="1" si="11"/>
        <v>47</v>
      </c>
      <c r="AB20" s="353">
        <f t="shared" ca="1" si="11"/>
        <v>8</v>
      </c>
      <c r="AC20" s="761">
        <f t="shared" ca="1" si="11"/>
        <v>57</v>
      </c>
      <c r="AD20" s="762">
        <f t="shared" ca="1" si="11"/>
        <v>57.080550001111106</v>
      </c>
      <c r="AE20" s="524">
        <f t="shared" ca="1" si="11"/>
        <v>12</v>
      </c>
      <c r="AF20" s="760">
        <f t="shared" ca="1" si="3"/>
        <v>42</v>
      </c>
      <c r="AG20" s="353">
        <f t="shared" ca="1" si="4"/>
        <v>14</v>
      </c>
      <c r="AH20" s="353">
        <f t="shared" ca="1" si="4"/>
        <v>15</v>
      </c>
      <c r="AI20" s="353">
        <f t="shared" ca="1" si="4"/>
        <v>13</v>
      </c>
      <c r="AJ20" s="353">
        <f t="shared" ca="1" si="5"/>
        <v>55</v>
      </c>
      <c r="AK20" s="353">
        <f t="shared" ca="1" si="5"/>
        <v>47</v>
      </c>
      <c r="AL20" s="353">
        <f t="shared" ca="1" si="5"/>
        <v>8</v>
      </c>
      <c r="AM20" s="761">
        <f t="shared" ca="1" si="6"/>
        <v>57</v>
      </c>
      <c r="AN20" s="334"/>
      <c r="AO20" s="334">
        <f t="shared" ca="1" si="8"/>
        <v>57</v>
      </c>
      <c r="AP20" s="749" t="str">
        <f t="shared" ca="1" si="9"/>
        <v/>
      </c>
    </row>
    <row r="21" spans="1:59" ht="14.25" customHeight="1">
      <c r="A21" s="763">
        <v>13</v>
      </c>
      <c r="B21" s="741" t="str">
        <f t="shared" ca="1" si="0"/>
        <v>Fagiano Okayama</v>
      </c>
      <c r="C21" s="764" t="str">
        <f t="shared" ca="1" si="1"/>
        <v>Fagiano Okayama</v>
      </c>
      <c r="D21" s="753">
        <f t="shared" ca="1" si="7"/>
        <v>21</v>
      </c>
      <c r="E21" s="754">
        <f t="shared" ca="1" si="7"/>
        <v>9</v>
      </c>
      <c r="F21" s="754">
        <f t="shared" ca="1" si="7"/>
        <v>5</v>
      </c>
      <c r="G21" s="754">
        <f t="shared" ca="1" si="7"/>
        <v>7</v>
      </c>
      <c r="H21" s="261">
        <f t="shared" ca="1" si="7"/>
        <v>24</v>
      </c>
      <c r="I21" s="754">
        <f t="shared" ca="1" si="7"/>
        <v>22</v>
      </c>
      <c r="J21" s="754">
        <f t="shared" ca="1" si="7"/>
        <v>2</v>
      </c>
      <c r="K21" s="754">
        <f t="shared" ca="1" si="7"/>
        <v>32</v>
      </c>
      <c r="L21" s="519">
        <f t="shared" ca="1" si="7"/>
        <v>13</v>
      </c>
      <c r="M21" s="515">
        <f t="shared" ca="1" si="7"/>
        <v>21</v>
      </c>
      <c r="N21" s="754">
        <f t="shared" ca="1" si="7"/>
        <v>4</v>
      </c>
      <c r="O21" s="754">
        <f t="shared" ca="1" si="7"/>
        <v>11</v>
      </c>
      <c r="P21" s="754">
        <f t="shared" ca="1" si="7"/>
        <v>6</v>
      </c>
      <c r="Q21" s="754">
        <f t="shared" ca="1" si="7"/>
        <v>20</v>
      </c>
      <c r="R21" s="754">
        <f t="shared" ca="1" si="11"/>
        <v>27</v>
      </c>
      <c r="S21" s="754">
        <f t="shared" ca="1" si="11"/>
        <v>-7</v>
      </c>
      <c r="T21" s="754">
        <f t="shared" ca="1" si="11"/>
        <v>23</v>
      </c>
      <c r="U21" s="519">
        <f t="shared" ca="1" si="11"/>
        <v>13</v>
      </c>
      <c r="V21" s="515">
        <f t="shared" ca="1" si="11"/>
        <v>42</v>
      </c>
      <c r="W21" s="754">
        <f t="shared" ca="1" si="11"/>
        <v>13</v>
      </c>
      <c r="X21" s="754">
        <f t="shared" ca="1" si="11"/>
        <v>16</v>
      </c>
      <c r="Y21" s="754">
        <f t="shared" ca="1" si="11"/>
        <v>13</v>
      </c>
      <c r="Z21" s="754">
        <f t="shared" ca="1" si="11"/>
        <v>44</v>
      </c>
      <c r="AA21" s="754">
        <f t="shared" ca="1" si="11"/>
        <v>49</v>
      </c>
      <c r="AB21" s="754">
        <f t="shared" ca="1" si="11"/>
        <v>-5</v>
      </c>
      <c r="AC21" s="755">
        <f t="shared" ca="1" si="11"/>
        <v>55</v>
      </c>
      <c r="AD21" s="235">
        <f t="shared" ca="1" si="11"/>
        <v>54.950440002500002</v>
      </c>
      <c r="AE21" s="519">
        <f t="shared" ca="1" si="11"/>
        <v>13</v>
      </c>
      <c r="AF21" s="261">
        <f t="shared" ca="1" si="3"/>
        <v>42</v>
      </c>
      <c r="AG21" s="754">
        <f t="shared" ca="1" si="4"/>
        <v>13</v>
      </c>
      <c r="AH21" s="754">
        <f t="shared" ca="1" si="4"/>
        <v>16</v>
      </c>
      <c r="AI21" s="754">
        <f t="shared" ca="1" si="4"/>
        <v>13</v>
      </c>
      <c r="AJ21" s="754">
        <f t="shared" ca="1" si="5"/>
        <v>44</v>
      </c>
      <c r="AK21" s="754">
        <f t="shared" ca="1" si="5"/>
        <v>49</v>
      </c>
      <c r="AL21" s="754">
        <f t="shared" ca="1" si="5"/>
        <v>-5</v>
      </c>
      <c r="AM21" s="755">
        <f t="shared" ca="1" si="6"/>
        <v>55</v>
      </c>
      <c r="AN21" s="334"/>
      <c r="AO21" s="334">
        <f t="shared" ca="1" si="8"/>
        <v>55</v>
      </c>
      <c r="AP21" s="749" t="str">
        <f t="shared" ca="1" si="9"/>
        <v/>
      </c>
    </row>
    <row r="22" spans="1:59" ht="14.25" customHeight="1">
      <c r="A22" s="740">
        <v>14</v>
      </c>
      <c r="B22" s="751" t="str">
        <f t="shared" ca="1" si="0"/>
        <v>Mito Hollyhock</v>
      </c>
      <c r="C22" s="752" t="str">
        <f t="shared" ca="1" si="1"/>
        <v>Mito Hollyhock</v>
      </c>
      <c r="D22" s="753">
        <f t="shared" ca="1" si="7"/>
        <v>21</v>
      </c>
      <c r="E22" s="754">
        <f t="shared" ca="1" si="7"/>
        <v>10</v>
      </c>
      <c r="F22" s="754">
        <f t="shared" ca="1" si="7"/>
        <v>6</v>
      </c>
      <c r="G22" s="754">
        <f t="shared" ca="1" si="7"/>
        <v>5</v>
      </c>
      <c r="H22" s="261">
        <f t="shared" ca="1" si="7"/>
        <v>32</v>
      </c>
      <c r="I22" s="754">
        <f t="shared" ca="1" si="7"/>
        <v>19</v>
      </c>
      <c r="J22" s="754">
        <f t="shared" ca="1" si="7"/>
        <v>13</v>
      </c>
      <c r="K22" s="754">
        <f t="shared" ca="1" si="7"/>
        <v>36</v>
      </c>
      <c r="L22" s="519">
        <f t="shared" ca="1" si="7"/>
        <v>7</v>
      </c>
      <c r="M22" s="515">
        <f t="shared" ca="1" si="7"/>
        <v>21</v>
      </c>
      <c r="N22" s="754">
        <f t="shared" ca="1" si="7"/>
        <v>4</v>
      </c>
      <c r="O22" s="754">
        <f t="shared" ca="1" si="7"/>
        <v>6</v>
      </c>
      <c r="P22" s="754">
        <f t="shared" ca="1" si="7"/>
        <v>11</v>
      </c>
      <c r="Q22" s="754">
        <f t="shared" ca="1" si="7"/>
        <v>13</v>
      </c>
      <c r="R22" s="754">
        <f t="shared" ca="1" si="11"/>
        <v>29</v>
      </c>
      <c r="S22" s="754">
        <f t="shared" ca="1" si="11"/>
        <v>-16</v>
      </c>
      <c r="T22" s="754">
        <f t="shared" ca="1" si="11"/>
        <v>18</v>
      </c>
      <c r="U22" s="519">
        <f t="shared" ca="1" si="11"/>
        <v>18</v>
      </c>
      <c r="V22" s="515">
        <f t="shared" ca="1" si="11"/>
        <v>42</v>
      </c>
      <c r="W22" s="754">
        <f t="shared" ca="1" si="11"/>
        <v>14</v>
      </c>
      <c r="X22" s="754">
        <f t="shared" ca="1" si="11"/>
        <v>12</v>
      </c>
      <c r="Y22" s="754">
        <f t="shared" ca="1" si="11"/>
        <v>16</v>
      </c>
      <c r="Z22" s="754">
        <f t="shared" ca="1" si="11"/>
        <v>45</v>
      </c>
      <c r="AA22" s="754">
        <f t="shared" ca="1" si="11"/>
        <v>48</v>
      </c>
      <c r="AB22" s="754">
        <f t="shared" ca="1" si="11"/>
        <v>-3</v>
      </c>
      <c r="AC22" s="755">
        <f t="shared" ca="1" si="11"/>
        <v>54</v>
      </c>
      <c r="AD22" s="235">
        <f t="shared" ca="1" si="11"/>
        <v>53.970450000833331</v>
      </c>
      <c r="AE22" s="519">
        <f t="shared" ca="1" si="11"/>
        <v>14</v>
      </c>
      <c r="AF22" s="261">
        <f t="shared" ca="1" si="3"/>
        <v>42</v>
      </c>
      <c r="AG22" s="754">
        <f t="shared" ca="1" si="4"/>
        <v>14</v>
      </c>
      <c r="AH22" s="754">
        <f t="shared" ca="1" si="4"/>
        <v>12</v>
      </c>
      <c r="AI22" s="754">
        <f t="shared" ca="1" si="4"/>
        <v>16</v>
      </c>
      <c r="AJ22" s="754">
        <f t="shared" ca="1" si="5"/>
        <v>45</v>
      </c>
      <c r="AK22" s="754">
        <f t="shared" ca="1" si="5"/>
        <v>48</v>
      </c>
      <c r="AL22" s="754">
        <f t="shared" ca="1" si="5"/>
        <v>-3</v>
      </c>
      <c r="AM22" s="755">
        <f t="shared" ca="1" si="6"/>
        <v>54</v>
      </c>
      <c r="AN22" s="334"/>
      <c r="AO22" s="334">
        <f t="shared" ca="1" si="8"/>
        <v>54</v>
      </c>
      <c r="AP22" s="749" t="str">
        <f t="shared" ca="1" si="9"/>
        <v/>
      </c>
    </row>
    <row r="23" spans="1:59" ht="14.25" customHeight="1">
      <c r="A23" s="756">
        <v>15</v>
      </c>
      <c r="B23" s="757" t="str">
        <f t="shared" ca="1" si="0"/>
        <v>Ehime</v>
      </c>
      <c r="C23" s="758" t="str">
        <f t="shared" ca="1" si="1"/>
        <v>Ehime</v>
      </c>
      <c r="D23" s="759">
        <f t="shared" ca="1" si="7"/>
        <v>21</v>
      </c>
      <c r="E23" s="353">
        <f t="shared" ca="1" si="7"/>
        <v>10</v>
      </c>
      <c r="F23" s="353">
        <f t="shared" ca="1" si="7"/>
        <v>4</v>
      </c>
      <c r="G23" s="353">
        <f t="shared" ca="1" si="7"/>
        <v>7</v>
      </c>
      <c r="H23" s="760">
        <f t="shared" ca="1" si="7"/>
        <v>25</v>
      </c>
      <c r="I23" s="353">
        <f t="shared" ca="1" si="7"/>
        <v>22</v>
      </c>
      <c r="J23" s="353">
        <f t="shared" ca="1" si="7"/>
        <v>3</v>
      </c>
      <c r="K23" s="353">
        <f t="shared" ca="1" si="7"/>
        <v>34</v>
      </c>
      <c r="L23" s="524">
        <f t="shared" ca="1" si="7"/>
        <v>10</v>
      </c>
      <c r="M23" s="551">
        <f t="shared" ca="1" si="7"/>
        <v>21</v>
      </c>
      <c r="N23" s="353">
        <f t="shared" ca="1" si="7"/>
        <v>4</v>
      </c>
      <c r="O23" s="353">
        <f t="shared" ca="1" si="7"/>
        <v>5</v>
      </c>
      <c r="P23" s="353">
        <f t="shared" ca="1" si="7"/>
        <v>12</v>
      </c>
      <c r="Q23" s="353">
        <f t="shared" ca="1" si="7"/>
        <v>29</v>
      </c>
      <c r="R23" s="353">
        <f t="shared" ca="1" si="11"/>
        <v>46</v>
      </c>
      <c r="S23" s="353">
        <f t="shared" ca="1" si="11"/>
        <v>-17</v>
      </c>
      <c r="T23" s="353">
        <f t="shared" ca="1" si="11"/>
        <v>17</v>
      </c>
      <c r="U23" s="524">
        <f t="shared" ca="1" si="11"/>
        <v>20</v>
      </c>
      <c r="V23" s="551">
        <f t="shared" ca="1" si="11"/>
        <v>42</v>
      </c>
      <c r="W23" s="353">
        <f t="shared" ca="1" si="11"/>
        <v>14</v>
      </c>
      <c r="X23" s="301">
        <f t="shared" ca="1" si="11"/>
        <v>9</v>
      </c>
      <c r="Y23" s="301">
        <f t="shared" ca="1" si="11"/>
        <v>19</v>
      </c>
      <c r="Z23" s="301">
        <f t="shared" ca="1" si="11"/>
        <v>54</v>
      </c>
      <c r="AA23" s="301">
        <f t="shared" ca="1" si="11"/>
        <v>68</v>
      </c>
      <c r="AB23" s="301">
        <f t="shared" ca="1" si="11"/>
        <v>-14</v>
      </c>
      <c r="AC23" s="766">
        <f t="shared" ca="1" si="11"/>
        <v>51</v>
      </c>
      <c r="AD23" s="301">
        <f t="shared" ca="1" si="11"/>
        <v>50.860540003333334</v>
      </c>
      <c r="AE23" s="767">
        <f t="shared" ca="1" si="11"/>
        <v>15</v>
      </c>
      <c r="AF23" s="768">
        <f t="shared" ca="1" si="3"/>
        <v>42</v>
      </c>
      <c r="AG23" s="301">
        <f t="shared" ca="1" si="4"/>
        <v>14</v>
      </c>
      <c r="AH23" s="301">
        <f t="shared" ca="1" si="4"/>
        <v>9</v>
      </c>
      <c r="AI23" s="301">
        <f t="shared" ca="1" si="4"/>
        <v>19</v>
      </c>
      <c r="AJ23" s="301">
        <f t="shared" ca="1" si="5"/>
        <v>54</v>
      </c>
      <c r="AK23" s="301">
        <f t="shared" ca="1" si="5"/>
        <v>68</v>
      </c>
      <c r="AL23" s="301">
        <f t="shared" ca="1" si="5"/>
        <v>-14</v>
      </c>
      <c r="AM23" s="766">
        <f t="shared" ca="1" si="6"/>
        <v>51</v>
      </c>
      <c r="AN23" s="230"/>
      <c r="AO23" s="230">
        <f t="shared" ca="1" si="8"/>
        <v>51</v>
      </c>
      <c r="AP23" s="769" t="str">
        <f t="shared" ca="1" si="9"/>
        <v/>
      </c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 ht="14.25" customHeight="1">
      <c r="A24" s="756">
        <v>16</v>
      </c>
      <c r="B24" s="757" t="str">
        <f t="shared" ca="1" si="0"/>
        <v>Machida Zelvia</v>
      </c>
      <c r="C24" s="758" t="str">
        <f t="shared" ca="1" si="1"/>
        <v>Machida Zelvia</v>
      </c>
      <c r="D24" s="759">
        <f t="shared" ca="1" si="7"/>
        <v>21</v>
      </c>
      <c r="E24" s="353">
        <f t="shared" ca="1" si="7"/>
        <v>4</v>
      </c>
      <c r="F24" s="353">
        <f t="shared" ca="1" si="7"/>
        <v>7</v>
      </c>
      <c r="G24" s="353">
        <f t="shared" ca="1" si="7"/>
        <v>10</v>
      </c>
      <c r="H24" s="760">
        <f t="shared" ca="1" si="7"/>
        <v>20</v>
      </c>
      <c r="I24" s="353">
        <f t="shared" ca="1" si="7"/>
        <v>26</v>
      </c>
      <c r="J24" s="353">
        <f t="shared" ca="1" si="7"/>
        <v>-6</v>
      </c>
      <c r="K24" s="353">
        <f t="shared" ca="1" si="7"/>
        <v>19</v>
      </c>
      <c r="L24" s="524">
        <f t="shared" ca="1" si="7"/>
        <v>19</v>
      </c>
      <c r="M24" s="551">
        <f t="shared" ca="1" si="7"/>
        <v>21</v>
      </c>
      <c r="N24" s="353">
        <f t="shared" ca="1" si="7"/>
        <v>7</v>
      </c>
      <c r="O24" s="353">
        <f t="shared" ca="1" si="7"/>
        <v>10</v>
      </c>
      <c r="P24" s="353">
        <f t="shared" ca="1" si="7"/>
        <v>4</v>
      </c>
      <c r="Q24" s="353">
        <f t="shared" ca="1" si="7"/>
        <v>33</v>
      </c>
      <c r="R24" s="353">
        <f t="shared" ca="1" si="11"/>
        <v>27</v>
      </c>
      <c r="S24" s="353">
        <f t="shared" ca="1" si="11"/>
        <v>6</v>
      </c>
      <c r="T24" s="353">
        <f t="shared" ca="1" si="11"/>
        <v>31</v>
      </c>
      <c r="U24" s="524">
        <f t="shared" ca="1" si="11"/>
        <v>6</v>
      </c>
      <c r="V24" s="551">
        <f t="shared" ca="1" si="11"/>
        <v>42</v>
      </c>
      <c r="W24" s="353">
        <f t="shared" ca="1" si="11"/>
        <v>11</v>
      </c>
      <c r="X24" s="301">
        <f t="shared" ca="1" si="11"/>
        <v>17</v>
      </c>
      <c r="Y24" s="301">
        <f t="shared" ca="1" si="11"/>
        <v>14</v>
      </c>
      <c r="Z24" s="301">
        <f t="shared" ca="1" si="11"/>
        <v>53</v>
      </c>
      <c r="AA24" s="301">
        <f t="shared" ca="1" si="11"/>
        <v>53</v>
      </c>
      <c r="AB24" s="301">
        <f t="shared" ca="1" si="11"/>
        <v>0</v>
      </c>
      <c r="AC24" s="766">
        <f t="shared" ca="1" si="11"/>
        <v>50</v>
      </c>
      <c r="AD24" s="301">
        <f t="shared" ca="1" si="11"/>
        <v>50.000530000999994</v>
      </c>
      <c r="AE24" s="767">
        <f t="shared" ca="1" si="11"/>
        <v>16</v>
      </c>
      <c r="AF24" s="768">
        <f t="shared" ca="1" si="3"/>
        <v>42</v>
      </c>
      <c r="AG24" s="301">
        <f t="shared" ca="1" si="4"/>
        <v>11</v>
      </c>
      <c r="AH24" s="301">
        <f t="shared" ca="1" si="4"/>
        <v>17</v>
      </c>
      <c r="AI24" s="301">
        <f t="shared" ca="1" si="4"/>
        <v>14</v>
      </c>
      <c r="AJ24" s="301">
        <f t="shared" ca="1" si="5"/>
        <v>53</v>
      </c>
      <c r="AK24" s="301">
        <f t="shared" ca="1" si="5"/>
        <v>53</v>
      </c>
      <c r="AL24" s="301">
        <f t="shared" ca="1" si="5"/>
        <v>0</v>
      </c>
      <c r="AM24" s="766">
        <f t="shared" ca="1" si="6"/>
        <v>50</v>
      </c>
      <c r="AN24" s="230"/>
      <c r="AO24" s="230">
        <f t="shared" ca="1" si="8"/>
        <v>50</v>
      </c>
      <c r="AP24" s="769" t="str">
        <f t="shared" ca="1" si="9"/>
        <v/>
      </c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 ht="14.25" customHeight="1">
      <c r="A25" s="763">
        <v>17</v>
      </c>
      <c r="B25" s="741" t="str">
        <f t="shared" ca="1" si="0"/>
        <v>Zweigen Kanazawa</v>
      </c>
      <c r="C25" s="764" t="str">
        <f t="shared" ca="1" si="1"/>
        <v>Zweigen Kanazawa</v>
      </c>
      <c r="D25" s="753">
        <f t="shared" ca="1" si="7"/>
        <v>21</v>
      </c>
      <c r="E25" s="754">
        <f t="shared" ca="1" si="7"/>
        <v>7</v>
      </c>
      <c r="F25" s="754">
        <f t="shared" ca="1" si="7"/>
        <v>7</v>
      </c>
      <c r="G25" s="754">
        <f t="shared" ca="1" si="7"/>
        <v>7</v>
      </c>
      <c r="H25" s="261">
        <f t="shared" ca="1" si="7"/>
        <v>27</v>
      </c>
      <c r="I25" s="754">
        <f t="shared" ca="1" si="7"/>
        <v>34</v>
      </c>
      <c r="J25" s="754">
        <f t="shared" ca="1" si="7"/>
        <v>-7</v>
      </c>
      <c r="K25" s="754">
        <f t="shared" ca="1" si="7"/>
        <v>28</v>
      </c>
      <c r="L25" s="519">
        <f t="shared" ca="1" si="7"/>
        <v>15</v>
      </c>
      <c r="M25" s="515">
        <f t="shared" ca="1" si="7"/>
        <v>21</v>
      </c>
      <c r="N25" s="754">
        <f t="shared" ca="1" si="7"/>
        <v>6</v>
      </c>
      <c r="O25" s="754">
        <f t="shared" ca="1" si="7"/>
        <v>3</v>
      </c>
      <c r="P25" s="754">
        <f t="shared" ca="1" si="7"/>
        <v>12</v>
      </c>
      <c r="Q25" s="754">
        <f t="shared" ca="1" si="7"/>
        <v>22</v>
      </c>
      <c r="R25" s="754">
        <f t="shared" ca="1" si="11"/>
        <v>33</v>
      </c>
      <c r="S25" s="754">
        <f t="shared" ca="1" si="11"/>
        <v>-11</v>
      </c>
      <c r="T25" s="754">
        <f t="shared" ca="1" si="11"/>
        <v>21</v>
      </c>
      <c r="U25" s="519">
        <f t="shared" ca="1" si="11"/>
        <v>17</v>
      </c>
      <c r="V25" s="515">
        <f t="shared" ca="1" si="11"/>
        <v>42</v>
      </c>
      <c r="W25" s="754">
        <f t="shared" ca="1" si="11"/>
        <v>13</v>
      </c>
      <c r="X25" s="232">
        <f t="shared" ca="1" si="11"/>
        <v>10</v>
      </c>
      <c r="Y25" s="232">
        <f t="shared" ca="1" si="11"/>
        <v>19</v>
      </c>
      <c r="Z25" s="232">
        <f t="shared" ca="1" si="11"/>
        <v>49</v>
      </c>
      <c r="AA25" s="232">
        <f t="shared" ca="1" si="11"/>
        <v>67</v>
      </c>
      <c r="AB25" s="232">
        <f t="shared" ca="1" si="11"/>
        <v>-18</v>
      </c>
      <c r="AC25" s="770">
        <f t="shared" ca="1" si="11"/>
        <v>49</v>
      </c>
      <c r="AD25" s="232">
        <f t="shared" ca="1" si="11"/>
        <v>48.820490000454548</v>
      </c>
      <c r="AE25" s="233">
        <f t="shared" ca="1" si="11"/>
        <v>17</v>
      </c>
      <c r="AF25" s="768">
        <f t="shared" ref="AF25:AF30" ca="1" si="12">SUM(AG25:AI25)</f>
        <v>42</v>
      </c>
      <c r="AG25" s="301">
        <f t="shared" ref="AG25:AG30" ca="1" si="13">N25+E25</f>
        <v>13</v>
      </c>
      <c r="AH25" s="301">
        <f t="shared" ref="AH25:AH30" ca="1" si="14">O25+F25</f>
        <v>10</v>
      </c>
      <c r="AI25" s="301">
        <f t="shared" ref="AI25:AI30" ca="1" si="15">P25+G25</f>
        <v>19</v>
      </c>
      <c r="AJ25" s="301">
        <f t="shared" ref="AJ25:AJ30" ca="1" si="16">H25+Q25</f>
        <v>49</v>
      </c>
      <c r="AK25" s="301">
        <f t="shared" ref="AK25:AK30" ca="1" si="17">I25+R25</f>
        <v>67</v>
      </c>
      <c r="AL25" s="301">
        <f t="shared" ref="AL25:AL30" ca="1" si="18">J25+S25</f>
        <v>-18</v>
      </c>
      <c r="AM25" s="766">
        <f t="shared" ref="AM25:AM30" ca="1" si="19">T25+K25</f>
        <v>49</v>
      </c>
      <c r="AN25" s="230"/>
      <c r="AO25" s="230">
        <f t="shared" ca="1" si="8"/>
        <v>49</v>
      </c>
      <c r="AP25" s="769" t="str">
        <f t="shared" ca="1" si="9"/>
        <v/>
      </c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 ht="15" customHeight="1">
      <c r="A26" s="740">
        <v>18</v>
      </c>
      <c r="B26" s="751" t="str">
        <f t="shared" ca="1" si="0"/>
        <v>Gifu</v>
      </c>
      <c r="C26" s="752" t="str">
        <f t="shared" ca="1" si="1"/>
        <v>Gifu</v>
      </c>
      <c r="D26" s="753">
        <f t="shared" ca="1" si="7"/>
        <v>21</v>
      </c>
      <c r="E26" s="754">
        <f t="shared" ca="1" si="7"/>
        <v>5</v>
      </c>
      <c r="F26" s="754">
        <f t="shared" ca="1" si="7"/>
        <v>5</v>
      </c>
      <c r="G26" s="754">
        <f t="shared" ca="1" si="7"/>
        <v>11</v>
      </c>
      <c r="H26" s="261">
        <f t="shared" ca="1" si="7"/>
        <v>30</v>
      </c>
      <c r="I26" s="754">
        <f t="shared" ca="1" si="7"/>
        <v>41</v>
      </c>
      <c r="J26" s="754">
        <f t="shared" ca="1" si="7"/>
        <v>-11</v>
      </c>
      <c r="K26" s="754">
        <f t="shared" ca="1" si="7"/>
        <v>20</v>
      </c>
      <c r="L26" s="519">
        <f t="shared" ca="1" si="7"/>
        <v>18</v>
      </c>
      <c r="M26" s="515">
        <f t="shared" ca="1" si="7"/>
        <v>21</v>
      </c>
      <c r="N26" s="754">
        <f t="shared" ca="1" si="7"/>
        <v>6</v>
      </c>
      <c r="O26" s="754">
        <f t="shared" ca="1" si="7"/>
        <v>8</v>
      </c>
      <c r="P26" s="754">
        <f t="shared" ca="1" si="7"/>
        <v>7</v>
      </c>
      <c r="Q26" s="754">
        <f t="shared" ca="1" si="7"/>
        <v>26</v>
      </c>
      <c r="R26" s="754">
        <f t="shared" ca="1" si="11"/>
        <v>27</v>
      </c>
      <c r="S26" s="754">
        <f t="shared" ca="1" si="11"/>
        <v>-1</v>
      </c>
      <c r="T26" s="754">
        <f t="shared" ca="1" si="11"/>
        <v>26</v>
      </c>
      <c r="U26" s="519">
        <f t="shared" ca="1" si="11"/>
        <v>11</v>
      </c>
      <c r="V26" s="515">
        <f t="shared" ca="1" si="11"/>
        <v>42</v>
      </c>
      <c r="W26" s="754">
        <f t="shared" ca="1" si="11"/>
        <v>11</v>
      </c>
      <c r="X26" s="232">
        <f t="shared" ca="1" si="11"/>
        <v>13</v>
      </c>
      <c r="Y26" s="232">
        <f t="shared" ca="1" si="11"/>
        <v>18</v>
      </c>
      <c r="Z26" s="232">
        <f t="shared" ca="1" si="11"/>
        <v>56</v>
      </c>
      <c r="AA26" s="232">
        <f t="shared" ca="1" si="11"/>
        <v>68</v>
      </c>
      <c r="AB26" s="232">
        <f t="shared" ca="1" si="11"/>
        <v>-12</v>
      </c>
      <c r="AC26" s="770">
        <f t="shared" ca="1" si="11"/>
        <v>46</v>
      </c>
      <c r="AD26" s="232">
        <f t="shared" ca="1" si="11"/>
        <v>45.880560002000003</v>
      </c>
      <c r="AE26" s="233">
        <f t="shared" ca="1" si="11"/>
        <v>18</v>
      </c>
      <c r="AF26" s="768">
        <f t="shared" ca="1" si="12"/>
        <v>42</v>
      </c>
      <c r="AG26" s="301">
        <f t="shared" ca="1" si="13"/>
        <v>11</v>
      </c>
      <c r="AH26" s="301">
        <f t="shared" ca="1" si="14"/>
        <v>13</v>
      </c>
      <c r="AI26" s="301">
        <f t="shared" ca="1" si="15"/>
        <v>18</v>
      </c>
      <c r="AJ26" s="301">
        <f t="shared" ca="1" si="16"/>
        <v>56</v>
      </c>
      <c r="AK26" s="301">
        <f t="shared" ca="1" si="17"/>
        <v>68</v>
      </c>
      <c r="AL26" s="301">
        <f t="shared" ca="1" si="18"/>
        <v>-12</v>
      </c>
      <c r="AM26" s="766">
        <f t="shared" ca="1" si="19"/>
        <v>46</v>
      </c>
      <c r="AN26" s="230"/>
      <c r="AO26" s="230">
        <f t="shared" ca="1" si="8"/>
        <v>46</v>
      </c>
      <c r="AP26" s="769" t="str">
        <f t="shared" ca="1" si="9"/>
        <v/>
      </c>
      <c r="AQ26" s="771" t="s">
        <v>71</v>
      </c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 ht="15" customHeight="1">
      <c r="A27" s="756">
        <v>19</v>
      </c>
      <c r="B27" s="772" t="str">
        <f t="shared" ca="1" si="0"/>
        <v>Kamatamare Sanuki</v>
      </c>
      <c r="C27" s="758" t="str">
        <f t="shared" ca="1" si="1"/>
        <v>Kamatamare Sanuki</v>
      </c>
      <c r="D27" s="772">
        <f t="shared" ca="1" si="7"/>
        <v>21</v>
      </c>
      <c r="E27" s="301">
        <f t="shared" ca="1" si="7"/>
        <v>4</v>
      </c>
      <c r="F27" s="301">
        <f t="shared" ca="1" si="7"/>
        <v>10</v>
      </c>
      <c r="G27" s="301">
        <f t="shared" ca="1" si="7"/>
        <v>7</v>
      </c>
      <c r="H27" s="301">
        <f t="shared" ca="1" si="7"/>
        <v>19</v>
      </c>
      <c r="I27" s="301">
        <f t="shared" ca="1" si="7"/>
        <v>25</v>
      </c>
      <c r="J27" s="301">
        <f t="shared" ca="1" si="7"/>
        <v>-6</v>
      </c>
      <c r="K27" s="301">
        <f t="shared" ca="1" si="7"/>
        <v>22</v>
      </c>
      <c r="L27" s="767">
        <f t="shared" ca="1" si="7"/>
        <v>17</v>
      </c>
      <c r="M27" s="772">
        <f t="shared" ca="1" si="7"/>
        <v>21</v>
      </c>
      <c r="N27" s="301">
        <f t="shared" ca="1" si="7"/>
        <v>4</v>
      </c>
      <c r="O27" s="301">
        <f t="shared" ca="1" si="7"/>
        <v>4</v>
      </c>
      <c r="P27" s="301">
        <f t="shared" ca="1" si="7"/>
        <v>13</v>
      </c>
      <c r="Q27" s="301">
        <f t="shared" ca="1" si="7"/>
        <v>22</v>
      </c>
      <c r="R27" s="301">
        <f t="shared" ca="1" si="11"/>
        <v>36</v>
      </c>
      <c r="S27" s="301">
        <f t="shared" ca="1" si="11"/>
        <v>-14</v>
      </c>
      <c r="T27" s="301">
        <f t="shared" ca="1" si="11"/>
        <v>16</v>
      </c>
      <c r="U27" s="767">
        <f t="shared" ca="1" si="11"/>
        <v>21</v>
      </c>
      <c r="V27" s="772">
        <f t="shared" ca="1" si="11"/>
        <v>42</v>
      </c>
      <c r="W27" s="301">
        <f t="shared" ca="1" si="11"/>
        <v>8</v>
      </c>
      <c r="X27" s="301">
        <f t="shared" ca="1" si="11"/>
        <v>14</v>
      </c>
      <c r="Y27" s="301">
        <f t="shared" ca="1" si="11"/>
        <v>20</v>
      </c>
      <c r="Z27" s="301">
        <f t="shared" ca="1" si="11"/>
        <v>41</v>
      </c>
      <c r="AA27" s="301">
        <f t="shared" ca="1" si="11"/>
        <v>61</v>
      </c>
      <c r="AB27" s="301">
        <f t="shared" ca="1" si="11"/>
        <v>-20</v>
      </c>
      <c r="AC27" s="301">
        <f t="shared" ca="1" si="11"/>
        <v>38</v>
      </c>
      <c r="AD27" s="301">
        <f t="shared" ca="1" si="11"/>
        <v>37.80041000125</v>
      </c>
      <c r="AE27" s="767">
        <f t="shared" ca="1" si="11"/>
        <v>19</v>
      </c>
      <c r="AF27" s="768">
        <f t="shared" ca="1" si="12"/>
        <v>42</v>
      </c>
      <c r="AG27" s="301">
        <f t="shared" ca="1" si="13"/>
        <v>8</v>
      </c>
      <c r="AH27" s="301">
        <f t="shared" ca="1" si="14"/>
        <v>14</v>
      </c>
      <c r="AI27" s="301">
        <f t="shared" ca="1" si="15"/>
        <v>20</v>
      </c>
      <c r="AJ27" s="301">
        <f t="shared" ca="1" si="16"/>
        <v>41</v>
      </c>
      <c r="AK27" s="301">
        <f t="shared" ca="1" si="17"/>
        <v>61</v>
      </c>
      <c r="AL27" s="301">
        <f t="shared" ca="1" si="18"/>
        <v>-20</v>
      </c>
      <c r="AM27" s="766">
        <f t="shared" ca="1" si="19"/>
        <v>38</v>
      </c>
      <c r="AN27" s="230"/>
      <c r="AO27" s="230">
        <f t="shared" ca="1" si="8"/>
        <v>38</v>
      </c>
      <c r="AP27" s="769" t="str">
        <f t="shared" ca="1" si="9"/>
        <v/>
      </c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 ht="15.75" customHeight="1">
      <c r="A28" s="756">
        <v>20</v>
      </c>
      <c r="B28" s="772" t="str">
        <f t="shared" ca="1" si="0"/>
        <v>Renofa Yamaguchi</v>
      </c>
      <c r="C28" s="758" t="str">
        <f t="shared" ca="1" si="1"/>
        <v>Renofa Yamaguchi</v>
      </c>
      <c r="D28" s="772">
        <f t="shared" ca="1" si="7"/>
        <v>21</v>
      </c>
      <c r="E28" s="301">
        <f t="shared" ca="1" si="7"/>
        <v>4</v>
      </c>
      <c r="F28" s="301">
        <f t="shared" ca="1" si="7"/>
        <v>3</v>
      </c>
      <c r="G28" s="301">
        <f t="shared" ca="1" si="7"/>
        <v>14</v>
      </c>
      <c r="H28" s="301">
        <f t="shared" ca="1" si="7"/>
        <v>20</v>
      </c>
      <c r="I28" s="301">
        <f t="shared" ca="1" si="7"/>
        <v>34</v>
      </c>
      <c r="J28" s="301">
        <f t="shared" ca="1" si="7"/>
        <v>-14</v>
      </c>
      <c r="K28" s="301">
        <f t="shared" ca="1" si="7"/>
        <v>15</v>
      </c>
      <c r="L28" s="767">
        <f t="shared" ca="1" si="7"/>
        <v>21</v>
      </c>
      <c r="M28" s="772">
        <f t="shared" ca="1" si="7"/>
        <v>21</v>
      </c>
      <c r="N28" s="301">
        <f t="shared" ca="1" si="7"/>
        <v>7</v>
      </c>
      <c r="O28" s="301">
        <f t="shared" ca="1" si="7"/>
        <v>2</v>
      </c>
      <c r="P28" s="301">
        <f t="shared" ca="1" si="7"/>
        <v>12</v>
      </c>
      <c r="Q28" s="301">
        <f t="shared" ca="1" si="7"/>
        <v>28</v>
      </c>
      <c r="R28" s="301">
        <f t="shared" ca="1" si="11"/>
        <v>35</v>
      </c>
      <c r="S28" s="301">
        <f t="shared" ca="1" si="11"/>
        <v>-7</v>
      </c>
      <c r="T28" s="301">
        <f t="shared" ca="1" si="11"/>
        <v>23</v>
      </c>
      <c r="U28" s="767">
        <f t="shared" ca="1" si="11"/>
        <v>13</v>
      </c>
      <c r="V28" s="772">
        <f t="shared" ca="1" si="11"/>
        <v>42</v>
      </c>
      <c r="W28" s="301">
        <f t="shared" ca="1" si="11"/>
        <v>11</v>
      </c>
      <c r="X28" s="301">
        <f t="shared" ca="1" si="11"/>
        <v>5</v>
      </c>
      <c r="Y28" s="301">
        <f t="shared" ca="1" si="11"/>
        <v>26</v>
      </c>
      <c r="Z28" s="301">
        <f t="shared" ca="1" si="11"/>
        <v>48</v>
      </c>
      <c r="AA28" s="301">
        <f t="shared" ca="1" si="11"/>
        <v>69</v>
      </c>
      <c r="AB28" s="301">
        <f t="shared" ca="1" si="11"/>
        <v>-21</v>
      </c>
      <c r="AC28" s="301">
        <f t="shared" ca="1" si="11"/>
        <v>38</v>
      </c>
      <c r="AD28" s="301">
        <f t="shared" ca="1" si="11"/>
        <v>37.79048000071429</v>
      </c>
      <c r="AE28" s="767">
        <f t="shared" ca="1" si="11"/>
        <v>20</v>
      </c>
      <c r="AF28" s="768">
        <f t="shared" ca="1" si="12"/>
        <v>42</v>
      </c>
      <c r="AG28" s="301">
        <f t="shared" ca="1" si="13"/>
        <v>11</v>
      </c>
      <c r="AH28" s="301">
        <f t="shared" ca="1" si="14"/>
        <v>5</v>
      </c>
      <c r="AI28" s="301">
        <f t="shared" ca="1" si="15"/>
        <v>26</v>
      </c>
      <c r="AJ28" s="301">
        <f t="shared" ca="1" si="16"/>
        <v>48</v>
      </c>
      <c r="AK28" s="301">
        <f t="shared" ca="1" si="17"/>
        <v>69</v>
      </c>
      <c r="AL28" s="301">
        <f t="shared" ca="1" si="18"/>
        <v>-21</v>
      </c>
      <c r="AM28" s="766">
        <f t="shared" ca="1" si="19"/>
        <v>38</v>
      </c>
      <c r="AN28" s="230"/>
      <c r="AO28" s="230">
        <f t="shared" ca="1" si="8"/>
        <v>38</v>
      </c>
      <c r="AP28" s="769" t="str">
        <f t="shared" ca="1" si="9"/>
        <v/>
      </c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 ht="15.75" customHeight="1">
      <c r="A29" s="756">
        <v>21</v>
      </c>
      <c r="B29" s="773" t="str">
        <f t="shared" ca="1" si="0"/>
        <v>Roasso Kumamoto</v>
      </c>
      <c r="C29" s="774" t="str">
        <f t="shared" ca="1" si="1"/>
        <v>Roasso Kumamoto</v>
      </c>
      <c r="D29" s="772">
        <f t="shared" ca="1" si="7"/>
        <v>21</v>
      </c>
      <c r="E29" s="301">
        <f t="shared" ca="1" si="7"/>
        <v>5</v>
      </c>
      <c r="F29" s="301">
        <f t="shared" ca="1" si="7"/>
        <v>4</v>
      </c>
      <c r="G29" s="301">
        <f t="shared" ca="1" si="7"/>
        <v>12</v>
      </c>
      <c r="H29" s="301">
        <f t="shared" ca="1" si="7"/>
        <v>19</v>
      </c>
      <c r="I29" s="301">
        <f t="shared" ca="1" si="7"/>
        <v>30</v>
      </c>
      <c r="J29" s="301">
        <f t="shared" ca="1" si="7"/>
        <v>-11</v>
      </c>
      <c r="K29" s="301">
        <f t="shared" ca="1" si="7"/>
        <v>19</v>
      </c>
      <c r="L29" s="767">
        <f t="shared" ca="1" si="7"/>
        <v>19</v>
      </c>
      <c r="M29" s="772">
        <f t="shared" ca="1" si="7"/>
        <v>21</v>
      </c>
      <c r="N29" s="301">
        <f t="shared" ca="1" si="7"/>
        <v>4</v>
      </c>
      <c r="O29" s="301">
        <f t="shared" ref="D29:Q30" ca="1" si="20">IF($B29="","",VLOOKUP($A29,$A$38:$AE$60,O$6,FALSE))</f>
        <v>6</v>
      </c>
      <c r="P29" s="301">
        <f t="shared" ca="1" si="20"/>
        <v>11</v>
      </c>
      <c r="Q29" s="301">
        <f t="shared" ca="1" si="20"/>
        <v>17</v>
      </c>
      <c r="R29" s="301">
        <f t="shared" ca="1" si="11"/>
        <v>29</v>
      </c>
      <c r="S29" s="301">
        <f t="shared" ca="1" si="11"/>
        <v>-12</v>
      </c>
      <c r="T29" s="301">
        <f t="shared" ca="1" si="11"/>
        <v>18</v>
      </c>
      <c r="U29" s="767">
        <f t="shared" ca="1" si="11"/>
        <v>18</v>
      </c>
      <c r="V29" s="772">
        <f t="shared" ca="1" si="11"/>
        <v>42</v>
      </c>
      <c r="W29" s="301">
        <f t="shared" ca="1" si="11"/>
        <v>9</v>
      </c>
      <c r="X29" s="301">
        <f t="shared" ca="1" si="11"/>
        <v>10</v>
      </c>
      <c r="Y29" s="301">
        <f t="shared" ca="1" si="11"/>
        <v>23</v>
      </c>
      <c r="Z29" s="301">
        <f t="shared" ca="1" si="11"/>
        <v>36</v>
      </c>
      <c r="AA29" s="301">
        <f t="shared" ca="1" si="11"/>
        <v>59</v>
      </c>
      <c r="AB29" s="301">
        <f t="shared" ca="1" si="11"/>
        <v>-23</v>
      </c>
      <c r="AC29" s="301">
        <f t="shared" ca="1" si="11"/>
        <v>37</v>
      </c>
      <c r="AD29" s="301">
        <f t="shared" ca="1" si="11"/>
        <v>36.77036000066667</v>
      </c>
      <c r="AE29" s="767">
        <f t="shared" ca="1" si="11"/>
        <v>21</v>
      </c>
      <c r="AF29" s="768">
        <f t="shared" ca="1" si="12"/>
        <v>42</v>
      </c>
      <c r="AG29" s="301">
        <f t="shared" ca="1" si="13"/>
        <v>9</v>
      </c>
      <c r="AH29" s="301">
        <f t="shared" ca="1" si="14"/>
        <v>10</v>
      </c>
      <c r="AI29" s="301">
        <f t="shared" ca="1" si="15"/>
        <v>23</v>
      </c>
      <c r="AJ29" s="301">
        <f t="shared" ca="1" si="16"/>
        <v>36</v>
      </c>
      <c r="AK29" s="301">
        <f t="shared" ca="1" si="17"/>
        <v>59</v>
      </c>
      <c r="AL29" s="301">
        <f t="shared" ca="1" si="18"/>
        <v>-23</v>
      </c>
      <c r="AM29" s="766">
        <f t="shared" ca="1" si="19"/>
        <v>37</v>
      </c>
      <c r="AN29" s="230"/>
      <c r="AO29" s="230">
        <f t="shared" ca="1" si="8"/>
        <v>37</v>
      </c>
      <c r="AP29" s="769" t="str">
        <f t="shared" ca="1" si="9"/>
        <v>Relegate!</v>
      </c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 ht="15.75" customHeight="1">
      <c r="A30" s="756">
        <v>22</v>
      </c>
      <c r="B30" s="773" t="str">
        <f t="shared" ref="B30" ca="1" si="21">IF(A30&gt;$C$3,"",VLOOKUP($A30,$A$38:$AE$60,B$6,FALSE))</f>
        <v>ThespaKusatsu Gunma</v>
      </c>
      <c r="C30" s="774" t="str">
        <f t="shared" ref="C30" ca="1" si="22">IF(B30="","",VLOOKUP($A30,$A$38:$AE$60,C$6,FALSE))</f>
        <v>ThespaKusatsu Gunma</v>
      </c>
      <c r="D30" s="772">
        <f t="shared" ca="1" si="20"/>
        <v>21</v>
      </c>
      <c r="E30" s="301">
        <f t="shared" ca="1" si="20"/>
        <v>2</v>
      </c>
      <c r="F30" s="301">
        <f t="shared" ca="1" si="20"/>
        <v>4</v>
      </c>
      <c r="G30" s="301">
        <f t="shared" ca="1" si="20"/>
        <v>15</v>
      </c>
      <c r="H30" s="301">
        <f t="shared" ca="1" si="20"/>
        <v>14</v>
      </c>
      <c r="I30" s="301">
        <f t="shared" ca="1" si="20"/>
        <v>40</v>
      </c>
      <c r="J30" s="301">
        <f t="shared" ca="1" si="20"/>
        <v>-26</v>
      </c>
      <c r="K30" s="301">
        <f t="shared" ca="1" si="20"/>
        <v>10</v>
      </c>
      <c r="L30" s="767">
        <f t="shared" ca="1" si="20"/>
        <v>22</v>
      </c>
      <c r="M30" s="772">
        <f t="shared" ca="1" si="20"/>
        <v>21</v>
      </c>
      <c r="N30" s="301">
        <f t="shared" ca="1" si="20"/>
        <v>3</v>
      </c>
      <c r="O30" s="301">
        <f t="shared" ca="1" si="20"/>
        <v>1</v>
      </c>
      <c r="P30" s="301">
        <f t="shared" ca="1" si="20"/>
        <v>17</v>
      </c>
      <c r="Q30" s="301">
        <f t="shared" ca="1" si="20"/>
        <v>18</v>
      </c>
      <c r="R30" s="301">
        <f t="shared" ca="1" si="11"/>
        <v>48</v>
      </c>
      <c r="S30" s="301">
        <f t="shared" ca="1" si="11"/>
        <v>-30</v>
      </c>
      <c r="T30" s="301">
        <f t="shared" ca="1" si="11"/>
        <v>10</v>
      </c>
      <c r="U30" s="767">
        <f t="shared" ca="1" si="11"/>
        <v>22</v>
      </c>
      <c r="V30" s="772">
        <f t="shared" ca="1" si="11"/>
        <v>42</v>
      </c>
      <c r="W30" s="301">
        <f t="shared" ca="1" si="11"/>
        <v>5</v>
      </c>
      <c r="X30" s="301">
        <f t="shared" ca="1" si="11"/>
        <v>5</v>
      </c>
      <c r="Y30" s="301">
        <f t="shared" ca="1" si="11"/>
        <v>32</v>
      </c>
      <c r="Z30" s="301">
        <f t="shared" ca="1" si="11"/>
        <v>32</v>
      </c>
      <c r="AA30" s="301">
        <f t="shared" ca="1" si="11"/>
        <v>88</v>
      </c>
      <c r="AB30" s="301">
        <f t="shared" ca="1" si="11"/>
        <v>-56</v>
      </c>
      <c r="AC30" s="301">
        <f t="shared" ca="1" si="11"/>
        <v>20</v>
      </c>
      <c r="AD30" s="301">
        <f t="shared" ca="1" si="11"/>
        <v>19.440320000588237</v>
      </c>
      <c r="AE30" s="767">
        <f t="shared" ca="1" si="11"/>
        <v>22</v>
      </c>
      <c r="AF30" s="768">
        <f t="shared" ca="1" si="12"/>
        <v>42</v>
      </c>
      <c r="AG30" s="301">
        <f t="shared" ca="1" si="13"/>
        <v>5</v>
      </c>
      <c r="AH30" s="301">
        <f t="shared" ca="1" si="14"/>
        <v>5</v>
      </c>
      <c r="AI30" s="301">
        <f t="shared" ca="1" si="15"/>
        <v>32</v>
      </c>
      <c r="AJ30" s="301">
        <f t="shared" ca="1" si="16"/>
        <v>32</v>
      </c>
      <c r="AK30" s="301">
        <f t="shared" ca="1" si="17"/>
        <v>88</v>
      </c>
      <c r="AL30" s="301">
        <f t="shared" ca="1" si="18"/>
        <v>-56</v>
      </c>
      <c r="AM30" s="766">
        <f t="shared" ca="1" si="19"/>
        <v>20</v>
      </c>
      <c r="AN30" s="230"/>
      <c r="AO30" s="230">
        <f t="shared" ca="1" si="8"/>
        <v>20</v>
      </c>
      <c r="AP30" s="769" t="str">
        <f t="shared" ca="1" si="9"/>
        <v>Relegate!</v>
      </c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 ht="15.75" customHeight="1">
      <c r="A31" s="756">
        <v>23</v>
      </c>
      <c r="B31" s="775" t="str">
        <f t="shared" si="0"/>
        <v/>
      </c>
      <c r="C31" s="775" t="str">
        <f t="shared" si="1"/>
        <v/>
      </c>
      <c r="D31" s="756" t="str">
        <f t="shared" si="7"/>
        <v/>
      </c>
      <c r="E31" s="353" t="str">
        <f t="shared" si="7"/>
        <v/>
      </c>
      <c r="F31" s="353" t="str">
        <f t="shared" si="7"/>
        <v/>
      </c>
      <c r="G31" s="353" t="str">
        <f t="shared" si="7"/>
        <v/>
      </c>
      <c r="H31" s="301" t="str">
        <f t="shared" si="7"/>
        <v/>
      </c>
      <c r="I31" s="301" t="str">
        <f t="shared" si="7"/>
        <v/>
      </c>
      <c r="J31" s="301" t="str">
        <f t="shared" si="7"/>
        <v/>
      </c>
      <c r="K31" s="301" t="str">
        <f t="shared" si="7"/>
        <v/>
      </c>
      <c r="L31" s="776" t="str">
        <f t="shared" si="7"/>
        <v/>
      </c>
      <c r="M31" s="772" t="str">
        <f t="shared" si="7"/>
        <v/>
      </c>
      <c r="N31" s="301" t="str">
        <f t="shared" si="7"/>
        <v/>
      </c>
      <c r="O31" s="301" t="str">
        <f t="shared" si="7"/>
        <v/>
      </c>
      <c r="P31" s="301" t="str">
        <f t="shared" si="7"/>
        <v/>
      </c>
      <c r="Q31" s="301" t="str">
        <f t="shared" si="7"/>
        <v/>
      </c>
      <c r="R31" s="301" t="str">
        <f t="shared" si="11"/>
        <v/>
      </c>
      <c r="S31" s="301" t="str">
        <f t="shared" si="11"/>
        <v/>
      </c>
      <c r="T31" s="301" t="str">
        <f t="shared" si="11"/>
        <v/>
      </c>
      <c r="U31" s="767" t="str">
        <f t="shared" si="11"/>
        <v/>
      </c>
      <c r="V31" s="772" t="str">
        <f t="shared" si="11"/>
        <v/>
      </c>
      <c r="W31" s="301" t="str">
        <f t="shared" si="11"/>
        <v/>
      </c>
      <c r="X31" s="301" t="str">
        <f t="shared" si="11"/>
        <v/>
      </c>
      <c r="Y31" s="301" t="str">
        <f t="shared" si="11"/>
        <v/>
      </c>
      <c r="Z31" s="301" t="str">
        <f t="shared" si="11"/>
        <v/>
      </c>
      <c r="AA31" s="301" t="str">
        <f t="shared" si="11"/>
        <v/>
      </c>
      <c r="AB31" s="301" t="str">
        <f t="shared" si="11"/>
        <v/>
      </c>
      <c r="AC31" s="301" t="str">
        <f t="shared" si="11"/>
        <v/>
      </c>
      <c r="AD31" s="301" t="str">
        <f t="shared" si="11"/>
        <v/>
      </c>
      <c r="AE31" s="767" t="str">
        <f t="shared" si="11"/>
        <v/>
      </c>
      <c r="AF31" s="318"/>
      <c r="AG31" s="232"/>
      <c r="AH31" s="232"/>
      <c r="AI31" s="232"/>
      <c r="AJ31" s="232"/>
      <c r="AK31" s="232"/>
      <c r="AL31" s="232"/>
      <c r="AM31" s="770"/>
      <c r="AN31" s="230"/>
      <c r="AO31" s="230" t="str">
        <f t="shared" si="8"/>
        <v/>
      </c>
      <c r="AP31" s="769" t="str">
        <f t="shared" ca="1" si="9"/>
        <v/>
      </c>
      <c r="AQ31" s="771" t="s">
        <v>71</v>
      </c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 ht="15.75" customHeight="1" thickBot="1">
      <c r="A32" s="756">
        <v>24</v>
      </c>
      <c r="B32" s="775" t="str">
        <f t="shared" si="0"/>
        <v/>
      </c>
      <c r="C32" s="775" t="str">
        <f t="shared" si="1"/>
        <v/>
      </c>
      <c r="D32" s="772" t="str">
        <f t="shared" si="7"/>
        <v/>
      </c>
      <c r="E32" s="353" t="str">
        <f t="shared" si="7"/>
        <v/>
      </c>
      <c r="F32" s="353" t="str">
        <f t="shared" si="7"/>
        <v/>
      </c>
      <c r="G32" s="353" t="str">
        <f t="shared" si="7"/>
        <v/>
      </c>
      <c r="H32" s="301" t="str">
        <f t="shared" si="7"/>
        <v/>
      </c>
      <c r="I32" s="301" t="str">
        <f t="shared" si="7"/>
        <v/>
      </c>
      <c r="J32" s="301" t="str">
        <f t="shared" si="7"/>
        <v/>
      </c>
      <c r="K32" s="301" t="str">
        <f t="shared" si="7"/>
        <v/>
      </c>
      <c r="L32" s="767" t="str">
        <f t="shared" si="7"/>
        <v/>
      </c>
      <c r="M32" s="772" t="str">
        <f t="shared" si="7"/>
        <v/>
      </c>
      <c r="N32" s="301" t="str">
        <f t="shared" si="7"/>
        <v/>
      </c>
      <c r="O32" s="301" t="str">
        <f t="shared" si="7"/>
        <v/>
      </c>
      <c r="P32" s="301" t="str">
        <f t="shared" si="7"/>
        <v/>
      </c>
      <c r="Q32" s="301" t="str">
        <f t="shared" si="7"/>
        <v/>
      </c>
      <c r="R32" s="301" t="str">
        <f t="shared" si="11"/>
        <v/>
      </c>
      <c r="S32" s="301" t="str">
        <f t="shared" si="11"/>
        <v/>
      </c>
      <c r="T32" s="301" t="str">
        <f t="shared" si="11"/>
        <v/>
      </c>
      <c r="U32" s="767" t="str">
        <f t="shared" si="11"/>
        <v/>
      </c>
      <c r="V32" s="772" t="str">
        <f t="shared" si="11"/>
        <v/>
      </c>
      <c r="W32" s="301" t="str">
        <f t="shared" si="11"/>
        <v/>
      </c>
      <c r="X32" s="301" t="str">
        <f t="shared" si="11"/>
        <v/>
      </c>
      <c r="Y32" s="301" t="str">
        <f t="shared" si="11"/>
        <v/>
      </c>
      <c r="Z32" s="301" t="str">
        <f t="shared" si="11"/>
        <v/>
      </c>
      <c r="AA32" s="301" t="str">
        <f t="shared" si="11"/>
        <v/>
      </c>
      <c r="AB32" s="301" t="str">
        <f t="shared" si="11"/>
        <v/>
      </c>
      <c r="AC32" s="301" t="str">
        <f t="shared" si="11"/>
        <v/>
      </c>
      <c r="AD32" s="301" t="str">
        <f t="shared" si="11"/>
        <v/>
      </c>
      <c r="AE32" s="767" t="str">
        <f t="shared" si="11"/>
        <v/>
      </c>
      <c r="AF32" s="318"/>
      <c r="AG32" s="232"/>
      <c r="AH32" s="232"/>
      <c r="AI32" s="232"/>
      <c r="AJ32" s="232"/>
      <c r="AK32" s="232"/>
      <c r="AL32" s="232"/>
      <c r="AM32" s="770"/>
      <c r="AN32" s="230"/>
      <c r="AO32" s="230" t="str">
        <f t="shared" si="8"/>
        <v/>
      </c>
      <c r="AP32" s="769" t="str">
        <f t="shared" ca="1" si="9"/>
        <v/>
      </c>
      <c r="AQ32" s="771" t="s">
        <v>71</v>
      </c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1:59" ht="15.75" customHeight="1" thickBot="1">
      <c r="B33" s="777" t="s">
        <v>55</v>
      </c>
      <c r="C33" s="778"/>
      <c r="D33" s="779">
        <f ca="1">SUM(D9:D30)</f>
        <v>464</v>
      </c>
      <c r="E33" s="780">
        <f ca="1">SUM(E9:E30)</f>
        <v>189</v>
      </c>
      <c r="F33" s="780">
        <f t="shared" ref="F33:AD33" ca="1" si="23">SUM(F9:F30)</f>
        <v>123</v>
      </c>
      <c r="G33" s="780">
        <f t="shared" ca="1" si="23"/>
        <v>152</v>
      </c>
      <c r="H33" s="780">
        <f t="shared" ca="1" si="23"/>
        <v>643</v>
      </c>
      <c r="I33" s="780">
        <f t="shared" ca="1" si="23"/>
        <v>561</v>
      </c>
      <c r="J33" s="780">
        <f t="shared" ca="1" si="23"/>
        <v>82</v>
      </c>
      <c r="K33" s="780">
        <f t="shared" ca="1" si="23"/>
        <v>690</v>
      </c>
      <c r="L33" s="781"/>
      <c r="M33" s="779">
        <f t="shared" ca="1" si="23"/>
        <v>464</v>
      </c>
      <c r="N33" s="780">
        <f t="shared" ca="1" si="23"/>
        <v>152</v>
      </c>
      <c r="O33" s="780">
        <f ca="1">SUM(O9:O30)</f>
        <v>123</v>
      </c>
      <c r="P33" s="780">
        <f t="shared" ca="1" si="23"/>
        <v>189</v>
      </c>
      <c r="Q33" s="780">
        <f t="shared" ca="1" si="23"/>
        <v>561</v>
      </c>
      <c r="R33" s="780">
        <f t="shared" ca="1" si="23"/>
        <v>643</v>
      </c>
      <c r="S33" s="780">
        <f t="shared" ca="1" si="23"/>
        <v>-82</v>
      </c>
      <c r="T33" s="780">
        <f t="shared" ca="1" si="23"/>
        <v>579</v>
      </c>
      <c r="U33" s="781"/>
      <c r="V33" s="540">
        <f t="shared" ca="1" si="23"/>
        <v>928</v>
      </c>
      <c r="W33" s="780">
        <f t="array" aca="1" ref="W33" ca="1">SUM(W9:W30)</f>
        <v>342</v>
      </c>
      <c r="X33" s="782">
        <f t="shared" ca="1" si="23"/>
        <v>246</v>
      </c>
      <c r="Y33" s="782">
        <f t="shared" ca="1" si="23"/>
        <v>342</v>
      </c>
      <c r="Z33" s="782">
        <f t="shared" ca="1" si="23"/>
        <v>1205</v>
      </c>
      <c r="AA33" s="782">
        <f t="shared" ca="1" si="23"/>
        <v>1205</v>
      </c>
      <c r="AB33" s="782">
        <f t="shared" ca="1" si="23"/>
        <v>0</v>
      </c>
      <c r="AC33" s="783">
        <f t="shared" ca="1" si="23"/>
        <v>1272</v>
      </c>
      <c r="AD33" s="784">
        <f t="shared" ca="1" si="23"/>
        <v>1269.012050036908</v>
      </c>
      <c r="AE33" s="472"/>
      <c r="AF33" s="785">
        <f t="shared" ref="AF33:AM33" ca="1" si="24">SUM(AF9:AF30)</f>
        <v>928</v>
      </c>
      <c r="AG33" s="782">
        <f t="shared" ca="1" si="24"/>
        <v>341</v>
      </c>
      <c r="AH33" s="782">
        <f t="shared" ca="1" si="24"/>
        <v>246</v>
      </c>
      <c r="AI33" s="782">
        <f t="shared" ca="1" si="24"/>
        <v>341</v>
      </c>
      <c r="AJ33" s="782">
        <f t="shared" ca="1" si="24"/>
        <v>1204</v>
      </c>
      <c r="AK33" s="782">
        <f t="shared" ca="1" si="24"/>
        <v>1204</v>
      </c>
      <c r="AL33" s="782">
        <f t="shared" ca="1" si="24"/>
        <v>0</v>
      </c>
      <c r="AM33" s="782">
        <f t="shared" ca="1" si="24"/>
        <v>1269</v>
      </c>
      <c r="AN33" s="230"/>
      <c r="AO33" s="230"/>
      <c r="AP33" s="786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:59" ht="13.5">
      <c r="X34" s="230"/>
      <c r="Y34" s="230"/>
      <c r="Z34" s="230"/>
      <c r="AA34" s="230"/>
      <c r="AB34" s="230"/>
      <c r="AC34" s="787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786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1:59" thickBot="1">
      <c r="B35" s="727" t="s">
        <v>72</v>
      </c>
      <c r="D35" s="334">
        <v>4</v>
      </c>
      <c r="E35" s="334">
        <v>5</v>
      </c>
      <c r="F35" s="334">
        <v>6</v>
      </c>
      <c r="G35" s="334">
        <v>7</v>
      </c>
      <c r="H35" s="334">
        <v>8</v>
      </c>
      <c r="I35" s="334">
        <v>9</v>
      </c>
      <c r="J35" s="334">
        <v>10</v>
      </c>
      <c r="K35" s="334">
        <v>11</v>
      </c>
      <c r="L35" s="334">
        <v>12</v>
      </c>
      <c r="M35" s="334">
        <v>13</v>
      </c>
      <c r="N35" s="334">
        <v>14</v>
      </c>
      <c r="O35" s="334">
        <v>15</v>
      </c>
      <c r="P35" s="334">
        <v>16</v>
      </c>
      <c r="Q35" s="334">
        <v>17</v>
      </c>
      <c r="R35" s="334">
        <v>18</v>
      </c>
      <c r="S35" s="334">
        <v>19</v>
      </c>
      <c r="T35" s="334">
        <v>20</v>
      </c>
      <c r="U35" s="334">
        <v>21</v>
      </c>
      <c r="V35" s="334">
        <v>22</v>
      </c>
      <c r="W35" s="334">
        <v>23</v>
      </c>
      <c r="X35" s="230">
        <v>24</v>
      </c>
      <c r="Y35" s="230">
        <v>25</v>
      </c>
      <c r="Z35" s="230">
        <v>26</v>
      </c>
      <c r="AA35" s="230">
        <v>27</v>
      </c>
      <c r="AB35" s="230">
        <v>28</v>
      </c>
      <c r="AC35" s="787">
        <v>29</v>
      </c>
      <c r="AD35" s="230">
        <v>30</v>
      </c>
      <c r="AE35" s="230">
        <v>31</v>
      </c>
      <c r="AF35" s="230">
        <v>32</v>
      </c>
      <c r="AG35" s="230">
        <v>33</v>
      </c>
      <c r="AH35" s="230">
        <v>34</v>
      </c>
      <c r="AI35" s="230">
        <v>35</v>
      </c>
      <c r="AJ35" s="230">
        <v>36</v>
      </c>
      <c r="AK35" s="230">
        <v>37</v>
      </c>
      <c r="AL35" s="230">
        <v>38</v>
      </c>
      <c r="AM35" s="230">
        <v>39</v>
      </c>
      <c r="AN35" s="230">
        <v>40</v>
      </c>
      <c r="AO35" s="230">
        <v>41</v>
      </c>
      <c r="AP35" s="786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:59">
      <c r="A36" s="463"/>
      <c r="B36" s="729" t="s">
        <v>52</v>
      </c>
      <c r="C36" s="372"/>
      <c r="D36" s="368" t="s">
        <v>53</v>
      </c>
      <c r="E36" s="669"/>
      <c r="F36" s="669"/>
      <c r="G36" s="669"/>
      <c r="H36" s="669"/>
      <c r="I36" s="669"/>
      <c r="J36" s="669"/>
      <c r="K36" s="669"/>
      <c r="L36" s="365"/>
      <c r="M36" s="668" t="s">
        <v>54</v>
      </c>
      <c r="N36" s="669"/>
      <c r="O36" s="669"/>
      <c r="P36" s="669"/>
      <c r="Q36" s="669"/>
      <c r="R36" s="669"/>
      <c r="S36" s="669"/>
      <c r="T36" s="669"/>
      <c r="U36" s="670"/>
      <c r="V36" s="368" t="s">
        <v>55</v>
      </c>
      <c r="W36" s="669"/>
      <c r="X36" s="788"/>
      <c r="Y36" s="788"/>
      <c r="Z36" s="788"/>
      <c r="AA36" s="788"/>
      <c r="AB36" s="788"/>
      <c r="AC36" s="788"/>
      <c r="AD36" s="789"/>
      <c r="AE36" s="790"/>
      <c r="AF36" s="230" t="s">
        <v>56</v>
      </c>
      <c r="AG36" s="230"/>
      <c r="AH36" s="230"/>
      <c r="AI36" s="230"/>
      <c r="AJ36" s="230"/>
      <c r="AK36" s="230"/>
      <c r="AL36" s="230"/>
      <c r="AM36" s="230"/>
      <c r="AN36" s="230"/>
      <c r="AO36" s="791" t="s">
        <v>73</v>
      </c>
      <c r="AP36" s="786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:59" ht="15" thickBot="1">
      <c r="A37" s="792" t="s">
        <v>59</v>
      </c>
      <c r="B37" s="732" t="s">
        <v>60</v>
      </c>
      <c r="C37" s="733" t="s">
        <v>61</v>
      </c>
      <c r="D37" s="734" t="s">
        <v>62</v>
      </c>
      <c r="E37" s="735" t="s">
        <v>63</v>
      </c>
      <c r="F37" s="735" t="s">
        <v>64</v>
      </c>
      <c r="G37" s="735" t="s">
        <v>65</v>
      </c>
      <c r="H37" s="736" t="s">
        <v>66</v>
      </c>
      <c r="I37" s="736" t="s">
        <v>54</v>
      </c>
      <c r="J37" s="736" t="s">
        <v>67</v>
      </c>
      <c r="K37" s="736" t="s">
        <v>68</v>
      </c>
      <c r="L37" s="737" t="s">
        <v>27</v>
      </c>
      <c r="M37" s="734" t="s">
        <v>62</v>
      </c>
      <c r="N37" s="735" t="s">
        <v>63</v>
      </c>
      <c r="O37" s="735" t="s">
        <v>64</v>
      </c>
      <c r="P37" s="735" t="s">
        <v>65</v>
      </c>
      <c r="Q37" s="736" t="s">
        <v>66</v>
      </c>
      <c r="R37" s="736" t="s">
        <v>54</v>
      </c>
      <c r="S37" s="736" t="s">
        <v>67</v>
      </c>
      <c r="T37" s="736" t="s">
        <v>68</v>
      </c>
      <c r="U37" s="293" t="s">
        <v>27</v>
      </c>
      <c r="V37" s="734" t="s">
        <v>62</v>
      </c>
      <c r="W37" s="735" t="s">
        <v>63</v>
      </c>
      <c r="X37" s="793" t="s">
        <v>64</v>
      </c>
      <c r="Y37" s="793" t="s">
        <v>65</v>
      </c>
      <c r="Z37" s="239" t="s">
        <v>66</v>
      </c>
      <c r="AA37" s="239" t="s">
        <v>54</v>
      </c>
      <c r="AB37" s="239" t="s">
        <v>67</v>
      </c>
      <c r="AC37" s="794" t="s">
        <v>68</v>
      </c>
      <c r="AD37" s="795" t="s">
        <v>74</v>
      </c>
      <c r="AE37" s="240" t="s">
        <v>27</v>
      </c>
      <c r="AF37" s="238" t="s">
        <v>62</v>
      </c>
      <c r="AG37" s="793" t="s">
        <v>63</v>
      </c>
      <c r="AH37" s="793" t="s">
        <v>64</v>
      </c>
      <c r="AI37" s="793" t="s">
        <v>65</v>
      </c>
      <c r="AJ37" s="221" t="s">
        <v>66</v>
      </c>
      <c r="AK37" s="221" t="s">
        <v>54</v>
      </c>
      <c r="AL37" s="221" t="s">
        <v>67</v>
      </c>
      <c r="AM37" s="239" t="s">
        <v>68</v>
      </c>
      <c r="AN37" s="230"/>
      <c r="AO37" s="796" t="s">
        <v>75</v>
      </c>
      <c r="AP37" s="786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:59" thickBot="1">
      <c r="A38" s="763">
        <f ca="1">IF(C38="","",RANK(AD38,AD$38:AD$59,0))</f>
        <v>4</v>
      </c>
      <c r="B38" s="797" t="str">
        <f ca="1">INDIRECT("'"&amp;C38&amp;"'!G20")</f>
        <v>Avispa Fukuoka</v>
      </c>
      <c r="C38" s="798" t="s">
        <v>1084</v>
      </c>
      <c r="D38" s="743">
        <f ca="1">IF(C38="","",SUM(E38:G38))</f>
        <v>21</v>
      </c>
      <c r="E38" s="745">
        <f t="array" aca="1" ref="E38" ca="1">IF($C38="","",SUM(IF((INDIRECT("'"&amp;$C38&amp;"'!I23:I200")=$C$1)*(INDIRECT("'"&amp;$C38&amp;"'!L23:L200")=E$37)*(INDIRECT("'"&amp;$C38&amp;"'!H23:H200")=$D$36),1,0)))</f>
        <v>10</v>
      </c>
      <c r="F38" s="745">
        <f t="array" aca="1" ref="F38" ca="1">IF($C38="","",SUM(IF((INDIRECT("'"&amp;$C38&amp;"'!I23:I200")=$C$1)*(INDIRECT("'"&amp;$C38&amp;"'!L23:L200")=F$37)*(INDIRECT("'"&amp;$C38&amp;"'!H23:H200")=$D$36),1,0)))</f>
        <v>3</v>
      </c>
      <c r="G38" s="745">
        <f t="array" aca="1" ref="G38" ca="1">IF($C38="","",SUM(IF((INDIRECT("'"&amp;$C38&amp;"'!I23:I200")=$C$1)*(INDIRECT("'"&amp;$C38&amp;"'!L23:L200")=G$37)*(INDIRECT("'"&amp;$C38&amp;"'!H23:H200")=$D$36),1,0)))</f>
        <v>8</v>
      </c>
      <c r="H38" s="745">
        <f t="array" aca="1" ref="H38" ca="1">IF($C38="","",SUM(IF((INDIRECT("'"&amp;$C38&amp;"'!I23:I200")=$C$1)*(INDIRECT("'"&amp;$C38&amp;"'!H23:H200")=$D$36),INDIRECT("'"&amp;$C38&amp;"'!J23:J200"),0)))</f>
        <v>23</v>
      </c>
      <c r="I38" s="745">
        <f t="array" aca="1" ref="I38" ca="1">IF($C38="","",SUM(IF((INDIRECT("'"&amp;$C38&amp;"'!I23:I200")=$C$1)*(INDIRECT("'"&amp;$C38&amp;"'!H23:H200")=$D$36),INDIRECT("'"&amp;$C38&amp;"'!K23:K200"),0)))</f>
        <v>21</v>
      </c>
      <c r="J38" s="745">
        <f ca="1">IF($C38="","",H38-I38)</f>
        <v>2</v>
      </c>
      <c r="K38" s="745">
        <f ca="1">IF(C38="","",E38*3+F38)</f>
        <v>33</v>
      </c>
      <c r="L38" s="503">
        <f t="shared" ref="L38" ca="1" si="25">IF(C38="","",RANK(K38,K$38:K$59,0))</f>
        <v>11</v>
      </c>
      <c r="M38" s="748">
        <f t="shared" ref="M38" ca="1" si="26">IF(C38="","",SUM(N38:P38))</f>
        <v>22</v>
      </c>
      <c r="N38" s="745">
        <f t="array" aca="1" ref="N38" ca="1">IF($C38="","",SUM(IF((INDIRECT("'"&amp;$C38&amp;"'!I23:I200")=$C$1)*(INDIRECT("'"&amp;$C38&amp;"'!L23:L200")=N$37)*(INDIRECT("'"&amp;$C38&amp;"'!H23:H200")=$M$36),1,0)))</f>
        <v>11</v>
      </c>
      <c r="O38" s="745">
        <f t="array" aca="1" ref="O38" ca="1">IF($C38="","",SUM(IF((INDIRECT("'"&amp;$C38&amp;"'!I23:I200")=$C$1)*(INDIRECT("'"&amp;$C38&amp;"'!L23:L200")=O$37)*(INDIRECT("'"&amp;$C38&amp;"'!H23:H200")=$M$36),1,0)))</f>
        <v>9</v>
      </c>
      <c r="P38" s="745">
        <f t="array" aca="1" ref="P38" ca="1">IF($C38="","",SUM(IF((INDIRECT("'"&amp;$C38&amp;"'!I23:I200")=$C$1)*(INDIRECT("'"&amp;$C38&amp;"'!L23:L200")=P$37)*(INDIRECT("'"&amp;$C38&amp;"'!H23:H200")=$M$36),1,0)))</f>
        <v>2</v>
      </c>
      <c r="Q38" s="745">
        <f t="array" aca="1" ref="Q38" ca="1">IF($C38="","",SUM(IF((INDIRECT("'"&amp;$C38&amp;"'!I23:I200")=$C$1)*(INDIRECT("'"&amp;$C38&amp;"'!H23:H200")=$M$36),INDIRECT("'"&amp;$C38&amp;"'!J23:J200"),0)))</f>
        <v>31</v>
      </c>
      <c r="R38" s="745">
        <f t="array" aca="1" ref="R38" ca="1">IF($C38="","",SUM(IF((INDIRECT("'"&amp;$C38&amp;"'!I23:I200")=$C$1)*(INDIRECT("'"&amp;$C38&amp;"'!H23:H200")=$M$36),INDIRECT("'"&amp;$C38&amp;"'!K23:K200"),0)))</f>
        <v>15</v>
      </c>
      <c r="S38" s="745">
        <f t="shared" ref="S38" ca="1" si="27">IF($C38="","",Q38-R38)</f>
        <v>16</v>
      </c>
      <c r="T38" s="745">
        <f ca="1">IF(L38="","",N38*3+O38)</f>
        <v>42</v>
      </c>
      <c r="U38" s="503">
        <f ca="1">IF(L38="","",RANK(T38,T$38:T$59,0))</f>
        <v>1</v>
      </c>
      <c r="V38" s="743">
        <f t="shared" ref="V38" ca="1" si="28">IF($C38="","",M38+D38)</f>
        <v>43</v>
      </c>
      <c r="W38" s="745">
        <f t="array" aca="1" ref="W38" ca="1">IF($C38="","",SUM(IF((INDIRECT("'"&amp;$C38&amp;"'!I23:I200")=$C$1)*(INDIRECT("'"&amp;$C38&amp;"'!L23:L200")=W$37),1,0)))</f>
        <v>22</v>
      </c>
      <c r="X38" s="799">
        <f t="array" aca="1" ref="X38" ca="1">IF($C38="","",SUM(IF((INDIRECT("'"&amp;$C38&amp;"'!I23:I200")=$C$1)*(INDIRECT("'"&amp;$C38&amp;"'!L23:L200")=X$37),1,0)))</f>
        <v>12</v>
      </c>
      <c r="Y38" s="799">
        <f t="array" aca="1" ref="Y38" ca="1">IF($C38="","",SUM(IF((INDIRECT("'"&amp;$C38&amp;"'!I23:I200")=$C$1)*(INDIRECT("'"&amp;$C38&amp;"'!L23:L200")=Y$37),1,0)))</f>
        <v>10</v>
      </c>
      <c r="Z38" s="799">
        <f t="array" aca="1" ref="Z38" ca="1">IF($C38="","",SUMIF(INDIRECT("'"&amp;$C38&amp;"'!I:I"),$C$1,INDIRECT("'"&amp;$C38&amp;"'!J:J")))</f>
        <v>55</v>
      </c>
      <c r="AA38" s="799">
        <f t="array" aca="1" ref="AA38" ca="1">IF($C38="","",SUMIF(INDIRECT("'"&amp;$C38&amp;"'!I:I"),$C$1,INDIRECT("'"&amp;$C38&amp;"'!K:K")))</f>
        <v>36</v>
      </c>
      <c r="AB38" s="799">
        <f t="shared" ref="AB38" ca="1" si="29">IF($C38="","",Z38-AA38)</f>
        <v>19</v>
      </c>
      <c r="AC38" s="788">
        <f t="shared" ref="AC38" ca="1" si="30">IF(C38="","",W38*3+X38)</f>
        <v>78</v>
      </c>
      <c r="AD38" s="799">
        <f t="shared" ref="AD38" ca="1" si="31">IF(B38="","",AM38+AB38/100+Z38/100000+1/(100000000*A9))</f>
        <v>75.190550009999995</v>
      </c>
      <c r="AE38" s="800">
        <f ca="1">IF(C38="","",RANK(AD38,AD$38:AD$59,0))</f>
        <v>4</v>
      </c>
      <c r="AF38" s="801">
        <f t="shared" ref="AF38:AF53" ca="1" si="32">SUM(AG38:AI38)</f>
        <v>43</v>
      </c>
      <c r="AG38" s="799">
        <f t="shared" ref="AG38:AI60" ca="1" si="33">N38+E38</f>
        <v>21</v>
      </c>
      <c r="AH38" s="799">
        <f t="shared" ca="1" si="33"/>
        <v>12</v>
      </c>
      <c r="AI38" s="799">
        <f t="shared" ca="1" si="33"/>
        <v>10</v>
      </c>
      <c r="AJ38" s="236">
        <f t="shared" ref="AJ38:AL60" ca="1" si="34">H38+Q38</f>
        <v>54</v>
      </c>
      <c r="AK38" s="236">
        <f t="shared" ca="1" si="34"/>
        <v>36</v>
      </c>
      <c r="AL38" s="236">
        <f t="shared" ca="1" si="34"/>
        <v>18</v>
      </c>
      <c r="AM38" s="799">
        <f t="shared" ref="AM38:AM60" ca="1" si="35">T38+K38</f>
        <v>75</v>
      </c>
      <c r="AN38" s="230"/>
      <c r="AO38" s="802"/>
      <c r="AP38" s="786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1:59" thickBot="1">
      <c r="A39" s="763">
        <f t="shared" ref="A39:A59" ca="1" si="36">IF(C39="","",RANK(AD39,AD$38:AD$59,0))</f>
        <v>9</v>
      </c>
      <c r="B39" s="797" t="str">
        <f t="shared" ref="B39:B59" ca="1" si="37">INDIRECT("'"&amp;C39&amp;"'!G20")</f>
        <v>Oita Trinita</v>
      </c>
      <c r="C39" s="798" t="s">
        <v>1083</v>
      </c>
      <c r="D39" s="743">
        <f t="shared" ref="D39:D59" ca="1" si="38">IF(C39="","",SUM(E39:G39))</f>
        <v>21</v>
      </c>
      <c r="E39" s="745">
        <f t="array" aca="1" ref="E39" ca="1">IF($C39="","",SUM(IF((INDIRECT("'"&amp;$C39&amp;"'!I23:I200")=$C$1)*(INDIRECT("'"&amp;$C39&amp;"'!L23:L200")=E$37)*(INDIRECT("'"&amp;$C39&amp;"'!H23:H200")=$D$36),1,0)))</f>
        <v>6</v>
      </c>
      <c r="F39" s="745">
        <f t="array" aca="1" ref="F39" ca="1">IF($C39="","",SUM(IF((INDIRECT("'"&amp;$C39&amp;"'!I23:I200")=$C$1)*(INDIRECT("'"&amp;$C39&amp;"'!L23:L200")=F$37)*(INDIRECT("'"&amp;$C39&amp;"'!H23:H200")=$D$36),1,0)))</f>
        <v>9</v>
      </c>
      <c r="G39" s="745">
        <f t="array" aca="1" ref="G39" ca="1">IF($C39="","",SUM(IF((INDIRECT("'"&amp;$C39&amp;"'!I23:I200")=$C$1)*(INDIRECT("'"&amp;$C39&amp;"'!L23:L200")=G$37)*(INDIRECT("'"&amp;$C39&amp;"'!H23:H200")=$D$36),1,0)))</f>
        <v>6</v>
      </c>
      <c r="H39" s="745">
        <f t="array" aca="1" ref="H39" ca="1">IF($C39="","",SUM(IF((INDIRECT("'"&amp;$C39&amp;"'!I23:I200")=$C$1)*(INDIRECT("'"&amp;$C39&amp;"'!H23:H200")=$D$36),INDIRECT("'"&amp;$C39&amp;"'!J23:J200"),0)))</f>
        <v>25</v>
      </c>
      <c r="I39" s="745">
        <f t="array" aca="1" ref="I39" ca="1">IF($C39="","",SUM(IF((INDIRECT("'"&amp;$C39&amp;"'!I23:I200")=$C$1)*(INDIRECT("'"&amp;$C39&amp;"'!H23:H200")=$D$36),INDIRECT("'"&amp;$C39&amp;"'!K23:K200"),0)))</f>
        <v>25</v>
      </c>
      <c r="J39" s="745">
        <f t="shared" ref="J39:J59" ca="1" si="39">IF($C39="","",H39-I39)</f>
        <v>0</v>
      </c>
      <c r="K39" s="745">
        <f t="shared" ref="K39:K59" ca="1" si="40">IF(C39="","",E39*3+F39)</f>
        <v>27</v>
      </c>
      <c r="L39" s="503">
        <f t="shared" ref="L39:L59" ca="1" si="41">IF(C39="","",RANK(K39,K$38:K$59,0))</f>
        <v>16</v>
      </c>
      <c r="M39" s="748">
        <f t="shared" ref="M39:M59" ca="1" si="42">IF(C39="","",SUM(N39:P39))</f>
        <v>21</v>
      </c>
      <c r="N39" s="745">
        <f t="array" aca="1" ref="N39" ca="1">IF($C39="","",SUM(IF((INDIRECT("'"&amp;$C39&amp;"'!I23:I200")=$C$1)*(INDIRECT("'"&amp;$C39&amp;"'!L23:L200")=N$37)*(INDIRECT("'"&amp;$C39&amp;"'!H23:H200")=$M$36),1,0)))</f>
        <v>11</v>
      </c>
      <c r="O39" s="745">
        <f t="array" aca="1" ref="O39" ca="1">IF($C39="","",SUM(IF((INDIRECT("'"&amp;$C39&amp;"'!I23:I200")=$C$1)*(INDIRECT("'"&amp;$C39&amp;"'!L23:L200")=O$37)*(INDIRECT("'"&amp;$C39&amp;"'!H23:H200")=$M$36),1,0)))</f>
        <v>4</v>
      </c>
      <c r="P39" s="745">
        <f t="array" aca="1" ref="P39" ca="1">IF($C39="","",SUM(IF((INDIRECT("'"&amp;$C39&amp;"'!I23:I200")=$C$1)*(INDIRECT("'"&amp;$C39&amp;"'!L23:L200")=P$37)*(INDIRECT("'"&amp;$C39&amp;"'!H23:H200")=$M$36),1,0)))</f>
        <v>6</v>
      </c>
      <c r="Q39" s="745">
        <f t="array" aca="1" ref="Q39" ca="1">IF($C39="","",SUM(IF((INDIRECT("'"&amp;$C39&amp;"'!I23:I200")=$C$1)*(INDIRECT("'"&amp;$C39&amp;"'!H23:H200")=$M$36),INDIRECT("'"&amp;$C39&amp;"'!J23:J200"),0)))</f>
        <v>33</v>
      </c>
      <c r="R39" s="745">
        <f t="array" aca="1" ref="R39" ca="1">IF($C39="","",SUM(IF((INDIRECT("'"&amp;$C39&amp;"'!I23:I200")=$C$1)*(INDIRECT("'"&amp;$C39&amp;"'!H23:H200")=$M$36),INDIRECT("'"&amp;$C39&amp;"'!K23:K200"),0)))</f>
        <v>25</v>
      </c>
      <c r="S39" s="745">
        <f t="shared" ref="S39:S59" ca="1" si="43">IF($C39="","",Q39-R39)</f>
        <v>8</v>
      </c>
      <c r="T39" s="745">
        <f t="shared" ref="T39:T59" ca="1" si="44">IF(L39="","",N39*3+O39)</f>
        <v>37</v>
      </c>
      <c r="U39" s="503">
        <f t="shared" ref="U39:U59" ca="1" si="45">IF(L39="","",RANK(T39,T$38:T$59,0))</f>
        <v>3</v>
      </c>
      <c r="V39" s="743">
        <f t="shared" ref="V39:V59" ca="1" si="46">IF($C39="","",M39+D39)</f>
        <v>42</v>
      </c>
      <c r="W39" s="745">
        <f t="array" aca="1" ref="W39" ca="1">IF($C39="","",SUM(IF((INDIRECT("'"&amp;$C39&amp;"'!I23:I200")=$C$1)*(INDIRECT("'"&amp;$C39&amp;"'!L23:L200")=W$37),1,0)))</f>
        <v>17</v>
      </c>
      <c r="X39" s="799">
        <f t="array" aca="1" ref="X39" ca="1">IF($C39="","",SUM(IF((INDIRECT("'"&amp;$C39&amp;"'!I23:I200")=$C$1)*(INDIRECT("'"&amp;$C39&amp;"'!L23:L200")=X$37),1,0)))</f>
        <v>13</v>
      </c>
      <c r="Y39" s="799">
        <f t="array" aca="1" ref="Y39" ca="1">IF($C39="","",SUM(IF((INDIRECT("'"&amp;$C39&amp;"'!I23:I200")=$C$1)*(INDIRECT("'"&amp;$C39&amp;"'!L23:L200")=Y$37),1,0)))</f>
        <v>12</v>
      </c>
      <c r="Z39" s="799">
        <f t="array" aca="1" ref="Z39" ca="1">IF($C39="","",SUMIF(INDIRECT("'"&amp;$C39&amp;"'!I:I"),$C$1,INDIRECT("'"&amp;$C39&amp;"'!J:J")))</f>
        <v>58</v>
      </c>
      <c r="AA39" s="799">
        <f t="array" aca="1" ref="AA39" ca="1">IF($C39="","",SUMIF(INDIRECT("'"&amp;$C39&amp;"'!I:I"),$C$1,INDIRECT("'"&amp;$C39&amp;"'!K:K")))</f>
        <v>50</v>
      </c>
      <c r="AB39" s="799">
        <f t="shared" ref="AB39:AB59" ca="1" si="47">IF($C39="","",Z39-AA39)</f>
        <v>8</v>
      </c>
      <c r="AC39" s="788">
        <f t="shared" ref="AC39:AC59" ca="1" si="48">IF(C39="","",W39*3+X39)</f>
        <v>64</v>
      </c>
      <c r="AD39" s="799">
        <f t="shared" ref="AD39:AD59" ca="1" si="49">IF(B39="","",AM39+AB39/100+Z39/100000+1/(100000000*A10))</f>
        <v>64.080580005000002</v>
      </c>
      <c r="AE39" s="800">
        <f t="shared" ref="AE39:AE59" ca="1" si="50">IF(C39="","",RANK(AD39,AD$38:AD$59,0))</f>
        <v>9</v>
      </c>
      <c r="AF39" s="318">
        <f t="shared" ca="1" si="32"/>
        <v>42</v>
      </c>
      <c r="AG39" s="232">
        <f t="shared" ca="1" si="33"/>
        <v>17</v>
      </c>
      <c r="AH39" s="232">
        <f t="shared" ca="1" si="33"/>
        <v>13</v>
      </c>
      <c r="AI39" s="232">
        <f t="shared" ca="1" si="33"/>
        <v>12</v>
      </c>
      <c r="AJ39" s="232">
        <f t="shared" ca="1" si="34"/>
        <v>58</v>
      </c>
      <c r="AK39" s="232">
        <f t="shared" ca="1" si="34"/>
        <v>50</v>
      </c>
      <c r="AL39" s="232">
        <f t="shared" ca="1" si="34"/>
        <v>8</v>
      </c>
      <c r="AM39" s="232">
        <f t="shared" ca="1" si="35"/>
        <v>64</v>
      </c>
      <c r="AN39" s="230"/>
      <c r="AO39" s="802"/>
      <c r="AP39" s="786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1:59" thickBot="1">
      <c r="A40" s="763">
        <f t="shared" ca="1" si="36"/>
        <v>15</v>
      </c>
      <c r="B40" s="797" t="str">
        <f t="shared" ca="1" si="37"/>
        <v>Ehime</v>
      </c>
      <c r="C40" s="798" t="s">
        <v>881</v>
      </c>
      <c r="D40" s="743">
        <f t="shared" ca="1" si="38"/>
        <v>21</v>
      </c>
      <c r="E40" s="745">
        <f t="array" aca="1" ref="E40" ca="1">IF($C40="","",SUM(IF((INDIRECT("'"&amp;$C40&amp;"'!I23:I200")=$C$1)*(INDIRECT("'"&amp;$C40&amp;"'!L23:L200")=E$37)*(INDIRECT("'"&amp;$C40&amp;"'!H23:H200")=$D$36),1,0)))</f>
        <v>10</v>
      </c>
      <c r="F40" s="745">
        <f t="array" aca="1" ref="F40" ca="1">IF($C40="","",SUM(IF((INDIRECT("'"&amp;$C40&amp;"'!I23:I200")=$C$1)*(INDIRECT("'"&amp;$C40&amp;"'!L23:L200")=F$37)*(INDIRECT("'"&amp;$C40&amp;"'!H23:H200")=$D$36),1,0)))</f>
        <v>4</v>
      </c>
      <c r="G40" s="745">
        <f t="array" aca="1" ref="G40" ca="1">IF($C40="","",SUM(IF((INDIRECT("'"&amp;$C40&amp;"'!I23:I200")=$C$1)*(INDIRECT("'"&amp;$C40&amp;"'!L23:L200")=G$37)*(INDIRECT("'"&amp;$C40&amp;"'!H23:H200")=$D$36),1,0)))</f>
        <v>7</v>
      </c>
      <c r="H40" s="745">
        <f t="array" aca="1" ref="H40" ca="1">IF($C40="","",SUM(IF((INDIRECT("'"&amp;$C40&amp;"'!I23:I200")=$C$1)*(INDIRECT("'"&amp;$C40&amp;"'!H23:H200")=$D$36),INDIRECT("'"&amp;$C40&amp;"'!J23:J200"),0)))</f>
        <v>25</v>
      </c>
      <c r="I40" s="745">
        <f t="array" aca="1" ref="I40" ca="1">IF($C40="","",SUM(IF((INDIRECT("'"&amp;$C40&amp;"'!I23:I200")=$C$1)*(INDIRECT("'"&amp;$C40&amp;"'!H23:H200")=$D$36),INDIRECT("'"&amp;$C40&amp;"'!K23:K200"),0)))</f>
        <v>22</v>
      </c>
      <c r="J40" s="745">
        <f t="shared" ca="1" si="39"/>
        <v>3</v>
      </c>
      <c r="K40" s="745">
        <f t="shared" ca="1" si="40"/>
        <v>34</v>
      </c>
      <c r="L40" s="503">
        <f t="shared" ca="1" si="41"/>
        <v>10</v>
      </c>
      <c r="M40" s="748">
        <f t="shared" ca="1" si="42"/>
        <v>21</v>
      </c>
      <c r="N40" s="745">
        <f t="array" aca="1" ref="N40" ca="1">IF($C40="","",SUM(IF((INDIRECT("'"&amp;$C40&amp;"'!I23:I200")=$C$1)*(INDIRECT("'"&amp;$C40&amp;"'!L23:L200")=N$37)*(INDIRECT("'"&amp;$C40&amp;"'!H23:H200")=$M$36),1,0)))</f>
        <v>4</v>
      </c>
      <c r="O40" s="745">
        <f t="array" aca="1" ref="O40" ca="1">IF($C40="","",SUM(IF((INDIRECT("'"&amp;$C40&amp;"'!I23:I200")=$C$1)*(INDIRECT("'"&amp;$C40&amp;"'!L23:L200")=O$37)*(INDIRECT("'"&amp;$C40&amp;"'!H23:H200")=$M$36),1,0)))</f>
        <v>5</v>
      </c>
      <c r="P40" s="745">
        <f t="array" aca="1" ref="P40" ca="1">IF($C40="","",SUM(IF((INDIRECT("'"&amp;$C40&amp;"'!I23:I200")=$C$1)*(INDIRECT("'"&amp;$C40&amp;"'!L23:L200")=P$37)*(INDIRECT("'"&amp;$C40&amp;"'!H23:H200")=$M$36),1,0)))</f>
        <v>12</v>
      </c>
      <c r="Q40" s="745">
        <f t="array" aca="1" ref="Q40" ca="1">IF($C40="","",SUM(IF((INDIRECT("'"&amp;$C40&amp;"'!I23:I200")=$C$1)*(INDIRECT("'"&amp;$C40&amp;"'!H23:H200")=$M$36),INDIRECT("'"&amp;$C40&amp;"'!J23:J200"),0)))</f>
        <v>29</v>
      </c>
      <c r="R40" s="745">
        <f t="array" aca="1" ref="R40" ca="1">IF($C40="","",SUM(IF((INDIRECT("'"&amp;$C40&amp;"'!I23:I200")=$C$1)*(INDIRECT("'"&amp;$C40&amp;"'!H23:H200")=$M$36),INDIRECT("'"&amp;$C40&amp;"'!K23:K200"),0)))</f>
        <v>46</v>
      </c>
      <c r="S40" s="745">
        <f t="shared" ca="1" si="43"/>
        <v>-17</v>
      </c>
      <c r="T40" s="745">
        <f t="shared" ca="1" si="44"/>
        <v>17</v>
      </c>
      <c r="U40" s="503">
        <f t="shared" ca="1" si="45"/>
        <v>20</v>
      </c>
      <c r="V40" s="743">
        <f t="shared" ca="1" si="46"/>
        <v>42</v>
      </c>
      <c r="W40" s="745">
        <f t="array" aca="1" ref="W40" ca="1">IF($C40="","",SUM(IF((INDIRECT("'"&amp;$C40&amp;"'!I23:I200")=$C$1)*(INDIRECT("'"&amp;$C40&amp;"'!L23:L200")=W$37),1,0)))</f>
        <v>14</v>
      </c>
      <c r="X40" s="799">
        <f t="array" aca="1" ref="X40" ca="1">IF($C40="","",SUM(IF((INDIRECT("'"&amp;$C40&amp;"'!I23:I200")=$C$1)*(INDIRECT("'"&amp;$C40&amp;"'!L23:L200")=X$37),1,0)))</f>
        <v>9</v>
      </c>
      <c r="Y40" s="799">
        <f t="array" aca="1" ref="Y40" ca="1">IF($C40="","",SUM(IF((INDIRECT("'"&amp;$C40&amp;"'!I23:I200")=$C$1)*(INDIRECT("'"&amp;$C40&amp;"'!L23:L200")=Y$37),1,0)))</f>
        <v>19</v>
      </c>
      <c r="Z40" s="799">
        <f t="array" aca="1" ref="Z40" ca="1">IF($C40="","",SUMIF(INDIRECT("'"&amp;$C40&amp;"'!I:I"),$C$1,INDIRECT("'"&amp;$C40&amp;"'!J:J")))</f>
        <v>54</v>
      </c>
      <c r="AA40" s="799">
        <f t="array" aca="1" ref="AA40" ca="1">IF($C40="","",SUMIF(INDIRECT("'"&amp;$C40&amp;"'!I:I"),$C$1,INDIRECT("'"&amp;$C40&amp;"'!K:K")))</f>
        <v>68</v>
      </c>
      <c r="AB40" s="799">
        <f t="shared" ca="1" si="47"/>
        <v>-14</v>
      </c>
      <c r="AC40" s="788">
        <f t="shared" ca="1" si="48"/>
        <v>51</v>
      </c>
      <c r="AD40" s="799">
        <f t="shared" ca="1" si="49"/>
        <v>50.860540003333334</v>
      </c>
      <c r="AE40" s="800">
        <f t="shared" ca="1" si="50"/>
        <v>15</v>
      </c>
      <c r="AF40" s="318">
        <f t="shared" ca="1" si="32"/>
        <v>42</v>
      </c>
      <c r="AG40" s="232">
        <f t="shared" ca="1" si="33"/>
        <v>14</v>
      </c>
      <c r="AH40" s="232">
        <f t="shared" ca="1" si="33"/>
        <v>9</v>
      </c>
      <c r="AI40" s="232">
        <f t="shared" ca="1" si="33"/>
        <v>19</v>
      </c>
      <c r="AJ40" s="232">
        <f t="shared" ca="1" si="34"/>
        <v>54</v>
      </c>
      <c r="AK40" s="232">
        <f t="shared" ca="1" si="34"/>
        <v>68</v>
      </c>
      <c r="AL40" s="232">
        <f t="shared" ca="1" si="34"/>
        <v>-14</v>
      </c>
      <c r="AM40" s="232">
        <f t="shared" ca="1" si="35"/>
        <v>51</v>
      </c>
      <c r="AN40" s="230"/>
      <c r="AO40" s="802"/>
      <c r="AP40" s="786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1:59" thickBot="1">
      <c r="A41" s="763">
        <f t="shared" ca="1" si="36"/>
        <v>13</v>
      </c>
      <c r="B41" s="797" t="str">
        <f t="shared" ca="1" si="37"/>
        <v>Fagiano Okayama</v>
      </c>
      <c r="C41" s="798" t="s">
        <v>884</v>
      </c>
      <c r="D41" s="743">
        <f t="shared" ca="1" si="38"/>
        <v>21</v>
      </c>
      <c r="E41" s="745">
        <f t="array" aca="1" ref="E41" ca="1">IF($C41="","",SUM(IF((INDIRECT("'"&amp;$C41&amp;"'!I23:I200")=$C$1)*(INDIRECT("'"&amp;$C41&amp;"'!L23:L200")=E$37)*(INDIRECT("'"&amp;$C41&amp;"'!H23:H200")=$D$36),1,0)))</f>
        <v>9</v>
      </c>
      <c r="F41" s="745">
        <f t="array" aca="1" ref="F41" ca="1">IF($C41="","",SUM(IF((INDIRECT("'"&amp;$C41&amp;"'!I23:I200")=$C$1)*(INDIRECT("'"&amp;$C41&amp;"'!L23:L200")=F$37)*(INDIRECT("'"&amp;$C41&amp;"'!H23:H200")=$D$36),1,0)))</f>
        <v>5</v>
      </c>
      <c r="G41" s="745">
        <f t="array" aca="1" ref="G41" ca="1">IF($C41="","",SUM(IF((INDIRECT("'"&amp;$C41&amp;"'!I23:I200")=$C$1)*(INDIRECT("'"&amp;$C41&amp;"'!L23:L200")=G$37)*(INDIRECT("'"&amp;$C41&amp;"'!H23:H200")=$D$36),1,0)))</f>
        <v>7</v>
      </c>
      <c r="H41" s="745">
        <f t="array" aca="1" ref="H41" ca="1">IF($C41="","",SUM(IF((INDIRECT("'"&amp;$C41&amp;"'!I23:I200")=$C$1)*(INDIRECT("'"&amp;$C41&amp;"'!H23:H200")=$D$36),INDIRECT("'"&amp;$C41&amp;"'!J23:J200"),0)))</f>
        <v>24</v>
      </c>
      <c r="I41" s="745">
        <f t="array" aca="1" ref="I41" ca="1">IF($C41="","",SUM(IF((INDIRECT("'"&amp;$C41&amp;"'!I23:I200")=$C$1)*(INDIRECT("'"&amp;$C41&amp;"'!H23:H200")=$D$36),INDIRECT("'"&amp;$C41&amp;"'!K23:K200"),0)))</f>
        <v>22</v>
      </c>
      <c r="J41" s="745">
        <f t="shared" ca="1" si="39"/>
        <v>2</v>
      </c>
      <c r="K41" s="745">
        <f t="shared" ca="1" si="40"/>
        <v>32</v>
      </c>
      <c r="L41" s="503">
        <f t="shared" ca="1" si="41"/>
        <v>13</v>
      </c>
      <c r="M41" s="748">
        <f t="shared" ca="1" si="42"/>
        <v>21</v>
      </c>
      <c r="N41" s="745">
        <f t="array" aca="1" ref="N41" ca="1">IF($C41="","",SUM(IF((INDIRECT("'"&amp;$C41&amp;"'!I23:I200")=$C$1)*(INDIRECT("'"&amp;$C41&amp;"'!L23:L200")=N$37)*(INDIRECT("'"&amp;$C41&amp;"'!H23:H200")=$M$36),1,0)))</f>
        <v>4</v>
      </c>
      <c r="O41" s="745">
        <f t="array" aca="1" ref="O41" ca="1">IF($C41="","",SUM(IF((INDIRECT("'"&amp;$C41&amp;"'!I23:I200")=$C$1)*(INDIRECT("'"&amp;$C41&amp;"'!L23:L200")=O$37)*(INDIRECT("'"&amp;$C41&amp;"'!H23:H200")=$M$36),1,0)))</f>
        <v>11</v>
      </c>
      <c r="P41" s="745">
        <f t="array" aca="1" ref="P41" ca="1">IF($C41="","",SUM(IF((INDIRECT("'"&amp;$C41&amp;"'!I23:I200")=$C$1)*(INDIRECT("'"&amp;$C41&amp;"'!L23:L200")=P$37)*(INDIRECT("'"&amp;$C41&amp;"'!H23:H200")=$M$36),1,0)))</f>
        <v>6</v>
      </c>
      <c r="Q41" s="745">
        <f t="array" aca="1" ref="Q41" ca="1">IF($C41="","",SUM(IF((INDIRECT("'"&amp;$C41&amp;"'!I23:I200")=$C$1)*(INDIRECT("'"&amp;$C41&amp;"'!H23:H200")=$M$36),INDIRECT("'"&amp;$C41&amp;"'!J23:J200"),0)))</f>
        <v>20</v>
      </c>
      <c r="R41" s="745">
        <f t="array" aca="1" ref="R41" ca="1">IF($C41="","",SUM(IF((INDIRECT("'"&amp;$C41&amp;"'!I23:I200")=$C$1)*(INDIRECT("'"&amp;$C41&amp;"'!H23:H200")=$M$36),INDIRECT("'"&amp;$C41&amp;"'!K23:K200"),0)))</f>
        <v>27</v>
      </c>
      <c r="S41" s="745">
        <f t="shared" ca="1" si="43"/>
        <v>-7</v>
      </c>
      <c r="T41" s="745">
        <f t="shared" ca="1" si="44"/>
        <v>23</v>
      </c>
      <c r="U41" s="503">
        <f t="shared" ca="1" si="45"/>
        <v>13</v>
      </c>
      <c r="V41" s="743">
        <f t="shared" ca="1" si="46"/>
        <v>42</v>
      </c>
      <c r="W41" s="745">
        <f t="array" aca="1" ref="W41" ca="1">IF($C41="","",SUM(IF((INDIRECT("'"&amp;$C41&amp;"'!I23:I200")=$C$1)*(INDIRECT("'"&amp;$C41&amp;"'!L23:L200")=W$37),1,0)))</f>
        <v>13</v>
      </c>
      <c r="X41" s="799">
        <f t="array" aca="1" ref="X41" ca="1">IF($C41="","",SUM(IF((INDIRECT("'"&amp;$C41&amp;"'!I23:I200")=$C$1)*(INDIRECT("'"&amp;$C41&amp;"'!L23:L200")=X$37),1,0)))</f>
        <v>16</v>
      </c>
      <c r="Y41" s="799">
        <f t="array" aca="1" ref="Y41" ca="1">IF($C41="","",SUM(IF((INDIRECT("'"&amp;$C41&amp;"'!I23:I200")=$C$1)*(INDIRECT("'"&amp;$C41&amp;"'!L23:L200")=Y$37),1,0)))</f>
        <v>13</v>
      </c>
      <c r="Z41" s="799">
        <f t="array" aca="1" ref="Z41" ca="1">IF($C41="","",SUMIF(INDIRECT("'"&amp;$C41&amp;"'!I:I"),$C$1,INDIRECT("'"&amp;$C41&amp;"'!J:J")))</f>
        <v>44</v>
      </c>
      <c r="AA41" s="799">
        <f t="array" aca="1" ref="AA41" ca="1">IF($C41="","",SUMIF(INDIRECT("'"&amp;$C41&amp;"'!I:I"),$C$1,INDIRECT("'"&amp;$C41&amp;"'!K:K")))</f>
        <v>49</v>
      </c>
      <c r="AB41" s="799">
        <f t="shared" ca="1" si="47"/>
        <v>-5</v>
      </c>
      <c r="AC41" s="788">
        <f t="shared" ca="1" si="48"/>
        <v>55</v>
      </c>
      <c r="AD41" s="799">
        <f t="shared" ca="1" si="49"/>
        <v>54.950440002500002</v>
      </c>
      <c r="AE41" s="800">
        <f t="shared" ca="1" si="50"/>
        <v>13</v>
      </c>
      <c r="AF41" s="318">
        <f t="shared" ca="1" si="32"/>
        <v>42</v>
      </c>
      <c r="AG41" s="232">
        <f t="shared" ca="1" si="33"/>
        <v>13</v>
      </c>
      <c r="AH41" s="232">
        <f t="shared" ca="1" si="33"/>
        <v>16</v>
      </c>
      <c r="AI41" s="232">
        <f t="shared" ca="1" si="33"/>
        <v>13</v>
      </c>
      <c r="AJ41" s="232">
        <f t="shared" ca="1" si="34"/>
        <v>44</v>
      </c>
      <c r="AK41" s="232">
        <f t="shared" ca="1" si="34"/>
        <v>49</v>
      </c>
      <c r="AL41" s="232">
        <f t="shared" ca="1" si="34"/>
        <v>-5</v>
      </c>
      <c r="AM41" s="232">
        <f t="shared" ca="1" si="35"/>
        <v>55</v>
      </c>
      <c r="AN41" s="230"/>
      <c r="AO41" s="802"/>
      <c r="AP41" s="786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1:59" thickBot="1">
      <c r="A42" s="763">
        <f t="shared" ca="1" si="36"/>
        <v>18</v>
      </c>
      <c r="B42" s="797" t="str">
        <f t="shared" ca="1" si="37"/>
        <v>Gifu</v>
      </c>
      <c r="C42" s="798" t="s">
        <v>887</v>
      </c>
      <c r="D42" s="743">
        <f t="shared" ca="1" si="38"/>
        <v>21</v>
      </c>
      <c r="E42" s="745">
        <f t="array" aca="1" ref="E42" ca="1">IF($C42="","",SUM(IF((INDIRECT("'"&amp;$C42&amp;"'!I23:I200")=$C$1)*(INDIRECT("'"&amp;$C42&amp;"'!L23:L200")=E$37)*(INDIRECT("'"&amp;$C42&amp;"'!H23:H200")=$D$36),1,0)))</f>
        <v>5</v>
      </c>
      <c r="F42" s="745">
        <f t="array" aca="1" ref="F42" ca="1">IF($C42="","",SUM(IF((INDIRECT("'"&amp;$C42&amp;"'!I23:I200")=$C$1)*(INDIRECT("'"&amp;$C42&amp;"'!L23:L200")=F$37)*(INDIRECT("'"&amp;$C42&amp;"'!H23:H200")=$D$36),1,0)))</f>
        <v>5</v>
      </c>
      <c r="G42" s="745">
        <f t="array" aca="1" ref="G42" ca="1">IF($C42="","",SUM(IF((INDIRECT("'"&amp;$C42&amp;"'!I23:I200")=$C$1)*(INDIRECT("'"&amp;$C42&amp;"'!L23:L200")=G$37)*(INDIRECT("'"&amp;$C42&amp;"'!H23:H200")=$D$36),1,0)))</f>
        <v>11</v>
      </c>
      <c r="H42" s="745">
        <f t="array" aca="1" ref="H42" ca="1">IF($C42="","",SUM(IF((INDIRECT("'"&amp;$C42&amp;"'!I23:I200")=$C$1)*(INDIRECT("'"&amp;$C42&amp;"'!H23:H200")=$D$36),INDIRECT("'"&amp;$C42&amp;"'!J23:J200"),0)))</f>
        <v>30</v>
      </c>
      <c r="I42" s="745">
        <f t="array" aca="1" ref="I42" ca="1">IF($C42="","",SUM(IF((INDIRECT("'"&amp;$C42&amp;"'!I23:I200")=$C$1)*(INDIRECT("'"&amp;$C42&amp;"'!H23:H200")=$D$36),INDIRECT("'"&amp;$C42&amp;"'!K23:K200"),0)))</f>
        <v>41</v>
      </c>
      <c r="J42" s="745">
        <f t="shared" ca="1" si="39"/>
        <v>-11</v>
      </c>
      <c r="K42" s="745">
        <f t="shared" ca="1" si="40"/>
        <v>20</v>
      </c>
      <c r="L42" s="503">
        <f t="shared" ca="1" si="41"/>
        <v>18</v>
      </c>
      <c r="M42" s="748">
        <f t="shared" ca="1" si="42"/>
        <v>21</v>
      </c>
      <c r="N42" s="745">
        <f t="array" aca="1" ref="N42" ca="1">IF($C42="","",SUM(IF((INDIRECT("'"&amp;$C42&amp;"'!I23:I200")=$C$1)*(INDIRECT("'"&amp;$C42&amp;"'!L23:L200")=N$37)*(INDIRECT("'"&amp;$C42&amp;"'!H23:H200")=$M$36),1,0)))</f>
        <v>6</v>
      </c>
      <c r="O42" s="745">
        <f t="array" aca="1" ref="O42" ca="1">IF($C42="","",SUM(IF((INDIRECT("'"&amp;$C42&amp;"'!I23:I200")=$C$1)*(INDIRECT("'"&amp;$C42&amp;"'!L23:L200")=O$37)*(INDIRECT("'"&amp;$C42&amp;"'!H23:H200")=$M$36),1,0)))</f>
        <v>8</v>
      </c>
      <c r="P42" s="745">
        <f t="array" aca="1" ref="P42" ca="1">IF($C42="","",SUM(IF((INDIRECT("'"&amp;$C42&amp;"'!I23:I200")=$C$1)*(INDIRECT("'"&amp;$C42&amp;"'!L23:L200")=P$37)*(INDIRECT("'"&amp;$C42&amp;"'!H23:H200")=$M$36),1,0)))</f>
        <v>7</v>
      </c>
      <c r="Q42" s="745">
        <f t="array" aca="1" ref="Q42" ca="1">IF($C42="","",SUM(IF((INDIRECT("'"&amp;$C42&amp;"'!I23:I200")=$C$1)*(INDIRECT("'"&amp;$C42&amp;"'!H23:H200")=$M$36),INDIRECT("'"&amp;$C42&amp;"'!J23:J200"),0)))</f>
        <v>26</v>
      </c>
      <c r="R42" s="745">
        <f t="array" aca="1" ref="R42" ca="1">IF($C42="","",SUM(IF((INDIRECT("'"&amp;$C42&amp;"'!I23:I200")=$C$1)*(INDIRECT("'"&amp;$C42&amp;"'!H23:H200")=$M$36),INDIRECT("'"&amp;$C42&amp;"'!K23:K200"),0)))</f>
        <v>27</v>
      </c>
      <c r="S42" s="745">
        <f t="shared" ca="1" si="43"/>
        <v>-1</v>
      </c>
      <c r="T42" s="745">
        <f t="shared" ca="1" si="44"/>
        <v>26</v>
      </c>
      <c r="U42" s="503">
        <f t="shared" ca="1" si="45"/>
        <v>11</v>
      </c>
      <c r="V42" s="743">
        <f t="shared" ca="1" si="46"/>
        <v>42</v>
      </c>
      <c r="W42" s="745">
        <f t="array" aca="1" ref="W42" ca="1">IF($C42="","",SUM(IF((INDIRECT("'"&amp;$C42&amp;"'!I23:I200")=$C$1)*(INDIRECT("'"&amp;$C42&amp;"'!L23:L200")=W$37),1,0)))</f>
        <v>11</v>
      </c>
      <c r="X42" s="799">
        <f t="array" aca="1" ref="X42" ca="1">IF($C42="","",SUM(IF((INDIRECT("'"&amp;$C42&amp;"'!I23:I200")=$C$1)*(INDIRECT("'"&amp;$C42&amp;"'!L23:L200")=X$37),1,0)))</f>
        <v>13</v>
      </c>
      <c r="Y42" s="799">
        <f t="array" aca="1" ref="Y42" ca="1">IF($C42="","",SUM(IF((INDIRECT("'"&amp;$C42&amp;"'!I23:I200")=$C$1)*(INDIRECT("'"&amp;$C42&amp;"'!L23:L200")=Y$37),1,0)))</f>
        <v>18</v>
      </c>
      <c r="Z42" s="799">
        <f t="array" aca="1" ref="Z42" ca="1">IF($C42="","",SUMIF(INDIRECT("'"&amp;$C42&amp;"'!I:I"),$C$1,INDIRECT("'"&amp;$C42&amp;"'!J:J")))</f>
        <v>56</v>
      </c>
      <c r="AA42" s="799">
        <f t="array" aca="1" ref="AA42" ca="1">IF($C42="","",SUMIF(INDIRECT("'"&amp;$C42&amp;"'!I:I"),$C$1,INDIRECT("'"&amp;$C42&amp;"'!K:K")))</f>
        <v>68</v>
      </c>
      <c r="AB42" s="799">
        <f t="shared" ca="1" si="47"/>
        <v>-12</v>
      </c>
      <c r="AC42" s="788">
        <f t="shared" ca="1" si="48"/>
        <v>46</v>
      </c>
      <c r="AD42" s="799">
        <f t="shared" ca="1" si="49"/>
        <v>45.880560002000003</v>
      </c>
      <c r="AE42" s="800">
        <f t="shared" ca="1" si="50"/>
        <v>18</v>
      </c>
      <c r="AF42" s="318">
        <f t="shared" ca="1" si="32"/>
        <v>42</v>
      </c>
      <c r="AG42" s="232">
        <f t="shared" ca="1" si="33"/>
        <v>11</v>
      </c>
      <c r="AH42" s="232">
        <f t="shared" ca="1" si="33"/>
        <v>13</v>
      </c>
      <c r="AI42" s="232">
        <f t="shared" ca="1" si="33"/>
        <v>18</v>
      </c>
      <c r="AJ42" s="232">
        <f t="shared" ca="1" si="34"/>
        <v>56</v>
      </c>
      <c r="AK42" s="232">
        <f t="shared" ca="1" si="34"/>
        <v>68</v>
      </c>
      <c r="AL42" s="232">
        <f t="shared" ca="1" si="34"/>
        <v>-12</v>
      </c>
      <c r="AM42" s="232">
        <f t="shared" ca="1" si="35"/>
        <v>46</v>
      </c>
      <c r="AN42" s="230"/>
      <c r="AO42" s="802"/>
      <c r="AP42" s="786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1:59" thickBot="1">
      <c r="A43" s="763">
        <f t="shared" ca="1" si="36"/>
        <v>1</v>
      </c>
      <c r="B43" s="797" t="str">
        <f t="shared" ca="1" si="37"/>
        <v>Shonan Bellmare</v>
      </c>
      <c r="C43" s="798" t="s">
        <v>1086</v>
      </c>
      <c r="D43" s="743">
        <f t="shared" ca="1" si="38"/>
        <v>21</v>
      </c>
      <c r="E43" s="745">
        <f t="array" aca="1" ref="E43" ca="1">IF($C43="","",SUM(IF((INDIRECT("'"&amp;$C43&amp;"'!I23:I200")=$C$1)*(INDIRECT("'"&amp;$C43&amp;"'!L23:L200")=E$37)*(INDIRECT("'"&amp;$C43&amp;"'!H23:H200")=$D$36),1,0)))</f>
        <v>12</v>
      </c>
      <c r="F43" s="745">
        <f t="array" aca="1" ref="F43" ca="1">IF($C43="","",SUM(IF((INDIRECT("'"&amp;$C43&amp;"'!I23:I200")=$C$1)*(INDIRECT("'"&amp;$C43&amp;"'!L23:L200")=F$37)*(INDIRECT("'"&amp;$C43&amp;"'!H23:H200")=$D$36),1,0)))</f>
        <v>6</v>
      </c>
      <c r="G43" s="745">
        <f t="array" aca="1" ref="G43" ca="1">IF($C43="","",SUM(IF((INDIRECT("'"&amp;$C43&amp;"'!I23:I200")=$C$1)*(INDIRECT("'"&amp;$C43&amp;"'!L23:L200")=G$37)*(INDIRECT("'"&amp;$C43&amp;"'!H23:H200")=$D$36),1,0)))</f>
        <v>3</v>
      </c>
      <c r="H43" s="745">
        <f t="array" aca="1" ref="H43" ca="1">IF($C43="","",SUM(IF((INDIRECT("'"&amp;$C43&amp;"'!I23:I200")=$C$1)*(INDIRECT("'"&amp;$C43&amp;"'!H23:H200")=$D$36),INDIRECT("'"&amp;$C43&amp;"'!J23:J200"),0)))</f>
        <v>32</v>
      </c>
      <c r="I43" s="745">
        <f t="array" aca="1" ref="I43" ca="1">IF($C43="","",SUM(IF((INDIRECT("'"&amp;$C43&amp;"'!I23:I200")=$C$1)*(INDIRECT("'"&amp;$C43&amp;"'!H23:H200")=$D$36),INDIRECT("'"&amp;$C43&amp;"'!K23:K200"),0)))</f>
        <v>18</v>
      </c>
      <c r="J43" s="745">
        <f t="shared" ca="1" si="39"/>
        <v>14</v>
      </c>
      <c r="K43" s="745">
        <f t="shared" ca="1" si="40"/>
        <v>42</v>
      </c>
      <c r="L43" s="503">
        <f t="shared" ca="1" si="41"/>
        <v>4</v>
      </c>
      <c r="M43" s="748">
        <f t="shared" ca="1" si="42"/>
        <v>21</v>
      </c>
      <c r="N43" s="745">
        <f t="array" aca="1" ref="N43" ca="1">IF($C43="","",SUM(IF((INDIRECT("'"&amp;$C43&amp;"'!I23:I200")=$C$1)*(INDIRECT("'"&amp;$C43&amp;"'!L23:L200")=N$37)*(INDIRECT("'"&amp;$C43&amp;"'!H23:H200")=$M$36),1,0)))</f>
        <v>12</v>
      </c>
      <c r="O43" s="745">
        <f t="array" aca="1" ref="O43" ca="1">IF($C43="","",SUM(IF((INDIRECT("'"&amp;$C43&amp;"'!I23:I200")=$C$1)*(INDIRECT("'"&amp;$C43&amp;"'!L23:L200")=O$37)*(INDIRECT("'"&amp;$C43&amp;"'!H23:H200")=$M$36),1,0)))</f>
        <v>5</v>
      </c>
      <c r="P43" s="745">
        <f t="array" aca="1" ref="P43" ca="1">IF($C43="","",SUM(IF((INDIRECT("'"&amp;$C43&amp;"'!I23:I200")=$C$1)*(INDIRECT("'"&amp;$C43&amp;"'!L23:L200")=P$37)*(INDIRECT("'"&amp;$C43&amp;"'!H23:H200")=$M$36),1,0)))</f>
        <v>4</v>
      </c>
      <c r="Q43" s="745">
        <f t="array" aca="1" ref="Q43" ca="1">IF($C43="","",SUM(IF((INDIRECT("'"&amp;$C43&amp;"'!I23:I200")=$C$1)*(INDIRECT("'"&amp;$C43&amp;"'!H23:H200")=$M$36),INDIRECT("'"&amp;$C43&amp;"'!J23:J200"),0)))</f>
        <v>26</v>
      </c>
      <c r="R43" s="745">
        <f t="array" aca="1" ref="R43" ca="1">IF($C43="","",SUM(IF((INDIRECT("'"&amp;$C43&amp;"'!I23:I200")=$C$1)*(INDIRECT("'"&amp;$C43&amp;"'!H23:H200")=$M$36),INDIRECT("'"&amp;$C43&amp;"'!K23:K200"),0)))</f>
        <v>18</v>
      </c>
      <c r="S43" s="745">
        <f t="shared" ca="1" si="43"/>
        <v>8</v>
      </c>
      <c r="T43" s="745">
        <f t="shared" ca="1" si="44"/>
        <v>41</v>
      </c>
      <c r="U43" s="503">
        <f t="shared" ca="1" si="45"/>
        <v>2</v>
      </c>
      <c r="V43" s="743">
        <f t="shared" ca="1" si="46"/>
        <v>42</v>
      </c>
      <c r="W43" s="745">
        <f t="array" aca="1" ref="W43" ca="1">IF($C43="","",SUM(IF((INDIRECT("'"&amp;$C43&amp;"'!I23:I200")=$C$1)*(INDIRECT("'"&amp;$C43&amp;"'!L23:L200")=W$37),1,0)))</f>
        <v>24</v>
      </c>
      <c r="X43" s="799">
        <f t="array" aca="1" ref="X43" ca="1">IF($C43="","",SUM(IF((INDIRECT("'"&amp;$C43&amp;"'!I23:I200")=$C$1)*(INDIRECT("'"&amp;$C43&amp;"'!L23:L200")=X$37),1,0)))</f>
        <v>11</v>
      </c>
      <c r="Y43" s="799">
        <f t="array" aca="1" ref="Y43" ca="1">IF($C43="","",SUM(IF((INDIRECT("'"&amp;$C43&amp;"'!I23:I200")=$C$1)*(INDIRECT("'"&amp;$C43&amp;"'!L23:L200")=Y$37),1,0)))</f>
        <v>7</v>
      </c>
      <c r="Z43" s="799">
        <f t="array" aca="1" ref="Z43" ca="1">IF($C43="","",SUMIF(INDIRECT("'"&amp;$C43&amp;"'!I:I"),$C$1,INDIRECT("'"&amp;$C43&amp;"'!J:J")))</f>
        <v>58</v>
      </c>
      <c r="AA43" s="799">
        <f t="array" aca="1" ref="AA43" ca="1">IF($C43="","",SUMIF(INDIRECT("'"&amp;$C43&amp;"'!I:I"),$C$1,INDIRECT("'"&amp;$C43&amp;"'!K:K")))</f>
        <v>36</v>
      </c>
      <c r="AB43" s="799">
        <f t="shared" ca="1" si="47"/>
        <v>22</v>
      </c>
      <c r="AC43" s="788">
        <f t="shared" ca="1" si="48"/>
        <v>83</v>
      </c>
      <c r="AD43" s="799">
        <f t="shared" ca="1" si="49"/>
        <v>83.220580001666661</v>
      </c>
      <c r="AE43" s="800">
        <f t="shared" ca="1" si="50"/>
        <v>1</v>
      </c>
      <c r="AF43" s="318">
        <f t="shared" ca="1" si="32"/>
        <v>42</v>
      </c>
      <c r="AG43" s="232">
        <f t="shared" ca="1" si="33"/>
        <v>24</v>
      </c>
      <c r="AH43" s="232">
        <f t="shared" ca="1" si="33"/>
        <v>11</v>
      </c>
      <c r="AI43" s="232">
        <f t="shared" ca="1" si="33"/>
        <v>7</v>
      </c>
      <c r="AJ43" s="232">
        <f t="shared" ca="1" si="34"/>
        <v>58</v>
      </c>
      <c r="AK43" s="232">
        <f t="shared" ca="1" si="34"/>
        <v>36</v>
      </c>
      <c r="AL43" s="232">
        <f t="shared" ca="1" si="34"/>
        <v>22</v>
      </c>
      <c r="AM43" s="232">
        <f t="shared" ca="1" si="35"/>
        <v>83</v>
      </c>
      <c r="AN43" s="230"/>
      <c r="AO43" s="802"/>
      <c r="AP43" s="786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1:59" thickBot="1">
      <c r="A44" s="763">
        <f t="shared" ca="1" si="36"/>
        <v>6</v>
      </c>
      <c r="B44" s="797" t="str">
        <f t="shared" ca="1" si="37"/>
        <v>JEF United</v>
      </c>
      <c r="C44" s="798" t="s">
        <v>876</v>
      </c>
      <c r="D44" s="743">
        <f t="shared" ca="1" si="38"/>
        <v>21</v>
      </c>
      <c r="E44" s="745">
        <f t="array" aca="1" ref="E44" ca="1">IF($C44="","",SUM(IF((INDIRECT("'"&amp;$C44&amp;"'!I23:I200")=$C$1)*(INDIRECT("'"&amp;$C44&amp;"'!L23:L200")=E$37)*(INDIRECT("'"&amp;$C44&amp;"'!H23:H200")=$D$36),1,0)))</f>
        <v>13</v>
      </c>
      <c r="F44" s="745">
        <f t="array" aca="1" ref="F44" ca="1">IF($C44="","",SUM(IF((INDIRECT("'"&amp;$C44&amp;"'!I23:I200")=$C$1)*(INDIRECT("'"&amp;$C44&amp;"'!L23:L200")=F$37)*(INDIRECT("'"&amp;$C44&amp;"'!H23:H200")=$D$36),1,0)))</f>
        <v>6</v>
      </c>
      <c r="G44" s="745">
        <f t="array" aca="1" ref="G44" ca="1">IF($C44="","",SUM(IF((INDIRECT("'"&amp;$C44&amp;"'!I23:I200")=$C$1)*(INDIRECT("'"&amp;$C44&amp;"'!L23:L200")=G$37)*(INDIRECT("'"&amp;$C44&amp;"'!H23:H200")=$D$36),1,0)))</f>
        <v>2</v>
      </c>
      <c r="H44" s="745">
        <f t="array" aca="1" ref="H44" ca="1">IF($C44="","",SUM(IF((INDIRECT("'"&amp;$C44&amp;"'!I23:I200")=$C$1)*(INDIRECT("'"&amp;$C44&amp;"'!H23:H200")=$D$36),INDIRECT("'"&amp;$C44&amp;"'!J23:J200"),0)))</f>
        <v>47</v>
      </c>
      <c r="I44" s="745">
        <f t="array" aca="1" ref="I44" ca="1">IF($C44="","",SUM(IF((INDIRECT("'"&amp;$C44&amp;"'!I23:I200")=$C$1)*(INDIRECT("'"&amp;$C44&amp;"'!H23:H200")=$D$36),INDIRECT("'"&amp;$C44&amp;"'!K23:K200"),0)))</f>
        <v>23</v>
      </c>
      <c r="J44" s="745">
        <f t="shared" ca="1" si="39"/>
        <v>24</v>
      </c>
      <c r="K44" s="745">
        <f t="shared" ca="1" si="40"/>
        <v>45</v>
      </c>
      <c r="L44" s="503">
        <f t="shared" ca="1" si="41"/>
        <v>2</v>
      </c>
      <c r="M44" s="748">
        <f t="shared" ca="1" si="42"/>
        <v>22</v>
      </c>
      <c r="N44" s="745">
        <f t="array" aca="1" ref="N44" ca="1">IF($C44="","",SUM(IF((INDIRECT("'"&amp;$C44&amp;"'!I23:I200")=$C$1)*(INDIRECT("'"&amp;$C44&amp;"'!L23:L200")=N$37)*(INDIRECT("'"&amp;$C44&amp;"'!H23:H200")=$M$36),1,0)))</f>
        <v>7</v>
      </c>
      <c r="O44" s="745">
        <f t="array" aca="1" ref="O44" ca="1">IF($C44="","",SUM(IF((INDIRECT("'"&amp;$C44&amp;"'!I23:I200")=$C$1)*(INDIRECT("'"&amp;$C44&amp;"'!L23:L200")=O$37)*(INDIRECT("'"&amp;$C44&amp;"'!H23:H200")=$M$36),1,0)))</f>
        <v>2</v>
      </c>
      <c r="P44" s="745">
        <f t="array" aca="1" ref="P44" ca="1">IF($C44="","",SUM(IF((INDIRECT("'"&amp;$C44&amp;"'!I23:I200")=$C$1)*(INDIRECT("'"&amp;$C44&amp;"'!L23:L200")=P$37)*(INDIRECT("'"&amp;$C44&amp;"'!H23:H200")=$M$36),1,0)))</f>
        <v>13</v>
      </c>
      <c r="Q44" s="745">
        <f t="array" aca="1" ref="Q44" ca="1">IF($C44="","",SUM(IF((INDIRECT("'"&amp;$C44&amp;"'!I23:I200")=$C$1)*(INDIRECT("'"&amp;$C44&amp;"'!H23:H200")=$M$36),INDIRECT("'"&amp;$C44&amp;"'!J23:J200"),0)))</f>
        <v>25</v>
      </c>
      <c r="R44" s="745">
        <f t="array" aca="1" ref="R44" ca="1">IF($C44="","",SUM(IF((INDIRECT("'"&amp;$C44&amp;"'!I23:I200")=$C$1)*(INDIRECT("'"&amp;$C44&amp;"'!H23:H200")=$M$36),INDIRECT("'"&amp;$C44&amp;"'!K23:K200"),0)))</f>
        <v>39</v>
      </c>
      <c r="S44" s="745">
        <f t="shared" ca="1" si="43"/>
        <v>-14</v>
      </c>
      <c r="T44" s="745">
        <f t="shared" ca="1" si="44"/>
        <v>23</v>
      </c>
      <c r="U44" s="503">
        <f t="shared" ca="1" si="45"/>
        <v>13</v>
      </c>
      <c r="V44" s="743">
        <f t="shared" ca="1" si="46"/>
        <v>43</v>
      </c>
      <c r="W44" s="745">
        <f t="array" aca="1" ref="W44" ca="1">IF($C44="","",SUM(IF((INDIRECT("'"&amp;$C44&amp;"'!I23:I200")=$C$1)*(INDIRECT("'"&amp;$C44&amp;"'!L23:L200")=W$37),1,0)))</f>
        <v>20</v>
      </c>
      <c r="X44" s="799">
        <f t="array" aca="1" ref="X44" ca="1">IF($C44="","",SUM(IF((INDIRECT("'"&amp;$C44&amp;"'!I23:I200")=$C$1)*(INDIRECT("'"&amp;$C44&amp;"'!L23:L200")=X$37),1,0)))</f>
        <v>8</v>
      </c>
      <c r="Y44" s="799">
        <f t="array" aca="1" ref="Y44" ca="1">IF($C44="","",SUM(IF((INDIRECT("'"&amp;$C44&amp;"'!I23:I200")=$C$1)*(INDIRECT("'"&amp;$C44&amp;"'!L23:L200")=Y$37),1,0)))</f>
        <v>15</v>
      </c>
      <c r="Z44" s="799">
        <f t="array" aca="1" ref="Z44" ca="1">IF($C44="","",SUMIF(INDIRECT("'"&amp;$C44&amp;"'!I:I"),$C$1,INDIRECT("'"&amp;$C44&amp;"'!J:J")))</f>
        <v>72</v>
      </c>
      <c r="AA44" s="799">
        <f t="array" aca="1" ref="AA44" ca="1">IF($C44="","",SUMIF(INDIRECT("'"&amp;$C44&amp;"'!I:I"),$C$1,INDIRECT("'"&amp;$C44&amp;"'!K:K")))</f>
        <v>62</v>
      </c>
      <c r="AB44" s="799">
        <f t="shared" ca="1" si="47"/>
        <v>10</v>
      </c>
      <c r="AC44" s="788">
        <f t="shared" ca="1" si="48"/>
        <v>68</v>
      </c>
      <c r="AD44" s="799">
        <f t="shared" ca="1" si="49"/>
        <v>68.10072000142857</v>
      </c>
      <c r="AE44" s="800">
        <f t="shared" ca="1" si="50"/>
        <v>6</v>
      </c>
      <c r="AF44" s="318">
        <f t="shared" ca="1" si="32"/>
        <v>43</v>
      </c>
      <c r="AG44" s="232">
        <f t="shared" ca="1" si="33"/>
        <v>20</v>
      </c>
      <c r="AH44" s="232">
        <f t="shared" ca="1" si="33"/>
        <v>8</v>
      </c>
      <c r="AI44" s="232">
        <f t="shared" ca="1" si="33"/>
        <v>15</v>
      </c>
      <c r="AJ44" s="232">
        <f t="shared" ca="1" si="34"/>
        <v>72</v>
      </c>
      <c r="AK44" s="232">
        <f t="shared" ca="1" si="34"/>
        <v>62</v>
      </c>
      <c r="AL44" s="232">
        <f t="shared" ca="1" si="34"/>
        <v>10</v>
      </c>
      <c r="AM44" s="232">
        <f t="shared" ca="1" si="35"/>
        <v>68</v>
      </c>
      <c r="AN44" s="230"/>
      <c r="AO44" s="802"/>
      <c r="AP44" s="786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1:59" thickBot="1">
      <c r="A45" s="763">
        <f t="shared" ca="1" si="36"/>
        <v>19</v>
      </c>
      <c r="B45" s="797" t="str">
        <f t="shared" ca="1" si="37"/>
        <v>Kamatamare Sanuki</v>
      </c>
      <c r="C45" s="798" t="s">
        <v>885</v>
      </c>
      <c r="D45" s="743">
        <f t="shared" ca="1" si="38"/>
        <v>21</v>
      </c>
      <c r="E45" s="745">
        <f t="array" aca="1" ref="E45" ca="1">IF($C45="","",SUM(IF((INDIRECT("'"&amp;$C45&amp;"'!I23:I200")=$C$1)*(INDIRECT("'"&amp;$C45&amp;"'!L23:L200")=E$37)*(INDIRECT("'"&amp;$C45&amp;"'!H23:H200")=$D$36),1,0)))</f>
        <v>4</v>
      </c>
      <c r="F45" s="745">
        <f t="array" aca="1" ref="F45" ca="1">IF($C45="","",SUM(IF((INDIRECT("'"&amp;$C45&amp;"'!I23:I200")=$C$1)*(INDIRECT("'"&amp;$C45&amp;"'!L23:L200")=F$37)*(INDIRECT("'"&amp;$C45&amp;"'!H23:H200")=$D$36),1,0)))</f>
        <v>10</v>
      </c>
      <c r="G45" s="745">
        <f t="array" aca="1" ref="G45" ca="1">IF($C45="","",SUM(IF((INDIRECT("'"&amp;$C45&amp;"'!I23:I200")=$C$1)*(INDIRECT("'"&amp;$C45&amp;"'!L23:L200")=G$37)*(INDIRECT("'"&amp;$C45&amp;"'!H23:H200")=$D$36),1,0)))</f>
        <v>7</v>
      </c>
      <c r="H45" s="745">
        <f t="array" aca="1" ref="H45" ca="1">IF($C45="","",SUM(IF((INDIRECT("'"&amp;$C45&amp;"'!I23:I200")=$C$1)*(INDIRECT("'"&amp;$C45&amp;"'!H23:H200")=$D$36),INDIRECT("'"&amp;$C45&amp;"'!J23:J200"),0)))</f>
        <v>19</v>
      </c>
      <c r="I45" s="745">
        <f t="array" aca="1" ref="I45" ca="1">IF($C45="","",SUM(IF((INDIRECT("'"&amp;$C45&amp;"'!I23:I200")=$C$1)*(INDIRECT("'"&amp;$C45&amp;"'!H23:H200")=$D$36),INDIRECT("'"&amp;$C45&amp;"'!K23:K200"),0)))</f>
        <v>25</v>
      </c>
      <c r="J45" s="745">
        <f t="shared" ca="1" si="39"/>
        <v>-6</v>
      </c>
      <c r="K45" s="745">
        <f t="shared" ca="1" si="40"/>
        <v>22</v>
      </c>
      <c r="L45" s="503">
        <f t="shared" ca="1" si="41"/>
        <v>17</v>
      </c>
      <c r="M45" s="748">
        <f t="shared" ca="1" si="42"/>
        <v>21</v>
      </c>
      <c r="N45" s="745">
        <f t="array" aca="1" ref="N45" ca="1">IF($C45="","",SUM(IF((INDIRECT("'"&amp;$C45&amp;"'!I23:I200")=$C$1)*(INDIRECT("'"&amp;$C45&amp;"'!L23:L200")=N$37)*(INDIRECT("'"&amp;$C45&amp;"'!H23:H200")=$M$36),1,0)))</f>
        <v>4</v>
      </c>
      <c r="O45" s="745">
        <f t="array" aca="1" ref="O45" ca="1">IF($C45="","",SUM(IF((INDIRECT("'"&amp;$C45&amp;"'!I23:I200")=$C$1)*(INDIRECT("'"&amp;$C45&amp;"'!L23:L200")=O$37)*(INDIRECT("'"&amp;$C45&amp;"'!H23:H200")=$M$36),1,0)))</f>
        <v>4</v>
      </c>
      <c r="P45" s="745">
        <f t="array" aca="1" ref="P45" ca="1">IF($C45="","",SUM(IF((INDIRECT("'"&amp;$C45&amp;"'!I23:I200")=$C$1)*(INDIRECT("'"&amp;$C45&amp;"'!L23:L200")=P$37)*(INDIRECT("'"&amp;$C45&amp;"'!H23:H200")=$M$36),1,0)))</f>
        <v>13</v>
      </c>
      <c r="Q45" s="745">
        <f t="array" aca="1" ref="Q45" ca="1">IF($C45="","",SUM(IF((INDIRECT("'"&amp;$C45&amp;"'!I23:I200")=$C$1)*(INDIRECT("'"&amp;$C45&amp;"'!H23:H200")=$M$36),INDIRECT("'"&amp;$C45&amp;"'!J23:J200"),0)))</f>
        <v>22</v>
      </c>
      <c r="R45" s="745">
        <f t="array" aca="1" ref="R45" ca="1">IF($C45="","",SUM(IF((INDIRECT("'"&amp;$C45&amp;"'!I23:I200")=$C$1)*(INDIRECT("'"&amp;$C45&amp;"'!H23:H200")=$M$36),INDIRECT("'"&amp;$C45&amp;"'!K23:K200"),0)))</f>
        <v>36</v>
      </c>
      <c r="S45" s="745">
        <f t="shared" ca="1" si="43"/>
        <v>-14</v>
      </c>
      <c r="T45" s="745">
        <f t="shared" ca="1" si="44"/>
        <v>16</v>
      </c>
      <c r="U45" s="503">
        <f t="shared" ca="1" si="45"/>
        <v>21</v>
      </c>
      <c r="V45" s="743">
        <f t="shared" ca="1" si="46"/>
        <v>42</v>
      </c>
      <c r="W45" s="745">
        <f t="array" aca="1" ref="W45" ca="1">IF($C45="","",SUM(IF((INDIRECT("'"&amp;$C45&amp;"'!I23:I200")=$C$1)*(INDIRECT("'"&amp;$C45&amp;"'!L23:L200")=W$37),1,0)))</f>
        <v>8</v>
      </c>
      <c r="X45" s="799">
        <f t="array" aca="1" ref="X45" ca="1">IF($C45="","",SUM(IF((INDIRECT("'"&amp;$C45&amp;"'!I23:I200")=$C$1)*(INDIRECT("'"&amp;$C45&amp;"'!L23:L200")=X$37),1,0)))</f>
        <v>14</v>
      </c>
      <c r="Y45" s="799">
        <f t="array" aca="1" ref="Y45" ca="1">IF($C45="","",SUM(IF((INDIRECT("'"&amp;$C45&amp;"'!I23:I200")=$C$1)*(INDIRECT("'"&amp;$C45&amp;"'!L23:L200")=Y$37),1,0)))</f>
        <v>20</v>
      </c>
      <c r="Z45" s="799">
        <f t="array" aca="1" ref="Z45" ca="1">IF($C45="","",SUMIF(INDIRECT("'"&amp;$C45&amp;"'!I:I"),$C$1,INDIRECT("'"&amp;$C45&amp;"'!J:J")))</f>
        <v>41</v>
      </c>
      <c r="AA45" s="799">
        <f t="array" aca="1" ref="AA45" ca="1">IF($C45="","",SUMIF(INDIRECT("'"&amp;$C45&amp;"'!I:I"),$C$1,INDIRECT("'"&amp;$C45&amp;"'!K:K")))</f>
        <v>61</v>
      </c>
      <c r="AB45" s="799">
        <f t="shared" ca="1" si="47"/>
        <v>-20</v>
      </c>
      <c r="AC45" s="788">
        <f t="shared" ca="1" si="48"/>
        <v>38</v>
      </c>
      <c r="AD45" s="799">
        <f t="shared" ca="1" si="49"/>
        <v>37.80041000125</v>
      </c>
      <c r="AE45" s="800">
        <f t="shared" ca="1" si="50"/>
        <v>19</v>
      </c>
      <c r="AF45" s="318">
        <f t="shared" ca="1" si="32"/>
        <v>42</v>
      </c>
      <c r="AG45" s="232">
        <f t="shared" ca="1" si="33"/>
        <v>8</v>
      </c>
      <c r="AH45" s="232">
        <f t="shared" ca="1" si="33"/>
        <v>14</v>
      </c>
      <c r="AI45" s="232">
        <f t="shared" ca="1" si="33"/>
        <v>20</v>
      </c>
      <c r="AJ45" s="232">
        <f t="shared" ca="1" si="34"/>
        <v>41</v>
      </c>
      <c r="AK45" s="232">
        <f t="shared" ca="1" si="34"/>
        <v>61</v>
      </c>
      <c r="AL45" s="232">
        <f t="shared" ca="1" si="34"/>
        <v>-20</v>
      </c>
      <c r="AM45" s="232">
        <f t="shared" ca="1" si="35"/>
        <v>38</v>
      </c>
      <c r="AN45" s="230"/>
      <c r="AO45" s="802"/>
      <c r="AP45" s="786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1:59" thickBot="1">
      <c r="A46" s="763">
        <f t="shared" ca="1" si="36"/>
        <v>12</v>
      </c>
      <c r="B46" s="797" t="str">
        <f t="shared" ca="1" si="37"/>
        <v>Kyoto Sanga</v>
      </c>
      <c r="C46" s="798" t="s">
        <v>879</v>
      </c>
      <c r="D46" s="743">
        <f t="shared" ca="1" si="38"/>
        <v>21</v>
      </c>
      <c r="E46" s="745">
        <f t="array" aca="1" ref="E46" ca="1">IF($C46="","",SUM(IF((INDIRECT("'"&amp;$C46&amp;"'!I23:I200")=$C$1)*(INDIRECT("'"&amp;$C46&amp;"'!L23:L200")=E$37)*(INDIRECT("'"&amp;$C46&amp;"'!H23:H200")=$D$36),1,0)))</f>
        <v>7</v>
      </c>
      <c r="F46" s="745">
        <f t="array" aca="1" ref="F46" ca="1">IF($C46="","",SUM(IF((INDIRECT("'"&amp;$C46&amp;"'!I23:I200")=$C$1)*(INDIRECT("'"&amp;$C46&amp;"'!L23:L200")=F$37)*(INDIRECT("'"&amp;$C46&amp;"'!H23:H200")=$D$36),1,0)))</f>
        <v>8</v>
      </c>
      <c r="G46" s="745">
        <f t="array" aca="1" ref="G46" ca="1">IF($C46="","",SUM(IF((INDIRECT("'"&amp;$C46&amp;"'!I23:I200")=$C$1)*(INDIRECT("'"&amp;$C46&amp;"'!L23:L200")=G$37)*(INDIRECT("'"&amp;$C46&amp;"'!H23:H200")=$D$36),1,0)))</f>
        <v>6</v>
      </c>
      <c r="H46" s="745">
        <f t="array" aca="1" ref="H46" ca="1">IF($C46="","",SUM(IF((INDIRECT("'"&amp;$C46&amp;"'!I23:I200")=$C$1)*(INDIRECT("'"&amp;$C46&amp;"'!H23:H200")=$D$36),INDIRECT("'"&amp;$C46&amp;"'!J23:J200"),0)))</f>
        <v>26</v>
      </c>
      <c r="I46" s="745">
        <f t="array" aca="1" ref="I46" ca="1">IF($C46="","",SUM(IF((INDIRECT("'"&amp;$C46&amp;"'!I23:I200")=$C$1)*(INDIRECT("'"&amp;$C46&amp;"'!H23:H200")=$D$36),INDIRECT("'"&amp;$C46&amp;"'!K23:K200"),0)))</f>
        <v>24</v>
      </c>
      <c r="J46" s="745">
        <f t="shared" ca="1" si="39"/>
        <v>2</v>
      </c>
      <c r="K46" s="745">
        <f t="shared" ca="1" si="40"/>
        <v>29</v>
      </c>
      <c r="L46" s="503">
        <f t="shared" ca="1" si="41"/>
        <v>14</v>
      </c>
      <c r="M46" s="748">
        <f t="shared" ca="1" si="42"/>
        <v>21</v>
      </c>
      <c r="N46" s="745">
        <f t="array" aca="1" ref="N46" ca="1">IF($C46="","",SUM(IF((INDIRECT("'"&amp;$C46&amp;"'!I23:I200")=$C$1)*(INDIRECT("'"&amp;$C46&amp;"'!L23:L200")=N$37)*(INDIRECT("'"&amp;$C46&amp;"'!H23:H200")=$M$36),1,0)))</f>
        <v>7</v>
      </c>
      <c r="O46" s="745">
        <f t="array" aca="1" ref="O46" ca="1">IF($C46="","",SUM(IF((INDIRECT("'"&amp;$C46&amp;"'!I23:I200")=$C$1)*(INDIRECT("'"&amp;$C46&amp;"'!L23:L200")=O$37)*(INDIRECT("'"&amp;$C46&amp;"'!H23:H200")=$M$36),1,0)))</f>
        <v>7</v>
      </c>
      <c r="P46" s="745">
        <f t="array" aca="1" ref="P46" ca="1">IF($C46="","",SUM(IF((INDIRECT("'"&amp;$C46&amp;"'!I23:I200")=$C$1)*(INDIRECT("'"&amp;$C46&amp;"'!L23:L200")=P$37)*(INDIRECT("'"&amp;$C46&amp;"'!H23:H200")=$M$36),1,0)))</f>
        <v>7</v>
      </c>
      <c r="Q46" s="745">
        <f t="array" aca="1" ref="Q46" ca="1">IF($C46="","",SUM(IF((INDIRECT("'"&amp;$C46&amp;"'!I23:I200")=$C$1)*(INDIRECT("'"&amp;$C46&amp;"'!H23:H200")=$M$36),INDIRECT("'"&amp;$C46&amp;"'!J23:J200"),0)))</f>
        <v>29</v>
      </c>
      <c r="R46" s="745">
        <f t="array" aca="1" ref="R46" ca="1">IF($C46="","",SUM(IF((INDIRECT("'"&amp;$C46&amp;"'!I23:I200")=$C$1)*(INDIRECT("'"&amp;$C46&amp;"'!H23:H200")=$M$36),INDIRECT("'"&amp;$C46&amp;"'!K23:K200"),0)))</f>
        <v>23</v>
      </c>
      <c r="S46" s="745">
        <f t="shared" ca="1" si="43"/>
        <v>6</v>
      </c>
      <c r="T46" s="745">
        <f t="shared" ca="1" si="44"/>
        <v>28</v>
      </c>
      <c r="U46" s="503">
        <f t="shared" ca="1" si="45"/>
        <v>10</v>
      </c>
      <c r="V46" s="743">
        <f t="shared" ca="1" si="46"/>
        <v>42</v>
      </c>
      <c r="W46" s="745">
        <f t="array" aca="1" ref="W46" ca="1">IF($C46="","",SUM(IF((INDIRECT("'"&amp;$C46&amp;"'!I23:I200")=$C$1)*(INDIRECT("'"&amp;$C46&amp;"'!L23:L200")=W$37),1,0)))</f>
        <v>14</v>
      </c>
      <c r="X46" s="799">
        <f t="array" aca="1" ref="X46" ca="1">IF($C46="","",SUM(IF((INDIRECT("'"&amp;$C46&amp;"'!I23:I200")=$C$1)*(INDIRECT("'"&amp;$C46&amp;"'!L23:L200")=X$37),1,0)))</f>
        <v>15</v>
      </c>
      <c r="Y46" s="799">
        <f t="array" aca="1" ref="Y46" ca="1">IF($C46="","",SUM(IF((INDIRECT("'"&amp;$C46&amp;"'!I23:I200")=$C$1)*(INDIRECT("'"&amp;$C46&amp;"'!L23:L200")=Y$37),1,0)))</f>
        <v>13</v>
      </c>
      <c r="Z46" s="799">
        <f t="array" aca="1" ref="Z46" ca="1">IF($C46="","",SUMIF(INDIRECT("'"&amp;$C46&amp;"'!I:I"),$C$1,INDIRECT("'"&amp;$C46&amp;"'!J:J")))</f>
        <v>55</v>
      </c>
      <c r="AA46" s="799">
        <f t="array" aca="1" ref="AA46" ca="1">IF($C46="","",SUMIF(INDIRECT("'"&amp;$C46&amp;"'!I:I"),$C$1,INDIRECT("'"&amp;$C46&amp;"'!K:K")))</f>
        <v>47</v>
      </c>
      <c r="AB46" s="799">
        <f t="shared" ca="1" si="47"/>
        <v>8</v>
      </c>
      <c r="AC46" s="788">
        <f t="shared" ca="1" si="48"/>
        <v>57</v>
      </c>
      <c r="AD46" s="799">
        <f t="shared" ca="1" si="49"/>
        <v>57.080550001111106</v>
      </c>
      <c r="AE46" s="800">
        <f t="shared" ca="1" si="50"/>
        <v>12</v>
      </c>
      <c r="AF46" s="318">
        <f t="shared" ca="1" si="32"/>
        <v>42</v>
      </c>
      <c r="AG46" s="232">
        <f t="shared" ca="1" si="33"/>
        <v>14</v>
      </c>
      <c r="AH46" s="232">
        <f t="shared" ca="1" si="33"/>
        <v>15</v>
      </c>
      <c r="AI46" s="232">
        <f t="shared" ca="1" si="33"/>
        <v>13</v>
      </c>
      <c r="AJ46" s="232">
        <f t="shared" ca="1" si="34"/>
        <v>55</v>
      </c>
      <c r="AK46" s="232">
        <f t="shared" ca="1" si="34"/>
        <v>47</v>
      </c>
      <c r="AL46" s="232">
        <f t="shared" ca="1" si="34"/>
        <v>8</v>
      </c>
      <c r="AM46" s="232">
        <f t="shared" ca="1" si="35"/>
        <v>57</v>
      </c>
      <c r="AN46" s="230"/>
      <c r="AO46" s="802"/>
      <c r="AP46" s="786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1:59" thickBot="1">
      <c r="A47" s="763">
        <f t="shared" ca="1" si="36"/>
        <v>16</v>
      </c>
      <c r="B47" s="797" t="str">
        <f t="shared" ca="1" si="37"/>
        <v>Machida Zelvia</v>
      </c>
      <c r="C47" s="798" t="s">
        <v>872</v>
      </c>
      <c r="D47" s="743">
        <f t="shared" ca="1" si="38"/>
        <v>21</v>
      </c>
      <c r="E47" s="745">
        <f t="array" aca="1" ref="E47" ca="1">IF($C47="","",SUM(IF((INDIRECT("'"&amp;$C47&amp;"'!I23:I200")=$C$1)*(INDIRECT("'"&amp;$C47&amp;"'!L23:L200")=E$37)*(INDIRECT("'"&amp;$C47&amp;"'!H23:H200")=$D$36),1,0)))</f>
        <v>4</v>
      </c>
      <c r="F47" s="745">
        <f t="array" aca="1" ref="F47" ca="1">IF($C47="","",SUM(IF((INDIRECT("'"&amp;$C47&amp;"'!I23:I200")=$C$1)*(INDIRECT("'"&amp;$C47&amp;"'!L23:L200")=F$37)*(INDIRECT("'"&amp;$C47&amp;"'!H23:H200")=$D$36),1,0)))</f>
        <v>7</v>
      </c>
      <c r="G47" s="745">
        <f t="array" aca="1" ref="G47" ca="1">IF($C47="","",SUM(IF((INDIRECT("'"&amp;$C47&amp;"'!I23:I200")=$C$1)*(INDIRECT("'"&amp;$C47&amp;"'!L23:L200")=G$37)*(INDIRECT("'"&amp;$C47&amp;"'!H23:H200")=$D$36),1,0)))</f>
        <v>10</v>
      </c>
      <c r="H47" s="745">
        <f t="array" aca="1" ref="H47" ca="1">IF($C47="","",SUM(IF((INDIRECT("'"&amp;$C47&amp;"'!I23:I200")=$C$1)*(INDIRECT("'"&amp;$C47&amp;"'!H23:H200")=$D$36),INDIRECT("'"&amp;$C47&amp;"'!J23:J200"),0)))</f>
        <v>20</v>
      </c>
      <c r="I47" s="745">
        <f t="array" aca="1" ref="I47" ca="1">IF($C47="","",SUM(IF((INDIRECT("'"&amp;$C47&amp;"'!I23:I200")=$C$1)*(INDIRECT("'"&amp;$C47&amp;"'!H23:H200")=$D$36),INDIRECT("'"&amp;$C47&amp;"'!K23:K200"),0)))</f>
        <v>26</v>
      </c>
      <c r="J47" s="745">
        <f t="shared" ca="1" si="39"/>
        <v>-6</v>
      </c>
      <c r="K47" s="745">
        <f t="shared" ca="1" si="40"/>
        <v>19</v>
      </c>
      <c r="L47" s="503">
        <f t="shared" ca="1" si="41"/>
        <v>19</v>
      </c>
      <c r="M47" s="748">
        <f t="shared" ca="1" si="42"/>
        <v>21</v>
      </c>
      <c r="N47" s="745">
        <f t="array" aca="1" ref="N47" ca="1">IF($C47="","",SUM(IF((INDIRECT("'"&amp;$C47&amp;"'!I23:I200")=$C$1)*(INDIRECT("'"&amp;$C47&amp;"'!L23:L200")=N$37)*(INDIRECT("'"&amp;$C47&amp;"'!H23:H200")=$M$36),1,0)))</f>
        <v>7</v>
      </c>
      <c r="O47" s="745">
        <f t="array" aca="1" ref="O47" ca="1">IF($C47="","",SUM(IF((INDIRECT("'"&amp;$C47&amp;"'!I23:I200")=$C$1)*(INDIRECT("'"&amp;$C47&amp;"'!L23:L200")=O$37)*(INDIRECT("'"&amp;$C47&amp;"'!H23:H200")=$M$36),1,0)))</f>
        <v>10</v>
      </c>
      <c r="P47" s="745">
        <f t="array" aca="1" ref="P47" ca="1">IF($C47="","",SUM(IF((INDIRECT("'"&amp;$C47&amp;"'!I23:I200")=$C$1)*(INDIRECT("'"&amp;$C47&amp;"'!L23:L200")=P$37)*(INDIRECT("'"&amp;$C47&amp;"'!H23:H200")=$M$36),1,0)))</f>
        <v>4</v>
      </c>
      <c r="Q47" s="745">
        <f t="array" aca="1" ref="Q47" ca="1">IF($C47="","",SUM(IF((INDIRECT("'"&amp;$C47&amp;"'!I23:I200")=$C$1)*(INDIRECT("'"&amp;$C47&amp;"'!H23:H200")=$M$36),INDIRECT("'"&amp;$C47&amp;"'!J23:J200"),0)))</f>
        <v>33</v>
      </c>
      <c r="R47" s="745">
        <f t="array" aca="1" ref="R47" ca="1">IF($C47="","",SUM(IF((INDIRECT("'"&amp;$C47&amp;"'!I23:I200")=$C$1)*(INDIRECT("'"&amp;$C47&amp;"'!H23:H200")=$M$36),INDIRECT("'"&amp;$C47&amp;"'!K23:K200"),0)))</f>
        <v>27</v>
      </c>
      <c r="S47" s="745">
        <f t="shared" ca="1" si="43"/>
        <v>6</v>
      </c>
      <c r="T47" s="745">
        <f t="shared" ca="1" si="44"/>
        <v>31</v>
      </c>
      <c r="U47" s="503">
        <f t="shared" ca="1" si="45"/>
        <v>6</v>
      </c>
      <c r="V47" s="743">
        <f t="shared" ca="1" si="46"/>
        <v>42</v>
      </c>
      <c r="W47" s="745">
        <f t="array" aca="1" ref="W47" ca="1">IF($C47="","",SUM(IF((INDIRECT("'"&amp;$C47&amp;"'!I23:I200")=$C$1)*(INDIRECT("'"&amp;$C47&amp;"'!L23:L200")=W$37),1,0)))</f>
        <v>11</v>
      </c>
      <c r="X47" s="799">
        <f t="array" aca="1" ref="X47" ca="1">IF($C47="","",SUM(IF((INDIRECT("'"&amp;$C47&amp;"'!I23:I200")=$C$1)*(INDIRECT("'"&amp;$C47&amp;"'!L23:L200")=X$37),1,0)))</f>
        <v>17</v>
      </c>
      <c r="Y47" s="799">
        <f t="array" aca="1" ref="Y47" ca="1">IF($C47="","",SUM(IF((INDIRECT("'"&amp;$C47&amp;"'!I23:I200")=$C$1)*(INDIRECT("'"&amp;$C47&amp;"'!L23:L200")=Y$37),1,0)))</f>
        <v>14</v>
      </c>
      <c r="Z47" s="799">
        <f t="array" aca="1" ref="Z47" ca="1">IF($C47="","",SUMIF(INDIRECT("'"&amp;$C47&amp;"'!I:I"),$C$1,INDIRECT("'"&amp;$C47&amp;"'!J:J")))</f>
        <v>53</v>
      </c>
      <c r="AA47" s="799">
        <f t="array" aca="1" ref="AA47" ca="1">IF($C47="","",SUMIF(INDIRECT("'"&amp;$C47&amp;"'!I:I"),$C$1,INDIRECT("'"&amp;$C47&amp;"'!K:K")))</f>
        <v>53</v>
      </c>
      <c r="AB47" s="799">
        <f t="shared" ca="1" si="47"/>
        <v>0</v>
      </c>
      <c r="AC47" s="788">
        <f t="shared" ca="1" si="48"/>
        <v>50</v>
      </c>
      <c r="AD47" s="799">
        <f t="shared" ca="1" si="49"/>
        <v>50.000530000999994</v>
      </c>
      <c r="AE47" s="800">
        <f t="shared" ca="1" si="50"/>
        <v>16</v>
      </c>
      <c r="AF47" s="318">
        <f t="shared" ca="1" si="32"/>
        <v>42</v>
      </c>
      <c r="AG47" s="232">
        <f t="shared" ca="1" si="33"/>
        <v>11</v>
      </c>
      <c r="AH47" s="232">
        <f t="shared" ca="1" si="33"/>
        <v>17</v>
      </c>
      <c r="AI47" s="232">
        <f t="shared" ca="1" si="33"/>
        <v>14</v>
      </c>
      <c r="AJ47" s="232">
        <f t="shared" ca="1" si="34"/>
        <v>53</v>
      </c>
      <c r="AK47" s="232">
        <f t="shared" ca="1" si="34"/>
        <v>53</v>
      </c>
      <c r="AL47" s="232">
        <f t="shared" ca="1" si="34"/>
        <v>0</v>
      </c>
      <c r="AM47" s="232">
        <f t="shared" ca="1" si="35"/>
        <v>50</v>
      </c>
      <c r="AN47" s="230"/>
      <c r="AO47" s="802"/>
      <c r="AP47" s="786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1:59" thickBot="1">
      <c r="A48" s="763">
        <f t="shared" ca="1" si="36"/>
        <v>8</v>
      </c>
      <c r="B48" s="797" t="str">
        <f t="shared" ca="1" si="37"/>
        <v>Matsumoto Yamaga</v>
      </c>
      <c r="C48" s="798" t="s">
        <v>880</v>
      </c>
      <c r="D48" s="743">
        <f t="shared" ca="1" si="38"/>
        <v>21</v>
      </c>
      <c r="E48" s="745">
        <f t="array" aca="1" ref="E48" ca="1">IF($C48="","",SUM(IF((INDIRECT("'"&amp;$C48&amp;"'!I23:I200")=$C$1)*(INDIRECT("'"&amp;$C48&amp;"'!L23:L200")=E$37)*(INDIRECT("'"&amp;$C48&amp;"'!H23:H200")=$D$36),1,0)))</f>
        <v>11</v>
      </c>
      <c r="F48" s="745">
        <f t="array" aca="1" ref="F48" ca="1">IF($C48="","",SUM(IF((INDIRECT("'"&amp;$C48&amp;"'!I23:I200")=$C$1)*(INDIRECT("'"&amp;$C48&amp;"'!L23:L200")=F$37)*(INDIRECT("'"&amp;$C48&amp;"'!H23:H200")=$D$36),1,0)))</f>
        <v>3</v>
      </c>
      <c r="G48" s="745">
        <f t="array" aca="1" ref="G48" ca="1">IF($C48="","",SUM(IF((INDIRECT("'"&amp;$C48&amp;"'!I23:I200")=$C$1)*(INDIRECT("'"&amp;$C48&amp;"'!L23:L200")=G$37)*(INDIRECT("'"&amp;$C48&amp;"'!H23:H200")=$D$36),1,0)))</f>
        <v>7</v>
      </c>
      <c r="H48" s="745">
        <f t="array" aca="1" ref="H48" ca="1">IF($C48="","",SUM(IF((INDIRECT("'"&amp;$C48&amp;"'!I23:I200")=$C$1)*(INDIRECT("'"&amp;$C48&amp;"'!H23:H200")=$D$36),INDIRECT("'"&amp;$C48&amp;"'!J23:J200"),0)))</f>
        <v>38</v>
      </c>
      <c r="I48" s="745">
        <f t="array" aca="1" ref="I48" ca="1">IF($C48="","",SUM(IF((INDIRECT("'"&amp;$C48&amp;"'!I23:I200")=$C$1)*(INDIRECT("'"&amp;$C48&amp;"'!H23:H200")=$D$36),INDIRECT("'"&amp;$C48&amp;"'!K23:K200"),0)))</f>
        <v>22</v>
      </c>
      <c r="J48" s="745">
        <f t="shared" ca="1" si="39"/>
        <v>16</v>
      </c>
      <c r="K48" s="745">
        <f t="shared" ca="1" si="40"/>
        <v>36</v>
      </c>
      <c r="L48" s="503">
        <f t="shared" ca="1" si="41"/>
        <v>7</v>
      </c>
      <c r="M48" s="748">
        <f t="shared" ca="1" si="42"/>
        <v>21</v>
      </c>
      <c r="N48" s="745">
        <f t="array" aca="1" ref="N48" ca="1">IF($C48="","",SUM(IF((INDIRECT("'"&amp;$C48&amp;"'!I23:I200")=$C$1)*(INDIRECT("'"&amp;$C48&amp;"'!L23:L200")=N$37)*(INDIRECT("'"&amp;$C48&amp;"'!H23:H200")=$M$36),1,0)))</f>
        <v>8</v>
      </c>
      <c r="O48" s="745">
        <f t="array" aca="1" ref="O48" ca="1">IF($C48="","",SUM(IF((INDIRECT("'"&amp;$C48&amp;"'!I23:I200")=$C$1)*(INDIRECT("'"&amp;$C48&amp;"'!L23:L200")=O$37)*(INDIRECT("'"&amp;$C48&amp;"'!H23:H200")=$M$36),1,0)))</f>
        <v>6</v>
      </c>
      <c r="P48" s="745">
        <f t="array" aca="1" ref="P48" ca="1">IF($C48="","",SUM(IF((INDIRECT("'"&amp;$C48&amp;"'!I23:I200")=$C$1)*(INDIRECT("'"&amp;$C48&amp;"'!L23:L200")=P$37)*(INDIRECT("'"&amp;$C48&amp;"'!H23:H200")=$M$36),1,0)))</f>
        <v>7</v>
      </c>
      <c r="Q48" s="745">
        <f t="array" aca="1" ref="Q48" ca="1">IF($C48="","",SUM(IF((INDIRECT("'"&amp;$C48&amp;"'!I23:I200")=$C$1)*(INDIRECT("'"&amp;$C48&amp;"'!H23:H200")=$M$36),INDIRECT("'"&amp;$C48&amp;"'!J23:J200"),0)))</f>
        <v>23</v>
      </c>
      <c r="R48" s="745">
        <f t="array" aca="1" ref="R48" ca="1">IF($C48="","",SUM(IF((INDIRECT("'"&amp;$C48&amp;"'!I23:I200")=$C$1)*(INDIRECT("'"&amp;$C48&amp;"'!H23:H200")=$M$36),INDIRECT("'"&amp;$C48&amp;"'!K23:K200"),0)))</f>
        <v>23</v>
      </c>
      <c r="S48" s="745">
        <f t="shared" ca="1" si="43"/>
        <v>0</v>
      </c>
      <c r="T48" s="745">
        <f t="shared" ca="1" si="44"/>
        <v>30</v>
      </c>
      <c r="U48" s="503">
        <f t="shared" ca="1" si="45"/>
        <v>8</v>
      </c>
      <c r="V48" s="743">
        <f t="shared" ca="1" si="46"/>
        <v>42</v>
      </c>
      <c r="W48" s="745">
        <f t="array" aca="1" ref="W48" ca="1">IF($C48="","",SUM(IF((INDIRECT("'"&amp;$C48&amp;"'!I23:I200")=$C$1)*(INDIRECT("'"&amp;$C48&amp;"'!L23:L200")=W$37),1,0)))</f>
        <v>19</v>
      </c>
      <c r="X48" s="799">
        <f t="array" aca="1" ref="X48" ca="1">IF($C48="","",SUM(IF((INDIRECT("'"&amp;$C48&amp;"'!I23:I200")=$C$1)*(INDIRECT("'"&amp;$C48&amp;"'!L23:L200")=X$37),1,0)))</f>
        <v>9</v>
      </c>
      <c r="Y48" s="799">
        <f t="array" aca="1" ref="Y48" ca="1">IF($C48="","",SUM(IF((INDIRECT("'"&amp;$C48&amp;"'!I23:I200")=$C$1)*(INDIRECT("'"&amp;$C48&amp;"'!L23:L200")=Y$37),1,0)))</f>
        <v>14</v>
      </c>
      <c r="Z48" s="799">
        <f t="array" aca="1" ref="Z48" ca="1">IF($C48="","",SUMIF(INDIRECT("'"&amp;$C48&amp;"'!I:I"),$C$1,INDIRECT("'"&amp;$C48&amp;"'!J:J")))</f>
        <v>61</v>
      </c>
      <c r="AA48" s="799">
        <f t="array" aca="1" ref="AA48" ca="1">IF($C48="","",SUMIF(INDIRECT("'"&amp;$C48&amp;"'!I:I"),$C$1,INDIRECT("'"&amp;$C48&amp;"'!K:K")))</f>
        <v>45</v>
      </c>
      <c r="AB48" s="799">
        <f t="shared" ca="1" si="47"/>
        <v>16</v>
      </c>
      <c r="AC48" s="788">
        <f t="shared" ca="1" si="48"/>
        <v>66</v>
      </c>
      <c r="AD48" s="799">
        <f t="shared" ca="1" si="49"/>
        <v>66.160610000909088</v>
      </c>
      <c r="AE48" s="800">
        <f t="shared" ca="1" si="50"/>
        <v>8</v>
      </c>
      <c r="AF48" s="318">
        <f t="shared" ca="1" si="32"/>
        <v>42</v>
      </c>
      <c r="AG48" s="232">
        <f t="shared" ca="1" si="33"/>
        <v>19</v>
      </c>
      <c r="AH48" s="232">
        <f t="shared" ca="1" si="33"/>
        <v>9</v>
      </c>
      <c r="AI48" s="232">
        <f t="shared" ca="1" si="33"/>
        <v>14</v>
      </c>
      <c r="AJ48" s="232">
        <f t="shared" ca="1" si="34"/>
        <v>61</v>
      </c>
      <c r="AK48" s="232">
        <f t="shared" ca="1" si="34"/>
        <v>45</v>
      </c>
      <c r="AL48" s="232">
        <f t="shared" ca="1" si="34"/>
        <v>16</v>
      </c>
      <c r="AM48" s="232">
        <f t="shared" ca="1" si="35"/>
        <v>66</v>
      </c>
      <c r="AN48" s="230"/>
      <c r="AO48" s="802"/>
      <c r="AP48" s="786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1:59" thickBot="1">
      <c r="A49" s="763">
        <f t="shared" ca="1" si="36"/>
        <v>14</v>
      </c>
      <c r="B49" s="797" t="str">
        <f t="shared" ca="1" si="37"/>
        <v>Mito Hollyhock</v>
      </c>
      <c r="C49" s="798" t="s">
        <v>873</v>
      </c>
      <c r="D49" s="743">
        <f t="shared" ca="1" si="38"/>
        <v>21</v>
      </c>
      <c r="E49" s="745">
        <f t="array" aca="1" ref="E49" ca="1">IF($C49="","",SUM(IF((INDIRECT("'"&amp;$C49&amp;"'!I23:I200")=$C$1)*(INDIRECT("'"&amp;$C49&amp;"'!L23:L200")=E$37)*(INDIRECT("'"&amp;$C49&amp;"'!H23:H200")=$D$36),1,0)))</f>
        <v>10</v>
      </c>
      <c r="F49" s="745">
        <f t="array" aca="1" ref="F49" ca="1">IF($C49="","",SUM(IF((INDIRECT("'"&amp;$C49&amp;"'!I23:I200")=$C$1)*(INDIRECT("'"&amp;$C49&amp;"'!L23:L200")=F$37)*(INDIRECT("'"&amp;$C49&amp;"'!H23:H200")=$D$36),1,0)))</f>
        <v>6</v>
      </c>
      <c r="G49" s="745">
        <f t="array" aca="1" ref="G49" ca="1">IF($C49="","",SUM(IF((INDIRECT("'"&amp;$C49&amp;"'!I23:I200")=$C$1)*(INDIRECT("'"&amp;$C49&amp;"'!L23:L200")=G$37)*(INDIRECT("'"&amp;$C49&amp;"'!H23:H200")=$D$36),1,0)))</f>
        <v>5</v>
      </c>
      <c r="H49" s="745">
        <f t="array" aca="1" ref="H49" ca="1">IF($C49="","",SUM(IF((INDIRECT("'"&amp;$C49&amp;"'!I23:I200")=$C$1)*(INDIRECT("'"&amp;$C49&amp;"'!H23:H200")=$D$36),INDIRECT("'"&amp;$C49&amp;"'!J23:J200"),0)))</f>
        <v>32</v>
      </c>
      <c r="I49" s="745">
        <f t="array" aca="1" ref="I49" ca="1">IF($C49="","",SUM(IF((INDIRECT("'"&amp;$C49&amp;"'!I23:I200")=$C$1)*(INDIRECT("'"&amp;$C49&amp;"'!H23:H200")=$D$36),INDIRECT("'"&amp;$C49&amp;"'!K23:K200"),0)))</f>
        <v>19</v>
      </c>
      <c r="J49" s="745">
        <f t="shared" ca="1" si="39"/>
        <v>13</v>
      </c>
      <c r="K49" s="745">
        <f t="shared" ca="1" si="40"/>
        <v>36</v>
      </c>
      <c r="L49" s="503">
        <f t="shared" ca="1" si="41"/>
        <v>7</v>
      </c>
      <c r="M49" s="748">
        <f t="shared" ca="1" si="42"/>
        <v>21</v>
      </c>
      <c r="N49" s="745">
        <f t="array" aca="1" ref="N49" ca="1">IF($C49="","",SUM(IF((INDIRECT("'"&amp;$C49&amp;"'!I23:I200")=$C$1)*(INDIRECT("'"&amp;$C49&amp;"'!L23:L200")=N$37)*(INDIRECT("'"&amp;$C49&amp;"'!H23:H200")=$M$36),1,0)))</f>
        <v>4</v>
      </c>
      <c r="O49" s="745">
        <f t="array" aca="1" ref="O49" ca="1">IF($C49="","",SUM(IF((INDIRECT("'"&amp;$C49&amp;"'!I23:I200")=$C$1)*(INDIRECT("'"&amp;$C49&amp;"'!L23:L200")=O$37)*(INDIRECT("'"&amp;$C49&amp;"'!H23:H200")=$M$36),1,0)))</f>
        <v>6</v>
      </c>
      <c r="P49" s="745">
        <f t="array" aca="1" ref="P49" ca="1">IF($C49="","",SUM(IF((INDIRECT("'"&amp;$C49&amp;"'!I23:I200")=$C$1)*(INDIRECT("'"&amp;$C49&amp;"'!L23:L200")=P$37)*(INDIRECT("'"&amp;$C49&amp;"'!H23:H200")=$M$36),1,0)))</f>
        <v>11</v>
      </c>
      <c r="Q49" s="745">
        <f t="array" aca="1" ref="Q49" ca="1">IF($C49="","",SUM(IF((INDIRECT("'"&amp;$C49&amp;"'!I23:I200")=$C$1)*(INDIRECT("'"&amp;$C49&amp;"'!H23:H200")=$M$36),INDIRECT("'"&amp;$C49&amp;"'!J23:J200"),0)))</f>
        <v>13</v>
      </c>
      <c r="R49" s="745">
        <f t="array" aca="1" ref="R49" ca="1">IF($C49="","",SUM(IF((INDIRECT("'"&amp;$C49&amp;"'!I23:I200")=$C$1)*(INDIRECT("'"&amp;$C49&amp;"'!H23:H200")=$M$36),INDIRECT("'"&amp;$C49&amp;"'!K23:K200"),0)))</f>
        <v>29</v>
      </c>
      <c r="S49" s="745">
        <f t="shared" ca="1" si="43"/>
        <v>-16</v>
      </c>
      <c r="T49" s="745">
        <f t="shared" ca="1" si="44"/>
        <v>18</v>
      </c>
      <c r="U49" s="503">
        <f t="shared" ca="1" si="45"/>
        <v>18</v>
      </c>
      <c r="V49" s="743">
        <f t="shared" ca="1" si="46"/>
        <v>42</v>
      </c>
      <c r="W49" s="745">
        <f t="array" aca="1" ref="W49" ca="1">IF($C49="","",SUM(IF((INDIRECT("'"&amp;$C49&amp;"'!I23:I200")=$C$1)*(INDIRECT("'"&amp;$C49&amp;"'!L23:L200")=W$37),1,0)))</f>
        <v>14</v>
      </c>
      <c r="X49" s="799">
        <f t="array" aca="1" ref="X49" ca="1">IF($C49="","",SUM(IF((INDIRECT("'"&amp;$C49&amp;"'!I23:I200")=$C$1)*(INDIRECT("'"&amp;$C49&amp;"'!L23:L200")=X$37),1,0)))</f>
        <v>12</v>
      </c>
      <c r="Y49" s="799">
        <f t="array" aca="1" ref="Y49" ca="1">IF($C49="","",SUM(IF((INDIRECT("'"&amp;$C49&amp;"'!I23:I200")=$C$1)*(INDIRECT("'"&amp;$C49&amp;"'!L23:L200")=Y$37),1,0)))</f>
        <v>16</v>
      </c>
      <c r="Z49" s="799">
        <f t="array" aca="1" ref="Z49" ca="1">IF($C49="","",SUMIF(INDIRECT("'"&amp;$C49&amp;"'!I:I"),$C$1,INDIRECT("'"&amp;$C49&amp;"'!J:J")))</f>
        <v>45</v>
      </c>
      <c r="AA49" s="799">
        <f t="array" aca="1" ref="AA49" ca="1">IF($C49="","",SUMIF(INDIRECT("'"&amp;$C49&amp;"'!I:I"),$C$1,INDIRECT("'"&amp;$C49&amp;"'!K:K")))</f>
        <v>48</v>
      </c>
      <c r="AB49" s="799">
        <f t="shared" ca="1" si="47"/>
        <v>-3</v>
      </c>
      <c r="AC49" s="788">
        <f t="shared" ca="1" si="48"/>
        <v>54</v>
      </c>
      <c r="AD49" s="799">
        <f t="shared" ca="1" si="49"/>
        <v>53.970450000833331</v>
      </c>
      <c r="AE49" s="800">
        <f t="shared" ca="1" si="50"/>
        <v>14</v>
      </c>
      <c r="AF49" s="318">
        <f t="shared" ca="1" si="32"/>
        <v>42</v>
      </c>
      <c r="AG49" s="232">
        <f t="shared" ca="1" si="33"/>
        <v>14</v>
      </c>
      <c r="AH49" s="232">
        <f t="shared" ca="1" si="33"/>
        <v>12</v>
      </c>
      <c r="AI49" s="232">
        <f t="shared" ca="1" si="33"/>
        <v>16</v>
      </c>
      <c r="AJ49" s="232">
        <f t="shared" ca="1" si="34"/>
        <v>45</v>
      </c>
      <c r="AK49" s="232">
        <f t="shared" ca="1" si="34"/>
        <v>48</v>
      </c>
      <c r="AL49" s="232">
        <f t="shared" ca="1" si="34"/>
        <v>-3</v>
      </c>
      <c r="AM49" s="232">
        <f t="shared" ca="1" si="35"/>
        <v>54</v>
      </c>
      <c r="AN49" s="230"/>
      <c r="AO49" s="802"/>
      <c r="AP49" s="786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1:59" thickBot="1">
      <c r="A50" s="763">
        <f t="shared" ca="1" si="36"/>
        <v>11</v>
      </c>
      <c r="B50" s="797" t="str">
        <f t="shared" ca="1" si="37"/>
        <v>Montedio Yamagata</v>
      </c>
      <c r="C50" s="798" t="s">
        <v>874</v>
      </c>
      <c r="D50" s="743">
        <f t="shared" ca="1" si="38"/>
        <v>21</v>
      </c>
      <c r="E50" s="745">
        <f t="array" aca="1" ref="E50" ca="1">IF($C50="","",SUM(IF((INDIRECT("'"&amp;$C50&amp;"'!I23:I200")=$C$1)*(INDIRECT("'"&amp;$C50&amp;"'!L23:L200")=E$37)*(INDIRECT("'"&amp;$C50&amp;"'!H23:H200")=$D$36),1,0)))</f>
        <v>9</v>
      </c>
      <c r="F50" s="745">
        <f t="array" aca="1" ref="F50" ca="1">IF($C50="","",SUM(IF((INDIRECT("'"&amp;$C50&amp;"'!I23:I200")=$C$1)*(INDIRECT("'"&amp;$C50&amp;"'!L23:L200")=F$37)*(INDIRECT("'"&amp;$C50&amp;"'!H23:H200")=$D$36),1,0)))</f>
        <v>9</v>
      </c>
      <c r="G50" s="745">
        <f t="array" aca="1" ref="G50" ca="1">IF($C50="","",SUM(IF((INDIRECT("'"&amp;$C50&amp;"'!I23:I200")=$C$1)*(INDIRECT("'"&amp;$C50&amp;"'!L23:L200")=G$37)*(INDIRECT("'"&amp;$C50&amp;"'!H23:H200")=$D$36),1,0)))</f>
        <v>3</v>
      </c>
      <c r="H50" s="745">
        <f t="array" aca="1" ref="H50" ca="1">IF($C50="","",SUM(IF((INDIRECT("'"&amp;$C50&amp;"'!I23:I200")=$C$1)*(INDIRECT("'"&amp;$C50&amp;"'!H23:H200")=$D$36),INDIRECT("'"&amp;$C50&amp;"'!J23:J200"),0)))</f>
        <v>29</v>
      </c>
      <c r="I50" s="745">
        <f t="array" aca="1" ref="I50" ca="1">IF($C50="","",SUM(IF((INDIRECT("'"&amp;$C50&amp;"'!I23:I200")=$C$1)*(INDIRECT("'"&amp;$C50&amp;"'!H23:H200")=$D$36),INDIRECT("'"&amp;$C50&amp;"'!K23:K200"),0)))</f>
        <v>23</v>
      </c>
      <c r="J50" s="745">
        <f t="shared" ca="1" si="39"/>
        <v>6</v>
      </c>
      <c r="K50" s="745">
        <f t="shared" ca="1" si="40"/>
        <v>36</v>
      </c>
      <c r="L50" s="503">
        <f t="shared" ca="1" si="41"/>
        <v>7</v>
      </c>
      <c r="M50" s="748">
        <f t="shared" ca="1" si="42"/>
        <v>21</v>
      </c>
      <c r="N50" s="745">
        <f t="array" aca="1" ref="N50" ca="1">IF($C50="","",SUM(IF((INDIRECT("'"&amp;$C50&amp;"'!I23:I200")=$C$1)*(INDIRECT("'"&amp;$C50&amp;"'!L23:L200")=N$37)*(INDIRECT("'"&amp;$C50&amp;"'!H23:H200")=$M$36),1,0)))</f>
        <v>5</v>
      </c>
      <c r="O50" s="745">
        <f t="array" aca="1" ref="O50" ca="1">IF($C50="","",SUM(IF((INDIRECT("'"&amp;$C50&amp;"'!I23:I200")=$C$1)*(INDIRECT("'"&amp;$C50&amp;"'!L23:L200")=O$37)*(INDIRECT("'"&amp;$C50&amp;"'!H23:H200")=$M$36),1,0)))</f>
        <v>8</v>
      </c>
      <c r="P50" s="745">
        <f t="array" aca="1" ref="P50" ca="1">IF($C50="","",SUM(IF((INDIRECT("'"&amp;$C50&amp;"'!I23:I200")=$C$1)*(INDIRECT("'"&amp;$C50&amp;"'!L23:L200")=P$37)*(INDIRECT("'"&amp;$C50&amp;"'!H23:H200")=$M$36),1,0)))</f>
        <v>8</v>
      </c>
      <c r="Q50" s="745">
        <f t="array" aca="1" ref="Q50" ca="1">IF($C50="","",SUM(IF((INDIRECT("'"&amp;$C50&amp;"'!I23:I200")=$C$1)*(INDIRECT("'"&amp;$C50&amp;"'!H23:H200")=$M$36),INDIRECT("'"&amp;$C50&amp;"'!J23:J200"),0)))</f>
        <v>16</v>
      </c>
      <c r="R50" s="745">
        <f t="array" aca="1" ref="R50" ca="1">IF($C50="","",SUM(IF((INDIRECT("'"&amp;$C50&amp;"'!I23:I200")=$C$1)*(INDIRECT("'"&amp;$C50&amp;"'!H23:H200")=$M$36),INDIRECT("'"&amp;$C50&amp;"'!K23:K200"),0)))</f>
        <v>24</v>
      </c>
      <c r="S50" s="745">
        <f t="shared" ca="1" si="43"/>
        <v>-8</v>
      </c>
      <c r="T50" s="745">
        <f t="shared" ca="1" si="44"/>
        <v>23</v>
      </c>
      <c r="U50" s="503">
        <f t="shared" ca="1" si="45"/>
        <v>13</v>
      </c>
      <c r="V50" s="743">
        <f t="shared" ca="1" si="46"/>
        <v>42</v>
      </c>
      <c r="W50" s="745">
        <f t="array" aca="1" ref="W50" ca="1">IF($C50="","",SUM(IF((INDIRECT("'"&amp;$C50&amp;"'!I23:I200")=$C$1)*(INDIRECT("'"&amp;$C50&amp;"'!L23:L200")=W$37),1,0)))</f>
        <v>14</v>
      </c>
      <c r="X50" s="799">
        <f t="array" aca="1" ref="X50" ca="1">IF($C50="","",SUM(IF((INDIRECT("'"&amp;$C50&amp;"'!I23:I200")=$C$1)*(INDIRECT("'"&amp;$C50&amp;"'!L23:L200")=X$37),1,0)))</f>
        <v>17</v>
      </c>
      <c r="Y50" s="799">
        <f t="array" aca="1" ref="Y50" ca="1">IF($C50="","",SUM(IF((INDIRECT("'"&amp;$C50&amp;"'!I23:I200")=$C$1)*(INDIRECT("'"&amp;$C50&amp;"'!L23:L200")=Y$37),1,0)))</f>
        <v>11</v>
      </c>
      <c r="Z50" s="799">
        <f t="array" aca="1" ref="Z50" ca="1">IF($C50="","",SUMIF(INDIRECT("'"&amp;$C50&amp;"'!I:I"),$C$1,INDIRECT("'"&amp;$C50&amp;"'!J:J")))</f>
        <v>45</v>
      </c>
      <c r="AA50" s="799">
        <f t="array" aca="1" ref="AA50" ca="1">IF($C50="","",SUMIF(INDIRECT("'"&amp;$C50&amp;"'!I:I"),$C$1,INDIRECT("'"&amp;$C50&amp;"'!K:K")))</f>
        <v>47</v>
      </c>
      <c r="AB50" s="799">
        <f t="shared" ca="1" si="47"/>
        <v>-2</v>
      </c>
      <c r="AC50" s="788">
        <f t="shared" ca="1" si="48"/>
        <v>59</v>
      </c>
      <c r="AD50" s="799">
        <f t="shared" ca="1" si="49"/>
        <v>58.980450000769231</v>
      </c>
      <c r="AE50" s="800">
        <f t="shared" ca="1" si="50"/>
        <v>11</v>
      </c>
      <c r="AF50" s="318">
        <f t="shared" ca="1" si="32"/>
        <v>42</v>
      </c>
      <c r="AG50" s="232">
        <f t="shared" ca="1" si="33"/>
        <v>14</v>
      </c>
      <c r="AH50" s="232">
        <f t="shared" ca="1" si="33"/>
        <v>17</v>
      </c>
      <c r="AI50" s="232">
        <f t="shared" ca="1" si="33"/>
        <v>11</v>
      </c>
      <c r="AJ50" s="232">
        <f t="shared" ca="1" si="34"/>
        <v>45</v>
      </c>
      <c r="AK50" s="232">
        <f t="shared" ca="1" si="34"/>
        <v>47</v>
      </c>
      <c r="AL50" s="232">
        <f t="shared" ca="1" si="34"/>
        <v>-2</v>
      </c>
      <c r="AM50" s="232">
        <f t="shared" ca="1" si="35"/>
        <v>59</v>
      </c>
      <c r="AN50" s="230"/>
      <c r="AO50" s="802"/>
      <c r="AP50" s="786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1:59" thickBot="1">
      <c r="A51" s="763">
        <f t="shared" ca="1" si="36"/>
        <v>20</v>
      </c>
      <c r="B51" s="797" t="str">
        <f t="shared" ca="1" si="37"/>
        <v>Renofa Yamaguchi</v>
      </c>
      <c r="C51" s="798" t="s">
        <v>882</v>
      </c>
      <c r="D51" s="743">
        <f t="shared" ca="1" si="38"/>
        <v>21</v>
      </c>
      <c r="E51" s="745">
        <f t="array" aca="1" ref="E51" ca="1">IF($C51="","",SUM(IF((INDIRECT("'"&amp;$C51&amp;"'!I23:I200")=$C$1)*(INDIRECT("'"&amp;$C51&amp;"'!L23:L200")=E$37)*(INDIRECT("'"&amp;$C51&amp;"'!H23:H200")=$D$36),1,0)))</f>
        <v>4</v>
      </c>
      <c r="F51" s="745">
        <f t="array" aca="1" ref="F51" ca="1">IF($C51="","",SUM(IF((INDIRECT("'"&amp;$C51&amp;"'!I23:I200")=$C$1)*(INDIRECT("'"&amp;$C51&amp;"'!L23:L200")=F$37)*(INDIRECT("'"&amp;$C51&amp;"'!H23:H200")=$D$36),1,0)))</f>
        <v>3</v>
      </c>
      <c r="G51" s="745">
        <f t="array" aca="1" ref="G51" ca="1">IF($C51="","",SUM(IF((INDIRECT("'"&amp;$C51&amp;"'!I23:I200")=$C$1)*(INDIRECT("'"&amp;$C51&amp;"'!L23:L200")=G$37)*(INDIRECT("'"&amp;$C51&amp;"'!H23:H200")=$D$36),1,0)))</f>
        <v>14</v>
      </c>
      <c r="H51" s="745">
        <f t="array" aca="1" ref="H51" ca="1">IF($C51="","",SUM(IF((INDIRECT("'"&amp;$C51&amp;"'!I23:I200")=$C$1)*(INDIRECT("'"&amp;$C51&amp;"'!H23:H200")=$D$36),INDIRECT("'"&amp;$C51&amp;"'!J23:J200"),0)))</f>
        <v>20</v>
      </c>
      <c r="I51" s="745">
        <f t="array" aca="1" ref="I51" ca="1">IF($C51="","",SUM(IF((INDIRECT("'"&amp;$C51&amp;"'!I23:I200")=$C$1)*(INDIRECT("'"&amp;$C51&amp;"'!H23:H200")=$D$36),INDIRECT("'"&amp;$C51&amp;"'!K23:K200"),0)))</f>
        <v>34</v>
      </c>
      <c r="J51" s="745">
        <f t="shared" ca="1" si="39"/>
        <v>-14</v>
      </c>
      <c r="K51" s="745">
        <f t="shared" ca="1" si="40"/>
        <v>15</v>
      </c>
      <c r="L51" s="503">
        <f t="shared" ca="1" si="41"/>
        <v>21</v>
      </c>
      <c r="M51" s="748">
        <f t="shared" ca="1" si="42"/>
        <v>21</v>
      </c>
      <c r="N51" s="745">
        <f t="array" aca="1" ref="N51" ca="1">IF($C51="","",SUM(IF((INDIRECT("'"&amp;$C51&amp;"'!I23:I200")=$C$1)*(INDIRECT("'"&amp;$C51&amp;"'!L23:L200")=N$37)*(INDIRECT("'"&amp;$C51&amp;"'!H23:H200")=$M$36),1,0)))</f>
        <v>7</v>
      </c>
      <c r="O51" s="745">
        <f t="array" aca="1" ref="O51" ca="1">IF($C51="","",SUM(IF((INDIRECT("'"&amp;$C51&amp;"'!I23:I200")=$C$1)*(INDIRECT("'"&amp;$C51&amp;"'!L23:L200")=O$37)*(INDIRECT("'"&amp;$C51&amp;"'!H23:H200")=$M$36),1,0)))</f>
        <v>2</v>
      </c>
      <c r="P51" s="745">
        <f t="array" aca="1" ref="P51" ca="1">IF($C51="","",SUM(IF((INDIRECT("'"&amp;$C51&amp;"'!I23:I200")=$C$1)*(INDIRECT("'"&amp;$C51&amp;"'!L23:L200")=P$37)*(INDIRECT("'"&amp;$C51&amp;"'!H23:H200")=$M$36),1,0)))</f>
        <v>12</v>
      </c>
      <c r="Q51" s="745">
        <f t="array" aca="1" ref="Q51" ca="1">IF($C51="","",SUM(IF((INDIRECT("'"&amp;$C51&amp;"'!I23:I200")=$C$1)*(INDIRECT("'"&amp;$C51&amp;"'!H23:H200")=$M$36),INDIRECT("'"&amp;$C51&amp;"'!J23:J200"),0)))</f>
        <v>28</v>
      </c>
      <c r="R51" s="745">
        <f t="array" aca="1" ref="R51" ca="1">IF($C51="","",SUM(IF((INDIRECT("'"&amp;$C51&amp;"'!I23:I200")=$C$1)*(INDIRECT("'"&amp;$C51&amp;"'!H23:H200")=$M$36),INDIRECT("'"&amp;$C51&amp;"'!K23:K200"),0)))</f>
        <v>35</v>
      </c>
      <c r="S51" s="745">
        <f t="shared" ca="1" si="43"/>
        <v>-7</v>
      </c>
      <c r="T51" s="745">
        <f t="shared" ca="1" si="44"/>
        <v>23</v>
      </c>
      <c r="U51" s="503">
        <f t="shared" ca="1" si="45"/>
        <v>13</v>
      </c>
      <c r="V51" s="743">
        <f t="shared" ca="1" si="46"/>
        <v>42</v>
      </c>
      <c r="W51" s="745">
        <f t="array" aca="1" ref="W51" ca="1">IF($C51="","",SUM(IF((INDIRECT("'"&amp;$C51&amp;"'!I23:I200")=$C$1)*(INDIRECT("'"&amp;$C51&amp;"'!L23:L200")=W$37),1,0)))</f>
        <v>11</v>
      </c>
      <c r="X51" s="799">
        <f t="array" aca="1" ref="X51" ca="1">IF($C51="","",SUM(IF((INDIRECT("'"&amp;$C51&amp;"'!I23:I200")=$C$1)*(INDIRECT("'"&amp;$C51&amp;"'!L23:L200")=X$37),1,0)))</f>
        <v>5</v>
      </c>
      <c r="Y51" s="799">
        <f t="array" aca="1" ref="Y51" ca="1">IF($C51="","",SUM(IF((INDIRECT("'"&amp;$C51&amp;"'!I23:I200")=$C$1)*(INDIRECT("'"&amp;$C51&amp;"'!L23:L200")=Y$37),1,0)))</f>
        <v>26</v>
      </c>
      <c r="Z51" s="799">
        <f t="array" aca="1" ref="Z51" ca="1">IF($C51="","",SUMIF(INDIRECT("'"&amp;$C51&amp;"'!I:I"),$C$1,INDIRECT("'"&amp;$C51&amp;"'!J:J")))</f>
        <v>48</v>
      </c>
      <c r="AA51" s="799">
        <f t="array" aca="1" ref="AA51" ca="1">IF($C51="","",SUMIF(INDIRECT("'"&amp;$C51&amp;"'!I:I"),$C$1,INDIRECT("'"&amp;$C51&amp;"'!K:K")))</f>
        <v>69</v>
      </c>
      <c r="AB51" s="799">
        <f t="shared" ca="1" si="47"/>
        <v>-21</v>
      </c>
      <c r="AC51" s="788">
        <f t="shared" ca="1" si="48"/>
        <v>38</v>
      </c>
      <c r="AD51" s="799">
        <f t="shared" ca="1" si="49"/>
        <v>37.79048000071429</v>
      </c>
      <c r="AE51" s="800">
        <f t="shared" ca="1" si="50"/>
        <v>20</v>
      </c>
      <c r="AF51" s="318">
        <f t="shared" ca="1" si="32"/>
        <v>42</v>
      </c>
      <c r="AG51" s="232">
        <f t="shared" ca="1" si="33"/>
        <v>11</v>
      </c>
      <c r="AH51" s="232">
        <f t="shared" ca="1" si="33"/>
        <v>5</v>
      </c>
      <c r="AI51" s="232">
        <f t="shared" ca="1" si="33"/>
        <v>26</v>
      </c>
      <c r="AJ51" s="232">
        <f t="shared" ca="1" si="34"/>
        <v>48</v>
      </c>
      <c r="AK51" s="232">
        <f t="shared" ca="1" si="34"/>
        <v>69</v>
      </c>
      <c r="AL51" s="232">
        <f t="shared" ca="1" si="34"/>
        <v>-21</v>
      </c>
      <c r="AM51" s="232">
        <f t="shared" ca="1" si="35"/>
        <v>38</v>
      </c>
      <c r="AN51" s="230"/>
      <c r="AO51" s="802"/>
      <c r="AP51" s="786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1:59" thickBot="1">
      <c r="A52" s="763">
        <f t="shared" ca="1" si="36"/>
        <v>21</v>
      </c>
      <c r="B52" s="797" t="str">
        <f t="shared" ca="1" si="37"/>
        <v>Roasso Kumamoto</v>
      </c>
      <c r="C52" s="798" t="s">
        <v>890</v>
      </c>
      <c r="D52" s="743">
        <f t="shared" ca="1" si="38"/>
        <v>21</v>
      </c>
      <c r="E52" s="745">
        <f t="array" aca="1" ref="E52" ca="1">IF($C52="","",SUM(IF((INDIRECT("'"&amp;$C52&amp;"'!I23:I200")=$C$1)*(INDIRECT("'"&amp;$C52&amp;"'!L23:L200")=E$37)*(INDIRECT("'"&amp;$C52&amp;"'!H23:H200")=$D$36),1,0)))</f>
        <v>5</v>
      </c>
      <c r="F52" s="745">
        <f t="array" aca="1" ref="F52" ca="1">IF($C52="","",SUM(IF((INDIRECT("'"&amp;$C52&amp;"'!I23:I200")=$C$1)*(INDIRECT("'"&amp;$C52&amp;"'!L23:L200")=F$37)*(INDIRECT("'"&amp;$C52&amp;"'!H23:H200")=$D$36),1,0)))</f>
        <v>4</v>
      </c>
      <c r="G52" s="745">
        <f t="array" aca="1" ref="G52" ca="1">IF($C52="","",SUM(IF((INDIRECT("'"&amp;$C52&amp;"'!I23:I200")=$C$1)*(INDIRECT("'"&amp;$C52&amp;"'!L23:L200")=G$37)*(INDIRECT("'"&amp;$C52&amp;"'!H23:H200")=$D$36),1,0)))</f>
        <v>12</v>
      </c>
      <c r="H52" s="745">
        <f t="array" aca="1" ref="H52" ca="1">IF($C52="","",SUM(IF((INDIRECT("'"&amp;$C52&amp;"'!I23:I200")=$C$1)*(INDIRECT("'"&amp;$C52&amp;"'!H23:H200")=$D$36),INDIRECT("'"&amp;$C52&amp;"'!J23:J200"),0)))</f>
        <v>19</v>
      </c>
      <c r="I52" s="745">
        <f t="array" aca="1" ref="I52" ca="1">IF($C52="","",SUM(IF((INDIRECT("'"&amp;$C52&amp;"'!I23:I200")=$C$1)*(INDIRECT("'"&amp;$C52&amp;"'!H23:H200")=$D$36),INDIRECT("'"&amp;$C52&amp;"'!K23:K200"),0)))</f>
        <v>30</v>
      </c>
      <c r="J52" s="745">
        <f t="shared" ca="1" si="39"/>
        <v>-11</v>
      </c>
      <c r="K52" s="745">
        <f t="shared" ca="1" si="40"/>
        <v>19</v>
      </c>
      <c r="L52" s="503">
        <f t="shared" ca="1" si="41"/>
        <v>19</v>
      </c>
      <c r="M52" s="748">
        <f t="shared" ca="1" si="42"/>
        <v>21</v>
      </c>
      <c r="N52" s="745">
        <f t="array" aca="1" ref="N52" ca="1">IF($C52="","",SUM(IF((INDIRECT("'"&amp;$C52&amp;"'!I23:I200")=$C$1)*(INDIRECT("'"&amp;$C52&amp;"'!L23:L200")=N$37)*(INDIRECT("'"&amp;$C52&amp;"'!H23:H200")=$M$36),1,0)))</f>
        <v>4</v>
      </c>
      <c r="O52" s="745">
        <f t="array" aca="1" ref="O52" ca="1">IF($C52="","",SUM(IF((INDIRECT("'"&amp;$C52&amp;"'!I23:I200")=$C$1)*(INDIRECT("'"&amp;$C52&amp;"'!L23:L200")=O$37)*(INDIRECT("'"&amp;$C52&amp;"'!H23:H200")=$M$36),1,0)))</f>
        <v>6</v>
      </c>
      <c r="P52" s="745">
        <f t="array" aca="1" ref="P52" ca="1">IF($C52="","",SUM(IF((INDIRECT("'"&amp;$C52&amp;"'!I23:I200")=$C$1)*(INDIRECT("'"&amp;$C52&amp;"'!L23:L200")=P$37)*(INDIRECT("'"&amp;$C52&amp;"'!H23:H200")=$M$36),1,0)))</f>
        <v>11</v>
      </c>
      <c r="Q52" s="745">
        <f t="array" aca="1" ref="Q52" ca="1">IF($C52="","",SUM(IF((INDIRECT("'"&amp;$C52&amp;"'!I23:I200")=$C$1)*(INDIRECT("'"&amp;$C52&amp;"'!H23:H200")=$M$36),INDIRECT("'"&amp;$C52&amp;"'!J23:J200"),0)))</f>
        <v>17</v>
      </c>
      <c r="R52" s="745">
        <f t="array" aca="1" ref="R52" ca="1">IF($C52="","",SUM(IF((INDIRECT("'"&amp;$C52&amp;"'!I23:I200")=$C$1)*(INDIRECT("'"&amp;$C52&amp;"'!H23:H200")=$M$36),INDIRECT("'"&amp;$C52&amp;"'!K23:K200"),0)))</f>
        <v>29</v>
      </c>
      <c r="S52" s="745">
        <f t="shared" ca="1" si="43"/>
        <v>-12</v>
      </c>
      <c r="T52" s="745">
        <f t="shared" ca="1" si="44"/>
        <v>18</v>
      </c>
      <c r="U52" s="503">
        <f t="shared" ca="1" si="45"/>
        <v>18</v>
      </c>
      <c r="V52" s="743">
        <f t="shared" ca="1" si="46"/>
        <v>42</v>
      </c>
      <c r="W52" s="745">
        <f t="array" aca="1" ref="W52" ca="1">IF($C52="","",SUM(IF((INDIRECT("'"&amp;$C52&amp;"'!I23:I200")=$C$1)*(INDIRECT("'"&amp;$C52&amp;"'!L23:L200")=W$37),1,0)))</f>
        <v>9</v>
      </c>
      <c r="X52" s="799">
        <f t="array" aca="1" ref="X52" ca="1">IF($C52="","",SUM(IF((INDIRECT("'"&amp;$C52&amp;"'!I23:I200")=$C$1)*(INDIRECT("'"&amp;$C52&amp;"'!L23:L200")=X$37),1,0)))</f>
        <v>10</v>
      </c>
      <c r="Y52" s="799">
        <f t="array" aca="1" ref="Y52" ca="1">IF($C52="","",SUM(IF((INDIRECT("'"&amp;$C52&amp;"'!I23:I200")=$C$1)*(INDIRECT("'"&amp;$C52&amp;"'!L23:L200")=Y$37),1,0)))</f>
        <v>23</v>
      </c>
      <c r="Z52" s="799">
        <f t="array" aca="1" ref="Z52" ca="1">IF($C52="","",SUMIF(INDIRECT("'"&amp;$C52&amp;"'!I:I"),$C$1,INDIRECT("'"&amp;$C52&amp;"'!J:J")))</f>
        <v>36</v>
      </c>
      <c r="AA52" s="799">
        <f t="array" aca="1" ref="AA52" ca="1">IF($C52="","",SUMIF(INDIRECT("'"&amp;$C52&amp;"'!I:I"),$C$1,INDIRECT("'"&amp;$C52&amp;"'!K:K")))</f>
        <v>59</v>
      </c>
      <c r="AB52" s="799">
        <f t="shared" ca="1" si="47"/>
        <v>-23</v>
      </c>
      <c r="AC52" s="788">
        <f t="shared" ca="1" si="48"/>
        <v>37</v>
      </c>
      <c r="AD52" s="799">
        <f t="shared" ca="1" si="49"/>
        <v>36.77036000066667</v>
      </c>
      <c r="AE52" s="800">
        <f t="shared" ca="1" si="50"/>
        <v>21</v>
      </c>
      <c r="AF52" s="318">
        <f t="shared" ca="1" si="32"/>
        <v>42</v>
      </c>
      <c r="AG52" s="232">
        <f t="shared" ca="1" si="33"/>
        <v>9</v>
      </c>
      <c r="AH52" s="232">
        <f t="shared" ca="1" si="33"/>
        <v>10</v>
      </c>
      <c r="AI52" s="232">
        <f t="shared" ca="1" si="33"/>
        <v>23</v>
      </c>
      <c r="AJ52" s="232">
        <f t="shared" ca="1" si="34"/>
        <v>36</v>
      </c>
      <c r="AK52" s="232">
        <f t="shared" ca="1" si="34"/>
        <v>59</v>
      </c>
      <c r="AL52" s="232">
        <f t="shared" ca="1" si="34"/>
        <v>-23</v>
      </c>
      <c r="AM52" s="232">
        <f t="shared" ca="1" si="35"/>
        <v>37</v>
      </c>
      <c r="AN52" s="230"/>
      <c r="AO52" s="802"/>
      <c r="AP52" s="786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1:59" thickBot="1">
      <c r="A53" s="763">
        <f t="shared" ca="1" si="36"/>
        <v>3</v>
      </c>
      <c r="B53" s="797" t="str">
        <f t="shared" ca="1" si="37"/>
        <v>Nagoya Grampus</v>
      </c>
      <c r="C53" s="798" t="s">
        <v>1085</v>
      </c>
      <c r="D53" s="743">
        <f t="shared" ca="1" si="38"/>
        <v>23</v>
      </c>
      <c r="E53" s="745">
        <f t="array" aca="1" ref="E53" ca="1">IF($C53="","",SUM(IF((INDIRECT("'"&amp;$C53&amp;"'!I23:I200")=$C$1)*(INDIRECT("'"&amp;$C53&amp;"'!L23:L200")=E$37)*(INDIRECT("'"&amp;$C53&amp;"'!H23:H200")=$D$36),1,0)))</f>
        <v>14</v>
      </c>
      <c r="F53" s="745">
        <f t="array" aca="1" ref="F53" ca="1">IF($C53="","",SUM(IF((INDIRECT("'"&amp;$C53&amp;"'!I23:I200")=$C$1)*(INDIRECT("'"&amp;$C53&amp;"'!L23:L200")=F$37)*(INDIRECT("'"&amp;$C53&amp;"'!H23:H200")=$D$36),1,0)))</f>
        <v>3</v>
      </c>
      <c r="G53" s="745">
        <f t="array" aca="1" ref="G53" ca="1">IF($C53="","",SUM(IF((INDIRECT("'"&amp;$C53&amp;"'!I23:I200")=$C$1)*(INDIRECT("'"&amp;$C53&amp;"'!L23:L200")=G$37)*(INDIRECT("'"&amp;$C53&amp;"'!H23:H200")=$D$36),1,0)))</f>
        <v>6</v>
      </c>
      <c r="H53" s="745">
        <f t="array" aca="1" ref="H53" ca="1">IF($C53="","",SUM(IF((INDIRECT("'"&amp;$C53&amp;"'!I23:I200")=$C$1)*(INDIRECT("'"&amp;$C53&amp;"'!H23:H200")=$D$36),INDIRECT("'"&amp;$C53&amp;"'!J23:J200"),0)))</f>
        <v>52</v>
      </c>
      <c r="I53" s="745">
        <f t="array" aca="1" ref="I53" ca="1">IF($C53="","",SUM(IF((INDIRECT("'"&amp;$C53&amp;"'!I23:I200")=$C$1)*(INDIRECT("'"&amp;$C53&amp;"'!H23:H200")=$D$36),INDIRECT("'"&amp;$C53&amp;"'!K23:K200"),0)))</f>
        <v>34</v>
      </c>
      <c r="J53" s="745">
        <f t="shared" ca="1" si="39"/>
        <v>18</v>
      </c>
      <c r="K53" s="745">
        <f t="shared" ca="1" si="40"/>
        <v>45</v>
      </c>
      <c r="L53" s="503">
        <f t="shared" ca="1" si="41"/>
        <v>2</v>
      </c>
      <c r="M53" s="748">
        <f t="shared" ca="1" si="42"/>
        <v>21</v>
      </c>
      <c r="N53" s="745">
        <f t="array" aca="1" ref="N53" ca="1">IF($C53="","",SUM(IF((INDIRECT("'"&amp;$C53&amp;"'!I23:I200")=$C$1)*(INDIRECT("'"&amp;$C53&amp;"'!L23:L200")=N$37)*(INDIRECT("'"&amp;$C53&amp;"'!H23:H200")=$M$36),1,0)))</f>
        <v>10</v>
      </c>
      <c r="O53" s="745">
        <f t="array" aca="1" ref="O53" ca="1">IF($C53="","",SUM(IF((INDIRECT("'"&amp;$C53&amp;"'!I23:I200")=$C$1)*(INDIRECT("'"&amp;$C53&amp;"'!L23:L200")=O$37)*(INDIRECT("'"&amp;$C53&amp;"'!H23:H200")=$M$36),1,0)))</f>
        <v>4</v>
      </c>
      <c r="P53" s="745">
        <f t="array" aca="1" ref="P53" ca="1">IF($C53="","",SUM(IF((INDIRECT("'"&amp;$C53&amp;"'!I23:I200")=$C$1)*(INDIRECT("'"&amp;$C53&amp;"'!L23:L200")=P$37)*(INDIRECT("'"&amp;$C53&amp;"'!H23:H200")=$M$36),1,0)))</f>
        <v>7</v>
      </c>
      <c r="Q53" s="745">
        <f t="array" aca="1" ref="Q53" ca="1">IF($C53="","",SUM(IF((INDIRECT("'"&amp;$C53&amp;"'!I23:I200")=$C$1)*(INDIRECT("'"&amp;$C53&amp;"'!H23:H200")=$M$36),INDIRECT("'"&amp;$C53&amp;"'!J23:J200"),0)))</f>
        <v>37</v>
      </c>
      <c r="R53" s="745">
        <f t="array" aca="1" ref="R53" ca="1">IF($C53="","",SUM(IF((INDIRECT("'"&amp;$C53&amp;"'!I23:I200")=$C$1)*(INDIRECT("'"&amp;$C53&amp;"'!H23:H200")=$M$36),INDIRECT("'"&amp;$C53&amp;"'!K23:K200"),0)))</f>
        <v>33</v>
      </c>
      <c r="S53" s="745">
        <f t="shared" ca="1" si="43"/>
        <v>4</v>
      </c>
      <c r="T53" s="745">
        <f t="shared" ca="1" si="44"/>
        <v>34</v>
      </c>
      <c r="U53" s="503">
        <f t="shared" ca="1" si="45"/>
        <v>4</v>
      </c>
      <c r="V53" s="743">
        <f t="shared" ca="1" si="46"/>
        <v>44</v>
      </c>
      <c r="W53" s="745">
        <f t="array" aca="1" ref="W53" ca="1">IF($C53="","",SUM(IF((INDIRECT("'"&amp;$C53&amp;"'!I23:I200")=$C$1)*(INDIRECT("'"&amp;$C53&amp;"'!L23:L200")=W$37),1,0)))</f>
        <v>24</v>
      </c>
      <c r="X53" s="799">
        <f t="array" aca="1" ref="X53" ca="1">IF($C53="","",SUM(IF((INDIRECT("'"&amp;$C53&amp;"'!I23:I200")=$C$1)*(INDIRECT("'"&amp;$C53&amp;"'!L23:L200")=X$37),1,0)))</f>
        <v>7</v>
      </c>
      <c r="Y53" s="799">
        <f t="array" aca="1" ref="Y53" ca="1">IF($C53="","",SUM(IF((INDIRECT("'"&amp;$C53&amp;"'!I23:I200")=$C$1)*(INDIRECT("'"&amp;$C53&amp;"'!L23:L200")=Y$37),1,0)))</f>
        <v>13</v>
      </c>
      <c r="Z53" s="799">
        <f t="array" aca="1" ref="Z53" ca="1">IF($C53="","",SUMIF(INDIRECT("'"&amp;$C53&amp;"'!I:I"),$C$1,INDIRECT("'"&amp;$C53&amp;"'!J:J")))</f>
        <v>89</v>
      </c>
      <c r="AA53" s="799">
        <f t="array" aca="1" ref="AA53" ca="1">IF($C53="","",SUMIF(INDIRECT("'"&amp;$C53&amp;"'!I:I"),$C$1,INDIRECT("'"&amp;$C53&amp;"'!K:K")))</f>
        <v>67</v>
      </c>
      <c r="AB53" s="799">
        <f t="shared" ca="1" si="47"/>
        <v>22</v>
      </c>
      <c r="AC53" s="788">
        <f t="shared" ca="1" si="48"/>
        <v>79</v>
      </c>
      <c r="AD53" s="799">
        <f t="shared" ca="1" si="49"/>
        <v>79.220890000624991</v>
      </c>
      <c r="AE53" s="800">
        <f t="shared" ca="1" si="50"/>
        <v>3</v>
      </c>
      <c r="AF53" s="318">
        <f t="shared" ca="1" si="32"/>
        <v>44</v>
      </c>
      <c r="AG53" s="232">
        <f t="shared" ca="1" si="33"/>
        <v>24</v>
      </c>
      <c r="AH53" s="232">
        <f t="shared" ca="1" si="33"/>
        <v>7</v>
      </c>
      <c r="AI53" s="232">
        <f t="shared" ca="1" si="33"/>
        <v>13</v>
      </c>
      <c r="AJ53" s="232">
        <f t="shared" ca="1" si="34"/>
        <v>89</v>
      </c>
      <c r="AK53" s="232">
        <f t="shared" ca="1" si="34"/>
        <v>67</v>
      </c>
      <c r="AL53" s="232">
        <f t="shared" ca="1" si="34"/>
        <v>22</v>
      </c>
      <c r="AM53" s="232">
        <f t="shared" ca="1" si="35"/>
        <v>79</v>
      </c>
      <c r="AN53" s="230"/>
      <c r="AO53" s="802"/>
      <c r="AP53" s="786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1:59" thickBot="1">
      <c r="A54" s="763">
        <f t="shared" ca="1" si="36"/>
        <v>22</v>
      </c>
      <c r="B54" s="797" t="str">
        <f t="shared" ca="1" si="37"/>
        <v>ThespaKusatsu Gunma</v>
      </c>
      <c r="C54" s="798" t="s">
        <v>895</v>
      </c>
      <c r="D54" s="743">
        <f t="shared" ca="1" si="38"/>
        <v>21</v>
      </c>
      <c r="E54" s="745">
        <f t="array" aca="1" ref="E54" ca="1">IF($C54="","",SUM(IF((INDIRECT("'"&amp;$C54&amp;"'!I23:I200")=$C$1)*(INDIRECT("'"&amp;$C54&amp;"'!L23:L200")=E$37)*(INDIRECT("'"&amp;$C54&amp;"'!H23:H200")=$D$36),1,0)))</f>
        <v>2</v>
      </c>
      <c r="F54" s="745">
        <f t="array" aca="1" ref="F54" ca="1">IF($C54="","",SUM(IF((INDIRECT("'"&amp;$C54&amp;"'!I23:I200")=$C$1)*(INDIRECT("'"&amp;$C54&amp;"'!L23:L200")=F$37)*(INDIRECT("'"&amp;$C54&amp;"'!H23:H200")=$D$36),1,0)))</f>
        <v>4</v>
      </c>
      <c r="G54" s="745">
        <f t="array" aca="1" ref="G54" ca="1">IF($C54="","",SUM(IF((INDIRECT("'"&amp;$C54&amp;"'!I23:I200")=$C$1)*(INDIRECT("'"&amp;$C54&amp;"'!L23:L200")=G$37)*(INDIRECT("'"&amp;$C54&amp;"'!H23:H200")=$D$36),1,0)))</f>
        <v>15</v>
      </c>
      <c r="H54" s="745">
        <f t="array" aca="1" ref="H54" ca="1">IF($C54="","",SUM(IF((INDIRECT("'"&amp;$C54&amp;"'!I23:I200")=$C$1)*(INDIRECT("'"&amp;$C54&amp;"'!H23:H200")=$D$36),INDIRECT("'"&amp;$C54&amp;"'!J23:J200"),0)))</f>
        <v>14</v>
      </c>
      <c r="I54" s="745">
        <f t="array" aca="1" ref="I54" ca="1">IF($C54="","",SUM(IF((INDIRECT("'"&amp;$C54&amp;"'!I23:I200")=$C$1)*(INDIRECT("'"&amp;$C54&amp;"'!H23:H200")=$D$36),INDIRECT("'"&amp;$C54&amp;"'!K23:K200"),0)))</f>
        <v>40</v>
      </c>
      <c r="J54" s="745">
        <f t="shared" ca="1" si="39"/>
        <v>-26</v>
      </c>
      <c r="K54" s="745">
        <f t="shared" ca="1" si="40"/>
        <v>10</v>
      </c>
      <c r="L54" s="503">
        <f t="shared" ca="1" si="41"/>
        <v>22</v>
      </c>
      <c r="M54" s="748">
        <f t="shared" ca="1" si="42"/>
        <v>21</v>
      </c>
      <c r="N54" s="745">
        <f t="array" aca="1" ref="N54" ca="1">IF($C54="","",SUM(IF((INDIRECT("'"&amp;$C54&amp;"'!I23:I200")=$C$1)*(INDIRECT("'"&amp;$C54&amp;"'!L23:L200")=N$37)*(INDIRECT("'"&amp;$C54&amp;"'!H23:H200")=$M$36),1,0)))</f>
        <v>3</v>
      </c>
      <c r="O54" s="745">
        <f t="array" aca="1" ref="O54" ca="1">IF($C54="","",SUM(IF((INDIRECT("'"&amp;$C54&amp;"'!I23:I200")=$C$1)*(INDIRECT("'"&amp;$C54&amp;"'!L23:L200")=O$37)*(INDIRECT("'"&amp;$C54&amp;"'!H23:H200")=$M$36),1,0)))</f>
        <v>1</v>
      </c>
      <c r="P54" s="745">
        <f t="array" aca="1" ref="P54" ca="1">IF($C54="","",SUM(IF((INDIRECT("'"&amp;$C54&amp;"'!I23:I200")=$C$1)*(INDIRECT("'"&amp;$C54&amp;"'!L23:L200")=P$37)*(INDIRECT("'"&amp;$C54&amp;"'!H23:H200")=$M$36),1,0)))</f>
        <v>17</v>
      </c>
      <c r="Q54" s="745">
        <f t="array" aca="1" ref="Q54" ca="1">IF($C54="","",SUM(IF((INDIRECT("'"&amp;$C54&amp;"'!I23:I200")=$C$1)*(INDIRECT("'"&amp;$C54&amp;"'!H23:H200")=$M$36),INDIRECT("'"&amp;$C54&amp;"'!J23:J200"),0)))</f>
        <v>18</v>
      </c>
      <c r="R54" s="745">
        <f t="array" aca="1" ref="R54" ca="1">IF($C54="","",SUM(IF((INDIRECT("'"&amp;$C54&amp;"'!I23:I200")=$C$1)*(INDIRECT("'"&amp;$C54&amp;"'!H23:H200")=$M$36),INDIRECT("'"&amp;$C54&amp;"'!K23:K200"),0)))</f>
        <v>48</v>
      </c>
      <c r="S54" s="745">
        <f t="shared" ca="1" si="43"/>
        <v>-30</v>
      </c>
      <c r="T54" s="745">
        <f t="shared" ca="1" si="44"/>
        <v>10</v>
      </c>
      <c r="U54" s="503">
        <f t="shared" ca="1" si="45"/>
        <v>22</v>
      </c>
      <c r="V54" s="743">
        <f t="shared" ca="1" si="46"/>
        <v>42</v>
      </c>
      <c r="W54" s="745">
        <f t="array" aca="1" ref="W54" ca="1">IF($C54="","",SUM(IF((INDIRECT("'"&amp;$C54&amp;"'!I23:I200")=$C$1)*(INDIRECT("'"&amp;$C54&amp;"'!L23:L200")=W$37),1,0)))</f>
        <v>5</v>
      </c>
      <c r="X54" s="799">
        <f t="array" aca="1" ref="X54" ca="1">IF($C54="","",SUM(IF((INDIRECT("'"&amp;$C54&amp;"'!I23:I200")=$C$1)*(INDIRECT("'"&amp;$C54&amp;"'!L23:L200")=X$37),1,0)))</f>
        <v>5</v>
      </c>
      <c r="Y54" s="799">
        <f t="array" aca="1" ref="Y54" ca="1">IF($C54="","",SUM(IF((INDIRECT("'"&amp;$C54&amp;"'!I23:I200")=$C$1)*(INDIRECT("'"&amp;$C54&amp;"'!L23:L200")=Y$37),1,0)))</f>
        <v>32</v>
      </c>
      <c r="Z54" s="799">
        <f t="array" aca="1" ref="Z54" ca="1">IF($C54="","",SUMIF(INDIRECT("'"&amp;$C54&amp;"'!I:I"),$C$1,INDIRECT("'"&amp;$C54&amp;"'!J:J")))</f>
        <v>32</v>
      </c>
      <c r="AA54" s="799">
        <f t="array" aca="1" ref="AA54" ca="1">IF($C54="","",SUMIF(INDIRECT("'"&amp;$C54&amp;"'!I:I"),$C$1,INDIRECT("'"&amp;$C54&amp;"'!K:K")))</f>
        <v>88</v>
      </c>
      <c r="AB54" s="799">
        <f t="shared" ca="1" si="47"/>
        <v>-56</v>
      </c>
      <c r="AC54" s="788">
        <f t="shared" ca="1" si="48"/>
        <v>20</v>
      </c>
      <c r="AD54" s="799">
        <f t="shared" ca="1" si="49"/>
        <v>19.440320000588237</v>
      </c>
      <c r="AE54" s="800">
        <f t="shared" ca="1" si="50"/>
        <v>22</v>
      </c>
      <c r="AF54" s="899">
        <f t="shared" ref="AF54:AF59" ca="1" si="51">SUM(AG54:AI54)</f>
        <v>42</v>
      </c>
      <c r="AG54" s="232">
        <f t="shared" ref="AG54:AG59" ca="1" si="52">N54+E54</f>
        <v>5</v>
      </c>
      <c r="AH54" s="232">
        <f t="shared" ref="AH54:AH59" ca="1" si="53">O54+F54</f>
        <v>5</v>
      </c>
      <c r="AI54" s="232">
        <f t="shared" ref="AI54:AI59" ca="1" si="54">P54+G54</f>
        <v>32</v>
      </c>
      <c r="AJ54" s="232">
        <f t="shared" ref="AJ54:AJ59" ca="1" si="55">H54+Q54</f>
        <v>32</v>
      </c>
      <c r="AK54" s="232">
        <f t="shared" ref="AK54:AK59" ca="1" si="56">I54+R54</f>
        <v>88</v>
      </c>
      <c r="AL54" s="232">
        <f t="shared" ref="AL54:AL59" ca="1" si="57">J54+S54</f>
        <v>-56</v>
      </c>
      <c r="AM54" s="232">
        <f t="shared" ref="AM54:AM59" ca="1" si="58">T54+K54</f>
        <v>20</v>
      </c>
      <c r="AN54" s="230"/>
      <c r="AO54" s="802"/>
      <c r="AP54" s="786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1:59" thickBot="1">
      <c r="A55" s="763">
        <f t="shared" ca="1" si="36"/>
        <v>7</v>
      </c>
      <c r="B55" s="797" t="str">
        <f t="shared" ca="1" si="37"/>
        <v>Tokushima Vortis</v>
      </c>
      <c r="C55" s="798" t="s">
        <v>888</v>
      </c>
      <c r="D55" s="743">
        <f t="shared" ca="1" si="38"/>
        <v>21</v>
      </c>
      <c r="E55" s="745">
        <f t="array" aca="1" ref="E55" ca="1">IF($C55="","",SUM(IF((INDIRECT("'"&amp;$C55&amp;"'!I23:I200")=$C$1)*(INDIRECT("'"&amp;$C55&amp;"'!L23:L200")=E$37)*(INDIRECT("'"&amp;$C55&amp;"'!H23:H200")=$D$36),1,0)))</f>
        <v>8</v>
      </c>
      <c r="F55" s="745">
        <f t="array" aca="1" ref="F55" ca="1">IF($C55="","",SUM(IF((INDIRECT("'"&amp;$C55&amp;"'!I23:I200")=$C$1)*(INDIRECT("'"&amp;$C55&amp;"'!L23:L200")=F$37)*(INDIRECT("'"&amp;$C55&amp;"'!H23:H200")=$D$36),1,0)))</f>
        <v>9</v>
      </c>
      <c r="G55" s="745">
        <f t="array" aca="1" ref="G55" ca="1">IF($C55="","",SUM(IF((INDIRECT("'"&amp;$C55&amp;"'!I23:I200")=$C$1)*(INDIRECT("'"&amp;$C55&amp;"'!L23:L200")=G$37)*(INDIRECT("'"&amp;$C55&amp;"'!H23:H200")=$D$36),1,0)))</f>
        <v>4</v>
      </c>
      <c r="H55" s="745">
        <f t="array" aca="1" ref="H55" ca="1">IF($C55="","",SUM(IF((INDIRECT("'"&amp;$C55&amp;"'!I23:I200")=$C$1)*(INDIRECT("'"&amp;$C55&amp;"'!H23:H200")=$D$36),INDIRECT("'"&amp;$C55&amp;"'!J23:J200"),0)))</f>
        <v>39</v>
      </c>
      <c r="I55" s="745">
        <f t="array" aca="1" ref="I55" ca="1">IF($C55="","",SUM(IF((INDIRECT("'"&amp;$C55&amp;"'!I23:I200")=$C$1)*(INDIRECT("'"&amp;$C55&amp;"'!H23:H200")=$D$36),INDIRECT("'"&amp;$C55&amp;"'!K23:K200"),0)))</f>
        <v>25</v>
      </c>
      <c r="J55" s="745">
        <f t="shared" ca="1" si="39"/>
        <v>14</v>
      </c>
      <c r="K55" s="745">
        <f t="shared" ca="1" si="40"/>
        <v>33</v>
      </c>
      <c r="L55" s="503">
        <f t="shared" ca="1" si="41"/>
        <v>11</v>
      </c>
      <c r="M55" s="748">
        <f t="shared" ca="1" si="42"/>
        <v>21</v>
      </c>
      <c r="N55" s="745">
        <f t="array" aca="1" ref="N55" ca="1">IF($C55="","",SUM(IF((INDIRECT("'"&amp;$C55&amp;"'!I23:I200")=$C$1)*(INDIRECT("'"&amp;$C55&amp;"'!L23:L200")=N$37)*(INDIRECT("'"&amp;$C55&amp;"'!H23:H200")=$M$36),1,0)))</f>
        <v>10</v>
      </c>
      <c r="O55" s="745">
        <f t="array" aca="1" ref="O55" ca="1">IF($C55="","",SUM(IF((INDIRECT("'"&amp;$C55&amp;"'!I23:I200")=$C$1)*(INDIRECT("'"&amp;$C55&amp;"'!L23:L200")=O$37)*(INDIRECT("'"&amp;$C55&amp;"'!H23:H200")=$M$36),1,0)))</f>
        <v>4</v>
      </c>
      <c r="P55" s="745">
        <f t="array" aca="1" ref="P55" ca="1">IF($C55="","",SUM(IF((INDIRECT("'"&amp;$C55&amp;"'!I23:I200")=$C$1)*(INDIRECT("'"&amp;$C55&amp;"'!L23:L200")=P$37)*(INDIRECT("'"&amp;$C55&amp;"'!H23:H200")=$M$36),1,0)))</f>
        <v>7</v>
      </c>
      <c r="Q55" s="745">
        <f t="array" aca="1" ref="Q55" ca="1">IF($C55="","",SUM(IF((INDIRECT("'"&amp;$C55&amp;"'!I23:I200")=$C$1)*(INDIRECT("'"&amp;$C55&amp;"'!H23:H200")=$M$36),INDIRECT("'"&amp;$C55&amp;"'!J23:J200"),0)))</f>
        <v>32</v>
      </c>
      <c r="R55" s="745">
        <f t="array" aca="1" ref="R55" ca="1">IF($C55="","",SUM(IF((INDIRECT("'"&amp;$C55&amp;"'!I23:I200")=$C$1)*(INDIRECT("'"&amp;$C55&amp;"'!H23:H200")=$M$36),INDIRECT("'"&amp;$C55&amp;"'!K23:K200"),0)))</f>
        <v>20</v>
      </c>
      <c r="S55" s="745">
        <f t="shared" ca="1" si="43"/>
        <v>12</v>
      </c>
      <c r="T55" s="745">
        <f t="shared" ca="1" si="44"/>
        <v>34</v>
      </c>
      <c r="U55" s="503">
        <f t="shared" ca="1" si="45"/>
        <v>4</v>
      </c>
      <c r="V55" s="743">
        <f t="shared" ca="1" si="46"/>
        <v>42</v>
      </c>
      <c r="W55" s="745">
        <f t="array" aca="1" ref="W55" ca="1">IF($C55="","",SUM(IF((INDIRECT("'"&amp;$C55&amp;"'!I23:I200")=$C$1)*(INDIRECT("'"&amp;$C55&amp;"'!L23:L200")=W$37),1,0)))</f>
        <v>18</v>
      </c>
      <c r="X55" s="799">
        <f t="array" aca="1" ref="X55" ca="1">IF($C55="","",SUM(IF((INDIRECT("'"&amp;$C55&amp;"'!I23:I200")=$C$1)*(INDIRECT("'"&amp;$C55&amp;"'!L23:L200")=X$37),1,0)))</f>
        <v>13</v>
      </c>
      <c r="Y55" s="799">
        <f t="array" aca="1" ref="Y55" ca="1">IF($C55="","",SUM(IF((INDIRECT("'"&amp;$C55&amp;"'!I23:I200")=$C$1)*(INDIRECT("'"&amp;$C55&amp;"'!L23:L200")=Y$37),1,0)))</f>
        <v>11</v>
      </c>
      <c r="Z55" s="799">
        <f t="array" aca="1" ref="Z55" ca="1">IF($C55="","",SUMIF(INDIRECT("'"&amp;$C55&amp;"'!I:I"),$C$1,INDIRECT("'"&amp;$C55&amp;"'!J:J")))</f>
        <v>71</v>
      </c>
      <c r="AA55" s="799">
        <f t="array" aca="1" ref="AA55" ca="1">IF($C55="","",SUMIF(INDIRECT("'"&amp;$C55&amp;"'!I:I"),$C$1,INDIRECT("'"&amp;$C55&amp;"'!K:K")))</f>
        <v>45</v>
      </c>
      <c r="AB55" s="799">
        <f t="shared" ca="1" si="47"/>
        <v>26</v>
      </c>
      <c r="AC55" s="788">
        <f t="shared" ca="1" si="48"/>
        <v>67</v>
      </c>
      <c r="AD55" s="799">
        <f t="shared" ca="1" si="49"/>
        <v>67.260710000555562</v>
      </c>
      <c r="AE55" s="800">
        <f t="shared" ca="1" si="50"/>
        <v>7</v>
      </c>
      <c r="AF55" s="899">
        <f t="shared" ca="1" si="51"/>
        <v>42</v>
      </c>
      <c r="AG55" s="232">
        <f t="shared" ca="1" si="52"/>
        <v>18</v>
      </c>
      <c r="AH55" s="232">
        <f t="shared" ca="1" si="53"/>
        <v>13</v>
      </c>
      <c r="AI55" s="232">
        <f t="shared" ca="1" si="54"/>
        <v>11</v>
      </c>
      <c r="AJ55" s="232">
        <f t="shared" ca="1" si="55"/>
        <v>71</v>
      </c>
      <c r="AK55" s="232">
        <f t="shared" ca="1" si="56"/>
        <v>45</v>
      </c>
      <c r="AL55" s="232">
        <f t="shared" ca="1" si="57"/>
        <v>26</v>
      </c>
      <c r="AM55" s="232">
        <f t="shared" ca="1" si="58"/>
        <v>67</v>
      </c>
      <c r="AN55" s="230"/>
      <c r="AO55" s="802"/>
      <c r="AP55" s="786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1:59" thickBot="1">
      <c r="A56" s="763">
        <f t="shared" ca="1" si="36"/>
        <v>5</v>
      </c>
      <c r="B56" s="797" t="str">
        <f t="shared" ca="1" si="37"/>
        <v>Tokyo Verdy</v>
      </c>
      <c r="C56" s="798" t="s">
        <v>889</v>
      </c>
      <c r="D56" s="743">
        <f t="shared" ca="1" si="38"/>
        <v>21</v>
      </c>
      <c r="E56" s="745">
        <f t="array" aca="1" ref="E56" ca="1">IF($C56="","",SUM(IF((INDIRECT("'"&amp;$C56&amp;"'!I23:I200")=$C$1)*(INDIRECT("'"&amp;$C56&amp;"'!L23:L200")=E$37)*(INDIRECT("'"&amp;$C56&amp;"'!H23:H200")=$D$36),1,0)))</f>
        <v>12</v>
      </c>
      <c r="F56" s="745">
        <f t="array" aca="1" ref="F56" ca="1">IF($C56="","",SUM(IF((INDIRECT("'"&amp;$C56&amp;"'!I23:I200")=$C$1)*(INDIRECT("'"&amp;$C56&amp;"'!L23:L200")=F$37)*(INDIRECT("'"&amp;$C56&amp;"'!H23:H200")=$D$36),1,0)))</f>
        <v>5</v>
      </c>
      <c r="G56" s="745">
        <f t="array" aca="1" ref="G56" ca="1">IF($C56="","",SUM(IF((INDIRECT("'"&amp;$C56&amp;"'!I23:I200")=$C$1)*(INDIRECT("'"&amp;$C56&amp;"'!L23:L200")=G$37)*(INDIRECT("'"&amp;$C56&amp;"'!H23:H200")=$D$36),1,0)))</f>
        <v>4</v>
      </c>
      <c r="H56" s="745">
        <f t="array" aca="1" ref="H56" ca="1">IF($C56="","",SUM(IF((INDIRECT("'"&amp;$C56&amp;"'!I23:I200")=$C$1)*(INDIRECT("'"&amp;$C56&amp;"'!H23:H200")=$D$36),INDIRECT("'"&amp;$C56&amp;"'!J23:J200"),0)))</f>
        <v>40</v>
      </c>
      <c r="I56" s="745">
        <f t="array" aca="1" ref="I56" ca="1">IF($C56="","",SUM(IF((INDIRECT("'"&amp;$C56&amp;"'!I23:I200")=$C$1)*(INDIRECT("'"&amp;$C56&amp;"'!H23:H200")=$D$36),INDIRECT("'"&amp;$C56&amp;"'!K23:K200"),0)))</f>
        <v>24</v>
      </c>
      <c r="J56" s="745">
        <f t="shared" ca="1" si="39"/>
        <v>16</v>
      </c>
      <c r="K56" s="745">
        <f t="shared" ca="1" si="40"/>
        <v>41</v>
      </c>
      <c r="L56" s="503">
        <f t="shared" ca="1" si="41"/>
        <v>5</v>
      </c>
      <c r="M56" s="748">
        <f t="shared" ca="1" si="42"/>
        <v>21</v>
      </c>
      <c r="N56" s="745">
        <f t="array" aca="1" ref="N56" ca="1">IF($C56="","",SUM(IF((INDIRECT("'"&amp;$C56&amp;"'!I23:I200")=$C$1)*(INDIRECT("'"&amp;$C56&amp;"'!L23:L200")=N$37)*(INDIRECT("'"&amp;$C56&amp;"'!H23:H200")=$M$36),1,0)))</f>
        <v>8</v>
      </c>
      <c r="O56" s="745">
        <f t="array" aca="1" ref="O56" ca="1">IF($C56="","",SUM(IF((INDIRECT("'"&amp;$C56&amp;"'!I23:I200")=$C$1)*(INDIRECT("'"&amp;$C56&amp;"'!L23:L200")=O$37)*(INDIRECT("'"&amp;$C56&amp;"'!H23:H200")=$M$36),1,0)))</f>
        <v>5</v>
      </c>
      <c r="P56" s="745">
        <f t="array" aca="1" ref="P56" ca="1">IF($C56="","",SUM(IF((INDIRECT("'"&amp;$C56&amp;"'!I23:I200")=$C$1)*(INDIRECT("'"&amp;$C56&amp;"'!L23:L200")=P$37)*(INDIRECT("'"&amp;$C56&amp;"'!H23:H200")=$M$36),1,0)))</f>
        <v>8</v>
      </c>
      <c r="Q56" s="745">
        <f t="array" aca="1" ref="Q56" ca="1">IF($C56="","",SUM(IF((INDIRECT("'"&amp;$C56&amp;"'!I23:I200")=$C$1)*(INDIRECT("'"&amp;$C56&amp;"'!H23:H200")=$M$36),INDIRECT("'"&amp;$C56&amp;"'!J23:J200"),0)))</f>
        <v>24</v>
      </c>
      <c r="R56" s="745">
        <f t="array" aca="1" ref="R56" ca="1">IF($C56="","",SUM(IF((INDIRECT("'"&amp;$C56&amp;"'!I23:I200")=$C$1)*(INDIRECT("'"&amp;$C56&amp;"'!H23:H200")=$M$36),INDIRECT("'"&amp;$C56&amp;"'!K23:K200"),0)))</f>
        <v>25</v>
      </c>
      <c r="S56" s="745">
        <f t="shared" ca="1" si="43"/>
        <v>-1</v>
      </c>
      <c r="T56" s="745">
        <f t="shared" ca="1" si="44"/>
        <v>29</v>
      </c>
      <c r="U56" s="503">
        <f t="shared" ca="1" si="45"/>
        <v>9</v>
      </c>
      <c r="V56" s="743">
        <f t="shared" ca="1" si="46"/>
        <v>42</v>
      </c>
      <c r="W56" s="745">
        <f t="array" aca="1" ref="W56" ca="1">IF($C56="","",SUM(IF((INDIRECT("'"&amp;$C56&amp;"'!I23:I200")=$C$1)*(INDIRECT("'"&amp;$C56&amp;"'!L23:L200")=W$37),1,0)))</f>
        <v>20</v>
      </c>
      <c r="X56" s="799">
        <f t="array" aca="1" ref="X56" ca="1">IF($C56="","",SUM(IF((INDIRECT("'"&amp;$C56&amp;"'!I23:I200")=$C$1)*(INDIRECT("'"&amp;$C56&amp;"'!L23:L200")=X$37),1,0)))</f>
        <v>10</v>
      </c>
      <c r="Y56" s="799">
        <f t="array" aca="1" ref="Y56" ca="1">IF($C56="","",SUM(IF((INDIRECT("'"&amp;$C56&amp;"'!I23:I200")=$C$1)*(INDIRECT("'"&amp;$C56&amp;"'!L23:L200")=Y$37),1,0)))</f>
        <v>13</v>
      </c>
      <c r="Z56" s="799">
        <f t="array" aca="1" ref="Z56" ca="1">IF($C56="","",SUMIF(INDIRECT("'"&amp;$C56&amp;"'!I:I"),$C$1,INDIRECT("'"&amp;$C56&amp;"'!J:J")))</f>
        <v>64</v>
      </c>
      <c r="AA56" s="799">
        <f t="array" aca="1" ref="AA56" ca="1">IF($C56="","",SUMIF(INDIRECT("'"&amp;$C56&amp;"'!I:I"),$C$1,INDIRECT("'"&amp;$C56&amp;"'!K:K")))</f>
        <v>50</v>
      </c>
      <c r="AB56" s="799">
        <f t="shared" ca="1" si="47"/>
        <v>14</v>
      </c>
      <c r="AC56" s="788">
        <f t="shared" ca="1" si="48"/>
        <v>70</v>
      </c>
      <c r="AD56" s="799">
        <f t="shared" ca="1" si="49"/>
        <v>70.140640000526318</v>
      </c>
      <c r="AE56" s="800">
        <f t="shared" ca="1" si="50"/>
        <v>5</v>
      </c>
      <c r="AF56" s="899">
        <f t="shared" ca="1" si="51"/>
        <v>42</v>
      </c>
      <c r="AG56" s="232">
        <f t="shared" ca="1" si="52"/>
        <v>20</v>
      </c>
      <c r="AH56" s="232">
        <f t="shared" ca="1" si="53"/>
        <v>10</v>
      </c>
      <c r="AI56" s="232">
        <f t="shared" ca="1" si="54"/>
        <v>12</v>
      </c>
      <c r="AJ56" s="232">
        <f t="shared" ca="1" si="55"/>
        <v>64</v>
      </c>
      <c r="AK56" s="232">
        <f t="shared" ca="1" si="56"/>
        <v>49</v>
      </c>
      <c r="AL56" s="232">
        <f t="shared" ca="1" si="57"/>
        <v>15</v>
      </c>
      <c r="AM56" s="232">
        <f t="shared" ca="1" si="58"/>
        <v>70</v>
      </c>
      <c r="AN56" s="230"/>
      <c r="AO56" s="802"/>
      <c r="AP56" s="786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1:59" thickBot="1">
      <c r="A57" s="763">
        <f t="shared" ca="1" si="36"/>
        <v>2</v>
      </c>
      <c r="B57" s="797" t="str">
        <f t="shared" ca="1" si="37"/>
        <v>V-Varen Nagasaki</v>
      </c>
      <c r="C57" s="798" t="s">
        <v>886</v>
      </c>
      <c r="D57" s="743">
        <f t="shared" ca="1" si="38"/>
        <v>21</v>
      </c>
      <c r="E57" s="745">
        <f t="array" aca="1" ref="E57" ca="1">IF($C57="","",SUM(IF((INDIRECT("'"&amp;$C57&amp;"'!I23:I200")=$C$1)*(INDIRECT("'"&amp;$C57&amp;"'!L23:L200")=E$37)*(INDIRECT("'"&amp;$C57&amp;"'!H23:H200")=$D$36),1,0)))</f>
        <v>15</v>
      </c>
      <c r="F57" s="745">
        <f t="array" aca="1" ref="F57" ca="1">IF($C57="","",SUM(IF((INDIRECT("'"&amp;$C57&amp;"'!I23:I200")=$C$1)*(INDIRECT("'"&amp;$C57&amp;"'!L23:L200")=F$37)*(INDIRECT("'"&amp;$C57&amp;"'!H23:H200")=$D$36),1,0)))</f>
        <v>4</v>
      </c>
      <c r="G57" s="745">
        <f t="array" aca="1" ref="G57" ca="1">IF($C57="","",SUM(IF((INDIRECT("'"&amp;$C57&amp;"'!I23:I200")=$C$1)*(INDIRECT("'"&amp;$C57&amp;"'!L23:L200")=G$37)*(INDIRECT("'"&amp;$C57&amp;"'!H23:H200")=$D$36),1,0)))</f>
        <v>2</v>
      </c>
      <c r="H57" s="745">
        <f t="array" aca="1" ref="H57" ca="1">IF($C57="","",SUM(IF((INDIRECT("'"&amp;$C57&amp;"'!I23:I200")=$C$1)*(INDIRECT("'"&amp;$C57&amp;"'!H23:H200")=$D$36),INDIRECT("'"&amp;$C57&amp;"'!J23:J200"),0)))</f>
        <v>32</v>
      </c>
      <c r="I57" s="745">
        <f t="array" aca="1" ref="I57" ca="1">IF($C57="","",SUM(IF((INDIRECT("'"&amp;$C57&amp;"'!I23:I200")=$C$1)*(INDIRECT("'"&amp;$C57&amp;"'!H23:H200")=$D$36),INDIRECT("'"&amp;$C57&amp;"'!K23:K200"),0)))</f>
        <v>12</v>
      </c>
      <c r="J57" s="745">
        <f t="shared" ca="1" si="39"/>
        <v>20</v>
      </c>
      <c r="K57" s="745">
        <f t="shared" ca="1" si="40"/>
        <v>49</v>
      </c>
      <c r="L57" s="503">
        <f t="shared" ca="1" si="41"/>
        <v>1</v>
      </c>
      <c r="M57" s="748">
        <f t="shared" ca="1" si="42"/>
        <v>21</v>
      </c>
      <c r="N57" s="745">
        <f t="array" aca="1" ref="N57" ca="1">IF($C57="","",SUM(IF((INDIRECT("'"&amp;$C57&amp;"'!I23:I200")=$C$1)*(INDIRECT("'"&amp;$C57&amp;"'!L23:L200")=N$37)*(INDIRECT("'"&amp;$C57&amp;"'!H23:H200")=$M$36),1,0)))</f>
        <v>9</v>
      </c>
      <c r="O57" s="745">
        <f t="array" aca="1" ref="O57" ca="1">IF($C57="","",SUM(IF((INDIRECT("'"&amp;$C57&amp;"'!I23:I200")=$C$1)*(INDIRECT("'"&amp;$C57&amp;"'!L23:L200")=O$37)*(INDIRECT("'"&amp;$C57&amp;"'!H23:H200")=$M$36),1,0)))</f>
        <v>4</v>
      </c>
      <c r="P57" s="745">
        <f t="array" aca="1" ref="P57" ca="1">IF($C57="","",SUM(IF((INDIRECT("'"&amp;$C57&amp;"'!I23:I200")=$C$1)*(INDIRECT("'"&amp;$C57&amp;"'!L23:L200")=P$37)*(INDIRECT("'"&amp;$C57&amp;"'!H23:H200")=$M$36),1,0)))</f>
        <v>8</v>
      </c>
      <c r="Q57" s="745">
        <f t="array" aca="1" ref="Q57" ca="1">IF($C57="","",SUM(IF((INDIRECT("'"&amp;$C57&amp;"'!I23:I200")=$C$1)*(INDIRECT("'"&amp;$C57&amp;"'!H23:H200")=$M$36),INDIRECT("'"&amp;$C57&amp;"'!J23:J200"),0)))</f>
        <v>27</v>
      </c>
      <c r="R57" s="745">
        <f t="array" aca="1" ref="R57" ca="1">IF($C57="","",SUM(IF((INDIRECT("'"&amp;$C57&amp;"'!I23:I200")=$C$1)*(INDIRECT("'"&amp;$C57&amp;"'!H23:H200")=$M$36),INDIRECT("'"&amp;$C57&amp;"'!K23:K200"),0)))</f>
        <v>29</v>
      </c>
      <c r="S57" s="745">
        <f t="shared" ca="1" si="43"/>
        <v>-2</v>
      </c>
      <c r="T57" s="745">
        <f t="shared" ca="1" si="44"/>
        <v>31</v>
      </c>
      <c r="U57" s="503">
        <f t="shared" ca="1" si="45"/>
        <v>6</v>
      </c>
      <c r="V57" s="743">
        <f t="shared" ca="1" si="46"/>
        <v>42</v>
      </c>
      <c r="W57" s="745">
        <f t="array" aca="1" ref="W57" ca="1">IF($C57="","",SUM(IF((INDIRECT("'"&amp;$C57&amp;"'!I23:I200")=$C$1)*(INDIRECT("'"&amp;$C57&amp;"'!L23:L200")=W$37),1,0)))</f>
        <v>24</v>
      </c>
      <c r="X57" s="799">
        <f t="array" aca="1" ref="X57" ca="1">IF($C57="","",SUM(IF((INDIRECT("'"&amp;$C57&amp;"'!I23:I200")=$C$1)*(INDIRECT("'"&amp;$C57&amp;"'!L23:L200")=X$37),1,0)))</f>
        <v>8</v>
      </c>
      <c r="Y57" s="799">
        <f t="array" aca="1" ref="Y57" ca="1">IF($C57="","",SUM(IF((INDIRECT("'"&amp;$C57&amp;"'!I23:I200")=$C$1)*(INDIRECT("'"&amp;$C57&amp;"'!L23:L200")=Y$37),1,0)))</f>
        <v>10</v>
      </c>
      <c r="Z57" s="799">
        <f t="array" aca="1" ref="Z57" ca="1">IF($C57="","",SUMIF(INDIRECT("'"&amp;$C57&amp;"'!I:I"),$C$1,INDIRECT("'"&amp;$C57&amp;"'!J:J")))</f>
        <v>59</v>
      </c>
      <c r="AA57" s="799">
        <f t="array" aca="1" ref="AA57" ca="1">IF($C57="","",SUMIF(INDIRECT("'"&amp;$C57&amp;"'!I:I"),$C$1,INDIRECT("'"&amp;$C57&amp;"'!K:K")))</f>
        <v>41</v>
      </c>
      <c r="AB57" s="799">
        <f t="shared" ca="1" si="47"/>
        <v>18</v>
      </c>
      <c r="AC57" s="788">
        <f t="shared" ca="1" si="48"/>
        <v>80</v>
      </c>
      <c r="AD57" s="799">
        <f t="shared" ca="1" si="49"/>
        <v>80.180590000500004</v>
      </c>
      <c r="AE57" s="800">
        <f t="shared" ca="1" si="50"/>
        <v>2</v>
      </c>
      <c r="AF57" s="899">
        <f t="shared" ca="1" si="51"/>
        <v>42</v>
      </c>
      <c r="AG57" s="232">
        <f t="shared" ca="1" si="52"/>
        <v>24</v>
      </c>
      <c r="AH57" s="232">
        <f t="shared" ca="1" si="53"/>
        <v>8</v>
      </c>
      <c r="AI57" s="232">
        <f t="shared" ca="1" si="54"/>
        <v>10</v>
      </c>
      <c r="AJ57" s="232">
        <f t="shared" ca="1" si="55"/>
        <v>59</v>
      </c>
      <c r="AK57" s="232">
        <f t="shared" ca="1" si="56"/>
        <v>41</v>
      </c>
      <c r="AL57" s="232">
        <f t="shared" ca="1" si="57"/>
        <v>18</v>
      </c>
      <c r="AM57" s="232">
        <f t="shared" ca="1" si="58"/>
        <v>80</v>
      </c>
      <c r="AN57" s="230"/>
      <c r="AO57" s="802"/>
      <c r="AP57" s="786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1:59" thickBot="1">
      <c r="A58" s="763">
        <f t="shared" ca="1" si="36"/>
        <v>10</v>
      </c>
      <c r="B58" s="797" t="str">
        <f t="shared" ca="1" si="37"/>
        <v>Yokohama</v>
      </c>
      <c r="C58" s="803" t="s">
        <v>883</v>
      </c>
      <c r="D58" s="743">
        <f t="shared" ca="1" si="38"/>
        <v>21</v>
      </c>
      <c r="E58" s="745">
        <f t="array" aca="1" ref="E58" ca="1">IF($C58="","",SUM(IF((INDIRECT("'"&amp;$C58&amp;"'!I23:I200")=$C$1)*(INDIRECT("'"&amp;$C58&amp;"'!L23:L200")=E$37)*(INDIRECT("'"&amp;$C58&amp;"'!H23:H200")=$D$36),1,0)))</f>
        <v>12</v>
      </c>
      <c r="F58" s="745">
        <f t="array" aca="1" ref="F58" ca="1">IF($C58="","",SUM(IF((INDIRECT("'"&amp;$C58&amp;"'!I23:I200")=$C$1)*(INDIRECT("'"&amp;$C58&amp;"'!L23:L200")=F$37)*(INDIRECT("'"&amp;$C58&amp;"'!H23:H200")=$D$36),1,0)))</f>
        <v>3</v>
      </c>
      <c r="G58" s="745">
        <f t="array" aca="1" ref="G58" ca="1">IF($C58="","",SUM(IF((INDIRECT("'"&amp;$C58&amp;"'!I23:I200")=$C$1)*(INDIRECT("'"&amp;$C58&amp;"'!L23:L200")=G$37)*(INDIRECT("'"&amp;$C58&amp;"'!H23:H200")=$D$36),1,0)))</f>
        <v>6</v>
      </c>
      <c r="H58" s="745">
        <f t="array" aca="1" ref="H58" ca="1">IF($C58="","",SUM(IF((INDIRECT("'"&amp;$C58&amp;"'!I23:I200")=$C$1)*(INDIRECT("'"&amp;$C58&amp;"'!H23:H200")=$D$36),INDIRECT("'"&amp;$C58&amp;"'!J23:J200"),0)))</f>
        <v>30</v>
      </c>
      <c r="I58" s="745">
        <f t="array" aca="1" ref="I58" ca="1">IF($C58="","",SUM(IF((INDIRECT("'"&amp;$C58&amp;"'!I23:I200")=$C$1)*(INDIRECT("'"&amp;$C58&amp;"'!H23:H200")=$D$36),INDIRECT("'"&amp;$C58&amp;"'!K23:K200"),0)))</f>
        <v>17</v>
      </c>
      <c r="J58" s="745">
        <f t="shared" ca="1" si="39"/>
        <v>13</v>
      </c>
      <c r="K58" s="745">
        <f t="shared" ca="1" si="40"/>
        <v>39</v>
      </c>
      <c r="L58" s="503">
        <f t="shared" ca="1" si="41"/>
        <v>6</v>
      </c>
      <c r="M58" s="748">
        <f t="shared" ca="1" si="42"/>
        <v>21</v>
      </c>
      <c r="N58" s="745">
        <f t="array" aca="1" ref="N58" ca="1">IF($C58="","",SUM(IF((INDIRECT("'"&amp;$C58&amp;"'!I23:I200")=$C$1)*(INDIRECT("'"&amp;$C58&amp;"'!L23:L200")=N$37)*(INDIRECT("'"&amp;$C58&amp;"'!H23:H200")=$M$36),1,0)))</f>
        <v>5</v>
      </c>
      <c r="O58" s="745">
        <f t="array" aca="1" ref="O58" ca="1">IF($C58="","",SUM(IF((INDIRECT("'"&amp;$C58&amp;"'!I23:I200")=$C$1)*(INDIRECT("'"&amp;$C58&amp;"'!L23:L200")=O$37)*(INDIRECT("'"&amp;$C58&amp;"'!H23:H200")=$M$36),1,0)))</f>
        <v>9</v>
      </c>
      <c r="P58" s="745">
        <f t="array" aca="1" ref="P58" ca="1">IF($C58="","",SUM(IF((INDIRECT("'"&amp;$C58&amp;"'!I23:I200")=$C$1)*(INDIRECT("'"&amp;$C58&amp;"'!L23:L200")=P$37)*(INDIRECT("'"&amp;$C58&amp;"'!H23:H200")=$M$36),1,0)))</f>
        <v>7</v>
      </c>
      <c r="Q58" s="745">
        <f t="array" aca="1" ref="Q58" ca="1">IF($C58="","",SUM(IF((INDIRECT("'"&amp;$C58&amp;"'!I23:I200")=$C$1)*(INDIRECT("'"&amp;$C58&amp;"'!H23:H200")=$M$36),INDIRECT("'"&amp;$C58&amp;"'!J23:J200"),0)))</f>
        <v>30</v>
      </c>
      <c r="R58" s="745">
        <f t="array" aca="1" ref="R58" ca="1">IF($C58="","",SUM(IF((INDIRECT("'"&amp;$C58&amp;"'!I23:I200")=$C$1)*(INDIRECT("'"&amp;$C58&amp;"'!H23:H200")=$M$36),INDIRECT("'"&amp;$C58&amp;"'!K23:K200"),0)))</f>
        <v>32</v>
      </c>
      <c r="S58" s="745">
        <f t="shared" ca="1" si="43"/>
        <v>-2</v>
      </c>
      <c r="T58" s="745">
        <f t="shared" ca="1" si="44"/>
        <v>24</v>
      </c>
      <c r="U58" s="503">
        <f t="shared" ca="1" si="45"/>
        <v>12</v>
      </c>
      <c r="V58" s="743">
        <f t="shared" ca="1" si="46"/>
        <v>42</v>
      </c>
      <c r="W58" s="745">
        <f t="array" aca="1" ref="W58" ca="1">IF($C58="","",SUM(IF((INDIRECT("'"&amp;$C58&amp;"'!I23:I200")=$C$1)*(INDIRECT("'"&amp;$C58&amp;"'!L23:L200")=W$37),1,0)))</f>
        <v>17</v>
      </c>
      <c r="X58" s="799">
        <f t="array" aca="1" ref="X58" ca="1">IF($C58="","",SUM(IF((INDIRECT("'"&amp;$C58&amp;"'!I23:I200")=$C$1)*(INDIRECT("'"&amp;$C58&amp;"'!L23:L200")=X$37),1,0)))</f>
        <v>12</v>
      </c>
      <c r="Y58" s="799">
        <f t="array" aca="1" ref="Y58" ca="1">IF($C58="","",SUM(IF((INDIRECT("'"&amp;$C58&amp;"'!I23:I200")=$C$1)*(INDIRECT("'"&amp;$C58&amp;"'!L23:L200")=Y$37),1,0)))</f>
        <v>13</v>
      </c>
      <c r="Z58" s="799">
        <f t="array" aca="1" ref="Z58" ca="1">IF($C58="","",SUMIF(INDIRECT("'"&amp;$C58&amp;"'!I:I"),$C$1,INDIRECT("'"&amp;$C58&amp;"'!J:J")))</f>
        <v>60</v>
      </c>
      <c r="AA58" s="799">
        <f t="array" aca="1" ref="AA58" ca="1">IF($C58="","",SUMIF(INDIRECT("'"&amp;$C58&amp;"'!I:I"),$C$1,INDIRECT("'"&amp;$C58&amp;"'!K:K")))</f>
        <v>49</v>
      </c>
      <c r="AB58" s="799">
        <f t="shared" ca="1" si="47"/>
        <v>11</v>
      </c>
      <c r="AC58" s="788">
        <f t="shared" ca="1" si="48"/>
        <v>63</v>
      </c>
      <c r="AD58" s="799">
        <f t="shared" ca="1" si="49"/>
        <v>63.11060000047619</v>
      </c>
      <c r="AE58" s="800">
        <f t="shared" ca="1" si="50"/>
        <v>10</v>
      </c>
      <c r="AF58" s="899">
        <f t="shared" ca="1" si="51"/>
        <v>42</v>
      </c>
      <c r="AG58" s="232">
        <f t="shared" ca="1" si="52"/>
        <v>17</v>
      </c>
      <c r="AH58" s="232">
        <f t="shared" ca="1" si="53"/>
        <v>12</v>
      </c>
      <c r="AI58" s="232">
        <f t="shared" ca="1" si="54"/>
        <v>13</v>
      </c>
      <c r="AJ58" s="232">
        <f t="shared" ca="1" si="55"/>
        <v>60</v>
      </c>
      <c r="AK58" s="232">
        <f t="shared" ca="1" si="56"/>
        <v>49</v>
      </c>
      <c r="AL58" s="232">
        <f t="shared" ca="1" si="57"/>
        <v>11</v>
      </c>
      <c r="AM58" s="232">
        <f t="shared" ca="1" si="58"/>
        <v>63</v>
      </c>
      <c r="AN58" s="230"/>
      <c r="AO58" s="802"/>
      <c r="AP58" s="786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1:59" thickBot="1">
      <c r="A59" s="763">
        <f t="shared" ca="1" si="36"/>
        <v>17</v>
      </c>
      <c r="B59" s="797" t="str">
        <f t="shared" ca="1" si="37"/>
        <v>Zweigen Kanazawa</v>
      </c>
      <c r="C59" s="804" t="s">
        <v>875</v>
      </c>
      <c r="D59" s="743">
        <f t="shared" ca="1" si="38"/>
        <v>21</v>
      </c>
      <c r="E59" s="745">
        <f t="array" aca="1" ref="E59" ca="1">IF($C59="","",SUM(IF((INDIRECT("'"&amp;$C59&amp;"'!I23:I200")=$C$1)*(INDIRECT("'"&amp;$C59&amp;"'!L23:L200")=E$37)*(INDIRECT("'"&amp;$C59&amp;"'!H23:H200")=$D$36),1,0)))</f>
        <v>7</v>
      </c>
      <c r="F59" s="745">
        <f t="array" aca="1" ref="F59" ca="1">IF($C59="","",SUM(IF((INDIRECT("'"&amp;$C59&amp;"'!I23:I200")=$C$1)*(INDIRECT("'"&amp;$C59&amp;"'!L23:L200")=F$37)*(INDIRECT("'"&amp;$C59&amp;"'!H23:H200")=$D$36),1,0)))</f>
        <v>7</v>
      </c>
      <c r="G59" s="745">
        <f t="array" aca="1" ref="G59" ca="1">IF($C59="","",SUM(IF((INDIRECT("'"&amp;$C59&amp;"'!I23:I200")=$C$1)*(INDIRECT("'"&amp;$C59&amp;"'!L23:L200")=G$37)*(INDIRECT("'"&amp;$C59&amp;"'!H23:H200")=$D$36),1,0)))</f>
        <v>7</v>
      </c>
      <c r="H59" s="745">
        <f t="array" aca="1" ref="H59" ca="1">IF($C59="","",SUM(IF((INDIRECT("'"&amp;$C59&amp;"'!I23:I200")=$C$1)*(INDIRECT("'"&amp;$C59&amp;"'!H23:H200")=$D$36),INDIRECT("'"&amp;$C59&amp;"'!J23:J200"),0)))</f>
        <v>27</v>
      </c>
      <c r="I59" s="745">
        <f t="array" aca="1" ref="I59" ca="1">IF($C59="","",SUM(IF((INDIRECT("'"&amp;$C59&amp;"'!I23:I200")=$C$1)*(INDIRECT("'"&amp;$C59&amp;"'!H23:H200")=$D$36),INDIRECT("'"&amp;$C59&amp;"'!K23:K200"),0)))</f>
        <v>34</v>
      </c>
      <c r="J59" s="745">
        <f t="shared" ca="1" si="39"/>
        <v>-7</v>
      </c>
      <c r="K59" s="745">
        <f t="shared" ca="1" si="40"/>
        <v>28</v>
      </c>
      <c r="L59" s="503">
        <f t="shared" ca="1" si="41"/>
        <v>15</v>
      </c>
      <c r="M59" s="748">
        <f t="shared" ca="1" si="42"/>
        <v>21</v>
      </c>
      <c r="N59" s="745">
        <f t="array" aca="1" ref="N59" ca="1">IF($C59="","",SUM(IF((INDIRECT("'"&amp;$C59&amp;"'!I23:I200")=$C$1)*(INDIRECT("'"&amp;$C59&amp;"'!L23:L200")=N$37)*(INDIRECT("'"&amp;$C59&amp;"'!H23:H200")=$M$36),1,0)))</f>
        <v>6</v>
      </c>
      <c r="O59" s="745">
        <f t="array" aca="1" ref="O59" ca="1">IF($C59="","",SUM(IF((INDIRECT("'"&amp;$C59&amp;"'!I23:I200")=$C$1)*(INDIRECT("'"&amp;$C59&amp;"'!L23:L200")=O$37)*(INDIRECT("'"&amp;$C59&amp;"'!H23:H200")=$M$36),1,0)))</f>
        <v>3</v>
      </c>
      <c r="P59" s="745">
        <f t="array" aca="1" ref="P59" ca="1">IF($C59="","",SUM(IF((INDIRECT("'"&amp;$C59&amp;"'!I23:I200")=$C$1)*(INDIRECT("'"&amp;$C59&amp;"'!L23:L200")=P$37)*(INDIRECT("'"&amp;$C59&amp;"'!H23:H200")=$M$36),1,0)))</f>
        <v>12</v>
      </c>
      <c r="Q59" s="745">
        <f t="array" aca="1" ref="Q59" ca="1">IF($C59="","",SUM(IF((INDIRECT("'"&amp;$C59&amp;"'!I23:I200")=$C$1)*(INDIRECT("'"&amp;$C59&amp;"'!H23:H200")=$M$36),INDIRECT("'"&amp;$C59&amp;"'!J23:J200"),0)))</f>
        <v>22</v>
      </c>
      <c r="R59" s="745">
        <f t="array" aca="1" ref="R59" ca="1">IF($C59="","",SUM(IF((INDIRECT("'"&amp;$C59&amp;"'!I23:I200")=$C$1)*(INDIRECT("'"&amp;$C59&amp;"'!H23:H200")=$M$36),INDIRECT("'"&amp;$C59&amp;"'!K23:K200"),0)))</f>
        <v>33</v>
      </c>
      <c r="S59" s="745">
        <f t="shared" ca="1" si="43"/>
        <v>-11</v>
      </c>
      <c r="T59" s="745">
        <f t="shared" ca="1" si="44"/>
        <v>21</v>
      </c>
      <c r="U59" s="503">
        <f t="shared" ca="1" si="45"/>
        <v>17</v>
      </c>
      <c r="V59" s="743">
        <f t="shared" ca="1" si="46"/>
        <v>42</v>
      </c>
      <c r="W59" s="745">
        <f t="array" aca="1" ref="W59" ca="1">IF($C59="","",SUM(IF((INDIRECT("'"&amp;$C59&amp;"'!I23:I200")=$C$1)*(INDIRECT("'"&amp;$C59&amp;"'!L23:L200")=W$37),1,0)))</f>
        <v>13</v>
      </c>
      <c r="X59" s="799">
        <f t="array" aca="1" ref="X59" ca="1">IF($C59="","",SUM(IF((INDIRECT("'"&amp;$C59&amp;"'!I23:I200")=$C$1)*(INDIRECT("'"&amp;$C59&amp;"'!L23:L200")=X$37),1,0)))</f>
        <v>10</v>
      </c>
      <c r="Y59" s="799">
        <f t="array" aca="1" ref="Y59" ca="1">IF($C59="","",SUM(IF((INDIRECT("'"&amp;$C59&amp;"'!I23:I200")=$C$1)*(INDIRECT("'"&amp;$C59&amp;"'!L23:L200")=Y$37),1,0)))</f>
        <v>19</v>
      </c>
      <c r="Z59" s="799">
        <f t="array" aca="1" ref="Z59" ca="1">IF($C59="","",SUMIF(INDIRECT("'"&amp;$C59&amp;"'!I:I"),$C$1,INDIRECT("'"&amp;$C59&amp;"'!J:J")))</f>
        <v>49</v>
      </c>
      <c r="AA59" s="799">
        <f t="array" aca="1" ref="AA59" ca="1">IF($C59="","",SUMIF(INDIRECT("'"&amp;$C59&amp;"'!I:I"),$C$1,INDIRECT("'"&amp;$C59&amp;"'!K:K")))</f>
        <v>67</v>
      </c>
      <c r="AB59" s="799">
        <f t="shared" ca="1" si="47"/>
        <v>-18</v>
      </c>
      <c r="AC59" s="788">
        <f t="shared" ca="1" si="48"/>
        <v>49</v>
      </c>
      <c r="AD59" s="799">
        <f t="shared" ca="1" si="49"/>
        <v>48.820490000454548</v>
      </c>
      <c r="AE59" s="800">
        <f t="shared" ca="1" si="50"/>
        <v>17</v>
      </c>
      <c r="AF59" s="899">
        <f t="shared" ca="1" si="51"/>
        <v>42</v>
      </c>
      <c r="AG59" s="232">
        <f t="shared" ca="1" si="52"/>
        <v>13</v>
      </c>
      <c r="AH59" s="232">
        <f t="shared" ca="1" si="53"/>
        <v>10</v>
      </c>
      <c r="AI59" s="232">
        <f t="shared" ca="1" si="54"/>
        <v>19</v>
      </c>
      <c r="AJ59" s="232">
        <f t="shared" ca="1" si="55"/>
        <v>49</v>
      </c>
      <c r="AK59" s="232">
        <f t="shared" ca="1" si="56"/>
        <v>67</v>
      </c>
      <c r="AL59" s="232">
        <f t="shared" ca="1" si="57"/>
        <v>-18</v>
      </c>
      <c r="AM59" s="232">
        <f t="shared" ca="1" si="58"/>
        <v>49</v>
      </c>
      <c r="AN59" s="230"/>
      <c r="AO59" s="802"/>
      <c r="AP59" s="786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1:59" thickBot="1">
      <c r="B60" s="777"/>
      <c r="C60" s="778"/>
      <c r="D60" s="805">
        <f t="shared" ref="D60:I60" ca="1" si="59">SUM(D38:D59)</f>
        <v>464</v>
      </c>
      <c r="E60" s="805">
        <f t="shared" ca="1" si="59"/>
        <v>189</v>
      </c>
      <c r="F60" s="805">
        <f t="shared" ca="1" si="59"/>
        <v>123</v>
      </c>
      <c r="G60" s="805">
        <f t="shared" ca="1" si="59"/>
        <v>152</v>
      </c>
      <c r="H60" s="805">
        <f t="shared" ca="1" si="59"/>
        <v>643</v>
      </c>
      <c r="I60" s="805">
        <f t="shared" ca="1" si="59"/>
        <v>561</v>
      </c>
      <c r="J60" s="805">
        <f ca="1">SUM(J38:J59)</f>
        <v>82</v>
      </c>
      <c r="K60" s="805">
        <f ca="1">SUM(K38:K59)</f>
        <v>690</v>
      </c>
      <c r="L60" s="805"/>
      <c r="M60" s="806">
        <f t="shared" ref="M60:T60" ca="1" si="60">SUM(M38:M59)</f>
        <v>464</v>
      </c>
      <c r="N60" s="806">
        <f t="shared" ca="1" si="60"/>
        <v>152</v>
      </c>
      <c r="O60" s="806">
        <f t="shared" ca="1" si="60"/>
        <v>123</v>
      </c>
      <c r="P60" s="806">
        <f t="shared" ca="1" si="60"/>
        <v>189</v>
      </c>
      <c r="Q60" s="806">
        <f t="shared" ca="1" si="60"/>
        <v>561</v>
      </c>
      <c r="R60" s="806">
        <f t="shared" ca="1" si="60"/>
        <v>643</v>
      </c>
      <c r="S60" s="806">
        <f t="shared" ca="1" si="60"/>
        <v>-82</v>
      </c>
      <c r="T60" s="806">
        <f t="shared" ca="1" si="60"/>
        <v>579</v>
      </c>
      <c r="U60" s="807"/>
      <c r="V60" s="560">
        <f t="shared" ref="V60:AC60" ca="1" si="61">SUM(V38:V59)</f>
        <v>928</v>
      </c>
      <c r="W60" s="560">
        <f t="shared" ca="1" si="61"/>
        <v>342</v>
      </c>
      <c r="X60" s="808">
        <f t="shared" ca="1" si="61"/>
        <v>246</v>
      </c>
      <c r="Y60" s="808">
        <f t="shared" ca="1" si="61"/>
        <v>342</v>
      </c>
      <c r="Z60" s="809">
        <f t="shared" ca="1" si="61"/>
        <v>1205</v>
      </c>
      <c r="AA60" s="809">
        <f t="shared" ca="1" si="61"/>
        <v>1205</v>
      </c>
      <c r="AB60" s="809">
        <f t="shared" ca="1" si="61"/>
        <v>0</v>
      </c>
      <c r="AC60" s="810">
        <f t="shared" ca="1" si="61"/>
        <v>1272</v>
      </c>
      <c r="AD60" s="811"/>
      <c r="AE60" s="812"/>
      <c r="AF60" s="782">
        <f ca="1">SUM(AG60:AI60)</f>
        <v>928</v>
      </c>
      <c r="AG60" s="782">
        <f t="shared" ca="1" si="33"/>
        <v>341</v>
      </c>
      <c r="AH60" s="782">
        <f t="shared" ca="1" si="33"/>
        <v>246</v>
      </c>
      <c r="AI60" s="782">
        <f t="shared" ca="1" si="33"/>
        <v>341</v>
      </c>
      <c r="AJ60" s="782">
        <f t="shared" ca="1" si="34"/>
        <v>1204</v>
      </c>
      <c r="AK60" s="782">
        <f t="shared" ca="1" si="34"/>
        <v>1204</v>
      </c>
      <c r="AL60" s="782">
        <f t="shared" ca="1" si="34"/>
        <v>0</v>
      </c>
      <c r="AM60" s="782">
        <f t="shared" ca="1" si="35"/>
        <v>1269</v>
      </c>
      <c r="AN60" s="230"/>
      <c r="AO60" s="230"/>
      <c r="AP60" s="786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1:59" ht="13.5">
      <c r="X61" s="230"/>
      <c r="Y61" s="230"/>
      <c r="Z61" s="230"/>
      <c r="AA61" s="230"/>
      <c r="AB61" s="230"/>
      <c r="AC61" s="787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786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1:59" ht="13.5">
      <c r="X62" s="230"/>
      <c r="Y62" s="230"/>
      <c r="Z62" s="230"/>
      <c r="AA62" s="230"/>
      <c r="AB62" s="230"/>
      <c r="AC62" s="787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786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1:59" ht="13.5">
      <c r="X63" s="230"/>
      <c r="Y63" s="230"/>
      <c r="Z63" s="230"/>
      <c r="AA63" s="230"/>
      <c r="AB63" s="230"/>
      <c r="AC63" s="787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786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1:59" ht="13.5">
      <c r="X64" s="230"/>
      <c r="Y64" s="230"/>
      <c r="Z64" s="230"/>
      <c r="AA64" s="230"/>
      <c r="AB64" s="230"/>
      <c r="AC64" s="787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786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24:59" ht="13.5">
      <c r="X65" s="230"/>
      <c r="Y65" s="230"/>
      <c r="Z65" s="230"/>
      <c r="AA65" s="230"/>
      <c r="AB65" s="230"/>
      <c r="AC65" s="787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786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24:59" ht="13.5">
      <c r="X66" s="230"/>
      <c r="Y66" s="230"/>
      <c r="Z66" s="230"/>
      <c r="AA66" s="230"/>
      <c r="AB66" s="230"/>
      <c r="AC66" s="787"/>
      <c r="AD66" s="230"/>
      <c r="AE66" s="230"/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786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24:59" ht="13.5">
      <c r="X67" s="230"/>
      <c r="Y67" s="230"/>
      <c r="Z67" s="230"/>
      <c r="AA67" s="230"/>
      <c r="AB67" s="230"/>
      <c r="AC67" s="787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786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24:59" ht="13.5">
      <c r="X68" s="230"/>
      <c r="Y68" s="230"/>
      <c r="Z68" s="230"/>
      <c r="AA68" s="230"/>
      <c r="AB68" s="230"/>
      <c r="AC68" s="787"/>
      <c r="AD68" s="230"/>
      <c r="AE68" s="230"/>
      <c r="AF68" s="230"/>
      <c r="AG68" s="230"/>
      <c r="AH68" s="230"/>
      <c r="AI68" s="230"/>
      <c r="AJ68" s="230"/>
      <c r="AK68" s="230"/>
      <c r="AL68" s="230"/>
      <c r="AM68" s="230"/>
      <c r="AN68" s="230"/>
      <c r="AO68" s="230"/>
      <c r="AP68" s="786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24:59" ht="13.5">
      <c r="X69" s="230"/>
      <c r="Y69" s="230"/>
      <c r="Z69" s="230"/>
      <c r="AA69" s="230"/>
      <c r="AB69" s="230"/>
      <c r="AC69" s="787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786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24:59" ht="13.5">
      <c r="X70" s="230"/>
      <c r="Y70" s="230"/>
      <c r="Z70" s="230"/>
      <c r="AA70" s="230"/>
      <c r="AB70" s="230"/>
      <c r="AC70" s="787"/>
      <c r="AD70" s="230"/>
      <c r="AE70" s="230"/>
      <c r="AF70" s="230"/>
      <c r="AG70" s="230"/>
      <c r="AH70" s="230"/>
      <c r="AI70" s="230"/>
      <c r="AJ70" s="230"/>
      <c r="AK70" s="230"/>
      <c r="AL70" s="230"/>
      <c r="AM70" s="230"/>
      <c r="AN70" s="230"/>
      <c r="AO70" s="230"/>
      <c r="AP70" s="786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24:59" ht="13.5">
      <c r="X71" s="230"/>
      <c r="Y71" s="230"/>
      <c r="Z71" s="230"/>
      <c r="AA71" s="230"/>
      <c r="AB71" s="230"/>
      <c r="AC71" s="787"/>
      <c r="AD71" s="230"/>
      <c r="AE71" s="230"/>
      <c r="AF71" s="230"/>
      <c r="AG71" s="230"/>
      <c r="AH71" s="230"/>
      <c r="AI71" s="230"/>
      <c r="AJ71" s="230"/>
      <c r="AK71" s="230"/>
      <c r="AL71" s="230"/>
      <c r="AM71" s="230"/>
      <c r="AN71" s="230"/>
      <c r="AO71" s="230"/>
      <c r="AP71" s="786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24:59" ht="13.5">
      <c r="X72" s="230"/>
      <c r="Y72" s="230"/>
      <c r="Z72" s="230"/>
      <c r="AA72" s="230"/>
      <c r="AB72" s="230"/>
      <c r="AC72" s="787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786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24:59" ht="13.5">
      <c r="X73" s="230"/>
      <c r="Y73" s="230"/>
      <c r="Z73" s="230"/>
      <c r="AA73" s="230"/>
      <c r="AB73" s="230"/>
      <c r="AC73" s="787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786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24:59" ht="13.5">
      <c r="X74" s="230"/>
      <c r="Y74" s="230"/>
      <c r="Z74" s="230"/>
      <c r="AA74" s="230"/>
      <c r="AB74" s="230"/>
      <c r="AC74" s="787"/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786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24:59" ht="13.5">
      <c r="X75" s="230"/>
      <c r="Y75" s="230"/>
      <c r="Z75" s="230"/>
      <c r="AA75" s="230"/>
      <c r="AB75" s="230"/>
      <c r="AC75" s="787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786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24:59" ht="13.5">
      <c r="X76" s="230"/>
      <c r="Y76" s="230"/>
      <c r="Z76" s="230"/>
      <c r="AA76" s="230"/>
      <c r="AB76" s="230"/>
      <c r="AC76" s="787"/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786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24:59" ht="13.5">
      <c r="X77" s="230"/>
      <c r="Y77" s="230"/>
      <c r="Z77" s="230"/>
      <c r="AA77" s="230"/>
      <c r="AB77" s="230"/>
      <c r="AC77" s="787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0"/>
      <c r="AP77" s="786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24:59" ht="13.5">
      <c r="X78" s="230"/>
      <c r="Y78" s="230"/>
      <c r="Z78" s="230"/>
      <c r="AA78" s="230"/>
      <c r="AB78" s="230"/>
      <c r="AC78" s="787"/>
      <c r="AD78" s="230"/>
      <c r="AE78" s="230"/>
      <c r="AF78" s="230"/>
      <c r="AG78" s="230"/>
      <c r="AH78" s="230"/>
      <c r="AI78" s="230"/>
      <c r="AJ78" s="230"/>
      <c r="AK78" s="230"/>
      <c r="AL78" s="230"/>
      <c r="AM78" s="230"/>
      <c r="AN78" s="230"/>
      <c r="AO78" s="230"/>
      <c r="AP78" s="786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24:59" ht="13.5">
      <c r="X79" s="230"/>
      <c r="Y79" s="230"/>
      <c r="Z79" s="230"/>
      <c r="AA79" s="230"/>
      <c r="AB79" s="230"/>
      <c r="AC79" s="787"/>
      <c r="AD79" s="230"/>
      <c r="AE79" s="230"/>
      <c r="AF79" s="230"/>
      <c r="AG79" s="230"/>
      <c r="AH79" s="230"/>
      <c r="AI79" s="230"/>
      <c r="AJ79" s="230"/>
      <c r="AK79" s="230"/>
      <c r="AL79" s="230"/>
      <c r="AM79" s="230"/>
      <c r="AN79" s="230"/>
      <c r="AO79" s="230"/>
      <c r="AP79" s="786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24:59" ht="13.5">
      <c r="X80" s="230"/>
      <c r="Y80" s="230"/>
      <c r="Z80" s="230"/>
      <c r="AA80" s="230"/>
      <c r="AB80" s="230"/>
      <c r="AC80" s="787"/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786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24:59" ht="13.5">
      <c r="X81" s="230"/>
      <c r="Y81" s="230"/>
      <c r="Z81" s="230"/>
      <c r="AA81" s="230"/>
      <c r="AB81" s="230"/>
      <c r="AC81" s="787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786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24:59" ht="13.5">
      <c r="X82" s="230"/>
      <c r="Y82" s="230"/>
      <c r="Z82" s="230"/>
      <c r="AA82" s="230"/>
      <c r="AB82" s="230"/>
      <c r="AC82" s="787"/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786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24:59" ht="13.5">
      <c r="X83" s="230"/>
      <c r="Y83" s="230"/>
      <c r="Z83" s="230"/>
      <c r="AA83" s="230"/>
      <c r="AB83" s="230"/>
      <c r="AC83" s="787"/>
      <c r="AD83" s="230"/>
      <c r="AE83" s="230"/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786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24:59" ht="13.5">
      <c r="X84" s="230"/>
      <c r="Y84" s="230"/>
      <c r="Z84" s="230"/>
      <c r="AA84" s="230"/>
      <c r="AB84" s="230"/>
      <c r="AC84" s="787"/>
      <c r="AD84" s="230"/>
      <c r="AE84" s="230"/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786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24:59" ht="13.5">
      <c r="X85" s="230"/>
      <c r="Y85" s="230"/>
      <c r="Z85" s="230"/>
      <c r="AA85" s="230"/>
      <c r="AB85" s="230"/>
      <c r="AC85" s="787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786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24:59" ht="13.5">
      <c r="X86" s="230"/>
      <c r="Y86" s="230"/>
      <c r="Z86" s="230"/>
      <c r="AA86" s="230"/>
      <c r="AB86" s="230"/>
      <c r="AC86" s="787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786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24:59" ht="13.5">
      <c r="X87" s="230"/>
      <c r="Y87" s="230"/>
      <c r="Z87" s="230"/>
      <c r="AA87" s="230"/>
      <c r="AB87" s="230"/>
      <c r="AC87" s="787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786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24:59" ht="13.5">
      <c r="X88" s="230"/>
      <c r="Y88" s="230"/>
      <c r="Z88" s="230"/>
      <c r="AA88" s="230"/>
      <c r="AB88" s="230"/>
      <c r="AC88" s="787"/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786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24:59" ht="13.5">
      <c r="X89" s="230"/>
      <c r="Y89" s="230"/>
      <c r="Z89" s="230"/>
      <c r="AA89" s="230"/>
      <c r="AB89" s="230"/>
      <c r="AC89" s="787"/>
      <c r="AD89" s="230"/>
      <c r="AE89" s="230"/>
      <c r="AF89" s="230"/>
      <c r="AG89" s="230"/>
      <c r="AH89" s="230"/>
      <c r="AI89" s="230"/>
      <c r="AJ89" s="230"/>
      <c r="AK89" s="230"/>
      <c r="AL89" s="230"/>
      <c r="AM89" s="230"/>
      <c r="AN89" s="230"/>
      <c r="AO89" s="230"/>
      <c r="AP89" s="786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24:59" ht="13.5">
      <c r="X90" s="230"/>
      <c r="Y90" s="230"/>
      <c r="Z90" s="230"/>
      <c r="AA90" s="230"/>
      <c r="AB90" s="230"/>
      <c r="AC90" s="787"/>
      <c r="AD90" s="230"/>
      <c r="AE90" s="230"/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786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24:59" ht="13.5">
      <c r="X91" s="230"/>
      <c r="Y91" s="230"/>
      <c r="Z91" s="230"/>
      <c r="AA91" s="230"/>
      <c r="AB91" s="230"/>
      <c r="AC91" s="787"/>
      <c r="AD91" s="230"/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786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24:59" ht="13.5">
      <c r="X92" s="230"/>
      <c r="Y92" s="230"/>
      <c r="Z92" s="230"/>
      <c r="AA92" s="230"/>
      <c r="AB92" s="230"/>
      <c r="AC92" s="787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786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24:59" ht="13.5">
      <c r="X93" s="230"/>
      <c r="Y93" s="230"/>
      <c r="Z93" s="230"/>
      <c r="AA93" s="230"/>
      <c r="AB93" s="230"/>
      <c r="AC93" s="787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786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24:59" ht="13.5">
      <c r="X94" s="230"/>
      <c r="Y94" s="230"/>
      <c r="Z94" s="230"/>
      <c r="AA94" s="230"/>
      <c r="AB94" s="230"/>
      <c r="AC94" s="787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786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24:59" ht="13.5">
      <c r="X95" s="230"/>
      <c r="Y95" s="230"/>
      <c r="Z95" s="230"/>
      <c r="AA95" s="230"/>
      <c r="AB95" s="230"/>
      <c r="AC95" s="787"/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786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24:59" ht="13.5">
      <c r="X96" s="230"/>
      <c r="Y96" s="230"/>
      <c r="Z96" s="230"/>
      <c r="AA96" s="230"/>
      <c r="AB96" s="230"/>
      <c r="AC96" s="787"/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786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4:59" ht="13.5">
      <c r="X97" s="230"/>
      <c r="Y97" s="230"/>
      <c r="Z97" s="230"/>
      <c r="AA97" s="230"/>
      <c r="AB97" s="230"/>
      <c r="AC97" s="787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786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4:59" ht="13.5">
      <c r="X98" s="230"/>
      <c r="Y98" s="230"/>
      <c r="Z98" s="230"/>
      <c r="AA98" s="230"/>
      <c r="AB98" s="230"/>
      <c r="AC98" s="787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786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4:59" ht="13.5">
      <c r="X99" s="230"/>
      <c r="Y99" s="230"/>
      <c r="Z99" s="230"/>
      <c r="AA99" s="230"/>
      <c r="AB99" s="230"/>
      <c r="AC99" s="787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786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4:59" ht="13.5">
      <c r="X100" s="230"/>
      <c r="Y100" s="230"/>
      <c r="Z100" s="230"/>
      <c r="AA100" s="230"/>
      <c r="AB100" s="230"/>
      <c r="AC100" s="787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786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</sheetData>
  <phoneticPr fontId="21" type="noConversion"/>
  <conditionalFormatting sqref="D37:AM37 AO37 D8:AM8">
    <cfRule type="cellIs" dxfId="385" priority="17" stopIfTrue="1" operator="equal">
      <formula>"W"</formula>
    </cfRule>
    <cfRule type="cellIs" dxfId="384" priority="18" stopIfTrue="1" operator="equal">
      <formula>"D"</formula>
    </cfRule>
  </conditionalFormatting>
  <conditionalFormatting sqref="AO9:AO32">
    <cfRule type="cellIs" dxfId="383" priority="16" stopIfTrue="1" operator="lessThan">
      <formula>$AC$9</formula>
    </cfRule>
  </conditionalFormatting>
  <conditionalFormatting sqref="Z33 AJ33 Z60 AJ60">
    <cfRule type="cellIs" dxfId="382" priority="15" stopIfTrue="1" operator="notEqual">
      <formula>AA33</formula>
    </cfRule>
  </conditionalFormatting>
  <conditionalFormatting sqref="AA33 AK33 AA60 AK60">
    <cfRule type="cellIs" dxfId="381" priority="14" stopIfTrue="1" operator="notEqual">
      <formula>Z33</formula>
    </cfRule>
  </conditionalFormatting>
  <conditionalFormatting sqref="P33 P60">
    <cfRule type="cellIs" dxfId="380" priority="12" stopIfTrue="1" operator="notEqual">
      <formula>E33</formula>
    </cfRule>
  </conditionalFormatting>
  <conditionalFormatting sqref="R33">
    <cfRule type="cellIs" dxfId="379" priority="11" stopIfTrue="1" operator="notEqual">
      <formula>H33</formula>
    </cfRule>
  </conditionalFormatting>
  <conditionalFormatting sqref="Q33">
    <cfRule type="cellIs" dxfId="378" priority="10" stopIfTrue="1" operator="notEqual">
      <formula>I33</formula>
    </cfRule>
  </conditionalFormatting>
  <conditionalFormatting sqref="V33 X33 V60:Y60">
    <cfRule type="cellIs" dxfId="377" priority="9" stopIfTrue="1" operator="notEqual">
      <formula>AF33</formula>
    </cfRule>
  </conditionalFormatting>
  <conditionalFormatting sqref="W33 W60">
    <cfRule type="cellIs" dxfId="376" priority="8" stopIfTrue="1" operator="notEqual">
      <formula>Y33</formula>
    </cfRule>
  </conditionalFormatting>
  <conditionalFormatting sqref="Y33 Y60">
    <cfRule type="cellIs" dxfId="375" priority="7" stopIfTrue="1" operator="notEqual">
      <formula>W33</formula>
    </cfRule>
  </conditionalFormatting>
  <conditionalFormatting sqref="V9:AC26 W60:Y60 AC38:AC59 V38:AA59">
    <cfRule type="cellIs" dxfId="374" priority="6" stopIfTrue="1" operator="notEqual">
      <formula>AF9</formula>
    </cfRule>
  </conditionalFormatting>
  <conditionalFormatting sqref="AP9:AP32">
    <cfRule type="expression" dxfId="373" priority="5" stopIfTrue="1">
      <formula>AC9&gt;INDIRECT("AO$"&amp;(8+$C$3-AP$3-AP$5+1))</formula>
    </cfRule>
  </conditionalFormatting>
  <conditionalFormatting sqref="AE3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3">
    <cfRule type="cellIs" dxfId="372" priority="3" operator="notEqual">
      <formula>F33</formula>
    </cfRule>
  </conditionalFormatting>
  <conditionalFormatting sqref="AE39:AE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G100"/>
  <sheetViews>
    <sheetView workbookViewId="0">
      <selection activeCell="C15" sqref="C15"/>
    </sheetView>
  </sheetViews>
  <sheetFormatPr defaultColWidth="9.125" defaultRowHeight="14.25"/>
  <cols>
    <col min="1" max="1" width="4.625" style="215" customWidth="1"/>
    <col min="2" max="2" width="13.125" style="215" customWidth="1"/>
    <col min="3" max="3" width="8.375" style="215" customWidth="1"/>
    <col min="4" max="4" width="8" style="215" customWidth="1"/>
    <col min="5" max="5" width="7.625" style="215" customWidth="1"/>
    <col min="6" max="6" width="8.125" style="215" customWidth="1"/>
    <col min="7" max="7" width="6.75" style="215" customWidth="1"/>
    <col min="8" max="8" width="6.25" style="215" customWidth="1"/>
    <col min="9" max="9" width="7.875" style="215" customWidth="1"/>
    <col min="10" max="11" width="8.125" style="215" customWidth="1"/>
    <col min="12" max="12" width="7.625" style="215" customWidth="1"/>
    <col min="13" max="13" width="7.375" style="215" customWidth="1"/>
    <col min="14" max="14" width="7" style="215" customWidth="1"/>
    <col min="15" max="15" width="7.125" style="215" customWidth="1"/>
    <col min="16" max="16" width="7" style="215" customWidth="1"/>
    <col min="17" max="17" width="6.25" style="215" customWidth="1"/>
    <col min="18" max="18" width="7.875" style="215" customWidth="1"/>
    <col min="19" max="19" width="8.25" style="215" customWidth="1"/>
    <col min="20" max="20" width="8" style="215" customWidth="1"/>
    <col min="21" max="24" width="6.25" style="215" customWidth="1"/>
    <col min="25" max="27" width="6.125" style="359" customWidth="1"/>
    <col min="28" max="28" width="12.25" style="215" customWidth="1"/>
    <col min="29" max="29" width="4.125" style="215" customWidth="1"/>
    <col min="30" max="16384" width="9.125" style="215"/>
  </cols>
  <sheetData>
    <row r="1" spans="1:28">
      <c r="A1" s="354" t="s">
        <v>99</v>
      </c>
      <c r="D1" s="215" t="s">
        <v>205</v>
      </c>
      <c r="E1" s="666" t="str">
        <f>Table!C1</f>
        <v>J2L</v>
      </c>
    </row>
    <row r="2" spans="1:28">
      <c r="B2" s="215" t="str">
        <f>Table!B2</f>
        <v>Played:</v>
      </c>
      <c r="C2" s="667">
        <f ca="1">Table!C2</f>
        <v>42.18181818181818</v>
      </c>
      <c r="D2" s="215" t="str">
        <f>Table!D2</f>
        <v>Matches Per Team</v>
      </c>
    </row>
    <row r="3" spans="1:28" ht="15" thickBot="1">
      <c r="B3" s="215">
        <v>1</v>
      </c>
      <c r="C3" s="215">
        <v>2</v>
      </c>
      <c r="D3" s="215">
        <v>3</v>
      </c>
      <c r="E3" s="215">
        <v>4</v>
      </c>
      <c r="F3" s="215">
        <v>5</v>
      </c>
      <c r="G3" s="215">
        <v>6</v>
      </c>
      <c r="H3" s="215">
        <v>7</v>
      </c>
      <c r="I3" s="215">
        <v>8</v>
      </c>
      <c r="J3" s="215">
        <v>9</v>
      </c>
      <c r="K3" s="215">
        <v>10</v>
      </c>
      <c r="L3" s="215">
        <v>11</v>
      </c>
      <c r="M3" s="215">
        <v>12</v>
      </c>
      <c r="N3" s="215">
        <v>13</v>
      </c>
      <c r="O3" s="215">
        <v>14</v>
      </c>
      <c r="P3" s="215">
        <v>15</v>
      </c>
      <c r="Q3" s="215">
        <v>16</v>
      </c>
      <c r="R3" s="215">
        <v>17</v>
      </c>
      <c r="S3" s="215">
        <v>18</v>
      </c>
      <c r="T3" s="215">
        <v>19</v>
      </c>
      <c r="U3" s="215">
        <v>20</v>
      </c>
      <c r="V3" s="215">
        <v>21</v>
      </c>
      <c r="W3" s="215">
        <v>22</v>
      </c>
      <c r="X3" s="215">
        <v>23</v>
      </c>
    </row>
    <row r="4" spans="1:28">
      <c r="A4" s="241"/>
      <c r="B4" s="363" t="str">
        <f>Table!C1</f>
        <v>J2L</v>
      </c>
      <c r="C4" s="668" t="s">
        <v>100</v>
      </c>
      <c r="D4" s="669"/>
      <c r="E4" s="669"/>
      <c r="F4" s="669"/>
      <c r="G4" s="670"/>
      <c r="H4" s="367"/>
      <c r="I4" s="367"/>
      <c r="J4" s="367"/>
      <c r="K4" s="368" t="s">
        <v>101</v>
      </c>
      <c r="L4" s="669"/>
      <c r="M4" s="669"/>
      <c r="N4" s="669"/>
      <c r="O4" s="365"/>
      <c r="P4" s="367"/>
      <c r="Q4" s="367"/>
      <c r="R4" s="368" t="s">
        <v>102</v>
      </c>
      <c r="S4" s="669"/>
      <c r="T4" s="669"/>
      <c r="U4" s="669"/>
      <c r="V4" s="365"/>
      <c r="W4" s="366"/>
      <c r="X4" s="671"/>
      <c r="Y4" s="672" t="s">
        <v>103</v>
      </c>
      <c r="Z4" s="672"/>
      <c r="AA4" s="672"/>
    </row>
    <row r="5" spans="1:28" ht="28.5" thickBot="1">
      <c r="A5" s="673" t="s">
        <v>104</v>
      </c>
      <c r="B5" s="674" t="s">
        <v>105</v>
      </c>
      <c r="C5" s="398" t="s">
        <v>106</v>
      </c>
      <c r="D5" s="675" t="s">
        <v>107</v>
      </c>
      <c r="E5" s="675" t="s">
        <v>108</v>
      </c>
      <c r="F5" s="675" t="s">
        <v>109</v>
      </c>
      <c r="G5" s="676" t="s">
        <v>101</v>
      </c>
      <c r="H5" s="677" t="s">
        <v>110</v>
      </c>
      <c r="I5" s="677" t="s">
        <v>111</v>
      </c>
      <c r="J5" s="678" t="s">
        <v>112</v>
      </c>
      <c r="K5" s="553" t="s">
        <v>106</v>
      </c>
      <c r="L5" s="675" t="s">
        <v>107</v>
      </c>
      <c r="M5" s="675" t="s">
        <v>108</v>
      </c>
      <c r="N5" s="675" t="s">
        <v>109</v>
      </c>
      <c r="O5" s="676" t="s">
        <v>101</v>
      </c>
      <c r="P5" s="677" t="s">
        <v>110</v>
      </c>
      <c r="Q5" s="677" t="s">
        <v>111</v>
      </c>
      <c r="R5" s="553" t="s">
        <v>106</v>
      </c>
      <c r="S5" s="675" t="s">
        <v>107</v>
      </c>
      <c r="T5" s="675" t="s">
        <v>108</v>
      </c>
      <c r="U5" s="675" t="s">
        <v>109</v>
      </c>
      <c r="V5" s="676" t="s">
        <v>101</v>
      </c>
      <c r="W5" s="677" t="s">
        <v>110</v>
      </c>
      <c r="X5" s="679" t="s">
        <v>111</v>
      </c>
      <c r="Y5" s="680"/>
      <c r="Z5" s="680"/>
      <c r="AA5" s="680"/>
    </row>
    <row r="6" spans="1:28" ht="15" thickBot="1">
      <c r="A6" s="429">
        <f>Table!A9</f>
        <v>1</v>
      </c>
      <c r="B6" s="401" t="str">
        <f ca="1">Table!B9</f>
        <v>Shonan Bellmare</v>
      </c>
      <c r="C6" s="681">
        <f ca="1">IF(B6="","",Table!E9/Table!$D9)</f>
        <v>0.5714285714285714</v>
      </c>
      <c r="D6" s="681">
        <f ca="1">IF(C6="","",Table!F9/Table!$D9)</f>
        <v>0.2857142857142857</v>
      </c>
      <c r="E6" s="681">
        <f ca="1">IF(D6="","",Table!G9/Table!$D9)</f>
        <v>0.14285714285714285</v>
      </c>
      <c r="F6" s="408">
        <f ca="1">IF(B6="","",Table!H9/Table!$D9)</f>
        <v>1.5238095238095237</v>
      </c>
      <c r="G6" s="408">
        <f ca="1">IF(C6="","",Table!I9/Table!$D9)</f>
        <v>0.8571428571428571</v>
      </c>
      <c r="H6" s="410">
        <f ca="1">IF($B6="","",G6+F6)</f>
        <v>2.3809523809523809</v>
      </c>
      <c r="I6" s="410">
        <f ca="1">IF($B6="","",F6-G6)</f>
        <v>0.66666666666666663</v>
      </c>
      <c r="J6" s="602">
        <f ca="1">IF($B6="","",(I6-Q6)/2)</f>
        <v>0.14285714285714279</v>
      </c>
      <c r="K6" s="682">
        <f ca="1">IF($B6="","",Table!N9/Table!$M9)</f>
        <v>0.5714285714285714</v>
      </c>
      <c r="L6" s="682">
        <f ca="1">IF($B6="","",Table!O9/Table!$M9)</f>
        <v>0.23809523809523808</v>
      </c>
      <c r="M6" s="682">
        <f ca="1">IF($B6="","",Table!P9/Table!$M9)</f>
        <v>0.19047619047619047</v>
      </c>
      <c r="N6" s="600">
        <f ca="1">IF($B6="","",Table!Q9/Table!$M9)</f>
        <v>1.2380952380952381</v>
      </c>
      <c r="O6" s="600">
        <f ca="1">IF($B6="","",Table!R9/Table!$M9)</f>
        <v>0.8571428571428571</v>
      </c>
      <c r="P6" s="517">
        <f ca="1">IF($B6="","",O6+N6)</f>
        <v>2.0952380952380953</v>
      </c>
      <c r="Q6" s="602">
        <f ca="1">IF($B6="","",N6-O6)</f>
        <v>0.38095238095238104</v>
      </c>
      <c r="R6" s="682">
        <f ca="1">IF($B6="","",Table!W9/Table!$V9)</f>
        <v>0.5714285714285714</v>
      </c>
      <c r="S6" s="682">
        <f ca="1">IF($B6="","",Table!X9/Table!$V9)</f>
        <v>0.26190476190476192</v>
      </c>
      <c r="T6" s="682">
        <f ca="1">IF($B6="","",Table!Y9/Table!$V9)</f>
        <v>0.16666666666666666</v>
      </c>
      <c r="U6" s="600">
        <f ca="1">IF(B6="","",Table!Z9/Table!$V9)</f>
        <v>1.3809523809523809</v>
      </c>
      <c r="V6" s="600">
        <f ca="1">IF(C6="","",Table!AA9/Table!$V9)</f>
        <v>0.8571428571428571</v>
      </c>
      <c r="W6" s="517">
        <f ca="1">IF($B6="","",V6+U6)</f>
        <v>2.2380952380952381</v>
      </c>
      <c r="X6" s="602">
        <f ca="1">IF($B6="","",U6-V6)</f>
        <v>0.52380952380952384</v>
      </c>
      <c r="Y6" s="450"/>
      <c r="Z6" s="450"/>
      <c r="AA6" s="450"/>
      <c r="AB6" s="359"/>
    </row>
    <row r="7" spans="1:28" ht="15" thickBot="1">
      <c r="A7" s="429">
        <f>Table!A10</f>
        <v>2</v>
      </c>
      <c r="B7" s="401" t="str">
        <f ca="1">Table!B10</f>
        <v>V-Varen Nagasaki</v>
      </c>
      <c r="C7" s="681">
        <f ca="1">IF(B7="","",Table!E10/Table!$D10)</f>
        <v>0.7142857142857143</v>
      </c>
      <c r="D7" s="681">
        <f ca="1">IF(C7="","",Table!F10/Table!$D10)</f>
        <v>0.19047619047619047</v>
      </c>
      <c r="E7" s="681">
        <f ca="1">IF(D7="","",Table!G10/Table!$D10)</f>
        <v>9.5238095238095233E-2</v>
      </c>
      <c r="F7" s="408">
        <f ca="1">IF(B7="","",Table!H10/Table!$D10)</f>
        <v>1.5238095238095237</v>
      </c>
      <c r="G7" s="408">
        <f ca="1">IF(C7="","",Table!I10/Table!$D10)</f>
        <v>0.5714285714285714</v>
      </c>
      <c r="H7" s="410">
        <f t="shared" ref="H7:H25" ca="1" si="0">IF($B7="","",G7+F7)</f>
        <v>2.0952380952380949</v>
      </c>
      <c r="I7" s="410">
        <f t="shared" ref="I7:I25" ca="1" si="1">IF($B7="","",F7-G7)</f>
        <v>0.95238095238095233</v>
      </c>
      <c r="J7" s="522">
        <f t="shared" ref="J7:J27" ca="1" si="2">IF($B7="","",(I7-Q7)/2)</f>
        <v>0.52380952380952372</v>
      </c>
      <c r="K7" s="682">
        <f ca="1">IF($B7="","",Table!N10/Table!$M10)</f>
        <v>0.42857142857142855</v>
      </c>
      <c r="L7" s="682">
        <f ca="1">IF($B7="","",Table!O10/Table!$M10)</f>
        <v>0.19047619047619047</v>
      </c>
      <c r="M7" s="682">
        <f ca="1">IF($B7="","",Table!P10/Table!$M10)</f>
        <v>0.38095238095238093</v>
      </c>
      <c r="N7" s="600">
        <f ca="1">IF($B7="","",Table!Q10/Table!$M10)</f>
        <v>1.2857142857142858</v>
      </c>
      <c r="O7" s="600">
        <f ca="1">IF($B7="","",Table!R10/Table!$M10)</f>
        <v>1.3809523809523809</v>
      </c>
      <c r="P7" s="517">
        <f t="shared" ref="P7:P25" ca="1" si="3">IF($B7="","",O7+N7)</f>
        <v>2.666666666666667</v>
      </c>
      <c r="Q7" s="602">
        <f t="shared" ref="Q7:Q25" ca="1" si="4">IF($B7="","",N7-O7)</f>
        <v>-9.5238095238095122E-2</v>
      </c>
      <c r="R7" s="682">
        <f ca="1">IF($B7="","",Table!W10/Table!$V10)</f>
        <v>0.5714285714285714</v>
      </c>
      <c r="S7" s="682">
        <f ca="1">IF($B7="","",Table!X10/Table!$V10)</f>
        <v>0.19047619047619047</v>
      </c>
      <c r="T7" s="682">
        <f ca="1">IF($B7="","",Table!Y10/Table!$V10)</f>
        <v>0.23809523809523808</v>
      </c>
      <c r="U7" s="600">
        <f ca="1">IF(B7="","",Table!Z10/Table!$V10)</f>
        <v>1.4047619047619047</v>
      </c>
      <c r="V7" s="600">
        <f ca="1">IF(C7="","",Table!AA10/Table!$V10)</f>
        <v>0.97619047619047616</v>
      </c>
      <c r="W7" s="517">
        <f t="shared" ref="W7:W25" ca="1" si="5">IF($B7="","",V7+U7)</f>
        <v>2.3809523809523809</v>
      </c>
      <c r="X7" s="602">
        <f t="shared" ref="X7:X25" ca="1" si="6">IF($B7="","",U7-V7)</f>
        <v>0.42857142857142849</v>
      </c>
      <c r="Y7" s="450"/>
      <c r="Z7" s="450"/>
      <c r="AA7" s="450"/>
      <c r="AB7" s="359"/>
    </row>
    <row r="8" spans="1:28" ht="15" thickBot="1">
      <c r="A8" s="429">
        <f>Table!A11</f>
        <v>3</v>
      </c>
      <c r="B8" s="401" t="str">
        <f ca="1">Table!B11</f>
        <v>Nagoya Grampus</v>
      </c>
      <c r="C8" s="681">
        <f ca="1">IF(B8="","",Table!E11/Table!$D11)</f>
        <v>0.60869565217391308</v>
      </c>
      <c r="D8" s="681">
        <f ca="1">IF(C8="","",Table!F11/Table!$D11)</f>
        <v>0.13043478260869565</v>
      </c>
      <c r="E8" s="681">
        <f ca="1">IF(D8="","",Table!G11/Table!$D11)</f>
        <v>0.2608695652173913</v>
      </c>
      <c r="F8" s="408">
        <f ca="1">IF(B8="","",Table!H11/Table!$D11)</f>
        <v>2.2608695652173911</v>
      </c>
      <c r="G8" s="408">
        <f ca="1">IF(C8="","",Table!I11/Table!$D11)</f>
        <v>1.4782608695652173</v>
      </c>
      <c r="H8" s="410">
        <f t="shared" ca="1" si="0"/>
        <v>3.7391304347826084</v>
      </c>
      <c r="I8" s="410">
        <f t="shared" ca="1" si="1"/>
        <v>0.78260869565217384</v>
      </c>
      <c r="J8" s="522">
        <f t="shared" ca="1" si="2"/>
        <v>0.29606625258799169</v>
      </c>
      <c r="K8" s="682">
        <f ca="1">IF($B8="","",Table!N11/Table!$M11)</f>
        <v>0.47619047619047616</v>
      </c>
      <c r="L8" s="682">
        <f ca="1">IF($B8="","",Table!O11/Table!$M11)</f>
        <v>0.19047619047619047</v>
      </c>
      <c r="M8" s="682">
        <f ca="1">IF($B8="","",Table!P11/Table!$M11)</f>
        <v>0.33333333333333331</v>
      </c>
      <c r="N8" s="600">
        <f ca="1">IF($B8="","",Table!Q11/Table!$M11)</f>
        <v>1.7619047619047619</v>
      </c>
      <c r="O8" s="600">
        <f ca="1">IF($B8="","",Table!R11/Table!$M11)</f>
        <v>1.5714285714285714</v>
      </c>
      <c r="P8" s="517">
        <f t="shared" ca="1" si="3"/>
        <v>3.333333333333333</v>
      </c>
      <c r="Q8" s="602">
        <f t="shared" ca="1" si="4"/>
        <v>0.19047619047619047</v>
      </c>
      <c r="R8" s="682">
        <f ca="1">IF($B8="","",Table!W11/Table!$V11)</f>
        <v>0.54545454545454541</v>
      </c>
      <c r="S8" s="682">
        <f ca="1">IF($B8="","",Table!X11/Table!$V11)</f>
        <v>0.15909090909090909</v>
      </c>
      <c r="T8" s="682">
        <f ca="1">IF($B8="","",Table!Y11/Table!$V11)</f>
        <v>0.29545454545454547</v>
      </c>
      <c r="U8" s="600">
        <f ca="1">IF(B8="","",Table!Z11/Table!$V11)</f>
        <v>2.0227272727272729</v>
      </c>
      <c r="V8" s="600">
        <f ca="1">IF(C8="","",Table!AA11/Table!$V11)</f>
        <v>1.5227272727272727</v>
      </c>
      <c r="W8" s="517">
        <f t="shared" ca="1" si="5"/>
        <v>3.5454545454545459</v>
      </c>
      <c r="X8" s="602">
        <f t="shared" ca="1" si="6"/>
        <v>0.50000000000000022</v>
      </c>
      <c r="Y8" s="450"/>
      <c r="Z8" s="450"/>
      <c r="AA8" s="450"/>
      <c r="AB8" s="359"/>
    </row>
    <row r="9" spans="1:28" ht="15" thickBot="1">
      <c r="A9" s="429">
        <f>Table!A12</f>
        <v>4</v>
      </c>
      <c r="B9" s="401" t="str">
        <f ca="1">Table!B12</f>
        <v>Avispa Fukuoka</v>
      </c>
      <c r="C9" s="681">
        <f ca="1">IF(B9="","",Table!E12/Table!$D12)</f>
        <v>0.47619047619047616</v>
      </c>
      <c r="D9" s="681">
        <f ca="1">IF(C9="","",Table!F12/Table!$D12)</f>
        <v>0.14285714285714285</v>
      </c>
      <c r="E9" s="681">
        <f ca="1">IF(D9="","",Table!G12/Table!$D12)</f>
        <v>0.38095238095238093</v>
      </c>
      <c r="F9" s="408">
        <f ca="1">IF(B9="","",Table!H12/Table!$D12)</f>
        <v>1.0952380952380953</v>
      </c>
      <c r="G9" s="408">
        <f ca="1">IF(C9="","",Table!I12/Table!$D12)</f>
        <v>1</v>
      </c>
      <c r="H9" s="410">
        <f t="shared" ca="1" si="0"/>
        <v>2.0952380952380953</v>
      </c>
      <c r="I9" s="410">
        <f t="shared" ca="1" si="1"/>
        <v>9.5238095238095344E-2</v>
      </c>
      <c r="J9" s="522">
        <f t="shared" ca="1" si="2"/>
        <v>-0.31601731601731603</v>
      </c>
      <c r="K9" s="682">
        <f ca="1">IF($B9="","",Table!N12/Table!$M12)</f>
        <v>0.5</v>
      </c>
      <c r="L9" s="682">
        <f ca="1">IF($B9="","",Table!O12/Table!$M12)</f>
        <v>0.40909090909090912</v>
      </c>
      <c r="M9" s="682">
        <f ca="1">IF($B9="","",Table!P12/Table!$M12)</f>
        <v>9.0909090909090912E-2</v>
      </c>
      <c r="N9" s="600">
        <f ca="1">IF($B9="","",Table!Q12/Table!$M12)</f>
        <v>1.4090909090909092</v>
      </c>
      <c r="O9" s="600">
        <f ca="1">IF($B9="","",Table!R12/Table!$M12)</f>
        <v>0.68181818181818177</v>
      </c>
      <c r="P9" s="517">
        <f t="shared" ca="1" si="3"/>
        <v>2.0909090909090908</v>
      </c>
      <c r="Q9" s="602">
        <f t="shared" ca="1" si="4"/>
        <v>0.7272727272727274</v>
      </c>
      <c r="R9" s="682">
        <f ca="1">IF($B9="","",Table!W12/Table!$V12)</f>
        <v>0.51162790697674421</v>
      </c>
      <c r="S9" s="682">
        <f ca="1">IF($B9="","",Table!X12/Table!$V12)</f>
        <v>0.27906976744186046</v>
      </c>
      <c r="T9" s="682">
        <f ca="1">IF($B9="","",Table!Y12/Table!$V12)</f>
        <v>0.23255813953488372</v>
      </c>
      <c r="U9" s="600">
        <f ca="1">IF(B9="","",Table!Z12/Table!$V12)</f>
        <v>1.2790697674418605</v>
      </c>
      <c r="V9" s="600">
        <f ca="1">IF(C9="","",Table!AA12/Table!$V12)</f>
        <v>0.83720930232558144</v>
      </c>
      <c r="W9" s="517">
        <f t="shared" ca="1" si="5"/>
        <v>2.1162790697674421</v>
      </c>
      <c r="X9" s="602">
        <f t="shared" ca="1" si="6"/>
        <v>0.44186046511627908</v>
      </c>
      <c r="Y9" s="450"/>
      <c r="Z9" s="450"/>
      <c r="AA9" s="450"/>
      <c r="AB9" s="359"/>
    </row>
    <row r="10" spans="1:28" ht="15" thickBot="1">
      <c r="A10" s="429">
        <f>Table!A13</f>
        <v>5</v>
      </c>
      <c r="B10" s="401" t="str">
        <f ca="1">Table!B13</f>
        <v>Tokyo Verdy</v>
      </c>
      <c r="C10" s="681">
        <f ca="1">IF(B10="","",Table!E13/Table!$D13)</f>
        <v>0.5714285714285714</v>
      </c>
      <c r="D10" s="681">
        <f ca="1">IF(C10="","",Table!F13/Table!$D13)</f>
        <v>0.23809523809523808</v>
      </c>
      <c r="E10" s="681">
        <f ca="1">IF(D10="","",Table!G13/Table!$D13)</f>
        <v>0.19047619047619047</v>
      </c>
      <c r="F10" s="408">
        <f ca="1">IF(B10="","",Table!H13/Table!$D13)</f>
        <v>1.9047619047619047</v>
      </c>
      <c r="G10" s="408">
        <f ca="1">IF(C10="","",Table!I13/Table!$D13)</f>
        <v>1.1428571428571428</v>
      </c>
      <c r="H10" s="410">
        <f t="shared" ca="1" si="0"/>
        <v>3.0476190476190474</v>
      </c>
      <c r="I10" s="410">
        <f t="shared" ca="1" si="1"/>
        <v>0.76190476190476186</v>
      </c>
      <c r="J10" s="522">
        <f t="shared" ca="1" si="2"/>
        <v>0.40476190476190477</v>
      </c>
      <c r="K10" s="682">
        <f ca="1">IF($B10="","",Table!N13/Table!$M13)</f>
        <v>0.38095238095238093</v>
      </c>
      <c r="L10" s="682">
        <f ca="1">IF($B10="","",Table!O13/Table!$M13)</f>
        <v>0.23809523809523808</v>
      </c>
      <c r="M10" s="682">
        <f ca="1">IF($B10="","",Table!P13/Table!$M13)</f>
        <v>0.38095238095238093</v>
      </c>
      <c r="N10" s="600">
        <f ca="1">IF($B10="","",Table!Q13/Table!$M13)</f>
        <v>1.1428571428571428</v>
      </c>
      <c r="O10" s="600">
        <f ca="1">IF($B10="","",Table!R13/Table!$M13)</f>
        <v>1.1904761904761905</v>
      </c>
      <c r="P10" s="517">
        <f t="shared" ca="1" si="3"/>
        <v>2.333333333333333</v>
      </c>
      <c r="Q10" s="602">
        <f t="shared" ca="1" si="4"/>
        <v>-4.7619047619047672E-2</v>
      </c>
      <c r="R10" s="682">
        <f ca="1">IF($B10="","",Table!W13/Table!$V13)</f>
        <v>0.47619047619047616</v>
      </c>
      <c r="S10" s="682">
        <f ca="1">IF($B10="","",Table!X13/Table!$V13)</f>
        <v>0.23809523809523808</v>
      </c>
      <c r="T10" s="682">
        <f ca="1">IF($B10="","",Table!Y13/Table!$V13)</f>
        <v>0.30952380952380953</v>
      </c>
      <c r="U10" s="600">
        <f ca="1">IF(B10="","",Table!Z13/Table!$V13)</f>
        <v>1.5238095238095237</v>
      </c>
      <c r="V10" s="600">
        <f ca="1">IF(C10="","",Table!AA13/Table!$V13)</f>
        <v>1.1904761904761905</v>
      </c>
      <c r="W10" s="517">
        <f t="shared" ca="1" si="5"/>
        <v>2.7142857142857144</v>
      </c>
      <c r="X10" s="602">
        <f t="shared" ca="1" si="6"/>
        <v>0.33333333333333326</v>
      </c>
      <c r="Y10" s="450"/>
      <c r="Z10" s="450"/>
      <c r="AA10" s="450"/>
      <c r="AB10" s="359"/>
    </row>
    <row r="11" spans="1:28" ht="15" thickBot="1">
      <c r="A11" s="429">
        <f>Table!A14</f>
        <v>6</v>
      </c>
      <c r="B11" s="401" t="str">
        <f ca="1">Table!B14</f>
        <v>JEF United</v>
      </c>
      <c r="C11" s="681">
        <f ca="1">IF(B11="","",Table!E14/Table!$D14)</f>
        <v>0.61904761904761907</v>
      </c>
      <c r="D11" s="681">
        <f ca="1">IF(C11="","",Table!F14/Table!$D14)</f>
        <v>0.2857142857142857</v>
      </c>
      <c r="E11" s="681">
        <f ca="1">IF(D11="","",Table!G14/Table!$D14)</f>
        <v>9.5238095238095233E-2</v>
      </c>
      <c r="F11" s="408">
        <f ca="1">IF(B11="","",Table!H14/Table!$D14)</f>
        <v>2.2380952380952381</v>
      </c>
      <c r="G11" s="408">
        <f ca="1">IF(C11="","",Table!I14/Table!$D14)</f>
        <v>1.0952380952380953</v>
      </c>
      <c r="H11" s="410">
        <f t="shared" ca="1" si="0"/>
        <v>3.3333333333333335</v>
      </c>
      <c r="I11" s="410">
        <f t="shared" ca="1" si="1"/>
        <v>1.1428571428571428</v>
      </c>
      <c r="J11" s="522">
        <f t="shared" ca="1" si="2"/>
        <v>0.88961038961038952</v>
      </c>
      <c r="K11" s="682">
        <f ca="1">IF($B11="","",Table!N14/Table!$M14)</f>
        <v>0.31818181818181818</v>
      </c>
      <c r="L11" s="682">
        <f ca="1">IF($B11="","",Table!O14/Table!$M14)</f>
        <v>9.0909090909090912E-2</v>
      </c>
      <c r="M11" s="682">
        <f ca="1">IF($B11="","",Table!P14/Table!$M14)</f>
        <v>0.59090909090909094</v>
      </c>
      <c r="N11" s="600">
        <f ca="1">IF($B11="","",Table!Q14/Table!$M14)</f>
        <v>1.1363636363636365</v>
      </c>
      <c r="O11" s="600">
        <f ca="1">IF($B11="","",Table!R14/Table!$M14)</f>
        <v>1.7727272727272727</v>
      </c>
      <c r="P11" s="517">
        <f t="shared" ca="1" si="3"/>
        <v>2.9090909090909092</v>
      </c>
      <c r="Q11" s="602">
        <f t="shared" ca="1" si="4"/>
        <v>-0.63636363636363624</v>
      </c>
      <c r="R11" s="682">
        <f ca="1">IF($B11="","",Table!W14/Table!$V14)</f>
        <v>0.46511627906976744</v>
      </c>
      <c r="S11" s="682">
        <f ca="1">IF($B11="","",Table!X14/Table!$V14)</f>
        <v>0.18604651162790697</v>
      </c>
      <c r="T11" s="682">
        <f ca="1">IF($B11="","",Table!Y14/Table!$V14)</f>
        <v>0.34883720930232559</v>
      </c>
      <c r="U11" s="600">
        <f ca="1">IF(B11="","",Table!Z14/Table!$V14)</f>
        <v>1.6744186046511629</v>
      </c>
      <c r="V11" s="600">
        <f ca="1">IF(C11="","",Table!AA14/Table!$V14)</f>
        <v>1.441860465116279</v>
      </c>
      <c r="W11" s="517">
        <f t="shared" ca="1" si="5"/>
        <v>3.1162790697674421</v>
      </c>
      <c r="X11" s="602">
        <f t="shared" ca="1" si="6"/>
        <v>0.23255813953488391</v>
      </c>
      <c r="Y11" s="450"/>
      <c r="Z11" s="450"/>
      <c r="AA11" s="450"/>
      <c r="AB11" s="359"/>
    </row>
    <row r="12" spans="1:28" ht="15" thickBot="1">
      <c r="A12" s="429">
        <f>Table!A15</f>
        <v>7</v>
      </c>
      <c r="B12" s="401" t="str">
        <f ca="1">Table!B15</f>
        <v>Tokushima Vortis</v>
      </c>
      <c r="C12" s="681">
        <f ca="1">IF(B12="","",Table!E15/Table!$D15)</f>
        <v>0.38095238095238093</v>
      </c>
      <c r="D12" s="681">
        <f ca="1">IF(C12="","",Table!F15/Table!$D15)</f>
        <v>0.42857142857142855</v>
      </c>
      <c r="E12" s="681">
        <f ca="1">IF(D12="","",Table!G15/Table!$D15)</f>
        <v>0.19047619047619047</v>
      </c>
      <c r="F12" s="408">
        <f ca="1">IF(B12="","",Table!H15/Table!$D15)</f>
        <v>1.8571428571428572</v>
      </c>
      <c r="G12" s="408">
        <f ca="1">IF(C12="","",Table!I15/Table!$D15)</f>
        <v>1.1904761904761905</v>
      </c>
      <c r="H12" s="410">
        <f t="shared" ca="1" si="0"/>
        <v>3.0476190476190474</v>
      </c>
      <c r="I12" s="410">
        <f t="shared" ca="1" si="1"/>
        <v>0.66666666666666674</v>
      </c>
      <c r="J12" s="522">
        <f t="shared" ca="1" si="2"/>
        <v>4.7619047619047672E-2</v>
      </c>
      <c r="K12" s="682">
        <f ca="1">IF($B12="","",Table!N15/Table!$M15)</f>
        <v>0.47619047619047616</v>
      </c>
      <c r="L12" s="682">
        <f ca="1">IF($B12="","",Table!O15/Table!$M15)</f>
        <v>0.19047619047619047</v>
      </c>
      <c r="M12" s="682">
        <f ca="1">IF($B12="","",Table!P15/Table!$M15)</f>
        <v>0.33333333333333331</v>
      </c>
      <c r="N12" s="600">
        <f ca="1">IF($B12="","",Table!Q15/Table!$M15)</f>
        <v>1.5238095238095237</v>
      </c>
      <c r="O12" s="600">
        <f ca="1">IF($B12="","",Table!R15/Table!$M15)</f>
        <v>0.95238095238095233</v>
      </c>
      <c r="P12" s="517">
        <f t="shared" ca="1" si="3"/>
        <v>2.4761904761904763</v>
      </c>
      <c r="Q12" s="602">
        <f t="shared" ca="1" si="4"/>
        <v>0.5714285714285714</v>
      </c>
      <c r="R12" s="682">
        <f ca="1">IF($B12="","",Table!W15/Table!$V15)</f>
        <v>0.42857142857142855</v>
      </c>
      <c r="S12" s="682">
        <f ca="1">IF($B12="","",Table!X15/Table!$V15)</f>
        <v>0.30952380952380953</v>
      </c>
      <c r="T12" s="682">
        <f ca="1">IF($B12="","",Table!Y15/Table!$V15)</f>
        <v>0.26190476190476192</v>
      </c>
      <c r="U12" s="600">
        <f ca="1">IF(B12="","",Table!Z15/Table!$V15)</f>
        <v>1.6904761904761905</v>
      </c>
      <c r="V12" s="600">
        <f ca="1">IF(C12="","",Table!AA15/Table!$V15)</f>
        <v>1.0714285714285714</v>
      </c>
      <c r="W12" s="517">
        <f t="shared" ca="1" si="5"/>
        <v>2.7619047619047619</v>
      </c>
      <c r="X12" s="602">
        <f t="shared" ca="1" si="6"/>
        <v>0.61904761904761907</v>
      </c>
      <c r="Y12" s="450"/>
      <c r="Z12" s="450"/>
      <c r="AA12" s="450"/>
      <c r="AB12" s="359"/>
    </row>
    <row r="13" spans="1:28" ht="15" thickBot="1">
      <c r="A13" s="429">
        <f>Table!A16</f>
        <v>8</v>
      </c>
      <c r="B13" s="401" t="str">
        <f ca="1">Table!B16</f>
        <v>Matsumoto Yamaga</v>
      </c>
      <c r="C13" s="681">
        <f ca="1">IF(B13="","",Table!E16/Table!$D16)</f>
        <v>0.52380952380952384</v>
      </c>
      <c r="D13" s="681">
        <f ca="1">IF(C13="","",Table!F16/Table!$D16)</f>
        <v>0.14285714285714285</v>
      </c>
      <c r="E13" s="681">
        <f ca="1">IF(D13="","",Table!G16/Table!$D16)</f>
        <v>0.33333333333333331</v>
      </c>
      <c r="F13" s="408">
        <f ca="1">IF(B13="","",Table!H16/Table!$D16)</f>
        <v>1.8095238095238095</v>
      </c>
      <c r="G13" s="408">
        <f ca="1">IF(C13="","",Table!I16/Table!$D16)</f>
        <v>1.0476190476190477</v>
      </c>
      <c r="H13" s="410">
        <f t="shared" ca="1" si="0"/>
        <v>2.8571428571428572</v>
      </c>
      <c r="I13" s="410">
        <f t="shared" ca="1" si="1"/>
        <v>0.76190476190476186</v>
      </c>
      <c r="J13" s="522">
        <f t="shared" ca="1" si="2"/>
        <v>0.38095238095238093</v>
      </c>
      <c r="K13" s="682">
        <f ca="1">IF($B13="","",Table!N16/Table!$M16)</f>
        <v>0.38095238095238093</v>
      </c>
      <c r="L13" s="682">
        <f ca="1">IF($B13="","",Table!O16/Table!$M16)</f>
        <v>0.2857142857142857</v>
      </c>
      <c r="M13" s="682">
        <f ca="1">IF($B13="","",Table!P16/Table!$M16)</f>
        <v>0.33333333333333331</v>
      </c>
      <c r="N13" s="600">
        <f ca="1">IF($B13="","",Table!Q16/Table!$M16)</f>
        <v>1.0952380952380953</v>
      </c>
      <c r="O13" s="600">
        <f ca="1">IF($B13="","",Table!R16/Table!$M16)</f>
        <v>1.0952380952380953</v>
      </c>
      <c r="P13" s="517">
        <f t="shared" ca="1" si="3"/>
        <v>2.1904761904761907</v>
      </c>
      <c r="Q13" s="602">
        <f t="shared" ca="1" si="4"/>
        <v>0</v>
      </c>
      <c r="R13" s="682">
        <f ca="1">IF($B13="","",Table!W16/Table!$V16)</f>
        <v>0.45238095238095238</v>
      </c>
      <c r="S13" s="682">
        <f ca="1">IF($B13="","",Table!X16/Table!$V16)</f>
        <v>0.21428571428571427</v>
      </c>
      <c r="T13" s="682">
        <f ca="1">IF($B13="","",Table!Y16/Table!$V16)</f>
        <v>0.33333333333333331</v>
      </c>
      <c r="U13" s="600">
        <f ca="1">IF(B13="","",Table!Z16/Table!$V16)</f>
        <v>1.4523809523809523</v>
      </c>
      <c r="V13" s="600">
        <f ca="1">IF(C13="","",Table!AA16/Table!$V16)</f>
        <v>1.0714285714285714</v>
      </c>
      <c r="W13" s="517">
        <f t="shared" ca="1" si="5"/>
        <v>2.5238095238095237</v>
      </c>
      <c r="X13" s="602">
        <f t="shared" ca="1" si="6"/>
        <v>0.38095238095238093</v>
      </c>
      <c r="Y13" s="450"/>
      <c r="Z13" s="450"/>
      <c r="AA13" s="450"/>
      <c r="AB13" s="359"/>
    </row>
    <row r="14" spans="1:28" ht="15" thickBot="1">
      <c r="A14" s="429">
        <f>Table!A17</f>
        <v>9</v>
      </c>
      <c r="B14" s="401" t="str">
        <f ca="1">Table!B17</f>
        <v>Oita Trinita</v>
      </c>
      <c r="C14" s="681">
        <f ca="1">IF(B14="","",Table!E17/Table!$D17)</f>
        <v>0.2857142857142857</v>
      </c>
      <c r="D14" s="681">
        <f ca="1">IF(C14="","",Table!F17/Table!$D17)</f>
        <v>0.42857142857142855</v>
      </c>
      <c r="E14" s="681">
        <f ca="1">IF(D14="","",Table!G17/Table!$D17)</f>
        <v>0.2857142857142857</v>
      </c>
      <c r="F14" s="408">
        <f ca="1">IF(B14="","",Table!H17/Table!$D17)</f>
        <v>1.1904761904761905</v>
      </c>
      <c r="G14" s="408">
        <f ca="1">IF(C14="","",Table!I17/Table!$D17)</f>
        <v>1.1904761904761905</v>
      </c>
      <c r="H14" s="410">
        <f t="shared" ca="1" si="0"/>
        <v>2.3809523809523809</v>
      </c>
      <c r="I14" s="410">
        <f t="shared" ca="1" si="1"/>
        <v>0</v>
      </c>
      <c r="J14" s="522">
        <f t="shared" ca="1" si="2"/>
        <v>-0.19047619047619047</v>
      </c>
      <c r="K14" s="682">
        <f ca="1">IF($B14="","",Table!N17/Table!$M17)</f>
        <v>0.52380952380952384</v>
      </c>
      <c r="L14" s="682">
        <f ca="1">IF($B14="","",Table!O17/Table!$M17)</f>
        <v>0.19047619047619047</v>
      </c>
      <c r="M14" s="682">
        <f ca="1">IF($B14="","",Table!P17/Table!$M17)</f>
        <v>0.2857142857142857</v>
      </c>
      <c r="N14" s="600">
        <f ca="1">IF($B14="","",Table!Q17/Table!$M17)</f>
        <v>1.5714285714285714</v>
      </c>
      <c r="O14" s="600">
        <f ca="1">IF($B14="","",Table!R17/Table!$M17)</f>
        <v>1.1904761904761905</v>
      </c>
      <c r="P14" s="517">
        <f t="shared" ca="1" si="3"/>
        <v>2.7619047619047619</v>
      </c>
      <c r="Q14" s="602">
        <f t="shared" ca="1" si="4"/>
        <v>0.38095238095238093</v>
      </c>
      <c r="R14" s="682">
        <f ca="1">IF($B14="","",Table!W17/Table!$V17)</f>
        <v>0.40476190476190477</v>
      </c>
      <c r="S14" s="682">
        <f ca="1">IF($B14="","",Table!X17/Table!$V17)</f>
        <v>0.30952380952380953</v>
      </c>
      <c r="T14" s="682">
        <f ca="1">IF($B14="","",Table!Y17/Table!$V17)</f>
        <v>0.2857142857142857</v>
      </c>
      <c r="U14" s="600">
        <f ca="1">IF(B14="","",Table!Z17/Table!$V17)</f>
        <v>1.3809523809523809</v>
      </c>
      <c r="V14" s="600">
        <f ca="1">IF(C14="","",Table!AA17/Table!$V17)</f>
        <v>1.1904761904761905</v>
      </c>
      <c r="W14" s="517">
        <f t="shared" ca="1" si="5"/>
        <v>2.5714285714285712</v>
      </c>
      <c r="X14" s="602">
        <f t="shared" ca="1" si="6"/>
        <v>0.19047619047619047</v>
      </c>
      <c r="Y14" s="450"/>
      <c r="Z14" s="450"/>
      <c r="AA14" s="450"/>
      <c r="AB14" s="359"/>
    </row>
    <row r="15" spans="1:28" ht="15" thickBot="1">
      <c r="A15" s="429">
        <f>Table!A18</f>
        <v>10</v>
      </c>
      <c r="B15" s="401" t="str">
        <f ca="1">Table!B18</f>
        <v>Yokohama</v>
      </c>
      <c r="C15" s="681">
        <f ca="1">IF(B15="","",Table!E18/Table!$D18)</f>
        <v>0.5714285714285714</v>
      </c>
      <c r="D15" s="681">
        <f ca="1">IF(C15="","",Table!F18/Table!$D18)</f>
        <v>0.14285714285714285</v>
      </c>
      <c r="E15" s="681">
        <f ca="1">IF(D15="","",Table!G18/Table!$D18)</f>
        <v>0.2857142857142857</v>
      </c>
      <c r="F15" s="408">
        <f ca="1">IF(B15="","",Table!H18/Table!$D18)</f>
        <v>1.4285714285714286</v>
      </c>
      <c r="G15" s="408">
        <f ca="1">IF(C15="","",Table!I18/Table!$D18)</f>
        <v>0.80952380952380953</v>
      </c>
      <c r="H15" s="410">
        <f t="shared" ca="1" si="0"/>
        <v>2.2380952380952381</v>
      </c>
      <c r="I15" s="410">
        <f t="shared" ca="1" si="1"/>
        <v>0.61904761904761907</v>
      </c>
      <c r="J15" s="522">
        <f t="shared" ca="1" si="2"/>
        <v>0.3571428571428571</v>
      </c>
      <c r="K15" s="682">
        <f ca="1">IF($B15="","",Table!N18/Table!$M18)</f>
        <v>0.23809523809523808</v>
      </c>
      <c r="L15" s="682">
        <f ca="1">IF($B15="","",Table!O18/Table!$M18)</f>
        <v>0.42857142857142855</v>
      </c>
      <c r="M15" s="682">
        <f ca="1">IF($B15="","",Table!P18/Table!$M18)</f>
        <v>0.33333333333333331</v>
      </c>
      <c r="N15" s="600">
        <f ca="1">IF($B15="","",Table!Q18/Table!$M18)</f>
        <v>1.4285714285714286</v>
      </c>
      <c r="O15" s="600">
        <f ca="1">IF($B15="","",Table!R18/Table!$M18)</f>
        <v>1.5238095238095237</v>
      </c>
      <c r="P15" s="517">
        <f t="shared" ca="1" si="3"/>
        <v>2.9523809523809526</v>
      </c>
      <c r="Q15" s="602">
        <f t="shared" ca="1" si="4"/>
        <v>-9.5238095238095122E-2</v>
      </c>
      <c r="R15" s="682">
        <f ca="1">IF($B15="","",Table!W18/Table!$V18)</f>
        <v>0.40476190476190477</v>
      </c>
      <c r="S15" s="682">
        <f ca="1">IF($B15="","",Table!X18/Table!$V18)</f>
        <v>0.2857142857142857</v>
      </c>
      <c r="T15" s="682">
        <f ca="1">IF($B15="","",Table!Y18/Table!$V18)</f>
        <v>0.30952380952380953</v>
      </c>
      <c r="U15" s="600">
        <f ca="1">IF(B15="","",Table!Z18/Table!$V18)</f>
        <v>1.4285714285714286</v>
      </c>
      <c r="V15" s="600">
        <f ca="1">IF(C15="","",Table!AA18/Table!$V18)</f>
        <v>1.1666666666666667</v>
      </c>
      <c r="W15" s="517">
        <f t="shared" ca="1" si="5"/>
        <v>2.5952380952380953</v>
      </c>
      <c r="X15" s="602">
        <f t="shared" ca="1" si="6"/>
        <v>0.26190476190476186</v>
      </c>
      <c r="Y15" s="450"/>
      <c r="Z15" s="450"/>
      <c r="AA15" s="450"/>
      <c r="AB15" s="359"/>
    </row>
    <row r="16" spans="1:28" ht="15" thickBot="1">
      <c r="A16" s="429">
        <f>Table!A19</f>
        <v>11</v>
      </c>
      <c r="B16" s="401" t="str">
        <f ca="1">Table!B19</f>
        <v>Montedio Yamagata</v>
      </c>
      <c r="C16" s="681">
        <f ca="1">IF(B16="","",Table!E19/Table!$D19)</f>
        <v>0.42857142857142855</v>
      </c>
      <c r="D16" s="681">
        <f ca="1">IF(C16="","",Table!F19/Table!$D19)</f>
        <v>0.42857142857142855</v>
      </c>
      <c r="E16" s="681">
        <f ca="1">IF(D16="","",Table!G19/Table!$D19)</f>
        <v>0.14285714285714285</v>
      </c>
      <c r="F16" s="408">
        <f ca="1">IF(B16="","",Table!H19/Table!$D19)</f>
        <v>1.3809523809523809</v>
      </c>
      <c r="G16" s="408">
        <f ca="1">IF(C16="","",Table!I19/Table!$D19)</f>
        <v>1.0952380952380953</v>
      </c>
      <c r="H16" s="410">
        <f t="shared" ca="1" si="0"/>
        <v>2.4761904761904763</v>
      </c>
      <c r="I16" s="410">
        <f t="shared" ca="1" si="1"/>
        <v>0.28571428571428559</v>
      </c>
      <c r="J16" s="522">
        <f t="shared" ca="1" si="2"/>
        <v>0.33333333333333326</v>
      </c>
      <c r="K16" s="682">
        <f ca="1">IF($B16="","",Table!N19/Table!$M19)</f>
        <v>0.23809523809523808</v>
      </c>
      <c r="L16" s="682">
        <f ca="1">IF($B16="","",Table!O19/Table!$M19)</f>
        <v>0.38095238095238093</v>
      </c>
      <c r="M16" s="682">
        <f ca="1">IF($B16="","",Table!P19/Table!$M19)</f>
        <v>0.38095238095238093</v>
      </c>
      <c r="N16" s="600">
        <f ca="1">IF($B16="","",Table!Q19/Table!$M19)</f>
        <v>0.76190476190476186</v>
      </c>
      <c r="O16" s="600">
        <f ca="1">IF($B16="","",Table!R19/Table!$M19)</f>
        <v>1.1428571428571428</v>
      </c>
      <c r="P16" s="517">
        <f t="shared" ca="1" si="3"/>
        <v>1.9047619047619047</v>
      </c>
      <c r="Q16" s="602">
        <f t="shared" ca="1" si="4"/>
        <v>-0.38095238095238093</v>
      </c>
      <c r="R16" s="682">
        <f ca="1">IF($B16="","",Table!W19/Table!$V19)</f>
        <v>0.33333333333333331</v>
      </c>
      <c r="S16" s="682">
        <f ca="1">IF($B16="","",Table!X19/Table!$V19)</f>
        <v>0.40476190476190477</v>
      </c>
      <c r="T16" s="682">
        <f ca="1">IF($B16="","",Table!Y19/Table!$V19)</f>
        <v>0.26190476190476192</v>
      </c>
      <c r="U16" s="600">
        <f ca="1">IF(B16="","",Table!Z19/Table!$V19)</f>
        <v>1.0714285714285714</v>
      </c>
      <c r="V16" s="600">
        <f ca="1">IF(C16="","",Table!AA19/Table!$V19)</f>
        <v>1.1190476190476191</v>
      </c>
      <c r="W16" s="517">
        <f t="shared" ca="1" si="5"/>
        <v>2.1904761904761907</v>
      </c>
      <c r="X16" s="602">
        <f t="shared" ca="1" si="6"/>
        <v>-4.7619047619047672E-2</v>
      </c>
      <c r="Y16" s="450"/>
      <c r="Z16" s="450"/>
      <c r="AA16" s="450"/>
      <c r="AB16" s="359"/>
    </row>
    <row r="17" spans="1:59" ht="15" thickBot="1">
      <c r="A17" s="429">
        <f>Table!A20</f>
        <v>12</v>
      </c>
      <c r="B17" s="401" t="str">
        <f ca="1">Table!B20</f>
        <v>Kyoto Sanga</v>
      </c>
      <c r="C17" s="681">
        <f ca="1">IF(B17="","",Table!E20/Table!$D20)</f>
        <v>0.33333333333333331</v>
      </c>
      <c r="D17" s="681">
        <f ca="1">IF(C17="","",Table!F20/Table!$D20)</f>
        <v>0.38095238095238093</v>
      </c>
      <c r="E17" s="681">
        <f ca="1">IF(D17="","",Table!G20/Table!$D20)</f>
        <v>0.2857142857142857</v>
      </c>
      <c r="F17" s="408">
        <f ca="1">IF(B17="","",Table!H20/Table!$D20)</f>
        <v>1.2380952380952381</v>
      </c>
      <c r="G17" s="408">
        <f ca="1">IF(C17="","",Table!I20/Table!$D20)</f>
        <v>1.1428571428571428</v>
      </c>
      <c r="H17" s="410">
        <f t="shared" ca="1" si="0"/>
        <v>2.3809523809523809</v>
      </c>
      <c r="I17" s="410">
        <f t="shared" ca="1" si="1"/>
        <v>9.5238095238095344E-2</v>
      </c>
      <c r="J17" s="522">
        <f t="shared" ca="1" si="2"/>
        <v>-9.5238095238095122E-2</v>
      </c>
      <c r="K17" s="682">
        <f ca="1">IF($B17="","",Table!N20/Table!$M20)</f>
        <v>0.33333333333333331</v>
      </c>
      <c r="L17" s="682">
        <f ca="1">IF($B17="","",Table!O20/Table!$M20)</f>
        <v>0.33333333333333331</v>
      </c>
      <c r="M17" s="682">
        <f ca="1">IF($B17="","",Table!P20/Table!$M20)</f>
        <v>0.33333333333333331</v>
      </c>
      <c r="N17" s="600">
        <f ca="1">IF($B17="","",Table!Q20/Table!$M20)</f>
        <v>1.3809523809523809</v>
      </c>
      <c r="O17" s="600">
        <f ca="1">IF($B17="","",Table!R20/Table!$M20)</f>
        <v>1.0952380952380953</v>
      </c>
      <c r="P17" s="517">
        <f t="shared" ca="1" si="3"/>
        <v>2.4761904761904763</v>
      </c>
      <c r="Q17" s="602">
        <f t="shared" ca="1" si="4"/>
        <v>0.28571428571428559</v>
      </c>
      <c r="R17" s="682">
        <f ca="1">IF($B17="","",Table!W20/Table!$V20)</f>
        <v>0.33333333333333331</v>
      </c>
      <c r="S17" s="682">
        <f ca="1">IF($B17="","",Table!X20/Table!$V20)</f>
        <v>0.35714285714285715</v>
      </c>
      <c r="T17" s="682">
        <f ca="1">IF($B17="","",Table!Y20/Table!$V20)</f>
        <v>0.30952380952380953</v>
      </c>
      <c r="U17" s="600">
        <f ca="1">IF(B17="","",Table!Z20/Table!$V20)</f>
        <v>1.3095238095238095</v>
      </c>
      <c r="V17" s="600">
        <f ca="1">IF(C17="","",Table!AA20/Table!$V20)</f>
        <v>1.1190476190476191</v>
      </c>
      <c r="W17" s="517">
        <f t="shared" ca="1" si="5"/>
        <v>2.4285714285714288</v>
      </c>
      <c r="X17" s="602">
        <f t="shared" ca="1" si="6"/>
        <v>0.19047619047619047</v>
      </c>
      <c r="Y17" s="450"/>
      <c r="Z17" s="450"/>
      <c r="AA17" s="450"/>
      <c r="AB17" s="359"/>
    </row>
    <row r="18" spans="1:59" ht="15" thickBot="1">
      <c r="A18" s="429">
        <f>Table!A21</f>
        <v>13</v>
      </c>
      <c r="B18" s="401" t="str">
        <f ca="1">Table!B21</f>
        <v>Fagiano Okayama</v>
      </c>
      <c r="C18" s="681">
        <f ca="1">IF(B18="","",Table!E21/Table!$D21)</f>
        <v>0.42857142857142855</v>
      </c>
      <c r="D18" s="681">
        <f ca="1">IF(C18="","",Table!F21/Table!$D21)</f>
        <v>0.23809523809523808</v>
      </c>
      <c r="E18" s="681">
        <f ca="1">IF(D18="","",Table!G21/Table!$D21)</f>
        <v>0.33333333333333331</v>
      </c>
      <c r="F18" s="408">
        <f ca="1">IF(B18="","",Table!H21/Table!$D21)</f>
        <v>1.1428571428571428</v>
      </c>
      <c r="G18" s="408">
        <f ca="1">IF(C18="","",Table!I21/Table!$D21)</f>
        <v>1.0476190476190477</v>
      </c>
      <c r="H18" s="410">
        <f t="shared" ca="1" si="0"/>
        <v>2.1904761904761907</v>
      </c>
      <c r="I18" s="410">
        <f t="shared" ca="1" si="1"/>
        <v>9.5238095238095122E-2</v>
      </c>
      <c r="J18" s="522">
        <f t="shared" ca="1" si="2"/>
        <v>0.2142857142857143</v>
      </c>
      <c r="K18" s="682">
        <f ca="1">IF($B18="","",Table!N21/Table!$M21)</f>
        <v>0.19047619047619047</v>
      </c>
      <c r="L18" s="682">
        <f ca="1">IF($B18="","",Table!O21/Table!$M21)</f>
        <v>0.52380952380952384</v>
      </c>
      <c r="M18" s="682">
        <f ca="1">IF($B18="","",Table!P21/Table!$M21)</f>
        <v>0.2857142857142857</v>
      </c>
      <c r="N18" s="600">
        <f ca="1">IF($B18="","",Table!Q21/Table!$M21)</f>
        <v>0.95238095238095233</v>
      </c>
      <c r="O18" s="600">
        <f ca="1">IF($B18="","",Table!R21/Table!$M21)</f>
        <v>1.2857142857142858</v>
      </c>
      <c r="P18" s="517">
        <f t="shared" ca="1" si="3"/>
        <v>2.2380952380952381</v>
      </c>
      <c r="Q18" s="602">
        <f t="shared" ca="1" si="4"/>
        <v>-0.33333333333333348</v>
      </c>
      <c r="R18" s="682">
        <f ca="1">IF($B18="","",Table!W21/Table!$V21)</f>
        <v>0.30952380952380953</v>
      </c>
      <c r="S18" s="682">
        <f ca="1">IF($B18="","",Table!X21/Table!$V21)</f>
        <v>0.38095238095238093</v>
      </c>
      <c r="T18" s="682">
        <f ca="1">IF($B18="","",Table!Y21/Table!$V21)</f>
        <v>0.30952380952380953</v>
      </c>
      <c r="U18" s="600">
        <f ca="1">IF(B18="","",Table!Z21/Table!$V21)</f>
        <v>1.0476190476190477</v>
      </c>
      <c r="V18" s="600">
        <f ca="1">IF(C18="","",Table!AA21/Table!$V21)</f>
        <v>1.1666666666666667</v>
      </c>
      <c r="W18" s="517">
        <f t="shared" ca="1" si="5"/>
        <v>2.2142857142857144</v>
      </c>
      <c r="X18" s="602">
        <f t="shared" ca="1" si="6"/>
        <v>-0.11904761904761907</v>
      </c>
      <c r="Y18" s="450"/>
      <c r="Z18" s="450"/>
      <c r="AA18" s="450"/>
      <c r="AB18" s="359"/>
    </row>
    <row r="19" spans="1:59" ht="15" thickBot="1">
      <c r="A19" s="429">
        <f>Table!A22</f>
        <v>14</v>
      </c>
      <c r="B19" s="401" t="str">
        <f ca="1">Table!B22</f>
        <v>Mito Hollyhock</v>
      </c>
      <c r="C19" s="681">
        <f ca="1">IF(B19="","",Table!E22/Table!$D22)</f>
        <v>0.47619047619047616</v>
      </c>
      <c r="D19" s="681">
        <f ca="1">IF(C19="","",Table!F22/Table!$D22)</f>
        <v>0.2857142857142857</v>
      </c>
      <c r="E19" s="681">
        <f ca="1">IF(D19="","",Table!G22/Table!$D22)</f>
        <v>0.23809523809523808</v>
      </c>
      <c r="F19" s="408">
        <f ca="1">IF(B19="","",Table!H22/Table!$D22)</f>
        <v>1.5238095238095237</v>
      </c>
      <c r="G19" s="408">
        <f ca="1">IF(C19="","",Table!I22/Table!$D22)</f>
        <v>0.90476190476190477</v>
      </c>
      <c r="H19" s="410">
        <f t="shared" ca="1" si="0"/>
        <v>2.4285714285714284</v>
      </c>
      <c r="I19" s="410">
        <f t="shared" ca="1" si="1"/>
        <v>0.61904761904761896</v>
      </c>
      <c r="J19" s="522">
        <f t="shared" ca="1" si="2"/>
        <v>0.69047619047619047</v>
      </c>
      <c r="K19" s="682">
        <f ca="1">IF($B19="","",Table!N22/Table!$M22)</f>
        <v>0.19047619047619047</v>
      </c>
      <c r="L19" s="682">
        <f ca="1">IF($B19="","",Table!O22/Table!$M22)</f>
        <v>0.2857142857142857</v>
      </c>
      <c r="M19" s="682">
        <f ca="1">IF($B19="","",Table!P22/Table!$M22)</f>
        <v>0.52380952380952384</v>
      </c>
      <c r="N19" s="600">
        <f ca="1">IF($B19="","",Table!Q22/Table!$M22)</f>
        <v>0.61904761904761907</v>
      </c>
      <c r="O19" s="600">
        <f ca="1">IF($B19="","",Table!R22/Table!$M22)</f>
        <v>1.3809523809523809</v>
      </c>
      <c r="P19" s="517">
        <f t="shared" ca="1" si="3"/>
        <v>2</v>
      </c>
      <c r="Q19" s="602">
        <f t="shared" ca="1" si="4"/>
        <v>-0.76190476190476186</v>
      </c>
      <c r="R19" s="682">
        <f ca="1">IF($B19="","",Table!W22/Table!$V22)</f>
        <v>0.33333333333333331</v>
      </c>
      <c r="S19" s="682">
        <f ca="1">IF($B19="","",Table!X22/Table!$V22)</f>
        <v>0.2857142857142857</v>
      </c>
      <c r="T19" s="682">
        <f ca="1">IF($B19="","",Table!Y22/Table!$V22)</f>
        <v>0.38095238095238093</v>
      </c>
      <c r="U19" s="600">
        <f ca="1">IF(B19="","",Table!Z22/Table!$V22)</f>
        <v>1.0714285714285714</v>
      </c>
      <c r="V19" s="600">
        <f ca="1">IF(C19="","",Table!AA22/Table!$V22)</f>
        <v>1.1428571428571428</v>
      </c>
      <c r="W19" s="517">
        <f t="shared" ca="1" si="5"/>
        <v>2.2142857142857144</v>
      </c>
      <c r="X19" s="602">
        <f t="shared" ca="1" si="6"/>
        <v>-7.1428571428571397E-2</v>
      </c>
      <c r="Y19" s="450"/>
      <c r="Z19" s="450"/>
      <c r="AA19" s="450"/>
      <c r="AB19" s="359"/>
    </row>
    <row r="20" spans="1:59" ht="15" thickBot="1">
      <c r="A20" s="429">
        <f>Table!A23</f>
        <v>15</v>
      </c>
      <c r="B20" s="401" t="str">
        <f ca="1">Table!B23</f>
        <v>Ehime</v>
      </c>
      <c r="C20" s="681">
        <f ca="1">IF(B20="","",Table!E23/Table!$D23)</f>
        <v>0.47619047619047616</v>
      </c>
      <c r="D20" s="681">
        <f ca="1">IF(C20="","",Table!F23/Table!$D23)</f>
        <v>0.19047619047619047</v>
      </c>
      <c r="E20" s="681">
        <f ca="1">IF(D20="","",Table!G23/Table!$D23)</f>
        <v>0.33333333333333331</v>
      </c>
      <c r="F20" s="408">
        <f ca="1">IF(B20="","",Table!H23/Table!$D23)</f>
        <v>1.1904761904761905</v>
      </c>
      <c r="G20" s="408">
        <f ca="1">IF(C20="","",Table!I23/Table!$D23)</f>
        <v>1.0476190476190477</v>
      </c>
      <c r="H20" s="410">
        <f t="shared" ca="1" si="0"/>
        <v>2.2380952380952381</v>
      </c>
      <c r="I20" s="410">
        <f t="shared" ca="1" si="1"/>
        <v>0.14285714285714279</v>
      </c>
      <c r="J20" s="522">
        <f t="shared" ca="1" si="2"/>
        <v>0.47619047619047628</v>
      </c>
      <c r="K20" s="682">
        <f ca="1">IF($B20="","",Table!N23/Table!$M23)</f>
        <v>0.19047619047619047</v>
      </c>
      <c r="L20" s="682">
        <f ca="1">IF($B20="","",Table!O23/Table!$M23)</f>
        <v>0.23809523809523808</v>
      </c>
      <c r="M20" s="682">
        <f ca="1">IF($B20="","",Table!P23/Table!$M23)</f>
        <v>0.5714285714285714</v>
      </c>
      <c r="N20" s="600">
        <f ca="1">IF($B20="","",Table!Q23/Table!$M23)</f>
        <v>1.3809523809523809</v>
      </c>
      <c r="O20" s="600">
        <f ca="1">IF($B20="","",Table!R23/Table!$M23)</f>
        <v>2.1904761904761907</v>
      </c>
      <c r="P20" s="517">
        <f t="shared" ca="1" si="3"/>
        <v>3.5714285714285716</v>
      </c>
      <c r="Q20" s="602">
        <f t="shared" ca="1" si="4"/>
        <v>-0.80952380952380976</v>
      </c>
      <c r="R20" s="682">
        <f ca="1">IF($B20="","",Table!W23/Table!$V23)</f>
        <v>0.33333333333333331</v>
      </c>
      <c r="S20" s="682">
        <f ca="1">IF($B20="","",Table!X23/Table!$V23)</f>
        <v>0.21428571428571427</v>
      </c>
      <c r="T20" s="682">
        <f ca="1">IF($B20="","",Table!Y23/Table!$V23)</f>
        <v>0.45238095238095238</v>
      </c>
      <c r="U20" s="600">
        <f ca="1">IF(B20="","",Table!Z23/Table!$V23)</f>
        <v>1.2857142857142858</v>
      </c>
      <c r="V20" s="600">
        <f ca="1">IF(C20="","",Table!AA23/Table!$V23)</f>
        <v>1.6190476190476191</v>
      </c>
      <c r="W20" s="517">
        <f t="shared" ca="1" si="5"/>
        <v>2.9047619047619051</v>
      </c>
      <c r="X20" s="602">
        <f t="shared" ca="1" si="6"/>
        <v>-0.33333333333333326</v>
      </c>
      <c r="Y20" s="450"/>
      <c r="Z20" s="450"/>
      <c r="AA20" s="450"/>
      <c r="AB20" s="359"/>
    </row>
    <row r="21" spans="1:59" ht="15" thickBot="1">
      <c r="A21" s="429">
        <f>Table!A24</f>
        <v>16</v>
      </c>
      <c r="B21" s="401" t="str">
        <f ca="1">Table!B24</f>
        <v>Machida Zelvia</v>
      </c>
      <c r="C21" s="681">
        <f ca="1">IF(B21="","",Table!E24/Table!$D24)</f>
        <v>0.19047619047619047</v>
      </c>
      <c r="D21" s="681">
        <f ca="1">IF(C21="","",Table!F24/Table!$D24)</f>
        <v>0.33333333333333331</v>
      </c>
      <c r="E21" s="681">
        <f ca="1">IF(D21="","",Table!G24/Table!$D24)</f>
        <v>0.47619047619047616</v>
      </c>
      <c r="F21" s="408">
        <f ca="1">IF(B21="","",Table!H24/Table!$D24)</f>
        <v>0.95238095238095233</v>
      </c>
      <c r="G21" s="408">
        <f ca="1">IF(C21="","",Table!I24/Table!$D24)</f>
        <v>1.2380952380952381</v>
      </c>
      <c r="H21" s="410">
        <f t="shared" ca="1" si="0"/>
        <v>2.1904761904761907</v>
      </c>
      <c r="I21" s="410">
        <f t="shared" ca="1" si="1"/>
        <v>-0.28571428571428581</v>
      </c>
      <c r="J21" s="522">
        <f t="shared" ca="1" si="2"/>
        <v>-0.2857142857142857</v>
      </c>
      <c r="K21" s="682">
        <f ca="1">IF($B21="","",Table!N24/Table!$M24)</f>
        <v>0.33333333333333331</v>
      </c>
      <c r="L21" s="682">
        <f ca="1">IF($B21="","",Table!O24/Table!$M24)</f>
        <v>0.47619047619047616</v>
      </c>
      <c r="M21" s="682">
        <f ca="1">IF($B21="","",Table!P24/Table!$M24)</f>
        <v>0.19047619047619047</v>
      </c>
      <c r="N21" s="600">
        <f ca="1">IF($B21="","",Table!Q24/Table!$M24)</f>
        <v>1.5714285714285714</v>
      </c>
      <c r="O21" s="600">
        <f ca="1">IF($B21="","",Table!R24/Table!$M24)</f>
        <v>1.2857142857142858</v>
      </c>
      <c r="P21" s="517">
        <f t="shared" ca="1" si="3"/>
        <v>2.8571428571428572</v>
      </c>
      <c r="Q21" s="602">
        <f t="shared" ca="1" si="4"/>
        <v>0.28571428571428559</v>
      </c>
      <c r="R21" s="682">
        <f ca="1">IF($B21="","",Table!W24/Table!$V24)</f>
        <v>0.26190476190476192</v>
      </c>
      <c r="S21" s="682">
        <f ca="1">IF($B21="","",Table!X24/Table!$V24)</f>
        <v>0.40476190476190477</v>
      </c>
      <c r="T21" s="682">
        <f ca="1">IF($B21="","",Table!Y24/Table!$V24)</f>
        <v>0.33333333333333331</v>
      </c>
      <c r="U21" s="600">
        <f ca="1">IF(B21="","",Table!Z24/Table!$V24)</f>
        <v>1.2619047619047619</v>
      </c>
      <c r="V21" s="600">
        <f ca="1">IF(C21="","",Table!AA24/Table!$V24)</f>
        <v>1.2619047619047619</v>
      </c>
      <c r="W21" s="517">
        <f t="shared" ca="1" si="5"/>
        <v>2.5238095238095237</v>
      </c>
      <c r="X21" s="602">
        <f t="shared" ca="1" si="6"/>
        <v>0</v>
      </c>
      <c r="Y21" s="450"/>
      <c r="Z21" s="450"/>
      <c r="AA21" s="450"/>
      <c r="AB21" s="359"/>
    </row>
    <row r="22" spans="1:59" ht="15" thickBot="1">
      <c r="A22" s="429">
        <f>Table!A25</f>
        <v>17</v>
      </c>
      <c r="B22" s="401" t="str">
        <f ca="1">Table!B25</f>
        <v>Zweigen Kanazawa</v>
      </c>
      <c r="C22" s="681">
        <f ca="1">IF(B22="","",Table!E25/Table!$D25)</f>
        <v>0.33333333333333331</v>
      </c>
      <c r="D22" s="681">
        <f ca="1">IF(C22="","",Table!F25/Table!$D25)</f>
        <v>0.33333333333333331</v>
      </c>
      <c r="E22" s="681">
        <f ca="1">IF(D22="","",Table!G25/Table!$D25)</f>
        <v>0.33333333333333331</v>
      </c>
      <c r="F22" s="408">
        <f ca="1">IF(B22="","",Table!H25/Table!$D25)</f>
        <v>1.2857142857142858</v>
      </c>
      <c r="G22" s="408">
        <f ca="1">IF(C22="","",Table!I25/Table!$D25)</f>
        <v>1.6190476190476191</v>
      </c>
      <c r="H22" s="410">
        <f t="shared" ca="1" si="0"/>
        <v>2.9047619047619051</v>
      </c>
      <c r="I22" s="410">
        <f t="shared" ca="1" si="1"/>
        <v>-0.33333333333333326</v>
      </c>
      <c r="J22" s="522">
        <f t="shared" ca="1" si="2"/>
        <v>9.5238095238095233E-2</v>
      </c>
      <c r="K22" s="682">
        <f ca="1">IF($B22="","",Table!N25/Table!$M25)</f>
        <v>0.2857142857142857</v>
      </c>
      <c r="L22" s="682">
        <f ca="1">IF($B22="","",Table!O25/Table!$M25)</f>
        <v>0.14285714285714285</v>
      </c>
      <c r="M22" s="682">
        <f ca="1">IF($B22="","",Table!P25/Table!$M25)</f>
        <v>0.5714285714285714</v>
      </c>
      <c r="N22" s="600">
        <f ca="1">IF($B22="","",Table!Q25/Table!$M25)</f>
        <v>1.0476190476190477</v>
      </c>
      <c r="O22" s="600">
        <f ca="1">IF($B22="","",Table!R25/Table!$M25)</f>
        <v>1.5714285714285714</v>
      </c>
      <c r="P22" s="517">
        <f t="shared" ca="1" si="3"/>
        <v>2.6190476190476191</v>
      </c>
      <c r="Q22" s="602">
        <f t="shared" ca="1" si="4"/>
        <v>-0.52380952380952372</v>
      </c>
      <c r="R22" s="682">
        <f ca="1">IF($B22="","",Table!W25/Table!$V25)</f>
        <v>0.30952380952380953</v>
      </c>
      <c r="S22" s="682">
        <f ca="1">IF($B22="","",Table!X25/Table!$V25)</f>
        <v>0.23809523809523808</v>
      </c>
      <c r="T22" s="682">
        <f ca="1">IF($B22="","",Table!Y25/Table!$V25)</f>
        <v>0.45238095238095238</v>
      </c>
      <c r="U22" s="600">
        <f ca="1">IF(B22="","",Table!Z25/Table!$V25)</f>
        <v>1.1666666666666667</v>
      </c>
      <c r="V22" s="600">
        <f ca="1">IF(C22="","",Table!AA25/Table!$V25)</f>
        <v>1.5952380952380953</v>
      </c>
      <c r="W22" s="517">
        <f t="shared" ca="1" si="5"/>
        <v>2.7619047619047619</v>
      </c>
      <c r="X22" s="602">
        <f t="shared" ca="1" si="6"/>
        <v>-0.4285714285714286</v>
      </c>
      <c r="Y22" s="450"/>
      <c r="Z22" s="450"/>
      <c r="AA22" s="450"/>
      <c r="AB22" s="359"/>
    </row>
    <row r="23" spans="1:59" ht="15" thickBot="1">
      <c r="A23" s="429">
        <f>Table!A26</f>
        <v>18</v>
      </c>
      <c r="B23" s="401" t="str">
        <f ca="1">Table!B26</f>
        <v>Gifu</v>
      </c>
      <c r="C23" s="681">
        <f ca="1">IF(B23="","",Table!E26/Table!$D26)</f>
        <v>0.23809523809523808</v>
      </c>
      <c r="D23" s="681">
        <f ca="1">IF(C23="","",Table!F26/Table!$D26)</f>
        <v>0.23809523809523808</v>
      </c>
      <c r="E23" s="681">
        <f ca="1">IF(D23="","",Table!G26/Table!$D26)</f>
        <v>0.52380952380952384</v>
      </c>
      <c r="F23" s="408">
        <f ca="1">IF(B23="","",Table!H26/Table!$D26)</f>
        <v>1.4285714285714286</v>
      </c>
      <c r="G23" s="408">
        <f ca="1">IF(C23="","",Table!I26/Table!$D26)</f>
        <v>1.9523809523809523</v>
      </c>
      <c r="H23" s="410">
        <f t="shared" ca="1" si="0"/>
        <v>3.3809523809523809</v>
      </c>
      <c r="I23" s="410">
        <f t="shared" ca="1" si="1"/>
        <v>-0.52380952380952372</v>
      </c>
      <c r="J23" s="522">
        <f t="shared" ca="1" si="2"/>
        <v>-0.23809523809523803</v>
      </c>
      <c r="K23" s="682">
        <f ca="1">IF($B23="","",Table!N26/Table!$M26)</f>
        <v>0.2857142857142857</v>
      </c>
      <c r="L23" s="682">
        <f ca="1">IF($B23="","",Table!O26/Table!$M26)</f>
        <v>0.38095238095238093</v>
      </c>
      <c r="M23" s="682">
        <f ca="1">IF($B23="","",Table!P26/Table!$M26)</f>
        <v>0.33333333333333331</v>
      </c>
      <c r="N23" s="600">
        <f ca="1">IF($B23="","",Table!Q26/Table!$M26)</f>
        <v>1.2380952380952381</v>
      </c>
      <c r="O23" s="600">
        <f ca="1">IF($B23="","",Table!R26/Table!$M26)</f>
        <v>1.2857142857142858</v>
      </c>
      <c r="P23" s="517">
        <f t="shared" ca="1" si="3"/>
        <v>2.5238095238095237</v>
      </c>
      <c r="Q23" s="602">
        <f t="shared" ca="1" si="4"/>
        <v>-4.7619047619047672E-2</v>
      </c>
      <c r="R23" s="682">
        <f ca="1">IF($B23="","",Table!W26/Table!$V26)</f>
        <v>0.26190476190476192</v>
      </c>
      <c r="S23" s="682">
        <f ca="1">IF($B23="","",Table!X26/Table!$V26)</f>
        <v>0.30952380952380953</v>
      </c>
      <c r="T23" s="682">
        <f ca="1">IF($B23="","",Table!Y26/Table!$V26)</f>
        <v>0.42857142857142855</v>
      </c>
      <c r="U23" s="600">
        <f ca="1">IF(B23="","",Table!Z26/Table!$V26)</f>
        <v>1.3333333333333333</v>
      </c>
      <c r="V23" s="600">
        <f ca="1">IF(C23="","",Table!AA26/Table!$V26)</f>
        <v>1.6190476190476191</v>
      </c>
      <c r="W23" s="517">
        <f t="shared" ca="1" si="5"/>
        <v>2.9523809523809526</v>
      </c>
      <c r="X23" s="653">
        <f t="shared" ca="1" si="6"/>
        <v>-0.28571428571428581</v>
      </c>
      <c r="Y23" s="452"/>
      <c r="Z23" s="452"/>
      <c r="AA23" s="452"/>
      <c r="AB23" s="454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 ht="15" thickBot="1">
      <c r="A24" s="429">
        <f>Table!A27</f>
        <v>19</v>
      </c>
      <c r="B24" s="401" t="str">
        <f ca="1">Table!B27</f>
        <v>Kamatamare Sanuki</v>
      </c>
      <c r="C24" s="681">
        <f ca="1">IF(B24="","",Table!E27/Table!$D27)</f>
        <v>0.19047619047619047</v>
      </c>
      <c r="D24" s="681">
        <f ca="1">IF(C24="","",Table!F27/Table!$D27)</f>
        <v>0.47619047619047616</v>
      </c>
      <c r="E24" s="681">
        <f ca="1">IF(D24="","",Table!G27/Table!$D27)</f>
        <v>0.33333333333333331</v>
      </c>
      <c r="F24" s="408">
        <f ca="1">IF(B24="","",Table!H27/Table!$D27)</f>
        <v>0.90476190476190477</v>
      </c>
      <c r="G24" s="408">
        <f ca="1">IF(C24="","",Table!I27/Table!$D27)</f>
        <v>1.1904761904761905</v>
      </c>
      <c r="H24" s="410">
        <f t="shared" ca="1" si="0"/>
        <v>2.0952380952380953</v>
      </c>
      <c r="I24" s="410">
        <f t="shared" ca="1" si="1"/>
        <v>-0.2857142857142857</v>
      </c>
      <c r="J24" s="522">
        <f t="shared" ca="1" si="2"/>
        <v>0.19047619047619041</v>
      </c>
      <c r="K24" s="682">
        <f ca="1">IF($B24="","",Table!N27/Table!$M27)</f>
        <v>0.19047619047619047</v>
      </c>
      <c r="L24" s="682">
        <f ca="1">IF($B24="","",Table!O27/Table!$M27)</f>
        <v>0.19047619047619047</v>
      </c>
      <c r="M24" s="682">
        <f ca="1">IF($B24="","",Table!P27/Table!$M27)</f>
        <v>0.61904761904761907</v>
      </c>
      <c r="N24" s="600">
        <f ca="1">IF($B24="","",Table!Q27/Table!$M27)</f>
        <v>1.0476190476190477</v>
      </c>
      <c r="O24" s="600">
        <f ca="1">IF($B24="","",Table!R27/Table!$M27)</f>
        <v>1.7142857142857142</v>
      </c>
      <c r="P24" s="517">
        <f t="shared" ca="1" si="3"/>
        <v>2.7619047619047619</v>
      </c>
      <c r="Q24" s="602">
        <f t="shared" ca="1" si="4"/>
        <v>-0.66666666666666652</v>
      </c>
      <c r="R24" s="682">
        <f ca="1">IF($B24="","",Table!W27/Table!$V27)</f>
        <v>0.19047619047619047</v>
      </c>
      <c r="S24" s="682">
        <f ca="1">IF($B24="","",Table!X27/Table!$V27)</f>
        <v>0.33333333333333331</v>
      </c>
      <c r="T24" s="682">
        <f ca="1">IF($B24="","",Table!Y27/Table!$V27)</f>
        <v>0.47619047619047616</v>
      </c>
      <c r="U24" s="600">
        <f ca="1">IF(B24="","",Table!Z27/Table!$V27)</f>
        <v>0.97619047619047616</v>
      </c>
      <c r="V24" s="600">
        <f ca="1">IF(C24="","",Table!AA27/Table!$V27)</f>
        <v>1.4523809523809523</v>
      </c>
      <c r="W24" s="517">
        <f t="shared" ca="1" si="5"/>
        <v>2.4285714285714284</v>
      </c>
      <c r="X24" s="653">
        <f t="shared" ca="1" si="6"/>
        <v>-0.47619047619047616</v>
      </c>
      <c r="Y24" s="452"/>
      <c r="Z24" s="452"/>
      <c r="AA24" s="452"/>
      <c r="AB24" s="454"/>
      <c r="AC24" s="230"/>
      <c r="AD24" s="230"/>
      <c r="AE24" s="230"/>
      <c r="AF24" s="230"/>
      <c r="AG24" s="230"/>
      <c r="AH24" s="230"/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>
      <c r="A25" s="429">
        <f>Table!A28</f>
        <v>20</v>
      </c>
      <c r="B25" s="401" t="str">
        <f ca="1">Table!B28</f>
        <v>Renofa Yamaguchi</v>
      </c>
      <c r="C25" s="681">
        <f ca="1">IF(B25="","",Table!E28/Table!$D28)</f>
        <v>0.19047619047619047</v>
      </c>
      <c r="D25" s="681">
        <f ca="1">IF(C25="","",Table!F28/Table!$D28)</f>
        <v>0.14285714285714285</v>
      </c>
      <c r="E25" s="681">
        <f ca="1">IF(D25="","",Table!G28/Table!$D28)</f>
        <v>0.66666666666666663</v>
      </c>
      <c r="F25" s="408">
        <f ca="1">IF(B25="","",Table!H28/Table!$D28)</f>
        <v>0.95238095238095233</v>
      </c>
      <c r="G25" s="408">
        <f ca="1">IF(C25="","",Table!I28/Table!$D28)</f>
        <v>1.6190476190476191</v>
      </c>
      <c r="H25" s="410">
        <f t="shared" ca="1" si="0"/>
        <v>2.5714285714285712</v>
      </c>
      <c r="I25" s="410">
        <f t="shared" ca="1" si="1"/>
        <v>-0.66666666666666674</v>
      </c>
      <c r="J25" s="522">
        <f t="shared" ca="1" si="2"/>
        <v>-0.16666666666666663</v>
      </c>
      <c r="K25" s="682">
        <f ca="1">IF($B25="","",Table!N28/Table!$M28)</f>
        <v>0.33333333333333331</v>
      </c>
      <c r="L25" s="682">
        <f ca="1">IF($B25="","",Table!O28/Table!$M28)</f>
        <v>9.5238095238095233E-2</v>
      </c>
      <c r="M25" s="682">
        <f ca="1">IF($B25="","",Table!P28/Table!$M28)</f>
        <v>0.5714285714285714</v>
      </c>
      <c r="N25" s="600">
        <f ca="1">IF($B25="","",Table!Q28/Table!$M28)</f>
        <v>1.3333333333333333</v>
      </c>
      <c r="O25" s="600">
        <f ca="1">IF($B25="","",Table!R28/Table!$M28)</f>
        <v>1.6666666666666667</v>
      </c>
      <c r="P25" s="517">
        <f t="shared" ca="1" si="3"/>
        <v>3</v>
      </c>
      <c r="Q25" s="602">
        <f t="shared" ca="1" si="4"/>
        <v>-0.33333333333333348</v>
      </c>
      <c r="R25" s="682">
        <f ca="1">IF($B25="","",Table!W28/Table!$V28)</f>
        <v>0.26190476190476192</v>
      </c>
      <c r="S25" s="682">
        <f ca="1">IF($B25="","",Table!X28/Table!$V28)</f>
        <v>0.11904761904761904</v>
      </c>
      <c r="T25" s="682">
        <f ca="1">IF($B25="","",Table!Y28/Table!$V28)</f>
        <v>0.61904761904761907</v>
      </c>
      <c r="U25" s="600">
        <f ca="1">IF(B25="","",Table!Z28/Table!$V28)</f>
        <v>1.1428571428571428</v>
      </c>
      <c r="V25" s="600">
        <f ca="1">IF(C25="","",Table!AA28/Table!$V28)</f>
        <v>1.6428571428571428</v>
      </c>
      <c r="W25" s="517">
        <f t="shared" ca="1" si="5"/>
        <v>2.7857142857142856</v>
      </c>
      <c r="X25" s="653">
        <f t="shared" ca="1" si="6"/>
        <v>-0.5</v>
      </c>
      <c r="Y25" s="452"/>
      <c r="Z25" s="452"/>
      <c r="AA25" s="452"/>
      <c r="AB25" s="454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>
      <c r="A26" s="429">
        <f>Table!A29</f>
        <v>21</v>
      </c>
      <c r="B26" s="413" t="s">
        <v>32</v>
      </c>
      <c r="C26" s="683" t="s">
        <v>32</v>
      </c>
      <c r="D26" s="601" t="s">
        <v>32</v>
      </c>
      <c r="E26" s="601" t="s">
        <v>32</v>
      </c>
      <c r="F26" s="418" t="s">
        <v>32</v>
      </c>
      <c r="G26" s="418" t="s">
        <v>32</v>
      </c>
      <c r="H26" s="420" t="str">
        <f t="shared" ref="H26:H27" si="7">IF($B26="","",G26+F26)</f>
        <v/>
      </c>
      <c r="I26" s="420" t="str">
        <f t="shared" ref="I26:I27" si="8">IF($B26="","",F26-G26)</f>
        <v/>
      </c>
      <c r="J26" s="522" t="str">
        <f t="shared" si="2"/>
        <v/>
      </c>
      <c r="K26" s="684" t="s">
        <v>32</v>
      </c>
      <c r="L26" s="601" t="s">
        <v>32</v>
      </c>
      <c r="M26" s="601" t="s">
        <v>32</v>
      </c>
      <c r="N26" s="418" t="s">
        <v>32</v>
      </c>
      <c r="O26" s="418" t="s">
        <v>32</v>
      </c>
      <c r="P26" s="420" t="str">
        <f t="shared" ref="P26:P27" si="9">IF($B26="","",O26+N26)</f>
        <v/>
      </c>
      <c r="Q26" s="522" t="str">
        <f t="shared" ref="Q26:Q27" si="10">IF($B26="","",N26-O26)</f>
        <v/>
      </c>
      <c r="R26" s="684" t="s">
        <v>32</v>
      </c>
      <c r="S26" s="601" t="s">
        <v>32</v>
      </c>
      <c r="T26" s="601" t="s">
        <v>32</v>
      </c>
      <c r="U26" s="418" t="s">
        <v>32</v>
      </c>
      <c r="V26" s="418" t="s">
        <v>32</v>
      </c>
      <c r="W26" s="420" t="str">
        <f t="shared" ref="W26:W27" si="11">IF($B26="","",V26+U26)</f>
        <v/>
      </c>
      <c r="X26" s="526" t="str">
        <f t="shared" ref="X26:X27" si="12">IF($B26="","",U26-V26)</f>
        <v/>
      </c>
      <c r="Y26" s="452"/>
      <c r="Z26" s="452"/>
      <c r="AA26" s="452"/>
      <c r="AB26" s="454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 ht="15" thickBot="1">
      <c r="A27" s="429">
        <f>Table!A30</f>
        <v>22</v>
      </c>
      <c r="B27" s="413" t="s">
        <v>32</v>
      </c>
      <c r="C27" s="683" t="s">
        <v>32</v>
      </c>
      <c r="D27" s="601" t="s">
        <v>32</v>
      </c>
      <c r="E27" s="601" t="s">
        <v>32</v>
      </c>
      <c r="F27" s="418" t="s">
        <v>32</v>
      </c>
      <c r="G27" s="418" t="s">
        <v>32</v>
      </c>
      <c r="H27" s="420" t="str">
        <f t="shared" si="7"/>
        <v/>
      </c>
      <c r="I27" s="685" t="str">
        <f t="shared" si="8"/>
        <v/>
      </c>
      <c r="J27" s="659" t="str">
        <f t="shared" si="2"/>
        <v/>
      </c>
      <c r="K27" s="686" t="s">
        <v>32</v>
      </c>
      <c r="L27" s="598" t="s">
        <v>32</v>
      </c>
      <c r="M27" s="598" t="s">
        <v>32</v>
      </c>
      <c r="N27" s="607" t="s">
        <v>32</v>
      </c>
      <c r="O27" s="607" t="s">
        <v>32</v>
      </c>
      <c r="P27" s="529" t="str">
        <f t="shared" si="9"/>
        <v/>
      </c>
      <c r="Q27" s="659" t="str">
        <f t="shared" si="10"/>
        <v/>
      </c>
      <c r="R27" s="686" t="s">
        <v>32</v>
      </c>
      <c r="S27" s="598" t="s">
        <v>32</v>
      </c>
      <c r="T27" s="598" t="s">
        <v>32</v>
      </c>
      <c r="U27" s="607" t="s">
        <v>32</v>
      </c>
      <c r="V27" s="607" t="s">
        <v>32</v>
      </c>
      <c r="W27" s="529" t="str">
        <f t="shared" si="11"/>
        <v/>
      </c>
      <c r="X27" s="687" t="str">
        <f t="shared" si="12"/>
        <v/>
      </c>
      <c r="Y27" s="452"/>
      <c r="Z27" s="452"/>
      <c r="AA27" s="452"/>
      <c r="AB27" s="454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 ht="15" thickBot="1">
      <c r="A28" s="688" t="s">
        <v>102</v>
      </c>
      <c r="B28" s="689"/>
      <c r="C28" s="690">
        <f ca="1">IF($B$4=0,"",Table!E33/Table!$D33)</f>
        <v>0.40732758620689657</v>
      </c>
      <c r="D28" s="690">
        <f ca="1">IF($B$4=0,"",Table!F33/Table!$D33)</f>
        <v>0.26508620689655171</v>
      </c>
      <c r="E28" s="690">
        <f ca="1">IF($B$4=0,"",Table!G33/Table!$D33)</f>
        <v>0.32758620689655171</v>
      </c>
      <c r="F28" s="690">
        <f ca="1">IF($B$4=0,"",Table!H33/Table!$D33)</f>
        <v>1.3857758620689655</v>
      </c>
      <c r="G28" s="690">
        <f ca="1">IF($B$4=0,"",Table!I33/Table!$D33)</f>
        <v>1.209051724137931</v>
      </c>
      <c r="H28" s="691">
        <f ca="1">IF($B$4=0,"",G28+F28)</f>
        <v>2.5948275862068968</v>
      </c>
      <c r="I28" s="691">
        <f ca="1">IF($B$4=0,"",F28-G28)</f>
        <v>0.17672413793103448</v>
      </c>
      <c r="J28" s="692">
        <f ca="1">IF($B$4=0,"",(I28-Q28)/2)</f>
        <v>0.17672413793103448</v>
      </c>
      <c r="K28" s="693">
        <f ca="1">IF($B$4=0,"",Table!N33/Table!$M33)</f>
        <v>0.32758620689655171</v>
      </c>
      <c r="L28" s="693">
        <f ca="1">IF($B$4=0,"",Table!O33/Table!$M33)</f>
        <v>0.26508620689655171</v>
      </c>
      <c r="M28" s="693">
        <f ca="1">IF($B$4=0,"",Table!P33/Table!$M33)</f>
        <v>0.40732758620689657</v>
      </c>
      <c r="N28" s="693">
        <f ca="1">IF($B$4=0,"",Table!Q33/Table!$M33)</f>
        <v>1.209051724137931</v>
      </c>
      <c r="O28" s="693">
        <f ca="1">IF($B$4=0,"",Table!R33/Table!$M33)</f>
        <v>1.3857758620689655</v>
      </c>
      <c r="P28" s="692">
        <f ca="1">IF($B$4=0,"",N28+O28)</f>
        <v>2.5948275862068968</v>
      </c>
      <c r="Q28" s="692">
        <f ca="1">IF($B$4=0,"",N28-O28)</f>
        <v>-0.17672413793103448</v>
      </c>
      <c r="R28" s="693">
        <f ca="1">IF($B$4=0,"",Table!W33/Table!$V33)</f>
        <v>0.36853448275862066</v>
      </c>
      <c r="S28" s="693">
        <f ca="1">IF($B$4=0,"",Table!X33/Table!$V33)</f>
        <v>0.26508620689655171</v>
      </c>
      <c r="T28" s="693">
        <f ca="1">IF($B$4=0,"",Table!Y33/Table!$V33)</f>
        <v>0.36853448275862066</v>
      </c>
      <c r="U28" s="693">
        <f ca="1">IF($B$4=0,"",Table!Z33/Table!$V33)</f>
        <v>1.2984913793103448</v>
      </c>
      <c r="V28" s="693">
        <f ca="1">IF($B$4=0,"",Table!AA33/Table!$V33)</f>
        <v>1.2984913793103448</v>
      </c>
      <c r="W28" s="691">
        <f ca="1">IF($B$4=0,"",V28+U28)</f>
        <v>2.5969827586206895</v>
      </c>
      <c r="X28" s="694">
        <f ca="1">IF($B$4=0,"",U28-V28)</f>
        <v>0</v>
      </c>
      <c r="Y28" s="467"/>
      <c r="Z28" s="467"/>
      <c r="AA28" s="467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 ht="13.5">
      <c r="X29" s="230"/>
      <c r="Y29" s="454"/>
      <c r="Z29" s="454"/>
      <c r="AA29" s="454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0"/>
      <c r="AP29" s="230"/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 ht="15" thickBot="1">
      <c r="A30" s="487" t="s">
        <v>113</v>
      </c>
      <c r="X30" s="230"/>
      <c r="Y30" s="454"/>
      <c r="Z30" s="454"/>
      <c r="AA30" s="454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>
      <c r="A31" s="241"/>
      <c r="B31" s="363" t="s">
        <v>32</v>
      </c>
      <c r="C31" s="668" t="s">
        <v>100</v>
      </c>
      <c r="D31" s="669"/>
      <c r="E31" s="669"/>
      <c r="F31" s="669"/>
      <c r="G31" s="670"/>
      <c r="H31" s="367"/>
      <c r="I31" s="367"/>
      <c r="J31" s="367"/>
      <c r="K31" s="368" t="s">
        <v>101</v>
      </c>
      <c r="L31" s="669"/>
      <c r="M31" s="669"/>
      <c r="N31" s="669"/>
      <c r="O31" s="365"/>
      <c r="P31" s="367"/>
      <c r="Q31" s="367"/>
      <c r="R31" s="368" t="s">
        <v>102</v>
      </c>
      <c r="S31" s="669"/>
      <c r="T31" s="669"/>
      <c r="U31" s="669"/>
      <c r="V31" s="365"/>
      <c r="W31" s="366"/>
      <c r="X31" s="695"/>
      <c r="Y31" s="696" t="s">
        <v>114</v>
      </c>
      <c r="Z31" s="697"/>
      <c r="AA31" s="698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 ht="28.5" thickBot="1">
      <c r="A32" s="673" t="s">
        <v>104</v>
      </c>
      <c r="B32" s="674" t="s">
        <v>105</v>
      </c>
      <c r="C32" s="398" t="s">
        <v>106</v>
      </c>
      <c r="D32" s="675" t="s">
        <v>107</v>
      </c>
      <c r="E32" s="675" t="s">
        <v>108</v>
      </c>
      <c r="F32" s="675" t="s">
        <v>109</v>
      </c>
      <c r="G32" s="676" t="s">
        <v>101</v>
      </c>
      <c r="H32" s="677" t="s">
        <v>110</v>
      </c>
      <c r="I32" s="677" t="s">
        <v>111</v>
      </c>
      <c r="J32" s="678" t="s">
        <v>112</v>
      </c>
      <c r="K32" s="553" t="s">
        <v>106</v>
      </c>
      <c r="L32" s="675" t="s">
        <v>107</v>
      </c>
      <c r="M32" s="675" t="s">
        <v>108</v>
      </c>
      <c r="N32" s="675" t="s">
        <v>109</v>
      </c>
      <c r="O32" s="676" t="s">
        <v>101</v>
      </c>
      <c r="P32" s="677" t="s">
        <v>110</v>
      </c>
      <c r="Q32" s="677" t="s">
        <v>111</v>
      </c>
      <c r="R32" s="553" t="s">
        <v>106</v>
      </c>
      <c r="S32" s="675" t="s">
        <v>107</v>
      </c>
      <c r="T32" s="675" t="s">
        <v>108</v>
      </c>
      <c r="U32" s="675" t="s">
        <v>109</v>
      </c>
      <c r="V32" s="676" t="s">
        <v>101</v>
      </c>
      <c r="W32" s="677" t="s">
        <v>110</v>
      </c>
      <c r="X32" s="699" t="s">
        <v>111</v>
      </c>
      <c r="Y32" s="700" t="s">
        <v>100</v>
      </c>
      <c r="Z32" s="701" t="s">
        <v>101</v>
      </c>
      <c r="AA32" s="702" t="s">
        <v>115</v>
      </c>
      <c r="AB32" s="703" t="s">
        <v>116</v>
      </c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1:59" ht="15" thickBot="1">
      <c r="A33" s="704">
        <f t="shared" ref="A33:B48" si="13">A6</f>
        <v>1</v>
      </c>
      <c r="B33" s="401" t="str">
        <f t="shared" ca="1" si="13"/>
        <v>Shonan Bellmare</v>
      </c>
      <c r="C33" s="681" t="str">
        <f t="array" aca="1" ref="C33" ca="1">IF($AC33="Y",SUM(IF((INDIRECT("'"&amp;$AB33&amp;"'!J23:J200")=$E$1)*(INDIRECT("'"&amp;$AB33&amp;"'!I23:I200")="H")*(INDIRECT("'"&amp;$AB33&amp;"'!M23:M200")="W")*(INDIRECT("'"&amp;$AB33&amp;"'!E23:E200")=$AC33),1,0)/$Y33),"-")</f>
        <v>-</v>
      </c>
      <c r="D33" s="406" t="str">
        <f t="array" aca="1" ref="D33" ca="1">IF($AC33="Y",SUM(IF((INDIRECT("'"&amp;$AB33&amp;"'!J23:J200")=$E$1)*(INDIRECT("'"&amp;$AB33&amp;"'!I23:I200")="H")*(INDIRECT("'"&amp;$AB33&amp;"'!M23:M200")="D")*(INDIRECT("'"&amp;$AB33&amp;"'!E23:E200")=$AC33),1,0)/$Y33),"-")</f>
        <v>-</v>
      </c>
      <c r="E33" s="406" t="str">
        <f t="array" aca="1" ref="E33" ca="1">IF($AC33="Y",SUM(IF((INDIRECT("'"&amp;$AB33&amp;"'!J23:J200")=$E$1)*(INDIRECT("'"&amp;$AB33&amp;"'!I23:I200")="H")*(INDIRECT("'"&amp;$AB33&amp;"'!M23:M200")="L")*(INDIRECT("'"&amp;$AB33&amp;"'!E23:E200")=$AC33),1,0)/$Y33),"-")</f>
        <v>-</v>
      </c>
      <c r="F33" s="408" t="e">
        <f ca="1">VLOOKUP($B33,HiLo!$C$69:$AA$88,HiLo!I$65-1,FALSE)</f>
        <v>#N/A</v>
      </c>
      <c r="G33" s="408" t="e">
        <f ca="1">VLOOKUP($B33,HiLo!$C$69:$AA$88,HiLo!J$65-1,FALSE)</f>
        <v>#N/A</v>
      </c>
      <c r="H33" s="410" t="str">
        <f ca="1">IF($AC33="Y",F33+G33,"-")</f>
        <v>-</v>
      </c>
      <c r="I33" s="410" t="str">
        <f ca="1">IF($AC33="Y",F33-G33,"-")</f>
        <v>-</v>
      </c>
      <c r="J33" s="602" t="str">
        <f ca="1">IF($AC33="Y",(I33-Q33)/2,"-")</f>
        <v>-</v>
      </c>
      <c r="K33" s="681" t="str">
        <f t="array" aca="1" ref="K33" ca="1">IF($AC33="Y",SUM(IF((INDIRECT("'"&amp;$AB33&amp;"'!J23:J200")=$E$1)*(INDIRECT("'"&amp;$AB33&amp;"'!I23:I200")="A")*(INDIRECT("'"&amp;$AB33&amp;"'!M23:M200")="W")*(INDIRECT("'"&amp;$AB33&amp;"'!E23:E200")=$AC33),1,0)/$Z33),"-")</f>
        <v>-</v>
      </c>
      <c r="L33" s="406" t="str">
        <f t="array" aca="1" ref="L33" ca="1">IF($AC33="Y",SUM(IF((INDIRECT("'"&amp;$AB33&amp;"'!J23:J200")=$E$1)*(INDIRECT("'"&amp;$AB33&amp;"'!I23:I200")="A")*(INDIRECT("'"&amp;$AB33&amp;"'!M23:M200")="D")*(INDIRECT("'"&amp;$AB33&amp;"'!E23:E200")=$AC33),1,0)/$Z33),"-")</f>
        <v>-</v>
      </c>
      <c r="M33" s="406" t="str">
        <f t="array" aca="1" ref="M33" ca="1">IF($AC33="Y",SUM(IF((INDIRECT("'"&amp;$AB33&amp;"'!J23:J200")=$E$1)*(INDIRECT("'"&amp;$AB33&amp;"'!I23:I200")="A")*(INDIRECT("'"&amp;$AB33&amp;"'!M23:M200")="L")*(INDIRECT("'"&amp;$AB33&amp;"'!E23:E200")=$AC33),1,0)/$Z33),"-")</f>
        <v>-</v>
      </c>
      <c r="N33" s="408" t="e">
        <f ca="1">VLOOKUP($B33,HiLo!$C$69:$AA$88,HiLo!Q$65-1,FALSE)</f>
        <v>#N/A</v>
      </c>
      <c r="O33" s="408" t="e">
        <f ca="1">VLOOKUP($B33,HiLo!$C$69:$AA$88,HiLo!R$65-1,FALSE)</f>
        <v>#N/A</v>
      </c>
      <c r="P33" s="410" t="str">
        <f ca="1">IF($AC33="Y",N33+O33,"-")</f>
        <v>-</v>
      </c>
      <c r="Q33" s="410" t="str">
        <f ca="1">IF($AC33="Y",N33-O33,"-")</f>
        <v>-</v>
      </c>
      <c r="R33" s="682" t="str">
        <f t="array" aca="1" ref="R33" ca="1">IF($AC33="Y",SUM(IF((INDIRECT("'"&amp;$AB33&amp;"'!J23:J200")=$E$1)*(INDIRECT("'"&amp;$AB33&amp;"'!M23:M200")="W")*(INDIRECT("'"&amp;$AB33&amp;"'!E23:E200")=$AC33),1,0)/$AA33),"-")</f>
        <v>-</v>
      </c>
      <c r="S33" s="705" t="str">
        <f t="array" aca="1" ref="S33" ca="1">IF($AC33="Y",SUM(IF((INDIRECT("'"&amp;$AB33&amp;"'!J23:J200")=$E$1)*(INDIRECT("'"&amp;$AB33&amp;"'!I23:I200")="A")*(INDIRECT("'"&amp;$AB33&amp;"'!M23:M200")="D")*(INDIRECT("'"&amp;$AB33&amp;"'!E23:E200")=$AC33),1,0)/$Y33),"-")</f>
        <v>-</v>
      </c>
      <c r="T33" s="705" t="str">
        <f t="array" aca="1" ref="T33" ca="1">IF($AC33="Y",SUM(IF((INDIRECT("'"&amp;$AB33&amp;"'!J23:J200")=$E$1)*(INDIRECT("'"&amp;$AB33&amp;"'!I23:I200")="A")*(INDIRECT("'"&amp;$AB33&amp;"'!M23:M200")="L")*(INDIRECT("'"&amp;$AB33&amp;"'!E23:E200")=$AC33),1,0)/$Y33),"-")</f>
        <v>-</v>
      </c>
      <c r="U33" s="600" t="e">
        <f ca="1">VLOOKUP($B33,HiLo!$C$69:$AA$88,HiLo!Y$65-1,FALSE)</f>
        <v>#N/A</v>
      </c>
      <c r="V33" s="600" t="e">
        <f ca="1">VLOOKUP($B33,HiLo!$C$69:$AA$88,HiLo!Z$65-1,FALSE)</f>
        <v>#N/A</v>
      </c>
      <c r="W33" s="517" t="str">
        <f ca="1">IF($AC33="Y",U33+V33,"-")</f>
        <v>-</v>
      </c>
      <c r="X33" s="706" t="str">
        <f ca="1">IF($AC33="Y",U33-V33,"-")</f>
        <v>-</v>
      </c>
      <c r="Y33" s="707" t="str">
        <f t="array" aca="1" ref="Y33" ca="1">IF($AC33="Y",SUM(IF((INDIRECT("'"&amp;$AB33&amp;"'!J23:J200")=$E$1)*(INDIRECT("'"&amp;$AB33&amp;"'!I23:I200")="H")*(INDIRECT("'"&amp;$AB33&amp;"'!E23:E200")=$AC33)*(INDIRECT("'"&amp;$AB33&amp;"'!K23:K200")&lt;&gt;""),1,0)),"-")</f>
        <v>-</v>
      </c>
      <c r="Z33" s="707" t="str">
        <f t="array" aca="1" ref="Z33" ca="1">IF($AC33="Y",SUM(IF((INDIRECT("'"&amp;$AB33&amp;"'!J23:J200")=$E$1)*(INDIRECT("'"&amp;$AB33&amp;"'!I23:I200")="A")*(INDIRECT("'"&amp;$AB33&amp;"'!E23:E200")=$AC33)*(INDIRECT("'"&amp;$AB33&amp;"'!K23:K200")&lt;&gt;""),1,0)),"-")</f>
        <v>-</v>
      </c>
      <c r="AA33" s="707" t="str">
        <f ca="1">IF($AC33="Y",Y33+Z33,"-")</f>
        <v>-</v>
      </c>
      <c r="AB33" s="230" t="str">
        <f ca="1">IF($AC33="Y",VLOOKUP(B33,Table!B:C,2,FALSE),"")</f>
        <v/>
      </c>
      <c r="AC33" s="230">
        <f ca="1">IF(B33="","",VLOOKUP(B33,Table!$B$38:$AO$59,Table!$AO$35-1,FALSE))</f>
        <v>0</v>
      </c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:59" ht="15" thickBot="1">
      <c r="A34" s="429">
        <f t="shared" si="13"/>
        <v>2</v>
      </c>
      <c r="B34" s="413" t="str">
        <f t="shared" ca="1" si="13"/>
        <v>V-Varen Nagasaki</v>
      </c>
      <c r="C34" s="681" t="str">
        <f t="array" aca="1" ref="C34" ca="1">IF($AC34="Y",SUM(IF((INDIRECT("'"&amp;$AB34&amp;"'!J23:J200")=$E$1)*(INDIRECT("'"&amp;$AB34&amp;"'!I23:I200")="H")*(INDIRECT("'"&amp;$AB34&amp;"'!M23:M200")="W")*(INDIRECT("'"&amp;$AB34&amp;"'!E23:E200")=$AC34),1,0)/$Y34),"-")</f>
        <v>-</v>
      </c>
      <c r="D34" s="406" t="str">
        <f t="array" aca="1" ref="D34" ca="1">IF($AC34="Y",SUM(IF((INDIRECT("'"&amp;$AB34&amp;"'!J23:J200")=$E$1)*(INDIRECT("'"&amp;$AB34&amp;"'!I23:I200")="H")*(INDIRECT("'"&amp;$AB34&amp;"'!M23:M200")="D")*(INDIRECT("'"&amp;$AB34&amp;"'!E23:E200")=$AC34),1,0)/$Y34),"-")</f>
        <v>-</v>
      </c>
      <c r="E34" s="406" t="str">
        <f t="array" aca="1" ref="E34" ca="1">IF($AC34="Y",SUM(IF((INDIRECT("'"&amp;$AB34&amp;"'!J23:J200")=$E$1)*(INDIRECT("'"&amp;$AB34&amp;"'!I23:I200")="H")*(INDIRECT("'"&amp;$AB34&amp;"'!M23:M200")="L")*(INDIRECT("'"&amp;$AB34&amp;"'!E23:E200")=$AC34),1,0)/$Y34),"-")</f>
        <v>-</v>
      </c>
      <c r="F34" s="408" t="e">
        <f ca="1">VLOOKUP($B34,HiLo!$C$69:$AA$88,HiLo!I$65-1,FALSE)</f>
        <v>#N/A</v>
      </c>
      <c r="G34" s="408" t="e">
        <f ca="1">VLOOKUP($B34,HiLo!$C$69:$AA$88,HiLo!J$65-1,FALSE)</f>
        <v>#N/A</v>
      </c>
      <c r="H34" s="410" t="str">
        <f t="shared" ref="H34:H52" ca="1" si="14">IF($AC34="Y",F34+G34,"-")</f>
        <v>-</v>
      </c>
      <c r="I34" s="410" t="str">
        <f t="shared" ref="I34:I52" ca="1" si="15">IF($AC34="Y",F34-G34,"-")</f>
        <v>-</v>
      </c>
      <c r="J34" s="602" t="str">
        <f t="shared" ref="J34:J52" ca="1" si="16">IF($AC34="Y",(I34-Q34)/2,"-")</f>
        <v>-</v>
      </c>
      <c r="K34" s="681" t="str">
        <f t="array" aca="1" ref="K34" ca="1">IF($AC34="Y",SUM(IF((INDIRECT("'"&amp;$AB34&amp;"'!J23:J200")=$E$1)*(INDIRECT("'"&amp;$AB34&amp;"'!I23:I200")="A")*(INDIRECT("'"&amp;$AB34&amp;"'!M23:M200")="W")*(INDIRECT("'"&amp;$AB34&amp;"'!E23:E200")=$AC34),1,0)/$Z34),"-")</f>
        <v>-</v>
      </c>
      <c r="L34" s="406" t="str">
        <f t="array" aca="1" ref="L34" ca="1">IF($AC34="Y",SUM(IF((INDIRECT("'"&amp;$AB34&amp;"'!J23:J200")=$E$1)*(INDIRECT("'"&amp;$AB34&amp;"'!I23:I200")="A")*(INDIRECT("'"&amp;$AB34&amp;"'!M23:M200")="D")*(INDIRECT("'"&amp;$AB34&amp;"'!E23:E200")=$AC34),1,0)/$Z34),"-")</f>
        <v>-</v>
      </c>
      <c r="M34" s="406" t="str">
        <f t="array" aca="1" ref="M34" ca="1">IF($AC34="Y",SUM(IF((INDIRECT("'"&amp;$AB34&amp;"'!J23:J200")=$E$1)*(INDIRECT("'"&amp;$AB34&amp;"'!I23:I200")="A")*(INDIRECT("'"&amp;$AB34&amp;"'!M23:M200")="L")*(INDIRECT("'"&amp;$AB34&amp;"'!E23:E200")=$AC34),1,0)/$Z34),"-")</f>
        <v>-</v>
      </c>
      <c r="N34" s="408" t="e">
        <f ca="1">VLOOKUP($B34,HiLo!$C$69:$AA$88,HiLo!Q$65-1,FALSE)</f>
        <v>#N/A</v>
      </c>
      <c r="O34" s="408" t="e">
        <f ca="1">VLOOKUP($B34,HiLo!$C$69:$AA$88,HiLo!R$65-1,FALSE)</f>
        <v>#N/A</v>
      </c>
      <c r="P34" s="410" t="str">
        <f t="shared" ref="P34:P54" ca="1" si="17">IF($AC34="Y",N34+O34,"-")</f>
        <v>-</v>
      </c>
      <c r="Q34" s="410" t="str">
        <f t="shared" ref="Q34:Q54" ca="1" si="18">IF($AC34="Y",N34-O34,"-")</f>
        <v>-</v>
      </c>
      <c r="R34" s="682" t="str">
        <f t="array" aca="1" ref="R34" ca="1">IF($AC34="Y",SUM(IF((INDIRECT("'"&amp;$AB34&amp;"'!J23:J200")=$E$1)*(INDIRECT("'"&amp;$AB34&amp;"'!M23:M200")="W")*(INDIRECT("'"&amp;$AB34&amp;"'!E23:E200")=$AC34),1,0)/$AA34),"-")</f>
        <v>-</v>
      </c>
      <c r="S34" s="705" t="str">
        <f t="array" aca="1" ref="S34" ca="1">IF($AC34="Y",SUM(IF((INDIRECT("'"&amp;$AB34&amp;"'!J23:J200")=$E$1)*(INDIRECT("'"&amp;$AB34&amp;"'!I23:I200")="A")*(INDIRECT("'"&amp;$AB34&amp;"'!M23:M200")="D")*(INDIRECT("'"&amp;$AB34&amp;"'!E23:E200")=$AC34),1,0)/$Y34),"-")</f>
        <v>-</v>
      </c>
      <c r="T34" s="705" t="str">
        <f t="array" aca="1" ref="T34" ca="1">IF($AC34="Y",SUM(IF((INDIRECT("'"&amp;$AB34&amp;"'!J23:J200")=$E$1)*(INDIRECT("'"&amp;$AB34&amp;"'!I23:I200")="A")*(INDIRECT("'"&amp;$AB34&amp;"'!M23:M200")="L")*(INDIRECT("'"&amp;$AB34&amp;"'!E23:E200")=$AC34),1,0)/$Y34),"-")</f>
        <v>-</v>
      </c>
      <c r="U34" s="600" t="e">
        <f ca="1">VLOOKUP($B34,HiLo!$C$69:$AA$88,HiLo!Y$65-1,FALSE)</f>
        <v>#N/A</v>
      </c>
      <c r="V34" s="600" t="e">
        <f ca="1">VLOOKUP($B34,HiLo!$C$69:$AA$88,HiLo!Z$65-1,FALSE)</f>
        <v>#N/A</v>
      </c>
      <c r="W34" s="410" t="str">
        <f t="shared" ref="W34:W54" ca="1" si="19">IF($AC34="Y",U34+V34,"-")</f>
        <v>-</v>
      </c>
      <c r="X34" s="653" t="str">
        <f t="shared" ref="X34:X54" ca="1" si="20">IF($AC34="Y",U34-V34,"-")</f>
        <v>-</v>
      </c>
      <c r="Y34" s="707" t="str">
        <f t="array" aca="1" ref="Y34" ca="1">IF($AC34="Y",SUM(IF((INDIRECT("'"&amp;$AB34&amp;"'!J23:J200")=$E$1)*(INDIRECT("'"&amp;$AB34&amp;"'!I23:I200")="H")*(INDIRECT("'"&amp;$AB34&amp;"'!E23:E200")=$AC34)*(INDIRECT("'"&amp;$AB34&amp;"'!K23:K200")&lt;&gt;""),1,0)),"-")</f>
        <v>-</v>
      </c>
      <c r="Z34" s="707" t="str">
        <f t="array" aca="1" ref="Z34" ca="1">IF($AC34="Y",SUM(IF((INDIRECT("'"&amp;$AB34&amp;"'!J23:J200")=$E$1)*(INDIRECT("'"&amp;$AB34&amp;"'!I23:I200")="A")*(INDIRECT("'"&amp;$AB34&amp;"'!E23:E200")=$AC34)*(INDIRECT("'"&amp;$AB34&amp;"'!K23:K200")&lt;&gt;""),1,0)),"-")</f>
        <v>-</v>
      </c>
      <c r="AA34" s="707" t="str">
        <f t="shared" ref="AA34:AA54" ca="1" si="21">IF($AC34="Y",Y34+Z34,"-")</f>
        <v>-</v>
      </c>
      <c r="AB34" s="230" t="str">
        <f ca="1">IF($AC34="Y",VLOOKUP(B34,Table!B:C,2,FALSE),"")</f>
        <v/>
      </c>
      <c r="AC34" s="230">
        <f ca="1">IF(B34="","",VLOOKUP(B34,Table!$B$38:$AO$59,Table!$AO$35-1,FALSE))</f>
        <v>0</v>
      </c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1:59" ht="15" thickBot="1">
      <c r="A35" s="429">
        <f t="shared" si="13"/>
        <v>3</v>
      </c>
      <c r="B35" s="413" t="str">
        <f t="shared" ca="1" si="13"/>
        <v>Nagoya Grampus</v>
      </c>
      <c r="C35" s="681" t="str">
        <f t="array" aca="1" ref="C35" ca="1">IF($AC35="Y",SUM(IF((INDIRECT("'"&amp;$AB35&amp;"'!J23:J200")=$E$1)*(INDIRECT("'"&amp;$AB35&amp;"'!I23:I200")="H")*(INDIRECT("'"&amp;$AB35&amp;"'!M23:M200")="W")*(INDIRECT("'"&amp;$AB35&amp;"'!E23:E200")=$AC35),1,0)/$Y35),"-")</f>
        <v>-</v>
      </c>
      <c r="D35" s="406" t="str">
        <f t="array" aca="1" ref="D35" ca="1">IF($AC35="Y",SUM(IF((INDIRECT("'"&amp;$AB35&amp;"'!J23:J200")=$E$1)*(INDIRECT("'"&amp;$AB35&amp;"'!I23:I200")="H")*(INDIRECT("'"&amp;$AB35&amp;"'!M23:M200")="D")*(INDIRECT("'"&amp;$AB35&amp;"'!E23:E200")=$AC35),1,0)/$Y35),"-")</f>
        <v>-</v>
      </c>
      <c r="E35" s="406" t="str">
        <f t="array" aca="1" ref="E35" ca="1">IF($AC35="Y",SUM(IF((INDIRECT("'"&amp;$AB35&amp;"'!J23:J200")=$E$1)*(INDIRECT("'"&amp;$AB35&amp;"'!I23:I200")="H")*(INDIRECT("'"&amp;$AB35&amp;"'!M23:M200")="L")*(INDIRECT("'"&amp;$AB35&amp;"'!E23:E200")=$AC35),1,0)/$Y35),"-")</f>
        <v>-</v>
      </c>
      <c r="F35" s="408" t="e">
        <f ca="1">VLOOKUP($B35,HiLo!$C$69:$AA$88,HiLo!I$65-1,FALSE)</f>
        <v>#N/A</v>
      </c>
      <c r="G35" s="408" t="e">
        <f ca="1">VLOOKUP($B35,HiLo!$C$69:$AA$88,HiLo!J$65-1,FALSE)</f>
        <v>#N/A</v>
      </c>
      <c r="H35" s="410" t="str">
        <f t="shared" ca="1" si="14"/>
        <v>-</v>
      </c>
      <c r="I35" s="410" t="str">
        <f t="shared" ca="1" si="15"/>
        <v>-</v>
      </c>
      <c r="J35" s="602" t="str">
        <f t="shared" ca="1" si="16"/>
        <v>-</v>
      </c>
      <c r="K35" s="681" t="str">
        <f t="array" aca="1" ref="K35" ca="1">IF($AC35="Y",SUM(IF((INDIRECT("'"&amp;$AB35&amp;"'!J23:J200")=$E$1)*(INDIRECT("'"&amp;$AB35&amp;"'!I23:I200")="A")*(INDIRECT("'"&amp;$AB35&amp;"'!M23:M200")="W")*(INDIRECT("'"&amp;$AB35&amp;"'!E23:E200")=$AC35),1,0)/$Z35),"-")</f>
        <v>-</v>
      </c>
      <c r="L35" s="406" t="str">
        <f t="array" aca="1" ref="L35" ca="1">IF($AC35="Y",SUM(IF((INDIRECT("'"&amp;$AB35&amp;"'!J23:J200")=$E$1)*(INDIRECT("'"&amp;$AB35&amp;"'!I23:I200")="A")*(INDIRECT("'"&amp;$AB35&amp;"'!M23:M200")="D")*(INDIRECT("'"&amp;$AB35&amp;"'!E23:E200")=$AC35),1,0)/$Z35),"-")</f>
        <v>-</v>
      </c>
      <c r="M35" s="406" t="str">
        <f t="array" aca="1" ref="M35" ca="1">IF($AC35="Y",SUM(IF((INDIRECT("'"&amp;$AB35&amp;"'!J23:J200")=$E$1)*(INDIRECT("'"&amp;$AB35&amp;"'!I23:I200")="A")*(INDIRECT("'"&amp;$AB35&amp;"'!M23:M200")="L")*(INDIRECT("'"&amp;$AB35&amp;"'!E23:E200")=$AC35),1,0)/$Z35),"-")</f>
        <v>-</v>
      </c>
      <c r="N35" s="408" t="e">
        <f ca="1">VLOOKUP($B35,HiLo!$C$69:$AA$88,HiLo!Q$65-1,FALSE)</f>
        <v>#N/A</v>
      </c>
      <c r="O35" s="408" t="e">
        <f ca="1">VLOOKUP($B35,HiLo!$C$69:$AA$88,HiLo!R$65-1,FALSE)</f>
        <v>#N/A</v>
      </c>
      <c r="P35" s="410" t="str">
        <f t="shared" ca="1" si="17"/>
        <v>-</v>
      </c>
      <c r="Q35" s="410" t="str">
        <f t="shared" ca="1" si="18"/>
        <v>-</v>
      </c>
      <c r="R35" s="682" t="str">
        <f t="array" aca="1" ref="R35" ca="1">IF($AC35="Y",SUM(IF((INDIRECT("'"&amp;$AB35&amp;"'!J23:J200")=$E$1)*(INDIRECT("'"&amp;$AB35&amp;"'!M23:M200")="W")*(INDIRECT("'"&amp;$AB35&amp;"'!E23:E200")=$AC35),1,0)/$AA35),"-")</f>
        <v>-</v>
      </c>
      <c r="S35" s="705" t="str">
        <f t="array" aca="1" ref="S35" ca="1">IF($AC35="Y",SUM(IF((INDIRECT("'"&amp;$AB35&amp;"'!J23:J200")=$E$1)*(INDIRECT("'"&amp;$AB35&amp;"'!I23:I200")="A")*(INDIRECT("'"&amp;$AB35&amp;"'!M23:M200")="D")*(INDIRECT("'"&amp;$AB35&amp;"'!E23:E200")=$AC35),1,0)/$Y35),"-")</f>
        <v>-</v>
      </c>
      <c r="T35" s="705" t="str">
        <f t="array" aca="1" ref="T35" ca="1">IF($AC35="Y",SUM(IF((INDIRECT("'"&amp;$AB35&amp;"'!J23:J200")=$E$1)*(INDIRECT("'"&amp;$AB35&amp;"'!I23:I200")="A")*(INDIRECT("'"&amp;$AB35&amp;"'!M23:M200")="L")*(INDIRECT("'"&amp;$AB35&amp;"'!E23:E200")=$AC35),1,0)/$Y35),"-")</f>
        <v>-</v>
      </c>
      <c r="U35" s="600" t="e">
        <f ca="1">VLOOKUP($B35,HiLo!$C$69:$AA$88,HiLo!Y$65-1,FALSE)</f>
        <v>#N/A</v>
      </c>
      <c r="V35" s="600" t="e">
        <f ca="1">VLOOKUP($B35,HiLo!$C$69:$AA$88,HiLo!Z$65-1,FALSE)</f>
        <v>#N/A</v>
      </c>
      <c r="W35" s="410" t="str">
        <f t="shared" ca="1" si="19"/>
        <v>-</v>
      </c>
      <c r="X35" s="653" t="str">
        <f t="shared" ca="1" si="20"/>
        <v>-</v>
      </c>
      <c r="Y35" s="707" t="str">
        <f t="array" aca="1" ref="Y35" ca="1">IF($AC35="Y",SUM(IF((INDIRECT("'"&amp;$AB35&amp;"'!J23:J200")=$E$1)*(INDIRECT("'"&amp;$AB35&amp;"'!I23:I200")="H")*(INDIRECT("'"&amp;$AB35&amp;"'!E23:E200")=$AC35)*(INDIRECT("'"&amp;$AB35&amp;"'!K23:K200")&lt;&gt;""),1,0)),"-")</f>
        <v>-</v>
      </c>
      <c r="Z35" s="707" t="str">
        <f t="array" aca="1" ref="Z35" ca="1">IF($AC35="Y",SUM(IF((INDIRECT("'"&amp;$AB35&amp;"'!J23:J200")=$E$1)*(INDIRECT("'"&amp;$AB35&amp;"'!I23:I200")="A")*(INDIRECT("'"&amp;$AB35&amp;"'!E23:E200")=$AC35)*(INDIRECT("'"&amp;$AB35&amp;"'!K23:K200")&lt;&gt;""),1,0)),"-")</f>
        <v>-</v>
      </c>
      <c r="AA35" s="707" t="str">
        <f t="shared" ca="1" si="21"/>
        <v>-</v>
      </c>
      <c r="AB35" s="230" t="str">
        <f ca="1">IF($AC35="Y",VLOOKUP(B35,Table!B:C,2,FALSE),"")</f>
        <v/>
      </c>
      <c r="AC35" s="230">
        <f ca="1">IF(B35="","",VLOOKUP(B35,Table!$B$38:$AO$59,Table!$AO$35-1,FALSE))</f>
        <v>0</v>
      </c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:59" ht="15" thickBot="1">
      <c r="A36" s="429">
        <f t="shared" si="13"/>
        <v>4</v>
      </c>
      <c r="B36" s="413" t="str">
        <f t="shared" ca="1" si="13"/>
        <v>Avispa Fukuoka</v>
      </c>
      <c r="C36" s="681" t="str">
        <f t="array" aca="1" ref="C36" ca="1">IF($AC36="Y",SUM(IF((INDIRECT("'"&amp;$AB36&amp;"'!J23:J200")=$E$1)*(INDIRECT("'"&amp;$AB36&amp;"'!I23:I200")="H")*(INDIRECT("'"&amp;$AB36&amp;"'!M23:M200")="W")*(INDIRECT("'"&amp;$AB36&amp;"'!E23:E200")=$AC36),1,0)/$Y36),"-")</f>
        <v>-</v>
      </c>
      <c r="D36" s="406" t="str">
        <f t="array" aca="1" ref="D36" ca="1">IF($AC36="Y",SUM(IF((INDIRECT("'"&amp;$AB36&amp;"'!J23:J200")=$E$1)*(INDIRECT("'"&amp;$AB36&amp;"'!I23:I200")="H")*(INDIRECT("'"&amp;$AB36&amp;"'!M23:M200")="D")*(INDIRECT("'"&amp;$AB36&amp;"'!E23:E200")=$AC36),1,0)/$Y36),"-")</f>
        <v>-</v>
      </c>
      <c r="E36" s="406" t="str">
        <f t="array" aca="1" ref="E36" ca="1">IF($AC36="Y",SUM(IF((INDIRECT("'"&amp;$AB36&amp;"'!J23:J200")=$E$1)*(INDIRECT("'"&amp;$AB36&amp;"'!I23:I200")="H")*(INDIRECT("'"&amp;$AB36&amp;"'!M23:M200")="L")*(INDIRECT("'"&amp;$AB36&amp;"'!E23:E200")=$AC36),1,0)/$Y36),"-")</f>
        <v>-</v>
      </c>
      <c r="F36" s="408" t="e">
        <f ca="1">VLOOKUP($B36,HiLo!$C$69:$AA$88,HiLo!I$65-1,FALSE)</f>
        <v>#N/A</v>
      </c>
      <c r="G36" s="408" t="e">
        <f ca="1">VLOOKUP($B36,HiLo!$C$69:$AA$88,HiLo!J$65-1,FALSE)</f>
        <v>#N/A</v>
      </c>
      <c r="H36" s="410" t="str">
        <f t="shared" ca="1" si="14"/>
        <v>-</v>
      </c>
      <c r="I36" s="410" t="str">
        <f t="shared" ca="1" si="15"/>
        <v>-</v>
      </c>
      <c r="J36" s="602" t="str">
        <f t="shared" ca="1" si="16"/>
        <v>-</v>
      </c>
      <c r="K36" s="681" t="str">
        <f t="array" aca="1" ref="K36" ca="1">IF($AC36="Y",SUM(IF((INDIRECT("'"&amp;$AB36&amp;"'!J23:J200")=$E$1)*(INDIRECT("'"&amp;$AB36&amp;"'!I23:I200")="A")*(INDIRECT("'"&amp;$AB36&amp;"'!M23:M200")="W")*(INDIRECT("'"&amp;$AB36&amp;"'!E23:E200")=$AC36),1,0)/$Z36),"-")</f>
        <v>-</v>
      </c>
      <c r="L36" s="406" t="str">
        <f t="array" aca="1" ref="L36" ca="1">IF($AC36="Y",SUM(IF((INDIRECT("'"&amp;$AB36&amp;"'!J23:J200")=$E$1)*(INDIRECT("'"&amp;$AB36&amp;"'!I23:I200")="A")*(INDIRECT("'"&amp;$AB36&amp;"'!M23:M200")="D")*(INDIRECT("'"&amp;$AB36&amp;"'!E23:E200")=$AC36),1,0)/$Z36),"-")</f>
        <v>-</v>
      </c>
      <c r="M36" s="406" t="str">
        <f t="array" aca="1" ref="M36" ca="1">IF($AC36="Y",SUM(IF((INDIRECT("'"&amp;$AB36&amp;"'!J23:J200")=$E$1)*(INDIRECT("'"&amp;$AB36&amp;"'!I23:I200")="A")*(INDIRECT("'"&amp;$AB36&amp;"'!M23:M200")="L")*(INDIRECT("'"&amp;$AB36&amp;"'!E23:E200")=$AC36),1,0)/$Z36),"-")</f>
        <v>-</v>
      </c>
      <c r="N36" s="408" t="e">
        <f ca="1">VLOOKUP($B36,HiLo!$C$69:$AA$88,HiLo!Q$65-1,FALSE)</f>
        <v>#N/A</v>
      </c>
      <c r="O36" s="408" t="e">
        <f ca="1">VLOOKUP($B36,HiLo!$C$69:$AA$88,HiLo!R$65-1,FALSE)</f>
        <v>#N/A</v>
      </c>
      <c r="P36" s="410" t="str">
        <f t="shared" ca="1" si="17"/>
        <v>-</v>
      </c>
      <c r="Q36" s="410" t="str">
        <f t="shared" ca="1" si="18"/>
        <v>-</v>
      </c>
      <c r="R36" s="682" t="str">
        <f t="array" aca="1" ref="R36" ca="1">IF($AC36="Y",SUM(IF((INDIRECT("'"&amp;$AB36&amp;"'!J23:J200")=$E$1)*(INDIRECT("'"&amp;$AB36&amp;"'!M23:M200")="W")*(INDIRECT("'"&amp;$AB36&amp;"'!E23:E200")=$AC36),1,0)/$AA36),"-")</f>
        <v>-</v>
      </c>
      <c r="S36" s="705" t="str">
        <f t="array" aca="1" ref="S36" ca="1">IF($AC36="Y",SUM(IF((INDIRECT("'"&amp;$AB36&amp;"'!J23:J200")=$E$1)*(INDIRECT("'"&amp;$AB36&amp;"'!I23:I200")="A")*(INDIRECT("'"&amp;$AB36&amp;"'!M23:M200")="D")*(INDIRECT("'"&amp;$AB36&amp;"'!E23:E200")=$AC36),1,0)/$Y36),"-")</f>
        <v>-</v>
      </c>
      <c r="T36" s="705" t="str">
        <f t="array" aca="1" ref="T36" ca="1">IF($AC36="Y",SUM(IF((INDIRECT("'"&amp;$AB36&amp;"'!J23:J200")=$E$1)*(INDIRECT("'"&amp;$AB36&amp;"'!I23:I200")="A")*(INDIRECT("'"&amp;$AB36&amp;"'!M23:M200")="L")*(INDIRECT("'"&amp;$AB36&amp;"'!E23:E200")=$AC36),1,0)/$Y36),"-")</f>
        <v>-</v>
      </c>
      <c r="U36" s="600" t="e">
        <f ca="1">VLOOKUP($B36,HiLo!$C$69:$AA$88,HiLo!Y$65-1,FALSE)</f>
        <v>#N/A</v>
      </c>
      <c r="V36" s="600" t="e">
        <f ca="1">VLOOKUP($B36,HiLo!$C$69:$AA$88,HiLo!Z$65-1,FALSE)</f>
        <v>#N/A</v>
      </c>
      <c r="W36" s="410" t="str">
        <f t="shared" ca="1" si="19"/>
        <v>-</v>
      </c>
      <c r="X36" s="653" t="str">
        <f t="shared" ca="1" si="20"/>
        <v>-</v>
      </c>
      <c r="Y36" s="707" t="str">
        <f t="array" aca="1" ref="Y36" ca="1">IF($AC36="Y",SUM(IF((INDIRECT("'"&amp;$AB36&amp;"'!J23:J200")=$E$1)*(INDIRECT("'"&amp;$AB36&amp;"'!I23:I200")="H")*(INDIRECT("'"&amp;$AB36&amp;"'!E23:E200")=$AC36)*(INDIRECT("'"&amp;$AB36&amp;"'!K23:K200")&lt;&gt;""),1,0)),"-")</f>
        <v>-</v>
      </c>
      <c r="Z36" s="707" t="str">
        <f t="array" aca="1" ref="Z36" ca="1">IF($AC36="Y",SUM(IF((INDIRECT("'"&amp;$AB36&amp;"'!J23:J200")=$E$1)*(INDIRECT("'"&amp;$AB36&amp;"'!I23:I200")="A")*(INDIRECT("'"&amp;$AB36&amp;"'!E23:E200")=$AC36)*(INDIRECT("'"&amp;$AB36&amp;"'!K23:K200")&lt;&gt;""),1,0)),"-")</f>
        <v>-</v>
      </c>
      <c r="AA36" s="707" t="str">
        <f t="shared" ca="1" si="21"/>
        <v>-</v>
      </c>
      <c r="AB36" s="230" t="str">
        <f ca="1">IF($AC36="Y",VLOOKUP(B36,Table!B:C,2,FALSE),"")</f>
        <v/>
      </c>
      <c r="AC36" s="230">
        <f ca="1">IF(B36="","",VLOOKUP(B36,Table!$B$38:$AO$59,Table!$AO$35-1,FALSE))</f>
        <v>0</v>
      </c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:59" ht="15" thickBot="1">
      <c r="A37" s="429">
        <f t="shared" si="13"/>
        <v>5</v>
      </c>
      <c r="B37" s="413" t="str">
        <f t="shared" ca="1" si="13"/>
        <v>Tokyo Verdy</v>
      </c>
      <c r="C37" s="681" t="str">
        <f t="array" aca="1" ref="C37" ca="1">IF($AC37="Y",SUM(IF((INDIRECT("'"&amp;$AB37&amp;"'!J23:J200")=$E$1)*(INDIRECT("'"&amp;$AB37&amp;"'!I23:I200")="H")*(INDIRECT("'"&amp;$AB37&amp;"'!M23:M200")="W")*(INDIRECT("'"&amp;$AB37&amp;"'!E23:E200")=$AC37),1,0)/$Y37),"-")</f>
        <v>-</v>
      </c>
      <c r="D37" s="406" t="str">
        <f t="array" aca="1" ref="D37" ca="1">IF($AC37="Y",SUM(IF((INDIRECT("'"&amp;$AB37&amp;"'!J23:J200")=$E$1)*(INDIRECT("'"&amp;$AB37&amp;"'!I23:I200")="H")*(INDIRECT("'"&amp;$AB37&amp;"'!M23:M200")="D")*(INDIRECT("'"&amp;$AB37&amp;"'!E23:E200")=$AC37),1,0)/$Y37),"-")</f>
        <v>-</v>
      </c>
      <c r="E37" s="406" t="str">
        <f t="array" aca="1" ref="E37" ca="1">IF($AC37="Y",SUM(IF((INDIRECT("'"&amp;$AB37&amp;"'!J23:J200")=$E$1)*(INDIRECT("'"&amp;$AB37&amp;"'!I23:I200")="H")*(INDIRECT("'"&amp;$AB37&amp;"'!M23:M200")="L")*(INDIRECT("'"&amp;$AB37&amp;"'!E23:E200")=$AC37),1,0)/$Y37),"-")</f>
        <v>-</v>
      </c>
      <c r="F37" s="408" t="e">
        <f ca="1">VLOOKUP($B37,HiLo!$C$69:$AA$88,HiLo!I$65-1,FALSE)</f>
        <v>#N/A</v>
      </c>
      <c r="G37" s="408" t="e">
        <f ca="1">VLOOKUP($B37,HiLo!$C$69:$AA$88,HiLo!J$65-1,FALSE)</f>
        <v>#N/A</v>
      </c>
      <c r="H37" s="410" t="str">
        <f t="shared" ca="1" si="14"/>
        <v>-</v>
      </c>
      <c r="I37" s="410" t="str">
        <f t="shared" ca="1" si="15"/>
        <v>-</v>
      </c>
      <c r="J37" s="602" t="str">
        <f t="shared" ca="1" si="16"/>
        <v>-</v>
      </c>
      <c r="K37" s="681" t="str">
        <f t="array" aca="1" ref="K37" ca="1">IF($AC37="Y",SUM(IF((INDIRECT("'"&amp;$AB37&amp;"'!J23:J200")=$E$1)*(INDIRECT("'"&amp;$AB37&amp;"'!I23:I200")="A")*(INDIRECT("'"&amp;$AB37&amp;"'!M23:M200")="W")*(INDIRECT("'"&amp;$AB37&amp;"'!E23:E200")=$AC37),1,0)/$Z37),"-")</f>
        <v>-</v>
      </c>
      <c r="L37" s="406" t="str">
        <f t="array" aca="1" ref="L37" ca="1">IF($AC37="Y",SUM(IF((INDIRECT("'"&amp;$AB37&amp;"'!J23:J200")=$E$1)*(INDIRECT("'"&amp;$AB37&amp;"'!I23:I200")="A")*(INDIRECT("'"&amp;$AB37&amp;"'!M23:M200")="D")*(INDIRECT("'"&amp;$AB37&amp;"'!E23:E200")=$AC37),1,0)/$Z37),"-")</f>
        <v>-</v>
      </c>
      <c r="M37" s="406" t="str">
        <f t="array" aca="1" ref="M37" ca="1">IF($AC37="Y",SUM(IF((INDIRECT("'"&amp;$AB37&amp;"'!J23:J200")=$E$1)*(INDIRECT("'"&amp;$AB37&amp;"'!I23:I200")="A")*(INDIRECT("'"&amp;$AB37&amp;"'!M23:M200")="L")*(INDIRECT("'"&amp;$AB37&amp;"'!E23:E200")=$AC37),1,0)/$Z37),"-")</f>
        <v>-</v>
      </c>
      <c r="N37" s="408" t="e">
        <f ca="1">VLOOKUP($B37,HiLo!$C$69:$AA$88,HiLo!Q$65-1,FALSE)</f>
        <v>#N/A</v>
      </c>
      <c r="O37" s="408" t="e">
        <f ca="1">VLOOKUP($B37,HiLo!$C$69:$AA$88,HiLo!R$65-1,FALSE)</f>
        <v>#N/A</v>
      </c>
      <c r="P37" s="410" t="str">
        <f t="shared" ca="1" si="17"/>
        <v>-</v>
      </c>
      <c r="Q37" s="410" t="str">
        <f t="shared" ca="1" si="18"/>
        <v>-</v>
      </c>
      <c r="R37" s="682" t="str">
        <f t="array" aca="1" ref="R37" ca="1">IF($AC37="Y",SUM(IF((INDIRECT("'"&amp;$AB37&amp;"'!J23:J200")=$E$1)*(INDIRECT("'"&amp;$AB37&amp;"'!M23:M200")="W")*(INDIRECT("'"&amp;$AB37&amp;"'!E23:E200")=$AC37),1,0)/$AA37),"-")</f>
        <v>-</v>
      </c>
      <c r="S37" s="705" t="str">
        <f t="array" aca="1" ref="S37" ca="1">IF($AC37="Y",SUM(IF((INDIRECT("'"&amp;$AB37&amp;"'!J23:J200")=$E$1)*(INDIRECT("'"&amp;$AB37&amp;"'!I23:I200")="A")*(INDIRECT("'"&amp;$AB37&amp;"'!M23:M200")="D")*(INDIRECT("'"&amp;$AB37&amp;"'!E23:E200")=$AC37),1,0)/$Y37),"-")</f>
        <v>-</v>
      </c>
      <c r="T37" s="705" t="str">
        <f t="array" aca="1" ref="T37" ca="1">IF($AC37="Y",SUM(IF((INDIRECT("'"&amp;$AB37&amp;"'!J23:J200")=$E$1)*(INDIRECT("'"&amp;$AB37&amp;"'!I23:I200")="A")*(INDIRECT("'"&amp;$AB37&amp;"'!M23:M200")="L")*(INDIRECT("'"&amp;$AB37&amp;"'!E23:E200")=$AC37),1,0)/$Y37),"-")</f>
        <v>-</v>
      </c>
      <c r="U37" s="600" t="e">
        <f ca="1">VLOOKUP($B37,HiLo!$C$69:$AA$88,HiLo!Y$65-1,FALSE)</f>
        <v>#N/A</v>
      </c>
      <c r="V37" s="600" t="e">
        <f ca="1">VLOOKUP($B37,HiLo!$C$69:$AA$88,HiLo!Z$65-1,FALSE)</f>
        <v>#N/A</v>
      </c>
      <c r="W37" s="410" t="str">
        <f t="shared" ca="1" si="19"/>
        <v>-</v>
      </c>
      <c r="X37" s="653" t="str">
        <f t="shared" ca="1" si="20"/>
        <v>-</v>
      </c>
      <c r="Y37" s="707" t="str">
        <f t="array" aca="1" ref="Y37" ca="1">IF($AC37="Y",SUM(IF((INDIRECT("'"&amp;$AB37&amp;"'!J23:J200")=$E$1)*(INDIRECT("'"&amp;$AB37&amp;"'!I23:I200")="H")*(INDIRECT("'"&amp;$AB37&amp;"'!E23:E200")=$AC37)*(INDIRECT("'"&amp;$AB37&amp;"'!K23:K200")&lt;&gt;""),1,0)),"-")</f>
        <v>-</v>
      </c>
      <c r="Z37" s="707" t="str">
        <f t="array" aca="1" ref="Z37" ca="1">IF($AC37="Y",SUM(IF((INDIRECT("'"&amp;$AB37&amp;"'!J23:J200")=$E$1)*(INDIRECT("'"&amp;$AB37&amp;"'!I23:I200")="A")*(INDIRECT("'"&amp;$AB37&amp;"'!E23:E200")=$AC37)*(INDIRECT("'"&amp;$AB37&amp;"'!K23:K200")&lt;&gt;""),1,0)),"-")</f>
        <v>-</v>
      </c>
      <c r="AA37" s="707" t="str">
        <f t="shared" ca="1" si="21"/>
        <v>-</v>
      </c>
      <c r="AB37" s="230" t="str">
        <f ca="1">IF($AC37="Y",VLOOKUP(B37,Table!B:C,2,FALSE),"")</f>
        <v/>
      </c>
      <c r="AC37" s="230">
        <f ca="1">IF(B37="","",VLOOKUP(B37,Table!$B$38:$AO$59,Table!$AO$35-1,FALSE))</f>
        <v>0</v>
      </c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:59" ht="15" thickBot="1">
      <c r="A38" s="429">
        <f t="shared" si="13"/>
        <v>6</v>
      </c>
      <c r="B38" s="413" t="str">
        <f t="shared" ca="1" si="13"/>
        <v>JEF United</v>
      </c>
      <c r="C38" s="681" t="str">
        <f t="array" aca="1" ref="C38" ca="1">IF($AC38="Y",SUM(IF((INDIRECT("'"&amp;$AB38&amp;"'!J23:J200")=$E$1)*(INDIRECT("'"&amp;$AB38&amp;"'!I23:I200")="H")*(INDIRECT("'"&amp;$AB38&amp;"'!M23:M200")="W")*(INDIRECT("'"&amp;$AB38&amp;"'!E23:E200")=$AC38),1,0)/$Y38),"-")</f>
        <v>-</v>
      </c>
      <c r="D38" s="406" t="str">
        <f t="array" aca="1" ref="D38" ca="1">IF($AC38="Y",SUM(IF((INDIRECT("'"&amp;$AB38&amp;"'!J23:J200")=$E$1)*(INDIRECT("'"&amp;$AB38&amp;"'!I23:I200")="H")*(INDIRECT("'"&amp;$AB38&amp;"'!M23:M200")="D")*(INDIRECT("'"&amp;$AB38&amp;"'!E23:E200")=$AC38),1,0)/$Y38),"-")</f>
        <v>-</v>
      </c>
      <c r="E38" s="406" t="str">
        <f t="array" aca="1" ref="E38" ca="1">IF($AC38="Y",SUM(IF((INDIRECT("'"&amp;$AB38&amp;"'!J23:J200")=$E$1)*(INDIRECT("'"&amp;$AB38&amp;"'!I23:I200")="H")*(INDIRECT("'"&amp;$AB38&amp;"'!M23:M200")="L")*(INDIRECT("'"&amp;$AB38&amp;"'!E23:E200")=$AC38),1,0)/$Y38),"-")</f>
        <v>-</v>
      </c>
      <c r="F38" s="408" t="e">
        <f ca="1">VLOOKUP($B38,HiLo!$C$69:$AA$88,HiLo!I$65-1,FALSE)</f>
        <v>#N/A</v>
      </c>
      <c r="G38" s="408" t="e">
        <f ca="1">VLOOKUP($B38,HiLo!$C$69:$AA$88,HiLo!J$65-1,FALSE)</f>
        <v>#N/A</v>
      </c>
      <c r="H38" s="410" t="str">
        <f t="shared" ca="1" si="14"/>
        <v>-</v>
      </c>
      <c r="I38" s="410" t="str">
        <f t="shared" ca="1" si="15"/>
        <v>-</v>
      </c>
      <c r="J38" s="602" t="str">
        <f t="shared" ca="1" si="16"/>
        <v>-</v>
      </c>
      <c r="K38" s="681" t="str">
        <f t="array" aca="1" ref="K38" ca="1">IF($AC38="Y",SUM(IF((INDIRECT("'"&amp;$AB38&amp;"'!J23:J200")=$E$1)*(INDIRECT("'"&amp;$AB38&amp;"'!I23:I200")="A")*(INDIRECT("'"&amp;$AB38&amp;"'!M23:M200")="W")*(INDIRECT("'"&amp;$AB38&amp;"'!E23:E200")=$AC38),1,0)/$Z38),"-")</f>
        <v>-</v>
      </c>
      <c r="L38" s="406" t="str">
        <f t="array" aca="1" ref="L38" ca="1">IF($AC38="Y",SUM(IF((INDIRECT("'"&amp;$AB38&amp;"'!J23:J200")=$E$1)*(INDIRECT("'"&amp;$AB38&amp;"'!I23:I200")="A")*(INDIRECT("'"&amp;$AB38&amp;"'!M23:M200")="D")*(INDIRECT("'"&amp;$AB38&amp;"'!E23:E200")=$AC38),1,0)/$Z38),"-")</f>
        <v>-</v>
      </c>
      <c r="M38" s="406" t="str">
        <f t="array" aca="1" ref="M38" ca="1">IF($AC38="Y",SUM(IF((INDIRECT("'"&amp;$AB38&amp;"'!J23:J200")=$E$1)*(INDIRECT("'"&amp;$AB38&amp;"'!I23:I200")="A")*(INDIRECT("'"&amp;$AB38&amp;"'!M23:M200")="L")*(INDIRECT("'"&amp;$AB38&amp;"'!E23:E200")=$AC38),1,0)/$Z38),"-")</f>
        <v>-</v>
      </c>
      <c r="N38" s="408" t="e">
        <f ca="1">VLOOKUP($B38,HiLo!$C$69:$AA$88,HiLo!Q$65-1,FALSE)</f>
        <v>#N/A</v>
      </c>
      <c r="O38" s="408" t="e">
        <f ca="1">VLOOKUP($B38,HiLo!$C$69:$AA$88,HiLo!R$65-1,FALSE)</f>
        <v>#N/A</v>
      </c>
      <c r="P38" s="410" t="str">
        <f t="shared" ca="1" si="17"/>
        <v>-</v>
      </c>
      <c r="Q38" s="410" t="str">
        <f t="shared" ca="1" si="18"/>
        <v>-</v>
      </c>
      <c r="R38" s="682" t="str">
        <f t="array" aca="1" ref="R38" ca="1">IF($AC38="Y",SUM(IF((INDIRECT("'"&amp;$AB38&amp;"'!J23:J200")=$E$1)*(INDIRECT("'"&amp;$AB38&amp;"'!M23:M200")="W")*(INDIRECT("'"&amp;$AB38&amp;"'!E23:E200")=$AC38),1,0)/$AA38),"-")</f>
        <v>-</v>
      </c>
      <c r="S38" s="705" t="str">
        <f t="array" aca="1" ref="S38" ca="1">IF($AC38="Y",SUM(IF((INDIRECT("'"&amp;$AB38&amp;"'!J23:J200")=$E$1)*(INDIRECT("'"&amp;$AB38&amp;"'!I23:I200")="A")*(INDIRECT("'"&amp;$AB38&amp;"'!M23:M200")="D")*(INDIRECT("'"&amp;$AB38&amp;"'!E23:E200")=$AC38),1,0)/$Y38),"-")</f>
        <v>-</v>
      </c>
      <c r="T38" s="705" t="str">
        <f t="array" aca="1" ref="T38" ca="1">IF($AC38="Y",SUM(IF((INDIRECT("'"&amp;$AB38&amp;"'!J23:J200")=$E$1)*(INDIRECT("'"&amp;$AB38&amp;"'!I23:I200")="A")*(INDIRECT("'"&amp;$AB38&amp;"'!M23:M200")="L")*(INDIRECT("'"&amp;$AB38&amp;"'!E23:E200")=$AC38),1,0)/$Y38),"-")</f>
        <v>-</v>
      </c>
      <c r="U38" s="600" t="e">
        <f ca="1">VLOOKUP($B38,HiLo!$C$69:$AA$88,HiLo!Y$65-1,FALSE)</f>
        <v>#N/A</v>
      </c>
      <c r="V38" s="600" t="e">
        <f ca="1">VLOOKUP($B38,HiLo!$C$69:$AA$88,HiLo!Z$65-1,FALSE)</f>
        <v>#N/A</v>
      </c>
      <c r="W38" s="410" t="str">
        <f t="shared" ca="1" si="19"/>
        <v>-</v>
      </c>
      <c r="X38" s="653" t="str">
        <f t="shared" ca="1" si="20"/>
        <v>-</v>
      </c>
      <c r="Y38" s="707" t="str">
        <f t="array" aca="1" ref="Y38" ca="1">IF($AC38="Y",SUM(IF((INDIRECT("'"&amp;$AB38&amp;"'!J23:J200")=$E$1)*(INDIRECT("'"&amp;$AB38&amp;"'!I23:I200")="H")*(INDIRECT("'"&amp;$AB38&amp;"'!E23:E200")=$AC38)*(INDIRECT("'"&amp;$AB38&amp;"'!K23:K200")&lt;&gt;""),1,0)),"-")</f>
        <v>-</v>
      </c>
      <c r="Z38" s="707" t="str">
        <f t="array" aca="1" ref="Z38" ca="1">IF($AC38="Y",SUM(IF((INDIRECT("'"&amp;$AB38&amp;"'!J23:J200")=$E$1)*(INDIRECT("'"&amp;$AB38&amp;"'!I23:I200")="A")*(INDIRECT("'"&amp;$AB38&amp;"'!E23:E200")=$AC38)*(INDIRECT("'"&amp;$AB38&amp;"'!K23:K200")&lt;&gt;""),1,0)),"-")</f>
        <v>-</v>
      </c>
      <c r="AA38" s="707" t="str">
        <f t="shared" ca="1" si="21"/>
        <v>-</v>
      </c>
      <c r="AB38" s="230" t="str">
        <f ca="1">IF($AC38="Y",VLOOKUP(B38,Table!B:C,2,FALSE),"")</f>
        <v/>
      </c>
      <c r="AC38" s="230">
        <f ca="1">IF(B38="","",VLOOKUP(B38,Table!$B$38:$AO$59,Table!$AO$35-1,FALSE))</f>
        <v>0</v>
      </c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1:59" ht="15" thickBot="1">
      <c r="A39" s="429">
        <f t="shared" si="13"/>
        <v>7</v>
      </c>
      <c r="B39" s="413" t="str">
        <f t="shared" ca="1" si="13"/>
        <v>Tokushima Vortis</v>
      </c>
      <c r="C39" s="681" t="str">
        <f t="array" aca="1" ref="C39" ca="1">IF($AC39="Y",SUM(IF((INDIRECT("'"&amp;$AB39&amp;"'!J23:J200")=$E$1)*(INDIRECT("'"&amp;$AB39&amp;"'!I23:I200")="H")*(INDIRECT("'"&amp;$AB39&amp;"'!M23:M200")="W")*(INDIRECT("'"&amp;$AB39&amp;"'!E23:E200")=$AC39),1,0)/$Y39),"-")</f>
        <v>-</v>
      </c>
      <c r="D39" s="406" t="str">
        <f t="array" aca="1" ref="D39" ca="1">IF($AC39="Y",SUM(IF((INDIRECT("'"&amp;$AB39&amp;"'!J23:J200")=$E$1)*(INDIRECT("'"&amp;$AB39&amp;"'!I23:I200")="H")*(INDIRECT("'"&amp;$AB39&amp;"'!M23:M200")="D")*(INDIRECT("'"&amp;$AB39&amp;"'!E23:E200")=$AC39),1,0)/$Y39),"-")</f>
        <v>-</v>
      </c>
      <c r="E39" s="406" t="str">
        <f t="array" aca="1" ref="E39" ca="1">IF($AC39="Y",SUM(IF((INDIRECT("'"&amp;$AB39&amp;"'!J23:J200")=$E$1)*(INDIRECT("'"&amp;$AB39&amp;"'!I23:I200")="H")*(INDIRECT("'"&amp;$AB39&amp;"'!M23:M200")="L")*(INDIRECT("'"&amp;$AB39&amp;"'!E23:E200")=$AC39),1,0)/$Y39),"-")</f>
        <v>-</v>
      </c>
      <c r="F39" s="408" t="e">
        <f ca="1">VLOOKUP($B39,HiLo!$C$69:$AA$88,HiLo!I$65-1,FALSE)</f>
        <v>#N/A</v>
      </c>
      <c r="G39" s="408" t="e">
        <f ca="1">VLOOKUP($B39,HiLo!$C$69:$AA$88,HiLo!J$65-1,FALSE)</f>
        <v>#N/A</v>
      </c>
      <c r="H39" s="410" t="str">
        <f t="shared" ca="1" si="14"/>
        <v>-</v>
      </c>
      <c r="I39" s="410" t="str">
        <f t="shared" ca="1" si="15"/>
        <v>-</v>
      </c>
      <c r="J39" s="602" t="str">
        <f t="shared" ca="1" si="16"/>
        <v>-</v>
      </c>
      <c r="K39" s="681" t="str">
        <f t="array" aca="1" ref="K39" ca="1">IF($AC39="Y",SUM(IF((INDIRECT("'"&amp;$AB39&amp;"'!J23:J200")=$E$1)*(INDIRECT("'"&amp;$AB39&amp;"'!I23:I200")="A")*(INDIRECT("'"&amp;$AB39&amp;"'!M23:M200")="W")*(INDIRECT("'"&amp;$AB39&amp;"'!E23:E200")=$AC39),1,0)/$Z39),"-")</f>
        <v>-</v>
      </c>
      <c r="L39" s="406" t="str">
        <f t="array" aca="1" ref="L39" ca="1">IF($AC39="Y",SUM(IF((INDIRECT("'"&amp;$AB39&amp;"'!J23:J200")=$E$1)*(INDIRECT("'"&amp;$AB39&amp;"'!I23:I200")="A")*(INDIRECT("'"&amp;$AB39&amp;"'!M23:M200")="D")*(INDIRECT("'"&amp;$AB39&amp;"'!E23:E200")=$AC39),1,0)/$Z39),"-")</f>
        <v>-</v>
      </c>
      <c r="M39" s="406" t="str">
        <f t="array" aca="1" ref="M39" ca="1">IF($AC39="Y",SUM(IF((INDIRECT("'"&amp;$AB39&amp;"'!J23:J200")=$E$1)*(INDIRECT("'"&amp;$AB39&amp;"'!I23:I200")="A")*(INDIRECT("'"&amp;$AB39&amp;"'!M23:M200")="L")*(INDIRECT("'"&amp;$AB39&amp;"'!E23:E200")=$AC39),1,0)/$Z39),"-")</f>
        <v>-</v>
      </c>
      <c r="N39" s="408" t="e">
        <f ca="1">VLOOKUP($B39,HiLo!$C$69:$AA$88,HiLo!Q$65-1,FALSE)</f>
        <v>#N/A</v>
      </c>
      <c r="O39" s="408" t="e">
        <f ca="1">VLOOKUP($B39,HiLo!$C$69:$AA$88,HiLo!R$65-1,FALSE)</f>
        <v>#N/A</v>
      </c>
      <c r="P39" s="410" t="str">
        <f t="shared" ca="1" si="17"/>
        <v>-</v>
      </c>
      <c r="Q39" s="410" t="str">
        <f t="shared" ca="1" si="18"/>
        <v>-</v>
      </c>
      <c r="R39" s="682" t="str">
        <f t="array" aca="1" ref="R39" ca="1">IF($AC39="Y",SUM(IF((INDIRECT("'"&amp;$AB39&amp;"'!J23:J200")=$E$1)*(INDIRECT("'"&amp;$AB39&amp;"'!M23:M200")="W")*(INDIRECT("'"&amp;$AB39&amp;"'!E23:E200")=$AC39),1,0)/$AA39),"-")</f>
        <v>-</v>
      </c>
      <c r="S39" s="705" t="str">
        <f t="array" aca="1" ref="S39" ca="1">IF($AC39="Y",SUM(IF((INDIRECT("'"&amp;$AB39&amp;"'!J23:J200")=$E$1)*(INDIRECT("'"&amp;$AB39&amp;"'!I23:I200")="A")*(INDIRECT("'"&amp;$AB39&amp;"'!M23:M200")="D")*(INDIRECT("'"&amp;$AB39&amp;"'!E23:E200")=$AC39),1,0)/$Y39),"-")</f>
        <v>-</v>
      </c>
      <c r="T39" s="705" t="str">
        <f t="array" aca="1" ref="T39" ca="1">IF($AC39="Y",SUM(IF((INDIRECT("'"&amp;$AB39&amp;"'!J23:J200")=$E$1)*(INDIRECT("'"&amp;$AB39&amp;"'!I23:I200")="A")*(INDIRECT("'"&amp;$AB39&amp;"'!M23:M200")="L")*(INDIRECT("'"&amp;$AB39&amp;"'!E23:E200")=$AC39),1,0)/$Y39),"-")</f>
        <v>-</v>
      </c>
      <c r="U39" s="600" t="e">
        <f ca="1">VLOOKUP($B39,HiLo!$C$69:$AA$88,HiLo!Y$65-1,FALSE)</f>
        <v>#N/A</v>
      </c>
      <c r="V39" s="600" t="e">
        <f ca="1">VLOOKUP($B39,HiLo!$C$69:$AA$88,HiLo!Z$65-1,FALSE)</f>
        <v>#N/A</v>
      </c>
      <c r="W39" s="410" t="str">
        <f t="shared" ca="1" si="19"/>
        <v>-</v>
      </c>
      <c r="X39" s="653" t="str">
        <f t="shared" ca="1" si="20"/>
        <v>-</v>
      </c>
      <c r="Y39" s="707" t="str">
        <f t="array" aca="1" ref="Y39" ca="1">IF($AC39="Y",SUM(IF((INDIRECT("'"&amp;$AB39&amp;"'!J23:J200")=$E$1)*(INDIRECT("'"&amp;$AB39&amp;"'!I23:I200")="H")*(INDIRECT("'"&amp;$AB39&amp;"'!E23:E200")=$AC39)*(INDIRECT("'"&amp;$AB39&amp;"'!K23:K200")&lt;&gt;""),1,0)),"-")</f>
        <v>-</v>
      </c>
      <c r="Z39" s="707" t="str">
        <f t="array" aca="1" ref="Z39" ca="1">IF($AC39="Y",SUM(IF((INDIRECT("'"&amp;$AB39&amp;"'!J23:J200")=$E$1)*(INDIRECT("'"&amp;$AB39&amp;"'!I23:I200")="A")*(INDIRECT("'"&amp;$AB39&amp;"'!E23:E200")=$AC39)*(INDIRECT("'"&amp;$AB39&amp;"'!K23:K200")&lt;&gt;""),1,0)),"-")</f>
        <v>-</v>
      </c>
      <c r="AA39" s="707" t="str">
        <f t="shared" ca="1" si="21"/>
        <v>-</v>
      </c>
      <c r="AB39" s="230" t="str">
        <f ca="1">IF($AC39="Y",VLOOKUP(B39,Table!B:C,2,FALSE),"")</f>
        <v/>
      </c>
      <c r="AC39" s="230">
        <f ca="1">IF(B39="","",VLOOKUP(B39,Table!$B$38:$AO$59,Table!$AO$35-1,FALSE))</f>
        <v>0</v>
      </c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1:59" ht="15" thickBot="1">
      <c r="A40" s="429">
        <f t="shared" si="13"/>
        <v>8</v>
      </c>
      <c r="B40" s="413" t="str">
        <f t="shared" ca="1" si="13"/>
        <v>Matsumoto Yamaga</v>
      </c>
      <c r="C40" s="681" t="str">
        <f t="array" aca="1" ref="C40" ca="1">IF($AC40="Y",SUM(IF((INDIRECT("'"&amp;$AB40&amp;"'!J23:J200")=$E$1)*(INDIRECT("'"&amp;$AB40&amp;"'!I23:I200")="H")*(INDIRECT("'"&amp;$AB40&amp;"'!M23:M200")="W")*(INDIRECT("'"&amp;$AB40&amp;"'!E23:E200")=$AC40),1,0)/$Y40),"-")</f>
        <v>-</v>
      </c>
      <c r="D40" s="406" t="str">
        <f t="array" aca="1" ref="D40" ca="1">IF($AC40="Y",SUM(IF((INDIRECT("'"&amp;$AB40&amp;"'!J23:J200")=$E$1)*(INDIRECT("'"&amp;$AB40&amp;"'!I23:I200")="H")*(INDIRECT("'"&amp;$AB40&amp;"'!M23:M200")="D")*(INDIRECT("'"&amp;$AB40&amp;"'!E23:E200")=$AC40),1,0)/$Y40),"-")</f>
        <v>-</v>
      </c>
      <c r="E40" s="406" t="str">
        <f t="array" aca="1" ref="E40" ca="1">IF($AC40="Y",SUM(IF((INDIRECT("'"&amp;$AB40&amp;"'!J23:J200")=$E$1)*(INDIRECT("'"&amp;$AB40&amp;"'!I23:I200")="H")*(INDIRECT("'"&amp;$AB40&amp;"'!M23:M200")="L")*(INDIRECT("'"&amp;$AB40&amp;"'!E23:E200")=$AC40),1,0)/$Y40),"-")</f>
        <v>-</v>
      </c>
      <c r="F40" s="408" t="e">
        <f ca="1">VLOOKUP($B40,HiLo!$C$69:$AA$88,HiLo!I$65-1,FALSE)</f>
        <v>#N/A</v>
      </c>
      <c r="G40" s="408" t="e">
        <f ca="1">VLOOKUP($B40,HiLo!$C$69:$AA$88,HiLo!J$65-1,FALSE)</f>
        <v>#N/A</v>
      </c>
      <c r="H40" s="410" t="str">
        <f t="shared" ca="1" si="14"/>
        <v>-</v>
      </c>
      <c r="I40" s="410" t="str">
        <f t="shared" ca="1" si="15"/>
        <v>-</v>
      </c>
      <c r="J40" s="602" t="str">
        <f t="shared" ca="1" si="16"/>
        <v>-</v>
      </c>
      <c r="K40" s="681" t="str">
        <f t="array" aca="1" ref="K40" ca="1">IF($AC40="Y",SUM(IF((INDIRECT("'"&amp;$AB40&amp;"'!J23:J200")=$E$1)*(INDIRECT("'"&amp;$AB40&amp;"'!I23:I200")="A")*(INDIRECT("'"&amp;$AB40&amp;"'!M23:M200")="W")*(INDIRECT("'"&amp;$AB40&amp;"'!E23:E200")=$AC40),1,0)/$Z40),"-")</f>
        <v>-</v>
      </c>
      <c r="L40" s="406" t="str">
        <f t="array" aca="1" ref="L40" ca="1">IF($AC40="Y",SUM(IF((INDIRECT("'"&amp;$AB40&amp;"'!J23:J200")=$E$1)*(INDIRECT("'"&amp;$AB40&amp;"'!I23:I200")="A")*(INDIRECT("'"&amp;$AB40&amp;"'!M23:M200")="D")*(INDIRECT("'"&amp;$AB40&amp;"'!E23:E200")=$AC40),1,0)/$Z40),"-")</f>
        <v>-</v>
      </c>
      <c r="M40" s="406" t="str">
        <f t="array" aca="1" ref="M40" ca="1">IF($AC40="Y",SUM(IF((INDIRECT("'"&amp;$AB40&amp;"'!J23:J200")=$E$1)*(INDIRECT("'"&amp;$AB40&amp;"'!I23:I200")="A")*(INDIRECT("'"&amp;$AB40&amp;"'!M23:M200")="L")*(INDIRECT("'"&amp;$AB40&amp;"'!E23:E200")=$AC40),1,0)/$Z40),"-")</f>
        <v>-</v>
      </c>
      <c r="N40" s="408" t="e">
        <f ca="1">VLOOKUP($B40,HiLo!$C$69:$AA$88,HiLo!Q$65-1,FALSE)</f>
        <v>#N/A</v>
      </c>
      <c r="O40" s="408" t="e">
        <f ca="1">VLOOKUP($B40,HiLo!$C$69:$AA$88,HiLo!R$65-1,FALSE)</f>
        <v>#N/A</v>
      </c>
      <c r="P40" s="410" t="str">
        <f t="shared" ca="1" si="17"/>
        <v>-</v>
      </c>
      <c r="Q40" s="410" t="str">
        <f t="shared" ca="1" si="18"/>
        <v>-</v>
      </c>
      <c r="R40" s="682" t="str">
        <f t="array" aca="1" ref="R40" ca="1">IF($AC40="Y",SUM(IF((INDIRECT("'"&amp;$AB40&amp;"'!J23:J200")=$E$1)*(INDIRECT("'"&amp;$AB40&amp;"'!M23:M200")="W")*(INDIRECT("'"&amp;$AB40&amp;"'!E23:E200")=$AC40),1,0)/$AA40),"-")</f>
        <v>-</v>
      </c>
      <c r="S40" s="705" t="str">
        <f t="array" aca="1" ref="S40" ca="1">IF($AC40="Y",SUM(IF((INDIRECT("'"&amp;$AB40&amp;"'!J23:J200")=$E$1)*(INDIRECT("'"&amp;$AB40&amp;"'!I23:I200")="A")*(INDIRECT("'"&amp;$AB40&amp;"'!M23:M200")="D")*(INDIRECT("'"&amp;$AB40&amp;"'!E23:E200")=$AC40),1,0)/$Y40),"-")</f>
        <v>-</v>
      </c>
      <c r="T40" s="705" t="str">
        <f t="array" aca="1" ref="T40" ca="1">IF($AC40="Y",SUM(IF((INDIRECT("'"&amp;$AB40&amp;"'!J23:J200")=$E$1)*(INDIRECT("'"&amp;$AB40&amp;"'!I23:I200")="A")*(INDIRECT("'"&amp;$AB40&amp;"'!M23:M200")="L")*(INDIRECT("'"&amp;$AB40&amp;"'!E23:E200")=$AC40),1,0)/$Y40),"-")</f>
        <v>-</v>
      </c>
      <c r="U40" s="600" t="e">
        <f ca="1">VLOOKUP($B40,HiLo!$C$69:$AA$88,HiLo!Y$65-1,FALSE)</f>
        <v>#N/A</v>
      </c>
      <c r="V40" s="600" t="e">
        <f ca="1">VLOOKUP($B40,HiLo!$C$69:$AA$88,HiLo!Z$65-1,FALSE)</f>
        <v>#N/A</v>
      </c>
      <c r="W40" s="410" t="str">
        <f t="shared" ca="1" si="19"/>
        <v>-</v>
      </c>
      <c r="X40" s="653" t="str">
        <f t="shared" ca="1" si="20"/>
        <v>-</v>
      </c>
      <c r="Y40" s="707" t="str">
        <f t="array" aca="1" ref="Y40" ca="1">IF($AC40="Y",SUM(IF((INDIRECT("'"&amp;$AB40&amp;"'!J23:J200")=$E$1)*(INDIRECT("'"&amp;$AB40&amp;"'!I23:I200")="H")*(INDIRECT("'"&amp;$AB40&amp;"'!E23:E200")=$AC40)*(INDIRECT("'"&amp;$AB40&amp;"'!K23:K200")&lt;&gt;""),1,0)),"-")</f>
        <v>-</v>
      </c>
      <c r="Z40" s="707" t="str">
        <f t="array" aca="1" ref="Z40" ca="1">IF($AC40="Y",SUM(IF((INDIRECT("'"&amp;$AB40&amp;"'!J23:J200")=$E$1)*(INDIRECT("'"&amp;$AB40&amp;"'!I23:I200")="A")*(INDIRECT("'"&amp;$AB40&amp;"'!E23:E200")=$AC40)*(INDIRECT("'"&amp;$AB40&amp;"'!K23:K200")&lt;&gt;""),1,0)),"-")</f>
        <v>-</v>
      </c>
      <c r="AA40" s="707" t="str">
        <f t="shared" ca="1" si="21"/>
        <v>-</v>
      </c>
      <c r="AB40" s="230" t="str">
        <f ca="1">IF($AC40="Y",VLOOKUP(B40,Table!B:C,2,FALSE),"")</f>
        <v/>
      </c>
      <c r="AC40" s="230">
        <f ca="1">IF(B40="","",VLOOKUP(B40,Table!$B$38:$AO$59,Table!$AO$35-1,FALSE))</f>
        <v>0</v>
      </c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1:59" ht="15" thickBot="1">
      <c r="A41" s="429">
        <f t="shared" si="13"/>
        <v>9</v>
      </c>
      <c r="B41" s="413" t="str">
        <f t="shared" ca="1" si="13"/>
        <v>Oita Trinita</v>
      </c>
      <c r="C41" s="681" t="str">
        <f t="array" aca="1" ref="C41" ca="1">IF($AC41="Y",SUM(IF((INDIRECT("'"&amp;$AB41&amp;"'!J23:J200")=$E$1)*(INDIRECT("'"&amp;$AB41&amp;"'!I23:I200")="H")*(INDIRECT("'"&amp;$AB41&amp;"'!M23:M200")="W")*(INDIRECT("'"&amp;$AB41&amp;"'!E23:E200")=$AC41),1,0)/$Y41),"-")</f>
        <v>-</v>
      </c>
      <c r="D41" s="406" t="str">
        <f t="array" aca="1" ref="D41" ca="1">IF($AC41="Y",SUM(IF((INDIRECT("'"&amp;$AB41&amp;"'!J23:J200")=$E$1)*(INDIRECT("'"&amp;$AB41&amp;"'!I23:I200")="H")*(INDIRECT("'"&amp;$AB41&amp;"'!M23:M200")="D")*(INDIRECT("'"&amp;$AB41&amp;"'!E23:E200")=$AC41),1,0)/$Y41),"-")</f>
        <v>-</v>
      </c>
      <c r="E41" s="406" t="str">
        <f t="array" aca="1" ref="E41" ca="1">IF($AC41="Y",SUM(IF((INDIRECT("'"&amp;$AB41&amp;"'!J23:J200")=$E$1)*(INDIRECT("'"&amp;$AB41&amp;"'!I23:I200")="H")*(INDIRECT("'"&amp;$AB41&amp;"'!M23:M200")="L")*(INDIRECT("'"&amp;$AB41&amp;"'!E23:E200")=$AC41),1,0)/$Y41),"-")</f>
        <v>-</v>
      </c>
      <c r="F41" s="408" t="e">
        <f ca="1">VLOOKUP($B41,HiLo!$C$69:$AA$88,HiLo!I$65-1,FALSE)</f>
        <v>#N/A</v>
      </c>
      <c r="G41" s="408" t="e">
        <f ca="1">VLOOKUP($B41,HiLo!$C$69:$AA$88,HiLo!J$65-1,FALSE)</f>
        <v>#N/A</v>
      </c>
      <c r="H41" s="410" t="str">
        <f t="shared" ca="1" si="14"/>
        <v>-</v>
      </c>
      <c r="I41" s="410" t="str">
        <f t="shared" ca="1" si="15"/>
        <v>-</v>
      </c>
      <c r="J41" s="602" t="str">
        <f t="shared" ca="1" si="16"/>
        <v>-</v>
      </c>
      <c r="K41" s="681" t="str">
        <f t="array" aca="1" ref="K41" ca="1">IF($AC41="Y",SUM(IF((INDIRECT("'"&amp;$AB41&amp;"'!J23:J200")=$E$1)*(INDIRECT("'"&amp;$AB41&amp;"'!I23:I200")="A")*(INDIRECT("'"&amp;$AB41&amp;"'!M23:M200")="W")*(INDIRECT("'"&amp;$AB41&amp;"'!E23:E200")=$AC41),1,0)/$Z41),"-")</f>
        <v>-</v>
      </c>
      <c r="L41" s="406" t="str">
        <f t="array" aca="1" ref="L41" ca="1">IF($AC41="Y",SUM(IF((INDIRECT("'"&amp;$AB41&amp;"'!J23:J200")=$E$1)*(INDIRECT("'"&amp;$AB41&amp;"'!I23:I200")="A")*(INDIRECT("'"&amp;$AB41&amp;"'!M23:M200")="D")*(INDIRECT("'"&amp;$AB41&amp;"'!E23:E200")=$AC41),1,0)/$Z41),"-")</f>
        <v>-</v>
      </c>
      <c r="M41" s="406" t="str">
        <f t="array" aca="1" ref="M41" ca="1">IF($AC41="Y",SUM(IF((INDIRECT("'"&amp;$AB41&amp;"'!J23:J200")=$E$1)*(INDIRECT("'"&amp;$AB41&amp;"'!I23:I200")="A")*(INDIRECT("'"&amp;$AB41&amp;"'!M23:M200")="L")*(INDIRECT("'"&amp;$AB41&amp;"'!E23:E200")=$AC41),1,0)/$Z41),"-")</f>
        <v>-</v>
      </c>
      <c r="N41" s="408" t="e">
        <f ca="1">VLOOKUP($B41,HiLo!$C$69:$AA$88,HiLo!Q$65-1,FALSE)</f>
        <v>#N/A</v>
      </c>
      <c r="O41" s="408" t="e">
        <f ca="1">VLOOKUP($B41,HiLo!$C$69:$AA$88,HiLo!R$65-1,FALSE)</f>
        <v>#N/A</v>
      </c>
      <c r="P41" s="410" t="str">
        <f t="shared" ca="1" si="17"/>
        <v>-</v>
      </c>
      <c r="Q41" s="410" t="str">
        <f t="shared" ca="1" si="18"/>
        <v>-</v>
      </c>
      <c r="R41" s="682" t="str">
        <f t="array" aca="1" ref="R41" ca="1">IF($AC41="Y",SUM(IF((INDIRECT("'"&amp;$AB41&amp;"'!J23:J200")=$E$1)*(INDIRECT("'"&amp;$AB41&amp;"'!M23:M200")="W")*(INDIRECT("'"&amp;$AB41&amp;"'!E23:E200")=$AC41),1,0)/$AA41),"-")</f>
        <v>-</v>
      </c>
      <c r="S41" s="705" t="str">
        <f t="array" aca="1" ref="S41" ca="1">IF($AC41="Y",SUM(IF((INDIRECT("'"&amp;$AB41&amp;"'!J23:J200")=$E$1)*(INDIRECT("'"&amp;$AB41&amp;"'!I23:I200")="A")*(INDIRECT("'"&amp;$AB41&amp;"'!M23:M200")="D")*(INDIRECT("'"&amp;$AB41&amp;"'!E23:E200")=$AC41),1,0)/$Y41),"-")</f>
        <v>-</v>
      </c>
      <c r="T41" s="705" t="str">
        <f t="array" aca="1" ref="T41" ca="1">IF($AC41="Y",SUM(IF((INDIRECT("'"&amp;$AB41&amp;"'!J23:J200")=$E$1)*(INDIRECT("'"&amp;$AB41&amp;"'!I23:I200")="A")*(INDIRECT("'"&amp;$AB41&amp;"'!M23:M200")="L")*(INDIRECT("'"&amp;$AB41&amp;"'!E23:E200")=$AC41),1,0)/$Y41),"-")</f>
        <v>-</v>
      </c>
      <c r="U41" s="600" t="e">
        <f ca="1">VLOOKUP($B41,HiLo!$C$69:$AA$88,HiLo!Y$65-1,FALSE)</f>
        <v>#N/A</v>
      </c>
      <c r="V41" s="600" t="e">
        <f ca="1">VLOOKUP($B41,HiLo!$C$69:$AA$88,HiLo!Z$65-1,FALSE)</f>
        <v>#N/A</v>
      </c>
      <c r="W41" s="410" t="str">
        <f t="shared" ca="1" si="19"/>
        <v>-</v>
      </c>
      <c r="X41" s="653" t="str">
        <f t="shared" ca="1" si="20"/>
        <v>-</v>
      </c>
      <c r="Y41" s="707" t="str">
        <f t="array" aca="1" ref="Y41" ca="1">IF($AC41="Y",SUM(IF((INDIRECT("'"&amp;$AB41&amp;"'!J23:J200")=$E$1)*(INDIRECT("'"&amp;$AB41&amp;"'!I23:I200")="H")*(INDIRECT("'"&amp;$AB41&amp;"'!E23:E200")=$AC41)*(INDIRECT("'"&amp;$AB41&amp;"'!K23:K200")&lt;&gt;""),1,0)),"-")</f>
        <v>-</v>
      </c>
      <c r="Z41" s="707" t="str">
        <f t="array" aca="1" ref="Z41" ca="1">IF($AC41="Y",SUM(IF((INDIRECT("'"&amp;$AB41&amp;"'!J23:J200")=$E$1)*(INDIRECT("'"&amp;$AB41&amp;"'!I23:I200")="A")*(INDIRECT("'"&amp;$AB41&amp;"'!E23:E200")=$AC41)*(INDIRECT("'"&amp;$AB41&amp;"'!K23:K200")&lt;&gt;""),1,0)),"-")</f>
        <v>-</v>
      </c>
      <c r="AA41" s="707" t="str">
        <f t="shared" ca="1" si="21"/>
        <v>-</v>
      </c>
      <c r="AB41" s="230" t="str">
        <f ca="1">IF($AC41="Y",VLOOKUP(B41,Table!B:C,2,FALSE),"")</f>
        <v/>
      </c>
      <c r="AC41" s="230">
        <f ca="1">IF(B41="","",VLOOKUP(B41,Table!$B$38:$AO$59,Table!$AO$35-1,FALSE))</f>
        <v>0</v>
      </c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  <c r="AP41" s="230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1:59" ht="15" thickBot="1">
      <c r="A42" s="429">
        <f t="shared" si="13"/>
        <v>10</v>
      </c>
      <c r="B42" s="413" t="str">
        <f t="shared" ca="1" si="13"/>
        <v>Yokohama</v>
      </c>
      <c r="C42" s="681" t="str">
        <f t="array" aca="1" ref="C42" ca="1">IF($AC42="Y",SUM(IF((INDIRECT("'"&amp;$AB42&amp;"'!J23:J200")=$E$1)*(INDIRECT("'"&amp;$AB42&amp;"'!I23:I200")="H")*(INDIRECT("'"&amp;$AB42&amp;"'!M23:M200")="W")*(INDIRECT("'"&amp;$AB42&amp;"'!E23:E200")=$AC42),1,0)/$Y42),"-")</f>
        <v>-</v>
      </c>
      <c r="D42" s="406" t="str">
        <f t="array" aca="1" ref="D42" ca="1">IF($AC42="Y",SUM(IF((INDIRECT("'"&amp;$AB42&amp;"'!J23:J200")=$E$1)*(INDIRECT("'"&amp;$AB42&amp;"'!I23:I200")="H")*(INDIRECT("'"&amp;$AB42&amp;"'!M23:M200")="D")*(INDIRECT("'"&amp;$AB42&amp;"'!E23:E200")=$AC42),1,0)/$Y42),"-")</f>
        <v>-</v>
      </c>
      <c r="E42" s="406" t="str">
        <f t="array" aca="1" ref="E42" ca="1">IF($AC42="Y",SUM(IF((INDIRECT("'"&amp;$AB42&amp;"'!J23:J200")=$E$1)*(INDIRECT("'"&amp;$AB42&amp;"'!I23:I200")="H")*(INDIRECT("'"&amp;$AB42&amp;"'!M23:M200")="L")*(INDIRECT("'"&amp;$AB42&amp;"'!E23:E200")=$AC42),1,0)/$Y42),"-")</f>
        <v>-</v>
      </c>
      <c r="F42" s="408" t="e">
        <f ca="1">VLOOKUP($B42,HiLo!$C$69:$AA$88,HiLo!I$65-1,FALSE)</f>
        <v>#N/A</v>
      </c>
      <c r="G42" s="408" t="e">
        <f ca="1">VLOOKUP($B42,HiLo!$C$69:$AA$88,HiLo!J$65-1,FALSE)</f>
        <v>#N/A</v>
      </c>
      <c r="H42" s="410" t="str">
        <f t="shared" ca="1" si="14"/>
        <v>-</v>
      </c>
      <c r="I42" s="410" t="str">
        <f t="shared" ca="1" si="15"/>
        <v>-</v>
      </c>
      <c r="J42" s="602" t="str">
        <f t="shared" ca="1" si="16"/>
        <v>-</v>
      </c>
      <c r="K42" s="681" t="str">
        <f t="array" aca="1" ref="K42" ca="1">IF($AC42="Y",SUM(IF((INDIRECT("'"&amp;$AB42&amp;"'!J23:J200")=$E$1)*(INDIRECT("'"&amp;$AB42&amp;"'!I23:I200")="A")*(INDIRECT("'"&amp;$AB42&amp;"'!M23:M200")="W")*(INDIRECT("'"&amp;$AB42&amp;"'!E23:E200")=$AC42),1,0)/$Z42),"-")</f>
        <v>-</v>
      </c>
      <c r="L42" s="406" t="str">
        <f t="array" aca="1" ref="L42" ca="1">IF($AC42="Y",SUM(IF((INDIRECT("'"&amp;$AB42&amp;"'!J23:J200")=$E$1)*(INDIRECT("'"&amp;$AB42&amp;"'!I23:I200")="A")*(INDIRECT("'"&amp;$AB42&amp;"'!M23:M200")="D")*(INDIRECT("'"&amp;$AB42&amp;"'!E23:E200")=$AC42),1,0)/$Z42),"-")</f>
        <v>-</v>
      </c>
      <c r="M42" s="406" t="str">
        <f t="array" aca="1" ref="M42" ca="1">IF($AC42="Y",SUM(IF((INDIRECT("'"&amp;$AB42&amp;"'!J23:J200")=$E$1)*(INDIRECT("'"&amp;$AB42&amp;"'!I23:I200")="A")*(INDIRECT("'"&amp;$AB42&amp;"'!M23:M200")="L")*(INDIRECT("'"&amp;$AB42&amp;"'!E23:E200")=$AC42),1,0)/$Z42),"-")</f>
        <v>-</v>
      </c>
      <c r="N42" s="408" t="e">
        <f ca="1">VLOOKUP($B42,HiLo!$C$69:$AA$88,HiLo!Q$65-1,FALSE)</f>
        <v>#N/A</v>
      </c>
      <c r="O42" s="408" t="e">
        <f ca="1">VLOOKUP($B42,HiLo!$C$69:$AA$88,HiLo!R$65-1,FALSE)</f>
        <v>#N/A</v>
      </c>
      <c r="P42" s="410" t="str">
        <f t="shared" ca="1" si="17"/>
        <v>-</v>
      </c>
      <c r="Q42" s="410" t="str">
        <f t="shared" ca="1" si="18"/>
        <v>-</v>
      </c>
      <c r="R42" s="682" t="str">
        <f t="array" aca="1" ref="R42" ca="1">IF($AC42="Y",SUM(IF((INDIRECT("'"&amp;$AB42&amp;"'!J23:J200")=$E$1)*(INDIRECT("'"&amp;$AB42&amp;"'!M23:M200")="W")*(INDIRECT("'"&amp;$AB42&amp;"'!E23:E200")=$AC42),1,0)/$AA42),"-")</f>
        <v>-</v>
      </c>
      <c r="S42" s="705" t="str">
        <f t="array" aca="1" ref="S42" ca="1">IF($AC42="Y",SUM(IF((INDIRECT("'"&amp;$AB42&amp;"'!J23:J200")=$E$1)*(INDIRECT("'"&amp;$AB42&amp;"'!I23:I200")="A")*(INDIRECT("'"&amp;$AB42&amp;"'!M23:M200")="D")*(INDIRECT("'"&amp;$AB42&amp;"'!E23:E200")=$AC42),1,0)/$Y42),"-")</f>
        <v>-</v>
      </c>
      <c r="T42" s="705" t="str">
        <f t="array" aca="1" ref="T42" ca="1">IF($AC42="Y",SUM(IF((INDIRECT("'"&amp;$AB42&amp;"'!J23:J200")=$E$1)*(INDIRECT("'"&amp;$AB42&amp;"'!I23:I200")="A")*(INDIRECT("'"&amp;$AB42&amp;"'!M23:M200")="L")*(INDIRECT("'"&amp;$AB42&amp;"'!E23:E200")=$AC42),1,0)/$Y42),"-")</f>
        <v>-</v>
      </c>
      <c r="U42" s="600" t="e">
        <f ca="1">VLOOKUP($B42,HiLo!$C$69:$AA$88,HiLo!Y$65-1,FALSE)</f>
        <v>#N/A</v>
      </c>
      <c r="V42" s="600" t="e">
        <f ca="1">VLOOKUP($B42,HiLo!$C$69:$AA$88,HiLo!Z$65-1,FALSE)</f>
        <v>#N/A</v>
      </c>
      <c r="W42" s="410" t="str">
        <f t="shared" ca="1" si="19"/>
        <v>-</v>
      </c>
      <c r="X42" s="653" t="str">
        <f t="shared" ca="1" si="20"/>
        <v>-</v>
      </c>
      <c r="Y42" s="707" t="str">
        <f t="array" aca="1" ref="Y42" ca="1">IF($AC42="Y",SUM(IF((INDIRECT("'"&amp;$AB42&amp;"'!J23:J200")=$E$1)*(INDIRECT("'"&amp;$AB42&amp;"'!I23:I200")="H")*(INDIRECT("'"&amp;$AB42&amp;"'!E23:E200")=$AC42)*(INDIRECT("'"&amp;$AB42&amp;"'!K23:K200")&lt;&gt;""),1,0)),"-")</f>
        <v>-</v>
      </c>
      <c r="Z42" s="707" t="str">
        <f t="array" aca="1" ref="Z42" ca="1">IF($AC42="Y",SUM(IF((INDIRECT("'"&amp;$AB42&amp;"'!J23:J200")=$E$1)*(INDIRECT("'"&amp;$AB42&amp;"'!I23:I200")="A")*(INDIRECT("'"&amp;$AB42&amp;"'!E23:E200")=$AC42)*(INDIRECT("'"&amp;$AB42&amp;"'!K23:K200")&lt;&gt;""),1,0)),"-")</f>
        <v>-</v>
      </c>
      <c r="AA42" s="707" t="str">
        <f t="shared" ca="1" si="21"/>
        <v>-</v>
      </c>
      <c r="AB42" s="230" t="str">
        <f ca="1">IF($AC42="Y",VLOOKUP(B42,Table!B:C,2,FALSE),"")</f>
        <v/>
      </c>
      <c r="AC42" s="230">
        <f ca="1">IF(B42="","",VLOOKUP(B42,Table!$B$38:$AO$59,Table!$AO$35-1,FALSE))</f>
        <v>0</v>
      </c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1:59" ht="15" thickBot="1">
      <c r="A43" s="429">
        <f t="shared" si="13"/>
        <v>11</v>
      </c>
      <c r="B43" s="413" t="str">
        <f t="shared" ca="1" si="13"/>
        <v>Montedio Yamagata</v>
      </c>
      <c r="C43" s="681" t="str">
        <f t="array" aca="1" ref="C43" ca="1">IF($AC43="Y",SUM(IF((INDIRECT("'"&amp;$AB43&amp;"'!J23:J200")=$E$1)*(INDIRECT("'"&amp;$AB43&amp;"'!I23:I200")="H")*(INDIRECT("'"&amp;$AB43&amp;"'!M23:M200")="W")*(INDIRECT("'"&amp;$AB43&amp;"'!E23:E200")=$AC43),1,0)/$Y43),"-")</f>
        <v>-</v>
      </c>
      <c r="D43" s="406" t="str">
        <f t="array" aca="1" ref="D43" ca="1">IF($AC43="Y",SUM(IF((INDIRECT("'"&amp;$AB43&amp;"'!J23:J200")=$E$1)*(INDIRECT("'"&amp;$AB43&amp;"'!I23:I200")="H")*(INDIRECT("'"&amp;$AB43&amp;"'!M23:M200")="D")*(INDIRECT("'"&amp;$AB43&amp;"'!E23:E200")=$AC43),1,0)/$Y43),"-")</f>
        <v>-</v>
      </c>
      <c r="E43" s="406" t="str">
        <f t="array" aca="1" ref="E43" ca="1">IF($AC43="Y",SUM(IF((INDIRECT("'"&amp;$AB43&amp;"'!J23:J200")=$E$1)*(INDIRECT("'"&amp;$AB43&amp;"'!I23:I200")="H")*(INDIRECT("'"&amp;$AB43&amp;"'!M23:M200")="L")*(INDIRECT("'"&amp;$AB43&amp;"'!E23:E200")=$AC43),1,0)/$Y43),"-")</f>
        <v>-</v>
      </c>
      <c r="F43" s="408" t="e">
        <f ca="1">VLOOKUP($B43,HiLo!$C$69:$AA$88,HiLo!I$65-1,FALSE)</f>
        <v>#N/A</v>
      </c>
      <c r="G43" s="408" t="e">
        <f ca="1">VLOOKUP($B43,HiLo!$C$69:$AA$88,HiLo!J$65-1,FALSE)</f>
        <v>#N/A</v>
      </c>
      <c r="H43" s="410" t="str">
        <f t="shared" ca="1" si="14"/>
        <v>-</v>
      </c>
      <c r="I43" s="410" t="str">
        <f t="shared" ca="1" si="15"/>
        <v>-</v>
      </c>
      <c r="J43" s="602" t="str">
        <f t="shared" ca="1" si="16"/>
        <v>-</v>
      </c>
      <c r="K43" s="681" t="str">
        <f t="array" aca="1" ref="K43" ca="1">IF($AC43="Y",SUM(IF((INDIRECT("'"&amp;$AB43&amp;"'!J23:J200")=$E$1)*(INDIRECT("'"&amp;$AB43&amp;"'!I23:I200")="A")*(INDIRECT("'"&amp;$AB43&amp;"'!M23:M200")="W")*(INDIRECT("'"&amp;$AB43&amp;"'!E23:E200")=$AC43),1,0)/$Z43),"-")</f>
        <v>-</v>
      </c>
      <c r="L43" s="406" t="str">
        <f t="array" aca="1" ref="L43" ca="1">IF($AC43="Y",SUM(IF((INDIRECT("'"&amp;$AB43&amp;"'!J23:J200")=$E$1)*(INDIRECT("'"&amp;$AB43&amp;"'!I23:I200")="A")*(INDIRECT("'"&amp;$AB43&amp;"'!M23:M200")="D")*(INDIRECT("'"&amp;$AB43&amp;"'!E23:E200")=$AC43),1,0)/$Z43),"-")</f>
        <v>-</v>
      </c>
      <c r="M43" s="406" t="str">
        <f t="array" aca="1" ref="M43" ca="1">IF($AC43="Y",SUM(IF((INDIRECT("'"&amp;$AB43&amp;"'!J23:J200")=$E$1)*(INDIRECT("'"&amp;$AB43&amp;"'!I23:I200")="A")*(INDIRECT("'"&amp;$AB43&amp;"'!M23:M200")="L")*(INDIRECT("'"&amp;$AB43&amp;"'!E23:E200")=$AC43),1,0)/$Z43),"-")</f>
        <v>-</v>
      </c>
      <c r="N43" s="408" t="e">
        <f ca="1">VLOOKUP($B43,HiLo!$C$69:$AA$88,HiLo!Q$65-1,FALSE)</f>
        <v>#N/A</v>
      </c>
      <c r="O43" s="408" t="e">
        <f ca="1">VLOOKUP($B43,HiLo!$C$69:$AA$88,HiLo!R$65-1,FALSE)</f>
        <v>#N/A</v>
      </c>
      <c r="P43" s="410" t="str">
        <f t="shared" ca="1" si="17"/>
        <v>-</v>
      </c>
      <c r="Q43" s="410" t="str">
        <f t="shared" ca="1" si="18"/>
        <v>-</v>
      </c>
      <c r="R43" s="682" t="str">
        <f t="array" aca="1" ref="R43" ca="1">IF($AC43="Y",SUM(IF((INDIRECT("'"&amp;$AB43&amp;"'!J23:J200")=$E$1)*(INDIRECT("'"&amp;$AB43&amp;"'!M23:M200")="W")*(INDIRECT("'"&amp;$AB43&amp;"'!E23:E200")=$AC43),1,0)/$AA43),"-")</f>
        <v>-</v>
      </c>
      <c r="S43" s="705" t="str">
        <f t="array" aca="1" ref="S43" ca="1">IF($AC43="Y",SUM(IF((INDIRECT("'"&amp;$AB43&amp;"'!J23:J200")=$E$1)*(INDIRECT("'"&amp;$AB43&amp;"'!I23:I200")="A")*(INDIRECT("'"&amp;$AB43&amp;"'!M23:M200")="D")*(INDIRECT("'"&amp;$AB43&amp;"'!E23:E200")=$AC43),1,0)/$Y43),"-")</f>
        <v>-</v>
      </c>
      <c r="T43" s="705" t="str">
        <f t="array" aca="1" ref="T43" ca="1">IF($AC43="Y",SUM(IF((INDIRECT("'"&amp;$AB43&amp;"'!J23:J200")=$E$1)*(INDIRECT("'"&amp;$AB43&amp;"'!I23:I200")="A")*(INDIRECT("'"&amp;$AB43&amp;"'!M23:M200")="L")*(INDIRECT("'"&amp;$AB43&amp;"'!E23:E200")=$AC43),1,0)/$Y43),"-")</f>
        <v>-</v>
      </c>
      <c r="U43" s="600" t="e">
        <f ca="1">VLOOKUP($B43,HiLo!$C$69:$AA$88,HiLo!Y$65-1,FALSE)</f>
        <v>#N/A</v>
      </c>
      <c r="V43" s="600" t="e">
        <f ca="1">VLOOKUP($B43,HiLo!$C$69:$AA$88,HiLo!Z$65-1,FALSE)</f>
        <v>#N/A</v>
      </c>
      <c r="W43" s="410" t="str">
        <f t="shared" ca="1" si="19"/>
        <v>-</v>
      </c>
      <c r="X43" s="653" t="str">
        <f t="shared" ca="1" si="20"/>
        <v>-</v>
      </c>
      <c r="Y43" s="707" t="str">
        <f t="array" aca="1" ref="Y43" ca="1">IF($AC43="Y",SUM(IF((INDIRECT("'"&amp;$AB43&amp;"'!J23:J200")=$E$1)*(INDIRECT("'"&amp;$AB43&amp;"'!I23:I200")="H")*(INDIRECT("'"&amp;$AB43&amp;"'!E23:E200")=$AC43)*(INDIRECT("'"&amp;$AB43&amp;"'!K23:K200")&lt;&gt;""),1,0)),"-")</f>
        <v>-</v>
      </c>
      <c r="Z43" s="707" t="str">
        <f t="array" aca="1" ref="Z43" ca="1">IF($AC43="Y",SUM(IF((INDIRECT("'"&amp;$AB43&amp;"'!J23:J200")=$E$1)*(INDIRECT("'"&amp;$AB43&amp;"'!I23:I200")="A")*(INDIRECT("'"&amp;$AB43&amp;"'!E23:E200")=$AC43)*(INDIRECT("'"&amp;$AB43&amp;"'!K23:K200")&lt;&gt;""),1,0)),"-")</f>
        <v>-</v>
      </c>
      <c r="AA43" s="707" t="str">
        <f t="shared" ca="1" si="21"/>
        <v>-</v>
      </c>
      <c r="AB43" s="230" t="str">
        <f ca="1">IF($AC43="Y",VLOOKUP(B43,Table!B:C,2,FALSE),"")</f>
        <v/>
      </c>
      <c r="AC43" s="230">
        <f ca="1">IF(B43="","",VLOOKUP(B43,Table!$B$38:$AO$59,Table!$AO$35-1,FALSE))</f>
        <v>0</v>
      </c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1:59" ht="15" thickBot="1">
      <c r="A44" s="429">
        <f t="shared" si="13"/>
        <v>12</v>
      </c>
      <c r="B44" s="413" t="str">
        <f t="shared" ca="1" si="13"/>
        <v>Kyoto Sanga</v>
      </c>
      <c r="C44" s="681" t="str">
        <f t="array" aca="1" ref="C44" ca="1">IF($AC44="Y",SUM(IF((INDIRECT("'"&amp;$AB44&amp;"'!J23:J200")=$E$1)*(INDIRECT("'"&amp;$AB44&amp;"'!I23:I200")="H")*(INDIRECT("'"&amp;$AB44&amp;"'!M23:M200")="W")*(INDIRECT("'"&amp;$AB44&amp;"'!E23:E200")=$AC44),1,0)/$Y44),"-")</f>
        <v>-</v>
      </c>
      <c r="D44" s="406" t="str">
        <f t="array" aca="1" ref="D44" ca="1">IF($AC44="Y",SUM(IF((INDIRECT("'"&amp;$AB44&amp;"'!J23:J200")=$E$1)*(INDIRECT("'"&amp;$AB44&amp;"'!I23:I200")="H")*(INDIRECT("'"&amp;$AB44&amp;"'!M23:M200")="D")*(INDIRECT("'"&amp;$AB44&amp;"'!E23:E200")=$AC44),1,0)/$Y44),"-")</f>
        <v>-</v>
      </c>
      <c r="E44" s="406" t="str">
        <f t="array" aca="1" ref="E44" ca="1">IF($AC44="Y",SUM(IF((INDIRECT("'"&amp;$AB44&amp;"'!J23:J200")=$E$1)*(INDIRECT("'"&amp;$AB44&amp;"'!I23:I200")="H")*(INDIRECT("'"&amp;$AB44&amp;"'!M23:M200")="L")*(INDIRECT("'"&amp;$AB44&amp;"'!E23:E200")=$AC44),1,0)/$Y44),"-")</f>
        <v>-</v>
      </c>
      <c r="F44" s="408" t="e">
        <f ca="1">VLOOKUP($B44,HiLo!$C$69:$AA$88,HiLo!I$65-1,FALSE)</f>
        <v>#N/A</v>
      </c>
      <c r="G44" s="408" t="e">
        <f ca="1">VLOOKUP($B44,HiLo!$C$69:$AA$88,HiLo!J$65-1,FALSE)</f>
        <v>#N/A</v>
      </c>
      <c r="H44" s="410" t="str">
        <f t="shared" ca="1" si="14"/>
        <v>-</v>
      </c>
      <c r="I44" s="410" t="str">
        <f t="shared" ca="1" si="15"/>
        <v>-</v>
      </c>
      <c r="J44" s="602" t="str">
        <f t="shared" ca="1" si="16"/>
        <v>-</v>
      </c>
      <c r="K44" s="681" t="str">
        <f t="array" aca="1" ref="K44" ca="1">IF($AC44="Y",SUM(IF((INDIRECT("'"&amp;$AB44&amp;"'!J23:J200")=$E$1)*(INDIRECT("'"&amp;$AB44&amp;"'!I23:I200")="A")*(INDIRECT("'"&amp;$AB44&amp;"'!M23:M200")="W")*(INDIRECT("'"&amp;$AB44&amp;"'!E23:E200")=$AC44),1,0)/$Z44),"-")</f>
        <v>-</v>
      </c>
      <c r="L44" s="406" t="str">
        <f t="array" aca="1" ref="L44" ca="1">IF($AC44="Y",SUM(IF((INDIRECT("'"&amp;$AB44&amp;"'!J23:J200")=$E$1)*(INDIRECT("'"&amp;$AB44&amp;"'!I23:I200")="A")*(INDIRECT("'"&amp;$AB44&amp;"'!M23:M200")="D")*(INDIRECT("'"&amp;$AB44&amp;"'!E23:E200")=$AC44),1,0)/$Z44),"-")</f>
        <v>-</v>
      </c>
      <c r="M44" s="406" t="str">
        <f t="array" aca="1" ref="M44" ca="1">IF($AC44="Y",SUM(IF((INDIRECT("'"&amp;$AB44&amp;"'!J23:J200")=$E$1)*(INDIRECT("'"&amp;$AB44&amp;"'!I23:I200")="A")*(INDIRECT("'"&amp;$AB44&amp;"'!M23:M200")="L")*(INDIRECT("'"&amp;$AB44&amp;"'!E23:E200")=$AC44),1,0)/$Z44),"-")</f>
        <v>-</v>
      </c>
      <c r="N44" s="408" t="e">
        <f ca="1">VLOOKUP($B44,HiLo!$C$69:$AA$88,HiLo!Q$65-1,FALSE)</f>
        <v>#N/A</v>
      </c>
      <c r="O44" s="408" t="e">
        <f ca="1">VLOOKUP($B44,HiLo!$C$69:$AA$88,HiLo!R$65-1,FALSE)</f>
        <v>#N/A</v>
      </c>
      <c r="P44" s="410" t="str">
        <f t="shared" ca="1" si="17"/>
        <v>-</v>
      </c>
      <c r="Q44" s="410" t="str">
        <f t="shared" ca="1" si="18"/>
        <v>-</v>
      </c>
      <c r="R44" s="682" t="str">
        <f t="array" aca="1" ref="R44" ca="1">IF($AC44="Y",SUM(IF((INDIRECT("'"&amp;$AB44&amp;"'!J23:J200")=$E$1)*(INDIRECT("'"&amp;$AB44&amp;"'!M23:M200")="W")*(INDIRECT("'"&amp;$AB44&amp;"'!E23:E200")=$AC44),1,0)/$AA44),"-")</f>
        <v>-</v>
      </c>
      <c r="S44" s="705" t="str">
        <f t="array" aca="1" ref="S44" ca="1">IF($AC44="Y",SUM(IF((INDIRECT("'"&amp;$AB44&amp;"'!J23:J200")=$E$1)*(INDIRECT("'"&amp;$AB44&amp;"'!I23:I200")="A")*(INDIRECT("'"&amp;$AB44&amp;"'!M23:M200")="D")*(INDIRECT("'"&amp;$AB44&amp;"'!E23:E200")=$AC44),1,0)/$Y44),"-")</f>
        <v>-</v>
      </c>
      <c r="T44" s="705" t="str">
        <f t="array" aca="1" ref="T44" ca="1">IF($AC44="Y",SUM(IF((INDIRECT("'"&amp;$AB44&amp;"'!J23:J200")=$E$1)*(INDIRECT("'"&amp;$AB44&amp;"'!I23:I200")="A")*(INDIRECT("'"&amp;$AB44&amp;"'!M23:M200")="L")*(INDIRECT("'"&amp;$AB44&amp;"'!E23:E200")=$AC44),1,0)/$Y44),"-")</f>
        <v>-</v>
      </c>
      <c r="U44" s="600" t="e">
        <f ca="1">VLOOKUP($B44,HiLo!$C$69:$AA$88,HiLo!Y$65-1,FALSE)</f>
        <v>#N/A</v>
      </c>
      <c r="V44" s="600" t="e">
        <f ca="1">VLOOKUP($B44,HiLo!$C$69:$AA$88,HiLo!Z$65-1,FALSE)</f>
        <v>#N/A</v>
      </c>
      <c r="W44" s="410" t="str">
        <f t="shared" ca="1" si="19"/>
        <v>-</v>
      </c>
      <c r="X44" s="653" t="str">
        <f t="shared" ca="1" si="20"/>
        <v>-</v>
      </c>
      <c r="Y44" s="707" t="str">
        <f t="array" aca="1" ref="Y44" ca="1">IF($AC44="Y",SUM(IF((INDIRECT("'"&amp;$AB44&amp;"'!J23:J200")=$E$1)*(INDIRECT("'"&amp;$AB44&amp;"'!I23:I200")="H")*(INDIRECT("'"&amp;$AB44&amp;"'!E23:E200")=$AC44)*(INDIRECT("'"&amp;$AB44&amp;"'!K23:K200")&lt;&gt;""),1,0)),"-")</f>
        <v>-</v>
      </c>
      <c r="Z44" s="707" t="str">
        <f t="array" aca="1" ref="Z44" ca="1">IF($AC44="Y",SUM(IF((INDIRECT("'"&amp;$AB44&amp;"'!J23:J200")=$E$1)*(INDIRECT("'"&amp;$AB44&amp;"'!I23:I200")="A")*(INDIRECT("'"&amp;$AB44&amp;"'!E23:E200")=$AC44)*(INDIRECT("'"&amp;$AB44&amp;"'!K23:K200")&lt;&gt;""),1,0)),"-")</f>
        <v>-</v>
      </c>
      <c r="AA44" s="707" t="str">
        <f t="shared" ca="1" si="21"/>
        <v>-</v>
      </c>
      <c r="AB44" s="230" t="str">
        <f ca="1">IF($AC44="Y",VLOOKUP(B44,Table!B:C,2,FALSE),"")</f>
        <v/>
      </c>
      <c r="AC44" s="230">
        <f ca="1">IF(B44="","",VLOOKUP(B44,Table!$B$38:$AO$59,Table!$AO$35-1,FALSE))</f>
        <v>0</v>
      </c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1:59" ht="15" thickBot="1">
      <c r="A45" s="429">
        <f t="shared" si="13"/>
        <v>13</v>
      </c>
      <c r="B45" s="413" t="str">
        <f t="shared" ca="1" si="13"/>
        <v>Fagiano Okayama</v>
      </c>
      <c r="C45" s="681" t="str">
        <f t="array" aca="1" ref="C45" ca="1">IF($AC45="Y",SUM(IF((INDIRECT("'"&amp;$AB45&amp;"'!J23:J200")=$E$1)*(INDIRECT("'"&amp;$AB45&amp;"'!I23:I200")="H")*(INDIRECT("'"&amp;$AB45&amp;"'!M23:M200")="W")*(INDIRECT("'"&amp;$AB45&amp;"'!E23:E200")=$AC45),1,0)/$Y45),"-")</f>
        <v>-</v>
      </c>
      <c r="D45" s="406" t="str">
        <f t="array" aca="1" ref="D45" ca="1">IF($AC45="Y",SUM(IF((INDIRECT("'"&amp;$AB45&amp;"'!J23:J200")=$E$1)*(INDIRECT("'"&amp;$AB45&amp;"'!I23:I200")="H")*(INDIRECT("'"&amp;$AB45&amp;"'!M23:M200")="D")*(INDIRECT("'"&amp;$AB45&amp;"'!E23:E200")=$AC45),1,0)/$Y45),"-")</f>
        <v>-</v>
      </c>
      <c r="E45" s="406" t="str">
        <f t="array" aca="1" ref="E45" ca="1">IF($AC45="Y",SUM(IF((INDIRECT("'"&amp;$AB45&amp;"'!J23:J200")=$E$1)*(INDIRECT("'"&amp;$AB45&amp;"'!I23:I200")="H")*(INDIRECT("'"&amp;$AB45&amp;"'!M23:M200")="L")*(INDIRECT("'"&amp;$AB45&amp;"'!E23:E200")=$AC45),1,0)/$Y45),"-")</f>
        <v>-</v>
      </c>
      <c r="F45" s="408" t="e">
        <f ca="1">VLOOKUP($B45,HiLo!$C$69:$AA$88,HiLo!I$65-1,FALSE)</f>
        <v>#N/A</v>
      </c>
      <c r="G45" s="408" t="e">
        <f ca="1">VLOOKUP($B45,HiLo!$C$69:$AA$88,HiLo!J$65-1,FALSE)</f>
        <v>#N/A</v>
      </c>
      <c r="H45" s="410" t="str">
        <f t="shared" ca="1" si="14"/>
        <v>-</v>
      </c>
      <c r="I45" s="410" t="str">
        <f t="shared" ca="1" si="15"/>
        <v>-</v>
      </c>
      <c r="J45" s="602" t="str">
        <f t="shared" ca="1" si="16"/>
        <v>-</v>
      </c>
      <c r="K45" s="681" t="str">
        <f t="array" aca="1" ref="K45" ca="1">IF($AC45="Y",SUM(IF((INDIRECT("'"&amp;$AB45&amp;"'!J23:J200")=$E$1)*(INDIRECT("'"&amp;$AB45&amp;"'!I23:I200")="A")*(INDIRECT("'"&amp;$AB45&amp;"'!M23:M200")="W")*(INDIRECT("'"&amp;$AB45&amp;"'!E23:E200")=$AC45),1,0)/$Z45),"-")</f>
        <v>-</v>
      </c>
      <c r="L45" s="406" t="str">
        <f t="array" aca="1" ref="L45" ca="1">IF($AC45="Y",SUM(IF((INDIRECT("'"&amp;$AB45&amp;"'!J23:J200")=$E$1)*(INDIRECT("'"&amp;$AB45&amp;"'!I23:I200")="A")*(INDIRECT("'"&amp;$AB45&amp;"'!M23:M200")="D")*(INDIRECT("'"&amp;$AB45&amp;"'!E23:E200")=$AC45),1,0)/$Z45),"-")</f>
        <v>-</v>
      </c>
      <c r="M45" s="406" t="str">
        <f t="array" aca="1" ref="M45" ca="1">IF($AC45="Y",SUM(IF((INDIRECT("'"&amp;$AB45&amp;"'!J23:J200")=$E$1)*(INDIRECT("'"&amp;$AB45&amp;"'!I23:I200")="A")*(INDIRECT("'"&amp;$AB45&amp;"'!M23:M200")="L")*(INDIRECT("'"&amp;$AB45&amp;"'!E23:E200")=$AC45),1,0)/$Z45),"-")</f>
        <v>-</v>
      </c>
      <c r="N45" s="408" t="e">
        <f ca="1">VLOOKUP($B45,HiLo!$C$69:$AA$88,HiLo!Q$65-1,FALSE)</f>
        <v>#N/A</v>
      </c>
      <c r="O45" s="408" t="e">
        <f ca="1">VLOOKUP($B45,HiLo!$C$69:$AA$88,HiLo!R$65-1,FALSE)</f>
        <v>#N/A</v>
      </c>
      <c r="P45" s="410" t="str">
        <f t="shared" ca="1" si="17"/>
        <v>-</v>
      </c>
      <c r="Q45" s="410" t="str">
        <f t="shared" ca="1" si="18"/>
        <v>-</v>
      </c>
      <c r="R45" s="682" t="str">
        <f t="array" aca="1" ref="R45" ca="1">IF($AC45="Y",SUM(IF((INDIRECT("'"&amp;$AB45&amp;"'!J23:J200")=$E$1)*(INDIRECT("'"&amp;$AB45&amp;"'!M23:M200")="W")*(INDIRECT("'"&amp;$AB45&amp;"'!E23:E200")=$AC45),1,0)/$AA45),"-")</f>
        <v>-</v>
      </c>
      <c r="S45" s="705" t="str">
        <f t="array" aca="1" ref="S45" ca="1">IF($AC45="Y",SUM(IF((INDIRECT("'"&amp;$AB45&amp;"'!J23:J200")=$E$1)*(INDIRECT("'"&amp;$AB45&amp;"'!I23:I200")="A")*(INDIRECT("'"&amp;$AB45&amp;"'!M23:M200")="D")*(INDIRECT("'"&amp;$AB45&amp;"'!E23:E200")=$AC45),1,0)/$Y45),"-")</f>
        <v>-</v>
      </c>
      <c r="T45" s="705" t="str">
        <f t="array" aca="1" ref="T45" ca="1">IF($AC45="Y",SUM(IF((INDIRECT("'"&amp;$AB45&amp;"'!J23:J200")=$E$1)*(INDIRECT("'"&amp;$AB45&amp;"'!I23:I200")="A")*(INDIRECT("'"&amp;$AB45&amp;"'!M23:M200")="L")*(INDIRECT("'"&amp;$AB45&amp;"'!E23:E200")=$AC45),1,0)/$Y45),"-")</f>
        <v>-</v>
      </c>
      <c r="U45" s="600" t="e">
        <f ca="1">VLOOKUP($B45,HiLo!$C$69:$AA$88,HiLo!Y$65-1,FALSE)</f>
        <v>#N/A</v>
      </c>
      <c r="V45" s="600" t="e">
        <f ca="1">VLOOKUP($B45,HiLo!$C$69:$AA$88,HiLo!Z$65-1,FALSE)</f>
        <v>#N/A</v>
      </c>
      <c r="W45" s="410" t="str">
        <f t="shared" ca="1" si="19"/>
        <v>-</v>
      </c>
      <c r="X45" s="653" t="str">
        <f t="shared" ca="1" si="20"/>
        <v>-</v>
      </c>
      <c r="Y45" s="707" t="str">
        <f t="array" aca="1" ref="Y45" ca="1">IF($AC45="Y",SUM(IF((INDIRECT("'"&amp;$AB45&amp;"'!J23:J200")=$E$1)*(INDIRECT("'"&amp;$AB45&amp;"'!I23:I200")="H")*(INDIRECT("'"&amp;$AB45&amp;"'!E23:E200")=$AC45)*(INDIRECT("'"&amp;$AB45&amp;"'!K23:K200")&lt;&gt;""),1,0)),"-")</f>
        <v>-</v>
      </c>
      <c r="Z45" s="707" t="str">
        <f t="array" aca="1" ref="Z45" ca="1">IF($AC45="Y",SUM(IF((INDIRECT("'"&amp;$AB45&amp;"'!J23:J200")=$E$1)*(INDIRECT("'"&amp;$AB45&amp;"'!I23:I200")="A")*(INDIRECT("'"&amp;$AB45&amp;"'!E23:E200")=$AC45)*(INDIRECT("'"&amp;$AB45&amp;"'!K23:K200")&lt;&gt;""),1,0)),"-")</f>
        <v>-</v>
      </c>
      <c r="AA45" s="707" t="str">
        <f t="shared" ca="1" si="21"/>
        <v>-</v>
      </c>
      <c r="AB45" s="230" t="str">
        <f ca="1">IF($AC45="Y",VLOOKUP(B45,Table!B:C,2,FALSE),"")</f>
        <v/>
      </c>
      <c r="AC45" s="230">
        <f ca="1">IF(B45="","",VLOOKUP(B45,Table!$B$38:$AO$59,Table!$AO$35-1,FALSE))</f>
        <v>0</v>
      </c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1:59" ht="15" thickBot="1">
      <c r="A46" s="429">
        <f t="shared" si="13"/>
        <v>14</v>
      </c>
      <c r="B46" s="413" t="str">
        <f t="shared" ca="1" si="13"/>
        <v>Mito Hollyhock</v>
      </c>
      <c r="C46" s="681" t="str">
        <f t="array" aca="1" ref="C46" ca="1">IF($AC46="Y",SUM(IF((INDIRECT("'"&amp;$AB46&amp;"'!J23:J200")=$E$1)*(INDIRECT("'"&amp;$AB46&amp;"'!I23:I200")="H")*(INDIRECT("'"&amp;$AB46&amp;"'!M23:M200")="W")*(INDIRECT("'"&amp;$AB46&amp;"'!E23:E200")=$AC46),1,0)/$Y46),"-")</f>
        <v>-</v>
      </c>
      <c r="D46" s="406" t="str">
        <f t="array" aca="1" ref="D46" ca="1">IF($AC46="Y",SUM(IF((INDIRECT("'"&amp;$AB46&amp;"'!J23:J200")=$E$1)*(INDIRECT("'"&amp;$AB46&amp;"'!I23:I200")="H")*(INDIRECT("'"&amp;$AB46&amp;"'!M23:M200")="D")*(INDIRECT("'"&amp;$AB46&amp;"'!E23:E200")=$AC46),1,0)/$Y46),"-")</f>
        <v>-</v>
      </c>
      <c r="E46" s="406" t="str">
        <f t="array" aca="1" ref="E46" ca="1">IF($AC46="Y",SUM(IF((INDIRECT("'"&amp;$AB46&amp;"'!J23:J200")=$E$1)*(INDIRECT("'"&amp;$AB46&amp;"'!I23:I200")="H")*(INDIRECT("'"&amp;$AB46&amp;"'!M23:M200")="L")*(INDIRECT("'"&amp;$AB46&amp;"'!E23:E200")=$AC46),1,0)/$Y46),"-")</f>
        <v>-</v>
      </c>
      <c r="F46" s="408" t="e">
        <f ca="1">VLOOKUP($B46,HiLo!$C$69:$AA$88,HiLo!I$65-1,FALSE)</f>
        <v>#N/A</v>
      </c>
      <c r="G46" s="408" t="e">
        <f ca="1">VLOOKUP($B46,HiLo!$C$69:$AA$88,HiLo!J$65-1,FALSE)</f>
        <v>#N/A</v>
      </c>
      <c r="H46" s="410" t="str">
        <f t="shared" ca="1" si="14"/>
        <v>-</v>
      </c>
      <c r="I46" s="410" t="str">
        <f t="shared" ca="1" si="15"/>
        <v>-</v>
      </c>
      <c r="J46" s="602" t="str">
        <f t="shared" ca="1" si="16"/>
        <v>-</v>
      </c>
      <c r="K46" s="681" t="str">
        <f t="array" aca="1" ref="K46" ca="1">IF($AC46="Y",SUM(IF((INDIRECT("'"&amp;$AB46&amp;"'!J23:J200")=$E$1)*(INDIRECT("'"&amp;$AB46&amp;"'!I23:I200")="A")*(INDIRECT("'"&amp;$AB46&amp;"'!M23:M200")="W")*(INDIRECT("'"&amp;$AB46&amp;"'!E23:E200")=$AC46),1,0)/$Z46),"-")</f>
        <v>-</v>
      </c>
      <c r="L46" s="406" t="str">
        <f t="array" aca="1" ref="L46" ca="1">IF($AC46="Y",SUM(IF((INDIRECT("'"&amp;$AB46&amp;"'!J23:J200")=$E$1)*(INDIRECT("'"&amp;$AB46&amp;"'!I23:I200")="A")*(INDIRECT("'"&amp;$AB46&amp;"'!M23:M200")="D")*(INDIRECT("'"&amp;$AB46&amp;"'!E23:E200")=$AC46),1,0)/$Z46),"-")</f>
        <v>-</v>
      </c>
      <c r="M46" s="406" t="str">
        <f t="array" aca="1" ref="M46" ca="1">IF($AC46="Y",SUM(IF((INDIRECT("'"&amp;$AB46&amp;"'!J23:J200")=$E$1)*(INDIRECT("'"&amp;$AB46&amp;"'!I23:I200")="A")*(INDIRECT("'"&amp;$AB46&amp;"'!M23:M200")="L")*(INDIRECT("'"&amp;$AB46&amp;"'!E23:E200")=$AC46),1,0)/$Z46),"-")</f>
        <v>-</v>
      </c>
      <c r="N46" s="408" t="e">
        <f ca="1">VLOOKUP($B46,HiLo!$C$69:$AA$88,HiLo!Q$65-1,FALSE)</f>
        <v>#N/A</v>
      </c>
      <c r="O46" s="408" t="e">
        <f ca="1">VLOOKUP($B46,HiLo!$C$69:$AA$88,HiLo!R$65-1,FALSE)</f>
        <v>#N/A</v>
      </c>
      <c r="P46" s="410" t="str">
        <f t="shared" ca="1" si="17"/>
        <v>-</v>
      </c>
      <c r="Q46" s="410" t="str">
        <f t="shared" ca="1" si="18"/>
        <v>-</v>
      </c>
      <c r="R46" s="682" t="str">
        <f t="array" aca="1" ref="R46" ca="1">IF($AC46="Y",SUM(IF((INDIRECT("'"&amp;$AB46&amp;"'!J23:J200")=$E$1)*(INDIRECT("'"&amp;$AB46&amp;"'!M23:M200")="W")*(INDIRECT("'"&amp;$AB46&amp;"'!E23:E200")=$AC46),1,0)/$AA46),"-")</f>
        <v>-</v>
      </c>
      <c r="S46" s="705" t="str">
        <f t="array" aca="1" ref="S46" ca="1">IF($AC46="Y",SUM(IF((INDIRECT("'"&amp;$AB46&amp;"'!J23:J200")=$E$1)*(INDIRECT("'"&amp;$AB46&amp;"'!I23:I200")="A")*(INDIRECT("'"&amp;$AB46&amp;"'!M23:M200")="D")*(INDIRECT("'"&amp;$AB46&amp;"'!E23:E200")=$AC46),1,0)/$Y46),"-")</f>
        <v>-</v>
      </c>
      <c r="T46" s="705" t="str">
        <f t="array" aca="1" ref="T46" ca="1">IF($AC46="Y",SUM(IF((INDIRECT("'"&amp;$AB46&amp;"'!J23:J200")=$E$1)*(INDIRECT("'"&amp;$AB46&amp;"'!I23:I200")="A")*(INDIRECT("'"&amp;$AB46&amp;"'!M23:M200")="L")*(INDIRECT("'"&amp;$AB46&amp;"'!E23:E200")=$AC46),1,0)/$Y46),"-")</f>
        <v>-</v>
      </c>
      <c r="U46" s="600" t="e">
        <f ca="1">VLOOKUP($B46,HiLo!$C$69:$AA$88,HiLo!Y$65-1,FALSE)</f>
        <v>#N/A</v>
      </c>
      <c r="V46" s="600" t="e">
        <f ca="1">VLOOKUP($B46,HiLo!$C$69:$AA$88,HiLo!Z$65-1,FALSE)</f>
        <v>#N/A</v>
      </c>
      <c r="W46" s="410" t="str">
        <f t="shared" ca="1" si="19"/>
        <v>-</v>
      </c>
      <c r="X46" s="653" t="str">
        <f t="shared" ca="1" si="20"/>
        <v>-</v>
      </c>
      <c r="Y46" s="707" t="str">
        <f t="array" aca="1" ref="Y46" ca="1">IF($AC46="Y",SUM(IF((INDIRECT("'"&amp;$AB46&amp;"'!J23:J200")=$E$1)*(INDIRECT("'"&amp;$AB46&amp;"'!I23:I200")="H")*(INDIRECT("'"&amp;$AB46&amp;"'!E23:E200")=$AC46)*(INDIRECT("'"&amp;$AB46&amp;"'!K23:K200")&lt;&gt;""),1,0)),"-")</f>
        <v>-</v>
      </c>
      <c r="Z46" s="707" t="str">
        <f t="array" aca="1" ref="Z46" ca="1">IF($AC46="Y",SUM(IF((INDIRECT("'"&amp;$AB46&amp;"'!J23:J200")=$E$1)*(INDIRECT("'"&amp;$AB46&amp;"'!I23:I200")="A")*(INDIRECT("'"&amp;$AB46&amp;"'!E23:E200")=$AC46)*(INDIRECT("'"&amp;$AB46&amp;"'!K23:K200")&lt;&gt;""),1,0)),"-")</f>
        <v>-</v>
      </c>
      <c r="AA46" s="707" t="str">
        <f t="shared" ca="1" si="21"/>
        <v>-</v>
      </c>
      <c r="AB46" s="230" t="str">
        <f ca="1">IF($AC46="Y",VLOOKUP(B46,Table!B:C,2,FALSE),"")</f>
        <v/>
      </c>
      <c r="AC46" s="230">
        <f ca="1">IF(B46="","",VLOOKUP(B46,Table!$B$38:$AO$59,Table!$AO$35-1,FALSE))</f>
        <v>0</v>
      </c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1:59" ht="15" thickBot="1">
      <c r="A47" s="429">
        <f t="shared" si="13"/>
        <v>15</v>
      </c>
      <c r="B47" s="413" t="str">
        <f t="shared" ca="1" si="13"/>
        <v>Ehime</v>
      </c>
      <c r="C47" s="681" t="str">
        <f t="array" aca="1" ref="C47" ca="1">IF($AC47="Y",SUM(IF((INDIRECT("'"&amp;$AB47&amp;"'!J23:J200")=$E$1)*(INDIRECT("'"&amp;$AB47&amp;"'!I23:I200")="H")*(INDIRECT("'"&amp;$AB47&amp;"'!M23:M200")="W")*(INDIRECT("'"&amp;$AB47&amp;"'!E23:E200")=$AC47),1,0)/$Y47),"-")</f>
        <v>-</v>
      </c>
      <c r="D47" s="406" t="str">
        <f t="array" aca="1" ref="D47" ca="1">IF($AC47="Y",SUM(IF((INDIRECT("'"&amp;$AB47&amp;"'!J23:J200")=$E$1)*(INDIRECT("'"&amp;$AB47&amp;"'!I23:I200")="H")*(INDIRECT("'"&amp;$AB47&amp;"'!M23:M200")="D")*(INDIRECT("'"&amp;$AB47&amp;"'!E23:E200")=$AC47),1,0)/$Y47),"-")</f>
        <v>-</v>
      </c>
      <c r="E47" s="406" t="str">
        <f t="array" aca="1" ref="E47" ca="1">IF($AC47="Y",SUM(IF((INDIRECT("'"&amp;$AB47&amp;"'!J23:J200")=$E$1)*(INDIRECT("'"&amp;$AB47&amp;"'!I23:I200")="H")*(INDIRECT("'"&amp;$AB47&amp;"'!M23:M200")="L")*(INDIRECT("'"&amp;$AB47&amp;"'!E23:E200")=$AC47),1,0)/$Y47),"-")</f>
        <v>-</v>
      </c>
      <c r="F47" s="408" t="e">
        <f ca="1">VLOOKUP($B47,HiLo!$C$69:$AA$88,HiLo!I$65-1,FALSE)</f>
        <v>#N/A</v>
      </c>
      <c r="G47" s="408" t="e">
        <f ca="1">VLOOKUP($B47,HiLo!$C$69:$AA$88,HiLo!J$65-1,FALSE)</f>
        <v>#N/A</v>
      </c>
      <c r="H47" s="410" t="str">
        <f t="shared" ca="1" si="14"/>
        <v>-</v>
      </c>
      <c r="I47" s="410" t="str">
        <f t="shared" ca="1" si="15"/>
        <v>-</v>
      </c>
      <c r="J47" s="602" t="str">
        <f t="shared" ca="1" si="16"/>
        <v>-</v>
      </c>
      <c r="K47" s="681" t="str">
        <f t="array" aca="1" ref="K47" ca="1">IF($AC47="Y",SUM(IF((INDIRECT("'"&amp;$AB47&amp;"'!J23:J200")=$E$1)*(INDIRECT("'"&amp;$AB47&amp;"'!I23:I200")="A")*(INDIRECT("'"&amp;$AB47&amp;"'!M23:M200")="W")*(INDIRECT("'"&amp;$AB47&amp;"'!E23:E200")=$AC47),1,0)/$Z47),"-")</f>
        <v>-</v>
      </c>
      <c r="L47" s="406" t="str">
        <f t="array" aca="1" ref="L47" ca="1">IF($AC47="Y",SUM(IF((INDIRECT("'"&amp;$AB47&amp;"'!J23:J200")=$E$1)*(INDIRECT("'"&amp;$AB47&amp;"'!I23:I200")="A")*(INDIRECT("'"&amp;$AB47&amp;"'!M23:M200")="D")*(INDIRECT("'"&amp;$AB47&amp;"'!E23:E200")=$AC47),1,0)/$Z47),"-")</f>
        <v>-</v>
      </c>
      <c r="M47" s="406" t="str">
        <f t="array" aca="1" ref="M47" ca="1">IF($AC47="Y",SUM(IF((INDIRECT("'"&amp;$AB47&amp;"'!J23:J200")=$E$1)*(INDIRECT("'"&amp;$AB47&amp;"'!I23:I200")="A")*(INDIRECT("'"&amp;$AB47&amp;"'!M23:M200")="L")*(INDIRECT("'"&amp;$AB47&amp;"'!E23:E200")=$AC47),1,0)/$Z47),"-")</f>
        <v>-</v>
      </c>
      <c r="N47" s="408" t="e">
        <f ca="1">VLOOKUP($B47,HiLo!$C$69:$AA$88,HiLo!Q$65-1,FALSE)</f>
        <v>#N/A</v>
      </c>
      <c r="O47" s="408" t="e">
        <f ca="1">VLOOKUP($B47,HiLo!$C$69:$AA$88,HiLo!R$65-1,FALSE)</f>
        <v>#N/A</v>
      </c>
      <c r="P47" s="410" t="str">
        <f t="shared" ca="1" si="17"/>
        <v>-</v>
      </c>
      <c r="Q47" s="410" t="str">
        <f t="shared" ca="1" si="18"/>
        <v>-</v>
      </c>
      <c r="R47" s="682" t="str">
        <f t="array" aca="1" ref="R47" ca="1">IF($AC47="Y",SUM(IF((INDIRECT("'"&amp;$AB47&amp;"'!J23:J200")=$E$1)*(INDIRECT("'"&amp;$AB47&amp;"'!M23:M200")="W")*(INDIRECT("'"&amp;$AB47&amp;"'!E23:E200")=$AC47),1,0)/$AA47),"-")</f>
        <v>-</v>
      </c>
      <c r="S47" s="705" t="str">
        <f t="array" aca="1" ref="S47" ca="1">IF($AC47="Y",SUM(IF((INDIRECT("'"&amp;$AB47&amp;"'!J23:J200")=$E$1)*(INDIRECT("'"&amp;$AB47&amp;"'!I23:I200")="A")*(INDIRECT("'"&amp;$AB47&amp;"'!M23:M200")="D")*(INDIRECT("'"&amp;$AB47&amp;"'!E23:E200")=$AC47),1,0)/$Y47),"-")</f>
        <v>-</v>
      </c>
      <c r="T47" s="705" t="str">
        <f t="array" aca="1" ref="T47" ca="1">IF($AC47="Y",SUM(IF((INDIRECT("'"&amp;$AB47&amp;"'!J23:J200")=$E$1)*(INDIRECT("'"&amp;$AB47&amp;"'!I23:I200")="A")*(INDIRECT("'"&amp;$AB47&amp;"'!M23:M200")="L")*(INDIRECT("'"&amp;$AB47&amp;"'!E23:E200")=$AC47),1,0)/$Y47),"-")</f>
        <v>-</v>
      </c>
      <c r="U47" s="600" t="e">
        <f ca="1">VLOOKUP($B47,HiLo!$C$69:$AA$88,HiLo!Y$65-1,FALSE)</f>
        <v>#N/A</v>
      </c>
      <c r="V47" s="600" t="e">
        <f ca="1">VLOOKUP($B47,HiLo!$C$69:$AA$88,HiLo!Z$65-1,FALSE)</f>
        <v>#N/A</v>
      </c>
      <c r="W47" s="410" t="str">
        <f t="shared" ca="1" si="19"/>
        <v>-</v>
      </c>
      <c r="X47" s="653" t="str">
        <f t="shared" ca="1" si="20"/>
        <v>-</v>
      </c>
      <c r="Y47" s="707" t="str">
        <f t="array" aca="1" ref="Y47" ca="1">IF($AC47="Y",SUM(IF((INDIRECT("'"&amp;$AB47&amp;"'!J23:J200")=$E$1)*(INDIRECT("'"&amp;$AB47&amp;"'!I23:I200")="H")*(INDIRECT("'"&amp;$AB47&amp;"'!E23:E200")=$AC47)*(INDIRECT("'"&amp;$AB47&amp;"'!K23:K200")&lt;&gt;""),1,0)),"-")</f>
        <v>-</v>
      </c>
      <c r="Z47" s="707" t="str">
        <f t="array" aca="1" ref="Z47" ca="1">IF($AC47="Y",SUM(IF((INDIRECT("'"&amp;$AB47&amp;"'!J23:J200")=$E$1)*(INDIRECT("'"&amp;$AB47&amp;"'!I23:I200")="A")*(INDIRECT("'"&amp;$AB47&amp;"'!E23:E200")=$AC47)*(INDIRECT("'"&amp;$AB47&amp;"'!K23:K200")&lt;&gt;""),1,0)),"-")</f>
        <v>-</v>
      </c>
      <c r="AA47" s="707" t="str">
        <f t="shared" ca="1" si="21"/>
        <v>-</v>
      </c>
      <c r="AB47" s="230" t="str">
        <f ca="1">IF($AC47="Y",VLOOKUP(B47,Table!B:C,2,FALSE),"")</f>
        <v/>
      </c>
      <c r="AC47" s="230">
        <f ca="1">IF(B47="","",VLOOKUP(B47,Table!$B$38:$AO$59,Table!$AO$35-1,FALSE))</f>
        <v>0</v>
      </c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1:59" ht="15" thickBot="1">
      <c r="A48" s="429">
        <f t="shared" si="13"/>
        <v>16</v>
      </c>
      <c r="B48" s="413" t="str">
        <f t="shared" ca="1" si="13"/>
        <v>Machida Zelvia</v>
      </c>
      <c r="C48" s="681" t="str">
        <f t="array" aca="1" ref="C48" ca="1">IF($AC48="Y",SUM(IF((INDIRECT("'"&amp;$AB48&amp;"'!J23:J200")=$E$1)*(INDIRECT("'"&amp;$AB48&amp;"'!I23:I200")="H")*(INDIRECT("'"&amp;$AB48&amp;"'!M23:M200")="W")*(INDIRECT("'"&amp;$AB48&amp;"'!E23:E200")=$AC48),1,0)/$Y48),"-")</f>
        <v>-</v>
      </c>
      <c r="D48" s="406" t="str">
        <f t="array" aca="1" ref="D48" ca="1">IF($AC48="Y",SUM(IF((INDIRECT("'"&amp;$AB48&amp;"'!J23:J200")=$E$1)*(INDIRECT("'"&amp;$AB48&amp;"'!I23:I200")="H")*(INDIRECT("'"&amp;$AB48&amp;"'!M23:M200")="D")*(INDIRECT("'"&amp;$AB48&amp;"'!E23:E200")=$AC48),1,0)/$Y48),"-")</f>
        <v>-</v>
      </c>
      <c r="E48" s="406" t="str">
        <f t="array" aca="1" ref="E48" ca="1">IF($AC48="Y",SUM(IF((INDIRECT("'"&amp;$AB48&amp;"'!J23:J200")=$E$1)*(INDIRECT("'"&amp;$AB48&amp;"'!I23:I200")="H")*(INDIRECT("'"&amp;$AB48&amp;"'!M23:M200")="L")*(INDIRECT("'"&amp;$AB48&amp;"'!E23:E200")=$AC48),1,0)/$Y48),"-")</f>
        <v>-</v>
      </c>
      <c r="F48" s="408" t="e">
        <f ca="1">VLOOKUP($B48,HiLo!$C$69:$AA$88,HiLo!I$65-1,FALSE)</f>
        <v>#N/A</v>
      </c>
      <c r="G48" s="408" t="e">
        <f ca="1">VLOOKUP($B48,HiLo!$C$69:$AA$88,HiLo!J$65-1,FALSE)</f>
        <v>#N/A</v>
      </c>
      <c r="H48" s="410" t="str">
        <f t="shared" ca="1" si="14"/>
        <v>-</v>
      </c>
      <c r="I48" s="410" t="str">
        <f t="shared" ca="1" si="15"/>
        <v>-</v>
      </c>
      <c r="J48" s="602" t="str">
        <f t="shared" ca="1" si="16"/>
        <v>-</v>
      </c>
      <c r="K48" s="681" t="str">
        <f t="array" aca="1" ref="K48" ca="1">IF($AC48="Y",SUM(IF((INDIRECT("'"&amp;$AB48&amp;"'!J23:J200")=$E$1)*(INDIRECT("'"&amp;$AB48&amp;"'!I23:I200")="A")*(INDIRECT("'"&amp;$AB48&amp;"'!M23:M200")="W")*(INDIRECT("'"&amp;$AB48&amp;"'!E23:E200")=$AC48),1,0)/$Z48),"-")</f>
        <v>-</v>
      </c>
      <c r="L48" s="406" t="str">
        <f t="array" aca="1" ref="L48" ca="1">IF($AC48="Y",SUM(IF((INDIRECT("'"&amp;$AB48&amp;"'!J23:J200")=$E$1)*(INDIRECT("'"&amp;$AB48&amp;"'!I23:I200")="A")*(INDIRECT("'"&amp;$AB48&amp;"'!M23:M200")="D")*(INDIRECT("'"&amp;$AB48&amp;"'!E23:E200")=$AC48),1,0)/$Z48),"-")</f>
        <v>-</v>
      </c>
      <c r="M48" s="406" t="str">
        <f t="array" aca="1" ref="M48" ca="1">IF($AC48="Y",SUM(IF((INDIRECT("'"&amp;$AB48&amp;"'!J23:J200")=$E$1)*(INDIRECT("'"&amp;$AB48&amp;"'!I23:I200")="A")*(INDIRECT("'"&amp;$AB48&amp;"'!M23:M200")="L")*(INDIRECT("'"&amp;$AB48&amp;"'!E23:E200")=$AC48),1,0)/$Z48),"-")</f>
        <v>-</v>
      </c>
      <c r="N48" s="408" t="e">
        <f ca="1">VLOOKUP($B48,HiLo!$C$69:$AA$88,HiLo!Q$65-1,FALSE)</f>
        <v>#N/A</v>
      </c>
      <c r="O48" s="408" t="e">
        <f ca="1">VLOOKUP($B48,HiLo!$C$69:$AA$88,HiLo!R$65-1,FALSE)</f>
        <v>#N/A</v>
      </c>
      <c r="P48" s="410" t="str">
        <f t="shared" ca="1" si="17"/>
        <v>-</v>
      </c>
      <c r="Q48" s="410" t="str">
        <f t="shared" ca="1" si="18"/>
        <v>-</v>
      </c>
      <c r="R48" s="682" t="str">
        <f t="array" aca="1" ref="R48" ca="1">IF($AC48="Y",SUM(IF((INDIRECT("'"&amp;$AB48&amp;"'!J23:J200")=$E$1)*(INDIRECT("'"&amp;$AB48&amp;"'!M23:M200")="W")*(INDIRECT("'"&amp;$AB48&amp;"'!E23:E200")=$AC48),1,0)/$AA48),"-")</f>
        <v>-</v>
      </c>
      <c r="S48" s="705" t="str">
        <f t="array" aca="1" ref="S48" ca="1">IF($AC48="Y",SUM(IF((INDIRECT("'"&amp;$AB48&amp;"'!J23:J200")=$E$1)*(INDIRECT("'"&amp;$AB48&amp;"'!I23:I200")="A")*(INDIRECT("'"&amp;$AB48&amp;"'!M23:M200")="D")*(INDIRECT("'"&amp;$AB48&amp;"'!E23:E200")=$AC48),1,0)/$Y48),"-")</f>
        <v>-</v>
      </c>
      <c r="T48" s="705" t="str">
        <f t="array" aca="1" ref="T48" ca="1">IF($AC48="Y",SUM(IF((INDIRECT("'"&amp;$AB48&amp;"'!J23:J200")=$E$1)*(INDIRECT("'"&amp;$AB48&amp;"'!I23:I200")="A")*(INDIRECT("'"&amp;$AB48&amp;"'!M23:M200")="L")*(INDIRECT("'"&amp;$AB48&amp;"'!E23:E200")=$AC48),1,0)/$Y48),"-")</f>
        <v>-</v>
      </c>
      <c r="U48" s="600" t="e">
        <f ca="1">VLOOKUP($B48,HiLo!$C$69:$AA$88,HiLo!Y$65-1,FALSE)</f>
        <v>#N/A</v>
      </c>
      <c r="V48" s="600" t="e">
        <f ca="1">VLOOKUP($B48,HiLo!$C$69:$AA$88,HiLo!Z$65-1,FALSE)</f>
        <v>#N/A</v>
      </c>
      <c r="W48" s="410" t="str">
        <f t="shared" ca="1" si="19"/>
        <v>-</v>
      </c>
      <c r="X48" s="653" t="str">
        <f t="shared" ca="1" si="20"/>
        <v>-</v>
      </c>
      <c r="Y48" s="707" t="str">
        <f t="array" aca="1" ref="Y48" ca="1">IF($AC48="Y",SUM(IF((INDIRECT("'"&amp;$AB48&amp;"'!J23:J200")=$E$1)*(INDIRECT("'"&amp;$AB48&amp;"'!I23:I200")="H")*(INDIRECT("'"&amp;$AB48&amp;"'!E23:E200")=$AC48)*(INDIRECT("'"&amp;$AB48&amp;"'!K23:K200")&lt;&gt;""),1,0)),"-")</f>
        <v>-</v>
      </c>
      <c r="Z48" s="707" t="str">
        <f t="array" aca="1" ref="Z48" ca="1">IF($AC48="Y",SUM(IF((INDIRECT("'"&amp;$AB48&amp;"'!J23:J200")=$E$1)*(INDIRECT("'"&amp;$AB48&amp;"'!I23:I200")="A")*(INDIRECT("'"&amp;$AB48&amp;"'!E23:E200")=$AC48)*(INDIRECT("'"&amp;$AB48&amp;"'!K23:K200")&lt;&gt;""),1,0)),"-")</f>
        <v>-</v>
      </c>
      <c r="AA48" s="707" t="str">
        <f t="shared" ca="1" si="21"/>
        <v>-</v>
      </c>
      <c r="AB48" s="230" t="str">
        <f ca="1">IF($AC48="Y",VLOOKUP(B48,Table!B:C,2,FALSE),"")</f>
        <v/>
      </c>
      <c r="AC48" s="230">
        <f ca="1">IF(B48="","",VLOOKUP(B48,Table!$B$38:$AO$59,Table!$AO$35-1,FALSE))</f>
        <v>0</v>
      </c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1:59" ht="15" thickBot="1">
      <c r="A49" s="429">
        <f t="shared" ref="A49:B54" si="22">A22</f>
        <v>17</v>
      </c>
      <c r="B49" s="413" t="str">
        <f t="shared" ca="1" si="22"/>
        <v>Zweigen Kanazawa</v>
      </c>
      <c r="C49" s="681" t="str">
        <f t="array" aca="1" ref="C49" ca="1">IF($AC49="Y",SUM(IF((INDIRECT("'"&amp;$AB49&amp;"'!J23:J200")=$E$1)*(INDIRECT("'"&amp;$AB49&amp;"'!I23:I200")="H")*(INDIRECT("'"&amp;$AB49&amp;"'!M23:M200")="W")*(INDIRECT("'"&amp;$AB49&amp;"'!E23:E200")=$AC49),1,0)/$Y49),"-")</f>
        <v>-</v>
      </c>
      <c r="D49" s="406" t="str">
        <f t="array" aca="1" ref="D49" ca="1">IF($AC49="Y",SUM(IF((INDIRECT("'"&amp;$AB49&amp;"'!J23:J200")=$E$1)*(INDIRECT("'"&amp;$AB49&amp;"'!I23:I200")="H")*(INDIRECT("'"&amp;$AB49&amp;"'!M23:M200")="D")*(INDIRECT("'"&amp;$AB49&amp;"'!E23:E200")=$AC49),1,0)/$Y49),"-")</f>
        <v>-</v>
      </c>
      <c r="E49" s="406" t="str">
        <f t="array" aca="1" ref="E49" ca="1">IF($AC49="Y",SUM(IF((INDIRECT("'"&amp;$AB49&amp;"'!J23:J200")=$E$1)*(INDIRECT("'"&amp;$AB49&amp;"'!I23:I200")="H")*(INDIRECT("'"&amp;$AB49&amp;"'!M23:M200")="L")*(INDIRECT("'"&amp;$AB49&amp;"'!E23:E200")=$AC49),1,0)/$Y49),"-")</f>
        <v>-</v>
      </c>
      <c r="F49" s="408" t="e">
        <f ca="1">VLOOKUP($B49,HiLo!$C$69:$AA$88,HiLo!I$65-1,FALSE)</f>
        <v>#N/A</v>
      </c>
      <c r="G49" s="408" t="e">
        <f ca="1">VLOOKUP($B49,HiLo!$C$69:$AA$88,HiLo!J$65-1,FALSE)</f>
        <v>#N/A</v>
      </c>
      <c r="H49" s="410" t="str">
        <f t="shared" ca="1" si="14"/>
        <v>-</v>
      </c>
      <c r="I49" s="410" t="str">
        <f t="shared" ca="1" si="15"/>
        <v>-</v>
      </c>
      <c r="J49" s="602" t="str">
        <f t="shared" ca="1" si="16"/>
        <v>-</v>
      </c>
      <c r="K49" s="681" t="str">
        <f t="array" aca="1" ref="K49" ca="1">IF($AC49="Y",SUM(IF((INDIRECT("'"&amp;$AB49&amp;"'!J23:J200")=$E$1)*(INDIRECT("'"&amp;$AB49&amp;"'!I23:I200")="A")*(INDIRECT("'"&amp;$AB49&amp;"'!M23:M200")="W")*(INDIRECT("'"&amp;$AB49&amp;"'!E23:E200")=$AC49),1,0)/$Z49),"-")</f>
        <v>-</v>
      </c>
      <c r="L49" s="406" t="str">
        <f t="array" aca="1" ref="L49" ca="1">IF($AC49="Y",SUM(IF((INDIRECT("'"&amp;$AB49&amp;"'!J23:J200")=$E$1)*(INDIRECT("'"&amp;$AB49&amp;"'!I23:I200")="A")*(INDIRECT("'"&amp;$AB49&amp;"'!M23:M200")="D")*(INDIRECT("'"&amp;$AB49&amp;"'!E23:E200")=$AC49),1,0)/$Z49),"-")</f>
        <v>-</v>
      </c>
      <c r="M49" s="406" t="str">
        <f t="array" aca="1" ref="M49" ca="1">IF($AC49="Y",SUM(IF((INDIRECT("'"&amp;$AB49&amp;"'!J23:J200")=$E$1)*(INDIRECT("'"&amp;$AB49&amp;"'!I23:I200")="A")*(INDIRECT("'"&amp;$AB49&amp;"'!M23:M200")="L")*(INDIRECT("'"&amp;$AB49&amp;"'!E23:E200")=$AC49),1,0)/$Z49),"-")</f>
        <v>-</v>
      </c>
      <c r="N49" s="408" t="e">
        <f ca="1">VLOOKUP($B49,HiLo!$C$69:$AA$88,HiLo!Q$65-1,FALSE)</f>
        <v>#N/A</v>
      </c>
      <c r="O49" s="408" t="e">
        <f ca="1">VLOOKUP($B49,HiLo!$C$69:$AA$88,HiLo!R$65-1,FALSE)</f>
        <v>#N/A</v>
      </c>
      <c r="P49" s="410" t="str">
        <f t="shared" ca="1" si="17"/>
        <v>-</v>
      </c>
      <c r="Q49" s="410" t="str">
        <f t="shared" ca="1" si="18"/>
        <v>-</v>
      </c>
      <c r="R49" s="682" t="str">
        <f t="array" aca="1" ref="R49" ca="1">IF($AC49="Y",SUM(IF((INDIRECT("'"&amp;$AB49&amp;"'!J23:J200")=$E$1)*(INDIRECT("'"&amp;$AB49&amp;"'!M23:M200")="W")*(INDIRECT("'"&amp;$AB49&amp;"'!E23:E200")=$AC49),1,0)/$AA49),"-")</f>
        <v>-</v>
      </c>
      <c r="S49" s="705" t="str">
        <f t="array" aca="1" ref="S49" ca="1">IF($AC49="Y",SUM(IF((INDIRECT("'"&amp;$AB49&amp;"'!J23:J200")=$E$1)*(INDIRECT("'"&amp;$AB49&amp;"'!I23:I200")="A")*(INDIRECT("'"&amp;$AB49&amp;"'!M23:M200")="D")*(INDIRECT("'"&amp;$AB49&amp;"'!E23:E200")=$AC49),1,0)/$Y49),"-")</f>
        <v>-</v>
      </c>
      <c r="T49" s="705" t="str">
        <f t="array" aca="1" ref="T49" ca="1">IF($AC49="Y",SUM(IF((INDIRECT("'"&amp;$AB49&amp;"'!J23:J200")=$E$1)*(INDIRECT("'"&amp;$AB49&amp;"'!I23:I200")="A")*(INDIRECT("'"&amp;$AB49&amp;"'!M23:M200")="L")*(INDIRECT("'"&amp;$AB49&amp;"'!E23:E200")=$AC49),1,0)/$Y49),"-")</f>
        <v>-</v>
      </c>
      <c r="U49" s="600" t="e">
        <f ca="1">VLOOKUP($B49,HiLo!$C$69:$AA$88,HiLo!Y$65-1,FALSE)</f>
        <v>#N/A</v>
      </c>
      <c r="V49" s="600" t="e">
        <f ca="1">VLOOKUP($B49,HiLo!$C$69:$AA$88,HiLo!Z$65-1,FALSE)</f>
        <v>#N/A</v>
      </c>
      <c r="W49" s="410" t="str">
        <f t="shared" ca="1" si="19"/>
        <v>-</v>
      </c>
      <c r="X49" s="653" t="str">
        <f t="shared" ca="1" si="20"/>
        <v>-</v>
      </c>
      <c r="Y49" s="707" t="str">
        <f t="array" aca="1" ref="Y49" ca="1">IF($AC49="Y",SUM(IF((INDIRECT("'"&amp;$AB49&amp;"'!J23:J200")=$E$1)*(INDIRECT("'"&amp;$AB49&amp;"'!I23:I200")="H")*(INDIRECT("'"&amp;$AB49&amp;"'!E23:E200")=$AC49)*(INDIRECT("'"&amp;$AB49&amp;"'!K23:K200")&lt;&gt;""),1,0)),"-")</f>
        <v>-</v>
      </c>
      <c r="Z49" s="707" t="str">
        <f t="array" aca="1" ref="Z49" ca="1">IF($AC49="Y",SUM(IF((INDIRECT("'"&amp;$AB49&amp;"'!J23:J200")=$E$1)*(INDIRECT("'"&amp;$AB49&amp;"'!I23:I200")="A")*(INDIRECT("'"&amp;$AB49&amp;"'!E23:E200")=$AC49)*(INDIRECT("'"&amp;$AB49&amp;"'!K23:K200")&lt;&gt;""),1,0)),"-")</f>
        <v>-</v>
      </c>
      <c r="AA49" s="707" t="str">
        <f t="shared" ca="1" si="21"/>
        <v>-</v>
      </c>
      <c r="AB49" s="230" t="str">
        <f ca="1">IF($AC49="Y",VLOOKUP(B49,Table!B:C,2,FALSE),"")</f>
        <v/>
      </c>
      <c r="AC49" s="230">
        <f ca="1">IF(B49="","",VLOOKUP(B49,Table!$B$38:$AO$59,Table!$AO$35-1,FALSE))</f>
        <v>0</v>
      </c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1:59" ht="15" customHeight="1" thickBot="1">
      <c r="A50" s="429">
        <f t="shared" si="22"/>
        <v>18</v>
      </c>
      <c r="B50" s="413" t="str">
        <f t="shared" ca="1" si="22"/>
        <v>Gifu</v>
      </c>
      <c r="C50" s="681" t="str">
        <f t="array" aca="1" ref="C50" ca="1">IF($AC50="Y",SUM(IF((INDIRECT("'"&amp;$AB50&amp;"'!J23:J200")=$E$1)*(INDIRECT("'"&amp;$AB50&amp;"'!I23:I200")="H")*(INDIRECT("'"&amp;$AB50&amp;"'!M23:M200")="W")*(INDIRECT("'"&amp;$AB50&amp;"'!E23:E200")=$AC50),1,0)/$Y50),"-")</f>
        <v>-</v>
      </c>
      <c r="D50" s="406" t="str">
        <f t="array" aca="1" ref="D50" ca="1">IF($AC50="Y",SUM(IF((INDIRECT("'"&amp;$AB50&amp;"'!J23:J200")=$E$1)*(INDIRECT("'"&amp;$AB50&amp;"'!I23:I200")="H")*(INDIRECT("'"&amp;$AB50&amp;"'!M23:M200")="D")*(INDIRECT("'"&amp;$AB50&amp;"'!E23:E200")=$AC50),1,0)/$Y50),"-")</f>
        <v>-</v>
      </c>
      <c r="E50" s="406" t="str">
        <f t="array" aca="1" ref="E50" ca="1">IF($AC50="Y",SUM(IF((INDIRECT("'"&amp;$AB50&amp;"'!J23:J200")=$E$1)*(INDIRECT("'"&amp;$AB50&amp;"'!I23:I200")="H")*(INDIRECT("'"&amp;$AB50&amp;"'!M23:M200")="L")*(INDIRECT("'"&amp;$AB50&amp;"'!E23:E200")=$AC50),1,0)/$Y50),"-")</f>
        <v>-</v>
      </c>
      <c r="F50" s="408" t="e">
        <f ca="1">VLOOKUP($B50,HiLo!$C$69:$AA$88,HiLo!I$65-1,FALSE)</f>
        <v>#N/A</v>
      </c>
      <c r="G50" s="408" t="e">
        <f ca="1">VLOOKUP($B50,HiLo!$C$69:$AA$88,HiLo!J$65-1,FALSE)</f>
        <v>#N/A</v>
      </c>
      <c r="H50" s="410" t="str">
        <f t="shared" ca="1" si="14"/>
        <v>-</v>
      </c>
      <c r="I50" s="410" t="str">
        <f t="shared" ca="1" si="15"/>
        <v>-</v>
      </c>
      <c r="J50" s="602" t="str">
        <f t="shared" ca="1" si="16"/>
        <v>-</v>
      </c>
      <c r="K50" s="681" t="str">
        <f t="array" aca="1" ref="K50" ca="1">IF($AC50="Y",SUM(IF((INDIRECT("'"&amp;$AB50&amp;"'!J23:J200")=$E$1)*(INDIRECT("'"&amp;$AB50&amp;"'!I23:I200")="A")*(INDIRECT("'"&amp;$AB50&amp;"'!M23:M200")="W")*(INDIRECT("'"&amp;$AB50&amp;"'!E23:E200")=$AC50),1,0)/$Z50),"-")</f>
        <v>-</v>
      </c>
      <c r="L50" s="406" t="str">
        <f t="array" aca="1" ref="L50" ca="1">IF($AC50="Y",SUM(IF((INDIRECT("'"&amp;$AB50&amp;"'!J23:J200")=$E$1)*(INDIRECT("'"&amp;$AB50&amp;"'!I23:I200")="A")*(INDIRECT("'"&amp;$AB50&amp;"'!M23:M200")="D")*(INDIRECT("'"&amp;$AB50&amp;"'!E23:E200")=$AC50),1,0)/$Z50),"-")</f>
        <v>-</v>
      </c>
      <c r="M50" s="406" t="str">
        <f t="array" aca="1" ref="M50" ca="1">IF($AC50="Y",SUM(IF((INDIRECT("'"&amp;$AB50&amp;"'!J23:J200")=$E$1)*(INDIRECT("'"&amp;$AB50&amp;"'!I23:I200")="A")*(INDIRECT("'"&amp;$AB50&amp;"'!M23:M200")="L")*(INDIRECT("'"&amp;$AB50&amp;"'!E23:E200")=$AC50),1,0)/$Z50),"-")</f>
        <v>-</v>
      </c>
      <c r="N50" s="408" t="e">
        <f ca="1">VLOOKUP($B50,HiLo!$C$69:$AA$88,HiLo!Q$65-1,FALSE)</f>
        <v>#N/A</v>
      </c>
      <c r="O50" s="408" t="e">
        <f ca="1">VLOOKUP($B50,HiLo!$C$69:$AA$88,HiLo!R$65-1,FALSE)</f>
        <v>#N/A</v>
      </c>
      <c r="P50" s="410" t="str">
        <f t="shared" ca="1" si="17"/>
        <v>-</v>
      </c>
      <c r="Q50" s="410" t="str">
        <f t="shared" ca="1" si="18"/>
        <v>-</v>
      </c>
      <c r="R50" s="682" t="str">
        <f t="array" aca="1" ref="R50" ca="1">IF($AC50="Y",SUM(IF((INDIRECT("'"&amp;$AB50&amp;"'!J23:J200")=$E$1)*(INDIRECT("'"&amp;$AB50&amp;"'!M23:M200")="W")*(INDIRECT("'"&amp;$AB50&amp;"'!E23:E200")=$AC50),1,0)/$AA50),"-")</f>
        <v>-</v>
      </c>
      <c r="S50" s="705" t="str">
        <f t="array" aca="1" ref="S50" ca="1">IF($AC50="Y",SUM(IF((INDIRECT("'"&amp;$AB50&amp;"'!J23:J200")=$E$1)*(INDIRECT("'"&amp;$AB50&amp;"'!I23:I200")="A")*(INDIRECT("'"&amp;$AB50&amp;"'!M23:M200")="D")*(INDIRECT("'"&amp;$AB50&amp;"'!E23:E200")=$AC50),1,0)/$Y50),"-")</f>
        <v>-</v>
      </c>
      <c r="T50" s="705" t="str">
        <f t="array" aca="1" ref="T50" ca="1">IF($AC50="Y",SUM(IF((INDIRECT("'"&amp;$AB50&amp;"'!J23:J200")=$E$1)*(INDIRECT("'"&amp;$AB50&amp;"'!I23:I200")="A")*(INDIRECT("'"&amp;$AB50&amp;"'!M23:M200")="L")*(INDIRECT("'"&amp;$AB50&amp;"'!E23:E200")=$AC50),1,0)/$Y50),"-")</f>
        <v>-</v>
      </c>
      <c r="U50" s="600" t="e">
        <f ca="1">VLOOKUP($B50,HiLo!$C$69:$AA$88,HiLo!Y$65-1,FALSE)</f>
        <v>#N/A</v>
      </c>
      <c r="V50" s="600" t="e">
        <f ca="1">VLOOKUP($B50,HiLo!$C$69:$AA$88,HiLo!Z$65-1,FALSE)</f>
        <v>#N/A</v>
      </c>
      <c r="W50" s="410" t="str">
        <f t="shared" ca="1" si="19"/>
        <v>-</v>
      </c>
      <c r="X50" s="653" t="str">
        <f t="shared" ca="1" si="20"/>
        <v>-</v>
      </c>
      <c r="Y50" s="707" t="str">
        <f t="array" aca="1" ref="Y50" ca="1">IF($AC50="Y",SUM(IF((INDIRECT("'"&amp;$AB50&amp;"'!J23:J200")=$E$1)*(INDIRECT("'"&amp;$AB50&amp;"'!I23:I200")="H")*(INDIRECT("'"&amp;$AB50&amp;"'!E23:E200")=$AC50)*(INDIRECT("'"&amp;$AB50&amp;"'!K23:K200")&lt;&gt;""),1,0)),"-")</f>
        <v>-</v>
      </c>
      <c r="Z50" s="707" t="str">
        <f t="array" aca="1" ref="Z50" ca="1">IF($AC50="Y",SUM(IF((INDIRECT("'"&amp;$AB50&amp;"'!J23:J200")=$E$1)*(INDIRECT("'"&amp;$AB50&amp;"'!I23:I200")="A")*(INDIRECT("'"&amp;$AB50&amp;"'!E23:E200")=$AC50)*(INDIRECT("'"&amp;$AB50&amp;"'!K23:K200")&lt;&gt;""),1,0)),"-")</f>
        <v>-</v>
      </c>
      <c r="AA50" s="707" t="str">
        <f t="shared" ca="1" si="21"/>
        <v>-</v>
      </c>
      <c r="AB50" s="230" t="str">
        <f ca="1">IF($AC50="Y",VLOOKUP(B50,Table!B:C,2,FALSE),"")</f>
        <v/>
      </c>
      <c r="AC50" s="230">
        <f ca="1">IF(B50="","",VLOOKUP(B50,Table!$B$38:$AO$59,Table!$AO$35-1,FALSE))</f>
        <v>0</v>
      </c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1:59" ht="15" customHeight="1" thickBot="1">
      <c r="A51" s="429">
        <f t="shared" si="22"/>
        <v>19</v>
      </c>
      <c r="B51" s="413" t="str">
        <f t="shared" ca="1" si="22"/>
        <v>Kamatamare Sanuki</v>
      </c>
      <c r="C51" s="681" t="str">
        <f t="array" aca="1" ref="C51" ca="1">IF($AC51="Y",SUM(IF((INDIRECT("'"&amp;$AB51&amp;"'!J23:J200")=$E$1)*(INDIRECT("'"&amp;$AB51&amp;"'!I23:I200")="H")*(INDIRECT("'"&amp;$AB51&amp;"'!M23:M200")="W")*(INDIRECT("'"&amp;$AB51&amp;"'!E23:E200")=$AC51),1,0)/$Y51),"-")</f>
        <v>-</v>
      </c>
      <c r="D51" s="406" t="str">
        <f t="array" aca="1" ref="D51" ca="1">IF($AC51="Y",SUM(IF((INDIRECT($AB51&amp;"!J23:J200")=$E$1)*(INDIRECT($AB51&amp;"!I23:I200")="H")*(INDIRECT($AB51&amp;"!M23:M200")="D")*(INDIRECT($AB51&amp;"!E23:E200")=$AC51),1,0)/$Y51),"-")</f>
        <v>-</v>
      </c>
      <c r="E51" s="406" t="str">
        <f t="array" aca="1" ref="E51" ca="1">IF($AC51="Y",SUM(IF((INDIRECT("'"&amp;$AB51&amp;"'!J23:J200")=$E$1)*(INDIRECT("'"&amp;$AB51&amp;"'!I23:I200")="H")*(INDIRECT("'"&amp;$AB51&amp;"'!M23:M200")="L")*(INDIRECT("'"&amp;$AB51&amp;"'!E23:E200")=$AC51),1,0)/$Y51),"-")</f>
        <v>-</v>
      </c>
      <c r="F51" s="408" t="e">
        <f ca="1">VLOOKUP($B51,HiLo!$C$69:$AA$88,HiLo!I$65-1,FALSE)</f>
        <v>#N/A</v>
      </c>
      <c r="G51" s="408" t="e">
        <f ca="1">VLOOKUP($B51,HiLo!$C$69:$AA$88,HiLo!J$65-1,FALSE)</f>
        <v>#N/A</v>
      </c>
      <c r="H51" s="410" t="str">
        <f t="shared" ca="1" si="14"/>
        <v>-</v>
      </c>
      <c r="I51" s="410" t="str">
        <f t="shared" ca="1" si="15"/>
        <v>-</v>
      </c>
      <c r="J51" s="602" t="str">
        <f t="shared" ca="1" si="16"/>
        <v>-</v>
      </c>
      <c r="K51" s="681" t="str">
        <f t="array" aca="1" ref="K51" ca="1">IF($AC51="Y",SUM(IF((INDIRECT($AB51&amp;"!J23:J200")=$E$1)*(INDIRECT($AB51&amp;"!I23:I200")="A")*(INDIRECT($AB51&amp;"!M23:M200")="W")*(INDIRECT($AB51&amp;"!E23:E200")=$AC51),1,0)/$Z51),"-")</f>
        <v>-</v>
      </c>
      <c r="L51" s="406" t="str">
        <f t="array" aca="1" ref="L51" ca="1">IF($AC51="Y",SUM(IF((INDIRECT($AB51&amp;"!J23:J200")=$E$1)*(INDIRECT($AB51&amp;"!I23:I200")="A")*(INDIRECT($AB51&amp;"!M23:M200")="D")*(INDIRECT($AB51&amp;"!E23:E200")=$AC51),1,0)/$Z51),"-")</f>
        <v>-</v>
      </c>
      <c r="M51" s="406" t="str">
        <f t="array" aca="1" ref="M51" ca="1">IF($AC51="Y",SUM(IF((INDIRECT($AB51&amp;"!J23:J200")=$E$1)*(INDIRECT($AB51&amp;"!I23:I200")="A")*(INDIRECT($AB51&amp;"!M23:M200")="L")*(INDIRECT($AB51&amp;"!E23:E200")=$AC51),1,0)/$Z51),"-")</f>
        <v>-</v>
      </c>
      <c r="N51" s="408" t="e">
        <f ca="1">VLOOKUP($B51,HiLo!$C$69:$AA$88,HiLo!Q$65-1,FALSE)</f>
        <v>#N/A</v>
      </c>
      <c r="O51" s="408" t="e">
        <f ca="1">VLOOKUP($B51,HiLo!$C$69:$AA$88,HiLo!R$65-1,FALSE)</f>
        <v>#N/A</v>
      </c>
      <c r="P51" s="410" t="str">
        <f t="shared" ca="1" si="17"/>
        <v>-</v>
      </c>
      <c r="Q51" s="410" t="str">
        <f t="shared" ca="1" si="18"/>
        <v>-</v>
      </c>
      <c r="R51" s="708" t="str">
        <f t="array" aca="1" ref="R51" ca="1">IF($AC51="Y",SUM(IF((INDIRECT($AB51&amp;"!J23:J200")=$E$1)*(INDIRECT($AB51&amp;"!M23:M200")="W")*(INDIRECT($AB51&amp;"!E23:E200")=$AC51),1,0)/$AA51),"-")</f>
        <v>-</v>
      </c>
      <c r="S51" s="406" t="str">
        <f t="array" aca="1" ref="S51" ca="1">IF($AC51="Y",SUM(IF((INDIRECT($AB51&amp;"!J23:J200")=$E$1)*(INDIRECT($AB51&amp;"!I23:I200")="A")*(INDIRECT($AB51&amp;"!M23:M200")="D")*(INDIRECT($AB51&amp;"!E23:E200")=$AC51),1,0)/$Y51),"-")</f>
        <v>-</v>
      </c>
      <c r="T51" s="406" t="str">
        <f t="array" aca="1" ref="T51" ca="1">IF($AC51="Y",SUM(IF((INDIRECT($AB51&amp;"!J23:J200")=$E$1)*(INDIRECT($AB51&amp;"!I23:I200")="A")*(INDIRECT($AB51&amp;"!M23:M200")="L")*(INDIRECT($AB51&amp;"!E23:E200")=$AC51),1,0)/$Y51),"-")</f>
        <v>-</v>
      </c>
      <c r="U51" s="600" t="e">
        <f ca="1">VLOOKUP($B51,HiLo!$C$69:$AA$88,HiLo!Y$65-1,FALSE)</f>
        <v>#N/A</v>
      </c>
      <c r="V51" s="600" t="e">
        <f ca="1">VLOOKUP($B51,HiLo!$C$69:$AA$88,HiLo!Z$65-1,FALSE)</f>
        <v>#N/A</v>
      </c>
      <c r="W51" s="410" t="str">
        <f t="shared" ca="1" si="19"/>
        <v>-</v>
      </c>
      <c r="X51" s="653" t="str">
        <f t="shared" ca="1" si="20"/>
        <v>-</v>
      </c>
      <c r="Y51" s="707" t="str">
        <f t="array" aca="1" ref="Y51" ca="1">IF($AC51="Y",SUM(IF((INDIRECT($AB51&amp;"!J23:J200")=$E$1)*(INDIRECT($AB51&amp;"!I23:I200")="H")*(INDIRECT($AB51&amp;"!E23:E200")=$AC51)*(INDIRECT($AB51&amp;"!K23:K200")&lt;&gt;""),1,0)),"-")</f>
        <v>-</v>
      </c>
      <c r="Z51" s="707" t="str">
        <f t="array" aca="1" ref="Z51" ca="1">IF($AC51="Y",SUM(IF((INDIRECT($AB51&amp;"!J23:J200")=$E$1)*(INDIRECT($AB51&amp;"!I23:I200")="A")*(INDIRECT($AB51&amp;"!E23:E200")=$AC51)*(INDIRECT($AB51&amp;"!K23:K200")&lt;&gt;""),1,0)),"-")</f>
        <v>-</v>
      </c>
      <c r="AA51" s="707" t="str">
        <f t="shared" ca="1" si="21"/>
        <v>-</v>
      </c>
      <c r="AB51" s="230" t="str">
        <f ca="1">IF($AC51="Y",VLOOKUP(B51,Table!B:C,2,FALSE),"")</f>
        <v/>
      </c>
      <c r="AC51" s="230">
        <f ca="1">IF(B51="","",VLOOKUP(B51,Table!$B$38:$AO$59,Table!$AO$35-1,FALSE))</f>
        <v>0</v>
      </c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1:59" ht="15" customHeight="1" thickBot="1">
      <c r="A52" s="429">
        <f t="shared" si="22"/>
        <v>20</v>
      </c>
      <c r="B52" s="413" t="str">
        <f t="shared" ca="1" si="22"/>
        <v>Renofa Yamaguchi</v>
      </c>
      <c r="C52" s="681" t="str">
        <f t="array" aca="1" ref="C52" ca="1">IF($AC52="Y",SUM(IF((INDIRECT("'"&amp;$AB52&amp;"'!J23:J200")=$E$1)*(INDIRECT("'"&amp;$AB52&amp;"'!I23:I200")="H")*(INDIRECT("'"&amp;$AB52&amp;"'!M23:M200")="W")*(INDIRECT("'"&amp;$AB52&amp;"'!E23:E200")=$AC52),1,0)/$Y52),"-")</f>
        <v>-</v>
      </c>
      <c r="D52" s="406" t="str">
        <f t="array" aca="1" ref="D52" ca="1">IF($AC52="Y",SUM(IF((INDIRECT($AB52&amp;"!J23:J200")=$E$1)*(INDIRECT($AB52&amp;"!I23:I200")="H")*(INDIRECT($AB52&amp;"!M23:M200")="D")*(INDIRECT($AB52&amp;"!E23:E200")=$AC52),1,0)/$Y52),"-")</f>
        <v>-</v>
      </c>
      <c r="E52" s="406" t="str">
        <f t="array" aca="1" ref="E52" ca="1">IF($AC52="Y",SUM(IF((INDIRECT("'"&amp;$AB52&amp;"'!J23:J200")=$E$1)*(INDIRECT("'"&amp;$AB52&amp;"'!I23:I200")="H")*(INDIRECT("'"&amp;$AB52&amp;"'!M23:M200")="L")*(INDIRECT("'"&amp;$AB52&amp;"'!E23:E200")=$AC52),1,0)/$Y52),"-")</f>
        <v>-</v>
      </c>
      <c r="F52" s="408" t="e">
        <f ca="1">VLOOKUP($B52,HiLo!$C$69:$AA$88,HiLo!I$65-1,FALSE)</f>
        <v>#N/A</v>
      </c>
      <c r="G52" s="408" t="e">
        <f ca="1">VLOOKUP($B52,HiLo!$C$69:$AA$88,HiLo!J$65-1,FALSE)</f>
        <v>#N/A</v>
      </c>
      <c r="H52" s="410" t="str">
        <f t="shared" ca="1" si="14"/>
        <v>-</v>
      </c>
      <c r="I52" s="410" t="str">
        <f t="shared" ca="1" si="15"/>
        <v>-</v>
      </c>
      <c r="J52" s="602" t="str">
        <f t="shared" ca="1" si="16"/>
        <v>-</v>
      </c>
      <c r="K52" s="681" t="str">
        <f t="array" aca="1" ref="K52" ca="1">IF($AC52="Y",SUM(IF((INDIRECT($AB52&amp;"!J23:J200")=$E$1)*(INDIRECT($AB52&amp;"!I23:I200")="A")*(INDIRECT($AB52&amp;"!M23:M200")="W")*(INDIRECT($AB52&amp;"!E23:E200")=$AC52),1,0)/$Z52),"-")</f>
        <v>-</v>
      </c>
      <c r="L52" s="406" t="str">
        <f t="array" aca="1" ref="L52" ca="1">IF($AC52="Y",SUM(IF((INDIRECT($AB52&amp;"!J23:J200")=$E$1)*(INDIRECT($AB52&amp;"!I23:I200")="A")*(INDIRECT($AB52&amp;"!M23:M200")="D")*(INDIRECT($AB52&amp;"!E23:E200")=$AC52),1,0)/$Z52),"-")</f>
        <v>-</v>
      </c>
      <c r="M52" s="406" t="str">
        <f t="array" aca="1" ref="M52" ca="1">IF($AC52="Y",SUM(IF((INDIRECT($AB52&amp;"!J23:J200")=$E$1)*(INDIRECT($AB52&amp;"!I23:I200")="A")*(INDIRECT($AB52&amp;"!M23:M200")="L")*(INDIRECT($AB52&amp;"!E23:E200")=$AC52),1,0)/$Z52),"-")</f>
        <v>-</v>
      </c>
      <c r="N52" s="408" t="e">
        <f ca="1">VLOOKUP($B52,HiLo!$C$69:$AA$88,HiLo!Q$65-1,FALSE)</f>
        <v>#N/A</v>
      </c>
      <c r="O52" s="408" t="e">
        <f ca="1">VLOOKUP($B52,HiLo!$C$69:$AA$88,HiLo!R$65-1,FALSE)</f>
        <v>#N/A</v>
      </c>
      <c r="P52" s="410" t="str">
        <f t="shared" ca="1" si="17"/>
        <v>-</v>
      </c>
      <c r="Q52" s="410" t="str">
        <f t="shared" ca="1" si="18"/>
        <v>-</v>
      </c>
      <c r="R52" s="708" t="str">
        <f t="array" aca="1" ref="R52" ca="1">IF($AC52="Y",SUM(IF((INDIRECT($AB52&amp;"!J23:J200")=$E$1)*(INDIRECT($AB52&amp;"!M23:M200")="W")*(INDIRECT($AB52&amp;"!E23:E200")=$AC52),1,0)/$AA52),"-")</f>
        <v>-</v>
      </c>
      <c r="S52" s="406" t="str">
        <f t="array" aca="1" ref="S52" ca="1">IF($AC52="Y",SUM(IF((INDIRECT($AB52&amp;"!J23:J200")=$E$1)*(INDIRECT($AB52&amp;"!I23:I200")="A")*(INDIRECT($AB52&amp;"!M23:M200")="D")*(INDIRECT($AB52&amp;"!E23:E200")=$AC52),1,0)/$Y52),"-")</f>
        <v>-</v>
      </c>
      <c r="T52" s="406" t="str">
        <f t="array" aca="1" ref="T52" ca="1">IF($AC52="Y",SUM(IF((INDIRECT($AB52&amp;"!J23:J200")=$E$1)*(INDIRECT($AB52&amp;"!I23:I200")="A")*(INDIRECT($AB52&amp;"!M23:M200")="L")*(INDIRECT($AB52&amp;"!E23:E200")=$AC52),1,0)/$Y52),"-")</f>
        <v>-</v>
      </c>
      <c r="U52" s="600" t="e">
        <f ca="1">VLOOKUP($B52,HiLo!$C$69:$AA$88,HiLo!Y$65-1,FALSE)</f>
        <v>#N/A</v>
      </c>
      <c r="V52" s="600" t="e">
        <f ca="1">VLOOKUP($B52,HiLo!$C$69:$AA$88,HiLo!Z$65-1,FALSE)</f>
        <v>#N/A</v>
      </c>
      <c r="W52" s="410" t="str">
        <f t="shared" ca="1" si="19"/>
        <v>-</v>
      </c>
      <c r="X52" s="653" t="str">
        <f t="shared" ca="1" si="20"/>
        <v>-</v>
      </c>
      <c r="Y52" s="707" t="str">
        <f t="array" aca="1" ref="Y52" ca="1">IF($AC52="Y",SUM(IF((INDIRECT($AB52&amp;"!J23:J200")=$E$1)*(INDIRECT($AB52&amp;"!I23:I200")="H")*(INDIRECT($AB52&amp;"!E23:E200")=$AC52)*(INDIRECT($AB52&amp;"!K23:K200")&lt;&gt;""),1,0)),"-")</f>
        <v>-</v>
      </c>
      <c r="Z52" s="707" t="str">
        <f t="array" aca="1" ref="Z52" ca="1">IF($AC52="Y",SUM(IF((INDIRECT($AB52&amp;"!J23:J200")=$E$1)*(INDIRECT($AB52&amp;"!I23:I200")="A")*(INDIRECT($AB52&amp;"!E23:E200")=$AC52)*(INDIRECT($AB52&amp;"!K23:K200")&lt;&gt;""),1,0)),"-")</f>
        <v>-</v>
      </c>
      <c r="AA52" s="707" t="str">
        <f t="shared" ca="1" si="21"/>
        <v>-</v>
      </c>
      <c r="AB52" s="230" t="str">
        <f ca="1">IF($AC52="Y",VLOOKUP(B52,Table!B:C,2,FALSE),"")</f>
        <v/>
      </c>
      <c r="AC52" s="230">
        <f ca="1">IF(B52="","",VLOOKUP(B52,Table!$B$38:$AO$59,Table!$AO$35-1,FALSE))</f>
        <v>0</v>
      </c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1:59" ht="15" hidden="1" customHeight="1">
      <c r="A53" s="429">
        <f t="shared" si="22"/>
        <v>21</v>
      </c>
      <c r="B53" s="413" t="str">
        <f t="shared" si="22"/>
        <v/>
      </c>
      <c r="C53" s="681" t="str">
        <f t="array" aca="1" ref="C53" ca="1">IF($AC53="Y",SUM(IF((INDIRECT($AB53&amp;"!J23:J200")=$E$1)*(INDIRECT($AB53&amp;"!I23:I200")="H")*(INDIRECT($AB53&amp;"!M23:M200")="W")*(INDIRECT($AB53&amp;"!E23:E200")=$AC53),1,0)/$Y53),"-")</f>
        <v>-</v>
      </c>
      <c r="D53" s="406" t="str">
        <f t="array" aca="1" ref="D53" ca="1">IF($AC53="Y",SUM(IF((INDIRECT($AB53&amp;"!J23:J200")=$E$1)*(INDIRECT($AB53&amp;"!I23:I200")="H")*(INDIRECT($AB53&amp;"!M23:M200")="D")*(INDIRECT($AB53&amp;"!E23:E200")=$AC53),1,0)/$Y53),"-")</f>
        <v>-</v>
      </c>
      <c r="E53" s="406" t="str">
        <f t="array" aca="1" ref="E53" ca="1">IF($AC53="Y",SUM(IF((INDIRECT("'"&amp;$AB53&amp;"'!J23:J200")=$E$1)*(INDIRECT("'"&amp;$AB53&amp;"'!I23:I200")="H")*(INDIRECT("'"&amp;$AB53&amp;"'!M23:M200")="L")*(INDIRECT("'"&amp;$AB53&amp;"'!E23:E200")=$AC53),1,0)/$Y53),"-")</f>
        <v>-</v>
      </c>
      <c r="F53" s="408" t="s">
        <v>206</v>
      </c>
      <c r="G53" s="408" t="s">
        <v>206</v>
      </c>
      <c r="H53" s="410" t="str">
        <f t="shared" ref="H53:H54" si="23">IF($AC53="Y",F53+G53,"-")</f>
        <v>-</v>
      </c>
      <c r="I53" s="410" t="str">
        <f t="shared" ref="I53:I54" si="24">IF($AC53="Y",F53-G53,"-")</f>
        <v>-</v>
      </c>
      <c r="J53" s="522" t="str">
        <f t="shared" ref="J53:J54" si="25">IF($AC53="Y",(I53-Q53)/2,"-")</f>
        <v>-</v>
      </c>
      <c r="K53" s="681" t="str">
        <f t="array" aca="1" ref="K53" ca="1">IF($AC53="Y",SUM(IF((INDIRECT($AB53&amp;"!J23:J200")=$E$1)*(INDIRECT($AB53&amp;"!I23:I200")="A")*(INDIRECT($AB53&amp;"!M23:M200")="W")*(INDIRECT($AB53&amp;"!E23:E200")=$AC53),1,0)/$Z53),"-")</f>
        <v>-</v>
      </c>
      <c r="L53" s="406" t="str">
        <f t="array" aca="1" ref="L53" ca="1">IF($AC53="Y",SUM(IF((INDIRECT($AB53&amp;"!J23:J200")=$E$1)*(INDIRECT($AB53&amp;"!I23:I200")="A")*(INDIRECT($AB53&amp;"!M23:M200")="D")*(INDIRECT($AB53&amp;"!E23:E200")=$AC53),1,0)/$Z53),"-")</f>
        <v>-</v>
      </c>
      <c r="M53" s="406" t="str">
        <f t="array" aca="1" ref="M53" ca="1">IF($AC53="Y",SUM(IF((INDIRECT($AB53&amp;"!J23:J200")=$E$1)*(INDIRECT($AB53&amp;"!I23:I200")="A")*(INDIRECT($AB53&amp;"!M23:M200")="L")*(INDIRECT($AB53&amp;"!E23:E200")=$AC53),1,0)/$Z53),"-")</f>
        <v>-</v>
      </c>
      <c r="N53" s="408" t="s">
        <v>206</v>
      </c>
      <c r="O53" s="408" t="s">
        <v>206</v>
      </c>
      <c r="P53" s="410" t="str">
        <f t="shared" si="17"/>
        <v>-</v>
      </c>
      <c r="Q53" s="410" t="str">
        <f t="shared" si="18"/>
        <v>-</v>
      </c>
      <c r="R53" s="708" t="str">
        <f t="array" aca="1" ref="R53" ca="1">IF($AC53="Y",SUM(IF((INDIRECT($AB53&amp;"!J23:J200")=$E$1)*(INDIRECT($AB53&amp;"!M23:M200")="W")*(INDIRECT($AB53&amp;"!E23:E200")=$AC53),1,0)/$AA53),"-")</f>
        <v>-</v>
      </c>
      <c r="S53" s="406" t="str">
        <f t="array" aca="1" ref="S53" ca="1">IF($AC53="Y",SUM(IF((INDIRECT($AB53&amp;"!J23:J200")=$E$1)*(INDIRECT($AB53&amp;"!I23:I200")="A")*(INDIRECT($AB53&amp;"!M23:M200")="D")*(INDIRECT($AB53&amp;"!E23:E200")=$AC53),1,0)/$Y53),"-")</f>
        <v>-</v>
      </c>
      <c r="T53" s="406" t="str">
        <f t="array" aca="1" ref="T53" ca="1">IF($AC53="Y",SUM(IF((INDIRECT($AB53&amp;"!J23:J200")=$E$1)*(INDIRECT($AB53&amp;"!I23:I200")="A")*(INDIRECT($AB53&amp;"!M23:M200")="L")*(INDIRECT($AB53&amp;"!E23:E200")=$AC53),1,0)/$Y53),"-")</f>
        <v>-</v>
      </c>
      <c r="U53" s="408" t="s">
        <v>206</v>
      </c>
      <c r="V53" s="408" t="s">
        <v>206</v>
      </c>
      <c r="W53" s="410" t="str">
        <f t="shared" si="19"/>
        <v>-</v>
      </c>
      <c r="X53" s="653" t="str">
        <f t="shared" si="20"/>
        <v>-</v>
      </c>
      <c r="Y53" s="707" t="str">
        <f t="array" aca="1" ref="Y53" ca="1">IF($AC53="Y",SUM(IF((INDIRECT($AB53&amp;"!J23:J200")=$E$1)*(INDIRECT($AB53&amp;"!I23:I200")="H")*(INDIRECT($AB53&amp;"!E23:E200")=$AC53)*(INDIRECT($AB53&amp;"!K23:K200")&lt;&gt;""),1,0)),"-")</f>
        <v>-</v>
      </c>
      <c r="Z53" s="707" t="str">
        <f t="array" aca="1" ref="Z53" ca="1">IF($AC53="Y",SUM(IF((INDIRECT($AB53&amp;"!J23:J200")=$E$1)*(INDIRECT($AB53&amp;"!I23:I200")="A")*(INDIRECT($AB53&amp;"!E23:E200")=$AC53)*(INDIRECT($AB53&amp;"!K23:K200")&lt;&gt;""),1,0)),"-")</f>
        <v>-</v>
      </c>
      <c r="AA53" s="707" t="str">
        <f t="shared" si="21"/>
        <v>-</v>
      </c>
      <c r="AB53" s="230" t="str">
        <f>IF($AC53="Y",VLOOKUP(B53,Table!B:C,2,FALSE),"")</f>
        <v/>
      </c>
      <c r="AC53" s="230" t="s">
        <v>32</v>
      </c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1:59" ht="15" hidden="1" customHeight="1">
      <c r="A54" s="429">
        <f t="shared" si="22"/>
        <v>22</v>
      </c>
      <c r="B54" s="413" t="str">
        <f t="shared" si="22"/>
        <v/>
      </c>
      <c r="C54" s="681" t="str">
        <f t="array" aca="1" ref="C54" ca="1">IF($AC54="Y",SUM(IF((INDIRECT($AB54&amp;"!J23:J200")=$E$1)*(INDIRECT($AB54&amp;"!I23:I200")="H")*(INDIRECT($AB54&amp;"!M23:M200")="W")*(INDIRECT($AB54&amp;"!E23:E200")=$AC54),1,0)/$Y54),"-")</f>
        <v>-</v>
      </c>
      <c r="D54" s="406" t="str">
        <f t="array" aca="1" ref="D54" ca="1">IF($AC54="Y",SUM(IF((INDIRECT($AB54&amp;"!J23:J200")=$E$1)*(INDIRECT($AB54&amp;"!I23:I200")="H")*(INDIRECT($AB54&amp;"!M23:M200")="D")*(INDIRECT($AB54&amp;"!E23:E200")=$AC54),1,0)/$Y54),"-")</f>
        <v>-</v>
      </c>
      <c r="E54" s="406" t="str">
        <f t="array" aca="1" ref="E54" ca="1">IF($AC54="Y",SUM(IF((INDIRECT("'"&amp;$AB54&amp;"'!J23:J200")=$E$1)*(INDIRECT("'"&amp;$AB54&amp;"'!I23:I200")="H")*(INDIRECT("'"&amp;$AB54&amp;"'!M23:M200")="L")*(INDIRECT("'"&amp;$AB54&amp;"'!E23:E200")=$AC54),1,0)/$Y54),"-")</f>
        <v>-</v>
      </c>
      <c r="F54" s="408" t="s">
        <v>206</v>
      </c>
      <c r="G54" s="408" t="s">
        <v>206</v>
      </c>
      <c r="H54" s="529" t="str">
        <f t="shared" si="23"/>
        <v>-</v>
      </c>
      <c r="I54" s="607" t="str">
        <f t="shared" si="24"/>
        <v>-</v>
      </c>
      <c r="J54" s="659" t="str">
        <f t="shared" si="25"/>
        <v>-</v>
      </c>
      <c r="K54" s="709" t="str">
        <f t="array" aca="1" ref="K54" ca="1">IF($AC54="Y",SUM(IF((INDIRECT($AB54&amp;"!J23:J200")=$E$1)*(INDIRECT($AB54&amp;"!I23:I200")="A")*(INDIRECT($AB54&amp;"!M23:M200")="W")*(INDIRECT($AB54&amp;"!E23:E200")=$AC54),1,0)/$Z54),"-")</f>
        <v>-</v>
      </c>
      <c r="L54" s="710" t="str">
        <f t="array" aca="1" ref="L54" ca="1">IF($AC54="Y",SUM(IF((INDIRECT($AB54&amp;"!J23:J200")=$E$1)*(INDIRECT($AB54&amp;"!I23:I200")="A")*(INDIRECT($AB54&amp;"!M23:M200")="D")*(INDIRECT($AB54&amp;"!E23:E200")=$AC54),1,0)/$Z54),"-")</f>
        <v>-</v>
      </c>
      <c r="M54" s="710" t="str">
        <f t="array" aca="1" ref="M54" ca="1">IF($AC54="Y",SUM(IF((INDIRECT($AB54&amp;"!J23:J200")=$E$1)*(INDIRECT($AB54&amp;"!I23:I200")="A")*(INDIRECT($AB54&amp;"!M23:M200")="L")*(INDIRECT($AB54&amp;"!E23:E200")=$AC54),1,0)/$Z54),"-")</f>
        <v>-</v>
      </c>
      <c r="N54" s="711" t="s">
        <v>206</v>
      </c>
      <c r="O54" s="711" t="s">
        <v>206</v>
      </c>
      <c r="P54" s="712" t="str">
        <f t="shared" si="17"/>
        <v>-</v>
      </c>
      <c r="Q54" s="712" t="str">
        <f t="shared" si="18"/>
        <v>-</v>
      </c>
      <c r="R54" s="713" t="str">
        <f t="array" aca="1" ref="R54" ca="1">IF($AC54="Y",SUM(IF((INDIRECT($AB54&amp;"!J23:J200")=$E$1)*(INDIRECT($AB54&amp;"!M23:M200")="W")*(INDIRECT($AB54&amp;"!E23:E200")=$AC54),1,0)/$AA54),"-")</f>
        <v>-</v>
      </c>
      <c r="S54" s="648" t="str">
        <f t="array" aca="1" ref="S54" ca="1">IF($AC54="Y",SUM(IF((INDIRECT($AB54&amp;"!J23:J200")=$E$1)*(INDIRECT($AB54&amp;"!I23:I200")="A")*(INDIRECT($AB54&amp;"!M23:M200")="D")*(INDIRECT($AB54&amp;"!E23:E200")=$AC54),1,0)/$Y54),"-")</f>
        <v>-</v>
      </c>
      <c r="T54" s="648" t="str">
        <f t="array" aca="1" ref="T54" ca="1">IF($AC54="Y",SUM(IF((INDIRECT($AB54&amp;"!J23:J200")=$E$1)*(INDIRECT($AB54&amp;"!I23:I200")="A")*(INDIRECT($AB54&amp;"!M23:M200")="L")*(INDIRECT($AB54&amp;"!E23:E200")=$AC54),1,0)/$Y54),"-")</f>
        <v>-</v>
      </c>
      <c r="U54" s="604" t="s">
        <v>206</v>
      </c>
      <c r="V54" s="604" t="s">
        <v>206</v>
      </c>
      <c r="W54" s="714" t="str">
        <f t="shared" si="19"/>
        <v>-</v>
      </c>
      <c r="X54" s="715" t="str">
        <f t="shared" si="20"/>
        <v>-</v>
      </c>
      <c r="Y54" s="707" t="str">
        <f t="array" aca="1" ref="Y54" ca="1">IF($AC54="Y",SUM(IF((INDIRECT($AB54&amp;"!J23:J200")=$E$1)*(INDIRECT($AB54&amp;"!I23:I200")="H")*(INDIRECT($AB54&amp;"!E23:E200")=$AC54)*(INDIRECT($AB54&amp;"!K23:K200")&lt;&gt;""),1,0)),"-")</f>
        <v>-</v>
      </c>
      <c r="Z54" s="707" t="str">
        <f t="array" aca="1" ref="Z54" ca="1">IF($AC54="Y",SUM(IF((INDIRECT($AB54&amp;"!J23:J200")=$E$1)*(INDIRECT($AB54&amp;"!I23:I200")="A")*(INDIRECT($AB54&amp;"!E23:E200")=$AC54)*(INDIRECT($AB54&amp;"!K23:K200")&lt;&gt;""),1,0)),"-")</f>
        <v>-</v>
      </c>
      <c r="AA54" s="707" t="str">
        <f t="shared" si="21"/>
        <v>-</v>
      </c>
      <c r="AB54" s="230" t="str">
        <f>IF($AC54="Y",VLOOKUP(B54,Table!B:C,2,FALSE),"")</f>
        <v/>
      </c>
      <c r="AC54" s="230" t="s">
        <v>32</v>
      </c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1:59" ht="15" customHeight="1" thickBot="1">
      <c r="A55" s="688" t="str">
        <f>A28</f>
        <v>Overall</v>
      </c>
      <c r="B55" s="689"/>
      <c r="C55" s="690" t="str">
        <f ca="1">IF($AA55=0,"-",SUMPRODUCT(C33:C54,$Y33:$Y54)/$Y55)</f>
        <v>-</v>
      </c>
      <c r="D55" s="716" t="str">
        <f ca="1">IF($AA55=0,"-",SUMPRODUCT(D33:D54,$Y33:$Y54)/$Y55)</f>
        <v>-</v>
      </c>
      <c r="E55" s="716" t="str">
        <f ca="1">IF($AA55=0,"-",SUMPRODUCT(E33:E54,$Y33:$Y54)/$Y55)</f>
        <v>-</v>
      </c>
      <c r="F55" s="717" t="str">
        <f ca="1">IF($Y55=0,"-",HiLo!I91)</f>
        <v>-</v>
      </c>
      <c r="G55" s="717" t="str">
        <f ca="1">IF($Y55=0,"-",HiLo!J91)</f>
        <v>-</v>
      </c>
      <c r="H55" s="691" t="str">
        <f ca="1">IF($Y55=0,"-",F55+G55)</f>
        <v>-</v>
      </c>
      <c r="I55" s="691" t="str">
        <f ca="1">IF($Y55=0,"-",F55-G55)</f>
        <v>-</v>
      </c>
      <c r="J55" s="692" t="str">
        <f ca="1">IF($AA55=0,"-",(I55-Q55)/2)</f>
        <v>-</v>
      </c>
      <c r="K55" s="693" t="str">
        <f ca="1">IF($AA55=0,"-",SUMPRODUCT(K33:K54,$Z33:$Z54)/$Z55)</f>
        <v>-</v>
      </c>
      <c r="L55" s="716" t="str">
        <f ca="1">IF($AA55=0,"-",SUMPRODUCT(L33:L54,$Z33:$Z54)/$Z55)</f>
        <v>-</v>
      </c>
      <c r="M55" s="716" t="str">
        <f ca="1">IF($AA55=0,"-",SUMPRODUCT(M33:M54,$Z33:$Z54)/$Z55)</f>
        <v>-</v>
      </c>
      <c r="N55" s="717" t="str">
        <f ca="1">IF($Z55=0,"-",HiLo!Q91)</f>
        <v>-</v>
      </c>
      <c r="O55" s="691" t="str">
        <f ca="1">IF($Z55=0,"-",HiLo!R91)</f>
        <v>-</v>
      </c>
      <c r="P55" s="691" t="str">
        <f ca="1">IF($Z55=0,"-",N55+O55)</f>
        <v>-</v>
      </c>
      <c r="Q55" s="692" t="str">
        <f ca="1">IF($Z55=0,"-",N55-O55)</f>
        <v>-</v>
      </c>
      <c r="R55" s="693" t="str">
        <f ca="1">IF($AA55=0,"-",SUMPRODUCT(R33:R54,$AA33:$AA54)/$AA55)</f>
        <v>-</v>
      </c>
      <c r="S55" s="716" t="str">
        <f ca="1">IF($AA55=0,"-",SUMPRODUCT(S33:S54,$AA33:$AA54)/$AA55)</f>
        <v>-</v>
      </c>
      <c r="T55" s="716" t="str">
        <f ca="1">IF($AA55=0,"-",SUMPRODUCT(T33:T54,$AA33:$AA54)/$AA55)</f>
        <v>-</v>
      </c>
      <c r="U55" s="717" t="e">
        <v>#N/A</v>
      </c>
      <c r="V55" s="717" t="e">
        <v>#N/A</v>
      </c>
      <c r="W55" s="691" t="str">
        <f ca="1">IF($Y55=0,"-",U55+V55)</f>
        <v>-</v>
      </c>
      <c r="X55" s="694" t="str">
        <f ca="1">IF($Y55=0,"-",U55-V55)</f>
        <v>-</v>
      </c>
      <c r="Y55" s="467">
        <f ca="1">SUM(Y33:Y54)</f>
        <v>0</v>
      </c>
      <c r="Z55" s="467">
        <f ca="1">SUM(Z33:Z54)</f>
        <v>0</v>
      </c>
      <c r="AA55" s="467">
        <f ca="1">Z55+Y55</f>
        <v>0</v>
      </c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1:59" ht="13.5">
      <c r="X56" s="230"/>
      <c r="Y56" s="454"/>
      <c r="Z56" s="454"/>
      <c r="AA56" s="454"/>
      <c r="AB56" s="230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1:59" ht="13.5">
      <c r="X57" s="230"/>
      <c r="Y57" s="454"/>
      <c r="Z57" s="454"/>
      <c r="AA57" s="454"/>
      <c r="AB57" s="230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1:59" ht="13.5">
      <c r="X58" s="230"/>
      <c r="Y58" s="454"/>
      <c r="Z58" s="454"/>
      <c r="AA58" s="454"/>
      <c r="AB58" s="230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1:59" ht="13.5">
      <c r="X59" s="230"/>
      <c r="Y59" s="454"/>
      <c r="Z59" s="454"/>
      <c r="AA59" s="454"/>
      <c r="AB59" s="230"/>
      <c r="AC59" s="230"/>
      <c r="AD59" s="230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1:59" ht="13.5">
      <c r="X60" s="230"/>
      <c r="Y60" s="454"/>
      <c r="Z60" s="454"/>
      <c r="AA60" s="454"/>
      <c r="AB60" s="230"/>
      <c r="AC60" s="230"/>
      <c r="AD60" s="230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1:59" ht="13.5">
      <c r="X61" s="230"/>
      <c r="Y61" s="454"/>
      <c r="Z61" s="454"/>
      <c r="AA61" s="454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1:59" ht="13.5">
      <c r="X62" s="230"/>
      <c r="Y62" s="454"/>
      <c r="Z62" s="454"/>
      <c r="AA62" s="454"/>
      <c r="AB62" s="230"/>
      <c r="AC62" s="230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1:59" ht="13.5">
      <c r="X63" s="230"/>
      <c r="Y63" s="454"/>
      <c r="Z63" s="454"/>
      <c r="AA63" s="454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1:59" ht="13.5">
      <c r="X64" s="230"/>
      <c r="Y64" s="454"/>
      <c r="Z64" s="454"/>
      <c r="AA64" s="454"/>
      <c r="AB64" s="230"/>
      <c r="AC64" s="230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24:59" ht="13.5">
      <c r="X65" s="230"/>
      <c r="Y65" s="454"/>
      <c r="Z65" s="454"/>
      <c r="AA65" s="454"/>
      <c r="AB65" s="230"/>
      <c r="AC65" s="230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24:59" ht="13.5">
      <c r="X66" s="230"/>
      <c r="Y66" s="454"/>
      <c r="Z66" s="454"/>
      <c r="AA66" s="454"/>
      <c r="AB66" s="230"/>
      <c r="AC66" s="230"/>
      <c r="AD66" s="230"/>
      <c r="AE66" s="230"/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24:59" ht="13.5">
      <c r="X67" s="230"/>
      <c r="Y67" s="454"/>
      <c r="Z67" s="454"/>
      <c r="AA67" s="454"/>
      <c r="AB67" s="230"/>
      <c r="AC67" s="230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24:59" ht="13.5">
      <c r="X68" s="230"/>
      <c r="Y68" s="454"/>
      <c r="Z68" s="454"/>
      <c r="AA68" s="454"/>
      <c r="AB68" s="230"/>
      <c r="AC68" s="230"/>
      <c r="AD68" s="230"/>
      <c r="AE68" s="230"/>
      <c r="AF68" s="230"/>
      <c r="AG68" s="230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24:59" ht="13.5">
      <c r="X69" s="230"/>
      <c r="Y69" s="454"/>
      <c r="Z69" s="454"/>
      <c r="AA69" s="454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24:59" ht="13.5">
      <c r="X70" s="230"/>
      <c r="Y70" s="454"/>
      <c r="Z70" s="454"/>
      <c r="AA70" s="454"/>
      <c r="AB70" s="230"/>
      <c r="AC70" s="230"/>
      <c r="AD70" s="230"/>
      <c r="AE70" s="230"/>
      <c r="AF70" s="230"/>
      <c r="AG70" s="230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24:59" ht="13.5">
      <c r="X71" s="230"/>
      <c r="Y71" s="454"/>
      <c r="Z71" s="454"/>
      <c r="AA71" s="454"/>
      <c r="AB71" s="230"/>
      <c r="AC71" s="230"/>
      <c r="AD71" s="230"/>
      <c r="AE71" s="230"/>
      <c r="AF71" s="230"/>
      <c r="AG71" s="230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24:59" ht="13.5">
      <c r="X72" s="230"/>
      <c r="Y72" s="454"/>
      <c r="Z72" s="454"/>
      <c r="AA72" s="454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24:59" ht="13.5">
      <c r="X73" s="230"/>
      <c r="Y73" s="454"/>
      <c r="Z73" s="454"/>
      <c r="AA73" s="454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24:59" ht="13.5">
      <c r="X74" s="230"/>
      <c r="Y74" s="454"/>
      <c r="Z74" s="454"/>
      <c r="AA74" s="454"/>
      <c r="AB74" s="230"/>
      <c r="AC74" s="230"/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24:59" ht="13.5">
      <c r="X75" s="230"/>
      <c r="Y75" s="454"/>
      <c r="Z75" s="454"/>
      <c r="AA75" s="454"/>
      <c r="AB75" s="230"/>
      <c r="AC75" s="230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24:59" ht="13.5">
      <c r="X76" s="230"/>
      <c r="Y76" s="454"/>
      <c r="Z76" s="454"/>
      <c r="AA76" s="454"/>
      <c r="AB76" s="230"/>
      <c r="AC76" s="230"/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24:59" ht="13.5">
      <c r="X77" s="230"/>
      <c r="Y77" s="454"/>
      <c r="Z77" s="454"/>
      <c r="AA77" s="454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24:59" ht="13.5">
      <c r="X78" s="230"/>
      <c r="Y78" s="454"/>
      <c r="Z78" s="454"/>
      <c r="AA78" s="454"/>
      <c r="AB78" s="230"/>
      <c r="AC78" s="230"/>
      <c r="AD78" s="230"/>
      <c r="AE78" s="230"/>
      <c r="AF78" s="230"/>
      <c r="AG78" s="230"/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24:59" ht="13.5">
      <c r="X79" s="230"/>
      <c r="Y79" s="454"/>
      <c r="Z79" s="454"/>
      <c r="AA79" s="454"/>
      <c r="AB79" s="230"/>
      <c r="AC79" s="230"/>
      <c r="AD79" s="230"/>
      <c r="AE79" s="230"/>
      <c r="AF79" s="230"/>
      <c r="AG79" s="230"/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24:59" ht="13.5">
      <c r="X80" s="230"/>
      <c r="Y80" s="454"/>
      <c r="Z80" s="454"/>
      <c r="AA80" s="454"/>
      <c r="AB80" s="230"/>
      <c r="AC80" s="230"/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24:59" ht="13.5">
      <c r="X81" s="230"/>
      <c r="Y81" s="454"/>
      <c r="Z81" s="454"/>
      <c r="AA81" s="454"/>
      <c r="AB81" s="230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24:59" ht="13.5">
      <c r="X82" s="230"/>
      <c r="Y82" s="454"/>
      <c r="Z82" s="454"/>
      <c r="AA82" s="454"/>
      <c r="AB82" s="230"/>
      <c r="AC82" s="230"/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24:59" ht="13.5">
      <c r="X83" s="230"/>
      <c r="Y83" s="454"/>
      <c r="Z83" s="454"/>
      <c r="AA83" s="454"/>
      <c r="AB83" s="230"/>
      <c r="AC83" s="230"/>
      <c r="AD83" s="230"/>
      <c r="AE83" s="230"/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24:59" ht="13.5">
      <c r="X84" s="230"/>
      <c r="Y84" s="454"/>
      <c r="Z84" s="454"/>
      <c r="AA84" s="454"/>
      <c r="AB84" s="230"/>
      <c r="AC84" s="230"/>
      <c r="AD84" s="230"/>
      <c r="AE84" s="230"/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24:59" ht="13.5">
      <c r="X85" s="230"/>
      <c r="Y85" s="454"/>
      <c r="Z85" s="454"/>
      <c r="AA85" s="454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24:59" ht="13.5">
      <c r="X86" s="230"/>
      <c r="Y86" s="454"/>
      <c r="Z86" s="454"/>
      <c r="AA86" s="454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24:59" ht="13.5">
      <c r="X87" s="230"/>
      <c r="Y87" s="454"/>
      <c r="Z87" s="454"/>
      <c r="AA87" s="454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24:59" ht="13.5">
      <c r="X88" s="230"/>
      <c r="Y88" s="454"/>
      <c r="Z88" s="454"/>
      <c r="AA88" s="454"/>
      <c r="AB88" s="230"/>
      <c r="AC88" s="230"/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24:59" ht="13.5">
      <c r="X89" s="230"/>
      <c r="Y89" s="454"/>
      <c r="Z89" s="454"/>
      <c r="AA89" s="454"/>
      <c r="AB89" s="230"/>
      <c r="AC89" s="230"/>
      <c r="AD89" s="230"/>
      <c r="AE89" s="230"/>
      <c r="AF89" s="230"/>
      <c r="AG89" s="230"/>
      <c r="AH89" s="230"/>
      <c r="AI89" s="230"/>
      <c r="AJ89" s="230"/>
      <c r="AK89" s="230"/>
      <c r="AL89" s="230"/>
      <c r="AM89" s="230"/>
      <c r="AN89" s="230"/>
      <c r="AO89" s="230"/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24:59" ht="13.5">
      <c r="X90" s="230"/>
      <c r="Y90" s="454"/>
      <c r="Z90" s="454"/>
      <c r="AA90" s="454"/>
      <c r="AB90" s="230"/>
      <c r="AC90" s="230"/>
      <c r="AD90" s="230"/>
      <c r="AE90" s="230"/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24:59" ht="13.5">
      <c r="X91" s="230"/>
      <c r="Y91" s="454"/>
      <c r="Z91" s="454"/>
      <c r="AA91" s="454"/>
      <c r="AB91" s="230"/>
      <c r="AC91" s="230"/>
      <c r="AD91" s="230"/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24:59" ht="13.5">
      <c r="X92" s="230"/>
      <c r="Y92" s="454"/>
      <c r="Z92" s="454"/>
      <c r="AA92" s="454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24:59" ht="13.5">
      <c r="X93" s="230"/>
      <c r="Y93" s="454"/>
      <c r="Z93" s="454"/>
      <c r="AA93" s="454"/>
      <c r="AB93" s="230"/>
      <c r="AC93" s="230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24:59" ht="13.5">
      <c r="X94" s="230"/>
      <c r="Y94" s="454"/>
      <c r="Z94" s="454"/>
      <c r="AA94" s="454"/>
      <c r="AB94" s="230"/>
      <c r="AC94" s="230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24:59" ht="13.5">
      <c r="X95" s="230"/>
      <c r="Y95" s="454"/>
      <c r="Z95" s="454"/>
      <c r="AA95" s="454"/>
      <c r="AB95" s="230"/>
      <c r="AC95" s="230"/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24:59" ht="13.5">
      <c r="X96" s="230"/>
      <c r="Y96" s="454"/>
      <c r="Z96" s="454"/>
      <c r="AA96" s="454"/>
      <c r="AB96" s="230"/>
      <c r="AC96" s="230"/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4:59" ht="13.5">
      <c r="X97" s="230"/>
      <c r="Y97" s="454"/>
      <c r="Z97" s="454"/>
      <c r="AA97" s="454"/>
      <c r="AB97" s="230"/>
      <c r="AC97" s="230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4:59" ht="13.5">
      <c r="X98" s="230"/>
      <c r="Y98" s="454"/>
      <c r="Z98" s="454"/>
      <c r="AA98" s="454"/>
      <c r="AB98" s="230"/>
      <c r="AC98" s="230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4:59" ht="13.5">
      <c r="X99" s="230"/>
      <c r="Y99" s="454"/>
      <c r="Z99" s="454"/>
      <c r="AA99" s="454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4:59" ht="13.5">
      <c r="X100" s="230"/>
      <c r="Y100" s="454"/>
      <c r="Z100" s="454"/>
      <c r="AA100" s="454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</sheetData>
  <phoneticPr fontId="21" type="noConversion"/>
  <conditionalFormatting sqref="C32:AB32 C5:AA5">
    <cfRule type="cellIs" dxfId="371" priority="19" stopIfTrue="1" operator="equal">
      <formula>"W"</formula>
    </cfRule>
    <cfRule type="cellIs" dxfId="370" priority="20" stopIfTrue="1" operator="equal">
      <formula>"D"</formula>
    </cfRule>
  </conditionalFormatting>
  <conditionalFormatting sqref="S33:S54 L33:L54">
    <cfRule type="cellIs" dxfId="369" priority="18" stopIfTrue="1" operator="greaterThan">
      <formula>L$28*1.1</formula>
    </cfRule>
  </conditionalFormatting>
  <conditionalFormatting sqref="O28 O55">
    <cfRule type="cellIs" dxfId="368" priority="16" stopIfTrue="1" operator="notEqual">
      <formula>F28</formula>
    </cfRule>
  </conditionalFormatting>
  <conditionalFormatting sqref="L55">
    <cfRule type="cellIs" dxfId="367" priority="15" stopIfTrue="1" operator="notEqual">
      <formula>$D$55</formula>
    </cfRule>
  </conditionalFormatting>
  <conditionalFormatting sqref="D55">
    <cfRule type="cellIs" dxfId="366" priority="14" stopIfTrue="1" operator="notEqual">
      <formula>S55</formula>
    </cfRule>
  </conditionalFormatting>
  <conditionalFormatting sqref="M28 M55">
    <cfRule type="cellIs" dxfId="365" priority="13" stopIfTrue="1" operator="notEqual">
      <formula>C28</formula>
    </cfRule>
  </conditionalFormatting>
  <conditionalFormatting sqref="Y6:AA27">
    <cfRule type="cellIs" dxfId="364" priority="11" stopIfTrue="1" operator="lessThan">
      <formula>Y$28*0.8</formula>
    </cfRule>
  </conditionalFormatting>
  <conditionalFormatting sqref="L26:L27 D26:D27 S26:S27">
    <cfRule type="cellIs" dxfId="363" priority="10" stopIfTrue="1" operator="greaterThan">
      <formula>D$28*1.2</formula>
    </cfRule>
  </conditionalFormatting>
  <conditionalFormatting sqref="J6:J27">
    <cfRule type="cellIs" dxfId="362" priority="8" stopIfTrue="1" operator="lessThan">
      <formula>J$28*0.6</formula>
    </cfRule>
    <cfRule type="cellIs" dxfId="361" priority="9" stopIfTrue="1" operator="greaterThan">
      <formula>J$28*1.4</formula>
    </cfRule>
  </conditionalFormatting>
  <conditionalFormatting sqref="D33:D54">
    <cfRule type="cellIs" dxfId="360" priority="7" stopIfTrue="1" operator="greaterThan">
      <formula>D$55*1.2</formula>
    </cfRule>
  </conditionalFormatting>
  <conditionalFormatting sqref="J33:J54">
    <cfRule type="cellIs" dxfId="359" priority="5" stopIfTrue="1" operator="lessThan">
      <formula>J$55*0.6</formula>
    </cfRule>
    <cfRule type="cellIs" dxfId="358" priority="6" stopIfTrue="1" operator="greaterThan">
      <formula>J$55*1.4</formula>
    </cfRule>
  </conditionalFormatting>
  <conditionalFormatting sqref="L28">
    <cfRule type="cellIs" dxfId="357" priority="4" operator="notEqual">
      <formula>$D$28</formula>
    </cfRule>
  </conditionalFormatting>
  <conditionalFormatting sqref="P28">
    <cfRule type="cellIs" dxfId="356" priority="3" operator="notEqual">
      <formula>$H$28</formula>
    </cfRule>
  </conditionalFormatting>
  <conditionalFormatting sqref="Q28">
    <cfRule type="cellIs" dxfId="355" priority="2" operator="notEqual">
      <formula>-$I$28</formula>
    </cfRule>
  </conditionalFormatting>
  <conditionalFormatting sqref="P55">
    <cfRule type="cellIs" dxfId="354" priority="1" operator="notEqual">
      <formula>$H$55</formula>
    </cfRule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G1635"/>
  <sheetViews>
    <sheetView topLeftCell="A31" zoomScale="80" zoomScaleNormal="80" workbookViewId="0">
      <selection activeCell="U33" sqref="U33"/>
    </sheetView>
  </sheetViews>
  <sheetFormatPr defaultColWidth="9.125" defaultRowHeight="12.75"/>
  <cols>
    <col min="1" max="1" width="10.75" style="357" customWidth="1"/>
    <col min="2" max="3" width="10.75" style="357" hidden="1" customWidth="1"/>
    <col min="4" max="4" width="17.875" style="569" customWidth="1"/>
    <col min="5" max="5" width="7.125" style="357" customWidth="1"/>
    <col min="6" max="6" width="7.375" style="580" customWidth="1"/>
    <col min="7" max="7" width="7.125" style="357" customWidth="1"/>
    <col min="8" max="8" width="7.875" style="580" customWidth="1"/>
    <col min="9" max="9" width="6.875" style="357" customWidth="1"/>
    <col min="10" max="10" width="8" style="357" customWidth="1"/>
    <col min="11" max="11" width="7.375" style="357" customWidth="1"/>
    <col min="12" max="12" width="6.25" style="357" customWidth="1"/>
    <col min="13" max="13" width="7.625" style="580" customWidth="1"/>
    <col min="14" max="14" width="6.25" style="357" customWidth="1"/>
    <col min="15" max="15" width="8" style="580" customWidth="1"/>
    <col min="16" max="16" width="7.375" style="357" customWidth="1"/>
    <col min="17" max="17" width="7.875" style="580" customWidth="1"/>
    <col min="18" max="18" width="7.875" style="357" customWidth="1"/>
    <col min="19" max="19" width="7.125" style="357" customWidth="1"/>
    <col min="20" max="20" width="7.25" style="580" customWidth="1"/>
    <col min="21" max="21" width="6.375" style="357" customWidth="1"/>
    <col min="22" max="22" width="7.25" style="580" customWidth="1"/>
    <col min="23" max="23" width="7.125" style="357" customWidth="1"/>
    <col min="24" max="24" width="7.625" style="580" customWidth="1"/>
    <col min="25" max="25" width="7.625" style="357" customWidth="1"/>
    <col min="26" max="26" width="9.625" style="357" customWidth="1"/>
    <col min="27" max="28" width="6.25" style="357" customWidth="1"/>
    <col min="29" max="29" width="7.125" style="357" customWidth="1"/>
    <col min="30" max="30" width="5.875" style="357" bestFit="1" customWidth="1"/>
    <col min="31" max="34" width="6.25" style="357" customWidth="1"/>
    <col min="35" max="35" width="7.75" style="357" customWidth="1"/>
    <col min="36" max="16384" width="9.125" style="357"/>
  </cols>
  <sheetData>
    <row r="1" spans="1:26" s="578" customFormat="1">
      <c r="B1" s="578" t="s">
        <v>160</v>
      </c>
      <c r="C1" s="579">
        <f>Table!C3</f>
        <v>22</v>
      </c>
      <c r="D1" s="359" t="str">
        <f>HD!D1</f>
        <v>Avispa Fukuoka</v>
      </c>
      <c r="E1" s="359" t="str">
        <f>HD!E1</f>
        <v>Oita Trinita</v>
      </c>
      <c r="F1" s="359" t="str">
        <f>HD!F1</f>
        <v>Ehime</v>
      </c>
      <c r="G1" s="359" t="str">
        <f>HD!G1</f>
        <v>Fagiano Okayama</v>
      </c>
      <c r="H1" s="359" t="str">
        <f>HD!H1</f>
        <v>Gifu</v>
      </c>
      <c r="I1" s="359" t="str">
        <f>HD!I1</f>
        <v>Shonan Bellmare</v>
      </c>
      <c r="J1" s="359" t="str">
        <f>HD!J1</f>
        <v>JEF United</v>
      </c>
      <c r="K1" s="359" t="str">
        <f>HD!K1</f>
        <v>Kamatamare Sanuki</v>
      </c>
      <c r="L1" s="359" t="str">
        <f>HD!L1</f>
        <v>Kyoto Sanga</v>
      </c>
      <c r="M1" s="359" t="str">
        <f>HD!M1</f>
        <v>Machida Zelvia</v>
      </c>
      <c r="N1" s="359" t="str">
        <f>HD!N1</f>
        <v>Matsumoto Yamaga</v>
      </c>
      <c r="O1" s="359" t="str">
        <f>HD!O1</f>
        <v>Mito Hollyhock</v>
      </c>
      <c r="P1" s="359">
        <f>HD!P1</f>
        <v>0</v>
      </c>
      <c r="Q1" s="359">
        <f>HD!Q1</f>
        <v>0</v>
      </c>
      <c r="R1" s="357"/>
      <c r="T1" s="580"/>
      <c r="U1" s="357"/>
      <c r="V1" s="580"/>
      <c r="X1" s="580"/>
    </row>
    <row r="2" spans="1:26" s="578" customFormat="1">
      <c r="B2" s="486"/>
      <c r="C2" s="486"/>
      <c r="D2" s="359" t="str">
        <f>HD!D2</f>
        <v>Montedio Yamagata</v>
      </c>
      <c r="E2" s="359" t="str">
        <f>HD!E2</f>
        <v>Renofa Yamaguchi</v>
      </c>
      <c r="F2" s="359" t="str">
        <f>HD!F2</f>
        <v>Roasso Kumamoto</v>
      </c>
      <c r="G2" s="359" t="str">
        <f>HD!G2</f>
        <v>Nagoya Grampus</v>
      </c>
      <c r="H2" s="359" t="str">
        <f>HD!H2</f>
        <v>ThespaKusatsu Gunma</v>
      </c>
      <c r="I2" s="359" t="str">
        <f>HD!I2</f>
        <v>Tokushima Vortis</v>
      </c>
      <c r="J2" s="359" t="str">
        <f>HD!J2</f>
        <v>Tokyo Verdy</v>
      </c>
      <c r="K2" s="359" t="str">
        <f>HD!K2</f>
        <v>V-Varen Nagasaki</v>
      </c>
      <c r="L2" s="359">
        <f>HD!L2</f>
        <v>0</v>
      </c>
      <c r="M2" s="359">
        <f>HD!M2</f>
        <v>0</v>
      </c>
      <c r="N2" s="359">
        <f>HD!N2</f>
        <v>0</v>
      </c>
      <c r="O2" s="359">
        <f>HD!O2</f>
        <v>0</v>
      </c>
      <c r="P2" s="359">
        <f>HD!P2</f>
        <v>0</v>
      </c>
      <c r="Q2" s="359">
        <f>HD!Q2</f>
        <v>0</v>
      </c>
      <c r="R2" s="357"/>
      <c r="T2" s="580"/>
      <c r="U2" s="357"/>
      <c r="V2" s="580"/>
      <c r="X2" s="580"/>
    </row>
    <row r="3" spans="1:26">
      <c r="C3" s="359"/>
      <c r="D3" s="357"/>
    </row>
    <row r="4" spans="1:26" ht="13.5" thickBot="1">
      <c r="C4" s="359"/>
      <c r="D4" s="354" t="s">
        <v>161</v>
      </c>
    </row>
    <row r="5" spans="1:26">
      <c r="B5" s="568"/>
      <c r="C5" s="568"/>
      <c r="D5" s="581" t="str">
        <f>Table!C1</f>
        <v>J2L</v>
      </c>
      <c r="E5" s="582" t="s">
        <v>162</v>
      </c>
      <c r="F5" s="583"/>
      <c r="G5" s="584"/>
      <c r="H5" s="583"/>
      <c r="I5" s="585"/>
      <c r="J5" s="584"/>
      <c r="K5" s="584"/>
      <c r="L5" s="582" t="s">
        <v>163</v>
      </c>
      <c r="M5" s="583"/>
      <c r="N5" s="584"/>
      <c r="O5" s="583"/>
      <c r="P5" s="585"/>
      <c r="Q5" s="583"/>
      <c r="R5" s="586"/>
      <c r="S5" s="582" t="s">
        <v>164</v>
      </c>
      <c r="T5" s="583"/>
      <c r="U5" s="584"/>
      <c r="V5" s="583"/>
      <c r="W5" s="587"/>
      <c r="X5" s="588"/>
      <c r="Y5" s="589"/>
      <c r="Z5" s="355"/>
    </row>
    <row r="6" spans="1:26" ht="13.5" thickBot="1">
      <c r="B6" s="568"/>
      <c r="C6" s="568"/>
      <c r="D6" s="499" t="s">
        <v>165</v>
      </c>
      <c r="E6" s="590" t="s">
        <v>63</v>
      </c>
      <c r="F6" s="591"/>
      <c r="G6" s="592" t="s">
        <v>64</v>
      </c>
      <c r="H6" s="593"/>
      <c r="I6" s="592" t="s">
        <v>65</v>
      </c>
      <c r="J6" s="592"/>
      <c r="K6" s="594" t="s">
        <v>166</v>
      </c>
      <c r="L6" s="595" t="s">
        <v>63</v>
      </c>
      <c r="M6" s="593"/>
      <c r="N6" s="592" t="s">
        <v>64</v>
      </c>
      <c r="O6" s="593"/>
      <c r="P6" s="592" t="s">
        <v>65</v>
      </c>
      <c r="Q6" s="593"/>
      <c r="R6" s="596" t="s">
        <v>167</v>
      </c>
      <c r="S6" s="597" t="s">
        <v>63</v>
      </c>
      <c r="T6" s="593"/>
      <c r="U6" s="592" t="s">
        <v>64</v>
      </c>
      <c r="V6" s="598"/>
      <c r="W6" s="592" t="s">
        <v>65</v>
      </c>
      <c r="X6" s="593"/>
      <c r="Y6" s="596" t="s">
        <v>168</v>
      </c>
      <c r="Z6" s="355"/>
    </row>
    <row r="7" spans="1:26">
      <c r="B7" s="568"/>
      <c r="C7" s="568"/>
      <c r="D7" s="511">
        <v>-2</v>
      </c>
      <c r="E7" s="599">
        <f ca="1">SUMIF($D$45:$D$502,$D7,E$45:E$502)</f>
        <v>0</v>
      </c>
      <c r="F7" s="404" t="str">
        <f t="shared" ref="F7:F12" ca="1" si="0">IF(E7="","",IF(E7=0,"-",E7/$K7))</f>
        <v>-</v>
      </c>
      <c r="G7" s="600">
        <f ca="1">SUMIF($D$45:$D$502,$D7,G$45:G$502)</f>
        <v>0</v>
      </c>
      <c r="H7" s="406" t="str">
        <f t="shared" ref="H7:H12" ca="1" si="1">IF(G7="","",IF(G7=0,"-",G7/$K7))</f>
        <v>-</v>
      </c>
      <c r="I7" s="600">
        <f ca="1">SUMIF($D$45:$D$502,$D7,I$45:I$502)</f>
        <v>0</v>
      </c>
      <c r="J7" s="404" t="str">
        <f t="shared" ref="J7:J12" ca="1" si="2">IF(I7="","",IF(I7=0,"-",I7/$K7))</f>
        <v>-</v>
      </c>
      <c r="K7" s="518">
        <f ca="1">IF($A6="N","",E7+G7+I7)</f>
        <v>0</v>
      </c>
      <c r="L7" s="599">
        <f ca="1">SUMIF($D$45:$D$502,$D7,L$45:L$502)</f>
        <v>0</v>
      </c>
      <c r="M7" s="406" t="str">
        <f t="shared" ref="M7:M12" ca="1" si="3">IF(L7="","",IF(L7=0,"-",L7/$R7))</f>
        <v>-</v>
      </c>
      <c r="N7" s="600">
        <f ca="1">SUMIF($D$45:$D$502,$D7,N$45:N$502)</f>
        <v>0</v>
      </c>
      <c r="O7" s="406" t="str">
        <f t="shared" ref="O7:O12" ca="1" si="4">IF(N7="","",IF(N7=0,"-",N7/$R7))</f>
        <v>-</v>
      </c>
      <c r="P7" s="600">
        <f ca="1">SUMIF($D$45:$D$502,$D7,P$45:P$502)</f>
        <v>0</v>
      </c>
      <c r="Q7" s="406" t="str">
        <f t="shared" ref="Q7:Q12" ca="1" si="5">IF(P7="","",IF(P7=0,"-",P7/$R7))</f>
        <v>-</v>
      </c>
      <c r="R7" s="518">
        <f ca="1">IF($A6="N","",L7+N7+P7)</f>
        <v>0</v>
      </c>
      <c r="S7" s="599">
        <f ca="1">SUMIF($D$45:$D$502,$D7,S$45:S$502)</f>
        <v>0</v>
      </c>
      <c r="T7" s="404" t="str">
        <f t="shared" ref="T7:T12" ca="1" si="6">IF(S7="","",IF(S7=0,"-",S7/$Y7))</f>
        <v>-</v>
      </c>
      <c r="U7" s="600">
        <f ca="1">SUMIF($D$45:$D$502,$D7,U$45:U$502)</f>
        <v>0</v>
      </c>
      <c r="V7" s="406" t="str">
        <f t="shared" ref="V7:V12" ca="1" si="7">IF(U7="","",IF(U7=0,"-",U7/$Y7))</f>
        <v>-</v>
      </c>
      <c r="W7" s="600">
        <f ca="1">SUMIF($D$45:$D$502,$D7,W$45:W$502)</f>
        <v>0</v>
      </c>
      <c r="X7" s="406" t="str">
        <f t="shared" ref="X7:X12" ca="1" si="8">IF(W7="","",IF(W7=0,"-",W7/$Y7))</f>
        <v>-</v>
      </c>
      <c r="Y7" s="518">
        <f ca="1">IF($A6="N","",R7+K7)</f>
        <v>0</v>
      </c>
      <c r="Z7" s="355"/>
    </row>
    <row r="8" spans="1:26">
      <c r="B8" s="568"/>
      <c r="C8" s="568"/>
      <c r="D8" s="520">
        <v>-1</v>
      </c>
      <c r="E8" s="599">
        <f ca="1">SUMIF($D$45:$D$502,$D8,E$45:E$502)</f>
        <v>26</v>
      </c>
      <c r="F8" s="415">
        <f t="shared" ca="1" si="0"/>
        <v>0.25242718446601942</v>
      </c>
      <c r="G8" s="408">
        <f ca="1">SUMIF($D$45:$D$502,$D8,G$45:G$502)</f>
        <v>32</v>
      </c>
      <c r="H8" s="601">
        <f t="shared" ca="1" si="1"/>
        <v>0.31067961165048541</v>
      </c>
      <c r="I8" s="408">
        <f ca="1">SUMIF($D$45:$D$502,$D8,I$45:I$502)</f>
        <v>45</v>
      </c>
      <c r="J8" s="415">
        <f t="shared" ca="1" si="2"/>
        <v>0.43689320388349512</v>
      </c>
      <c r="K8" s="602">
        <f ca="1">IF($A7="N","",E8+G8+I8)</f>
        <v>103</v>
      </c>
      <c r="L8" s="599">
        <f ca="1">SUMIF($D$45:$D$502,$D8,L$45:L$502)</f>
        <v>15</v>
      </c>
      <c r="M8" s="601">
        <f t="shared" ca="1" si="3"/>
        <v>0.34090909090909088</v>
      </c>
      <c r="N8" s="408">
        <f ca="1">SUMIF($D$45:$D$502,$D8,N$45:N$502)</f>
        <v>10</v>
      </c>
      <c r="O8" s="601">
        <f t="shared" ca="1" si="4"/>
        <v>0.22727272727272727</v>
      </c>
      <c r="P8" s="408">
        <f ca="1">SUMIF($D$45:$D$502,$D8,P$45:P$502)</f>
        <v>19</v>
      </c>
      <c r="Q8" s="601">
        <f t="shared" ca="1" si="5"/>
        <v>0.43181818181818182</v>
      </c>
      <c r="R8" s="602">
        <f ca="1">IF($A7="N","",L8+N8+P8)</f>
        <v>44</v>
      </c>
      <c r="S8" s="599">
        <f ca="1">SUMIF($D$45:$D$502,$D8,S$45:S$502)</f>
        <v>41</v>
      </c>
      <c r="T8" s="415">
        <f t="shared" ca="1" si="6"/>
        <v>0.27891156462585032</v>
      </c>
      <c r="U8" s="408">
        <f ca="1">SUMIF($D$45:$D$502,$D8,U$45:U$502)</f>
        <v>42</v>
      </c>
      <c r="V8" s="601">
        <f t="shared" ca="1" si="7"/>
        <v>0.2857142857142857</v>
      </c>
      <c r="W8" s="408">
        <f ca="1">SUMIF($D$45:$D$502,$D8,W$45:W$502)</f>
        <v>64</v>
      </c>
      <c r="X8" s="601">
        <f t="shared" ca="1" si="8"/>
        <v>0.43537414965986393</v>
      </c>
      <c r="Y8" s="602">
        <f ca="1">IF($A7="N","",R8+K8)</f>
        <v>147</v>
      </c>
      <c r="Z8" s="355"/>
    </row>
    <row r="9" spans="1:26">
      <c r="B9" s="568"/>
      <c r="C9" s="568"/>
      <c r="D9" s="520">
        <v>0</v>
      </c>
      <c r="E9" s="599">
        <f ca="1">SUMIF($D$45:$D$502,$D9,E$45:E$502)</f>
        <v>107</v>
      </c>
      <c r="F9" s="415">
        <f t="shared" ca="1" si="0"/>
        <v>0.38214285714285712</v>
      </c>
      <c r="G9" s="408">
        <f ca="1">SUMIF($D$45:$D$502,$D9,G$45:G$502)</f>
        <v>78</v>
      </c>
      <c r="H9" s="601">
        <f t="shared" ca="1" si="1"/>
        <v>0.27857142857142858</v>
      </c>
      <c r="I9" s="408">
        <f ca="1">SUMIF($D$45:$D$502,$D9,I$45:I$502)</f>
        <v>95</v>
      </c>
      <c r="J9" s="415">
        <f t="shared" ca="1" si="2"/>
        <v>0.3392857142857143</v>
      </c>
      <c r="K9" s="602">
        <f ca="1">IF($A8="N","",E9+G9+I9)</f>
        <v>280</v>
      </c>
      <c r="L9" s="599">
        <f ca="1">SUMIF($D$45:$D$502,$D9,L$45:L$502)</f>
        <v>98</v>
      </c>
      <c r="M9" s="601">
        <f t="shared" ca="1" si="3"/>
        <v>0.3487544483985765</v>
      </c>
      <c r="N9" s="408">
        <f ca="1">SUMIF($D$45:$D$502,$D9,N$45:N$502)</f>
        <v>78</v>
      </c>
      <c r="O9" s="601">
        <f t="shared" ca="1" si="4"/>
        <v>0.27758007117437722</v>
      </c>
      <c r="P9" s="408">
        <f ca="1">SUMIF($D$45:$D$502,$D9,P$45:P$502)</f>
        <v>105</v>
      </c>
      <c r="Q9" s="601">
        <f t="shared" ca="1" si="5"/>
        <v>0.37366548042704628</v>
      </c>
      <c r="R9" s="602">
        <f ca="1">IF($A8="N","",L9+N9+P9)</f>
        <v>281</v>
      </c>
      <c r="S9" s="599">
        <f ca="1">SUMIF($D$45:$D$502,$D9,S$45:S$502)</f>
        <v>205</v>
      </c>
      <c r="T9" s="415">
        <f t="shared" ca="1" si="6"/>
        <v>0.36541889483065954</v>
      </c>
      <c r="U9" s="408">
        <f ca="1">SUMIF($D$45:$D$502,$D9,U$45:U$502)</f>
        <v>156</v>
      </c>
      <c r="V9" s="601">
        <f t="shared" ca="1" si="7"/>
        <v>0.27807486631016043</v>
      </c>
      <c r="W9" s="408">
        <f ca="1">SUMIF($D$45:$D$502,$D9,W$45:W$502)</f>
        <v>200</v>
      </c>
      <c r="X9" s="601">
        <f t="shared" ca="1" si="8"/>
        <v>0.35650623885918004</v>
      </c>
      <c r="Y9" s="602">
        <f ca="1">IF($A8="N","",R9+K9)</f>
        <v>561</v>
      </c>
      <c r="Z9" s="355"/>
    </row>
    <row r="10" spans="1:26">
      <c r="B10" s="568"/>
      <c r="C10" s="568"/>
      <c r="D10" s="520">
        <v>1</v>
      </c>
      <c r="E10" s="599">
        <f ca="1">SUMIF($D$45:$D$502,$D10,E$45:E$502)</f>
        <v>16</v>
      </c>
      <c r="F10" s="415">
        <f t="shared" ca="1" si="0"/>
        <v>0.42105263157894735</v>
      </c>
      <c r="G10" s="408">
        <f ca="1">SUMIF($D$45:$D$502,$D10,G$45:G$502)</f>
        <v>10</v>
      </c>
      <c r="H10" s="601">
        <f t="shared" ca="1" si="1"/>
        <v>0.26315789473684209</v>
      </c>
      <c r="I10" s="408">
        <f ca="1">SUMIF($D$45:$D$502,$D10,I$45:I$502)</f>
        <v>12</v>
      </c>
      <c r="J10" s="415">
        <f t="shared" ca="1" si="2"/>
        <v>0.31578947368421051</v>
      </c>
      <c r="K10" s="602">
        <f ca="1">IF($A9="N","",E10+G10+I10)</f>
        <v>38</v>
      </c>
      <c r="L10" s="599">
        <f ca="1">SUMIF($D$45:$D$502,$D10,L$45:L$502)</f>
        <v>38</v>
      </c>
      <c r="M10" s="601">
        <f t="shared" ca="1" si="3"/>
        <v>0.39583333333333331</v>
      </c>
      <c r="N10" s="408">
        <f ca="1">SUMIF($D$45:$D$502,$D10,N$45:N$502)</f>
        <v>33</v>
      </c>
      <c r="O10" s="601">
        <f t="shared" ca="1" si="4"/>
        <v>0.34375</v>
      </c>
      <c r="P10" s="408">
        <f ca="1">SUMIF($D$45:$D$502,$D10,P$45:P$502)</f>
        <v>25</v>
      </c>
      <c r="Q10" s="601">
        <f t="shared" ca="1" si="5"/>
        <v>0.26041666666666669</v>
      </c>
      <c r="R10" s="602">
        <f ca="1">IF($A9="N","",L10+N10+P10)</f>
        <v>96</v>
      </c>
      <c r="S10" s="599">
        <f ca="1">SUMIF($D$45:$D$502,$D10,S$45:S$502)</f>
        <v>54</v>
      </c>
      <c r="T10" s="415">
        <f t="shared" ca="1" si="6"/>
        <v>0.40298507462686567</v>
      </c>
      <c r="U10" s="408">
        <f ca="1">SUMIF($D$45:$D$502,$D10,U$45:U$502)</f>
        <v>43</v>
      </c>
      <c r="V10" s="601">
        <f t="shared" ca="1" si="7"/>
        <v>0.32089552238805968</v>
      </c>
      <c r="W10" s="408">
        <f ca="1">SUMIF($D$45:$D$502,$D10,W$45:W$502)</f>
        <v>37</v>
      </c>
      <c r="X10" s="601">
        <f t="shared" ca="1" si="8"/>
        <v>0.27611940298507465</v>
      </c>
      <c r="Y10" s="602">
        <f ca="1">IF($A9="N","",R10+K10)</f>
        <v>134</v>
      </c>
      <c r="Z10" s="355"/>
    </row>
    <row r="11" spans="1:26" ht="13.5" thickBot="1">
      <c r="B11" s="568"/>
      <c r="C11" s="569"/>
      <c r="D11" s="520">
        <v>2</v>
      </c>
      <c r="E11" s="599">
        <f ca="1">SUMIF($D$45:$D$502,$D11,E$45:E$502)</f>
        <v>0</v>
      </c>
      <c r="F11" s="603" t="str">
        <f t="shared" ca="1" si="0"/>
        <v>-</v>
      </c>
      <c r="G11" s="604">
        <f ca="1">SUMIF($D$45:$D$502,$D11,G$45:G$502)</f>
        <v>0</v>
      </c>
      <c r="H11" s="605" t="str">
        <f t="shared" ca="1" si="1"/>
        <v>-</v>
      </c>
      <c r="I11" s="604">
        <f ca="1">SUMIF($D$45:$D$502,$D11,I$45:I$502)</f>
        <v>0</v>
      </c>
      <c r="J11" s="603" t="str">
        <f t="shared" ca="1" si="2"/>
        <v>-</v>
      </c>
      <c r="K11" s="602">
        <f ca="1">IF($A10="N","",E11+G11+I11)</f>
        <v>0</v>
      </c>
      <c r="L11" s="599">
        <f ca="1">SUMIF($D$45:$D$502,$D11,L$45:L$502)</f>
        <v>0</v>
      </c>
      <c r="M11" s="605" t="str">
        <f t="shared" ca="1" si="3"/>
        <v>-</v>
      </c>
      <c r="N11" s="604">
        <f ca="1">SUMIF($D$45:$D$502,$D11,N$45:N$502)</f>
        <v>0</v>
      </c>
      <c r="O11" s="605" t="str">
        <f t="shared" ca="1" si="4"/>
        <v>-</v>
      </c>
      <c r="P11" s="604">
        <f ca="1">SUMIF($D$45:$D$502,$D11,P$45:P$502)</f>
        <v>0</v>
      </c>
      <c r="Q11" s="605" t="str">
        <f t="shared" ca="1" si="5"/>
        <v>-</v>
      </c>
      <c r="R11" s="602">
        <f ca="1">IF($A10="N","",L11+N11+P11)</f>
        <v>0</v>
      </c>
      <c r="S11" s="606">
        <f ca="1">SUMIF($D$45:$D$502,$D11,S$45:S$502)</f>
        <v>0</v>
      </c>
      <c r="T11" s="603" t="str">
        <f t="shared" ca="1" si="6"/>
        <v>-</v>
      </c>
      <c r="U11" s="607">
        <f ca="1">SUMIF($D$45:$D$502,$D11,U$45:U$502)</f>
        <v>0</v>
      </c>
      <c r="V11" s="605" t="str">
        <f t="shared" ca="1" si="7"/>
        <v>-</v>
      </c>
      <c r="W11" s="607">
        <f ca="1">SUMIF($D$45:$D$502,$D11,W$45:W$502)</f>
        <v>0</v>
      </c>
      <c r="X11" s="605" t="str">
        <f t="shared" ca="1" si="8"/>
        <v>-</v>
      </c>
      <c r="Y11" s="608">
        <f ca="1">IF($A10="N","",R11+K11)</f>
        <v>0</v>
      </c>
    </row>
    <row r="12" spans="1:26" ht="13.5" thickBot="1">
      <c r="A12" s="487"/>
      <c r="B12" s="568"/>
      <c r="D12" s="570" t="s">
        <v>115</v>
      </c>
      <c r="E12" s="481">
        <f ca="1">SUM(E7:E11)</f>
        <v>149</v>
      </c>
      <c r="F12" s="435">
        <f t="shared" ca="1" si="0"/>
        <v>0.35391923990498814</v>
      </c>
      <c r="G12" s="438">
        <f ca="1">SUM(G7:G11)</f>
        <v>120</v>
      </c>
      <c r="H12" s="435">
        <f t="shared" ca="1" si="1"/>
        <v>0.28503562945368172</v>
      </c>
      <c r="I12" s="438">
        <f ca="1">SUM(I7:I11)</f>
        <v>152</v>
      </c>
      <c r="J12" s="609">
        <f t="shared" ca="1" si="2"/>
        <v>0.36104513064133015</v>
      </c>
      <c r="K12" s="479">
        <f ca="1">SUM(K7:K11)</f>
        <v>421</v>
      </c>
      <c r="L12" s="481">
        <f ca="1">SUM(L7:L11)</f>
        <v>151</v>
      </c>
      <c r="M12" s="435">
        <f t="shared" ca="1" si="3"/>
        <v>0.35866983372921613</v>
      </c>
      <c r="N12" s="438">
        <f ca="1">SUM(N7:N11)</f>
        <v>121</v>
      </c>
      <c r="O12" s="435">
        <f t="shared" ca="1" si="4"/>
        <v>0.28741092636579574</v>
      </c>
      <c r="P12" s="438">
        <f ca="1">SUM(P7:P11)</f>
        <v>149</v>
      </c>
      <c r="Q12" s="435">
        <f t="shared" ca="1" si="5"/>
        <v>0.35391923990498814</v>
      </c>
      <c r="R12" s="479">
        <f ca="1">SUM(R7:R11)</f>
        <v>421</v>
      </c>
      <c r="S12" s="481">
        <f ca="1">SUM(S7:S11)</f>
        <v>300</v>
      </c>
      <c r="T12" s="609">
        <f t="shared" ca="1" si="6"/>
        <v>0.35629453681710216</v>
      </c>
      <c r="U12" s="438">
        <f ca="1">SUM(U7:U11)</f>
        <v>241</v>
      </c>
      <c r="V12" s="435">
        <f t="shared" ca="1" si="7"/>
        <v>0.28622327790973873</v>
      </c>
      <c r="W12" s="438">
        <f ca="1">SUM(W7:W11)</f>
        <v>301</v>
      </c>
      <c r="X12" s="435">
        <f t="shared" ca="1" si="8"/>
        <v>0.35748218527315917</v>
      </c>
      <c r="Y12" s="479">
        <f ca="1">SUM(Y7:Y11)</f>
        <v>842</v>
      </c>
    </row>
    <row r="13" spans="1:26">
      <c r="B13" s="568"/>
      <c r="C13" s="359"/>
      <c r="D13" s="357"/>
    </row>
    <row r="14" spans="1:26" ht="13.5" thickBot="1">
      <c r="B14" s="568"/>
      <c r="D14" s="354" t="s">
        <v>169</v>
      </c>
    </row>
    <row r="15" spans="1:26">
      <c r="A15" s="488" t="s">
        <v>119</v>
      </c>
      <c r="B15" s="568" t="str">
        <f>IF($A15&gt;$D$3,"",VLOOKUP($A15,Table!$A$9:$C$30,2,FALSE))</f>
        <v/>
      </c>
      <c r="C15" s="357" t="s">
        <v>170</v>
      </c>
      <c r="D15" s="610" t="s">
        <v>60</v>
      </c>
      <c r="E15" s="582" t="s">
        <v>162</v>
      </c>
      <c r="F15" s="583"/>
      <c r="G15" s="584"/>
      <c r="H15" s="583"/>
      <c r="I15" s="585"/>
      <c r="J15" s="584"/>
      <c r="K15" s="584"/>
      <c r="L15" s="582" t="s">
        <v>163</v>
      </c>
      <c r="M15" s="583"/>
      <c r="N15" s="584"/>
      <c r="O15" s="583"/>
      <c r="P15" s="585"/>
      <c r="Q15" s="583"/>
      <c r="R15" s="586"/>
      <c r="S15" s="582" t="s">
        <v>164</v>
      </c>
      <c r="T15" s="583"/>
      <c r="U15" s="584"/>
      <c r="V15" s="583"/>
      <c r="W15" s="587"/>
      <c r="X15" s="588"/>
      <c r="Y15" s="589"/>
    </row>
    <row r="16" spans="1:26" ht="13.5" thickBot="1">
      <c r="A16" s="494"/>
      <c r="B16" s="568"/>
      <c r="D16" s="611"/>
      <c r="E16" s="590" t="s">
        <v>63</v>
      </c>
      <c r="F16" s="591"/>
      <c r="G16" s="592" t="s">
        <v>64</v>
      </c>
      <c r="H16" s="593"/>
      <c r="I16" s="592" t="s">
        <v>65</v>
      </c>
      <c r="J16" s="592"/>
      <c r="K16" s="594" t="s">
        <v>171</v>
      </c>
      <c r="L16" s="595" t="s">
        <v>63</v>
      </c>
      <c r="M16" s="593"/>
      <c r="N16" s="592" t="s">
        <v>64</v>
      </c>
      <c r="O16" s="593"/>
      <c r="P16" s="592" t="s">
        <v>65</v>
      </c>
      <c r="Q16" s="593"/>
      <c r="R16" s="596" t="s">
        <v>172</v>
      </c>
      <c r="S16" s="597" t="s">
        <v>63</v>
      </c>
      <c r="T16" s="593"/>
      <c r="U16" s="592" t="s">
        <v>64</v>
      </c>
      <c r="V16" s="598"/>
      <c r="W16" s="592" t="s">
        <v>65</v>
      </c>
      <c r="X16" s="593"/>
      <c r="Y16" s="596" t="s">
        <v>168</v>
      </c>
    </row>
    <row r="17" spans="1:59" ht="13.5" thickBot="1">
      <c r="A17" s="612">
        <v>1</v>
      </c>
      <c r="B17" s="568" t="str">
        <f>IF($A17&gt;$D$3,"",VLOOKUP($A17,Table!$A$9:$C$30,2,FALSE))</f>
        <v/>
      </c>
      <c r="C17" s="357" t="str">
        <f ca="1">IF(A17&gt;$C$1,"",VLOOKUP($A17,Table!$A$9:$C$30,3,FALSE))</f>
        <v>Shonan Bellmare</v>
      </c>
      <c r="D17" s="613" t="str">
        <f ca="1">IF(A17&gt;$C$1,"",VLOOKUP($A17,Table!$A$9:$C$30,2,FALSE))</f>
        <v>Shonan Bellmare</v>
      </c>
      <c r="E17" s="505">
        <f t="shared" ref="E17:E40" ca="1" si="9">IF($D17="","",VLOOKUP($C17,$B:$W,4,FALSE))</f>
        <v>9</v>
      </c>
      <c r="F17" s="406">
        <f t="shared" ref="F17:F41" ca="1" si="10">IF(E17="","",IF(E17=0,"-",E17/$K17))</f>
        <v>0.42857142857142855</v>
      </c>
      <c r="G17" s="614">
        <f t="shared" ref="G17:G40" ca="1" si="11">IF($D17="","",VLOOKUP($C17,$B:$W,6,FALSE))</f>
        <v>3</v>
      </c>
      <c r="H17" s="406">
        <f t="shared" ref="H17:H41" ca="1" si="12">IF(G17="","",IF(G17=0,"-",G17/$K17))</f>
        <v>0.14285714285714285</v>
      </c>
      <c r="I17" s="614">
        <f t="shared" ref="I17:I40" ca="1" si="13">IF($D17="","",VLOOKUP($C17,$B:$W,8,FALSE))</f>
        <v>9</v>
      </c>
      <c r="J17" s="406">
        <f t="shared" ref="J17:J41" ca="1" si="14">IF(I17="","",IF(I17=0,"-",I17/$K17))</f>
        <v>0.42857142857142855</v>
      </c>
      <c r="K17" s="615">
        <f ca="1">IF($D17="","",I17+G17+E17)</f>
        <v>21</v>
      </c>
      <c r="L17" s="535">
        <f t="shared" ref="L17:L40" ca="1" si="15">IF($D17="","",VLOOKUP($C17,$B:$W,11,FALSE))</f>
        <v>10</v>
      </c>
      <c r="M17" s="406">
        <f t="shared" ref="M17:M41" ca="1" si="16">IF(L17="","",IF(L17=0,"-",L17/$R17))</f>
        <v>0.47619047619047616</v>
      </c>
      <c r="N17" s="614">
        <f t="shared" ref="N17:N40" ca="1" si="17">IF($D17="","",VLOOKUP($C17,$B:$W,13,FALSE))</f>
        <v>5</v>
      </c>
      <c r="O17" s="406">
        <f t="shared" ref="O17:O41" ca="1" si="18">IF(N17="","",IF(N17=0,"-",N17/$R17))</f>
        <v>0.23809523809523808</v>
      </c>
      <c r="P17" s="614">
        <f t="shared" ref="P17:P40" ca="1" si="19">IF($D17="","",VLOOKUP($C17,$B:$W,15,FALSE))</f>
        <v>6</v>
      </c>
      <c r="Q17" s="406">
        <f t="shared" ref="Q17:Q41" ca="1" si="20">IF(P17="","",IF(P17=0,"-",P17/$R17))</f>
        <v>0.2857142857142857</v>
      </c>
      <c r="R17" s="615">
        <f ca="1">IF($D17="","",P17+N17+L17)</f>
        <v>21</v>
      </c>
      <c r="S17" s="535">
        <f t="shared" ref="S17:S40" ca="1" si="21">IF($D17="","",VLOOKUP($C17,$B:$W,18,FALSE))</f>
        <v>19</v>
      </c>
      <c r="T17" s="406">
        <f ca="1">IF(S17="","",IF(S17=0,"-",S17/$Y17))</f>
        <v>0.45238095238095238</v>
      </c>
      <c r="U17" s="614">
        <f t="shared" ref="U17:U40" ca="1" si="22">IF($D17="","",VLOOKUP($C17,$B:$W,20,FALSE))</f>
        <v>8</v>
      </c>
      <c r="V17" s="406">
        <f ca="1">IF(U17="","",IF(U17=0,"-",U17/$Y17))</f>
        <v>0.19047619047619047</v>
      </c>
      <c r="W17" s="614">
        <f t="shared" ref="W17:W40" ca="1" si="23">IF($D17="","",VLOOKUP($C17,$B:$W,22,FALSE))</f>
        <v>15</v>
      </c>
      <c r="X17" s="406">
        <f ca="1">IF(W17="","",IF(W17=0,"-",W17/$Y17))</f>
        <v>0.35714285714285715</v>
      </c>
      <c r="Y17" s="616">
        <f ca="1">IF($D17="","",W17+U17+S17)</f>
        <v>42</v>
      </c>
    </row>
    <row r="18" spans="1:59">
      <c r="A18" s="617">
        <v>2</v>
      </c>
      <c r="B18" s="568" t="str">
        <f>IF($A18&gt;$D$3,"",VLOOKUP($A18,Table!$A$9:$C$30,2,FALSE))</f>
        <v/>
      </c>
      <c r="C18" s="357" t="str">
        <f ca="1">IF(A18&gt;$C$1,"",VLOOKUP($A18,Table!$A$9:$C$30,3,FALSE))</f>
        <v>V-Varen Nagasaki</v>
      </c>
      <c r="D18" s="613" t="str">
        <f ca="1">IF(A18&gt;$C$1,"",VLOOKUP($A18,Table!$A$9:$C$30,2,FALSE))</f>
        <v>V-Varen Nagasaki</v>
      </c>
      <c r="E18" s="521">
        <f t="shared" ca="1" si="9"/>
        <v>14</v>
      </c>
      <c r="F18" s="618">
        <f t="shared" ca="1" si="10"/>
        <v>0.66666666666666663</v>
      </c>
      <c r="G18" s="619">
        <f t="shared" ca="1" si="11"/>
        <v>5</v>
      </c>
      <c r="H18" s="618">
        <f t="shared" ca="1" si="12"/>
        <v>0.23809523809523808</v>
      </c>
      <c r="I18" s="619">
        <f t="shared" ca="1" si="13"/>
        <v>2</v>
      </c>
      <c r="J18" s="619">
        <f t="shared" ca="1" si="14"/>
        <v>9.5238095238095233E-2</v>
      </c>
      <c r="K18" s="385">
        <f t="shared" ref="K18:K40" ca="1" si="24">IF($D18="","",I18+G18+E18)</f>
        <v>21</v>
      </c>
      <c r="L18" s="521">
        <f t="shared" ca="1" si="15"/>
        <v>10</v>
      </c>
      <c r="M18" s="618">
        <f t="shared" ca="1" si="16"/>
        <v>0.47619047619047616</v>
      </c>
      <c r="N18" s="619">
        <f t="shared" ca="1" si="17"/>
        <v>3</v>
      </c>
      <c r="O18" s="618">
        <f t="shared" ca="1" si="18"/>
        <v>0.14285714285714285</v>
      </c>
      <c r="P18" s="619">
        <f t="shared" ca="1" si="19"/>
        <v>8</v>
      </c>
      <c r="Q18" s="619">
        <f t="shared" ca="1" si="20"/>
        <v>0.38095238095238093</v>
      </c>
      <c r="R18" s="385">
        <f t="shared" ref="R18:R40" ca="1" si="25">IF($D18="","",P18+N18+L18)</f>
        <v>21</v>
      </c>
      <c r="S18" s="521">
        <f t="shared" ca="1" si="21"/>
        <v>24</v>
      </c>
      <c r="T18" s="618">
        <f t="shared" ref="T18:T41" ca="1" si="26">IF(S18="","",IF(S18=0,"-",S18/$Y18))</f>
        <v>0.5714285714285714</v>
      </c>
      <c r="U18" s="619">
        <f t="shared" ca="1" si="22"/>
        <v>8</v>
      </c>
      <c r="V18" s="618">
        <f t="shared" ref="V18:V41" ca="1" si="27">IF(U18="","",IF(U18=0,"-",U18/$Y18))</f>
        <v>0.19047619047619047</v>
      </c>
      <c r="W18" s="619">
        <f t="shared" ca="1" si="23"/>
        <v>10</v>
      </c>
      <c r="X18" s="618">
        <f t="shared" ref="X18:X41" ca="1" si="28">IF(W18="","",IF(W18=0,"-",W18/$Y18))</f>
        <v>0.23809523809523808</v>
      </c>
      <c r="Y18" s="617">
        <f t="shared" ref="Y18:Y40" ca="1" si="29">IF($D18="","",W18+U18+S18)</f>
        <v>42</v>
      </c>
    </row>
    <row r="19" spans="1:59">
      <c r="A19" s="620">
        <v>3</v>
      </c>
      <c r="B19" s="568" t="str">
        <f>IF($A19&gt;$D$3,"",VLOOKUP($A19,Table!$A$9:$C$30,2,FALSE))</f>
        <v/>
      </c>
      <c r="C19" s="357" t="str">
        <f ca="1">IF(A19&gt;$C$1,"",VLOOKUP($A19,Table!$A$9:$C$30,3,FALSE))</f>
        <v>Nagoya Grampus</v>
      </c>
      <c r="D19" s="621" t="str">
        <f ca="1">IF(A19&gt;$C$1,"",VLOOKUP($A19,Table!$A$9:$C$30,2,FALSE))</f>
        <v>Nagoya Grampus</v>
      </c>
      <c r="E19" s="548">
        <f t="shared" ca="1" si="9"/>
        <v>12</v>
      </c>
      <c r="F19" s="622">
        <f t="shared" ca="1" si="10"/>
        <v>0.54545454545454541</v>
      </c>
      <c r="G19" s="623">
        <f t="shared" ca="1" si="11"/>
        <v>3</v>
      </c>
      <c r="H19" s="622">
        <f t="shared" ca="1" si="12"/>
        <v>0.13636363636363635</v>
      </c>
      <c r="I19" s="623">
        <f t="shared" ca="1" si="13"/>
        <v>7</v>
      </c>
      <c r="J19" s="623">
        <f t="shared" ca="1" si="14"/>
        <v>0.31818181818181818</v>
      </c>
      <c r="K19" s="624">
        <f t="shared" ca="1" si="24"/>
        <v>22</v>
      </c>
      <c r="L19" s="548">
        <f t="shared" ca="1" si="15"/>
        <v>8</v>
      </c>
      <c r="M19" s="622">
        <f t="shared" ca="1" si="16"/>
        <v>0.38095238095238093</v>
      </c>
      <c r="N19" s="623">
        <f t="shared" ca="1" si="17"/>
        <v>6</v>
      </c>
      <c r="O19" s="622">
        <f t="shared" ca="1" si="18"/>
        <v>0.2857142857142857</v>
      </c>
      <c r="P19" s="623">
        <f t="shared" ca="1" si="19"/>
        <v>7</v>
      </c>
      <c r="Q19" s="623">
        <f t="shared" ca="1" si="20"/>
        <v>0.33333333333333331</v>
      </c>
      <c r="R19" s="624">
        <f t="shared" ca="1" si="25"/>
        <v>21</v>
      </c>
      <c r="S19" s="548">
        <f t="shared" ca="1" si="21"/>
        <v>20</v>
      </c>
      <c r="T19" s="622">
        <f t="shared" ca="1" si="26"/>
        <v>0.46511627906976744</v>
      </c>
      <c r="U19" s="623">
        <f t="shared" ca="1" si="22"/>
        <v>9</v>
      </c>
      <c r="V19" s="622">
        <f t="shared" ca="1" si="27"/>
        <v>0.20930232558139536</v>
      </c>
      <c r="W19" s="623">
        <f t="shared" ca="1" si="23"/>
        <v>14</v>
      </c>
      <c r="X19" s="622">
        <f t="shared" ca="1" si="28"/>
        <v>0.32558139534883723</v>
      </c>
      <c r="Y19" s="620">
        <f t="shared" ca="1" si="29"/>
        <v>43</v>
      </c>
    </row>
    <row r="20" spans="1:59" ht="13.5" thickBot="1">
      <c r="A20" s="620">
        <v>4</v>
      </c>
      <c r="B20" s="568" t="str">
        <f>IF($A20&gt;$D$3,"",VLOOKUP($A20,Table!$A$9:$C$30,2,FALSE))</f>
        <v/>
      </c>
      <c r="C20" s="357" t="str">
        <f ca="1">IF(A20&gt;$C$1,"",VLOOKUP($A20,Table!$A$9:$C$30,3,FALSE))</f>
        <v>Avispa Fukuoka</v>
      </c>
      <c r="D20" s="621" t="str">
        <f ca="1">IF(A20&gt;$C$1,"",VLOOKUP($A20,Table!$A$9:$C$30,2,FALSE))</f>
        <v>Avispa Fukuoka</v>
      </c>
      <c r="E20" s="548">
        <f t="shared" ca="1" si="9"/>
        <v>6</v>
      </c>
      <c r="F20" s="622">
        <f t="shared" ca="1" si="10"/>
        <v>0.2857142857142857</v>
      </c>
      <c r="G20" s="623">
        <f t="shared" ca="1" si="11"/>
        <v>5</v>
      </c>
      <c r="H20" s="622">
        <f t="shared" ca="1" si="12"/>
        <v>0.23809523809523808</v>
      </c>
      <c r="I20" s="623">
        <f t="shared" ca="1" si="13"/>
        <v>10</v>
      </c>
      <c r="J20" s="623">
        <f t="shared" ca="1" si="14"/>
        <v>0.47619047619047616</v>
      </c>
      <c r="K20" s="624">
        <f t="shared" ca="1" si="24"/>
        <v>21</v>
      </c>
      <c r="L20" s="548">
        <f t="shared" ca="1" si="15"/>
        <v>10</v>
      </c>
      <c r="M20" s="622">
        <f t="shared" ca="1" si="16"/>
        <v>0.47619047619047616</v>
      </c>
      <c r="N20" s="623">
        <f t="shared" ca="1" si="17"/>
        <v>6</v>
      </c>
      <c r="O20" s="622">
        <f t="shared" ca="1" si="18"/>
        <v>0.2857142857142857</v>
      </c>
      <c r="P20" s="623">
        <f t="shared" ca="1" si="19"/>
        <v>5</v>
      </c>
      <c r="Q20" s="623">
        <f t="shared" ca="1" si="20"/>
        <v>0.23809523809523808</v>
      </c>
      <c r="R20" s="624">
        <f t="shared" ca="1" si="25"/>
        <v>21</v>
      </c>
      <c r="S20" s="548">
        <f t="shared" ca="1" si="21"/>
        <v>16</v>
      </c>
      <c r="T20" s="622">
        <f t="shared" ca="1" si="26"/>
        <v>0.38095238095238093</v>
      </c>
      <c r="U20" s="623">
        <f t="shared" ca="1" si="22"/>
        <v>11</v>
      </c>
      <c r="V20" s="622">
        <f t="shared" ca="1" si="27"/>
        <v>0.26190476190476192</v>
      </c>
      <c r="W20" s="623">
        <f t="shared" ca="1" si="23"/>
        <v>15</v>
      </c>
      <c r="X20" s="622">
        <f t="shared" ca="1" si="28"/>
        <v>0.35714285714285715</v>
      </c>
      <c r="Y20" s="620">
        <f t="shared" ca="1" si="29"/>
        <v>42</v>
      </c>
    </row>
    <row r="21" spans="1:59" ht="13.5" thickBot="1">
      <c r="A21" s="617">
        <v>5</v>
      </c>
      <c r="B21" s="568" t="str">
        <f>IF($A21&gt;$D$3,"",VLOOKUP($A21,Table!$A$9:$C$30,2,FALSE))</f>
        <v/>
      </c>
      <c r="C21" s="357" t="str">
        <f ca="1">IF(A21&gt;$C$1,"",VLOOKUP($A21,Table!$A$9:$C$30,3,FALSE))</f>
        <v>Tokyo Verdy</v>
      </c>
      <c r="D21" s="613" t="str">
        <f ca="1">IF(A21&gt;$C$1,"",VLOOKUP($A21,Table!$A$9:$C$30,2,FALSE))</f>
        <v>Tokyo Verdy</v>
      </c>
      <c r="E21" s="521">
        <f t="shared" ca="1" si="9"/>
        <v>11</v>
      </c>
      <c r="F21" s="618">
        <f t="shared" ca="1" si="10"/>
        <v>0.52380952380952384</v>
      </c>
      <c r="G21" s="619">
        <f t="shared" ca="1" si="11"/>
        <v>5</v>
      </c>
      <c r="H21" s="618">
        <f t="shared" ca="1" si="12"/>
        <v>0.23809523809523808</v>
      </c>
      <c r="I21" s="619">
        <f t="shared" ca="1" si="13"/>
        <v>5</v>
      </c>
      <c r="J21" s="619">
        <f t="shared" ca="1" si="14"/>
        <v>0.23809523809523808</v>
      </c>
      <c r="K21" s="385">
        <f t="shared" ca="1" si="24"/>
        <v>21</v>
      </c>
      <c r="L21" s="521">
        <f t="shared" ca="1" si="15"/>
        <v>6</v>
      </c>
      <c r="M21" s="618">
        <f t="shared" ca="1" si="16"/>
        <v>0.2857142857142857</v>
      </c>
      <c r="N21" s="619">
        <f t="shared" ca="1" si="17"/>
        <v>6</v>
      </c>
      <c r="O21" s="618">
        <f t="shared" ca="1" si="18"/>
        <v>0.2857142857142857</v>
      </c>
      <c r="P21" s="619">
        <f t="shared" ca="1" si="19"/>
        <v>9</v>
      </c>
      <c r="Q21" s="619">
        <f t="shared" ca="1" si="20"/>
        <v>0.42857142857142855</v>
      </c>
      <c r="R21" s="385">
        <f t="shared" ca="1" si="25"/>
        <v>21</v>
      </c>
      <c r="S21" s="521">
        <f t="shared" ca="1" si="21"/>
        <v>17</v>
      </c>
      <c r="T21" s="618">
        <f t="shared" ca="1" si="26"/>
        <v>0.40476190476190477</v>
      </c>
      <c r="U21" s="619">
        <f t="shared" ca="1" si="22"/>
        <v>11</v>
      </c>
      <c r="V21" s="618">
        <f t="shared" ca="1" si="27"/>
        <v>0.26190476190476192</v>
      </c>
      <c r="W21" s="619">
        <f t="shared" ca="1" si="23"/>
        <v>14</v>
      </c>
      <c r="X21" s="618">
        <f t="shared" ca="1" si="28"/>
        <v>0.33333333333333331</v>
      </c>
      <c r="Y21" s="617">
        <f t="shared" ca="1" si="29"/>
        <v>42</v>
      </c>
    </row>
    <row r="22" spans="1:59">
      <c r="A22" s="617">
        <v>6</v>
      </c>
      <c r="B22" s="568" t="str">
        <f>IF($A22&gt;$D$3,"",VLOOKUP($A22,Table!$A$9:$C$30,2,FALSE))</f>
        <v/>
      </c>
      <c r="C22" s="357" t="str">
        <f ca="1">IF(A22&gt;$C$1,"",VLOOKUP($A22,Table!$A$9:$C$30,3,FALSE))</f>
        <v>JEF United</v>
      </c>
      <c r="D22" s="613" t="str">
        <f ca="1">IF(A22&gt;$C$1,"",VLOOKUP($A22,Table!$A$9:$C$30,2,FALSE))</f>
        <v>JEF United</v>
      </c>
      <c r="E22" s="521">
        <f t="shared" ca="1" si="9"/>
        <v>8</v>
      </c>
      <c r="F22" s="618">
        <f t="shared" ca="1" si="10"/>
        <v>0.38095238095238093</v>
      </c>
      <c r="G22" s="619">
        <f t="shared" ca="1" si="11"/>
        <v>8</v>
      </c>
      <c r="H22" s="618">
        <f t="shared" ca="1" si="12"/>
        <v>0.38095238095238093</v>
      </c>
      <c r="I22" s="619">
        <f t="shared" ca="1" si="13"/>
        <v>5</v>
      </c>
      <c r="J22" s="619">
        <f t="shared" ca="1" si="14"/>
        <v>0.23809523809523808</v>
      </c>
      <c r="K22" s="385">
        <f t="shared" ca="1" si="24"/>
        <v>21</v>
      </c>
      <c r="L22" s="521">
        <f t="shared" ca="1" si="15"/>
        <v>7</v>
      </c>
      <c r="M22" s="618">
        <f t="shared" ca="1" si="16"/>
        <v>0.31818181818181818</v>
      </c>
      <c r="N22" s="619">
        <f t="shared" ca="1" si="17"/>
        <v>1</v>
      </c>
      <c r="O22" s="618">
        <f t="shared" ca="1" si="18"/>
        <v>4.5454545454545456E-2</v>
      </c>
      <c r="P22" s="619">
        <f t="shared" ca="1" si="19"/>
        <v>14</v>
      </c>
      <c r="Q22" s="619">
        <f t="shared" ca="1" si="20"/>
        <v>0.63636363636363635</v>
      </c>
      <c r="R22" s="385">
        <f t="shared" ca="1" si="25"/>
        <v>22</v>
      </c>
      <c r="S22" s="521">
        <f t="shared" ca="1" si="21"/>
        <v>15</v>
      </c>
      <c r="T22" s="618">
        <f t="shared" ca="1" si="26"/>
        <v>0.34883720930232559</v>
      </c>
      <c r="U22" s="619">
        <f t="shared" ca="1" si="22"/>
        <v>9</v>
      </c>
      <c r="V22" s="618">
        <f t="shared" ca="1" si="27"/>
        <v>0.20930232558139536</v>
      </c>
      <c r="W22" s="619">
        <f t="shared" ca="1" si="23"/>
        <v>19</v>
      </c>
      <c r="X22" s="618">
        <f t="shared" ca="1" si="28"/>
        <v>0.44186046511627908</v>
      </c>
      <c r="Y22" s="617">
        <f t="shared" ca="1" si="29"/>
        <v>43</v>
      </c>
    </row>
    <row r="23" spans="1:59">
      <c r="A23" s="620">
        <v>7</v>
      </c>
      <c r="B23" s="568" t="str">
        <f>IF($A23&gt;$D$3,"",VLOOKUP($A23,Table!$A$9:$C$30,2,FALSE))</f>
        <v/>
      </c>
      <c r="C23" s="357" t="str">
        <f ca="1">IF(A23&gt;$C$1,"",VLOOKUP($A23,Table!$A$9:$C$30,3,FALSE))</f>
        <v>Tokushima Vortis</v>
      </c>
      <c r="D23" s="621" t="str">
        <f ca="1">IF(A23&gt;$C$1,"",VLOOKUP($A23,Table!$A$9:$C$30,2,FALSE))</f>
        <v>Tokushima Vortis</v>
      </c>
      <c r="E23" s="548">
        <f t="shared" ca="1" si="9"/>
        <v>7</v>
      </c>
      <c r="F23" s="622">
        <f t="shared" ca="1" si="10"/>
        <v>0.33333333333333331</v>
      </c>
      <c r="G23" s="623">
        <f t="shared" ca="1" si="11"/>
        <v>4</v>
      </c>
      <c r="H23" s="622">
        <f t="shared" ca="1" si="12"/>
        <v>0.19047619047619047</v>
      </c>
      <c r="I23" s="623">
        <f t="shared" ca="1" si="13"/>
        <v>10</v>
      </c>
      <c r="J23" s="623">
        <f t="shared" ca="1" si="14"/>
        <v>0.47619047619047616</v>
      </c>
      <c r="K23" s="624">
        <f t="shared" ca="1" si="24"/>
        <v>21</v>
      </c>
      <c r="L23" s="548">
        <f t="shared" ca="1" si="15"/>
        <v>10</v>
      </c>
      <c r="M23" s="622">
        <f t="shared" ca="1" si="16"/>
        <v>0.47619047619047616</v>
      </c>
      <c r="N23" s="623">
        <f t="shared" ca="1" si="17"/>
        <v>2</v>
      </c>
      <c r="O23" s="622">
        <f t="shared" ca="1" si="18"/>
        <v>9.5238095238095233E-2</v>
      </c>
      <c r="P23" s="623">
        <f t="shared" ca="1" si="19"/>
        <v>9</v>
      </c>
      <c r="Q23" s="623">
        <f t="shared" ca="1" si="20"/>
        <v>0.42857142857142855</v>
      </c>
      <c r="R23" s="624">
        <f t="shared" ca="1" si="25"/>
        <v>21</v>
      </c>
      <c r="S23" s="548">
        <f t="shared" ca="1" si="21"/>
        <v>17</v>
      </c>
      <c r="T23" s="622">
        <f t="shared" ca="1" si="26"/>
        <v>0.40476190476190477</v>
      </c>
      <c r="U23" s="623">
        <f t="shared" ca="1" si="22"/>
        <v>6</v>
      </c>
      <c r="V23" s="622">
        <f t="shared" ca="1" si="27"/>
        <v>0.14285714285714285</v>
      </c>
      <c r="W23" s="623">
        <f t="shared" ca="1" si="23"/>
        <v>19</v>
      </c>
      <c r="X23" s="625">
        <f t="shared" ca="1" si="28"/>
        <v>0.45238095238095238</v>
      </c>
      <c r="Y23" s="626">
        <f t="shared" ca="1" si="29"/>
        <v>42</v>
      </c>
      <c r="Z23" s="456"/>
      <c r="AA23" s="456"/>
      <c r="AB23" s="456"/>
      <c r="AC23" s="456"/>
      <c r="AD23" s="456"/>
      <c r="AE23" s="456"/>
      <c r="AF23" s="456"/>
      <c r="AG23" s="456"/>
      <c r="AH23" s="456"/>
      <c r="AI23" s="456"/>
      <c r="AJ23" s="456"/>
      <c r="AK23" s="456"/>
      <c r="AL23" s="456"/>
      <c r="AM23" s="456"/>
      <c r="AN23" s="456"/>
      <c r="AO23" s="456"/>
      <c r="AP23" s="456"/>
      <c r="AQ23" s="456"/>
      <c r="AR23" s="456"/>
      <c r="AS23" s="456"/>
      <c r="AT23" s="456"/>
      <c r="AU23" s="456"/>
      <c r="AV23" s="456"/>
      <c r="AW23" s="456"/>
      <c r="AX23" s="456"/>
      <c r="AY23" s="456"/>
      <c r="AZ23" s="456"/>
      <c r="BA23" s="456"/>
      <c r="BB23" s="456"/>
      <c r="BC23" s="456"/>
      <c r="BD23" s="456"/>
      <c r="BE23" s="456"/>
      <c r="BF23" s="456"/>
      <c r="BG23" s="456"/>
    </row>
    <row r="24" spans="1:59" ht="13.5" thickBot="1">
      <c r="A24" s="620">
        <v>8</v>
      </c>
      <c r="B24" s="568" t="str">
        <f>IF($A24&gt;$D$3,"",VLOOKUP($A24,Table!$A$9:$C$30,2,FALSE))</f>
        <v/>
      </c>
      <c r="C24" s="357" t="str">
        <f ca="1">IF(A24&gt;$C$1,"",VLOOKUP($A24,Table!$A$9:$C$30,3,FALSE))</f>
        <v>Matsumoto Yamaga</v>
      </c>
      <c r="D24" s="621" t="str">
        <f ca="1">IF(A24&gt;$C$1,"",VLOOKUP($A24,Table!$A$9:$C$30,2,FALSE))</f>
        <v>Matsumoto Yamaga</v>
      </c>
      <c r="E24" s="548">
        <f t="shared" ca="1" si="9"/>
        <v>8</v>
      </c>
      <c r="F24" s="622">
        <f t="shared" ca="1" si="10"/>
        <v>0.38095238095238093</v>
      </c>
      <c r="G24" s="623">
        <f t="shared" ca="1" si="11"/>
        <v>5</v>
      </c>
      <c r="H24" s="622">
        <f t="shared" ca="1" si="12"/>
        <v>0.23809523809523808</v>
      </c>
      <c r="I24" s="623">
        <f t="shared" ca="1" si="13"/>
        <v>8</v>
      </c>
      <c r="J24" s="623">
        <f t="shared" ca="1" si="14"/>
        <v>0.38095238095238093</v>
      </c>
      <c r="K24" s="624">
        <f t="shared" ca="1" si="24"/>
        <v>21</v>
      </c>
      <c r="L24" s="548">
        <f t="shared" ca="1" si="15"/>
        <v>6</v>
      </c>
      <c r="M24" s="622">
        <f t="shared" ca="1" si="16"/>
        <v>0.2857142857142857</v>
      </c>
      <c r="N24" s="623">
        <f t="shared" ca="1" si="17"/>
        <v>7</v>
      </c>
      <c r="O24" s="622">
        <f t="shared" ca="1" si="18"/>
        <v>0.33333333333333331</v>
      </c>
      <c r="P24" s="623">
        <f t="shared" ca="1" si="19"/>
        <v>8</v>
      </c>
      <c r="Q24" s="623">
        <f t="shared" ca="1" si="20"/>
        <v>0.38095238095238093</v>
      </c>
      <c r="R24" s="624">
        <f t="shared" ca="1" si="25"/>
        <v>21</v>
      </c>
      <c r="S24" s="548">
        <f t="shared" ca="1" si="21"/>
        <v>14</v>
      </c>
      <c r="T24" s="622">
        <f t="shared" ca="1" si="26"/>
        <v>0.33333333333333331</v>
      </c>
      <c r="U24" s="623">
        <f t="shared" ca="1" si="22"/>
        <v>12</v>
      </c>
      <c r="V24" s="622">
        <f t="shared" ca="1" si="27"/>
        <v>0.2857142857142857</v>
      </c>
      <c r="W24" s="623">
        <f t="shared" ca="1" si="23"/>
        <v>16</v>
      </c>
      <c r="X24" s="625">
        <f t="shared" ca="1" si="28"/>
        <v>0.38095238095238093</v>
      </c>
      <c r="Y24" s="626">
        <f t="shared" ca="1" si="29"/>
        <v>42</v>
      </c>
      <c r="Z24" s="456"/>
      <c r="AA24" s="456"/>
      <c r="AB24" s="456"/>
      <c r="AC24" s="456"/>
      <c r="AD24" s="456"/>
      <c r="AE24" s="456"/>
      <c r="AF24" s="456"/>
      <c r="AG24" s="456"/>
      <c r="AH24" s="456"/>
      <c r="AI24" s="456"/>
      <c r="AJ24" s="456"/>
      <c r="AK24" s="456"/>
      <c r="AL24" s="456"/>
      <c r="AM24" s="456"/>
      <c r="AN24" s="456"/>
      <c r="AO24" s="456"/>
      <c r="AP24" s="456"/>
      <c r="AQ24" s="456"/>
      <c r="AR24" s="456"/>
      <c r="AS24" s="456"/>
      <c r="AT24" s="456"/>
      <c r="AU24" s="456"/>
      <c r="AV24" s="456"/>
      <c r="AW24" s="456"/>
      <c r="AX24" s="456"/>
      <c r="AY24" s="456"/>
      <c r="AZ24" s="456"/>
      <c r="BA24" s="456"/>
      <c r="BB24" s="456"/>
      <c r="BC24" s="456"/>
      <c r="BD24" s="456"/>
      <c r="BE24" s="456"/>
      <c r="BF24" s="456"/>
      <c r="BG24" s="456"/>
    </row>
    <row r="25" spans="1:59" ht="13.5" thickBot="1">
      <c r="A25" s="617">
        <v>9</v>
      </c>
      <c r="B25" s="568" t="str">
        <f>IF($A25&gt;$D$3,"",VLOOKUP($A25,Table!$A$9:$C$30,2,FALSE))</f>
        <v/>
      </c>
      <c r="C25" s="357" t="str">
        <f ca="1">IF(A25&gt;$C$1,"",VLOOKUP($A25,Table!$A$9:$C$30,3,FALSE))</f>
        <v>Oita Trinita</v>
      </c>
      <c r="D25" s="613" t="str">
        <f ca="1">IF(A25&gt;$C$1,"",VLOOKUP($A25,Table!$A$9:$C$30,2,FALSE))</f>
        <v>Oita Trinita</v>
      </c>
      <c r="E25" s="521">
        <f t="shared" ca="1" si="9"/>
        <v>3</v>
      </c>
      <c r="F25" s="618">
        <f t="shared" ca="1" si="10"/>
        <v>0.14285714285714285</v>
      </c>
      <c r="G25" s="619">
        <f t="shared" ca="1" si="11"/>
        <v>12</v>
      </c>
      <c r="H25" s="618">
        <f t="shared" ca="1" si="12"/>
        <v>0.5714285714285714</v>
      </c>
      <c r="I25" s="619">
        <f t="shared" ca="1" si="13"/>
        <v>6</v>
      </c>
      <c r="J25" s="619">
        <f t="shared" ca="1" si="14"/>
        <v>0.2857142857142857</v>
      </c>
      <c r="K25" s="385">
        <f t="shared" ca="1" si="24"/>
        <v>21</v>
      </c>
      <c r="L25" s="521">
        <f t="shared" ca="1" si="15"/>
        <v>11</v>
      </c>
      <c r="M25" s="618">
        <f t="shared" ca="1" si="16"/>
        <v>0.52380952380952384</v>
      </c>
      <c r="N25" s="619">
        <f t="shared" ca="1" si="17"/>
        <v>5</v>
      </c>
      <c r="O25" s="618">
        <f t="shared" ca="1" si="18"/>
        <v>0.23809523809523808</v>
      </c>
      <c r="P25" s="619">
        <f t="shared" ca="1" si="19"/>
        <v>5</v>
      </c>
      <c r="Q25" s="619">
        <f t="shared" ca="1" si="20"/>
        <v>0.23809523809523808</v>
      </c>
      <c r="R25" s="385">
        <f t="shared" ca="1" si="25"/>
        <v>21</v>
      </c>
      <c r="S25" s="521">
        <f t="shared" ca="1" si="21"/>
        <v>14</v>
      </c>
      <c r="T25" s="618">
        <f t="shared" ca="1" si="26"/>
        <v>0.33333333333333331</v>
      </c>
      <c r="U25" s="619">
        <f t="shared" ca="1" si="22"/>
        <v>17</v>
      </c>
      <c r="V25" s="618">
        <f t="shared" ca="1" si="27"/>
        <v>0.40476190476190477</v>
      </c>
      <c r="W25" s="619">
        <f t="shared" ca="1" si="23"/>
        <v>11</v>
      </c>
      <c r="X25" s="627">
        <f t="shared" ca="1" si="28"/>
        <v>0.26190476190476192</v>
      </c>
      <c r="Y25" s="628">
        <f t="shared" ca="1" si="29"/>
        <v>42</v>
      </c>
      <c r="Z25" s="456"/>
      <c r="AA25" s="456"/>
      <c r="AB25" s="456"/>
      <c r="AC25" s="456"/>
      <c r="AD25" s="456"/>
      <c r="AE25" s="456"/>
      <c r="AF25" s="456"/>
      <c r="AG25" s="456"/>
      <c r="AH25" s="456"/>
      <c r="AI25" s="456"/>
      <c r="AJ25" s="456"/>
      <c r="AK25" s="456"/>
      <c r="AL25" s="456"/>
      <c r="AM25" s="456"/>
      <c r="AN25" s="456"/>
      <c r="AO25" s="456"/>
      <c r="AP25" s="456"/>
      <c r="AQ25" s="456"/>
      <c r="AR25" s="456"/>
      <c r="AS25" s="456"/>
      <c r="AT25" s="456"/>
      <c r="AU25" s="456"/>
      <c r="AV25" s="456"/>
      <c r="AW25" s="456"/>
      <c r="AX25" s="456"/>
      <c r="AY25" s="456"/>
      <c r="AZ25" s="456"/>
      <c r="BA25" s="456"/>
      <c r="BB25" s="456"/>
      <c r="BC25" s="456"/>
      <c r="BD25" s="456"/>
      <c r="BE25" s="456"/>
      <c r="BF25" s="456"/>
      <c r="BG25" s="456"/>
    </row>
    <row r="26" spans="1:59">
      <c r="A26" s="617">
        <v>10</v>
      </c>
      <c r="B26" s="568" t="str">
        <f>IF($A26&gt;$D$3,"",VLOOKUP($A26,Table!$A$9:$C$30,2,FALSE))</f>
        <v/>
      </c>
      <c r="C26" s="357" t="str">
        <f ca="1">IF(A26&gt;$C$1,"",VLOOKUP($A26,Table!$A$9:$C$30,3,FALSE))</f>
        <v>Yokohama</v>
      </c>
      <c r="D26" s="613" t="str">
        <f ca="1">IF(A26&gt;$C$1,"",VLOOKUP($A26,Table!$A$9:$C$30,2,FALSE))</f>
        <v>Yokohama</v>
      </c>
      <c r="E26" s="521" t="e">
        <f t="shared" ca="1" si="9"/>
        <v>#N/A</v>
      </c>
      <c r="F26" s="618" t="e">
        <f t="shared" ca="1" si="10"/>
        <v>#N/A</v>
      </c>
      <c r="G26" s="619" t="e">
        <f t="shared" ca="1" si="11"/>
        <v>#N/A</v>
      </c>
      <c r="H26" s="618" t="e">
        <f t="shared" ca="1" si="12"/>
        <v>#N/A</v>
      </c>
      <c r="I26" s="619" t="e">
        <f t="shared" ca="1" si="13"/>
        <v>#N/A</v>
      </c>
      <c r="J26" s="619" t="e">
        <f t="shared" ca="1" si="14"/>
        <v>#N/A</v>
      </c>
      <c r="K26" s="385" t="e">
        <f t="shared" ca="1" si="24"/>
        <v>#N/A</v>
      </c>
      <c r="L26" s="521" t="e">
        <f t="shared" ca="1" si="15"/>
        <v>#N/A</v>
      </c>
      <c r="M26" s="618" t="e">
        <f t="shared" ca="1" si="16"/>
        <v>#N/A</v>
      </c>
      <c r="N26" s="619" t="e">
        <f t="shared" ca="1" si="17"/>
        <v>#N/A</v>
      </c>
      <c r="O26" s="618" t="e">
        <f t="shared" ca="1" si="18"/>
        <v>#N/A</v>
      </c>
      <c r="P26" s="619" t="e">
        <f t="shared" ca="1" si="19"/>
        <v>#N/A</v>
      </c>
      <c r="Q26" s="619" t="e">
        <f t="shared" ca="1" si="20"/>
        <v>#N/A</v>
      </c>
      <c r="R26" s="385" t="e">
        <f t="shared" ca="1" si="25"/>
        <v>#N/A</v>
      </c>
      <c r="S26" s="521" t="e">
        <f t="shared" ca="1" si="21"/>
        <v>#N/A</v>
      </c>
      <c r="T26" s="618" t="e">
        <f t="shared" ca="1" si="26"/>
        <v>#N/A</v>
      </c>
      <c r="U26" s="619" t="e">
        <f t="shared" ca="1" si="22"/>
        <v>#N/A</v>
      </c>
      <c r="V26" s="618" t="e">
        <f t="shared" ca="1" si="27"/>
        <v>#N/A</v>
      </c>
      <c r="W26" s="619" t="e">
        <f t="shared" ca="1" si="23"/>
        <v>#N/A</v>
      </c>
      <c r="X26" s="627" t="e">
        <f t="shared" ca="1" si="28"/>
        <v>#N/A</v>
      </c>
      <c r="Y26" s="628" t="e">
        <f t="shared" ca="1" si="29"/>
        <v>#N/A</v>
      </c>
      <c r="Z26" s="456"/>
      <c r="AA26" s="456"/>
      <c r="AB26" s="456"/>
      <c r="AC26" s="456"/>
      <c r="AD26" s="456"/>
      <c r="AE26" s="456"/>
      <c r="AF26" s="456"/>
      <c r="AG26" s="456"/>
      <c r="AH26" s="456"/>
      <c r="AI26" s="456"/>
      <c r="AJ26" s="456"/>
      <c r="AK26" s="456"/>
      <c r="AL26" s="456"/>
      <c r="AM26" s="456"/>
      <c r="AN26" s="456"/>
      <c r="AO26" s="456"/>
      <c r="AP26" s="456"/>
      <c r="AQ26" s="456"/>
      <c r="AR26" s="456"/>
      <c r="AS26" s="456"/>
      <c r="AT26" s="456"/>
      <c r="AU26" s="456"/>
      <c r="AV26" s="456"/>
      <c r="AW26" s="456"/>
      <c r="AX26" s="456"/>
      <c r="AY26" s="456"/>
      <c r="AZ26" s="456"/>
      <c r="BA26" s="456"/>
      <c r="BB26" s="456"/>
      <c r="BC26" s="456"/>
      <c r="BD26" s="456"/>
      <c r="BE26" s="456"/>
      <c r="BF26" s="456"/>
      <c r="BG26" s="456"/>
    </row>
    <row r="27" spans="1:59">
      <c r="A27" s="620">
        <v>11</v>
      </c>
      <c r="B27" s="568" t="str">
        <f>IF($A27&gt;$D$3,"",VLOOKUP($A27,Table!$A$9:$C$30,2,FALSE))</f>
        <v/>
      </c>
      <c r="C27" s="357" t="str">
        <f ca="1">IF(A27&gt;$C$1,"",VLOOKUP($A27,Table!$A$9:$C$30,3,FALSE))</f>
        <v>Montedio Yamagata</v>
      </c>
      <c r="D27" s="621" t="str">
        <f ca="1">IF(A27&gt;$C$1,"",VLOOKUP($A27,Table!$A$9:$C$30,2,FALSE))</f>
        <v>Montedio Yamagata</v>
      </c>
      <c r="E27" s="548">
        <f t="shared" ca="1" si="9"/>
        <v>7</v>
      </c>
      <c r="F27" s="622">
        <f t="shared" ca="1" si="10"/>
        <v>0.33333333333333331</v>
      </c>
      <c r="G27" s="623">
        <f t="shared" ca="1" si="11"/>
        <v>9</v>
      </c>
      <c r="H27" s="622">
        <f t="shared" ca="1" si="12"/>
        <v>0.42857142857142855</v>
      </c>
      <c r="I27" s="623">
        <f t="shared" ca="1" si="13"/>
        <v>5</v>
      </c>
      <c r="J27" s="623">
        <f t="shared" ca="1" si="14"/>
        <v>0.23809523809523808</v>
      </c>
      <c r="K27" s="624">
        <f t="shared" ca="1" si="24"/>
        <v>21</v>
      </c>
      <c r="L27" s="548">
        <f t="shared" ca="1" si="15"/>
        <v>5</v>
      </c>
      <c r="M27" s="622">
        <f t="shared" ca="1" si="16"/>
        <v>0.23809523809523808</v>
      </c>
      <c r="N27" s="623">
        <f t="shared" ca="1" si="17"/>
        <v>8</v>
      </c>
      <c r="O27" s="622">
        <f t="shared" ca="1" si="18"/>
        <v>0.38095238095238093</v>
      </c>
      <c r="P27" s="623">
        <f t="shared" ca="1" si="19"/>
        <v>8</v>
      </c>
      <c r="Q27" s="623">
        <f t="shared" ca="1" si="20"/>
        <v>0.38095238095238093</v>
      </c>
      <c r="R27" s="624">
        <f t="shared" ca="1" si="25"/>
        <v>21</v>
      </c>
      <c r="S27" s="548">
        <f t="shared" ca="1" si="21"/>
        <v>12</v>
      </c>
      <c r="T27" s="622">
        <f t="shared" ca="1" si="26"/>
        <v>0.2857142857142857</v>
      </c>
      <c r="U27" s="623">
        <f t="shared" ca="1" si="22"/>
        <v>17</v>
      </c>
      <c r="V27" s="622">
        <f t="shared" ca="1" si="27"/>
        <v>0.40476190476190477</v>
      </c>
      <c r="W27" s="623">
        <f t="shared" ca="1" si="23"/>
        <v>13</v>
      </c>
      <c r="X27" s="625">
        <f t="shared" ca="1" si="28"/>
        <v>0.30952380952380953</v>
      </c>
      <c r="Y27" s="626">
        <f t="shared" ca="1" si="29"/>
        <v>42</v>
      </c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  <c r="AK27" s="456"/>
      <c r="AL27" s="456"/>
      <c r="AM27" s="456"/>
      <c r="AN27" s="456"/>
      <c r="AO27" s="456"/>
      <c r="AP27" s="456"/>
      <c r="AQ27" s="456"/>
      <c r="AR27" s="456"/>
      <c r="AS27" s="456"/>
      <c r="AT27" s="456"/>
      <c r="AU27" s="456"/>
      <c r="AV27" s="456"/>
      <c r="AW27" s="456"/>
      <c r="AX27" s="456"/>
      <c r="AY27" s="456"/>
      <c r="AZ27" s="456"/>
      <c r="BA27" s="456"/>
      <c r="BB27" s="456"/>
      <c r="BC27" s="456"/>
      <c r="BD27" s="456"/>
      <c r="BE27" s="456"/>
      <c r="BF27" s="456"/>
      <c r="BG27" s="456"/>
    </row>
    <row r="28" spans="1:59" ht="13.5" thickBot="1">
      <c r="A28" s="620">
        <v>12</v>
      </c>
      <c r="B28" s="568" t="str">
        <f>IF($A28&gt;$D$3,"",VLOOKUP($A28,Table!$A$9:$C$30,2,FALSE))</f>
        <v/>
      </c>
      <c r="C28" s="357" t="str">
        <f ca="1">IF(A28&gt;$C$1,"",VLOOKUP($A28,Table!$A$9:$C$30,3,FALSE))</f>
        <v>Kyoto Sanga</v>
      </c>
      <c r="D28" s="621" t="str">
        <f ca="1">IF(A28&gt;$C$1,"",VLOOKUP($A28,Table!$A$9:$C$30,2,FALSE))</f>
        <v>Kyoto Sanga</v>
      </c>
      <c r="E28" s="548">
        <f t="shared" ca="1" si="9"/>
        <v>4</v>
      </c>
      <c r="F28" s="622">
        <f t="shared" ca="1" si="10"/>
        <v>0.19047619047619047</v>
      </c>
      <c r="G28" s="623">
        <f t="shared" ca="1" si="11"/>
        <v>13</v>
      </c>
      <c r="H28" s="622">
        <f t="shared" ca="1" si="12"/>
        <v>0.61904761904761907</v>
      </c>
      <c r="I28" s="623">
        <f t="shared" ca="1" si="13"/>
        <v>4</v>
      </c>
      <c r="J28" s="623">
        <f t="shared" ca="1" si="14"/>
        <v>0.19047619047619047</v>
      </c>
      <c r="K28" s="624">
        <f t="shared" ca="1" si="24"/>
        <v>21</v>
      </c>
      <c r="L28" s="548">
        <f t="shared" ca="1" si="15"/>
        <v>9</v>
      </c>
      <c r="M28" s="622">
        <f t="shared" ca="1" si="16"/>
        <v>0.42857142857142855</v>
      </c>
      <c r="N28" s="623">
        <f t="shared" ca="1" si="17"/>
        <v>4</v>
      </c>
      <c r="O28" s="622">
        <f t="shared" ca="1" si="18"/>
        <v>0.19047619047619047</v>
      </c>
      <c r="P28" s="623">
        <f t="shared" ca="1" si="19"/>
        <v>8</v>
      </c>
      <c r="Q28" s="623">
        <f t="shared" ca="1" si="20"/>
        <v>0.38095238095238093</v>
      </c>
      <c r="R28" s="624">
        <f t="shared" ca="1" si="25"/>
        <v>21</v>
      </c>
      <c r="S28" s="548">
        <f t="shared" ca="1" si="21"/>
        <v>13</v>
      </c>
      <c r="T28" s="622">
        <f t="shared" ca="1" si="26"/>
        <v>0.30952380952380953</v>
      </c>
      <c r="U28" s="623">
        <f t="shared" ca="1" si="22"/>
        <v>17</v>
      </c>
      <c r="V28" s="622">
        <f t="shared" ca="1" si="27"/>
        <v>0.40476190476190477</v>
      </c>
      <c r="W28" s="623">
        <f t="shared" ca="1" si="23"/>
        <v>12</v>
      </c>
      <c r="X28" s="625">
        <f t="shared" ca="1" si="28"/>
        <v>0.2857142857142857</v>
      </c>
      <c r="Y28" s="626">
        <f t="shared" ca="1" si="29"/>
        <v>42</v>
      </c>
      <c r="Z28" s="456"/>
      <c r="AA28" s="456"/>
      <c r="AB28" s="456"/>
      <c r="AC28" s="456"/>
      <c r="AD28" s="456"/>
      <c r="AE28" s="456"/>
      <c r="AF28" s="456"/>
      <c r="AG28" s="456"/>
      <c r="AH28" s="456"/>
      <c r="AI28" s="456"/>
      <c r="AJ28" s="456"/>
      <c r="AK28" s="456"/>
      <c r="AL28" s="456"/>
      <c r="AM28" s="456"/>
      <c r="AN28" s="456"/>
      <c r="AO28" s="456"/>
      <c r="AP28" s="456"/>
      <c r="AQ28" s="456"/>
      <c r="AR28" s="456"/>
      <c r="AS28" s="456"/>
      <c r="AT28" s="456"/>
      <c r="AU28" s="456"/>
      <c r="AV28" s="456"/>
      <c r="AW28" s="456"/>
      <c r="AX28" s="456"/>
      <c r="AY28" s="456"/>
      <c r="AZ28" s="456"/>
      <c r="BA28" s="456"/>
      <c r="BB28" s="456"/>
      <c r="BC28" s="456"/>
      <c r="BD28" s="456"/>
      <c r="BE28" s="456"/>
      <c r="BF28" s="456"/>
      <c r="BG28" s="456"/>
    </row>
    <row r="29" spans="1:59" ht="13.5" thickBot="1">
      <c r="A29" s="617">
        <v>13</v>
      </c>
      <c r="B29" s="568" t="str">
        <f>IF($A29&gt;$D$3,"",VLOOKUP($A29,Table!$A$9:$C$30,2,FALSE))</f>
        <v/>
      </c>
      <c r="C29" s="357" t="str">
        <f ca="1">IF(A29&gt;$C$1,"",VLOOKUP($A29,Table!$A$9:$C$30,3,FALSE))</f>
        <v>Fagiano Okayama</v>
      </c>
      <c r="D29" s="613" t="str">
        <f ca="1">IF(A29&gt;$C$1,"",VLOOKUP($A29,Table!$A$9:$C$30,2,FALSE))</f>
        <v>Fagiano Okayama</v>
      </c>
      <c r="E29" s="521">
        <f t="shared" ca="1" si="9"/>
        <v>9</v>
      </c>
      <c r="F29" s="618">
        <f t="shared" ca="1" si="10"/>
        <v>0.42857142857142855</v>
      </c>
      <c r="G29" s="619">
        <f t="shared" ca="1" si="11"/>
        <v>6</v>
      </c>
      <c r="H29" s="618">
        <f t="shared" ca="1" si="12"/>
        <v>0.2857142857142857</v>
      </c>
      <c r="I29" s="619">
        <f t="shared" ca="1" si="13"/>
        <v>6</v>
      </c>
      <c r="J29" s="619">
        <f t="shared" ca="1" si="14"/>
        <v>0.2857142857142857</v>
      </c>
      <c r="K29" s="385">
        <f t="shared" ca="1" si="24"/>
        <v>21</v>
      </c>
      <c r="L29" s="521">
        <f t="shared" ca="1" si="15"/>
        <v>7</v>
      </c>
      <c r="M29" s="618">
        <f t="shared" ca="1" si="16"/>
        <v>0.33333333333333331</v>
      </c>
      <c r="N29" s="619">
        <f t="shared" ca="1" si="17"/>
        <v>9</v>
      </c>
      <c r="O29" s="618">
        <f t="shared" ca="1" si="18"/>
        <v>0.42857142857142855</v>
      </c>
      <c r="P29" s="619">
        <f t="shared" ca="1" si="19"/>
        <v>5</v>
      </c>
      <c r="Q29" s="619">
        <f t="shared" ca="1" si="20"/>
        <v>0.23809523809523808</v>
      </c>
      <c r="R29" s="385">
        <f t="shared" ca="1" si="25"/>
        <v>21</v>
      </c>
      <c r="S29" s="521">
        <f t="shared" ca="1" si="21"/>
        <v>16</v>
      </c>
      <c r="T29" s="618">
        <f t="shared" ca="1" si="26"/>
        <v>0.38095238095238093</v>
      </c>
      <c r="U29" s="619">
        <f t="shared" ca="1" si="22"/>
        <v>15</v>
      </c>
      <c r="V29" s="618">
        <f t="shared" ca="1" si="27"/>
        <v>0.35714285714285715</v>
      </c>
      <c r="W29" s="619">
        <f t="shared" ca="1" si="23"/>
        <v>11</v>
      </c>
      <c r="X29" s="627">
        <f t="shared" ca="1" si="28"/>
        <v>0.26190476190476192</v>
      </c>
      <c r="Y29" s="628">
        <f t="shared" ca="1" si="29"/>
        <v>42</v>
      </c>
      <c r="Z29" s="456"/>
      <c r="AA29" s="456"/>
      <c r="AB29" s="456"/>
      <c r="AC29" s="456"/>
      <c r="AD29" s="456"/>
      <c r="AE29" s="456"/>
      <c r="AF29" s="456"/>
      <c r="AG29" s="456"/>
      <c r="AH29" s="456"/>
      <c r="AI29" s="456"/>
      <c r="AJ29" s="456"/>
      <c r="AK29" s="456"/>
      <c r="AL29" s="456"/>
      <c r="AM29" s="456"/>
      <c r="AN29" s="456"/>
      <c r="AO29" s="456"/>
      <c r="AP29" s="456"/>
      <c r="AQ29" s="456"/>
      <c r="AR29" s="456"/>
      <c r="AS29" s="456"/>
      <c r="AT29" s="456"/>
      <c r="AU29" s="456"/>
      <c r="AV29" s="456"/>
      <c r="AW29" s="456"/>
      <c r="AX29" s="456"/>
      <c r="AY29" s="456"/>
      <c r="AZ29" s="456"/>
      <c r="BA29" s="456"/>
      <c r="BB29" s="456"/>
      <c r="BC29" s="456"/>
      <c r="BD29" s="456"/>
      <c r="BE29" s="456"/>
      <c r="BF29" s="456"/>
      <c r="BG29" s="456"/>
    </row>
    <row r="30" spans="1:59">
      <c r="A30" s="617">
        <v>14</v>
      </c>
      <c r="B30" s="568" t="str">
        <f>IF($A30&gt;$D$3,"",VLOOKUP($A30,Table!$A$9:$C$30,2,FALSE))</f>
        <v/>
      </c>
      <c r="C30" s="357" t="str">
        <f ca="1">IF(A30&gt;$C$1,"",VLOOKUP($A30,Table!$A$9:$C$30,3,FALSE))</f>
        <v>Mito Hollyhock</v>
      </c>
      <c r="D30" s="613" t="str">
        <f ca="1">IF(A30&gt;$C$1,"",VLOOKUP($A30,Table!$A$9:$C$30,2,FALSE))</f>
        <v>Mito Hollyhock</v>
      </c>
      <c r="E30" s="521">
        <f t="shared" ca="1" si="9"/>
        <v>10</v>
      </c>
      <c r="F30" s="618">
        <f t="shared" ca="1" si="10"/>
        <v>0.47619047619047616</v>
      </c>
      <c r="G30" s="619">
        <f t="shared" ca="1" si="11"/>
        <v>5</v>
      </c>
      <c r="H30" s="618">
        <f t="shared" ca="1" si="12"/>
        <v>0.23809523809523808</v>
      </c>
      <c r="I30" s="619">
        <f t="shared" ca="1" si="13"/>
        <v>6</v>
      </c>
      <c r="J30" s="619">
        <f t="shared" ca="1" si="14"/>
        <v>0.2857142857142857</v>
      </c>
      <c r="K30" s="385">
        <f t="shared" ca="1" si="24"/>
        <v>21</v>
      </c>
      <c r="L30" s="521">
        <f t="shared" ca="1" si="15"/>
        <v>5</v>
      </c>
      <c r="M30" s="618">
        <f t="shared" ca="1" si="16"/>
        <v>0.23809523809523808</v>
      </c>
      <c r="N30" s="619">
        <f t="shared" ca="1" si="17"/>
        <v>7</v>
      </c>
      <c r="O30" s="618">
        <f t="shared" ca="1" si="18"/>
        <v>0.33333333333333331</v>
      </c>
      <c r="P30" s="619">
        <f t="shared" ca="1" si="19"/>
        <v>9</v>
      </c>
      <c r="Q30" s="619">
        <f t="shared" ca="1" si="20"/>
        <v>0.42857142857142855</v>
      </c>
      <c r="R30" s="385">
        <f t="shared" ca="1" si="25"/>
        <v>21</v>
      </c>
      <c r="S30" s="521">
        <f t="shared" ca="1" si="21"/>
        <v>15</v>
      </c>
      <c r="T30" s="618">
        <f t="shared" ca="1" si="26"/>
        <v>0.35714285714285715</v>
      </c>
      <c r="U30" s="619">
        <f t="shared" ca="1" si="22"/>
        <v>12</v>
      </c>
      <c r="V30" s="618">
        <f t="shared" ca="1" si="27"/>
        <v>0.2857142857142857</v>
      </c>
      <c r="W30" s="619">
        <f t="shared" ca="1" si="23"/>
        <v>15</v>
      </c>
      <c r="X30" s="627">
        <f t="shared" ca="1" si="28"/>
        <v>0.35714285714285715</v>
      </c>
      <c r="Y30" s="628">
        <f t="shared" ca="1" si="29"/>
        <v>42</v>
      </c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  <c r="AK30" s="456"/>
      <c r="AL30" s="456"/>
      <c r="AM30" s="456"/>
      <c r="AN30" s="456"/>
      <c r="AO30" s="456"/>
      <c r="AP30" s="456"/>
      <c r="AQ30" s="456"/>
      <c r="AR30" s="456"/>
      <c r="AS30" s="456"/>
      <c r="AT30" s="456"/>
      <c r="AU30" s="456"/>
      <c r="AV30" s="456"/>
      <c r="AW30" s="456"/>
      <c r="AX30" s="456"/>
      <c r="AY30" s="456"/>
      <c r="AZ30" s="456"/>
      <c r="BA30" s="456"/>
      <c r="BB30" s="456"/>
      <c r="BC30" s="456"/>
      <c r="BD30" s="456"/>
      <c r="BE30" s="456"/>
      <c r="BF30" s="456"/>
      <c r="BG30" s="456"/>
    </row>
    <row r="31" spans="1:59">
      <c r="A31" s="620">
        <v>15</v>
      </c>
      <c r="B31" s="568" t="str">
        <f>IF($A31&gt;$D$3,"",VLOOKUP($A31,Table!$A$9:$C$30,2,FALSE))</f>
        <v/>
      </c>
      <c r="C31" s="357" t="str">
        <f ca="1">IF(A31&gt;$C$1,"",VLOOKUP($A31,Table!$A$9:$C$30,3,FALSE))</f>
        <v>Ehime</v>
      </c>
      <c r="D31" s="621" t="str">
        <f ca="1">IF(A31&gt;$C$1,"",VLOOKUP($A31,Table!$A$9:$C$30,2,FALSE))</f>
        <v>Ehime</v>
      </c>
      <c r="E31" s="548">
        <f t="shared" ca="1" si="9"/>
        <v>9</v>
      </c>
      <c r="F31" s="622">
        <f t="shared" ca="1" si="10"/>
        <v>0.42857142857142855</v>
      </c>
      <c r="G31" s="623">
        <f t="shared" ca="1" si="11"/>
        <v>6</v>
      </c>
      <c r="H31" s="622">
        <f t="shared" ca="1" si="12"/>
        <v>0.2857142857142857</v>
      </c>
      <c r="I31" s="623">
        <f t="shared" ca="1" si="13"/>
        <v>6</v>
      </c>
      <c r="J31" s="623">
        <f t="shared" ca="1" si="14"/>
        <v>0.2857142857142857</v>
      </c>
      <c r="K31" s="624">
        <f t="shared" ca="1" si="24"/>
        <v>21</v>
      </c>
      <c r="L31" s="548">
        <f t="shared" ca="1" si="15"/>
        <v>5</v>
      </c>
      <c r="M31" s="622">
        <f t="shared" ca="1" si="16"/>
        <v>0.23809523809523808</v>
      </c>
      <c r="N31" s="623">
        <f t="shared" ca="1" si="17"/>
        <v>6</v>
      </c>
      <c r="O31" s="622">
        <f t="shared" ca="1" si="18"/>
        <v>0.2857142857142857</v>
      </c>
      <c r="P31" s="623">
        <f t="shared" ca="1" si="19"/>
        <v>10</v>
      </c>
      <c r="Q31" s="623">
        <f t="shared" ca="1" si="20"/>
        <v>0.47619047619047616</v>
      </c>
      <c r="R31" s="624">
        <f t="shared" ca="1" si="25"/>
        <v>21</v>
      </c>
      <c r="S31" s="548">
        <f t="shared" ca="1" si="21"/>
        <v>14</v>
      </c>
      <c r="T31" s="622">
        <f t="shared" ca="1" si="26"/>
        <v>0.33333333333333331</v>
      </c>
      <c r="U31" s="623">
        <f t="shared" ca="1" si="22"/>
        <v>12</v>
      </c>
      <c r="V31" s="622">
        <f t="shared" ca="1" si="27"/>
        <v>0.2857142857142857</v>
      </c>
      <c r="W31" s="623">
        <f t="shared" ca="1" si="23"/>
        <v>16</v>
      </c>
      <c r="X31" s="629">
        <f t="shared" ca="1" si="28"/>
        <v>0.38095238095238093</v>
      </c>
      <c r="Y31" s="630">
        <f t="shared" ca="1" si="29"/>
        <v>42</v>
      </c>
      <c r="Z31" s="456"/>
      <c r="AA31" s="456"/>
      <c r="AB31" s="456"/>
      <c r="AC31" s="456"/>
      <c r="AD31" s="456"/>
      <c r="AE31" s="456"/>
      <c r="AF31" s="456"/>
      <c r="AG31" s="456"/>
      <c r="AH31" s="456"/>
      <c r="AI31" s="456"/>
      <c r="AJ31" s="456"/>
      <c r="AK31" s="456"/>
      <c r="AL31" s="456"/>
      <c r="AM31" s="456"/>
      <c r="AN31" s="456"/>
      <c r="AO31" s="456"/>
      <c r="AP31" s="456"/>
      <c r="AQ31" s="456"/>
      <c r="AR31" s="456"/>
      <c r="AS31" s="456"/>
      <c r="AT31" s="456"/>
      <c r="AU31" s="456"/>
      <c r="AV31" s="456"/>
      <c r="AW31" s="456"/>
      <c r="AX31" s="456"/>
      <c r="AY31" s="456"/>
      <c r="AZ31" s="456"/>
      <c r="BA31" s="456"/>
      <c r="BB31" s="456"/>
      <c r="BC31" s="456"/>
      <c r="BD31" s="456"/>
      <c r="BE31" s="456"/>
      <c r="BF31" s="456"/>
      <c r="BG31" s="456"/>
    </row>
    <row r="32" spans="1:59" ht="13.5" thickBot="1">
      <c r="A32" s="620">
        <v>16</v>
      </c>
      <c r="B32" s="568" t="str">
        <f>IF($A32&gt;$D$3,"",VLOOKUP($A32,Table!$A$9:$C$30,2,FALSE))</f>
        <v/>
      </c>
      <c r="C32" s="357" t="str">
        <f ca="1">IF(A32&gt;$C$1,"",VLOOKUP($A32,Table!$A$9:$C$30,3,FALSE))</f>
        <v>Machida Zelvia</v>
      </c>
      <c r="D32" s="621" t="str">
        <f ca="1">IF(A32&gt;$C$1,"",VLOOKUP($A32,Table!$A$9:$C$30,2,FALSE))</f>
        <v>Machida Zelvia</v>
      </c>
      <c r="E32" s="548">
        <f t="shared" ca="1" si="9"/>
        <v>3</v>
      </c>
      <c r="F32" s="622">
        <f t="shared" ca="1" si="10"/>
        <v>0.14285714285714285</v>
      </c>
      <c r="G32" s="623">
        <f t="shared" ca="1" si="11"/>
        <v>8</v>
      </c>
      <c r="H32" s="622">
        <f t="shared" ca="1" si="12"/>
        <v>0.38095238095238093</v>
      </c>
      <c r="I32" s="623">
        <f t="shared" ca="1" si="13"/>
        <v>10</v>
      </c>
      <c r="J32" s="623">
        <f t="shared" ca="1" si="14"/>
        <v>0.47619047619047616</v>
      </c>
      <c r="K32" s="624">
        <f t="shared" ca="1" si="24"/>
        <v>21</v>
      </c>
      <c r="L32" s="548">
        <f t="shared" ca="1" si="15"/>
        <v>9</v>
      </c>
      <c r="M32" s="622">
        <f t="shared" ca="1" si="16"/>
        <v>0.42857142857142855</v>
      </c>
      <c r="N32" s="623">
        <f t="shared" ca="1" si="17"/>
        <v>9</v>
      </c>
      <c r="O32" s="622">
        <f t="shared" ca="1" si="18"/>
        <v>0.42857142857142855</v>
      </c>
      <c r="P32" s="623">
        <f t="shared" ca="1" si="19"/>
        <v>3</v>
      </c>
      <c r="Q32" s="623">
        <f t="shared" ca="1" si="20"/>
        <v>0.14285714285714285</v>
      </c>
      <c r="R32" s="624">
        <f t="shared" ca="1" si="25"/>
        <v>21</v>
      </c>
      <c r="S32" s="548">
        <f t="shared" ca="1" si="21"/>
        <v>12</v>
      </c>
      <c r="T32" s="622">
        <f t="shared" ca="1" si="26"/>
        <v>0.2857142857142857</v>
      </c>
      <c r="U32" s="623">
        <f t="shared" ca="1" si="22"/>
        <v>17</v>
      </c>
      <c r="V32" s="622">
        <f t="shared" ca="1" si="27"/>
        <v>0.40476190476190477</v>
      </c>
      <c r="W32" s="623">
        <f t="shared" ca="1" si="23"/>
        <v>13</v>
      </c>
      <c r="X32" s="629">
        <f t="shared" ca="1" si="28"/>
        <v>0.30952380952380953</v>
      </c>
      <c r="Y32" s="630">
        <f t="shared" ca="1" si="29"/>
        <v>42</v>
      </c>
      <c r="Z32" s="456"/>
      <c r="AA32" s="456"/>
      <c r="AB32" s="456"/>
      <c r="AC32" s="456"/>
      <c r="AD32" s="456"/>
      <c r="AE32" s="456"/>
      <c r="AF32" s="456"/>
      <c r="AG32" s="456"/>
      <c r="AH32" s="456"/>
      <c r="AI32" s="456"/>
      <c r="AJ32" s="456"/>
      <c r="AK32" s="456"/>
      <c r="AL32" s="456"/>
      <c r="AM32" s="456"/>
      <c r="AN32" s="456"/>
      <c r="AO32" s="456"/>
      <c r="AP32" s="456"/>
      <c r="AQ32" s="456"/>
      <c r="AR32" s="456"/>
      <c r="AS32" s="456"/>
      <c r="AT32" s="456"/>
      <c r="AU32" s="456"/>
      <c r="AV32" s="456"/>
      <c r="AW32" s="456"/>
      <c r="AX32" s="456"/>
      <c r="AY32" s="456"/>
      <c r="AZ32" s="456"/>
      <c r="BA32" s="456"/>
      <c r="BB32" s="456"/>
      <c r="BC32" s="456"/>
      <c r="BD32" s="456"/>
      <c r="BE32" s="456"/>
      <c r="BF32" s="456"/>
      <c r="BG32" s="456"/>
    </row>
    <row r="33" spans="1:59" ht="13.5" thickBot="1">
      <c r="A33" s="617">
        <v>17</v>
      </c>
      <c r="B33" s="568" t="str">
        <f>IF($A33&gt;$D$3,"",VLOOKUP($A33,Table!$A$9:$C$30,2,FALSE))</f>
        <v/>
      </c>
      <c r="C33" s="357" t="str">
        <f ca="1">IF(A33&gt;$C$1,"",VLOOKUP($A33,Table!$A$9:$C$30,3,FALSE))</f>
        <v>Zweigen Kanazawa</v>
      </c>
      <c r="D33" s="613" t="str">
        <f ca="1">IF(A33&gt;$C$1,"",VLOOKUP($A33,Table!$A$9:$C$30,2,FALSE))</f>
        <v>Zweigen Kanazawa</v>
      </c>
      <c r="E33" s="521" t="e">
        <f t="shared" ca="1" si="9"/>
        <v>#N/A</v>
      </c>
      <c r="F33" s="618" t="e">
        <f t="shared" ca="1" si="10"/>
        <v>#N/A</v>
      </c>
      <c r="G33" s="619" t="e">
        <f t="shared" ca="1" si="11"/>
        <v>#N/A</v>
      </c>
      <c r="H33" s="618" t="e">
        <f t="shared" ca="1" si="12"/>
        <v>#N/A</v>
      </c>
      <c r="I33" s="619" t="e">
        <f t="shared" ca="1" si="13"/>
        <v>#N/A</v>
      </c>
      <c r="J33" s="619" t="e">
        <f t="shared" ca="1" si="14"/>
        <v>#N/A</v>
      </c>
      <c r="K33" s="385" t="e">
        <f t="shared" ca="1" si="24"/>
        <v>#N/A</v>
      </c>
      <c r="L33" s="521" t="e">
        <f t="shared" ca="1" si="15"/>
        <v>#N/A</v>
      </c>
      <c r="M33" s="618" t="e">
        <f t="shared" ca="1" si="16"/>
        <v>#N/A</v>
      </c>
      <c r="N33" s="619" t="e">
        <f t="shared" ca="1" si="17"/>
        <v>#N/A</v>
      </c>
      <c r="O33" s="618" t="e">
        <f t="shared" ca="1" si="18"/>
        <v>#N/A</v>
      </c>
      <c r="P33" s="619" t="e">
        <f t="shared" ca="1" si="19"/>
        <v>#N/A</v>
      </c>
      <c r="Q33" s="619" t="e">
        <f t="shared" ca="1" si="20"/>
        <v>#N/A</v>
      </c>
      <c r="R33" s="385" t="e">
        <f t="shared" ca="1" si="25"/>
        <v>#N/A</v>
      </c>
      <c r="S33" s="521" t="e">
        <f t="shared" ca="1" si="21"/>
        <v>#N/A</v>
      </c>
      <c r="T33" s="618" t="e">
        <f t="shared" ca="1" si="26"/>
        <v>#N/A</v>
      </c>
      <c r="U33" s="619" t="e">
        <f t="shared" ca="1" si="22"/>
        <v>#N/A</v>
      </c>
      <c r="V33" s="618" t="e">
        <f t="shared" ca="1" si="27"/>
        <v>#N/A</v>
      </c>
      <c r="W33" s="619" t="e">
        <f t="shared" ca="1" si="23"/>
        <v>#N/A</v>
      </c>
      <c r="X33" s="631" t="e">
        <f t="shared" ca="1" si="28"/>
        <v>#N/A</v>
      </c>
      <c r="Y33" s="632" t="e">
        <f t="shared" ca="1" si="29"/>
        <v>#N/A</v>
      </c>
      <c r="Z33" s="456"/>
      <c r="AA33" s="456"/>
      <c r="AB33" s="456"/>
      <c r="AC33" s="456"/>
      <c r="AD33" s="456"/>
      <c r="AE33" s="456"/>
      <c r="AF33" s="456"/>
      <c r="AG33" s="456"/>
      <c r="AH33" s="456"/>
      <c r="AI33" s="456"/>
      <c r="AJ33" s="456"/>
      <c r="AK33" s="456"/>
      <c r="AL33" s="456"/>
      <c r="AM33" s="456"/>
      <c r="AN33" s="456"/>
      <c r="AO33" s="456"/>
      <c r="AP33" s="456"/>
      <c r="AQ33" s="456"/>
      <c r="AR33" s="456"/>
      <c r="AS33" s="456"/>
      <c r="AT33" s="456"/>
      <c r="AU33" s="456"/>
      <c r="AV33" s="456"/>
      <c r="AW33" s="456"/>
      <c r="AX33" s="456"/>
      <c r="AY33" s="456"/>
      <c r="AZ33" s="456"/>
      <c r="BA33" s="456"/>
      <c r="BB33" s="456"/>
      <c r="BC33" s="456"/>
      <c r="BD33" s="456"/>
      <c r="BE33" s="456"/>
      <c r="BF33" s="456"/>
      <c r="BG33" s="456"/>
    </row>
    <row r="34" spans="1:59">
      <c r="A34" s="617">
        <v>18</v>
      </c>
      <c r="B34" s="568" t="str">
        <f>IF($A34&gt;$D$3,"",VLOOKUP($A34,Table!$A$9:$C$30,2,FALSE))</f>
        <v/>
      </c>
      <c r="C34" s="357" t="str">
        <f ca="1">IF(A34&gt;$C$1,"",VLOOKUP($A34,Table!$A$9:$C$30,3,FALSE))</f>
        <v>Gifu</v>
      </c>
      <c r="D34" s="613" t="str">
        <f ca="1">IF(A34&gt;$C$1,"",VLOOKUP($A34,Table!$A$9:$C$30,2,FALSE))</f>
        <v>Gifu</v>
      </c>
      <c r="E34" s="521">
        <f t="shared" ca="1" si="9"/>
        <v>6</v>
      </c>
      <c r="F34" s="618">
        <f t="shared" ca="1" si="10"/>
        <v>0.2857142857142857</v>
      </c>
      <c r="G34" s="619">
        <f t="shared" ca="1" si="11"/>
        <v>5</v>
      </c>
      <c r="H34" s="618">
        <f t="shared" ca="1" si="12"/>
        <v>0.23809523809523808</v>
      </c>
      <c r="I34" s="619">
        <f t="shared" ca="1" si="13"/>
        <v>10</v>
      </c>
      <c r="J34" s="619">
        <f t="shared" ca="1" si="14"/>
        <v>0.47619047619047616</v>
      </c>
      <c r="K34" s="385">
        <f t="shared" ca="1" si="24"/>
        <v>21</v>
      </c>
      <c r="L34" s="521">
        <f t="shared" ca="1" si="15"/>
        <v>8</v>
      </c>
      <c r="M34" s="618">
        <f t="shared" ca="1" si="16"/>
        <v>0.38095238095238093</v>
      </c>
      <c r="N34" s="619">
        <f t="shared" ca="1" si="17"/>
        <v>8</v>
      </c>
      <c r="O34" s="618">
        <f t="shared" ca="1" si="18"/>
        <v>0.38095238095238093</v>
      </c>
      <c r="P34" s="619">
        <f t="shared" ca="1" si="19"/>
        <v>5</v>
      </c>
      <c r="Q34" s="619">
        <f t="shared" ca="1" si="20"/>
        <v>0.23809523809523808</v>
      </c>
      <c r="R34" s="385">
        <f t="shared" ca="1" si="25"/>
        <v>21</v>
      </c>
      <c r="S34" s="521">
        <f t="shared" ca="1" si="21"/>
        <v>14</v>
      </c>
      <c r="T34" s="618">
        <f t="shared" ca="1" si="26"/>
        <v>0.33333333333333331</v>
      </c>
      <c r="U34" s="619">
        <f t="shared" ca="1" si="22"/>
        <v>13</v>
      </c>
      <c r="V34" s="618">
        <f t="shared" ca="1" si="27"/>
        <v>0.30952380952380953</v>
      </c>
      <c r="W34" s="619">
        <f t="shared" ca="1" si="23"/>
        <v>15</v>
      </c>
      <c r="X34" s="631">
        <f t="shared" ca="1" si="28"/>
        <v>0.35714285714285715</v>
      </c>
      <c r="Y34" s="632">
        <f t="shared" ca="1" si="29"/>
        <v>42</v>
      </c>
      <c r="Z34" s="456"/>
      <c r="AA34" s="456"/>
      <c r="AB34" s="456"/>
      <c r="AC34" s="456"/>
      <c r="AD34" s="456"/>
      <c r="AE34" s="456"/>
      <c r="AF34" s="456"/>
      <c r="AG34" s="456"/>
      <c r="AH34" s="456"/>
      <c r="AI34" s="456"/>
      <c r="AJ34" s="456"/>
      <c r="AK34" s="456"/>
      <c r="AL34" s="456"/>
      <c r="AM34" s="456"/>
      <c r="AN34" s="456"/>
      <c r="AO34" s="456"/>
      <c r="AP34" s="456"/>
      <c r="AQ34" s="456"/>
      <c r="AR34" s="456"/>
      <c r="AS34" s="456"/>
      <c r="AT34" s="456"/>
      <c r="AU34" s="456"/>
      <c r="AV34" s="456"/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</row>
    <row r="35" spans="1:59">
      <c r="A35" s="620">
        <v>19</v>
      </c>
      <c r="B35" s="568" t="str">
        <f>IF($A35&gt;$D$3,"",VLOOKUP($A35,Table!$A$9:$C$30,2,FALSE))</f>
        <v/>
      </c>
      <c r="C35" s="357" t="str">
        <f ca="1">IF(A35&gt;$C$1,"",VLOOKUP($A35,Table!$A$9:$C$30,3,FALSE))</f>
        <v>Kamatamare Sanuki</v>
      </c>
      <c r="D35" s="621" t="str">
        <f ca="1">IF(A35&gt;$C$1,"",VLOOKUP($A35,Table!$A$9:$C$30,2,FALSE))</f>
        <v>Kamatamare Sanuki</v>
      </c>
      <c r="E35" s="548">
        <f t="shared" ca="1" si="9"/>
        <v>8</v>
      </c>
      <c r="F35" s="622">
        <f t="shared" ca="1" si="10"/>
        <v>0.38095238095238093</v>
      </c>
      <c r="G35" s="623">
        <f t="shared" ca="1" si="11"/>
        <v>6</v>
      </c>
      <c r="H35" s="622">
        <f t="shared" ca="1" si="12"/>
        <v>0.2857142857142857</v>
      </c>
      <c r="I35" s="623">
        <f t="shared" ca="1" si="13"/>
        <v>7</v>
      </c>
      <c r="J35" s="623">
        <f t="shared" ca="1" si="14"/>
        <v>0.33333333333333331</v>
      </c>
      <c r="K35" s="624">
        <f t="shared" ca="1" si="24"/>
        <v>21</v>
      </c>
      <c r="L35" s="548">
        <f t="shared" ca="1" si="15"/>
        <v>7</v>
      </c>
      <c r="M35" s="622">
        <f t="shared" ca="1" si="16"/>
        <v>0.33333333333333331</v>
      </c>
      <c r="N35" s="623">
        <f t="shared" ca="1" si="17"/>
        <v>7</v>
      </c>
      <c r="O35" s="622">
        <f t="shared" ca="1" si="18"/>
        <v>0.33333333333333331</v>
      </c>
      <c r="P35" s="623">
        <f t="shared" ca="1" si="19"/>
        <v>7</v>
      </c>
      <c r="Q35" s="623">
        <f t="shared" ca="1" si="20"/>
        <v>0.33333333333333331</v>
      </c>
      <c r="R35" s="624">
        <f t="shared" ca="1" si="25"/>
        <v>21</v>
      </c>
      <c r="S35" s="548">
        <f t="shared" ca="1" si="21"/>
        <v>15</v>
      </c>
      <c r="T35" s="622">
        <f t="shared" ca="1" si="26"/>
        <v>0.35714285714285715</v>
      </c>
      <c r="U35" s="623">
        <f t="shared" ca="1" si="22"/>
        <v>13</v>
      </c>
      <c r="V35" s="622">
        <f t="shared" ca="1" si="27"/>
        <v>0.30952380952380953</v>
      </c>
      <c r="W35" s="623">
        <f t="shared" ca="1" si="23"/>
        <v>14</v>
      </c>
      <c r="X35" s="629">
        <f t="shared" ca="1" si="28"/>
        <v>0.33333333333333331</v>
      </c>
      <c r="Y35" s="630">
        <f t="shared" ca="1" si="29"/>
        <v>42</v>
      </c>
      <c r="Z35" s="456"/>
      <c r="AA35" s="456"/>
      <c r="AB35" s="456"/>
      <c r="AC35" s="456"/>
      <c r="AD35" s="456"/>
      <c r="AE35" s="456"/>
      <c r="AF35" s="456"/>
      <c r="AG35" s="456"/>
      <c r="AH35" s="456"/>
      <c r="AI35" s="456"/>
      <c r="AJ35" s="456"/>
      <c r="AK35" s="456"/>
      <c r="AL35" s="456"/>
      <c r="AM35" s="456"/>
      <c r="AN35" s="456"/>
      <c r="AO35" s="456"/>
      <c r="AP35" s="456"/>
      <c r="AQ35" s="456"/>
      <c r="AR35" s="456"/>
      <c r="AS35" s="456"/>
      <c r="AT35" s="456"/>
      <c r="AU35" s="456"/>
      <c r="AV35" s="456"/>
      <c r="AW35" s="456"/>
      <c r="AX35" s="456"/>
      <c r="AY35" s="456"/>
      <c r="AZ35" s="456"/>
      <c r="BA35" s="456"/>
      <c r="BB35" s="456"/>
      <c r="BC35" s="456"/>
      <c r="BD35" s="456"/>
      <c r="BE35" s="456"/>
      <c r="BF35" s="456"/>
      <c r="BG35" s="456"/>
    </row>
    <row r="36" spans="1:59">
      <c r="A36" s="620">
        <v>20</v>
      </c>
      <c r="B36" s="568" t="str">
        <f>IF($A36&gt;$D$3,"",VLOOKUP($A36,Table!$A$9:$C$30,2,FALSE))</f>
        <v/>
      </c>
      <c r="C36" s="357" t="str">
        <f ca="1">IF(A36&gt;$C$1,"",VLOOKUP($A36,Table!$A$9:$C$30,3,FALSE))</f>
        <v>Renofa Yamaguchi</v>
      </c>
      <c r="D36" s="621" t="str">
        <f ca="1">IF(A36&gt;$C$1,"",VLOOKUP($A36,Table!$A$9:$C$30,2,FALSE))</f>
        <v>Renofa Yamaguchi</v>
      </c>
      <c r="E36" s="548">
        <f t="shared" ca="1" si="9"/>
        <v>3</v>
      </c>
      <c r="F36" s="622">
        <f t="shared" ca="1" si="10"/>
        <v>0.14285714285714285</v>
      </c>
      <c r="G36" s="623">
        <f t="shared" ca="1" si="11"/>
        <v>5</v>
      </c>
      <c r="H36" s="622">
        <f t="shared" ca="1" si="12"/>
        <v>0.23809523809523808</v>
      </c>
      <c r="I36" s="623">
        <f t="shared" ca="1" si="13"/>
        <v>13</v>
      </c>
      <c r="J36" s="623">
        <f t="shared" ca="1" si="14"/>
        <v>0.61904761904761907</v>
      </c>
      <c r="K36" s="624">
        <f t="shared" ca="1" si="24"/>
        <v>21</v>
      </c>
      <c r="L36" s="548">
        <f t="shared" ca="1" si="15"/>
        <v>7</v>
      </c>
      <c r="M36" s="622">
        <f t="shared" ca="1" si="16"/>
        <v>0.33333333333333331</v>
      </c>
      <c r="N36" s="623">
        <f t="shared" ca="1" si="17"/>
        <v>6</v>
      </c>
      <c r="O36" s="622">
        <f t="shared" ca="1" si="18"/>
        <v>0.2857142857142857</v>
      </c>
      <c r="P36" s="623">
        <f t="shared" ca="1" si="19"/>
        <v>8</v>
      </c>
      <c r="Q36" s="623">
        <f t="shared" ca="1" si="20"/>
        <v>0.38095238095238093</v>
      </c>
      <c r="R36" s="624">
        <f t="shared" ca="1" si="25"/>
        <v>21</v>
      </c>
      <c r="S36" s="548">
        <f t="shared" ca="1" si="21"/>
        <v>10</v>
      </c>
      <c r="T36" s="622">
        <f t="shared" ca="1" si="26"/>
        <v>0.23809523809523808</v>
      </c>
      <c r="U36" s="623">
        <f t="shared" ca="1" si="22"/>
        <v>11</v>
      </c>
      <c r="V36" s="622">
        <f t="shared" ca="1" si="27"/>
        <v>0.26190476190476192</v>
      </c>
      <c r="W36" s="623">
        <f t="shared" ca="1" si="23"/>
        <v>21</v>
      </c>
      <c r="X36" s="629">
        <f t="shared" ca="1" si="28"/>
        <v>0.5</v>
      </c>
      <c r="Y36" s="630">
        <f t="shared" ca="1" si="29"/>
        <v>42</v>
      </c>
      <c r="Z36" s="456"/>
      <c r="AA36" s="456"/>
      <c r="AB36" s="456"/>
      <c r="AC36" s="456"/>
      <c r="AD36" s="456"/>
      <c r="AE36" s="456"/>
      <c r="AF36" s="456"/>
      <c r="AG36" s="456"/>
      <c r="AH36" s="456"/>
      <c r="AI36" s="456"/>
      <c r="AJ36" s="456"/>
      <c r="AK36" s="456"/>
      <c r="AL36" s="456"/>
      <c r="AM36" s="456"/>
      <c r="AN36" s="456"/>
      <c r="AO36" s="456"/>
      <c r="AP36" s="456"/>
      <c r="AQ36" s="456"/>
      <c r="AR36" s="456"/>
      <c r="AS36" s="456"/>
      <c r="AT36" s="456"/>
      <c r="AU36" s="456"/>
      <c r="AV36" s="456"/>
      <c r="AW36" s="456"/>
      <c r="AX36" s="456"/>
      <c r="AY36" s="456"/>
      <c r="AZ36" s="456"/>
      <c r="BA36" s="456"/>
      <c r="BB36" s="456"/>
      <c r="BC36" s="456"/>
      <c r="BD36" s="456"/>
      <c r="BE36" s="456"/>
      <c r="BF36" s="456"/>
      <c r="BG36" s="456"/>
    </row>
    <row r="37" spans="1:59">
      <c r="A37" s="616">
        <v>21</v>
      </c>
      <c r="C37" s="357" t="s">
        <v>32</v>
      </c>
      <c r="D37" s="633" t="s">
        <v>32</v>
      </c>
      <c r="E37" s="521" t="str">
        <f t="shared" si="9"/>
        <v/>
      </c>
      <c r="F37" s="618" t="str">
        <f t="shared" si="10"/>
        <v/>
      </c>
      <c r="G37" s="619" t="str">
        <f t="shared" si="11"/>
        <v/>
      </c>
      <c r="H37" s="618" t="str">
        <f t="shared" si="12"/>
        <v/>
      </c>
      <c r="I37" s="619" t="str">
        <f t="shared" si="13"/>
        <v/>
      </c>
      <c r="J37" s="619" t="str">
        <f t="shared" si="14"/>
        <v/>
      </c>
      <c r="K37" s="385" t="str">
        <f t="shared" si="24"/>
        <v/>
      </c>
      <c r="L37" s="521" t="str">
        <f t="shared" si="15"/>
        <v/>
      </c>
      <c r="M37" s="618" t="str">
        <f t="shared" si="16"/>
        <v/>
      </c>
      <c r="N37" s="619" t="str">
        <f t="shared" si="17"/>
        <v/>
      </c>
      <c r="O37" s="618" t="str">
        <f t="shared" si="18"/>
        <v/>
      </c>
      <c r="P37" s="619" t="str">
        <f t="shared" si="19"/>
        <v/>
      </c>
      <c r="Q37" s="619" t="str">
        <f t="shared" si="20"/>
        <v/>
      </c>
      <c r="R37" s="385" t="str">
        <f t="shared" si="25"/>
        <v/>
      </c>
      <c r="S37" s="521" t="str">
        <f t="shared" si="21"/>
        <v/>
      </c>
      <c r="T37" s="618" t="str">
        <f t="shared" si="26"/>
        <v/>
      </c>
      <c r="U37" s="619" t="str">
        <f t="shared" si="22"/>
        <v/>
      </c>
      <c r="V37" s="618" t="str">
        <f t="shared" si="27"/>
        <v/>
      </c>
      <c r="W37" s="619" t="str">
        <f t="shared" si="23"/>
        <v/>
      </c>
      <c r="X37" s="631" t="str">
        <f t="shared" si="28"/>
        <v/>
      </c>
      <c r="Y37" s="632" t="str">
        <f t="shared" si="29"/>
        <v/>
      </c>
      <c r="Z37" s="456"/>
      <c r="AA37" s="456"/>
      <c r="AB37" s="456"/>
      <c r="AC37" s="456"/>
      <c r="AD37" s="456"/>
      <c r="AE37" s="456"/>
      <c r="AF37" s="456"/>
      <c r="AG37" s="456"/>
      <c r="AH37" s="456"/>
      <c r="AI37" s="456"/>
      <c r="AJ37" s="456"/>
      <c r="AK37" s="456"/>
      <c r="AL37" s="456"/>
      <c r="AM37" s="456"/>
      <c r="AN37" s="456"/>
      <c r="AO37" s="456"/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  <c r="BC37" s="456"/>
      <c r="BD37" s="456"/>
      <c r="BE37" s="456"/>
      <c r="BF37" s="456"/>
      <c r="BG37" s="456"/>
    </row>
    <row r="38" spans="1:59">
      <c r="A38" s="617">
        <v>22</v>
      </c>
      <c r="C38" s="357" t="s">
        <v>32</v>
      </c>
      <c r="D38" s="634" t="s">
        <v>32</v>
      </c>
      <c r="E38" s="521" t="str">
        <f t="shared" si="9"/>
        <v/>
      </c>
      <c r="F38" s="618" t="str">
        <f t="shared" si="10"/>
        <v/>
      </c>
      <c r="G38" s="619" t="str">
        <f t="shared" si="11"/>
        <v/>
      </c>
      <c r="H38" s="618" t="str">
        <f t="shared" si="12"/>
        <v/>
      </c>
      <c r="I38" s="619" t="str">
        <f t="shared" si="13"/>
        <v/>
      </c>
      <c r="J38" s="619" t="str">
        <f t="shared" si="14"/>
        <v/>
      </c>
      <c r="K38" s="385" t="str">
        <f t="shared" si="24"/>
        <v/>
      </c>
      <c r="L38" s="521" t="str">
        <f t="shared" si="15"/>
        <v/>
      </c>
      <c r="M38" s="618" t="str">
        <f t="shared" si="16"/>
        <v/>
      </c>
      <c r="N38" s="619" t="str">
        <f t="shared" si="17"/>
        <v/>
      </c>
      <c r="O38" s="618" t="str">
        <f t="shared" si="18"/>
        <v/>
      </c>
      <c r="P38" s="619" t="str">
        <f t="shared" si="19"/>
        <v/>
      </c>
      <c r="Q38" s="619" t="str">
        <f t="shared" si="20"/>
        <v/>
      </c>
      <c r="R38" s="385" t="str">
        <f t="shared" si="25"/>
        <v/>
      </c>
      <c r="S38" s="521" t="str">
        <f t="shared" si="21"/>
        <v/>
      </c>
      <c r="T38" s="618" t="str">
        <f t="shared" si="26"/>
        <v/>
      </c>
      <c r="U38" s="619" t="str">
        <f t="shared" si="22"/>
        <v/>
      </c>
      <c r="V38" s="618" t="str">
        <f t="shared" si="27"/>
        <v/>
      </c>
      <c r="W38" s="619" t="str">
        <f t="shared" si="23"/>
        <v/>
      </c>
      <c r="X38" s="631" t="str">
        <f t="shared" si="28"/>
        <v/>
      </c>
      <c r="Y38" s="632" t="str">
        <f t="shared" si="29"/>
        <v/>
      </c>
      <c r="Z38" s="456"/>
      <c r="AA38" s="456"/>
      <c r="AB38" s="456"/>
      <c r="AC38" s="456"/>
      <c r="AD38" s="456"/>
      <c r="AE38" s="456"/>
      <c r="AF38" s="456"/>
      <c r="AG38" s="456"/>
      <c r="AH38" s="456"/>
      <c r="AI38" s="456"/>
      <c r="AJ38" s="456"/>
      <c r="AK38" s="456"/>
      <c r="AL38" s="456"/>
      <c r="AM38" s="456"/>
      <c r="AN38" s="456"/>
      <c r="AO38" s="456"/>
      <c r="AP38" s="456"/>
      <c r="AQ38" s="456"/>
      <c r="AR38" s="456"/>
      <c r="AS38" s="456"/>
      <c r="AT38" s="456"/>
      <c r="AU38" s="456"/>
      <c r="AV38" s="456"/>
      <c r="AW38" s="456"/>
      <c r="AX38" s="456"/>
      <c r="AY38" s="456"/>
      <c r="AZ38" s="456"/>
      <c r="BA38" s="456"/>
      <c r="BB38" s="456"/>
      <c r="BC38" s="456"/>
      <c r="BD38" s="456"/>
      <c r="BE38" s="456"/>
      <c r="BF38" s="456"/>
      <c r="BG38" s="456"/>
    </row>
    <row r="39" spans="1:59">
      <c r="A39" s="620">
        <v>23</v>
      </c>
      <c r="C39" s="357" t="s">
        <v>32</v>
      </c>
      <c r="D39" s="635" t="s">
        <v>32</v>
      </c>
      <c r="E39" s="548" t="str">
        <f t="shared" si="9"/>
        <v/>
      </c>
      <c r="F39" s="622" t="str">
        <f t="shared" si="10"/>
        <v/>
      </c>
      <c r="G39" s="623" t="str">
        <f t="shared" si="11"/>
        <v/>
      </c>
      <c r="H39" s="622" t="str">
        <f t="shared" si="12"/>
        <v/>
      </c>
      <c r="I39" s="623" t="str">
        <f t="shared" si="13"/>
        <v/>
      </c>
      <c r="J39" s="623" t="str">
        <f t="shared" si="14"/>
        <v/>
      </c>
      <c r="K39" s="624" t="str">
        <f t="shared" si="24"/>
        <v/>
      </c>
      <c r="L39" s="548" t="str">
        <f t="shared" si="15"/>
        <v/>
      </c>
      <c r="M39" s="622" t="str">
        <f t="shared" si="16"/>
        <v/>
      </c>
      <c r="N39" s="623" t="str">
        <f t="shared" si="17"/>
        <v/>
      </c>
      <c r="O39" s="622" t="str">
        <f t="shared" si="18"/>
        <v/>
      </c>
      <c r="P39" s="623" t="str">
        <f t="shared" si="19"/>
        <v/>
      </c>
      <c r="Q39" s="623" t="str">
        <f t="shared" si="20"/>
        <v/>
      </c>
      <c r="R39" s="624" t="str">
        <f t="shared" si="25"/>
        <v/>
      </c>
      <c r="S39" s="548" t="str">
        <f t="shared" si="21"/>
        <v/>
      </c>
      <c r="T39" s="622" t="str">
        <f t="shared" si="26"/>
        <v/>
      </c>
      <c r="U39" s="623" t="str">
        <f t="shared" si="22"/>
        <v/>
      </c>
      <c r="V39" s="622" t="str">
        <f t="shared" si="27"/>
        <v/>
      </c>
      <c r="W39" s="623" t="str">
        <f t="shared" si="23"/>
        <v/>
      </c>
      <c r="X39" s="629" t="str">
        <f t="shared" si="28"/>
        <v/>
      </c>
      <c r="Y39" s="630" t="str">
        <f t="shared" si="29"/>
        <v/>
      </c>
      <c r="Z39" s="456"/>
      <c r="AA39" s="456"/>
      <c r="AB39" s="456"/>
      <c r="AC39" s="456"/>
      <c r="AD39" s="456"/>
      <c r="AE39" s="456"/>
      <c r="AF39" s="456"/>
      <c r="AG39" s="456"/>
      <c r="AH39" s="456"/>
      <c r="AI39" s="456"/>
      <c r="AJ39" s="456"/>
      <c r="AK39" s="456"/>
      <c r="AL39" s="456"/>
      <c r="AM39" s="456"/>
      <c r="AN39" s="456"/>
      <c r="AO39" s="456"/>
      <c r="AP39" s="456"/>
      <c r="AQ39" s="456"/>
      <c r="AR39" s="456"/>
      <c r="AS39" s="456"/>
      <c r="AT39" s="456"/>
      <c r="AU39" s="456"/>
      <c r="AV39" s="456"/>
      <c r="AW39" s="456"/>
      <c r="AX39" s="456"/>
      <c r="AY39" s="456"/>
      <c r="AZ39" s="456"/>
      <c r="BA39" s="456"/>
      <c r="BB39" s="456"/>
      <c r="BC39" s="456"/>
      <c r="BD39" s="456"/>
      <c r="BE39" s="456"/>
      <c r="BF39" s="456"/>
      <c r="BG39" s="456"/>
    </row>
    <row r="40" spans="1:59" ht="13.5" thickBot="1">
      <c r="A40" s="636">
        <v>24</v>
      </c>
      <c r="C40" s="357" t="s">
        <v>32</v>
      </c>
      <c r="D40" s="637" t="s">
        <v>32</v>
      </c>
      <c r="E40" s="548" t="str">
        <f t="shared" si="9"/>
        <v/>
      </c>
      <c r="F40" s="622" t="str">
        <f t="shared" si="10"/>
        <v/>
      </c>
      <c r="G40" s="623" t="str">
        <f t="shared" si="11"/>
        <v/>
      </c>
      <c r="H40" s="622" t="str">
        <f t="shared" si="12"/>
        <v/>
      </c>
      <c r="I40" s="623" t="str">
        <f t="shared" si="13"/>
        <v/>
      </c>
      <c r="J40" s="623" t="str">
        <f t="shared" si="14"/>
        <v/>
      </c>
      <c r="K40" s="624" t="str">
        <f t="shared" si="24"/>
        <v/>
      </c>
      <c r="L40" s="548" t="str">
        <f t="shared" si="15"/>
        <v/>
      </c>
      <c r="M40" s="622" t="str">
        <f t="shared" si="16"/>
        <v/>
      </c>
      <c r="N40" s="623" t="str">
        <f t="shared" si="17"/>
        <v/>
      </c>
      <c r="O40" s="622" t="str">
        <f t="shared" si="18"/>
        <v/>
      </c>
      <c r="P40" s="623" t="str">
        <f t="shared" si="19"/>
        <v/>
      </c>
      <c r="Q40" s="623" t="str">
        <f t="shared" si="20"/>
        <v/>
      </c>
      <c r="R40" s="624" t="str">
        <f t="shared" si="25"/>
        <v/>
      </c>
      <c r="S40" s="548" t="str">
        <f t="shared" si="21"/>
        <v/>
      </c>
      <c r="T40" s="622" t="str">
        <f t="shared" si="26"/>
        <v/>
      </c>
      <c r="U40" s="623" t="str">
        <f t="shared" si="22"/>
        <v/>
      </c>
      <c r="V40" s="622" t="str">
        <f t="shared" si="27"/>
        <v/>
      </c>
      <c r="W40" s="623" t="str">
        <f t="shared" si="23"/>
        <v/>
      </c>
      <c r="X40" s="629" t="str">
        <f t="shared" si="28"/>
        <v/>
      </c>
      <c r="Y40" s="630" t="str">
        <f t="shared" si="29"/>
        <v/>
      </c>
      <c r="Z40" s="456"/>
      <c r="AA40" s="456"/>
      <c r="AB40" s="456"/>
      <c r="AC40" s="456"/>
      <c r="AD40" s="456"/>
      <c r="AE40" s="456"/>
      <c r="AF40" s="456"/>
      <c r="AG40" s="456"/>
      <c r="AH40" s="456"/>
      <c r="AI40" s="456"/>
      <c r="AJ40" s="456"/>
      <c r="AK40" s="456"/>
      <c r="AL40" s="456"/>
      <c r="AM40" s="456"/>
      <c r="AN40" s="456"/>
      <c r="AO40" s="456"/>
      <c r="AP40" s="456"/>
      <c r="AQ40" s="456"/>
      <c r="AR40" s="456"/>
      <c r="AS40" s="456"/>
      <c r="AT40" s="456"/>
      <c r="AU40" s="456"/>
      <c r="AV40" s="456"/>
      <c r="AW40" s="456"/>
      <c r="AX40" s="456"/>
      <c r="AY40" s="456"/>
      <c r="AZ40" s="456"/>
      <c r="BA40" s="456"/>
      <c r="BB40" s="456"/>
      <c r="BC40" s="456"/>
      <c r="BD40" s="456"/>
      <c r="BE40" s="456"/>
      <c r="BF40" s="456"/>
      <c r="BG40" s="456"/>
    </row>
    <row r="41" spans="1:59" ht="13.5" thickBot="1">
      <c r="A41" s="487"/>
      <c r="D41" s="570" t="s">
        <v>115</v>
      </c>
      <c r="E41" s="481" t="e">
        <f ca="1">SUM(E17:E40)</f>
        <v>#N/A</v>
      </c>
      <c r="F41" s="435" t="e">
        <f t="shared" ca="1" si="10"/>
        <v>#N/A</v>
      </c>
      <c r="G41" s="438" t="e">
        <f ca="1">SUM(G17:G40)</f>
        <v>#N/A</v>
      </c>
      <c r="H41" s="435" t="e">
        <f t="shared" ca="1" si="12"/>
        <v>#N/A</v>
      </c>
      <c r="I41" s="438" t="e">
        <f t="shared" ref="I41:Y41" ca="1" si="30">SUM(I17:I40)</f>
        <v>#N/A</v>
      </c>
      <c r="J41" s="609" t="e">
        <f t="shared" ca="1" si="14"/>
        <v>#N/A</v>
      </c>
      <c r="K41" s="479" t="e">
        <f t="shared" ca="1" si="30"/>
        <v>#N/A</v>
      </c>
      <c r="L41" s="481" t="e">
        <f t="shared" ca="1" si="30"/>
        <v>#N/A</v>
      </c>
      <c r="M41" s="435" t="e">
        <f t="shared" ca="1" si="16"/>
        <v>#N/A</v>
      </c>
      <c r="N41" s="438" t="e">
        <f t="shared" ca="1" si="30"/>
        <v>#N/A</v>
      </c>
      <c r="O41" s="435" t="e">
        <f t="shared" ca="1" si="18"/>
        <v>#N/A</v>
      </c>
      <c r="P41" s="438" t="e">
        <f t="shared" ca="1" si="30"/>
        <v>#N/A</v>
      </c>
      <c r="Q41" s="435" t="e">
        <f t="shared" ca="1" si="20"/>
        <v>#N/A</v>
      </c>
      <c r="R41" s="479" t="e">
        <f t="shared" ca="1" si="30"/>
        <v>#N/A</v>
      </c>
      <c r="S41" s="481" t="e">
        <f t="shared" ca="1" si="30"/>
        <v>#N/A</v>
      </c>
      <c r="T41" s="609" t="e">
        <f t="shared" ca="1" si="26"/>
        <v>#N/A</v>
      </c>
      <c r="U41" s="438" t="e">
        <f t="shared" ca="1" si="30"/>
        <v>#N/A</v>
      </c>
      <c r="V41" s="435" t="e">
        <f t="shared" ca="1" si="27"/>
        <v>#N/A</v>
      </c>
      <c r="W41" s="438" t="e">
        <f t="shared" ca="1" si="30"/>
        <v>#N/A</v>
      </c>
      <c r="X41" s="638" t="e">
        <f t="shared" ca="1" si="28"/>
        <v>#N/A</v>
      </c>
      <c r="Y41" s="639" t="e">
        <f t="shared" ca="1" si="30"/>
        <v>#N/A</v>
      </c>
      <c r="Z41" s="456"/>
      <c r="AA41" s="456"/>
      <c r="AB41" s="456"/>
      <c r="AC41" s="456"/>
      <c r="AD41" s="456"/>
      <c r="AE41" s="456"/>
      <c r="AF41" s="456"/>
      <c r="AG41" s="456"/>
      <c r="AH41" s="456"/>
      <c r="AI41" s="456"/>
      <c r="AJ41" s="456"/>
      <c r="AK41" s="456"/>
      <c r="AL41" s="456"/>
      <c r="AM41" s="456"/>
      <c r="AN41" s="456"/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6"/>
      <c r="BC41" s="456"/>
      <c r="BD41" s="456"/>
      <c r="BE41" s="456"/>
      <c r="BF41" s="456"/>
      <c r="BG41" s="456"/>
    </row>
    <row r="42" spans="1:59">
      <c r="A42" s="487"/>
      <c r="D42" s="357"/>
      <c r="X42" s="640"/>
      <c r="Y42" s="456"/>
      <c r="Z42" s="456"/>
      <c r="AA42" s="456"/>
      <c r="AB42" s="456"/>
      <c r="AC42" s="456"/>
      <c r="AD42" s="456"/>
      <c r="AE42" s="456"/>
      <c r="AF42" s="456"/>
      <c r="AG42" s="456"/>
      <c r="AH42" s="456"/>
      <c r="AI42" s="456"/>
      <c r="AJ42" s="456"/>
      <c r="AK42" s="456"/>
      <c r="AL42" s="456"/>
      <c r="AM42" s="456"/>
      <c r="AN42" s="456"/>
      <c r="AO42" s="456"/>
      <c r="AP42" s="456"/>
      <c r="AQ42" s="456"/>
      <c r="AR42" s="456"/>
      <c r="AS42" s="456"/>
      <c r="AT42" s="456"/>
      <c r="AU42" s="456"/>
      <c r="AV42" s="456"/>
      <c r="AW42" s="456"/>
      <c r="AX42" s="456"/>
      <c r="AY42" s="456"/>
      <c r="AZ42" s="456"/>
      <c r="BA42" s="456"/>
      <c r="BB42" s="456"/>
      <c r="BC42" s="456"/>
      <c r="BD42" s="456"/>
      <c r="BE42" s="456"/>
      <c r="BF42" s="456"/>
      <c r="BG42" s="456"/>
    </row>
    <row r="43" spans="1:59">
      <c r="X43" s="640"/>
      <c r="Y43" s="456"/>
      <c r="Z43" s="456"/>
      <c r="AA43" s="456"/>
      <c r="AB43" s="456"/>
      <c r="AC43" s="456"/>
      <c r="AD43" s="456"/>
      <c r="AE43" s="456"/>
      <c r="AF43" s="456"/>
      <c r="AG43" s="456"/>
      <c r="AH43" s="456"/>
      <c r="AI43" s="456"/>
      <c r="AJ43" s="456"/>
      <c r="AK43" s="456"/>
      <c r="AL43" s="456"/>
      <c r="AM43" s="456"/>
      <c r="AN43" s="456"/>
      <c r="AO43" s="456"/>
      <c r="AP43" s="456"/>
      <c r="AQ43" s="456"/>
      <c r="AR43" s="456"/>
      <c r="AS43" s="456"/>
      <c r="AT43" s="456"/>
      <c r="AU43" s="456"/>
      <c r="AV43" s="456"/>
      <c r="AW43" s="456"/>
      <c r="AX43" s="456"/>
      <c r="AY43" s="456"/>
      <c r="AZ43" s="456"/>
      <c r="BA43" s="456"/>
      <c r="BB43" s="456"/>
      <c r="BC43" s="456"/>
      <c r="BD43" s="456"/>
      <c r="BE43" s="456"/>
      <c r="BF43" s="456"/>
      <c r="BG43" s="456"/>
    </row>
    <row r="44" spans="1:59" ht="13.5" thickBot="1">
      <c r="A44" s="487"/>
      <c r="D44" s="357"/>
      <c r="X44" s="640"/>
      <c r="Y44" s="456"/>
      <c r="Z44" s="456"/>
      <c r="AA44" s="456"/>
      <c r="AB44" s="456"/>
      <c r="AC44" s="456"/>
      <c r="AD44" s="456"/>
      <c r="AE44" s="456"/>
      <c r="AF44" s="456"/>
      <c r="AG44" s="456"/>
      <c r="AH44" s="456"/>
      <c r="AI44" s="456"/>
      <c r="AJ44" s="456"/>
      <c r="AK44" s="456"/>
      <c r="AL44" s="456"/>
      <c r="AM44" s="456"/>
      <c r="AN44" s="456"/>
      <c r="AO44" s="456"/>
      <c r="AP44" s="456"/>
      <c r="AQ44" s="456"/>
      <c r="AR44" s="456"/>
      <c r="AS44" s="456"/>
      <c r="AT44" s="456"/>
      <c r="AU44" s="456"/>
      <c r="AV44" s="456"/>
      <c r="AW44" s="456"/>
      <c r="AX44" s="456"/>
      <c r="AY44" s="456"/>
      <c r="AZ44" s="456"/>
      <c r="BA44" s="456"/>
      <c r="BB44" s="456"/>
      <c r="BC44" s="456"/>
      <c r="BD44" s="456"/>
      <c r="BE44" s="456"/>
      <c r="BF44" s="456"/>
      <c r="BG44" s="456"/>
    </row>
    <row r="45" spans="1:59">
      <c r="D45" s="562" t="str">
        <f>D1</f>
        <v>Avispa Fukuoka</v>
      </c>
      <c r="E45" s="582" t="s">
        <v>162</v>
      </c>
      <c r="F45" s="583"/>
      <c r="G45" s="584"/>
      <c r="H45" s="583"/>
      <c r="I45" s="585"/>
      <c r="J45" s="584"/>
      <c r="K45" s="586"/>
      <c r="L45" s="641" t="s">
        <v>163</v>
      </c>
      <c r="M45" s="583"/>
      <c r="N45" s="584"/>
      <c r="O45" s="583"/>
      <c r="P45" s="585"/>
      <c r="Q45" s="583"/>
      <c r="R45" s="584"/>
      <c r="S45" s="582" t="s">
        <v>164</v>
      </c>
      <c r="T45" s="583"/>
      <c r="U45" s="584"/>
      <c r="V45" s="583"/>
      <c r="W45" s="587"/>
      <c r="X45" s="642"/>
      <c r="Y45" s="643"/>
      <c r="Z45" s="456"/>
      <c r="AA45" s="456"/>
      <c r="AB45" s="456"/>
      <c r="AC45" s="456"/>
      <c r="AD45" s="456"/>
      <c r="AE45" s="456"/>
      <c r="AF45" s="456"/>
      <c r="AG45" s="456"/>
      <c r="AH45" s="456"/>
      <c r="AI45" s="456"/>
      <c r="AJ45" s="456"/>
      <c r="AK45" s="456"/>
      <c r="AL45" s="456"/>
      <c r="AM45" s="456"/>
      <c r="AN45" s="456"/>
      <c r="AO45" s="456"/>
      <c r="AP45" s="456"/>
      <c r="AQ45" s="456"/>
      <c r="AR45" s="456"/>
      <c r="AS45" s="456"/>
      <c r="AT45" s="456"/>
      <c r="AU45" s="456"/>
      <c r="AV45" s="456"/>
      <c r="AW45" s="456"/>
      <c r="AX45" s="456"/>
      <c r="AY45" s="456"/>
      <c r="AZ45" s="456"/>
      <c r="BA45" s="456"/>
      <c r="BB45" s="456"/>
      <c r="BC45" s="456"/>
      <c r="BD45" s="456"/>
      <c r="BE45" s="456"/>
      <c r="BF45" s="456"/>
      <c r="BG45" s="456"/>
    </row>
    <row r="46" spans="1:59" ht="13.5" thickBot="1">
      <c r="D46" s="644" t="s">
        <v>165</v>
      </c>
      <c r="E46" s="590" t="s">
        <v>63</v>
      </c>
      <c r="F46" s="591"/>
      <c r="G46" s="645" t="s">
        <v>64</v>
      </c>
      <c r="H46" s="591"/>
      <c r="I46" s="645" t="s">
        <v>65</v>
      </c>
      <c r="J46" s="645"/>
      <c r="K46" s="646" t="s">
        <v>171</v>
      </c>
      <c r="L46" s="647" t="s">
        <v>63</v>
      </c>
      <c r="M46" s="591"/>
      <c r="N46" s="645" t="s">
        <v>64</v>
      </c>
      <c r="O46" s="591"/>
      <c r="P46" s="645" t="s">
        <v>65</v>
      </c>
      <c r="Q46" s="591"/>
      <c r="R46" s="646" t="s">
        <v>172</v>
      </c>
      <c r="S46" s="590" t="s">
        <v>63</v>
      </c>
      <c r="T46" s="591"/>
      <c r="U46" s="645" t="s">
        <v>64</v>
      </c>
      <c r="V46" s="648"/>
      <c r="W46" s="645" t="s">
        <v>65</v>
      </c>
      <c r="X46" s="649"/>
      <c r="Y46" s="650" t="s">
        <v>168</v>
      </c>
      <c r="Z46" s="456"/>
      <c r="AA46" s="456"/>
      <c r="AB46" s="456"/>
      <c r="AC46" s="456"/>
      <c r="AD46" s="456"/>
      <c r="AE46" s="456"/>
      <c r="AF46" s="456"/>
      <c r="AG46" s="456"/>
      <c r="AH46" s="456"/>
      <c r="AI46" s="456"/>
      <c r="AJ46" s="456"/>
      <c r="AK46" s="456"/>
      <c r="AL46" s="456"/>
      <c r="AM46" s="456"/>
      <c r="AN46" s="456"/>
      <c r="AO46" s="456"/>
      <c r="AP46" s="456"/>
      <c r="AQ46" s="456"/>
      <c r="AR46" s="456"/>
      <c r="AS46" s="456"/>
      <c r="AT46" s="456"/>
      <c r="AU46" s="456"/>
      <c r="AV46" s="456"/>
      <c r="AW46" s="456"/>
      <c r="AX46" s="456"/>
      <c r="AY46" s="456"/>
      <c r="AZ46" s="456"/>
      <c r="BA46" s="456"/>
      <c r="BB46" s="456"/>
      <c r="BC46" s="456"/>
      <c r="BD46" s="456"/>
      <c r="BE46" s="456"/>
      <c r="BF46" s="456"/>
      <c r="BG46" s="456"/>
    </row>
    <row r="47" spans="1:59" ht="13.5">
      <c r="B47" s="568"/>
      <c r="C47" s="357" t="str">
        <f>IF(D45=0,"N",D45)</f>
        <v>Avispa Fukuoka</v>
      </c>
      <c r="D47" s="651">
        <v>-2</v>
      </c>
      <c r="E47" s="599">
        <f ca="1">IF($C47="N","",SUM(IF((INDIRECT("'"&amp;$C47&amp;"'!$I$23:$I$200")=$D$5)*(INDIRECT("'"&amp;$C47&amp;"'!$H$23:$H$200")=$E$5)*(INDIRECT("'"&amp;$C47&amp;"'!$O$23:$O$200")&lt;=-2.25)*((INDIRECT("'"&amp;$C47&amp;"'!$J$23:$J$200")-INDIRECT("'"&amp;$C47&amp;"'!$K$23:$K$200"))&gt;2),1,0)))</f>
        <v>0</v>
      </c>
      <c r="F47" s="406" t="str">
        <f t="shared" ref="F47:F52" ca="1" si="31">IF(E47="","",IF(E47=0,"-",E47/$K47))</f>
        <v>-</v>
      </c>
      <c r="G47" s="408">
        <f t="array" aca="1" ref="G47" ca="1">IF($C47="N","",SUM(IF((INDIRECT("'"&amp;$C47&amp;"'!$I$23:$I$200")=$D$5)*(INDIRECT("'"&amp;$C47&amp;"'!$H$23:$H$200")=$E$5)*(INDIRECT("'"&amp;$C47&amp;"'!$O$23:$O$200")&lt;=-2.25)*((INDIRECT("'"&amp;$C47&amp;"'!$J$23:$J$200")-INDIRECT("'"&amp;$C47&amp;"'!$K$23:$K$200"))=2),1,0)))</f>
        <v>0</v>
      </c>
      <c r="H47" s="406" t="str">
        <f t="shared" ref="H47:H52" ca="1" si="32">IF(G47="","",IF(G47=0,"-",G47/$K47))</f>
        <v>-</v>
      </c>
      <c r="I47" s="408">
        <f t="array" aca="1" ref="I47" ca="1">IF($C47="N","",SUM(IF((INDIRECT("'"&amp;$C47&amp;"'!$I$23:$I$200")=$D$5)*(INDIRECT("'"&amp;$C47&amp;"'!$H$23:$H$200")=$E$5)*(INDIRECT("'"&amp;$C47&amp;"'!$O$23:$O$200")&lt;=-2.25)*((INDIRECT("'"&amp;$C47&amp;"'!$K$23:$K$200")-INDIRECT("'"&amp;$C47&amp;"'!$J$23:$J$200"))&gt;-2),1,0)))</f>
        <v>0</v>
      </c>
      <c r="J47" s="406" t="str">
        <f t="shared" ref="J47:J52" ca="1" si="33">IF(I47="","",IF(I47=0,"-",I47/$K47))</f>
        <v>-</v>
      </c>
      <c r="K47" s="602">
        <f ca="1">IF($C47="N","",E47+G47+I47)</f>
        <v>0</v>
      </c>
      <c r="L47" s="599">
        <f t="array" aca="1" ref="L47" ca="1">IF($C47="N","",SUM(IF((INDIRECT("'"&amp;$C47&amp;"'!$I$23:$I$200")=$D$5)*(INDIRECT("'"&amp;$C47&amp;"'!$H$23:$H$200")=$L$5)*(INDIRECT("'"&amp;$C47&amp;"'!$O$23:$O$200")&lt;=-2.25)*((INDIRECT("'"&amp;$C47&amp;"'!$J$23:$J$200")-INDIRECT("'"&amp;$C47&amp;"'!$K$23:$K$200"))&gt;2),1,0)))</f>
        <v>0</v>
      </c>
      <c r="M47" s="406" t="str">
        <f t="shared" ref="M47:M52" ca="1" si="34">IF(L47="","",IF(L47=0,"-",L47/$R47))</f>
        <v>-</v>
      </c>
      <c r="N47" s="408">
        <f t="array" aca="1" ref="N47" ca="1">IF($C47="N","",SUM(IF((INDIRECT("'"&amp;$C47&amp;"'!$I$23:$I$200")=$D$5)*(INDIRECT("'"&amp;$C47&amp;"'!$H$23:$H$200")=$L$5)*(INDIRECT("'"&amp;$C47&amp;"'!$O$23:$O$200")&lt;=-2.25)*((INDIRECT("'"&amp;$C47&amp;"'!$J$23:$J$200")-INDIRECT("'"&amp;$C47&amp;"'!$K$23:$K$200"))=2),1,0)))</f>
        <v>0</v>
      </c>
      <c r="O47" s="406" t="str">
        <f t="shared" ref="O47:O52" ca="1" si="35">IF(N47="","",IF(N47=0,"-",N47/$R47))</f>
        <v>-</v>
      </c>
      <c r="P47" s="408">
        <f t="array" aca="1" ref="P47" ca="1">IF($C47="N","",SUM(IF((INDIRECT("'"&amp;$C47&amp;"'!$I$23:$I$200")=$D$5)*(INDIRECT("'"&amp;$C47&amp;"'!$H$23:$H$200")=$L$5)*(INDIRECT("'"&amp;$C47&amp;"'!$O$23:$O$200")&lt;=-2.25)*((INDIRECT("'"&amp;$C47&amp;"'!$K$23:$K$200")-INDIRECT("'"&amp;$C47&amp;"'!$J$23:$J$200"))&gt;-2),1,0)))</f>
        <v>0</v>
      </c>
      <c r="Q47" s="406" t="str">
        <f t="shared" ref="Q47:Q52" ca="1" si="36">IF(P47="","",IF(P47=0,"-",P47/$R47))</f>
        <v>-</v>
      </c>
      <c r="R47" s="602">
        <f ca="1">IF($C47="N","",L47+N47+P47)</f>
        <v>0</v>
      </c>
      <c r="S47" s="599">
        <f ca="1">IF($C47="N","",L47+E47)</f>
        <v>0</v>
      </c>
      <c r="T47" s="406" t="str">
        <f t="shared" ref="T47:T52" ca="1" si="37">IF(S47="","",IF(S47=0,"-",S47/$Y47))</f>
        <v>-</v>
      </c>
      <c r="U47" s="408">
        <f ca="1">IF($C47="N","",N47+G47)</f>
        <v>0</v>
      </c>
      <c r="V47" s="406" t="str">
        <f t="shared" ref="V47:V52" ca="1" si="38">IF(U47="","",IF(U47=0,"-",U47/$Y47))</f>
        <v>-</v>
      </c>
      <c r="W47" s="408">
        <f ca="1">IF($C47="N","",P47+I47)</f>
        <v>0</v>
      </c>
      <c r="X47" s="652" t="str">
        <f t="shared" ref="X47:X52" ca="1" si="39">IF(W47="","",IF(W47=0,"-",W47/$Y47))</f>
        <v>-</v>
      </c>
      <c r="Y47" s="653">
        <f ca="1">IF($C47="N","",R47+K47)</f>
        <v>0</v>
      </c>
      <c r="Z47" s="456"/>
      <c r="AA47" s="230" t="s">
        <v>173</v>
      </c>
      <c r="AB47" s="456"/>
      <c r="AC47" s="456"/>
      <c r="AD47" s="456"/>
      <c r="AE47" s="456"/>
      <c r="AF47" s="456"/>
      <c r="AG47" s="456"/>
      <c r="AH47" s="456"/>
      <c r="AI47" s="456"/>
      <c r="AJ47" s="456"/>
      <c r="AK47" s="456"/>
      <c r="AL47" s="456"/>
      <c r="AM47" s="456"/>
      <c r="AN47" s="456"/>
      <c r="AO47" s="456"/>
      <c r="AP47" s="456"/>
      <c r="AQ47" s="456"/>
      <c r="AR47" s="456"/>
      <c r="AS47" s="456"/>
      <c r="AT47" s="456"/>
      <c r="AU47" s="456"/>
      <c r="AV47" s="456"/>
      <c r="AW47" s="456"/>
      <c r="AX47" s="456"/>
      <c r="AY47" s="456"/>
      <c r="AZ47" s="456"/>
      <c r="BA47" s="456"/>
      <c r="BB47" s="456"/>
      <c r="BC47" s="456"/>
      <c r="BD47" s="456"/>
      <c r="BE47" s="456"/>
      <c r="BF47" s="456"/>
      <c r="BG47" s="456"/>
    </row>
    <row r="48" spans="1:59">
      <c r="B48" s="568"/>
      <c r="C48" s="357" t="str">
        <f>C47</f>
        <v>Avispa Fukuoka</v>
      </c>
      <c r="D48" s="654">
        <v>-1</v>
      </c>
      <c r="E48" s="655">
        <f t="array" aca="1" ref="E48" ca="1">IF($C48="N","",SUM(IF((INDIRECT("'"&amp;$C47&amp;"'!$I$23:$I$200")=$D$5)*(INDIRECT("'"&amp;$C47&amp;"'!$H$23:$H$200")=$E$5)*(INDIRECT("'"&amp;$C47&amp;"'!$O$23:$O$200")&lt;=-0.5)*(INDIRECT("'"&amp;$C47&amp;"'!$O$23:$O$200")&gt;=-2)*((INDIRECT("'"&amp;$C47&amp;"'!$J$23:$J$200")-INDIRECT("'"&amp;$C47&amp;"'!$K$23:$K$200"))&gt;1),1,0)))</f>
        <v>2</v>
      </c>
      <c r="F48" s="601">
        <f t="shared" ca="1" si="31"/>
        <v>0.16666666666666666</v>
      </c>
      <c r="G48" s="418">
        <f t="array" aca="1" ref="G48" ca="1">IF($C48="N","",SUM(IF((INDIRECT("'"&amp;$C47&amp;"'!$I$23:$I$200")=$D$5)*(INDIRECT("'"&amp;$C47&amp;"'!$H$23:$H$200")=$E$5)*(INDIRECT("'"&amp;$C47&amp;"'!$O$23:$O$200")&lt;=-0.5)*(INDIRECT("'"&amp;$C47&amp;"'!$O$23:$O$200")&gt;=-2)*((INDIRECT("'"&amp;$C47&amp;"'!$J$23:$J$200")-INDIRECT("'"&amp;$C47&amp;"'!$K$23:$K$200"))=1),1,0)))</f>
        <v>4</v>
      </c>
      <c r="H48" s="601">
        <f t="shared" ca="1" si="32"/>
        <v>0.33333333333333331</v>
      </c>
      <c r="I48" s="418">
        <f t="array" aca="1" ref="I48" ca="1">IF($C48="N","",SUM(IF((INDIRECT("'"&amp;$C47&amp;"'!$I$23:$I$200")=$D$5)*(INDIRECT("'"&amp;$C47&amp;"'!$H$23:$H$200")=$E$5)*(INDIRECT("'"&amp;$C47&amp;"'!$O$23:$O$200")&lt;=-0.5)*(INDIRECT("'"&amp;$C47&amp;"'!$O$23:$O$200")&gt;=-2)*((INDIRECT("'"&amp;$C47&amp;"'!$K$23:$K$200")-INDIRECT("'"&amp;$C47&amp;"'!$J$23:$J$200"))&gt;-1),1,0)))</f>
        <v>6</v>
      </c>
      <c r="J48" s="601">
        <f t="shared" ca="1" si="33"/>
        <v>0.5</v>
      </c>
      <c r="K48" s="522">
        <f ca="1">IF($C48="N","",E48+G48+I48)</f>
        <v>12</v>
      </c>
      <c r="L48" s="655">
        <f t="array" aca="1" ref="L48" ca="1">IF($C48="N","",SUM(IF((INDIRECT("'"&amp;$C47&amp;"'!$I$23:$I$200")=$D$5)*(INDIRECT("'"&amp;$C47&amp;"'!$H$23:$H$200")=$L$5)*(INDIRECT("'"&amp;$C47&amp;"'!$O$23:$O$200")&lt;=-0.5)*(INDIRECT("'"&amp;$C47&amp;"'!$O$23:$O$200")&gt;=-2)*((INDIRECT("'"&amp;$C47&amp;"'!$J$23:$J$200")-INDIRECT("'"&amp;$C47&amp;"'!$K$23:$K$200"))&gt;1),1,0)))</f>
        <v>2</v>
      </c>
      <c r="M48" s="601">
        <f t="shared" ca="1" si="34"/>
        <v>0.33333333333333331</v>
      </c>
      <c r="N48" s="418">
        <f t="array" aca="1" ref="N48" ca="1">IF($C48="N","",SUM(IF((INDIRECT("'"&amp;$C47&amp;"'!$I$23:$I$200")=$D$5)*(INDIRECT("'"&amp;$C47&amp;"'!$H$23:$H$200")=$L$5)*(INDIRECT("'"&amp;$C47&amp;"'!$O$23:$O$200")&lt;=-0.5)*(INDIRECT("'"&amp;$C47&amp;"'!$O$23:$O$200")&gt;=-2)*((INDIRECT("'"&amp;$C47&amp;"'!$J$23:$J$200")-INDIRECT("'"&amp;$C47&amp;"'!$K$23:$K$200"))=1),1,0)))</f>
        <v>1</v>
      </c>
      <c r="O48" s="601">
        <f t="shared" ca="1" si="35"/>
        <v>0.16666666666666666</v>
      </c>
      <c r="P48" s="418">
        <f t="array" aca="1" ref="P48" ca="1">IF($C48="N","",SUM(IF((INDIRECT("'"&amp;$C47&amp;"'!$I$23:$I$200")=$D$5)*(INDIRECT("'"&amp;$C47&amp;"'!$H$23:$H$200")=$L$5)*(INDIRECT("'"&amp;$C47&amp;"'!$O$23:$O$200")&lt;=-0.5)*(INDIRECT("'"&amp;$C47&amp;"'!$O$23:$O$200")&gt;=-2)*((INDIRECT("'"&amp;$C47&amp;"'!$K$23:$K$200")-INDIRECT("'"&amp;$C47&amp;"'!$J$23:$J$200"))&gt;-1),1,0)))</f>
        <v>3</v>
      </c>
      <c r="Q48" s="601">
        <f t="shared" ca="1" si="36"/>
        <v>0.5</v>
      </c>
      <c r="R48" s="522">
        <f ca="1">IF($C48="N","",L48+N48+P48)</f>
        <v>6</v>
      </c>
      <c r="S48" s="655">
        <f ca="1">IF($C48="N","",L48+E48)</f>
        <v>4</v>
      </c>
      <c r="T48" s="601">
        <f t="shared" ca="1" si="37"/>
        <v>0.22222222222222221</v>
      </c>
      <c r="U48" s="418">
        <f ca="1">IF($C48="N","",N48+G48)</f>
        <v>5</v>
      </c>
      <c r="V48" s="601">
        <f t="shared" ca="1" si="38"/>
        <v>0.27777777777777779</v>
      </c>
      <c r="W48" s="418">
        <f ca="1">IF($C48="N","",P48+I48)</f>
        <v>9</v>
      </c>
      <c r="X48" s="656">
        <f t="shared" ca="1" si="39"/>
        <v>0.5</v>
      </c>
      <c r="Y48" s="653">
        <f ca="1">IF($C48="N","",R48+K48)</f>
        <v>18</v>
      </c>
      <c r="Z48" s="456"/>
      <c r="AA48" s="456"/>
      <c r="AB48" s="456"/>
      <c r="AC48" s="456"/>
      <c r="AD48" s="456"/>
      <c r="AE48" s="456"/>
      <c r="AF48" s="456"/>
      <c r="AG48" s="456"/>
      <c r="AH48" s="456"/>
      <c r="AI48" s="456"/>
      <c r="AJ48" s="456"/>
      <c r="AK48" s="456"/>
      <c r="AL48" s="456"/>
      <c r="AM48" s="456"/>
      <c r="AN48" s="456"/>
      <c r="AO48" s="456"/>
      <c r="AP48" s="456"/>
      <c r="AQ48" s="456"/>
      <c r="AR48" s="456"/>
      <c r="AS48" s="456"/>
      <c r="AT48" s="456"/>
      <c r="AU48" s="456"/>
      <c r="AV48" s="456"/>
      <c r="AW48" s="456"/>
      <c r="AX48" s="456"/>
      <c r="AY48" s="456"/>
      <c r="AZ48" s="456"/>
      <c r="BA48" s="456"/>
      <c r="BB48" s="456"/>
      <c r="BC48" s="456"/>
      <c r="BD48" s="456"/>
      <c r="BE48" s="456"/>
      <c r="BF48" s="456"/>
      <c r="BG48" s="456"/>
    </row>
    <row r="49" spans="2:59">
      <c r="B49" s="568"/>
      <c r="C49" s="357" t="str">
        <f>C48</f>
        <v>Avispa Fukuoka</v>
      </c>
      <c r="D49" s="654">
        <v>0</v>
      </c>
      <c r="E49" s="655">
        <f t="array" aca="1" ref="E49" ca="1">IF($C49="N","",SUM(IF((INDIRECT("'"&amp;$C47&amp;"'!$I$23:$I$200")=$D$5)*(INDIRECT("'"&amp;$C47&amp;"'!$H$23:$H$200")=$E$5)*(INDIRECT("'"&amp;$C47&amp;"'!$O$23:$O$200")&gt;=-0.25)*(INDIRECT("'"&amp;$C47&amp;"'!$O$23:$O$200")&lt;=0.25)*(INDIRECT("'"&amp;$C47&amp;"'!$O$23:$O$200")&lt;&gt;"")*((INDIRECT("'"&amp;$C47&amp;"'!$J$23:$J$200")-INDIRECT("'"&amp;$C47&amp;"'!$K$23:$K$200"))&gt;0),1,0)))</f>
        <v>4</v>
      </c>
      <c r="F49" s="601">
        <f t="shared" ca="1" si="31"/>
        <v>0.44444444444444442</v>
      </c>
      <c r="G49" s="418">
        <f t="array" aca="1" ref="G49" ca="1">IF($C49="N","",SUM(IF((INDIRECT("'"&amp;$C47&amp;"'!$I$23:$I$200")=$D$5)*(INDIRECT("'"&amp;$C47&amp;"'!$H$23:$H$200")=$E$5)*(INDIRECT("'"&amp;$C47&amp;"'!$O$23:$O$200")&gt;=-0.25)*(INDIRECT("'"&amp;$C47&amp;"'!$O$23:$O$200")&lt;=0.25)*(INDIRECT("'"&amp;$C47&amp;"'!$O$23:$O$200")&lt;&gt;"")*((INDIRECT("'"&amp;$C47&amp;"'!$J$23:$J$200")-INDIRECT("'"&amp;$C47&amp;"'!$K$23:$K$200"))=0),1,0)))</f>
        <v>1</v>
      </c>
      <c r="H49" s="601">
        <f t="shared" ca="1" si="32"/>
        <v>0.1111111111111111</v>
      </c>
      <c r="I49" s="418">
        <f t="array" aca="1" ref="I49" ca="1">IF($C49="N","",SUM(IF((INDIRECT("'"&amp;$C47&amp;"'!$I$23:$I$200")=$D$5)*(INDIRECT("'"&amp;$C47&amp;"'!$H$23:$H$200")=$E$5)*(INDIRECT("'"&amp;$C47&amp;"'!$O$23:$O$200")&gt;=-0.25)*(INDIRECT("'"&amp;$C47&amp;"'!$O$23:$O$200")&lt;=0.25)*(INDIRECT("'"&amp;$C47&amp;"'!$O$23:$O$200")&lt;&gt;"")*((INDIRECT("'"&amp;$C47&amp;"'!$J$23:$J$200")-INDIRECT("'"&amp;$C47&amp;"'!$K$23:$K$200"))&lt;0),1,0)))</f>
        <v>4</v>
      </c>
      <c r="J49" s="601">
        <f t="shared" ca="1" si="33"/>
        <v>0.44444444444444442</v>
      </c>
      <c r="K49" s="522">
        <f ca="1">IF($C49="N","",E49+G49+I49)</f>
        <v>9</v>
      </c>
      <c r="L49" s="655">
        <f t="array" aca="1" ref="L49" ca="1">IF($C49="N","",SUM(IF((INDIRECT("'"&amp;$C47&amp;"'!$I$23:$I$200")=$D$5)*(INDIRECT("'"&amp;$C47&amp;"'!$H$23:$H$200")=$L$5)*(INDIRECT("'"&amp;$C47&amp;"'!$O$23:$O$200")&gt;=-0.25)*(INDIRECT("'"&amp;$C47&amp;"'!$O$23:$O$200")&lt;=0.25)*(INDIRECT("'"&amp;$C47&amp;"'!$O$23:$O$200")&lt;&gt;"")*((INDIRECT("'"&amp;$C47&amp;"'!$J$23:$J$200")-INDIRECT("'"&amp;$C47&amp;"'!$K$23:$K$200"))&gt;0),1,0)))</f>
        <v>8</v>
      </c>
      <c r="M49" s="601">
        <f t="shared" ca="1" si="34"/>
        <v>0.53333333333333333</v>
      </c>
      <c r="N49" s="418">
        <f t="array" aca="1" ref="N49" ca="1">IF($C49="N","",SUM(IF((INDIRECT("'"&amp;$C47&amp;"'!$I$23:$I$200")=$D$5)*(INDIRECT("'"&amp;$C47&amp;"'!$H$23:$H$200")=$L$5)*(INDIRECT("'"&amp;$C47&amp;"'!$O$23:$O$200")&gt;=-0.25)*(INDIRECT("'"&amp;$C47&amp;"'!$O$23:$O$200")&lt;=0.25)*(INDIRECT("'"&amp;$C47&amp;"'!$O$23:$O$200")&lt;&gt;"")*((INDIRECT("'"&amp;$C47&amp;"'!$J$23:$J$200")-INDIRECT("'"&amp;$C47&amp;"'!$K$23:$K$200"))=0),1,0)))</f>
        <v>5</v>
      </c>
      <c r="O49" s="601">
        <f t="shared" ca="1" si="35"/>
        <v>0.33333333333333331</v>
      </c>
      <c r="P49" s="418">
        <f t="array" aca="1" ref="P49" ca="1">IF($C49="N","",SUM(IF((INDIRECT("'"&amp;$C47&amp;"'!$I$23:$I$200")=$D$5)*(INDIRECT("'"&amp;$C47&amp;"'!$H$23:$H$200")=$L$5)*(INDIRECT("'"&amp;$C47&amp;"'!$O$23:$O$200")&gt;=-0.25)*(INDIRECT("'"&amp;$C47&amp;"'!$O$23:$O$200")&lt;=0.25)*(INDIRECT("'"&amp;$C47&amp;"'!$O$23:$O$200")&lt;&gt;"")*((INDIRECT("'"&amp;$C47&amp;"'!$J$23:$J$200")-INDIRECT("'"&amp;$C47&amp;"'!$K$23:$K$200"))&lt;0),1,0)))</f>
        <v>2</v>
      </c>
      <c r="Q49" s="601">
        <f t="shared" ca="1" si="36"/>
        <v>0.13333333333333333</v>
      </c>
      <c r="R49" s="522">
        <f ca="1">IF($C49="N","",L49+N49+P49)</f>
        <v>15</v>
      </c>
      <c r="S49" s="655">
        <f ca="1">IF($C49="N","",L49+E49)</f>
        <v>12</v>
      </c>
      <c r="T49" s="601">
        <f t="shared" ca="1" si="37"/>
        <v>0.5</v>
      </c>
      <c r="U49" s="418">
        <f ca="1">IF($C49="N","",N49+G49)</f>
        <v>6</v>
      </c>
      <c r="V49" s="601">
        <f t="shared" ca="1" si="38"/>
        <v>0.25</v>
      </c>
      <c r="W49" s="418">
        <f ca="1">IF($C49="N","",P49+I49)</f>
        <v>6</v>
      </c>
      <c r="X49" s="656">
        <f t="shared" ca="1" si="39"/>
        <v>0.25</v>
      </c>
      <c r="Y49" s="653">
        <f ca="1">IF($C49="N","",R49+K49)</f>
        <v>24</v>
      </c>
      <c r="Z49" s="456"/>
      <c r="AA49" s="456"/>
      <c r="AB49" s="456"/>
      <c r="AC49" s="456"/>
      <c r="AD49" s="456"/>
      <c r="AE49" s="456"/>
      <c r="AF49" s="456"/>
      <c r="AG49" s="456"/>
      <c r="AH49" s="456"/>
      <c r="AI49" s="456"/>
      <c r="AJ49" s="456"/>
      <c r="AK49" s="456"/>
      <c r="AL49" s="456"/>
      <c r="AM49" s="456"/>
      <c r="AN49" s="456"/>
      <c r="AO49" s="456"/>
      <c r="AP49" s="456"/>
      <c r="AQ49" s="456"/>
      <c r="AR49" s="456"/>
      <c r="AS49" s="456"/>
      <c r="AT49" s="456"/>
      <c r="AU49" s="456"/>
      <c r="AV49" s="456"/>
      <c r="AW49" s="456"/>
      <c r="AX49" s="456"/>
      <c r="AY49" s="456"/>
      <c r="AZ49" s="456"/>
      <c r="BA49" s="456"/>
      <c r="BB49" s="456"/>
      <c r="BC49" s="456"/>
      <c r="BD49" s="456"/>
      <c r="BE49" s="456"/>
      <c r="BF49" s="456"/>
      <c r="BG49" s="456"/>
    </row>
    <row r="50" spans="2:59">
      <c r="B50" s="568"/>
      <c r="C50" s="357" t="str">
        <f>C49</f>
        <v>Avispa Fukuoka</v>
      </c>
      <c r="D50" s="654">
        <v>1</v>
      </c>
      <c r="E50" s="655">
        <f t="array" aca="1" ref="E50" ca="1">IF($C50="N","",SUM(IF((INDIRECT("'"&amp;$C47&amp;"'!$I$23:$I$200")=$D$5)*(INDIRECT("'"&amp;$C47&amp;"'!$H$23:$H$200")=$E$5)*(INDIRECT("'"&amp;$C47&amp;"'!$O$23:$O$200")&gt;=0.5)*(INDIRECT("'"&amp;$C47&amp;"'!$O$23:$O$200")&lt;=2)*((INDIRECT("'"&amp;$C47&amp;"'!$J$23:$J$200")-INDIRECT("'"&amp;$C47&amp;"'!$K$23:$K$200"))&gt;-1),1,0)))</f>
        <v>0</v>
      </c>
      <c r="F50" s="601" t="str">
        <f t="shared" ca="1" si="31"/>
        <v>-</v>
      </c>
      <c r="G50" s="418">
        <f t="array" aca="1" ref="G50" ca="1">IF($C50="N","",SUM(IF((INDIRECT("'"&amp;$C47&amp;"'!$I$23:$I$200")=$D$5)*(INDIRECT("'"&amp;$C47&amp;"'!$H$23:$H$200")=$E$5)*(INDIRECT("'"&amp;$C47&amp;"'!$O$23:$O$200")&gt;=0.5)*(INDIRECT("'"&amp;$C47&amp;"'!$O$23:$O$200")&lt;=2)*((INDIRECT("'"&amp;$C47&amp;"'!$J$23:$J$200")-INDIRECT("'"&amp;$C47&amp;"'!$K$23:$K$200"))=-1),1,0)))</f>
        <v>0</v>
      </c>
      <c r="H50" s="601" t="str">
        <f t="shared" ca="1" si="32"/>
        <v>-</v>
      </c>
      <c r="I50" s="418">
        <f t="array" aca="1" ref="I50" ca="1">IF($C50="N","",SUM(IF((INDIRECT("'"&amp;$C47&amp;"'!$I$23:$I$200")=$D$5)*(INDIRECT("'"&amp;$C47&amp;"'!$H$23:$H$200")=$E$5)*(INDIRECT("'"&amp;$C47&amp;"'!$O$23:$O$200")&gt;=0.5)*(INDIRECT("'"&amp;$C47&amp;"'!$O$23:$O$200")&lt;=2)*((INDIRECT("'"&amp;$C47&amp;"'!$J$23:$J$200")-INDIRECT("'"&amp;$C47&amp;"'!$K$23:$K$200"))&lt;-1),1,0)))</f>
        <v>0</v>
      </c>
      <c r="J50" s="601" t="str">
        <f t="shared" ca="1" si="33"/>
        <v>-</v>
      </c>
      <c r="K50" s="522">
        <f ca="1">IF($C50="N","",E50+G50+I50)</f>
        <v>0</v>
      </c>
      <c r="L50" s="655">
        <f t="array" aca="1" ref="L50" ca="1">IF($C50="N","",SUM(IF((INDIRECT("'"&amp;$C47&amp;"'!$I$23:$I$200")=$D$5)*(INDIRECT("'"&amp;$C47&amp;"'!$H$23:$H$200")=$L$5)*(INDIRECT("'"&amp;$C47&amp;"'!$O$23:$O$200")&gt;=0.5)*(INDIRECT("'"&amp;$C47&amp;"'!$O$23:$O$200")&lt;=2)*((INDIRECT("'"&amp;$C47&amp;"'!$J$23:$J$200")-INDIRECT("'"&amp;$C47&amp;"'!$K$23:$K$200"))&gt;-1),1,0)))</f>
        <v>0</v>
      </c>
      <c r="M50" s="601" t="str">
        <f t="shared" ca="1" si="34"/>
        <v>-</v>
      </c>
      <c r="N50" s="418">
        <f t="array" aca="1" ref="N50" ca="1">IF($C50="N","",SUM(IF((INDIRECT("'"&amp;$C47&amp;"'!$I$23:$I$200")=$D$5)*(INDIRECT("'"&amp;$C47&amp;"'!$H$23:$H$200")=$L$5)*(INDIRECT("'"&amp;$C47&amp;"'!$O$23:$O$200")&gt;=0.5)*(INDIRECT("'"&amp;$C47&amp;"'!$O$23:$O$200")&lt;=2)*((INDIRECT("'"&amp;$C47&amp;"'!$J$23:$J$200")-INDIRECT("'"&amp;$C47&amp;"'!$K$23:$K$200"))=-1),1,0)))</f>
        <v>0</v>
      </c>
      <c r="O50" s="601" t="str">
        <f t="shared" ca="1" si="35"/>
        <v>-</v>
      </c>
      <c r="P50" s="418">
        <f t="array" aca="1" ref="P50" ca="1">IF($C50="N","",SUM(IF((INDIRECT("'"&amp;$C47&amp;"'!$I$23:$I$200")=$D$5)*(INDIRECT("'"&amp;$C47&amp;"'!$H$23:$H$200")=$L$5)*(INDIRECT("'"&amp;$C47&amp;"'!$O$23:$O$200")&gt;=0.5)*(INDIRECT("'"&amp;$C47&amp;"'!$O$23:$O$200")&lt;=2)*((INDIRECT("'"&amp;$C47&amp;"'!$J$23:$J$200")-INDIRECT("'"&amp;$C47&amp;"'!$K$23:$K$200"))&lt;-1),1,0)))</f>
        <v>0</v>
      </c>
      <c r="Q50" s="601" t="str">
        <f t="shared" ca="1" si="36"/>
        <v>-</v>
      </c>
      <c r="R50" s="522">
        <f ca="1">IF($C50="N","",L50+N50+P50)</f>
        <v>0</v>
      </c>
      <c r="S50" s="655">
        <f ca="1">IF($C50="N","",L50+E50)</f>
        <v>0</v>
      </c>
      <c r="T50" s="601" t="str">
        <f t="shared" ca="1" si="37"/>
        <v>-</v>
      </c>
      <c r="U50" s="418">
        <f ca="1">IF($C50="N","",N50+G50)</f>
        <v>0</v>
      </c>
      <c r="V50" s="601" t="str">
        <f t="shared" ca="1" si="38"/>
        <v>-</v>
      </c>
      <c r="W50" s="418">
        <f ca="1">IF($C50="N","",P50+I50)</f>
        <v>0</v>
      </c>
      <c r="X50" s="656" t="str">
        <f t="shared" ca="1" si="39"/>
        <v>-</v>
      </c>
      <c r="Y50" s="653">
        <f ca="1">IF($C50="N","",R50+K50)</f>
        <v>0</v>
      </c>
      <c r="Z50" s="456"/>
      <c r="AA50" s="456"/>
      <c r="AB50" s="456"/>
      <c r="AC50" s="456"/>
      <c r="AD50" s="456"/>
      <c r="AE50" s="456"/>
      <c r="AF50" s="456"/>
      <c r="AG50" s="456"/>
      <c r="AH50" s="456"/>
      <c r="AI50" s="456"/>
      <c r="AJ50" s="456"/>
      <c r="AK50" s="456"/>
      <c r="AL50" s="456"/>
      <c r="AM50" s="456"/>
      <c r="AN50" s="456"/>
      <c r="AO50" s="456"/>
      <c r="AP50" s="456"/>
      <c r="AQ50" s="456"/>
      <c r="AR50" s="456"/>
      <c r="AS50" s="456"/>
      <c r="AT50" s="456"/>
      <c r="AU50" s="456"/>
      <c r="AV50" s="456"/>
      <c r="AW50" s="456"/>
      <c r="AX50" s="456"/>
      <c r="AY50" s="456"/>
      <c r="AZ50" s="456"/>
      <c r="BA50" s="456"/>
      <c r="BB50" s="456"/>
      <c r="BC50" s="456"/>
      <c r="BD50" s="456"/>
      <c r="BE50" s="456"/>
      <c r="BF50" s="456"/>
      <c r="BG50" s="456"/>
    </row>
    <row r="51" spans="2:59" ht="13.5" thickBot="1">
      <c r="B51" s="568"/>
      <c r="C51" s="357" t="str">
        <f>C50</f>
        <v>Avispa Fukuoka</v>
      </c>
      <c r="D51" s="654">
        <v>2</v>
      </c>
      <c r="E51" s="657">
        <f t="array" aca="1" ref="E51" ca="1">IF($C51="N","",SUM(IF((INDIRECT("'"&amp;$C47&amp;"'!$I$23:$I$200")=$D$5)*(INDIRECT("'"&amp;$C47&amp;"'!$H$23:$H$200")=$E$5)*(INDIRECT("'"&amp;$C47&amp;"'!$O$23:$O$200")&gt;=2.25)*((INDIRECT("'"&amp;$C47&amp;"'!$J$23:$J$200")-INDIRECT("'"&amp;$C47&amp;"'!$K$23:$K$200"))&gt;-2),1,0)))</f>
        <v>0</v>
      </c>
      <c r="F51" s="605" t="str">
        <f t="shared" ca="1" si="31"/>
        <v>-</v>
      </c>
      <c r="G51" s="658">
        <f t="array" aca="1" ref="G51" ca="1">IF($C51="N","",SUM(IF((INDIRECT("'"&amp;$C47&amp;"'!$I$23:$I$200")=$D$5)*(INDIRECT("'"&amp;$C47&amp;"'!$H$23:$H$200")=$E$5)*(INDIRECT("'"&amp;$C47&amp;"'!$O$23:$O$200")&gt;=2.25)*((INDIRECT("'"&amp;$C47&amp;"'!$J$23:$J$200")-INDIRECT("'"&amp;$C47&amp;"'!$K$23:$K$200"))=-2),1,0)))</f>
        <v>0</v>
      </c>
      <c r="H51" s="605" t="str">
        <f t="shared" ca="1" si="32"/>
        <v>-</v>
      </c>
      <c r="I51" s="658">
        <f t="array" aca="1" ref="I51" ca="1">IF($C51="N","",SUM(IF((INDIRECT("'"&amp;$C47&amp;"'!$I$23:$I$200")=$D$5)*(INDIRECT("'"&amp;$C47&amp;"'!$H$23:$H$200")=$E$5)*(INDIRECT("'"&amp;$C47&amp;"'!$O$23:$O$200")&gt;=2.25)*((INDIRECT("'"&amp;$C47&amp;"'!$J$23:$J$200")-INDIRECT("'"&amp;$C47&amp;"'!$K$23:$K$200"))&lt;-2),1,0)))</f>
        <v>0</v>
      </c>
      <c r="J51" s="605" t="str">
        <f t="shared" ca="1" si="33"/>
        <v>-</v>
      </c>
      <c r="K51" s="659">
        <f ca="1">IF($C51="N","",E51+G51+I51)</f>
        <v>0</v>
      </c>
      <c r="L51" s="657">
        <f t="array" aca="1" ref="L51" ca="1">IF($C51="N","",SUM(IF((INDIRECT("'"&amp;$C47&amp;"'!$I$23:$I$200")=$D$5)*(INDIRECT("'"&amp;$C47&amp;"'!$H$23:$H$200")=$L$5)*(INDIRECT("'"&amp;$C47&amp;"'!$O$23:$O$200")&gt;=2.25)*((INDIRECT("'"&amp;$C47&amp;"'!$J$23:$J$200")-INDIRECT("'"&amp;$C47&amp;"'!$K$23:$K$200"))&gt;-2),1,0)))</f>
        <v>0</v>
      </c>
      <c r="M51" s="605" t="str">
        <f t="shared" ca="1" si="34"/>
        <v>-</v>
      </c>
      <c r="N51" s="658">
        <f t="array" aca="1" ref="N51" ca="1">IF($C51="N","",SUM(IF((INDIRECT("'"&amp;$C47&amp;"'!$I$23:$I$200")=$D$5)*(INDIRECT("'"&amp;$C47&amp;"'!$H$23:$H$200")=$L$5)*(INDIRECT("'"&amp;$C47&amp;"'!$O$23:$O$200")&gt;=2.25)*((INDIRECT("'"&amp;$C47&amp;"'!$J$23:$J$200")-INDIRECT("'"&amp;$C47&amp;"'!$K$23:$K$200"))=-2),1,0)))</f>
        <v>0</v>
      </c>
      <c r="O51" s="605" t="str">
        <f t="shared" ca="1" si="35"/>
        <v>-</v>
      </c>
      <c r="P51" s="658">
        <f t="array" aca="1" ref="P51" ca="1">IF($C51="N","",SUM(IF((INDIRECT("'"&amp;$C47&amp;"'!$I$23:$I$200")=$D$5)*(INDIRECT("'"&amp;$C47&amp;"'!$H$23:$H$200")=$L$5)*(INDIRECT("'"&amp;$C47&amp;"'!$O$23:$O$200")&gt;=2.25)*((INDIRECT("'"&amp;$C47&amp;"'!$J$23:$J$200")-INDIRECT("'"&amp;$C47&amp;"'!$K$23:$K$200"))&lt;-2),1,0)))</f>
        <v>0</v>
      </c>
      <c r="Q51" s="605" t="str">
        <f t="shared" ca="1" si="36"/>
        <v>-</v>
      </c>
      <c r="R51" s="659">
        <f ca="1">IF($C51="N","",L51+N51+P51)</f>
        <v>0</v>
      </c>
      <c r="S51" s="657">
        <f ca="1">IF($C51="N","",L51+E51)</f>
        <v>0</v>
      </c>
      <c r="T51" s="605" t="str">
        <f t="shared" ca="1" si="37"/>
        <v>-</v>
      </c>
      <c r="U51" s="658">
        <f ca="1">IF($C51="N","",N51+G51)</f>
        <v>0</v>
      </c>
      <c r="V51" s="605" t="str">
        <f t="shared" ca="1" si="38"/>
        <v>-</v>
      </c>
      <c r="W51" s="658">
        <f ca="1">IF($C51="N","",P51+I51)</f>
        <v>0</v>
      </c>
      <c r="X51" s="660" t="str">
        <f t="shared" ca="1" si="39"/>
        <v>-</v>
      </c>
      <c r="Y51" s="531">
        <f ca="1">IF($C51="N","",R51+K51)</f>
        <v>0</v>
      </c>
      <c r="Z51" s="456"/>
      <c r="AA51" s="456"/>
      <c r="AB51" s="456"/>
      <c r="AC51" s="456"/>
      <c r="AD51" s="456"/>
      <c r="AE51" s="456"/>
      <c r="AF51" s="456"/>
      <c r="AG51" s="456"/>
      <c r="AH51" s="456"/>
      <c r="AI51" s="456"/>
      <c r="AJ51" s="456"/>
      <c r="AK51" s="456"/>
      <c r="AL51" s="456"/>
      <c r="AM51" s="456"/>
      <c r="AN51" s="456"/>
      <c r="AO51" s="456"/>
      <c r="AP51" s="456"/>
      <c r="AQ51" s="456"/>
      <c r="AR51" s="456"/>
      <c r="AS51" s="456"/>
      <c r="AT51" s="456"/>
      <c r="AU51" s="456"/>
      <c r="AV51" s="456"/>
      <c r="AW51" s="456"/>
      <c r="AX51" s="456"/>
      <c r="AY51" s="456"/>
      <c r="AZ51" s="456"/>
      <c r="BA51" s="456"/>
      <c r="BB51" s="456"/>
      <c r="BC51" s="456"/>
      <c r="BD51" s="456"/>
      <c r="BE51" s="456"/>
      <c r="BF51" s="456"/>
      <c r="BG51" s="456"/>
    </row>
    <row r="52" spans="2:59" ht="13.5" thickBot="1">
      <c r="B52" s="568" t="str">
        <f>D45</f>
        <v>Avispa Fukuoka</v>
      </c>
      <c r="D52" s="661" t="s">
        <v>115</v>
      </c>
      <c r="E52" s="481">
        <f ca="1">SUM(E47:E51)</f>
        <v>6</v>
      </c>
      <c r="F52" s="435">
        <f t="shared" ca="1" si="31"/>
        <v>0.2857142857142857</v>
      </c>
      <c r="G52" s="438">
        <f ca="1">SUM(G47:G51)</f>
        <v>5</v>
      </c>
      <c r="H52" s="435">
        <f t="shared" ca="1" si="32"/>
        <v>0.23809523809523808</v>
      </c>
      <c r="I52" s="438">
        <f ca="1">SUM(I47:I51)</f>
        <v>10</v>
      </c>
      <c r="J52" s="435">
        <f t="shared" ca="1" si="33"/>
        <v>0.47619047619047616</v>
      </c>
      <c r="K52" s="479">
        <f ca="1">SUM(K47:K51)</f>
        <v>21</v>
      </c>
      <c r="L52" s="662">
        <f ca="1">SUM(L47:L51)</f>
        <v>10</v>
      </c>
      <c r="M52" s="435">
        <f t="shared" ca="1" si="34"/>
        <v>0.47619047619047616</v>
      </c>
      <c r="N52" s="438">
        <f ca="1">SUM(N47:N51)</f>
        <v>6</v>
      </c>
      <c r="O52" s="435">
        <f t="shared" ca="1" si="35"/>
        <v>0.2857142857142857</v>
      </c>
      <c r="P52" s="438">
        <f ca="1">SUM(P47:P51)</f>
        <v>5</v>
      </c>
      <c r="Q52" s="435">
        <f t="shared" ca="1" si="36"/>
        <v>0.23809523809523808</v>
      </c>
      <c r="R52" s="480">
        <f ca="1">SUM(R47:R51)</f>
        <v>21</v>
      </c>
      <c r="S52" s="481">
        <f ca="1">SUM(S47:S51)</f>
        <v>16</v>
      </c>
      <c r="T52" s="435">
        <f t="shared" ca="1" si="37"/>
        <v>0.38095238095238093</v>
      </c>
      <c r="U52" s="438">
        <f ca="1">SUM(U47:U51)</f>
        <v>11</v>
      </c>
      <c r="V52" s="435">
        <f t="shared" ca="1" si="38"/>
        <v>0.26190476190476192</v>
      </c>
      <c r="W52" s="438">
        <f ca="1">SUM(W47:W51)</f>
        <v>15</v>
      </c>
      <c r="X52" s="638">
        <f t="shared" ca="1" si="39"/>
        <v>0.35714285714285715</v>
      </c>
      <c r="Y52" s="639">
        <f ca="1">SUM(Y47:Y51)</f>
        <v>42</v>
      </c>
      <c r="Z52" s="456"/>
      <c r="AA52" s="456"/>
      <c r="AB52" s="456"/>
      <c r="AC52" s="456"/>
      <c r="AD52" s="456"/>
      <c r="AE52" s="456"/>
      <c r="AF52" s="456"/>
      <c r="AG52" s="456"/>
      <c r="AH52" s="456"/>
      <c r="AI52" s="456"/>
      <c r="AJ52" s="456"/>
      <c r="AK52" s="456"/>
      <c r="AL52" s="456"/>
      <c r="AM52" s="456"/>
      <c r="AN52" s="456"/>
      <c r="AO52" s="456"/>
      <c r="AP52" s="456"/>
      <c r="AQ52" s="456"/>
      <c r="AR52" s="456"/>
      <c r="AS52" s="456"/>
      <c r="AT52" s="456"/>
      <c r="AU52" s="456"/>
      <c r="AV52" s="456"/>
      <c r="AW52" s="456"/>
      <c r="AX52" s="456"/>
      <c r="AY52" s="456"/>
      <c r="AZ52" s="456"/>
      <c r="BA52" s="456"/>
      <c r="BB52" s="456"/>
      <c r="BC52" s="456"/>
      <c r="BD52" s="456"/>
      <c r="BE52" s="456"/>
      <c r="BF52" s="456"/>
      <c r="BG52" s="456"/>
    </row>
    <row r="53" spans="2:59" ht="13.5" thickBot="1">
      <c r="B53" s="568"/>
      <c r="D53" s="574"/>
      <c r="E53" s="575"/>
      <c r="F53" s="663"/>
      <c r="G53" s="575"/>
      <c r="H53" s="663"/>
      <c r="I53" s="574"/>
      <c r="J53" s="574"/>
      <c r="K53" s="574"/>
      <c r="L53" s="575"/>
      <c r="M53" s="663"/>
      <c r="N53" s="575"/>
      <c r="O53" s="663"/>
      <c r="P53" s="574"/>
      <c r="Q53" s="664"/>
      <c r="R53" s="574"/>
      <c r="S53" s="574"/>
      <c r="T53" s="664"/>
      <c r="U53" s="574"/>
      <c r="V53" s="664"/>
      <c r="W53" s="574"/>
      <c r="X53" s="665"/>
      <c r="Y53" s="456"/>
      <c r="Z53" s="456"/>
      <c r="AA53" s="456"/>
      <c r="AB53" s="456"/>
      <c r="AC53" s="456"/>
      <c r="AD53" s="456"/>
      <c r="AE53" s="456"/>
      <c r="AF53" s="456"/>
      <c r="AG53" s="456"/>
      <c r="AH53" s="456"/>
      <c r="AI53" s="456"/>
      <c r="AJ53" s="456"/>
      <c r="AK53" s="456"/>
      <c r="AL53" s="456"/>
      <c r="AM53" s="456"/>
      <c r="AN53" s="456"/>
      <c r="AO53" s="456"/>
      <c r="AP53" s="456"/>
      <c r="AQ53" s="456"/>
      <c r="AR53" s="456"/>
      <c r="AS53" s="456"/>
      <c r="AT53" s="456"/>
      <c r="AU53" s="456"/>
      <c r="AV53" s="456"/>
      <c r="AW53" s="456"/>
      <c r="AX53" s="456"/>
      <c r="AY53" s="456"/>
      <c r="AZ53" s="456"/>
      <c r="BA53" s="456"/>
      <c r="BB53" s="456"/>
      <c r="BC53" s="456"/>
      <c r="BD53" s="456"/>
      <c r="BE53" s="456"/>
      <c r="BF53" s="456"/>
      <c r="BG53" s="456"/>
    </row>
    <row r="54" spans="2:59">
      <c r="D54" s="562" t="str">
        <f>E1</f>
        <v>Oita Trinita</v>
      </c>
      <c r="E54" s="582" t="s">
        <v>162</v>
      </c>
      <c r="F54" s="583"/>
      <c r="G54" s="584"/>
      <c r="H54" s="583"/>
      <c r="I54" s="585"/>
      <c r="J54" s="584"/>
      <c r="K54" s="586"/>
      <c r="L54" s="641" t="s">
        <v>163</v>
      </c>
      <c r="M54" s="583"/>
      <c r="N54" s="584"/>
      <c r="O54" s="583"/>
      <c r="P54" s="585"/>
      <c r="Q54" s="583"/>
      <c r="R54" s="584"/>
      <c r="S54" s="582" t="s">
        <v>164</v>
      </c>
      <c r="T54" s="583"/>
      <c r="U54" s="584"/>
      <c r="V54" s="583"/>
      <c r="W54" s="587"/>
      <c r="X54" s="642"/>
      <c r="Y54" s="643"/>
      <c r="Z54" s="456"/>
      <c r="AA54" s="456"/>
      <c r="AB54" s="456"/>
      <c r="AC54" s="456"/>
      <c r="AD54" s="456"/>
      <c r="AE54" s="456"/>
      <c r="AF54" s="456"/>
      <c r="AG54" s="456"/>
      <c r="AH54" s="456"/>
      <c r="AI54" s="456"/>
      <c r="AJ54" s="456"/>
      <c r="AK54" s="456"/>
      <c r="AL54" s="456"/>
      <c r="AM54" s="456"/>
      <c r="AN54" s="456"/>
      <c r="AO54" s="456"/>
      <c r="AP54" s="456"/>
      <c r="AQ54" s="456"/>
      <c r="AR54" s="456"/>
      <c r="AS54" s="456"/>
      <c r="AT54" s="456"/>
      <c r="AU54" s="456"/>
      <c r="AV54" s="456"/>
      <c r="AW54" s="456"/>
      <c r="AX54" s="456"/>
      <c r="AY54" s="456"/>
      <c r="AZ54" s="456"/>
      <c r="BA54" s="456"/>
      <c r="BB54" s="456"/>
      <c r="BC54" s="456"/>
      <c r="BD54" s="456"/>
      <c r="BE54" s="456"/>
      <c r="BF54" s="456"/>
      <c r="BG54" s="456"/>
    </row>
    <row r="55" spans="2:59" ht="13.5" thickBot="1">
      <c r="D55" s="644" t="s">
        <v>165</v>
      </c>
      <c r="E55" s="590" t="s">
        <v>63</v>
      </c>
      <c r="F55" s="591"/>
      <c r="G55" s="645" t="s">
        <v>64</v>
      </c>
      <c r="H55" s="591"/>
      <c r="I55" s="645" t="s">
        <v>65</v>
      </c>
      <c r="J55" s="645"/>
      <c r="K55" s="646" t="s">
        <v>171</v>
      </c>
      <c r="L55" s="647" t="s">
        <v>63</v>
      </c>
      <c r="M55" s="591"/>
      <c r="N55" s="645" t="s">
        <v>64</v>
      </c>
      <c r="O55" s="591"/>
      <c r="P55" s="645" t="s">
        <v>65</v>
      </c>
      <c r="Q55" s="591"/>
      <c r="R55" s="646" t="s">
        <v>172</v>
      </c>
      <c r="S55" s="590" t="s">
        <v>63</v>
      </c>
      <c r="T55" s="591"/>
      <c r="U55" s="645" t="s">
        <v>64</v>
      </c>
      <c r="V55" s="648"/>
      <c r="W55" s="645" t="s">
        <v>65</v>
      </c>
      <c r="X55" s="649"/>
      <c r="Y55" s="650" t="s">
        <v>168</v>
      </c>
      <c r="Z55" s="456"/>
      <c r="AA55" s="456"/>
      <c r="AB55" s="456"/>
      <c r="AC55" s="456"/>
      <c r="AD55" s="456"/>
      <c r="AE55" s="456"/>
      <c r="AF55" s="456"/>
      <c r="AG55" s="456"/>
      <c r="AH55" s="456"/>
      <c r="AI55" s="456"/>
      <c r="AJ55" s="456"/>
      <c r="AK55" s="456"/>
      <c r="AL55" s="456"/>
      <c r="AM55" s="456"/>
      <c r="AN55" s="456"/>
      <c r="AO55" s="456"/>
      <c r="AP55" s="456"/>
      <c r="AQ55" s="456"/>
      <c r="AR55" s="456"/>
      <c r="AS55" s="456"/>
      <c r="AT55" s="456"/>
      <c r="AU55" s="456"/>
      <c r="AV55" s="456"/>
      <c r="AW55" s="456"/>
      <c r="AX55" s="456"/>
      <c r="AY55" s="456"/>
      <c r="AZ55" s="456"/>
      <c r="BA55" s="456"/>
      <c r="BB55" s="456"/>
      <c r="BC55" s="456"/>
      <c r="BD55" s="456"/>
      <c r="BE55" s="456"/>
      <c r="BF55" s="456"/>
      <c r="BG55" s="456"/>
    </row>
    <row r="56" spans="2:59">
      <c r="B56" s="568"/>
      <c r="C56" s="357" t="str">
        <f>IF(D54=0,"N",D54)</f>
        <v>Oita Trinita</v>
      </c>
      <c r="D56" s="651">
        <v>-2</v>
      </c>
      <c r="E56" s="599">
        <f t="array" aca="1" ref="E56" ca="1">IF($C56="N","",SUM(IF((INDIRECT("'"&amp;$C56&amp;"'!$I$23:$I$200")=$D$5)*(INDIRECT("'"&amp;$C56&amp;"'!$H$23:$H$200")=$E$5)*(INDIRECT("'"&amp;$C56&amp;"'!$O$23:$O$200")&lt;=-2.25)*((INDIRECT("'"&amp;$C56&amp;"'!$J$23:$J$200")-INDIRECT("'"&amp;$C56&amp;"'!$K$23:$K$200"))&gt;2),1,0)))</f>
        <v>0</v>
      </c>
      <c r="F56" s="406" t="str">
        <f t="shared" ref="F56:F61" ca="1" si="40">IF(E56="","",IF(E56=0,"-",E56/$K56))</f>
        <v>-</v>
      </c>
      <c r="G56" s="408">
        <f t="array" aca="1" ref="G56" ca="1">IF($C56="N","",SUM(IF((INDIRECT("'"&amp;$C56&amp;"'!$I$23:$I$200")=$D$5)*(INDIRECT("'"&amp;$C56&amp;"'!$H$23:$H$200")=$E$5)*(INDIRECT("'"&amp;$C56&amp;"'!$O$23:$O$200")&lt;=-2.25)*((INDIRECT("'"&amp;$C56&amp;"'!$J$23:$J$200")-INDIRECT("'"&amp;$C56&amp;"'!$K$23:$K$200"))=2),1,0)))</f>
        <v>0</v>
      </c>
      <c r="H56" s="406" t="str">
        <f t="shared" ref="H56:H61" ca="1" si="41">IF(G56="","",IF(G56=0,"-",G56/$K56))</f>
        <v>-</v>
      </c>
      <c r="I56" s="408">
        <f t="array" aca="1" ref="I56" ca="1">IF($C56="N","",SUM(IF((INDIRECT("'"&amp;$C56&amp;"'!$I$23:$I$200")=$D$5)*(INDIRECT("'"&amp;$C56&amp;"'!$H$23:$H$200")=$E$5)*(INDIRECT("'"&amp;$C56&amp;"'!$O$23:$O$200")&lt;=-2.25)*((INDIRECT("'"&amp;$C56&amp;"'!$K$23:$K$200")-INDIRECT("'"&amp;$C56&amp;"'!$J$23:$J$200"))&gt;-2),1,0)))</f>
        <v>0</v>
      </c>
      <c r="J56" s="406" t="str">
        <f t="shared" ref="J56:J61" ca="1" si="42">IF(I56="","",IF(I56=0,"-",I56/$K56))</f>
        <v>-</v>
      </c>
      <c r="K56" s="602">
        <f ca="1">IF($C56="N","",E56+G56+I56)</f>
        <v>0</v>
      </c>
      <c r="L56" s="599">
        <f t="array" aca="1" ref="L56" ca="1">IF($C56="N","",SUM(IF((INDIRECT("'"&amp;$C56&amp;"'!$I$23:$I$200")=$D$5)*(INDIRECT("'"&amp;$C56&amp;"'!$H$23:$H$200")=$L$5)*(INDIRECT("'"&amp;$C56&amp;"'!$O$23:$O$200")&lt;=-2.25)*((INDIRECT("'"&amp;$C56&amp;"'!$J$23:$J$200")-INDIRECT("'"&amp;$C56&amp;"'!$K$23:$K$200"))&gt;2),1,0)))</f>
        <v>0</v>
      </c>
      <c r="M56" s="406" t="str">
        <f t="shared" ref="M56:M61" ca="1" si="43">IF(L56="","",IF(L56=0,"-",L56/$R56))</f>
        <v>-</v>
      </c>
      <c r="N56" s="408">
        <f t="array" aca="1" ref="N56" ca="1">IF($C56="N","",SUM(IF((INDIRECT("'"&amp;$C56&amp;"'!$I$23:$I$200")=$D$5)*(INDIRECT("'"&amp;$C56&amp;"'!$H$23:$H$200")=$L$5)*(INDIRECT("'"&amp;$C56&amp;"'!$O$23:$O$200")&lt;=-2.25)*((INDIRECT("'"&amp;$C56&amp;"'!$J$23:$J$200")-INDIRECT("'"&amp;$C56&amp;"'!$K$23:$K$200"))=2),1,0)))</f>
        <v>0</v>
      </c>
      <c r="O56" s="406" t="str">
        <f t="shared" ref="O56:O61" ca="1" si="44">IF(N56="","",IF(N56=0,"-",N56/$R56))</f>
        <v>-</v>
      </c>
      <c r="P56" s="408">
        <f t="array" aca="1" ref="P56" ca="1">IF($C56="N","",SUM(IF((INDIRECT("'"&amp;$C56&amp;"'!$I$23:$I$200")=$D$5)*(INDIRECT("'"&amp;$C56&amp;"'!$H$23:$H$200")=$L$5)*(INDIRECT("'"&amp;$C56&amp;"'!$O$23:$O$200")&lt;=-2.25)*((INDIRECT("'"&amp;$C56&amp;"'!$K$23:$K$200")-INDIRECT("'"&amp;$C56&amp;"'!$J$23:$J$200"))&gt;-2),1,0)))</f>
        <v>0</v>
      </c>
      <c r="Q56" s="406" t="str">
        <f t="shared" ref="Q56:Q61" ca="1" si="45">IF(P56="","",IF(P56=0,"-",P56/$R56))</f>
        <v>-</v>
      </c>
      <c r="R56" s="602">
        <f ca="1">IF($C56="N","",L56+N56+P56)</f>
        <v>0</v>
      </c>
      <c r="S56" s="599">
        <f ca="1">IF($C56="N","",L56+E56)</f>
        <v>0</v>
      </c>
      <c r="T56" s="406" t="str">
        <f t="shared" ref="T56:T61" ca="1" si="46">IF(S56="","",IF(S56=0,"-",S56/$Y56))</f>
        <v>-</v>
      </c>
      <c r="U56" s="408">
        <f ca="1">IF($C56="N","",N56+G56)</f>
        <v>0</v>
      </c>
      <c r="V56" s="406" t="str">
        <f t="shared" ref="V56:V61" ca="1" si="47">IF(U56="","",IF(U56=0,"-",U56/$Y56))</f>
        <v>-</v>
      </c>
      <c r="W56" s="408">
        <f ca="1">IF($C56="N","",P56+I56)</f>
        <v>0</v>
      </c>
      <c r="X56" s="652" t="str">
        <f t="shared" ref="X56:X61" ca="1" si="48">IF(W56="","",IF(W56=0,"-",W56/$Y56))</f>
        <v>-</v>
      </c>
      <c r="Y56" s="653">
        <f ca="1">IF($C56="N","",R56+K56)</f>
        <v>0</v>
      </c>
      <c r="Z56" s="456"/>
      <c r="AA56" s="456"/>
      <c r="AB56" s="456"/>
      <c r="AC56" s="456"/>
      <c r="AD56" s="456"/>
      <c r="AE56" s="456"/>
      <c r="AF56" s="456"/>
      <c r="AG56" s="456"/>
      <c r="AH56" s="456"/>
      <c r="AI56" s="456"/>
      <c r="AJ56" s="456"/>
      <c r="AK56" s="456"/>
      <c r="AL56" s="456"/>
      <c r="AM56" s="456"/>
      <c r="AN56" s="456"/>
      <c r="AO56" s="456"/>
      <c r="AP56" s="456"/>
      <c r="AQ56" s="456"/>
      <c r="AR56" s="456"/>
      <c r="AS56" s="456"/>
      <c r="AT56" s="456"/>
      <c r="AU56" s="456"/>
      <c r="AV56" s="456"/>
      <c r="AW56" s="456"/>
      <c r="AX56" s="456"/>
      <c r="AY56" s="456"/>
      <c r="AZ56" s="456"/>
      <c r="BA56" s="456"/>
      <c r="BB56" s="456"/>
      <c r="BC56" s="456"/>
      <c r="BD56" s="456"/>
      <c r="BE56" s="456"/>
      <c r="BF56" s="456"/>
      <c r="BG56" s="456"/>
    </row>
    <row r="57" spans="2:59">
      <c r="B57" s="568"/>
      <c r="C57" s="357" t="str">
        <f>C56</f>
        <v>Oita Trinita</v>
      </c>
      <c r="D57" s="654">
        <v>-1</v>
      </c>
      <c r="E57" s="655">
        <f t="array" aca="1" ref="E57" ca="1">IF($C57="N","",SUM(IF((INDIRECT("'"&amp;$C56&amp;"'!$I$23:$I$200")=$D$5)*(INDIRECT("'"&amp;$C56&amp;"'!$H$23:$H$200")=$E$5)*(INDIRECT("'"&amp;$C56&amp;"'!$O$23:$O$200")&lt;=-0.5)*(INDIRECT("'"&amp;$C56&amp;"'!$O$23:$O$200")&gt;=-2)*((INDIRECT("'"&amp;$C56&amp;"'!$J$23:$J$200")-INDIRECT("'"&amp;$C56&amp;"'!$K$23:$K$200"))&gt;1),1,0)))</f>
        <v>0</v>
      </c>
      <c r="F57" s="601" t="str">
        <f t="shared" ca="1" si="40"/>
        <v>-</v>
      </c>
      <c r="G57" s="418">
        <f t="array" aca="1" ref="G57" ca="1">IF($C57="N","",SUM(IF((INDIRECT("'"&amp;$C56&amp;"'!$I$23:$I$200")=$D$5)*(INDIRECT("'"&amp;$C56&amp;"'!$H$23:$H$200")=$E$5)*(INDIRECT("'"&amp;$C56&amp;"'!$O$23:$O$200")&lt;=-0.5)*(INDIRECT("'"&amp;$C56&amp;"'!$O$23:$O$200")&gt;=-2)*((INDIRECT("'"&amp;$C56&amp;"'!$J$23:$J$200")-INDIRECT("'"&amp;$C56&amp;"'!$K$23:$K$200"))=1),1,0)))</f>
        <v>3</v>
      </c>
      <c r="H57" s="601">
        <f t="shared" ca="1" si="41"/>
        <v>1</v>
      </c>
      <c r="I57" s="418">
        <f t="array" aca="1" ref="I57" ca="1">IF($C57="N","",SUM(IF((INDIRECT("'"&amp;$C56&amp;"'!$I$23:$I$200")=$D$5)*(INDIRECT("'"&amp;$C56&amp;"'!$H$23:$H$200")=$E$5)*(INDIRECT("'"&amp;$C56&amp;"'!$O$23:$O$200")&lt;=-0.5)*(INDIRECT("'"&amp;$C56&amp;"'!$O$23:$O$200")&gt;=-2)*((INDIRECT("'"&amp;$C56&amp;"'!$K$23:$K$200")-INDIRECT("'"&amp;$C56&amp;"'!$J$23:$J$200"))&gt;-1),1,0)))</f>
        <v>0</v>
      </c>
      <c r="J57" s="601" t="str">
        <f t="shared" ca="1" si="42"/>
        <v>-</v>
      </c>
      <c r="K57" s="522">
        <f ca="1">IF($C57="N","",E57+G57+I57)</f>
        <v>3</v>
      </c>
      <c r="L57" s="655">
        <f t="array" aca="1" ref="L57" ca="1">IF($C57="N","",SUM(IF((INDIRECT("'"&amp;$C56&amp;"'!$I$23:$I$200")=$D$5)*(INDIRECT("'"&amp;$C56&amp;"'!$H$23:$H$200")=$L$5)*(INDIRECT("'"&amp;$C56&amp;"'!$O$23:$O$200")&lt;=-0.5)*(INDIRECT("'"&amp;$C56&amp;"'!$O$23:$O$200")&gt;=-2)*((INDIRECT("'"&amp;$C56&amp;"'!$J$23:$J$200")-INDIRECT("'"&amp;$C56&amp;"'!$K$23:$K$200"))&gt;1),1,0)))</f>
        <v>1</v>
      </c>
      <c r="M57" s="601">
        <f t="shared" ca="1" si="43"/>
        <v>1</v>
      </c>
      <c r="N57" s="418">
        <f t="array" aca="1" ref="N57" ca="1">IF($C57="N","",SUM(IF((INDIRECT("'"&amp;$C56&amp;"'!$I$23:$I$200")=$D$5)*(INDIRECT("'"&amp;$C56&amp;"'!$H$23:$H$200")=$L$5)*(INDIRECT("'"&amp;$C56&amp;"'!$O$23:$O$200")&lt;=-0.5)*(INDIRECT("'"&amp;$C56&amp;"'!$O$23:$O$200")&gt;=-2)*((INDIRECT("'"&amp;$C56&amp;"'!$J$23:$J$200")-INDIRECT("'"&amp;$C56&amp;"'!$K$23:$K$200"))=1),1,0)))</f>
        <v>0</v>
      </c>
      <c r="O57" s="601" t="str">
        <f t="shared" ca="1" si="44"/>
        <v>-</v>
      </c>
      <c r="P57" s="418">
        <f t="array" aca="1" ref="P57" ca="1">IF($C57="N","",SUM(IF((INDIRECT("'"&amp;$C56&amp;"'!$I$23:$I$200")=$D$5)*(INDIRECT("'"&amp;$C56&amp;"'!$H$23:$H$200")=$L$5)*(INDIRECT("'"&amp;$C56&amp;"'!$O$23:$O$200")&lt;=-0.5)*(INDIRECT("'"&amp;$C56&amp;"'!$O$23:$O$200")&gt;=-2)*((INDIRECT("'"&amp;$C56&amp;"'!$K$23:$K$200")-INDIRECT("'"&amp;$C56&amp;"'!$J$23:$J$200"))&gt;-1),1,0)))</f>
        <v>0</v>
      </c>
      <c r="Q57" s="601" t="str">
        <f t="shared" ca="1" si="45"/>
        <v>-</v>
      </c>
      <c r="R57" s="522">
        <f ca="1">IF($C57="N","",L57+N57+P57)</f>
        <v>1</v>
      </c>
      <c r="S57" s="655">
        <f ca="1">IF($C57="N","",L57+E57)</f>
        <v>1</v>
      </c>
      <c r="T57" s="601">
        <f t="shared" ca="1" si="46"/>
        <v>0.25</v>
      </c>
      <c r="U57" s="418">
        <f ca="1">IF($C57="N","",N57+G57)</f>
        <v>3</v>
      </c>
      <c r="V57" s="601">
        <f t="shared" ca="1" si="47"/>
        <v>0.75</v>
      </c>
      <c r="W57" s="418">
        <f ca="1">IF($C57="N","",P57+I57)</f>
        <v>0</v>
      </c>
      <c r="X57" s="656" t="str">
        <f t="shared" ca="1" si="48"/>
        <v>-</v>
      </c>
      <c r="Y57" s="653">
        <f ca="1">IF($C57="N","",R57+K57)</f>
        <v>4</v>
      </c>
      <c r="Z57" s="456"/>
      <c r="AA57" s="456"/>
      <c r="AB57" s="456"/>
      <c r="AC57" s="456"/>
      <c r="AD57" s="456"/>
      <c r="AE57" s="456"/>
      <c r="AF57" s="456"/>
      <c r="AG57" s="456"/>
      <c r="AH57" s="456"/>
      <c r="AI57" s="456"/>
      <c r="AJ57" s="456"/>
      <c r="AK57" s="456"/>
      <c r="AL57" s="456"/>
      <c r="AM57" s="456"/>
      <c r="AN57" s="456"/>
      <c r="AO57" s="456"/>
      <c r="AP57" s="456"/>
      <c r="AQ57" s="456"/>
      <c r="AR57" s="456"/>
      <c r="AS57" s="456"/>
      <c r="AT57" s="456"/>
      <c r="AU57" s="456"/>
      <c r="AV57" s="456"/>
      <c r="AW57" s="456"/>
      <c r="AX57" s="456"/>
      <c r="AY57" s="456"/>
      <c r="AZ57" s="456"/>
      <c r="BA57" s="456"/>
      <c r="BB57" s="456"/>
      <c r="BC57" s="456"/>
      <c r="BD57" s="456"/>
      <c r="BE57" s="456"/>
      <c r="BF57" s="456"/>
      <c r="BG57" s="456"/>
    </row>
    <row r="58" spans="2:59">
      <c r="B58" s="568"/>
      <c r="C58" s="357" t="str">
        <f>C57</f>
        <v>Oita Trinita</v>
      </c>
      <c r="D58" s="654">
        <v>0</v>
      </c>
      <c r="E58" s="655">
        <f t="array" aca="1" ref="E58" ca="1">IF($C58="N","",SUM(IF((INDIRECT("'"&amp;$C56&amp;"'!$I$23:$I$200")=$D$5)*(INDIRECT("'"&amp;$C56&amp;"'!$H$23:$H$200")=$E$5)*(INDIRECT("'"&amp;$C56&amp;"'!$O$23:$O$200")&gt;=-0.25)*(INDIRECT("'"&amp;$C56&amp;"'!$O$23:$O$200")&lt;=0.25)*(INDIRECT("'"&amp;$C56&amp;"'!$O$23:$O$200")&lt;&gt;"")*((INDIRECT("'"&amp;$C56&amp;"'!$J$23:$J$200")-INDIRECT("'"&amp;$C56&amp;"'!$K$23:$K$200"))&gt;0),1,0)))</f>
        <v>3</v>
      </c>
      <c r="F58" s="601">
        <f t="shared" ca="1" si="40"/>
        <v>0.16666666666666666</v>
      </c>
      <c r="G58" s="418">
        <f t="array" aca="1" ref="G58" ca="1">IF($C58="N","",SUM(IF((INDIRECT("'"&amp;$C56&amp;"'!$I$23:$I$200")=$D$5)*(INDIRECT("'"&amp;$C56&amp;"'!$H$23:$H$200")=$E$5)*(INDIRECT("'"&amp;$C56&amp;"'!$O$23:$O$200")&gt;=-0.25)*(INDIRECT("'"&amp;$C56&amp;"'!$O$23:$O$200")&lt;=0.25)*(INDIRECT("'"&amp;$C56&amp;"'!$O$23:$O$200")&lt;&gt;"")*((INDIRECT("'"&amp;$C56&amp;"'!$J$23:$J$200")-INDIRECT("'"&amp;$C56&amp;"'!$K$23:$K$200"))=0),1,0)))</f>
        <v>9</v>
      </c>
      <c r="H58" s="601">
        <f t="shared" ca="1" si="41"/>
        <v>0.5</v>
      </c>
      <c r="I58" s="418">
        <f t="array" aca="1" ref="I58" ca="1">IF($C58="N","",SUM(IF((INDIRECT("'"&amp;$C56&amp;"'!$I$23:$I$200")=$D$5)*(INDIRECT("'"&amp;$C56&amp;"'!$H$23:$H$200")=$E$5)*(INDIRECT("'"&amp;$C56&amp;"'!$O$23:$O$200")&gt;=-0.25)*(INDIRECT("'"&amp;$C56&amp;"'!$O$23:$O$200")&lt;=0.25)*(INDIRECT("'"&amp;$C56&amp;"'!$O$23:$O$200")&lt;&gt;"")*((INDIRECT("'"&amp;$C56&amp;"'!$J$23:$J$200")-INDIRECT("'"&amp;$C56&amp;"'!$K$23:$K$200"))&lt;0),1,0)))</f>
        <v>6</v>
      </c>
      <c r="J58" s="601">
        <f t="shared" ca="1" si="42"/>
        <v>0.33333333333333331</v>
      </c>
      <c r="K58" s="522">
        <f ca="1">IF($C58="N","",E58+G58+I58)</f>
        <v>18</v>
      </c>
      <c r="L58" s="655">
        <f t="array" aca="1" ref="L58" ca="1">IF($C58="N","",SUM(IF((INDIRECT("'"&amp;$C56&amp;"'!$I$23:$I$200")=$D$5)*(INDIRECT("'"&amp;$C56&amp;"'!$H$23:$H$200")=$L$5)*(INDIRECT("'"&amp;$C56&amp;"'!$O$23:$O$200")&gt;=-0.25)*(INDIRECT("'"&amp;$C56&amp;"'!$O$23:$O$200")&lt;=0.25)*(INDIRECT("'"&amp;$C56&amp;"'!$O$23:$O$200")&lt;&gt;"")*((INDIRECT("'"&amp;$C56&amp;"'!$J$23:$J$200")-INDIRECT("'"&amp;$C56&amp;"'!$K$23:$K$200"))&gt;0),1,0)))</f>
        <v>8</v>
      </c>
      <c r="M58" s="601">
        <f t="shared" ca="1" si="43"/>
        <v>0.47058823529411764</v>
      </c>
      <c r="N58" s="418">
        <f t="array" aca="1" ref="N58" ca="1">IF($C58="N","",SUM(IF((INDIRECT("'"&amp;$C56&amp;"'!$I$23:$I$200")=$D$5)*(INDIRECT("'"&amp;$C56&amp;"'!$H$23:$H$200")=$L$5)*(INDIRECT("'"&amp;$C56&amp;"'!$O$23:$O$200")&gt;=-0.25)*(INDIRECT("'"&amp;$C56&amp;"'!$O$23:$O$200")&lt;=0.25)*(INDIRECT("'"&amp;$C56&amp;"'!$O$23:$O$200")&lt;&gt;"")*((INDIRECT("'"&amp;$C56&amp;"'!$J$23:$J$200")-INDIRECT("'"&amp;$C56&amp;"'!$K$23:$K$200"))=0),1,0)))</f>
        <v>4</v>
      </c>
      <c r="O58" s="601">
        <f t="shared" ca="1" si="44"/>
        <v>0.23529411764705882</v>
      </c>
      <c r="P58" s="418">
        <f t="array" aca="1" ref="P58" ca="1">IF($C58="N","",SUM(IF((INDIRECT("'"&amp;$C56&amp;"'!$I$23:$I$200")=$D$5)*(INDIRECT("'"&amp;$C56&amp;"'!$H$23:$H$200")=$L$5)*(INDIRECT("'"&amp;$C56&amp;"'!$O$23:$O$200")&gt;=-0.25)*(INDIRECT("'"&amp;$C56&amp;"'!$O$23:$O$200")&lt;=0.25)*(INDIRECT("'"&amp;$C56&amp;"'!$O$23:$O$200")&lt;&gt;"")*((INDIRECT("'"&amp;$C56&amp;"'!$J$23:$J$200")-INDIRECT("'"&amp;$C56&amp;"'!$K$23:$K$200"))&lt;0),1,0)))</f>
        <v>5</v>
      </c>
      <c r="Q58" s="601">
        <f t="shared" ca="1" si="45"/>
        <v>0.29411764705882354</v>
      </c>
      <c r="R58" s="522">
        <f ca="1">IF($C58="N","",L58+N58+P58)</f>
        <v>17</v>
      </c>
      <c r="S58" s="655">
        <f ca="1">IF($C58="N","",L58+E58)</f>
        <v>11</v>
      </c>
      <c r="T58" s="601">
        <f t="shared" ca="1" si="46"/>
        <v>0.31428571428571428</v>
      </c>
      <c r="U58" s="418">
        <f ca="1">IF($C58="N","",N58+G58)</f>
        <v>13</v>
      </c>
      <c r="V58" s="601">
        <f t="shared" ca="1" si="47"/>
        <v>0.37142857142857144</v>
      </c>
      <c r="W58" s="418">
        <f ca="1">IF($C58="N","",P58+I58)</f>
        <v>11</v>
      </c>
      <c r="X58" s="656">
        <f t="shared" ca="1" si="48"/>
        <v>0.31428571428571428</v>
      </c>
      <c r="Y58" s="653">
        <f ca="1">IF($C58="N","",R58+K58)</f>
        <v>35</v>
      </c>
      <c r="Z58" s="456"/>
      <c r="AA58" s="456"/>
      <c r="AB58" s="456"/>
      <c r="AC58" s="456"/>
      <c r="AD58" s="456"/>
      <c r="AE58" s="456"/>
      <c r="AF58" s="456"/>
      <c r="AG58" s="456"/>
      <c r="AH58" s="456"/>
      <c r="AI58" s="456"/>
      <c r="AJ58" s="456"/>
      <c r="AK58" s="456"/>
      <c r="AL58" s="456"/>
      <c r="AM58" s="456"/>
      <c r="AN58" s="456"/>
      <c r="AO58" s="456"/>
      <c r="AP58" s="456"/>
      <c r="AQ58" s="456"/>
      <c r="AR58" s="456"/>
      <c r="AS58" s="456"/>
      <c r="AT58" s="456"/>
      <c r="AU58" s="456"/>
      <c r="AV58" s="456"/>
      <c r="AW58" s="456"/>
      <c r="AX58" s="456"/>
      <c r="AY58" s="456"/>
      <c r="AZ58" s="456"/>
      <c r="BA58" s="456"/>
      <c r="BB58" s="456"/>
      <c r="BC58" s="456"/>
      <c r="BD58" s="456"/>
      <c r="BE58" s="456"/>
      <c r="BF58" s="456"/>
      <c r="BG58" s="456"/>
    </row>
    <row r="59" spans="2:59">
      <c r="B59" s="568"/>
      <c r="C59" s="357" t="str">
        <f>C58</f>
        <v>Oita Trinita</v>
      </c>
      <c r="D59" s="654">
        <v>1</v>
      </c>
      <c r="E59" s="655">
        <f t="array" aca="1" ref="E59" ca="1">IF($C59="N","",SUM(IF((INDIRECT("'"&amp;$C56&amp;"'!$I$23:$I$200")=$D$5)*(INDIRECT("'"&amp;$C56&amp;"'!$H$23:$H$200")=$E$5)*(INDIRECT("'"&amp;$C56&amp;"'!$O$23:$O$200")&gt;=0.5)*(INDIRECT("'"&amp;$C56&amp;"'!$O$23:$O$200")&lt;=2)*((INDIRECT("'"&amp;$C56&amp;"'!$J$23:$J$200")-INDIRECT("'"&amp;$C56&amp;"'!$K$23:$K$200"))&gt;-1),1,0)))</f>
        <v>0</v>
      </c>
      <c r="F59" s="601" t="str">
        <f t="shared" ca="1" si="40"/>
        <v>-</v>
      </c>
      <c r="G59" s="418">
        <f t="array" aca="1" ref="G59" ca="1">IF($C59="N","",SUM(IF((INDIRECT("'"&amp;$C56&amp;"'!$I$23:$I$200")=$D$5)*(INDIRECT("'"&amp;$C56&amp;"'!$H$23:$H$200")=$E$5)*(INDIRECT("'"&amp;$C56&amp;"'!$O$23:$O$200")&gt;=0.5)*(INDIRECT("'"&amp;$C56&amp;"'!$O$23:$O$200")&lt;=2)*((INDIRECT("'"&amp;$C56&amp;"'!$J$23:$J$200")-INDIRECT("'"&amp;$C56&amp;"'!$K$23:$K$200"))=-1),1,0)))</f>
        <v>0</v>
      </c>
      <c r="H59" s="601" t="str">
        <f t="shared" ca="1" si="41"/>
        <v>-</v>
      </c>
      <c r="I59" s="418">
        <f t="array" aca="1" ref="I59" ca="1">IF($C59="N","",SUM(IF((INDIRECT("'"&amp;$C56&amp;"'!$I$23:$I$200")=$D$5)*(INDIRECT("'"&amp;$C56&amp;"'!$H$23:$H$200")=$E$5)*(INDIRECT("'"&amp;$C56&amp;"'!$O$23:$O$200")&gt;=0.5)*(INDIRECT("'"&amp;$C56&amp;"'!$O$23:$O$200")&lt;=2)*((INDIRECT("'"&amp;$C56&amp;"'!$J$23:$J$200")-INDIRECT("'"&amp;$C56&amp;"'!$K$23:$K$200"))&lt;-1),1,0)))</f>
        <v>0</v>
      </c>
      <c r="J59" s="601" t="str">
        <f t="shared" ca="1" si="42"/>
        <v>-</v>
      </c>
      <c r="K59" s="522">
        <f ca="1">IF($C59="N","",E59+G59+I59)</f>
        <v>0</v>
      </c>
      <c r="L59" s="655">
        <f t="array" aca="1" ref="L59" ca="1">IF($C59="N","",SUM(IF((INDIRECT("'"&amp;$C56&amp;"'!$I$23:$I$200")=$D$5)*(INDIRECT("'"&amp;$C56&amp;"'!$H$23:$H$200")=$L$5)*(INDIRECT("'"&amp;$C56&amp;"'!$O$23:$O$200")&gt;=0.5)*(INDIRECT("'"&amp;$C56&amp;"'!$O$23:$O$200")&lt;=2)*((INDIRECT("'"&amp;$C56&amp;"'!$J$23:$J$200")-INDIRECT("'"&amp;$C56&amp;"'!$K$23:$K$200"))&gt;-1),1,0)))</f>
        <v>2</v>
      </c>
      <c r="M59" s="601">
        <f t="shared" ca="1" si="43"/>
        <v>0.66666666666666663</v>
      </c>
      <c r="N59" s="418">
        <f t="array" aca="1" ref="N59" ca="1">IF($C59="N","",SUM(IF((INDIRECT("'"&amp;$C56&amp;"'!$I$23:$I$200")=$D$5)*(INDIRECT("'"&amp;$C56&amp;"'!$H$23:$H$200")=$L$5)*(INDIRECT("'"&amp;$C56&amp;"'!$O$23:$O$200")&gt;=0.5)*(INDIRECT("'"&amp;$C56&amp;"'!$O$23:$O$200")&lt;=2)*((INDIRECT("'"&amp;$C56&amp;"'!$J$23:$J$200")-INDIRECT("'"&amp;$C56&amp;"'!$K$23:$K$200"))=-1),1,0)))</f>
        <v>1</v>
      </c>
      <c r="O59" s="601">
        <f t="shared" ca="1" si="44"/>
        <v>0.33333333333333331</v>
      </c>
      <c r="P59" s="418">
        <f t="array" aca="1" ref="P59" ca="1">IF($C59="N","",SUM(IF((INDIRECT("'"&amp;$C56&amp;"'!$I$23:$I$200")=$D$5)*(INDIRECT("'"&amp;$C56&amp;"'!$H$23:$H$200")=$L$5)*(INDIRECT("'"&amp;$C56&amp;"'!$O$23:$O$200")&gt;=0.5)*(INDIRECT("'"&amp;$C56&amp;"'!$O$23:$O$200")&lt;=2)*((INDIRECT("'"&amp;$C56&amp;"'!$J$23:$J$200")-INDIRECT("'"&amp;$C56&amp;"'!$K$23:$K$200"))&lt;-1),1,0)))</f>
        <v>0</v>
      </c>
      <c r="Q59" s="601" t="str">
        <f t="shared" ca="1" si="45"/>
        <v>-</v>
      </c>
      <c r="R59" s="522">
        <f ca="1">IF($C59="N","",L59+N59+P59)</f>
        <v>3</v>
      </c>
      <c r="S59" s="655">
        <f ca="1">IF($C59="N","",L59+E59)</f>
        <v>2</v>
      </c>
      <c r="T59" s="601">
        <f t="shared" ca="1" si="46"/>
        <v>0.66666666666666663</v>
      </c>
      <c r="U59" s="418">
        <f ca="1">IF($C59="N","",N59+G59)</f>
        <v>1</v>
      </c>
      <c r="V59" s="601">
        <f t="shared" ca="1" si="47"/>
        <v>0.33333333333333331</v>
      </c>
      <c r="W59" s="418">
        <f ca="1">IF($C59="N","",P59+I59)</f>
        <v>0</v>
      </c>
      <c r="X59" s="656" t="str">
        <f t="shared" ca="1" si="48"/>
        <v>-</v>
      </c>
      <c r="Y59" s="653">
        <f ca="1">IF($C59="N","",R59+K59)</f>
        <v>3</v>
      </c>
      <c r="Z59" s="456"/>
      <c r="AA59" s="456"/>
      <c r="AB59" s="456"/>
      <c r="AC59" s="456"/>
      <c r="AD59" s="456"/>
      <c r="AE59" s="456"/>
      <c r="AF59" s="456"/>
      <c r="AG59" s="456"/>
      <c r="AH59" s="456"/>
      <c r="AI59" s="456"/>
      <c r="AJ59" s="456"/>
      <c r="AK59" s="456"/>
      <c r="AL59" s="456"/>
      <c r="AM59" s="456"/>
      <c r="AN59" s="456"/>
      <c r="AO59" s="456"/>
      <c r="AP59" s="456"/>
      <c r="AQ59" s="456"/>
      <c r="AR59" s="456"/>
      <c r="AS59" s="456"/>
      <c r="AT59" s="456"/>
      <c r="AU59" s="456"/>
      <c r="AV59" s="456"/>
      <c r="AW59" s="456"/>
      <c r="AX59" s="456"/>
      <c r="AY59" s="456"/>
      <c r="AZ59" s="456"/>
      <c r="BA59" s="456"/>
      <c r="BB59" s="456"/>
      <c r="BC59" s="456"/>
      <c r="BD59" s="456"/>
      <c r="BE59" s="456"/>
      <c r="BF59" s="456"/>
      <c r="BG59" s="456"/>
    </row>
    <row r="60" spans="2:59" ht="13.5" thickBot="1">
      <c r="B60" s="568"/>
      <c r="C60" s="357" t="str">
        <f>C59</f>
        <v>Oita Trinita</v>
      </c>
      <c r="D60" s="654">
        <v>2</v>
      </c>
      <c r="E60" s="657">
        <f t="array" aca="1" ref="E60" ca="1">IF($C60="N","",SUM(IF((INDIRECT("'"&amp;$C56&amp;"'!$I$23:$I$200")=$D$5)*(INDIRECT("'"&amp;$C56&amp;"'!$H$23:$H$200")=$E$5)*(INDIRECT("'"&amp;$C56&amp;"'!$O$23:$O$200")&gt;=2.25)*((INDIRECT("'"&amp;$C56&amp;"'!$J$23:$J$200")-INDIRECT("'"&amp;$C56&amp;"'!$K$23:$K$200"))&gt;-2),1,0)))</f>
        <v>0</v>
      </c>
      <c r="F60" s="605" t="str">
        <f t="shared" ca="1" si="40"/>
        <v>-</v>
      </c>
      <c r="G60" s="658">
        <f t="array" aca="1" ref="G60" ca="1">IF($C60="N","",SUM(IF((INDIRECT("'"&amp;$C56&amp;"'!$I$23:$I$200")=$D$5)*(INDIRECT("'"&amp;$C56&amp;"'!$H$23:$H$200")=$E$5)*(INDIRECT("'"&amp;$C56&amp;"'!$O$23:$O$200")&gt;=2.25)*((INDIRECT("'"&amp;$C56&amp;"'!$J$23:$J$200")-INDIRECT("'"&amp;$C56&amp;"'!$K$23:$K$200"))=-2),1,0)))</f>
        <v>0</v>
      </c>
      <c r="H60" s="605" t="str">
        <f t="shared" ca="1" si="41"/>
        <v>-</v>
      </c>
      <c r="I60" s="658">
        <f t="array" aca="1" ref="I60" ca="1">IF($C60="N","",SUM(IF((INDIRECT("'"&amp;$C56&amp;"'!$I$23:$I$200")=$D$5)*(INDIRECT("'"&amp;$C56&amp;"'!$H$23:$H$200")=$E$5)*(INDIRECT("'"&amp;$C56&amp;"'!$O$23:$O$200")&gt;=2.25)*((INDIRECT("'"&amp;$C56&amp;"'!$J$23:$J$200")-INDIRECT("'"&amp;$C56&amp;"'!$K$23:$K$200"))&lt;-2),1,0)))</f>
        <v>0</v>
      </c>
      <c r="J60" s="605" t="str">
        <f t="shared" ca="1" si="42"/>
        <v>-</v>
      </c>
      <c r="K60" s="659">
        <f ca="1">IF($C60="N","",E60+G60+I60)</f>
        <v>0</v>
      </c>
      <c r="L60" s="657">
        <f t="array" aca="1" ref="L60" ca="1">IF($C60="N","",SUM(IF((INDIRECT("'"&amp;$C56&amp;"'!$I$23:$I$200")=$D$5)*(INDIRECT("'"&amp;$C56&amp;"'!$H$23:$H$200")=$L$5)*(INDIRECT("'"&amp;$C56&amp;"'!$O$23:$O$200")&gt;=2.25)*((INDIRECT("'"&amp;$C56&amp;"'!$J$23:$J$200")-INDIRECT("'"&amp;$C56&amp;"'!$K$23:$K$200"))&gt;-2),1,0)))</f>
        <v>0</v>
      </c>
      <c r="M60" s="605" t="str">
        <f t="shared" ca="1" si="43"/>
        <v>-</v>
      </c>
      <c r="N60" s="658">
        <f t="array" aca="1" ref="N60" ca="1">IF($C60="N","",SUM(IF((INDIRECT("'"&amp;$C56&amp;"'!$I$23:$I$200")=$D$5)*(INDIRECT("'"&amp;$C56&amp;"'!$H$23:$H$200")=$L$5)*(INDIRECT("'"&amp;$C56&amp;"'!$O$23:$O$200")&gt;=2.25)*((INDIRECT("'"&amp;$C56&amp;"'!$J$23:$J$200")-INDIRECT("'"&amp;$C56&amp;"'!$K$23:$K$200"))=-2),1,0)))</f>
        <v>0</v>
      </c>
      <c r="O60" s="605" t="str">
        <f t="shared" ca="1" si="44"/>
        <v>-</v>
      </c>
      <c r="P60" s="658">
        <f t="array" aca="1" ref="P60" ca="1">IF($C60="N","",SUM(IF((INDIRECT("'"&amp;$C56&amp;"'!$I$23:$I$200")=$D$5)*(INDIRECT("'"&amp;$C56&amp;"'!$H$23:$H$200")=$L$5)*(INDIRECT("'"&amp;$C56&amp;"'!$O$23:$O$200")&gt;=2.25)*((INDIRECT("'"&amp;$C56&amp;"'!$J$23:$J$200")-INDIRECT("'"&amp;$C56&amp;"'!$K$23:$K$200"))&lt;-2),1,0)))</f>
        <v>0</v>
      </c>
      <c r="Q60" s="605" t="str">
        <f t="shared" ca="1" si="45"/>
        <v>-</v>
      </c>
      <c r="R60" s="659">
        <f ca="1">IF($C60="N","",L60+N60+P60)</f>
        <v>0</v>
      </c>
      <c r="S60" s="657">
        <f ca="1">IF($C60="N","",L60+E60)</f>
        <v>0</v>
      </c>
      <c r="T60" s="605" t="str">
        <f t="shared" ca="1" si="46"/>
        <v>-</v>
      </c>
      <c r="U60" s="658">
        <f ca="1">IF($C60="N","",N60+G60)</f>
        <v>0</v>
      </c>
      <c r="V60" s="605" t="str">
        <f t="shared" ca="1" si="47"/>
        <v>-</v>
      </c>
      <c r="W60" s="658">
        <f ca="1">IF($C60="N","",P60+I60)</f>
        <v>0</v>
      </c>
      <c r="X60" s="660" t="str">
        <f t="shared" ca="1" si="48"/>
        <v>-</v>
      </c>
      <c r="Y60" s="531">
        <f ca="1">IF($C60="N","",R60+K60)</f>
        <v>0</v>
      </c>
      <c r="Z60" s="456"/>
      <c r="AA60" s="456"/>
      <c r="AB60" s="456"/>
      <c r="AC60" s="456"/>
      <c r="AD60" s="456"/>
      <c r="AE60" s="456"/>
      <c r="AF60" s="456"/>
      <c r="AG60" s="456"/>
      <c r="AH60" s="456"/>
      <c r="AI60" s="456"/>
      <c r="AJ60" s="456"/>
      <c r="AK60" s="456"/>
      <c r="AL60" s="456"/>
      <c r="AM60" s="456"/>
      <c r="AN60" s="456"/>
      <c r="AO60" s="456"/>
      <c r="AP60" s="456"/>
      <c r="AQ60" s="456"/>
      <c r="AR60" s="456"/>
      <c r="AS60" s="456"/>
      <c r="AT60" s="456"/>
      <c r="AU60" s="456"/>
      <c r="AV60" s="456"/>
      <c r="AW60" s="456"/>
      <c r="AX60" s="456"/>
      <c r="AY60" s="456"/>
      <c r="AZ60" s="456"/>
      <c r="BA60" s="456"/>
      <c r="BB60" s="456"/>
      <c r="BC60" s="456"/>
      <c r="BD60" s="456"/>
      <c r="BE60" s="456"/>
      <c r="BF60" s="456"/>
      <c r="BG60" s="456"/>
    </row>
    <row r="61" spans="2:59" ht="13.5" thickBot="1">
      <c r="B61" s="568" t="str">
        <f>D54</f>
        <v>Oita Trinita</v>
      </c>
      <c r="D61" s="661" t="s">
        <v>115</v>
      </c>
      <c r="E61" s="481">
        <f ca="1">SUM(E56:E60)</f>
        <v>3</v>
      </c>
      <c r="F61" s="435">
        <f t="shared" ca="1" si="40"/>
        <v>0.14285714285714285</v>
      </c>
      <c r="G61" s="438">
        <f ca="1">SUM(G56:G60)</f>
        <v>12</v>
      </c>
      <c r="H61" s="435">
        <f t="shared" ca="1" si="41"/>
        <v>0.5714285714285714</v>
      </c>
      <c r="I61" s="438">
        <f ca="1">SUM(I56:I60)</f>
        <v>6</v>
      </c>
      <c r="J61" s="435">
        <f t="shared" ca="1" si="42"/>
        <v>0.2857142857142857</v>
      </c>
      <c r="K61" s="479">
        <f ca="1">SUM(K56:K60)</f>
        <v>21</v>
      </c>
      <c r="L61" s="662">
        <f ca="1">SUM(L56:L60)</f>
        <v>11</v>
      </c>
      <c r="M61" s="435">
        <f t="shared" ca="1" si="43"/>
        <v>0.52380952380952384</v>
      </c>
      <c r="N61" s="438">
        <f ca="1">SUM(N56:N60)</f>
        <v>5</v>
      </c>
      <c r="O61" s="435">
        <f t="shared" ca="1" si="44"/>
        <v>0.23809523809523808</v>
      </c>
      <c r="P61" s="438">
        <f ca="1">SUM(P56:P60)</f>
        <v>5</v>
      </c>
      <c r="Q61" s="435">
        <f t="shared" ca="1" si="45"/>
        <v>0.23809523809523808</v>
      </c>
      <c r="R61" s="480">
        <f ca="1">SUM(R56:R60)</f>
        <v>21</v>
      </c>
      <c r="S61" s="481">
        <f ca="1">SUM(S56:S60)</f>
        <v>14</v>
      </c>
      <c r="T61" s="435">
        <f t="shared" ca="1" si="46"/>
        <v>0.33333333333333331</v>
      </c>
      <c r="U61" s="438">
        <f ca="1">SUM(U56:U60)</f>
        <v>17</v>
      </c>
      <c r="V61" s="435">
        <f t="shared" ca="1" si="47"/>
        <v>0.40476190476190477</v>
      </c>
      <c r="W61" s="438">
        <f ca="1">SUM(W56:W60)</f>
        <v>11</v>
      </c>
      <c r="X61" s="638">
        <f t="shared" ca="1" si="48"/>
        <v>0.26190476190476192</v>
      </c>
      <c r="Y61" s="639">
        <f ca="1">SUM(Y56:Y60)</f>
        <v>42</v>
      </c>
      <c r="Z61" s="456"/>
      <c r="AA61" s="456"/>
      <c r="AB61" s="456"/>
      <c r="AC61" s="456"/>
      <c r="AD61" s="456"/>
      <c r="AE61" s="456"/>
      <c r="AF61" s="456"/>
      <c r="AG61" s="456"/>
      <c r="AH61" s="456"/>
      <c r="AI61" s="456"/>
      <c r="AJ61" s="456"/>
      <c r="AK61" s="456"/>
      <c r="AL61" s="456"/>
      <c r="AM61" s="456"/>
      <c r="AN61" s="456"/>
      <c r="AO61" s="456"/>
      <c r="AP61" s="456"/>
      <c r="AQ61" s="456"/>
      <c r="AR61" s="456"/>
      <c r="AS61" s="456"/>
      <c r="AT61" s="456"/>
      <c r="AU61" s="456"/>
      <c r="AV61" s="456"/>
      <c r="AW61" s="456"/>
      <c r="AX61" s="456"/>
      <c r="AY61" s="456"/>
      <c r="AZ61" s="456"/>
      <c r="BA61" s="456"/>
      <c r="BB61" s="456"/>
      <c r="BC61" s="456"/>
      <c r="BD61" s="456"/>
      <c r="BE61" s="456"/>
      <c r="BF61" s="456"/>
      <c r="BG61" s="456"/>
    </row>
    <row r="62" spans="2:59" ht="13.5" thickBot="1">
      <c r="B62" s="568"/>
      <c r="X62" s="640"/>
      <c r="Y62" s="456"/>
      <c r="Z62" s="456"/>
      <c r="AA62" s="456"/>
      <c r="AB62" s="456"/>
      <c r="AC62" s="456"/>
      <c r="AD62" s="456"/>
      <c r="AE62" s="456"/>
      <c r="AF62" s="456"/>
      <c r="AG62" s="456"/>
      <c r="AH62" s="456"/>
      <c r="AI62" s="456"/>
      <c r="AJ62" s="456"/>
      <c r="AK62" s="456"/>
      <c r="AL62" s="456"/>
      <c r="AM62" s="456"/>
      <c r="AN62" s="456"/>
      <c r="AO62" s="456"/>
      <c r="AP62" s="456"/>
      <c r="AQ62" s="456"/>
      <c r="AR62" s="456"/>
      <c r="AS62" s="456"/>
      <c r="AT62" s="456"/>
      <c r="AU62" s="456"/>
      <c r="AV62" s="456"/>
      <c r="AW62" s="456"/>
      <c r="AX62" s="456"/>
      <c r="AY62" s="456"/>
      <c r="AZ62" s="456"/>
      <c r="BA62" s="456"/>
      <c r="BB62" s="456"/>
      <c r="BC62" s="456"/>
      <c r="BD62" s="456"/>
      <c r="BE62" s="456"/>
      <c r="BF62" s="456"/>
      <c r="BG62" s="456"/>
    </row>
    <row r="63" spans="2:59">
      <c r="D63" s="562" t="str">
        <f>F1</f>
        <v>Ehime</v>
      </c>
      <c r="E63" s="582" t="s">
        <v>162</v>
      </c>
      <c r="F63" s="583"/>
      <c r="G63" s="584"/>
      <c r="H63" s="583"/>
      <c r="I63" s="585"/>
      <c r="J63" s="584"/>
      <c r="K63" s="586"/>
      <c r="L63" s="641" t="s">
        <v>163</v>
      </c>
      <c r="M63" s="583"/>
      <c r="N63" s="584"/>
      <c r="O63" s="583"/>
      <c r="P63" s="585"/>
      <c r="Q63" s="583"/>
      <c r="R63" s="584"/>
      <c r="S63" s="582" t="s">
        <v>164</v>
      </c>
      <c r="T63" s="583"/>
      <c r="U63" s="584"/>
      <c r="V63" s="583"/>
      <c r="W63" s="587"/>
      <c r="X63" s="642"/>
      <c r="Y63" s="643"/>
      <c r="Z63" s="456"/>
      <c r="AA63" s="456"/>
      <c r="AB63" s="456"/>
      <c r="AC63" s="456"/>
      <c r="AD63" s="456"/>
      <c r="AE63" s="456"/>
      <c r="AF63" s="456"/>
      <c r="AG63" s="456"/>
      <c r="AH63" s="456"/>
      <c r="AI63" s="456"/>
      <c r="AJ63" s="456"/>
      <c r="AK63" s="456"/>
      <c r="AL63" s="456"/>
      <c r="AM63" s="456"/>
      <c r="AN63" s="456"/>
      <c r="AO63" s="456"/>
      <c r="AP63" s="456"/>
      <c r="AQ63" s="456"/>
      <c r="AR63" s="456"/>
      <c r="AS63" s="456"/>
      <c r="AT63" s="456"/>
      <c r="AU63" s="456"/>
      <c r="AV63" s="456"/>
      <c r="AW63" s="456"/>
      <c r="AX63" s="456"/>
      <c r="AY63" s="456"/>
      <c r="AZ63" s="456"/>
      <c r="BA63" s="456"/>
      <c r="BB63" s="456"/>
      <c r="BC63" s="456"/>
      <c r="BD63" s="456"/>
      <c r="BE63" s="456"/>
      <c r="BF63" s="456"/>
      <c r="BG63" s="456"/>
    </row>
    <row r="64" spans="2:59" ht="13.5" thickBot="1">
      <c r="D64" s="644" t="s">
        <v>165</v>
      </c>
      <c r="E64" s="590" t="s">
        <v>63</v>
      </c>
      <c r="F64" s="591"/>
      <c r="G64" s="645" t="s">
        <v>64</v>
      </c>
      <c r="H64" s="591"/>
      <c r="I64" s="645" t="s">
        <v>65</v>
      </c>
      <c r="J64" s="645"/>
      <c r="K64" s="646" t="s">
        <v>171</v>
      </c>
      <c r="L64" s="647" t="s">
        <v>63</v>
      </c>
      <c r="M64" s="591"/>
      <c r="N64" s="645" t="s">
        <v>64</v>
      </c>
      <c r="O64" s="591"/>
      <c r="P64" s="645" t="s">
        <v>65</v>
      </c>
      <c r="Q64" s="591"/>
      <c r="R64" s="646" t="s">
        <v>172</v>
      </c>
      <c r="S64" s="590" t="s">
        <v>63</v>
      </c>
      <c r="T64" s="591"/>
      <c r="U64" s="645" t="s">
        <v>64</v>
      </c>
      <c r="V64" s="648"/>
      <c r="W64" s="645" t="s">
        <v>65</v>
      </c>
      <c r="X64" s="649"/>
      <c r="Y64" s="650" t="s">
        <v>168</v>
      </c>
      <c r="Z64" s="456"/>
      <c r="AA64" s="456"/>
      <c r="AB64" s="456"/>
      <c r="AC64" s="456"/>
      <c r="AD64" s="456"/>
      <c r="AE64" s="456"/>
      <c r="AF64" s="456"/>
      <c r="AG64" s="456"/>
      <c r="AH64" s="456"/>
      <c r="AI64" s="456"/>
      <c r="AJ64" s="456"/>
      <c r="AK64" s="456"/>
      <c r="AL64" s="456"/>
      <c r="AM64" s="456"/>
      <c r="AN64" s="456"/>
      <c r="AO64" s="456"/>
      <c r="AP64" s="456"/>
      <c r="AQ64" s="456"/>
      <c r="AR64" s="456"/>
      <c r="AS64" s="456"/>
      <c r="AT64" s="456"/>
      <c r="AU64" s="456"/>
      <c r="AV64" s="456"/>
      <c r="AW64" s="456"/>
      <c r="AX64" s="456"/>
      <c r="AY64" s="456"/>
      <c r="AZ64" s="456"/>
      <c r="BA64" s="456"/>
      <c r="BB64" s="456"/>
      <c r="BC64" s="456"/>
      <c r="BD64" s="456"/>
      <c r="BE64" s="456"/>
      <c r="BF64" s="456"/>
      <c r="BG64" s="456"/>
    </row>
    <row r="65" spans="2:59">
      <c r="B65" s="568"/>
      <c r="C65" s="357" t="str">
        <f>IF(D63=0,"N",D63)</f>
        <v>Ehime</v>
      </c>
      <c r="D65" s="651">
        <v>-2</v>
      </c>
      <c r="E65" s="599">
        <f t="array" aca="1" ref="E65" ca="1">IF($C65="N","",SUM(IF((INDIRECT("'"&amp;$C65&amp;"'!$I$23:$I$200")=$D$5)*(INDIRECT("'"&amp;$C65&amp;"'!$H$23:$H$200")=$E$5)*(INDIRECT("'"&amp;$C65&amp;"'!$O$23:$O$200")&lt;=-2.25)*((INDIRECT("'"&amp;$C65&amp;"'!$J$23:$J$200")-INDIRECT("'"&amp;$C65&amp;"'!$K$23:$K$200"))&gt;2),1,0)))</f>
        <v>0</v>
      </c>
      <c r="F65" s="406" t="str">
        <f t="shared" ref="F65:F70" ca="1" si="49">IF(E65="","",IF(E65=0,"-",E65/$K65))</f>
        <v>-</v>
      </c>
      <c r="G65" s="408">
        <f t="array" aca="1" ref="G65" ca="1">IF($C65="N","",SUM(IF((INDIRECT("'"&amp;$C65&amp;"'!$I$23:$I$200")=$D$5)*(INDIRECT("'"&amp;$C65&amp;"'!$H$23:$H$200")=$E$5)*(INDIRECT("'"&amp;$C65&amp;"'!$O$23:$O$200")&lt;=-2.25)*((INDIRECT("'"&amp;$C65&amp;"'!$J$23:$J$200")-INDIRECT("'"&amp;$C65&amp;"'!$K$23:$K$200"))=2),1,0)))</f>
        <v>0</v>
      </c>
      <c r="H65" s="406" t="str">
        <f t="shared" ref="H65:H70" ca="1" si="50">IF(G65="","",IF(G65=0,"-",G65/$K65))</f>
        <v>-</v>
      </c>
      <c r="I65" s="408">
        <f t="array" aca="1" ref="I65" ca="1">IF($C65="N","",SUM(IF((INDIRECT("'"&amp;$C65&amp;"'!$I$23:$I$200")=$D$5)*(INDIRECT("'"&amp;$C65&amp;"'!$H$23:$H$200")=$E$5)*(INDIRECT("'"&amp;$C65&amp;"'!$O$23:$O$200")&lt;=-2.25)*((INDIRECT("'"&amp;$C65&amp;"'!$K$23:$K$200")-INDIRECT("'"&amp;$C65&amp;"'!$J$23:$J$200"))&gt;-2),1,0)))</f>
        <v>0</v>
      </c>
      <c r="J65" s="406" t="str">
        <f t="shared" ref="J65:J70" ca="1" si="51">IF(I65="","",IF(I65=0,"-",I65/$K65))</f>
        <v>-</v>
      </c>
      <c r="K65" s="602">
        <f ca="1">IF($C65="N","",E65+G65+I65)</f>
        <v>0</v>
      </c>
      <c r="L65" s="599">
        <f t="array" aca="1" ref="L65" ca="1">IF($C65="N","",SUM(IF((INDIRECT("'"&amp;$C65&amp;"'!$I$23:$I$200")=$D$5)*(INDIRECT("'"&amp;$C65&amp;"'!$H$23:$H$200")=$L$5)*(INDIRECT("'"&amp;$C65&amp;"'!$O$23:$O$200")&lt;=-2.25)*((INDIRECT("'"&amp;$C65&amp;"'!$J$23:$J$200")-INDIRECT("'"&amp;$C65&amp;"'!$K$23:$K$200"))&gt;2),1,0)))</f>
        <v>0</v>
      </c>
      <c r="M65" s="406" t="str">
        <f t="shared" ref="M65:M70" ca="1" si="52">IF(L65="","",IF(L65=0,"-",L65/$R65))</f>
        <v>-</v>
      </c>
      <c r="N65" s="408">
        <f t="array" aca="1" ref="N65" ca="1">IF($C65="N","",SUM(IF((INDIRECT("'"&amp;$C65&amp;"'!$I$23:$I$200")=$D$5)*(INDIRECT("'"&amp;$C65&amp;"'!$H$23:$H$200")=$L$5)*(INDIRECT("'"&amp;$C65&amp;"'!$O$23:$O$200")&lt;=-2.25)*((INDIRECT("'"&amp;$C65&amp;"'!$J$23:$J$200")-INDIRECT("'"&amp;$C65&amp;"'!$K$23:$K$200"))=2),1,0)))</f>
        <v>0</v>
      </c>
      <c r="O65" s="406" t="str">
        <f t="shared" ref="O65:O70" ca="1" si="53">IF(N65="","",IF(N65=0,"-",N65/$R65))</f>
        <v>-</v>
      </c>
      <c r="P65" s="408">
        <f t="array" aca="1" ref="P65" ca="1">IF($C65="N","",SUM(IF((INDIRECT("'"&amp;$C65&amp;"'!$I$23:$I$200")=$D$5)*(INDIRECT("'"&amp;$C65&amp;"'!$H$23:$H$200")=$L$5)*(INDIRECT("'"&amp;$C65&amp;"'!$O$23:$O$200")&lt;=-2.25)*((INDIRECT("'"&amp;$C65&amp;"'!$K$23:$K$200")-INDIRECT("'"&amp;$C65&amp;"'!$J$23:$J$200"))&gt;-2),1,0)))</f>
        <v>0</v>
      </c>
      <c r="Q65" s="406" t="str">
        <f t="shared" ref="Q65:Q70" ca="1" si="54">IF(P65="","",IF(P65=0,"-",P65/$R65))</f>
        <v>-</v>
      </c>
      <c r="R65" s="602">
        <f ca="1">IF($C65="N","",L65+N65+P65)</f>
        <v>0</v>
      </c>
      <c r="S65" s="599">
        <f ca="1">IF($C65="N","",L65+E65)</f>
        <v>0</v>
      </c>
      <c r="T65" s="406" t="str">
        <f t="shared" ref="T65:T70" ca="1" si="55">IF(S65="","",IF(S65=0,"-",S65/$Y65))</f>
        <v>-</v>
      </c>
      <c r="U65" s="408">
        <f ca="1">IF($C65="N","",N65+G65)</f>
        <v>0</v>
      </c>
      <c r="V65" s="406" t="str">
        <f t="shared" ref="V65:V70" ca="1" si="56">IF(U65="","",IF(U65=0,"-",U65/$Y65))</f>
        <v>-</v>
      </c>
      <c r="W65" s="408">
        <f ca="1">IF($C65="N","",P65+I65)</f>
        <v>0</v>
      </c>
      <c r="X65" s="652" t="str">
        <f t="shared" ref="X65:X70" ca="1" si="57">IF(W65="","",IF(W65=0,"-",W65/$Y65))</f>
        <v>-</v>
      </c>
      <c r="Y65" s="653">
        <f ca="1">IF($C65="N","",R65+K65)</f>
        <v>0</v>
      </c>
      <c r="Z65" s="456"/>
      <c r="AA65" s="456"/>
      <c r="AB65" s="456"/>
      <c r="AC65" s="456"/>
      <c r="AD65" s="456"/>
      <c r="AE65" s="456"/>
      <c r="AF65" s="456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456"/>
      <c r="AX65" s="456"/>
      <c r="AY65" s="456"/>
      <c r="AZ65" s="456"/>
      <c r="BA65" s="456"/>
      <c r="BB65" s="456"/>
      <c r="BC65" s="456"/>
      <c r="BD65" s="456"/>
      <c r="BE65" s="456"/>
      <c r="BF65" s="456"/>
      <c r="BG65" s="456"/>
    </row>
    <row r="66" spans="2:59">
      <c r="B66" s="568"/>
      <c r="C66" s="357" t="str">
        <f>C65</f>
        <v>Ehime</v>
      </c>
      <c r="D66" s="654">
        <v>-1</v>
      </c>
      <c r="E66" s="655">
        <f t="array" aca="1" ref="E66" ca="1">IF($C66="N","",SUM(IF((INDIRECT("'"&amp;$C65&amp;"'!$I$23:$I$200")=$D$5)*(INDIRECT("'"&amp;$C65&amp;"'!$H$23:$H$200")=$E$5)*(INDIRECT("'"&amp;$C65&amp;"'!$O$23:$O$200")&lt;=-0.5)*(INDIRECT("'"&amp;$C65&amp;"'!$O$23:$O$200")&gt;=-2)*((INDIRECT("'"&amp;$C65&amp;"'!$J$23:$J$200")-INDIRECT("'"&amp;$C65&amp;"'!$K$23:$K$200"))&gt;1),1,0)))</f>
        <v>0</v>
      </c>
      <c r="F66" s="601" t="str">
        <f t="shared" ca="1" si="49"/>
        <v>-</v>
      </c>
      <c r="G66" s="418">
        <f t="array" aca="1" ref="G66" ca="1">IF($C66="N","",SUM(IF((INDIRECT("'"&amp;$C65&amp;"'!$I$23:$I$200")=$D$5)*(INDIRECT("'"&amp;$C65&amp;"'!$H$23:$H$200")=$E$5)*(INDIRECT("'"&amp;$C65&amp;"'!$O$23:$O$200")&lt;=-0.5)*(INDIRECT("'"&amp;$C65&amp;"'!$O$23:$O$200")&gt;=-2)*((INDIRECT("'"&amp;$C65&amp;"'!$J$23:$J$200")-INDIRECT("'"&amp;$C65&amp;"'!$K$23:$K$200"))=1),1,0)))</f>
        <v>1</v>
      </c>
      <c r="H66" s="601">
        <f t="shared" ca="1" si="50"/>
        <v>1</v>
      </c>
      <c r="I66" s="418">
        <f t="array" aca="1" ref="I66" ca="1">IF($C66="N","",SUM(IF((INDIRECT("'"&amp;$C65&amp;"'!$I$23:$I$200")=$D$5)*(INDIRECT("'"&amp;$C65&amp;"'!$H$23:$H$200")=$E$5)*(INDIRECT("'"&amp;$C65&amp;"'!$O$23:$O$200")&lt;=-0.5)*(INDIRECT("'"&amp;$C65&amp;"'!$O$23:$O$200")&gt;=-2)*((INDIRECT("'"&amp;$C65&amp;"'!$K$23:$K$200")-INDIRECT("'"&amp;$C65&amp;"'!$J$23:$J$200"))&gt;-1),1,0)))</f>
        <v>0</v>
      </c>
      <c r="J66" s="601" t="str">
        <f t="shared" ca="1" si="51"/>
        <v>-</v>
      </c>
      <c r="K66" s="522">
        <f ca="1">IF($C66="N","",E66+G66+I66)</f>
        <v>1</v>
      </c>
      <c r="L66" s="655">
        <f t="array" aca="1" ref="L66" ca="1">IF($C66="N","",SUM(IF((INDIRECT("'"&amp;$C65&amp;"'!$I$23:$I$200")=$D$5)*(INDIRECT("'"&amp;$C65&amp;"'!$H$23:$H$200")=$L$5)*(INDIRECT("'"&amp;$C65&amp;"'!$O$23:$O$200")&lt;=-0.5)*(INDIRECT("'"&amp;$C65&amp;"'!$O$23:$O$200")&gt;=-2)*((INDIRECT("'"&amp;$C65&amp;"'!$J$23:$J$200")-INDIRECT("'"&amp;$C65&amp;"'!$K$23:$K$200"))&gt;1),1,0)))</f>
        <v>0</v>
      </c>
      <c r="M66" s="601" t="str">
        <f t="shared" ca="1" si="52"/>
        <v>-</v>
      </c>
      <c r="N66" s="418">
        <f t="array" aca="1" ref="N66" ca="1">IF($C66="N","",SUM(IF((INDIRECT("'"&amp;$C65&amp;"'!$I$23:$I$200")=$D$5)*(INDIRECT("'"&amp;$C65&amp;"'!$H$23:$H$200")=$L$5)*(INDIRECT("'"&amp;$C65&amp;"'!$O$23:$O$200")&lt;=-0.5)*(INDIRECT("'"&amp;$C65&amp;"'!$O$23:$O$200")&gt;=-2)*((INDIRECT("'"&amp;$C65&amp;"'!$J$23:$J$200")-INDIRECT("'"&amp;$C65&amp;"'!$K$23:$K$200"))=1),1,0)))</f>
        <v>0</v>
      </c>
      <c r="O66" s="601" t="str">
        <f t="shared" ca="1" si="53"/>
        <v>-</v>
      </c>
      <c r="P66" s="418">
        <f t="array" aca="1" ref="P66" ca="1">IF($C66="N","",SUM(IF((INDIRECT("'"&amp;$C65&amp;"'!$I$23:$I$200")=$D$5)*(INDIRECT("'"&amp;$C65&amp;"'!$H$23:$H$200")=$L$5)*(INDIRECT("'"&amp;$C65&amp;"'!$O$23:$O$200")&lt;=-0.5)*(INDIRECT("'"&amp;$C65&amp;"'!$O$23:$O$200")&gt;=-2)*((INDIRECT("'"&amp;$C65&amp;"'!$K$23:$K$200")-INDIRECT("'"&amp;$C65&amp;"'!$J$23:$J$200"))&gt;-1),1,0)))</f>
        <v>0</v>
      </c>
      <c r="Q66" s="601" t="str">
        <f t="shared" ca="1" si="54"/>
        <v>-</v>
      </c>
      <c r="R66" s="522">
        <f ca="1">IF($C66="N","",L66+N66+P66)</f>
        <v>0</v>
      </c>
      <c r="S66" s="655">
        <f ca="1">IF($C66="N","",L66+E66)</f>
        <v>0</v>
      </c>
      <c r="T66" s="601" t="str">
        <f t="shared" ca="1" si="55"/>
        <v>-</v>
      </c>
      <c r="U66" s="418">
        <f ca="1">IF($C66="N","",N66+G66)</f>
        <v>1</v>
      </c>
      <c r="V66" s="601">
        <f t="shared" ca="1" si="56"/>
        <v>1</v>
      </c>
      <c r="W66" s="418">
        <f ca="1">IF($C66="N","",P66+I66)</f>
        <v>0</v>
      </c>
      <c r="X66" s="656" t="str">
        <f t="shared" ca="1" si="57"/>
        <v>-</v>
      </c>
      <c r="Y66" s="653">
        <f ca="1">IF($C66="N","",R66+K66)</f>
        <v>1</v>
      </c>
      <c r="Z66" s="456"/>
      <c r="AA66" s="456"/>
      <c r="AB66" s="456"/>
      <c r="AC66" s="456"/>
      <c r="AD66" s="456"/>
      <c r="AE66" s="456"/>
      <c r="AF66" s="456"/>
      <c r="AG66" s="456"/>
      <c r="AH66" s="456"/>
      <c r="AI66" s="456"/>
      <c r="AJ66" s="456"/>
      <c r="AK66" s="456"/>
      <c r="AL66" s="456"/>
      <c r="AM66" s="456"/>
      <c r="AN66" s="456"/>
      <c r="AO66" s="456"/>
      <c r="AP66" s="456"/>
      <c r="AQ66" s="456"/>
      <c r="AR66" s="456"/>
      <c r="AS66" s="456"/>
      <c r="AT66" s="456"/>
      <c r="AU66" s="456"/>
      <c r="AV66" s="456"/>
      <c r="AW66" s="456"/>
      <c r="AX66" s="456"/>
      <c r="AY66" s="456"/>
      <c r="AZ66" s="456"/>
      <c r="BA66" s="456"/>
      <c r="BB66" s="456"/>
      <c r="BC66" s="456"/>
      <c r="BD66" s="456"/>
      <c r="BE66" s="456"/>
      <c r="BF66" s="456"/>
      <c r="BG66" s="456"/>
    </row>
    <row r="67" spans="2:59">
      <c r="B67" s="568"/>
      <c r="C67" s="357" t="str">
        <f>C66</f>
        <v>Ehime</v>
      </c>
      <c r="D67" s="654">
        <v>0</v>
      </c>
      <c r="E67" s="655">
        <f t="array" aca="1" ref="E67" ca="1">IF($C67="N","",SUM(IF((INDIRECT("'"&amp;$C65&amp;"'!$I$23:$I$200")=$D$5)*(INDIRECT("'"&amp;$C65&amp;"'!$H$23:$H$200")=$E$5)*(INDIRECT("'"&amp;$C65&amp;"'!$O$23:$O$200")&gt;=-0.25)*(INDIRECT("'"&amp;$C65&amp;"'!$O$23:$O$200")&lt;=0.25)*(INDIRECT("'"&amp;$C65&amp;"'!$O$23:$O$200")&lt;&gt;"")*((INDIRECT("'"&amp;$C65&amp;"'!$J$23:$J$200")-INDIRECT("'"&amp;$C65&amp;"'!$K$23:$K$200"))&gt;0),1,0)))</f>
        <v>9</v>
      </c>
      <c r="F67" s="601">
        <f t="shared" ca="1" si="49"/>
        <v>0.5</v>
      </c>
      <c r="G67" s="418">
        <f t="array" aca="1" ref="G67" ca="1">IF($C67="N","",SUM(IF((INDIRECT("'"&amp;$C65&amp;"'!$I$23:$I$200")=$D$5)*(INDIRECT("'"&amp;$C65&amp;"'!$H$23:$H$200")=$E$5)*(INDIRECT("'"&amp;$C65&amp;"'!$O$23:$O$200")&gt;=-0.25)*(INDIRECT("'"&amp;$C65&amp;"'!$O$23:$O$200")&lt;=0.25)*(INDIRECT("'"&amp;$C65&amp;"'!$O$23:$O$200")&lt;&gt;"")*((INDIRECT("'"&amp;$C65&amp;"'!$J$23:$J$200")-INDIRECT("'"&amp;$C65&amp;"'!$K$23:$K$200"))=0),1,0)))</f>
        <v>4</v>
      </c>
      <c r="H67" s="601">
        <f t="shared" ca="1" si="50"/>
        <v>0.22222222222222221</v>
      </c>
      <c r="I67" s="418">
        <f t="array" aca="1" ref="I67" ca="1">IF($C67="N","",SUM(IF((INDIRECT("'"&amp;$C65&amp;"'!$I$23:$I$200")=$D$5)*(INDIRECT("'"&amp;$C65&amp;"'!$H$23:$H$200")=$E$5)*(INDIRECT("'"&amp;$C65&amp;"'!$O$23:$O$200")&gt;=-0.25)*(INDIRECT("'"&amp;$C65&amp;"'!$O$23:$O$200")&lt;=0.25)*(INDIRECT("'"&amp;$C65&amp;"'!$O$23:$O$200")&lt;&gt;"")*((INDIRECT("'"&amp;$C65&amp;"'!$J$23:$J$200")-INDIRECT("'"&amp;$C65&amp;"'!$K$23:$K$200"))&lt;0),1,0)))</f>
        <v>5</v>
      </c>
      <c r="J67" s="601">
        <f t="shared" ca="1" si="51"/>
        <v>0.27777777777777779</v>
      </c>
      <c r="K67" s="522">
        <f ca="1">IF($C67="N","",E67+G67+I67)</f>
        <v>18</v>
      </c>
      <c r="L67" s="655">
        <f t="array" aca="1" ref="L67" ca="1">IF($C67="N","",SUM(IF((INDIRECT("'"&amp;$C65&amp;"'!$I$23:$I$200")=$D$5)*(INDIRECT("'"&amp;$C65&amp;"'!$H$23:$H$200")=$L$5)*(INDIRECT("'"&amp;$C65&amp;"'!$O$23:$O$200")&gt;=-0.25)*(INDIRECT("'"&amp;$C65&amp;"'!$O$23:$O$200")&lt;=0.25)*(INDIRECT("'"&amp;$C65&amp;"'!$O$23:$O$200")&lt;&gt;"")*((INDIRECT("'"&amp;$C65&amp;"'!$J$23:$J$200")-INDIRECT("'"&amp;$C65&amp;"'!$K$23:$K$200"))&gt;0),1,0)))</f>
        <v>2</v>
      </c>
      <c r="M67" s="601">
        <f t="shared" ca="1" si="52"/>
        <v>0.14285714285714285</v>
      </c>
      <c r="N67" s="418">
        <f t="array" aca="1" ref="N67" ca="1">IF($C67="N","",SUM(IF((INDIRECT("'"&amp;$C65&amp;"'!$I$23:$I$200")=$D$5)*(INDIRECT("'"&amp;$C65&amp;"'!$H$23:$H$200")=$L$5)*(INDIRECT("'"&amp;$C65&amp;"'!$O$23:$O$200")&gt;=-0.25)*(INDIRECT("'"&amp;$C65&amp;"'!$O$23:$O$200")&lt;=0.25)*(INDIRECT("'"&amp;$C65&amp;"'!$O$23:$O$200")&lt;&gt;"")*((INDIRECT("'"&amp;$C65&amp;"'!$J$23:$J$200")-INDIRECT("'"&amp;$C65&amp;"'!$K$23:$K$200"))=0),1,0)))</f>
        <v>4</v>
      </c>
      <c r="O67" s="601">
        <f t="shared" ca="1" si="53"/>
        <v>0.2857142857142857</v>
      </c>
      <c r="P67" s="418">
        <f t="array" aca="1" ref="P67" ca="1">IF($C67="N","",SUM(IF((INDIRECT("'"&amp;$C65&amp;"'!$I$23:$I$200")=$D$5)*(INDIRECT("'"&amp;$C65&amp;"'!$H$23:$H$200")=$L$5)*(INDIRECT("'"&amp;$C65&amp;"'!$O$23:$O$200")&gt;=-0.25)*(INDIRECT("'"&amp;$C65&amp;"'!$O$23:$O$200")&lt;=0.25)*(INDIRECT("'"&amp;$C65&amp;"'!$O$23:$O$200")&lt;&gt;"")*((INDIRECT("'"&amp;$C65&amp;"'!$J$23:$J$200")-INDIRECT("'"&amp;$C65&amp;"'!$K$23:$K$200"))&lt;0),1,0)))</f>
        <v>8</v>
      </c>
      <c r="Q67" s="601">
        <f t="shared" ca="1" si="54"/>
        <v>0.5714285714285714</v>
      </c>
      <c r="R67" s="522">
        <f ca="1">IF($C67="N","",L67+N67+P67)</f>
        <v>14</v>
      </c>
      <c r="S67" s="655">
        <f ca="1">IF($C67="N","",L67+E67)</f>
        <v>11</v>
      </c>
      <c r="T67" s="601">
        <f t="shared" ca="1" si="55"/>
        <v>0.34375</v>
      </c>
      <c r="U67" s="418">
        <f ca="1">IF($C67="N","",N67+G67)</f>
        <v>8</v>
      </c>
      <c r="V67" s="601">
        <f t="shared" ca="1" si="56"/>
        <v>0.25</v>
      </c>
      <c r="W67" s="418">
        <f ca="1">IF($C67="N","",P67+I67)</f>
        <v>13</v>
      </c>
      <c r="X67" s="656">
        <f t="shared" ca="1" si="57"/>
        <v>0.40625</v>
      </c>
      <c r="Y67" s="653">
        <f ca="1">IF($C67="N","",R67+K67)</f>
        <v>32</v>
      </c>
      <c r="Z67" s="456"/>
      <c r="AA67" s="456"/>
      <c r="AB67" s="456"/>
      <c r="AC67" s="456"/>
      <c r="AD67" s="456"/>
      <c r="AE67" s="456"/>
      <c r="AF67" s="456"/>
      <c r="AG67" s="456"/>
      <c r="AH67" s="456"/>
      <c r="AI67" s="456"/>
      <c r="AJ67" s="456"/>
      <c r="AK67" s="456"/>
      <c r="AL67" s="456"/>
      <c r="AM67" s="456"/>
      <c r="AN67" s="456"/>
      <c r="AO67" s="456"/>
      <c r="AP67" s="456"/>
      <c r="AQ67" s="456"/>
      <c r="AR67" s="456"/>
      <c r="AS67" s="456"/>
      <c r="AT67" s="456"/>
      <c r="AU67" s="456"/>
      <c r="AV67" s="456"/>
      <c r="AW67" s="456"/>
      <c r="AX67" s="456"/>
      <c r="AY67" s="456"/>
      <c r="AZ67" s="456"/>
      <c r="BA67" s="456"/>
      <c r="BB67" s="456"/>
      <c r="BC67" s="456"/>
      <c r="BD67" s="456"/>
      <c r="BE67" s="456"/>
      <c r="BF67" s="456"/>
      <c r="BG67" s="456"/>
    </row>
    <row r="68" spans="2:59">
      <c r="B68" s="568"/>
      <c r="C68" s="357" t="str">
        <f>C67</f>
        <v>Ehime</v>
      </c>
      <c r="D68" s="654">
        <v>1</v>
      </c>
      <c r="E68" s="655">
        <f t="array" aca="1" ref="E68" ca="1">IF($C68="N","",SUM(IF((INDIRECT("'"&amp;$C65&amp;"'!$I$23:$I$200")=$D$5)*(INDIRECT("'"&amp;$C65&amp;"'!$H$23:$H$200")=$E$5)*(INDIRECT("'"&amp;$C65&amp;"'!$O$23:$O$200")&gt;=0.5)*(INDIRECT("'"&amp;$C65&amp;"'!$O$23:$O$200")&lt;=2)*((INDIRECT("'"&amp;$C65&amp;"'!$J$23:$J$200")-INDIRECT("'"&amp;$C65&amp;"'!$K$23:$K$200"))&gt;-1),1,0)))</f>
        <v>0</v>
      </c>
      <c r="F68" s="601" t="str">
        <f t="shared" ca="1" si="49"/>
        <v>-</v>
      </c>
      <c r="G68" s="418">
        <f t="array" aca="1" ref="G68" ca="1">IF($C68="N","",SUM(IF((INDIRECT("'"&amp;$C65&amp;"'!$I$23:$I$200")=$D$5)*(INDIRECT("'"&amp;$C65&amp;"'!$H$23:$H$200")=$E$5)*(INDIRECT("'"&amp;$C65&amp;"'!$O$23:$O$200")&gt;=0.5)*(INDIRECT("'"&amp;$C65&amp;"'!$O$23:$O$200")&lt;=2)*((INDIRECT("'"&amp;$C65&amp;"'!$J$23:$J$200")-INDIRECT("'"&amp;$C65&amp;"'!$K$23:$K$200"))=-1),1,0)))</f>
        <v>1</v>
      </c>
      <c r="H68" s="601">
        <f t="shared" ca="1" si="50"/>
        <v>0.5</v>
      </c>
      <c r="I68" s="418">
        <f t="array" aca="1" ref="I68" ca="1">IF($C68="N","",SUM(IF((INDIRECT("'"&amp;$C65&amp;"'!$I$23:$I$200")=$D$5)*(INDIRECT("'"&amp;$C65&amp;"'!$H$23:$H$200")=$E$5)*(INDIRECT("'"&amp;$C65&amp;"'!$O$23:$O$200")&gt;=0.5)*(INDIRECT("'"&amp;$C65&amp;"'!$O$23:$O$200")&lt;=2)*((INDIRECT("'"&amp;$C65&amp;"'!$J$23:$J$200")-INDIRECT("'"&amp;$C65&amp;"'!$K$23:$K$200"))&lt;-1),1,0)))</f>
        <v>1</v>
      </c>
      <c r="J68" s="601">
        <f t="shared" ca="1" si="51"/>
        <v>0.5</v>
      </c>
      <c r="K68" s="522">
        <f ca="1">IF($C68="N","",E68+G68+I68)</f>
        <v>2</v>
      </c>
      <c r="L68" s="655">
        <f t="array" aca="1" ref="L68" ca="1">IF($C68="N","",SUM(IF((INDIRECT("'"&amp;$C65&amp;"'!$I$23:$I$200")=$D$5)*(INDIRECT("'"&amp;$C65&amp;"'!$H$23:$H$200")=$L$5)*(INDIRECT("'"&amp;$C65&amp;"'!$O$23:$O$200")&gt;=0.5)*(INDIRECT("'"&amp;$C65&amp;"'!$O$23:$O$200")&lt;=2)*((INDIRECT("'"&amp;$C65&amp;"'!$J$23:$J$200")-INDIRECT("'"&amp;$C65&amp;"'!$K$23:$K$200"))&gt;-1),1,0)))</f>
        <v>3</v>
      </c>
      <c r="M68" s="601">
        <f t="shared" ca="1" si="52"/>
        <v>0.42857142857142855</v>
      </c>
      <c r="N68" s="418">
        <f t="array" aca="1" ref="N68" ca="1">IF($C68="N","",SUM(IF((INDIRECT("'"&amp;$C65&amp;"'!$I$23:$I$200")=$D$5)*(INDIRECT("'"&amp;$C65&amp;"'!$H$23:$H$200")=$L$5)*(INDIRECT("'"&amp;$C65&amp;"'!$O$23:$O$200")&gt;=0.5)*(INDIRECT("'"&amp;$C65&amp;"'!$O$23:$O$200")&lt;=2)*((INDIRECT("'"&amp;$C65&amp;"'!$J$23:$J$200")-INDIRECT("'"&amp;$C65&amp;"'!$K$23:$K$200"))=-1),1,0)))</f>
        <v>2</v>
      </c>
      <c r="O68" s="601">
        <f t="shared" ca="1" si="53"/>
        <v>0.2857142857142857</v>
      </c>
      <c r="P68" s="418">
        <f t="array" aca="1" ref="P68" ca="1">IF($C68="N","",SUM(IF((INDIRECT("'"&amp;$C65&amp;"'!$I$23:$I$200")=$D$5)*(INDIRECT("'"&amp;$C65&amp;"'!$H$23:$H$200")=$L$5)*(INDIRECT("'"&amp;$C65&amp;"'!$O$23:$O$200")&gt;=0.5)*(INDIRECT("'"&amp;$C65&amp;"'!$O$23:$O$200")&lt;=2)*((INDIRECT("'"&amp;$C65&amp;"'!$J$23:$J$200")-INDIRECT("'"&amp;$C65&amp;"'!$K$23:$K$200"))&lt;-1),1,0)))</f>
        <v>2</v>
      </c>
      <c r="Q68" s="601">
        <f t="shared" ca="1" si="54"/>
        <v>0.2857142857142857</v>
      </c>
      <c r="R68" s="522">
        <f ca="1">IF($C68="N","",L68+N68+P68)</f>
        <v>7</v>
      </c>
      <c r="S68" s="655">
        <f ca="1">IF($C68="N","",L68+E68)</f>
        <v>3</v>
      </c>
      <c r="T68" s="601">
        <f t="shared" ca="1" si="55"/>
        <v>0.33333333333333331</v>
      </c>
      <c r="U68" s="418">
        <f ca="1">IF($C68="N","",N68+G68)</f>
        <v>3</v>
      </c>
      <c r="V68" s="601">
        <f t="shared" ca="1" si="56"/>
        <v>0.33333333333333331</v>
      </c>
      <c r="W68" s="418">
        <f ca="1">IF($C68="N","",P68+I68)</f>
        <v>3</v>
      </c>
      <c r="X68" s="656">
        <f t="shared" ca="1" si="57"/>
        <v>0.33333333333333331</v>
      </c>
      <c r="Y68" s="653">
        <f ca="1">IF($C68="N","",R68+K68)</f>
        <v>9</v>
      </c>
      <c r="Z68" s="456"/>
      <c r="AA68" s="456"/>
      <c r="AB68" s="456"/>
      <c r="AC68" s="456"/>
      <c r="AD68" s="456"/>
      <c r="AE68" s="456"/>
      <c r="AF68" s="456"/>
      <c r="AG68" s="456"/>
      <c r="AH68" s="456"/>
      <c r="AI68" s="456"/>
      <c r="AJ68" s="456"/>
      <c r="AK68" s="456"/>
      <c r="AL68" s="456"/>
      <c r="AM68" s="456"/>
      <c r="AN68" s="456"/>
      <c r="AO68" s="456"/>
      <c r="AP68" s="456"/>
      <c r="AQ68" s="456"/>
      <c r="AR68" s="456"/>
      <c r="AS68" s="456"/>
      <c r="AT68" s="456"/>
      <c r="AU68" s="456"/>
      <c r="AV68" s="456"/>
      <c r="AW68" s="456"/>
      <c r="AX68" s="456"/>
      <c r="AY68" s="456"/>
      <c r="AZ68" s="456"/>
      <c r="BA68" s="456"/>
      <c r="BB68" s="456"/>
      <c r="BC68" s="456"/>
      <c r="BD68" s="456"/>
      <c r="BE68" s="456"/>
      <c r="BF68" s="456"/>
      <c r="BG68" s="456"/>
    </row>
    <row r="69" spans="2:59" ht="13.5" thickBot="1">
      <c r="B69" s="568"/>
      <c r="C69" s="357" t="str">
        <f>C68</f>
        <v>Ehime</v>
      </c>
      <c r="D69" s="654">
        <v>2</v>
      </c>
      <c r="E69" s="657">
        <f t="array" aca="1" ref="E69" ca="1">IF($C69="N","",SUM(IF((INDIRECT("'"&amp;$C65&amp;"'!$I$23:$I$200")=$D$5)*(INDIRECT("'"&amp;$C65&amp;"'!$H$23:$H$200")=$E$5)*(INDIRECT("'"&amp;$C65&amp;"'!$O$23:$O$200")&gt;=2.25)*((INDIRECT("'"&amp;$C65&amp;"'!$J$23:$J$200")-INDIRECT("'"&amp;$C65&amp;"'!$K$23:$K$200"))&gt;-2),1,0)))</f>
        <v>0</v>
      </c>
      <c r="F69" s="605" t="str">
        <f t="shared" ca="1" si="49"/>
        <v>-</v>
      </c>
      <c r="G69" s="658">
        <f t="array" aca="1" ref="G69" ca="1">IF($C69="N","",SUM(IF((INDIRECT("'"&amp;$C65&amp;"'!$I$23:$I$200")=$D$5)*(INDIRECT("'"&amp;$C65&amp;"'!$H$23:$H$200")=$E$5)*(INDIRECT("'"&amp;$C65&amp;"'!$O$23:$O$200")&gt;=2.25)*((INDIRECT("'"&amp;$C65&amp;"'!$J$23:$J$200")-INDIRECT("'"&amp;$C65&amp;"'!$K$23:$K$200"))=-2),1,0)))</f>
        <v>0</v>
      </c>
      <c r="H69" s="605" t="str">
        <f t="shared" ca="1" si="50"/>
        <v>-</v>
      </c>
      <c r="I69" s="658">
        <f t="array" aca="1" ref="I69" ca="1">IF($C69="N","",SUM(IF((INDIRECT("'"&amp;$C65&amp;"'!$I$23:$I$200")=$D$5)*(INDIRECT("'"&amp;$C65&amp;"'!$H$23:$H$200")=$E$5)*(INDIRECT("'"&amp;$C65&amp;"'!$O$23:$O$200")&gt;=2.25)*((INDIRECT("'"&amp;$C65&amp;"'!$J$23:$J$200")-INDIRECT("'"&amp;$C65&amp;"'!$K$23:$K$200"))&lt;-2),1,0)))</f>
        <v>0</v>
      </c>
      <c r="J69" s="605" t="str">
        <f t="shared" ca="1" si="51"/>
        <v>-</v>
      </c>
      <c r="K69" s="659">
        <f ca="1">IF($C69="N","",E69+G69+I69)</f>
        <v>0</v>
      </c>
      <c r="L69" s="657">
        <f t="array" aca="1" ref="L69" ca="1">IF($C69="N","",SUM(IF((INDIRECT("'"&amp;$C65&amp;"'!$I$23:$I$200")=$D$5)*(INDIRECT("'"&amp;$C65&amp;"'!$H$23:$H$200")=$L$5)*(INDIRECT("'"&amp;$C65&amp;"'!$O$23:$O$200")&gt;=2.25)*((INDIRECT("'"&amp;$C65&amp;"'!$J$23:$J$200")-INDIRECT("'"&amp;$C65&amp;"'!$K$23:$K$200"))&gt;-2),1,0)))</f>
        <v>0</v>
      </c>
      <c r="M69" s="605" t="str">
        <f t="shared" ca="1" si="52"/>
        <v>-</v>
      </c>
      <c r="N69" s="658">
        <f t="array" aca="1" ref="N69" ca="1">IF($C69="N","",SUM(IF((INDIRECT("'"&amp;$C65&amp;"'!$I$23:$I$200")=$D$5)*(INDIRECT("'"&amp;$C65&amp;"'!$H$23:$H$200")=$L$5)*(INDIRECT("'"&amp;$C65&amp;"'!$O$23:$O$200")&gt;=2.25)*((INDIRECT("'"&amp;$C65&amp;"'!$J$23:$J$200")-INDIRECT("'"&amp;$C65&amp;"'!$K$23:$K$200"))=-2),1,0)))</f>
        <v>0</v>
      </c>
      <c r="O69" s="605" t="str">
        <f t="shared" ca="1" si="53"/>
        <v>-</v>
      </c>
      <c r="P69" s="658">
        <f t="array" aca="1" ref="P69" ca="1">IF($C69="N","",SUM(IF((INDIRECT("'"&amp;$C65&amp;"'!$I$23:$I$200")=$D$5)*(INDIRECT("'"&amp;$C65&amp;"'!$H$23:$H$200")=$L$5)*(INDIRECT("'"&amp;$C65&amp;"'!$O$23:$O$200")&gt;=2.25)*((INDIRECT("'"&amp;$C65&amp;"'!$J$23:$J$200")-INDIRECT("'"&amp;$C65&amp;"'!$K$23:$K$200"))&lt;-2),1,0)))</f>
        <v>0</v>
      </c>
      <c r="Q69" s="605" t="str">
        <f t="shared" ca="1" si="54"/>
        <v>-</v>
      </c>
      <c r="R69" s="659">
        <f ca="1">IF($C69="N","",L69+N69+P69)</f>
        <v>0</v>
      </c>
      <c r="S69" s="657">
        <f ca="1">IF($C69="N","",L69+E69)</f>
        <v>0</v>
      </c>
      <c r="T69" s="605" t="str">
        <f t="shared" ca="1" si="55"/>
        <v>-</v>
      </c>
      <c r="U69" s="658">
        <f ca="1">IF($C69="N","",N69+G69)</f>
        <v>0</v>
      </c>
      <c r="V69" s="605" t="str">
        <f t="shared" ca="1" si="56"/>
        <v>-</v>
      </c>
      <c r="W69" s="658">
        <f ca="1">IF($C69="N","",P69+I69)</f>
        <v>0</v>
      </c>
      <c r="X69" s="660" t="str">
        <f t="shared" ca="1" si="57"/>
        <v>-</v>
      </c>
      <c r="Y69" s="531">
        <f ca="1">IF($C69="N","",R69+K69)</f>
        <v>0</v>
      </c>
      <c r="Z69" s="456"/>
      <c r="AA69" s="456"/>
      <c r="AB69" s="456"/>
      <c r="AC69" s="456"/>
      <c r="AD69" s="456"/>
      <c r="AE69" s="456"/>
      <c r="AF69" s="456"/>
      <c r="AG69" s="456"/>
      <c r="AH69" s="456"/>
      <c r="AI69" s="456"/>
      <c r="AJ69" s="456"/>
      <c r="AK69" s="456"/>
      <c r="AL69" s="456"/>
      <c r="AM69" s="456"/>
      <c r="AN69" s="456"/>
      <c r="AO69" s="456"/>
      <c r="AP69" s="456"/>
      <c r="AQ69" s="456"/>
      <c r="AR69" s="456"/>
      <c r="AS69" s="456"/>
      <c r="AT69" s="456"/>
      <c r="AU69" s="456"/>
      <c r="AV69" s="456"/>
      <c r="AW69" s="456"/>
      <c r="AX69" s="456"/>
      <c r="AY69" s="456"/>
      <c r="AZ69" s="456"/>
      <c r="BA69" s="456"/>
      <c r="BB69" s="456"/>
      <c r="BC69" s="456"/>
      <c r="BD69" s="456"/>
      <c r="BE69" s="456"/>
      <c r="BF69" s="456"/>
      <c r="BG69" s="456"/>
    </row>
    <row r="70" spans="2:59" ht="13.5" thickBot="1">
      <c r="B70" s="568" t="str">
        <f>D63</f>
        <v>Ehime</v>
      </c>
      <c r="D70" s="661" t="s">
        <v>115</v>
      </c>
      <c r="E70" s="481">
        <f ca="1">SUM(E65:E69)</f>
        <v>9</v>
      </c>
      <c r="F70" s="435">
        <f t="shared" ca="1" si="49"/>
        <v>0.42857142857142855</v>
      </c>
      <c r="G70" s="438">
        <f ca="1">SUM(G65:G69)</f>
        <v>6</v>
      </c>
      <c r="H70" s="435">
        <f t="shared" ca="1" si="50"/>
        <v>0.2857142857142857</v>
      </c>
      <c r="I70" s="438">
        <f ca="1">SUM(I65:I69)</f>
        <v>6</v>
      </c>
      <c r="J70" s="435">
        <f t="shared" ca="1" si="51"/>
        <v>0.2857142857142857</v>
      </c>
      <c r="K70" s="479">
        <f ca="1">SUM(K65:K69)</f>
        <v>21</v>
      </c>
      <c r="L70" s="662">
        <f ca="1">SUM(L65:L69)</f>
        <v>5</v>
      </c>
      <c r="M70" s="435">
        <f t="shared" ca="1" si="52"/>
        <v>0.23809523809523808</v>
      </c>
      <c r="N70" s="438">
        <f ca="1">SUM(N65:N69)</f>
        <v>6</v>
      </c>
      <c r="O70" s="435">
        <f t="shared" ca="1" si="53"/>
        <v>0.2857142857142857</v>
      </c>
      <c r="P70" s="438">
        <f ca="1">SUM(P65:P69)</f>
        <v>10</v>
      </c>
      <c r="Q70" s="435">
        <f t="shared" ca="1" si="54"/>
        <v>0.47619047619047616</v>
      </c>
      <c r="R70" s="480">
        <f ca="1">SUM(R65:R69)</f>
        <v>21</v>
      </c>
      <c r="S70" s="481">
        <f ca="1">SUM(S65:S69)</f>
        <v>14</v>
      </c>
      <c r="T70" s="435">
        <f t="shared" ca="1" si="55"/>
        <v>0.33333333333333331</v>
      </c>
      <c r="U70" s="438">
        <f ca="1">SUM(U65:U69)</f>
        <v>12</v>
      </c>
      <c r="V70" s="435">
        <f t="shared" ca="1" si="56"/>
        <v>0.2857142857142857</v>
      </c>
      <c r="W70" s="438">
        <f ca="1">SUM(W65:W69)</f>
        <v>16</v>
      </c>
      <c r="X70" s="638">
        <f t="shared" ca="1" si="57"/>
        <v>0.38095238095238093</v>
      </c>
      <c r="Y70" s="639">
        <f ca="1">SUM(Y65:Y69)</f>
        <v>42</v>
      </c>
      <c r="Z70" s="456"/>
      <c r="AA70" s="456"/>
      <c r="AB70" s="456"/>
      <c r="AC70" s="456"/>
      <c r="AD70" s="456"/>
      <c r="AE70" s="456"/>
      <c r="AF70" s="456"/>
      <c r="AG70" s="456"/>
      <c r="AH70" s="456"/>
      <c r="AI70" s="456"/>
      <c r="AJ70" s="456"/>
      <c r="AK70" s="456"/>
      <c r="AL70" s="456"/>
      <c r="AM70" s="456"/>
      <c r="AN70" s="456"/>
      <c r="AO70" s="456"/>
      <c r="AP70" s="456"/>
      <c r="AQ70" s="456"/>
      <c r="AR70" s="456"/>
      <c r="AS70" s="456"/>
      <c r="AT70" s="456"/>
      <c r="AU70" s="456"/>
      <c r="AV70" s="456"/>
      <c r="AW70" s="456"/>
      <c r="AX70" s="456"/>
      <c r="AY70" s="456"/>
      <c r="AZ70" s="456"/>
      <c r="BA70" s="456"/>
      <c r="BB70" s="456"/>
      <c r="BC70" s="456"/>
      <c r="BD70" s="456"/>
      <c r="BE70" s="456"/>
      <c r="BF70" s="456"/>
      <c r="BG70" s="456"/>
    </row>
    <row r="71" spans="2:59" ht="13.5" thickBot="1">
      <c r="B71" s="568"/>
      <c r="X71" s="640"/>
      <c r="Y71" s="456"/>
      <c r="Z71" s="456"/>
      <c r="AA71" s="456"/>
      <c r="AB71" s="456"/>
      <c r="AC71" s="456"/>
      <c r="AD71" s="456"/>
      <c r="AE71" s="456"/>
      <c r="AF71" s="456"/>
      <c r="AG71" s="456"/>
      <c r="AH71" s="456"/>
      <c r="AI71" s="456"/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6"/>
      <c r="BC71" s="456"/>
      <c r="BD71" s="456"/>
      <c r="BE71" s="456"/>
      <c r="BF71" s="456"/>
      <c r="BG71" s="456"/>
    </row>
    <row r="72" spans="2:59">
      <c r="D72" s="562" t="str">
        <f>G1</f>
        <v>Fagiano Okayama</v>
      </c>
      <c r="E72" s="582" t="s">
        <v>162</v>
      </c>
      <c r="F72" s="583"/>
      <c r="G72" s="584"/>
      <c r="H72" s="583"/>
      <c r="I72" s="585"/>
      <c r="J72" s="584"/>
      <c r="K72" s="586"/>
      <c r="L72" s="641" t="s">
        <v>163</v>
      </c>
      <c r="M72" s="583"/>
      <c r="N72" s="584"/>
      <c r="O72" s="583"/>
      <c r="P72" s="585"/>
      <c r="Q72" s="583"/>
      <c r="R72" s="584"/>
      <c r="S72" s="582" t="s">
        <v>164</v>
      </c>
      <c r="T72" s="583"/>
      <c r="U72" s="584"/>
      <c r="V72" s="583"/>
      <c r="W72" s="587"/>
      <c r="X72" s="642"/>
      <c r="Y72" s="643"/>
      <c r="Z72" s="456"/>
      <c r="AA72" s="456"/>
      <c r="AB72" s="456"/>
      <c r="AC72" s="456"/>
      <c r="AD72" s="456"/>
      <c r="AE72" s="456"/>
      <c r="AF72" s="456"/>
      <c r="AG72" s="456"/>
      <c r="AH72" s="456"/>
      <c r="AI72" s="456"/>
      <c r="AJ72" s="456"/>
      <c r="AK72" s="456"/>
      <c r="AL72" s="456"/>
      <c r="AM72" s="456"/>
      <c r="AN72" s="456"/>
      <c r="AO72" s="456"/>
      <c r="AP72" s="456"/>
      <c r="AQ72" s="456"/>
      <c r="AR72" s="456"/>
      <c r="AS72" s="456"/>
      <c r="AT72" s="456"/>
      <c r="AU72" s="456"/>
      <c r="AV72" s="456"/>
      <c r="AW72" s="456"/>
      <c r="AX72" s="456"/>
      <c r="AY72" s="456"/>
      <c r="AZ72" s="456"/>
      <c r="BA72" s="456"/>
      <c r="BB72" s="456"/>
      <c r="BC72" s="456"/>
      <c r="BD72" s="456"/>
      <c r="BE72" s="456"/>
      <c r="BF72" s="456"/>
      <c r="BG72" s="456"/>
    </row>
    <row r="73" spans="2:59" ht="13.5" thickBot="1">
      <c r="D73" s="644" t="s">
        <v>165</v>
      </c>
      <c r="E73" s="590" t="s">
        <v>63</v>
      </c>
      <c r="F73" s="591"/>
      <c r="G73" s="645" t="s">
        <v>64</v>
      </c>
      <c r="H73" s="591"/>
      <c r="I73" s="645" t="s">
        <v>65</v>
      </c>
      <c r="J73" s="645"/>
      <c r="K73" s="646" t="s">
        <v>171</v>
      </c>
      <c r="L73" s="647" t="s">
        <v>63</v>
      </c>
      <c r="M73" s="591"/>
      <c r="N73" s="645" t="s">
        <v>64</v>
      </c>
      <c r="O73" s="591"/>
      <c r="P73" s="645" t="s">
        <v>65</v>
      </c>
      <c r="Q73" s="591"/>
      <c r="R73" s="646" t="s">
        <v>172</v>
      </c>
      <c r="S73" s="590" t="s">
        <v>63</v>
      </c>
      <c r="T73" s="591"/>
      <c r="U73" s="645" t="s">
        <v>64</v>
      </c>
      <c r="V73" s="648"/>
      <c r="W73" s="645" t="s">
        <v>65</v>
      </c>
      <c r="X73" s="649"/>
      <c r="Y73" s="650" t="s">
        <v>168</v>
      </c>
      <c r="Z73" s="456"/>
      <c r="AA73" s="456"/>
      <c r="AB73" s="456"/>
      <c r="AC73" s="456"/>
      <c r="AD73" s="456"/>
      <c r="AE73" s="456"/>
      <c r="AF73" s="456"/>
      <c r="AG73" s="456"/>
      <c r="AH73" s="456"/>
      <c r="AI73" s="456"/>
      <c r="AJ73" s="456"/>
      <c r="AK73" s="456"/>
      <c r="AL73" s="456"/>
      <c r="AM73" s="456"/>
      <c r="AN73" s="456"/>
      <c r="AO73" s="456"/>
      <c r="AP73" s="456"/>
      <c r="AQ73" s="456"/>
      <c r="AR73" s="456"/>
      <c r="AS73" s="456"/>
      <c r="AT73" s="456"/>
      <c r="AU73" s="456"/>
      <c r="AV73" s="456"/>
      <c r="AW73" s="456"/>
      <c r="AX73" s="456"/>
      <c r="AY73" s="456"/>
      <c r="AZ73" s="456"/>
      <c r="BA73" s="456"/>
      <c r="BB73" s="456"/>
      <c r="BC73" s="456"/>
      <c r="BD73" s="456"/>
      <c r="BE73" s="456"/>
      <c r="BF73" s="456"/>
      <c r="BG73" s="456"/>
    </row>
    <row r="74" spans="2:59">
      <c r="B74" s="568"/>
      <c r="C74" s="357" t="str">
        <f>IF(D72=0,"N",D72)</f>
        <v>Fagiano Okayama</v>
      </c>
      <c r="D74" s="651">
        <v>-2</v>
      </c>
      <c r="E74" s="599">
        <f t="array" aca="1" ref="E74" ca="1">IF($C74="N","",SUM(IF((INDIRECT("'"&amp;$C74&amp;"'!$I$23:$I$200")=$D$5)*(INDIRECT("'"&amp;$C74&amp;"'!$H$23:$H$200")=$E$5)*(INDIRECT("'"&amp;$C74&amp;"'!$O$23:$O$200")&lt;=-2.25)*((INDIRECT("'"&amp;$C74&amp;"'!$J$23:$J$200")-INDIRECT("'"&amp;$C74&amp;"'!$K$23:$K$200"))&gt;2),1,0)))</f>
        <v>0</v>
      </c>
      <c r="F74" s="406" t="str">
        <f t="shared" ref="F74:F79" ca="1" si="58">IF(E74="","",IF(E74=0,"-",E74/$K74))</f>
        <v>-</v>
      </c>
      <c r="G74" s="408">
        <f t="array" aca="1" ref="G74" ca="1">IF($C74="N","",SUM(IF((INDIRECT("'"&amp;$C74&amp;"'!$I$23:$I$200")=$D$5)*(INDIRECT("'"&amp;$C74&amp;"'!$H$23:$H$200")=$E$5)*(INDIRECT("'"&amp;$C74&amp;"'!$O$23:$O$200")&lt;=-2.25)*((INDIRECT("'"&amp;$C74&amp;"'!$J$23:$J$200")-INDIRECT("'"&amp;$C74&amp;"'!$K$23:$K$200"))=2),1,0)))</f>
        <v>0</v>
      </c>
      <c r="H74" s="406" t="str">
        <f t="shared" ref="H74:H79" ca="1" si="59">IF(G74="","",IF(G74=0,"-",G74/$K74))</f>
        <v>-</v>
      </c>
      <c r="I74" s="408">
        <f t="array" aca="1" ref="I74" ca="1">IF($C74="N","",SUM(IF((INDIRECT("'"&amp;$C74&amp;"'!$I$23:$I$200")=$D$5)*(INDIRECT("'"&amp;$C74&amp;"'!$H$23:$H$200")=$E$5)*(INDIRECT("'"&amp;$C74&amp;"'!$O$23:$O$200")&lt;=-2.25)*((INDIRECT("'"&amp;$C74&amp;"'!$K$23:$K$200")-INDIRECT("'"&amp;$C74&amp;"'!$J$23:$J$200"))&gt;-2),1,0)))</f>
        <v>0</v>
      </c>
      <c r="J74" s="406" t="str">
        <f t="shared" ref="J74:J79" ca="1" si="60">IF(I74="","",IF(I74=0,"-",I74/$K74))</f>
        <v>-</v>
      </c>
      <c r="K74" s="602">
        <f ca="1">IF($C74="N","",E74+G74+I74)</f>
        <v>0</v>
      </c>
      <c r="L74" s="599">
        <f t="array" aca="1" ref="L74" ca="1">IF($C74="N","",SUM(IF((INDIRECT("'"&amp;$C74&amp;"'!$I$23:$I$200")=$D$5)*(INDIRECT("'"&amp;$C74&amp;"'!$H$23:$H$200")=$L$5)*(INDIRECT("'"&amp;$C74&amp;"'!$O$23:$O$200")&lt;=-2.25)*((INDIRECT("'"&amp;$C74&amp;"'!$J$23:$J$200")-INDIRECT("'"&amp;$C74&amp;"'!$K$23:$K$200"))&gt;2),1,0)))</f>
        <v>0</v>
      </c>
      <c r="M74" s="406" t="str">
        <f t="shared" ref="M74:M79" ca="1" si="61">IF(L74="","",IF(L74=0,"-",L74/$R74))</f>
        <v>-</v>
      </c>
      <c r="N74" s="408">
        <f t="array" aca="1" ref="N74" ca="1">IF($C74="N","",SUM(IF((INDIRECT("'"&amp;$C74&amp;"'!$I$23:$I$200")=$D$5)*(INDIRECT("'"&amp;$C74&amp;"'!$H$23:$H$200")=$L$5)*(INDIRECT("'"&amp;$C74&amp;"'!$O$23:$O$200")&lt;=-2.25)*((INDIRECT("'"&amp;$C74&amp;"'!$J$23:$J$200")-INDIRECT("'"&amp;$C74&amp;"'!$K$23:$K$200"))=2),1,0)))</f>
        <v>0</v>
      </c>
      <c r="O74" s="406" t="str">
        <f t="shared" ref="O74:O79" ca="1" si="62">IF(N74="","",IF(N74=0,"-",N74/$R74))</f>
        <v>-</v>
      </c>
      <c r="P74" s="408">
        <f t="array" aca="1" ref="P74" ca="1">IF($C74="N","",SUM(IF((INDIRECT("'"&amp;$C74&amp;"'!$I$23:$I$200")=$D$5)*(INDIRECT("'"&amp;$C74&amp;"'!$H$23:$H$200")=$L$5)*(INDIRECT("'"&amp;$C74&amp;"'!$O$23:$O$200")&lt;=-2.25)*((INDIRECT("'"&amp;$C74&amp;"'!$K$23:$K$200")-INDIRECT("'"&amp;$C74&amp;"'!$J$23:$J$200"))&gt;-2),1,0)))</f>
        <v>0</v>
      </c>
      <c r="Q74" s="406" t="str">
        <f t="shared" ref="Q74:Q79" ca="1" si="63">IF(P74="","",IF(P74=0,"-",P74/$R74))</f>
        <v>-</v>
      </c>
      <c r="R74" s="602">
        <f ca="1">IF($C74="N","",L74+N74+P74)</f>
        <v>0</v>
      </c>
      <c r="S74" s="599">
        <f ca="1">IF($C74="N","",L74+E74)</f>
        <v>0</v>
      </c>
      <c r="T74" s="406" t="str">
        <f t="shared" ref="T74:T79" ca="1" si="64">IF(S74="","",IF(S74=0,"-",S74/$Y74))</f>
        <v>-</v>
      </c>
      <c r="U74" s="408">
        <f ca="1">IF($C74="N","",N74+G74)</f>
        <v>0</v>
      </c>
      <c r="V74" s="406" t="str">
        <f t="shared" ref="V74:V79" ca="1" si="65">IF(U74="","",IF(U74=0,"-",U74/$Y74))</f>
        <v>-</v>
      </c>
      <c r="W74" s="408">
        <f ca="1">IF($C74="N","",P74+I74)</f>
        <v>0</v>
      </c>
      <c r="X74" s="652" t="str">
        <f t="shared" ref="X74:X79" ca="1" si="66">IF(W74="","",IF(W74=0,"-",W74/$Y74))</f>
        <v>-</v>
      </c>
      <c r="Y74" s="653">
        <f ca="1">IF($C74="N","",R74+K74)</f>
        <v>0</v>
      </c>
      <c r="Z74" s="456"/>
      <c r="AA74" s="456"/>
      <c r="AB74" s="456"/>
      <c r="AC74" s="456"/>
      <c r="AD74" s="456"/>
      <c r="AE74" s="456"/>
      <c r="AF74" s="456"/>
      <c r="AG74" s="456"/>
      <c r="AH74" s="456"/>
      <c r="AI74" s="456"/>
      <c r="AJ74" s="456"/>
      <c r="AK74" s="456"/>
      <c r="AL74" s="456"/>
      <c r="AM74" s="456"/>
      <c r="AN74" s="456"/>
      <c r="AO74" s="456"/>
      <c r="AP74" s="456"/>
      <c r="AQ74" s="456"/>
      <c r="AR74" s="456"/>
      <c r="AS74" s="456"/>
      <c r="AT74" s="456"/>
      <c r="AU74" s="456"/>
      <c r="AV74" s="456"/>
      <c r="AW74" s="456"/>
      <c r="AX74" s="456"/>
      <c r="AY74" s="456"/>
      <c r="AZ74" s="456"/>
      <c r="BA74" s="456"/>
      <c r="BB74" s="456"/>
      <c r="BC74" s="456"/>
      <c r="BD74" s="456"/>
      <c r="BE74" s="456"/>
      <c r="BF74" s="456"/>
      <c r="BG74" s="456"/>
    </row>
    <row r="75" spans="2:59">
      <c r="B75" s="568"/>
      <c r="C75" s="357" t="str">
        <f>C74</f>
        <v>Fagiano Okayama</v>
      </c>
      <c r="D75" s="654">
        <v>-1</v>
      </c>
      <c r="E75" s="655">
        <f t="array" aca="1" ref="E75" ca="1">IF($C75="N","",SUM(IF((INDIRECT("'"&amp;$C74&amp;"'!$I$23:$I$200")=$D$5)*(INDIRECT("'"&amp;$C74&amp;"'!$H$23:$H$200")=$E$5)*(INDIRECT("'"&amp;$C74&amp;"'!$O$23:$O$200")&lt;=-0.5)*(INDIRECT("'"&amp;$C74&amp;"'!$O$23:$O$200")&gt;=-2)*((INDIRECT("'"&amp;$C74&amp;"'!$J$23:$J$200")-INDIRECT("'"&amp;$C74&amp;"'!$K$23:$K$200"))&gt;1),1,0)))</f>
        <v>0</v>
      </c>
      <c r="F75" s="601" t="str">
        <f t="shared" ca="1" si="58"/>
        <v>-</v>
      </c>
      <c r="G75" s="418">
        <f t="array" aca="1" ref="G75" ca="1">IF($C75="N","",SUM(IF((INDIRECT("'"&amp;$C74&amp;"'!$I$23:$I$200")=$D$5)*(INDIRECT("'"&amp;$C74&amp;"'!$H$23:$H$200")=$E$5)*(INDIRECT("'"&amp;$C74&amp;"'!$O$23:$O$200")&lt;=-0.5)*(INDIRECT("'"&amp;$C74&amp;"'!$O$23:$O$200")&gt;=-2)*((INDIRECT("'"&amp;$C74&amp;"'!$J$23:$J$200")-INDIRECT("'"&amp;$C74&amp;"'!$K$23:$K$200"))=1),1,0)))</f>
        <v>1</v>
      </c>
      <c r="H75" s="601">
        <f t="shared" ca="1" si="59"/>
        <v>0.5</v>
      </c>
      <c r="I75" s="418">
        <f t="array" aca="1" ref="I75" ca="1">IF($C75="N","",SUM(IF((INDIRECT("'"&amp;$C74&amp;"'!$I$23:$I$200")=$D$5)*(INDIRECT("'"&amp;$C74&amp;"'!$H$23:$H$200")=$E$5)*(INDIRECT("'"&amp;$C74&amp;"'!$O$23:$O$200")&lt;=-0.5)*(INDIRECT("'"&amp;$C74&amp;"'!$O$23:$O$200")&gt;=-2)*((INDIRECT("'"&amp;$C74&amp;"'!$K$23:$K$200")-INDIRECT("'"&amp;$C74&amp;"'!$J$23:$J$200"))&gt;-1),1,0)))</f>
        <v>1</v>
      </c>
      <c r="J75" s="601">
        <f t="shared" ca="1" si="60"/>
        <v>0.5</v>
      </c>
      <c r="K75" s="522">
        <f ca="1">IF($C75="N","",E75+G75+I75)</f>
        <v>2</v>
      </c>
      <c r="L75" s="655">
        <f t="array" aca="1" ref="L75" ca="1">IF($C75="N","",SUM(IF((INDIRECT("'"&amp;$C74&amp;"'!$I$23:$I$200")=$D$5)*(INDIRECT("'"&amp;$C74&amp;"'!$H$23:$H$200")=$L$5)*(INDIRECT("'"&amp;$C74&amp;"'!$O$23:$O$200")&lt;=-0.5)*(INDIRECT("'"&amp;$C74&amp;"'!$O$23:$O$200")&gt;=-2)*((INDIRECT("'"&amp;$C74&amp;"'!$J$23:$J$200")-INDIRECT("'"&amp;$C74&amp;"'!$K$23:$K$200"))&gt;1),1,0)))</f>
        <v>0</v>
      </c>
      <c r="M75" s="601" t="str">
        <f t="shared" ca="1" si="61"/>
        <v>-</v>
      </c>
      <c r="N75" s="418">
        <f t="array" aca="1" ref="N75" ca="1">IF($C75="N","",SUM(IF((INDIRECT("'"&amp;$C74&amp;"'!$I$23:$I$200")=$D$5)*(INDIRECT("'"&amp;$C74&amp;"'!$H$23:$H$200")=$L$5)*(INDIRECT("'"&amp;$C74&amp;"'!$O$23:$O$200")&lt;=-0.5)*(INDIRECT("'"&amp;$C74&amp;"'!$O$23:$O$200")&gt;=-2)*((INDIRECT("'"&amp;$C74&amp;"'!$J$23:$J$200")-INDIRECT("'"&amp;$C74&amp;"'!$K$23:$K$200"))=1),1,0)))</f>
        <v>0</v>
      </c>
      <c r="O75" s="601" t="str">
        <f t="shared" ca="1" si="62"/>
        <v>-</v>
      </c>
      <c r="P75" s="418">
        <f t="array" aca="1" ref="P75" ca="1">IF($C75="N","",SUM(IF((INDIRECT("'"&amp;$C74&amp;"'!$I$23:$I$200")=$D$5)*(INDIRECT("'"&amp;$C74&amp;"'!$H$23:$H$200")=$L$5)*(INDIRECT("'"&amp;$C74&amp;"'!$O$23:$O$200")&lt;=-0.5)*(INDIRECT("'"&amp;$C74&amp;"'!$O$23:$O$200")&gt;=-2)*((INDIRECT("'"&amp;$C74&amp;"'!$K$23:$K$200")-INDIRECT("'"&amp;$C74&amp;"'!$J$23:$J$200"))&gt;-1),1,0)))</f>
        <v>0</v>
      </c>
      <c r="Q75" s="601" t="str">
        <f t="shared" ca="1" si="63"/>
        <v>-</v>
      </c>
      <c r="R75" s="522">
        <f ca="1">IF($C75="N","",L75+N75+P75)</f>
        <v>0</v>
      </c>
      <c r="S75" s="655">
        <f ca="1">IF($C75="N","",L75+E75)</f>
        <v>0</v>
      </c>
      <c r="T75" s="601" t="str">
        <f t="shared" ca="1" si="64"/>
        <v>-</v>
      </c>
      <c r="U75" s="418">
        <f ca="1">IF($C75="N","",N75+G75)</f>
        <v>1</v>
      </c>
      <c r="V75" s="601">
        <f t="shared" ca="1" si="65"/>
        <v>0.5</v>
      </c>
      <c r="W75" s="418">
        <f ca="1">IF($C75="N","",P75+I75)</f>
        <v>1</v>
      </c>
      <c r="X75" s="656">
        <f t="shared" ca="1" si="66"/>
        <v>0.5</v>
      </c>
      <c r="Y75" s="653">
        <f ca="1">IF($C75="N","",R75+K75)</f>
        <v>2</v>
      </c>
      <c r="Z75" s="456"/>
      <c r="AA75" s="456"/>
      <c r="AB75" s="456"/>
      <c r="AC75" s="456"/>
      <c r="AD75" s="456"/>
      <c r="AE75" s="456"/>
      <c r="AF75" s="456"/>
      <c r="AG75" s="456"/>
      <c r="AH75" s="456"/>
      <c r="AI75" s="456"/>
      <c r="AJ75" s="456"/>
      <c r="AK75" s="456"/>
      <c r="AL75" s="456"/>
      <c r="AM75" s="456"/>
      <c r="AN75" s="456"/>
      <c r="AO75" s="456"/>
      <c r="AP75" s="456"/>
      <c r="AQ75" s="456"/>
      <c r="AR75" s="456"/>
      <c r="AS75" s="456"/>
      <c r="AT75" s="456"/>
      <c r="AU75" s="456"/>
      <c r="AV75" s="456"/>
      <c r="AW75" s="456"/>
      <c r="AX75" s="456"/>
      <c r="AY75" s="456"/>
      <c r="AZ75" s="456"/>
      <c r="BA75" s="456"/>
      <c r="BB75" s="456"/>
      <c r="BC75" s="456"/>
      <c r="BD75" s="456"/>
      <c r="BE75" s="456"/>
      <c r="BF75" s="456"/>
      <c r="BG75" s="456"/>
    </row>
    <row r="76" spans="2:59">
      <c r="B76" s="568"/>
      <c r="C76" s="357" t="str">
        <f>C75</f>
        <v>Fagiano Okayama</v>
      </c>
      <c r="D76" s="654">
        <v>0</v>
      </c>
      <c r="E76" s="655">
        <f t="array" aca="1" ref="E76" ca="1">IF($C76="N","",SUM(IF((INDIRECT("'"&amp;$C74&amp;"'!$I$23:$I$200")=$D$5)*(INDIRECT("'"&amp;$C74&amp;"'!$H$23:$H$200")=$E$5)*(INDIRECT("'"&amp;$C74&amp;"'!$O$23:$O$200")&gt;=-0.25)*(INDIRECT("'"&amp;$C74&amp;"'!$O$23:$O$200")&lt;=0.25)*(INDIRECT("'"&amp;$C74&amp;"'!$O$23:$O$200")&lt;&gt;"")*((INDIRECT("'"&amp;$C74&amp;"'!$J$23:$J$200")-INDIRECT("'"&amp;$C74&amp;"'!$K$23:$K$200"))&gt;0),1,0)))</f>
        <v>8</v>
      </c>
      <c r="F76" s="601">
        <f t="shared" ca="1" si="58"/>
        <v>0.47058823529411764</v>
      </c>
      <c r="G76" s="418">
        <f t="array" aca="1" ref="G76" ca="1">IF($C76="N","",SUM(IF((INDIRECT("'"&amp;$C74&amp;"'!$I$23:$I$200")=$D$5)*(INDIRECT("'"&amp;$C74&amp;"'!$H$23:$H$200")=$E$5)*(INDIRECT("'"&amp;$C74&amp;"'!$O$23:$O$200")&gt;=-0.25)*(INDIRECT("'"&amp;$C74&amp;"'!$O$23:$O$200")&lt;=0.25)*(INDIRECT("'"&amp;$C74&amp;"'!$O$23:$O$200")&lt;&gt;"")*((INDIRECT("'"&amp;$C74&amp;"'!$J$23:$J$200")-INDIRECT("'"&amp;$C74&amp;"'!$K$23:$K$200"))=0),1,0)))</f>
        <v>4</v>
      </c>
      <c r="H76" s="601">
        <f t="shared" ca="1" si="59"/>
        <v>0.23529411764705882</v>
      </c>
      <c r="I76" s="418">
        <f t="array" aca="1" ref="I76" ca="1">IF($C76="N","",SUM(IF((INDIRECT("'"&amp;$C74&amp;"'!$I$23:$I$200")=$D$5)*(INDIRECT("'"&amp;$C74&amp;"'!$H$23:$H$200")=$E$5)*(INDIRECT("'"&amp;$C74&amp;"'!$O$23:$O$200")&gt;=-0.25)*(INDIRECT("'"&amp;$C74&amp;"'!$O$23:$O$200")&lt;=0.25)*(INDIRECT("'"&amp;$C74&amp;"'!$O$23:$O$200")&lt;&gt;"")*((INDIRECT("'"&amp;$C74&amp;"'!$J$23:$J$200")-INDIRECT("'"&amp;$C74&amp;"'!$K$23:$K$200"))&lt;0),1,0)))</f>
        <v>5</v>
      </c>
      <c r="J76" s="601">
        <f t="shared" ca="1" si="60"/>
        <v>0.29411764705882354</v>
      </c>
      <c r="K76" s="522">
        <f ca="1">IF($C76="N","",E76+G76+I76)</f>
        <v>17</v>
      </c>
      <c r="L76" s="655">
        <f t="array" aca="1" ref="L76" ca="1">IF($C76="N","",SUM(IF((INDIRECT("'"&amp;$C74&amp;"'!$I$23:$I$200")=$D$5)*(INDIRECT("'"&amp;$C74&amp;"'!$H$23:$H$200")=$L$5)*(INDIRECT("'"&amp;$C74&amp;"'!$O$23:$O$200")&gt;=-0.25)*(INDIRECT("'"&amp;$C74&amp;"'!$O$23:$O$200")&lt;=0.25)*(INDIRECT("'"&amp;$C74&amp;"'!$O$23:$O$200")&lt;&gt;"")*((INDIRECT("'"&amp;$C74&amp;"'!$J$23:$J$200")-INDIRECT("'"&amp;$C74&amp;"'!$K$23:$K$200"))&gt;0),1,0)))</f>
        <v>4</v>
      </c>
      <c r="M76" s="601">
        <f t="shared" ca="1" si="61"/>
        <v>0.25</v>
      </c>
      <c r="N76" s="418">
        <f t="array" aca="1" ref="N76" ca="1">IF($C76="N","",SUM(IF((INDIRECT("'"&amp;$C74&amp;"'!$I$23:$I$200")=$D$5)*(INDIRECT("'"&amp;$C74&amp;"'!$H$23:$H$200")=$L$5)*(INDIRECT("'"&amp;$C74&amp;"'!$O$23:$O$200")&gt;=-0.25)*(INDIRECT("'"&amp;$C74&amp;"'!$O$23:$O$200")&lt;=0.25)*(INDIRECT("'"&amp;$C74&amp;"'!$O$23:$O$200")&lt;&gt;"")*((INDIRECT("'"&amp;$C74&amp;"'!$J$23:$J$200")-INDIRECT("'"&amp;$C74&amp;"'!$K$23:$K$200"))=0),1,0)))</f>
        <v>8</v>
      </c>
      <c r="O76" s="601">
        <f t="shared" ca="1" si="62"/>
        <v>0.5</v>
      </c>
      <c r="P76" s="418">
        <f t="array" aca="1" ref="P76" ca="1">IF($C76="N","",SUM(IF((INDIRECT("'"&amp;$C74&amp;"'!$I$23:$I$200")=$D$5)*(INDIRECT("'"&amp;$C74&amp;"'!$H$23:$H$200")=$L$5)*(INDIRECT("'"&amp;$C74&amp;"'!$O$23:$O$200")&gt;=-0.25)*(INDIRECT("'"&amp;$C74&amp;"'!$O$23:$O$200")&lt;=0.25)*(INDIRECT("'"&amp;$C74&amp;"'!$O$23:$O$200")&lt;&gt;"")*((INDIRECT("'"&amp;$C74&amp;"'!$J$23:$J$200")-INDIRECT("'"&amp;$C74&amp;"'!$K$23:$K$200"))&lt;0),1,0)))</f>
        <v>4</v>
      </c>
      <c r="Q76" s="601">
        <f t="shared" ca="1" si="63"/>
        <v>0.25</v>
      </c>
      <c r="R76" s="522">
        <f ca="1">IF($C76="N","",L76+N76+P76)</f>
        <v>16</v>
      </c>
      <c r="S76" s="655">
        <f ca="1">IF($C76="N","",L76+E76)</f>
        <v>12</v>
      </c>
      <c r="T76" s="601">
        <f t="shared" ca="1" si="64"/>
        <v>0.36363636363636365</v>
      </c>
      <c r="U76" s="418">
        <f ca="1">IF($C76="N","",N76+G76)</f>
        <v>12</v>
      </c>
      <c r="V76" s="601">
        <f t="shared" ca="1" si="65"/>
        <v>0.36363636363636365</v>
      </c>
      <c r="W76" s="418">
        <f ca="1">IF($C76="N","",P76+I76)</f>
        <v>9</v>
      </c>
      <c r="X76" s="656">
        <f t="shared" ca="1" si="66"/>
        <v>0.27272727272727271</v>
      </c>
      <c r="Y76" s="653">
        <f ca="1">IF($C76="N","",R76+K76)</f>
        <v>33</v>
      </c>
      <c r="Z76" s="456"/>
      <c r="AA76" s="456"/>
      <c r="AB76" s="456"/>
      <c r="AC76" s="456"/>
      <c r="AD76" s="456"/>
      <c r="AE76" s="456"/>
      <c r="AF76" s="456"/>
      <c r="AG76" s="456"/>
      <c r="AH76" s="456"/>
      <c r="AI76" s="456"/>
      <c r="AJ76" s="456"/>
      <c r="AK76" s="456"/>
      <c r="AL76" s="456"/>
      <c r="AM76" s="456"/>
      <c r="AN76" s="456"/>
      <c r="AO76" s="456"/>
      <c r="AP76" s="456"/>
      <c r="AQ76" s="456"/>
      <c r="AR76" s="456"/>
      <c r="AS76" s="456"/>
      <c r="AT76" s="456"/>
      <c r="AU76" s="456"/>
      <c r="AV76" s="456"/>
      <c r="AW76" s="456"/>
      <c r="AX76" s="456"/>
      <c r="AY76" s="456"/>
      <c r="AZ76" s="456"/>
      <c r="BA76" s="456"/>
      <c r="BB76" s="456"/>
      <c r="BC76" s="456"/>
      <c r="BD76" s="456"/>
      <c r="BE76" s="456"/>
      <c r="BF76" s="456"/>
      <c r="BG76" s="456"/>
    </row>
    <row r="77" spans="2:59">
      <c r="B77" s="568"/>
      <c r="C77" s="357" t="str">
        <f>C76</f>
        <v>Fagiano Okayama</v>
      </c>
      <c r="D77" s="654">
        <v>1</v>
      </c>
      <c r="E77" s="655">
        <f t="array" aca="1" ref="E77" ca="1">IF($C77="N","",SUM(IF((INDIRECT("'"&amp;$C74&amp;"'!$I$23:$I$200")=$D$5)*(INDIRECT("'"&amp;$C74&amp;"'!$H$23:$H$200")=$E$5)*(INDIRECT("'"&amp;$C74&amp;"'!$O$23:$O$200")&gt;=0.5)*(INDIRECT("'"&amp;$C74&amp;"'!$O$23:$O$200")&lt;=2)*((INDIRECT("'"&amp;$C74&amp;"'!$J$23:$J$200")-INDIRECT("'"&amp;$C74&amp;"'!$K$23:$K$200"))&gt;-1),1,0)))</f>
        <v>1</v>
      </c>
      <c r="F77" s="601">
        <f t="shared" ca="1" si="58"/>
        <v>0.5</v>
      </c>
      <c r="G77" s="418">
        <f t="array" aca="1" ref="G77" ca="1">IF($C77="N","",SUM(IF((INDIRECT("'"&amp;$C74&amp;"'!$I$23:$I$200")=$D$5)*(INDIRECT("'"&amp;$C74&amp;"'!$H$23:$H$200")=$E$5)*(INDIRECT("'"&amp;$C74&amp;"'!$O$23:$O$200")&gt;=0.5)*(INDIRECT("'"&amp;$C74&amp;"'!$O$23:$O$200")&lt;=2)*((INDIRECT("'"&amp;$C74&amp;"'!$J$23:$J$200")-INDIRECT("'"&amp;$C74&amp;"'!$K$23:$K$200"))=-1),1,0)))</f>
        <v>1</v>
      </c>
      <c r="H77" s="601">
        <f t="shared" ca="1" si="59"/>
        <v>0.5</v>
      </c>
      <c r="I77" s="418">
        <f t="array" aca="1" ref="I77" ca="1">IF($C77="N","",SUM(IF((INDIRECT("'"&amp;$C74&amp;"'!$I$23:$I$200")=$D$5)*(INDIRECT("'"&amp;$C74&amp;"'!$H$23:$H$200")=$E$5)*(INDIRECT("'"&amp;$C74&amp;"'!$O$23:$O$200")&gt;=0.5)*(INDIRECT("'"&amp;$C74&amp;"'!$O$23:$O$200")&lt;=2)*((INDIRECT("'"&amp;$C74&amp;"'!$J$23:$J$200")-INDIRECT("'"&amp;$C74&amp;"'!$K$23:$K$200"))&lt;-1),1,0)))</f>
        <v>0</v>
      </c>
      <c r="J77" s="601" t="str">
        <f t="shared" ca="1" si="60"/>
        <v>-</v>
      </c>
      <c r="K77" s="522">
        <f ca="1">IF($C77="N","",E77+G77+I77)</f>
        <v>2</v>
      </c>
      <c r="L77" s="655">
        <f t="array" aca="1" ref="L77" ca="1">IF($C77="N","",SUM(IF((INDIRECT("'"&amp;$C74&amp;"'!$I$23:$I$200")=$D$5)*(INDIRECT("'"&amp;$C74&amp;"'!$H$23:$H$200")=$L$5)*(INDIRECT("'"&amp;$C74&amp;"'!$O$23:$O$200")&gt;=0.5)*(INDIRECT("'"&amp;$C74&amp;"'!$O$23:$O$200")&lt;=2)*((INDIRECT("'"&amp;$C74&amp;"'!$J$23:$J$200")-INDIRECT("'"&amp;$C74&amp;"'!$K$23:$K$200"))&gt;-1),1,0)))</f>
        <v>3</v>
      </c>
      <c r="M77" s="601">
        <f t="shared" ca="1" si="61"/>
        <v>0.6</v>
      </c>
      <c r="N77" s="418">
        <f t="array" aca="1" ref="N77" ca="1">IF($C77="N","",SUM(IF((INDIRECT("'"&amp;$C74&amp;"'!$I$23:$I$200")=$D$5)*(INDIRECT("'"&amp;$C74&amp;"'!$H$23:$H$200")=$L$5)*(INDIRECT("'"&amp;$C74&amp;"'!$O$23:$O$200")&gt;=0.5)*(INDIRECT("'"&amp;$C74&amp;"'!$O$23:$O$200")&lt;=2)*((INDIRECT("'"&amp;$C74&amp;"'!$J$23:$J$200")-INDIRECT("'"&amp;$C74&amp;"'!$K$23:$K$200"))=-1),1,0)))</f>
        <v>1</v>
      </c>
      <c r="O77" s="601">
        <f t="shared" ca="1" si="62"/>
        <v>0.2</v>
      </c>
      <c r="P77" s="418">
        <f t="array" aca="1" ref="P77" ca="1">IF($C77="N","",SUM(IF((INDIRECT("'"&amp;$C74&amp;"'!$I$23:$I$200")=$D$5)*(INDIRECT("'"&amp;$C74&amp;"'!$H$23:$H$200")=$L$5)*(INDIRECT("'"&amp;$C74&amp;"'!$O$23:$O$200")&gt;=0.5)*(INDIRECT("'"&amp;$C74&amp;"'!$O$23:$O$200")&lt;=2)*((INDIRECT("'"&amp;$C74&amp;"'!$J$23:$J$200")-INDIRECT("'"&amp;$C74&amp;"'!$K$23:$K$200"))&lt;-1),1,0)))</f>
        <v>1</v>
      </c>
      <c r="Q77" s="601">
        <f t="shared" ca="1" si="63"/>
        <v>0.2</v>
      </c>
      <c r="R77" s="522">
        <f ca="1">IF($C77="N","",L77+N77+P77)</f>
        <v>5</v>
      </c>
      <c r="S77" s="655">
        <f ca="1">IF($C77="N","",L77+E77)</f>
        <v>4</v>
      </c>
      <c r="T77" s="601">
        <f t="shared" ca="1" si="64"/>
        <v>0.5714285714285714</v>
      </c>
      <c r="U77" s="418">
        <f ca="1">IF($C77="N","",N77+G77)</f>
        <v>2</v>
      </c>
      <c r="V77" s="601">
        <f t="shared" ca="1" si="65"/>
        <v>0.2857142857142857</v>
      </c>
      <c r="W77" s="418">
        <f ca="1">IF($C77="N","",P77+I77)</f>
        <v>1</v>
      </c>
      <c r="X77" s="656">
        <f t="shared" ca="1" si="66"/>
        <v>0.14285714285714285</v>
      </c>
      <c r="Y77" s="653">
        <f ca="1">IF($C77="N","",R77+K77)</f>
        <v>7</v>
      </c>
      <c r="Z77" s="456"/>
      <c r="AA77" s="456"/>
      <c r="AB77" s="456"/>
      <c r="AC77" s="456"/>
      <c r="AD77" s="456"/>
      <c r="AE77" s="456"/>
      <c r="AF77" s="456"/>
      <c r="AG77" s="456"/>
      <c r="AH77" s="456"/>
      <c r="AI77" s="456"/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456"/>
      <c r="AX77" s="456"/>
      <c r="AY77" s="456"/>
      <c r="AZ77" s="456"/>
      <c r="BA77" s="456"/>
      <c r="BB77" s="456"/>
      <c r="BC77" s="456"/>
      <c r="BD77" s="456"/>
      <c r="BE77" s="456"/>
      <c r="BF77" s="456"/>
      <c r="BG77" s="456"/>
    </row>
    <row r="78" spans="2:59" ht="13.5" thickBot="1">
      <c r="B78" s="568"/>
      <c r="C78" s="357" t="str">
        <f>C77</f>
        <v>Fagiano Okayama</v>
      </c>
      <c r="D78" s="654">
        <v>2</v>
      </c>
      <c r="E78" s="657">
        <f t="array" aca="1" ref="E78" ca="1">IF($C78="N","",SUM(IF((INDIRECT("'"&amp;$C74&amp;"'!$I$23:$I$200")=$D$5)*(INDIRECT("'"&amp;$C74&amp;"'!$H$23:$H$200")=$E$5)*(INDIRECT("'"&amp;$C74&amp;"'!$O$23:$O$200")&gt;=2.25)*((INDIRECT("'"&amp;$C74&amp;"'!$J$23:$J$200")-INDIRECT("'"&amp;$C74&amp;"'!$K$23:$K$200"))&gt;-2),1,0)))</f>
        <v>0</v>
      </c>
      <c r="F78" s="605" t="str">
        <f t="shared" ca="1" si="58"/>
        <v>-</v>
      </c>
      <c r="G78" s="658">
        <f t="array" aca="1" ref="G78" ca="1">IF($C78="N","",SUM(IF((INDIRECT("'"&amp;$C74&amp;"'!$I$23:$I$200")=$D$5)*(INDIRECT("'"&amp;$C74&amp;"'!$H$23:$H$200")=$E$5)*(INDIRECT("'"&amp;$C74&amp;"'!$O$23:$O$200")&gt;=2.25)*((INDIRECT("'"&amp;$C74&amp;"'!$J$23:$J$200")-INDIRECT("'"&amp;$C74&amp;"'!$K$23:$K$200"))=-2),1,0)))</f>
        <v>0</v>
      </c>
      <c r="H78" s="605" t="str">
        <f t="shared" ca="1" si="59"/>
        <v>-</v>
      </c>
      <c r="I78" s="658">
        <f t="array" aca="1" ref="I78" ca="1">IF($C78="N","",SUM(IF((INDIRECT("'"&amp;$C74&amp;"'!$I$23:$I$200")=$D$5)*(INDIRECT("'"&amp;$C74&amp;"'!$H$23:$H$200")=$E$5)*(INDIRECT("'"&amp;$C74&amp;"'!$O$23:$O$200")&gt;=2.25)*((INDIRECT("'"&amp;$C74&amp;"'!$J$23:$J$200")-INDIRECT("'"&amp;$C74&amp;"'!$K$23:$K$200"))&lt;-2),1,0)))</f>
        <v>0</v>
      </c>
      <c r="J78" s="605" t="str">
        <f t="shared" ca="1" si="60"/>
        <v>-</v>
      </c>
      <c r="K78" s="659">
        <f ca="1">IF($C78="N","",E78+G78+I78)</f>
        <v>0</v>
      </c>
      <c r="L78" s="657">
        <f t="array" aca="1" ref="L78" ca="1">IF($C78="N","",SUM(IF((INDIRECT("'"&amp;$C74&amp;"'!$I$23:$I$200")=$D$5)*(INDIRECT("'"&amp;$C74&amp;"'!$H$23:$H$200")=$L$5)*(INDIRECT("'"&amp;$C74&amp;"'!$O$23:$O$200")&gt;=2.25)*((INDIRECT("'"&amp;$C74&amp;"'!$J$23:$J$200")-INDIRECT("'"&amp;$C74&amp;"'!$K$23:$K$200"))&gt;-2),1,0)))</f>
        <v>0</v>
      </c>
      <c r="M78" s="605" t="str">
        <f t="shared" ca="1" si="61"/>
        <v>-</v>
      </c>
      <c r="N78" s="658">
        <f t="array" aca="1" ref="N78" ca="1">IF($C78="N","",SUM(IF((INDIRECT("'"&amp;$C74&amp;"'!$I$23:$I$200")=$D$5)*(INDIRECT("'"&amp;$C74&amp;"'!$H$23:$H$200")=$L$5)*(INDIRECT("'"&amp;$C74&amp;"'!$O$23:$O$200")&gt;=2.25)*((INDIRECT("'"&amp;$C74&amp;"'!$J$23:$J$200")-INDIRECT("'"&amp;$C74&amp;"'!$K$23:$K$200"))=-2),1,0)))</f>
        <v>0</v>
      </c>
      <c r="O78" s="605" t="str">
        <f t="shared" ca="1" si="62"/>
        <v>-</v>
      </c>
      <c r="P78" s="658">
        <f t="array" aca="1" ref="P78" ca="1">IF($C78="N","",SUM(IF((INDIRECT("'"&amp;$C74&amp;"'!$I$23:$I$200")=$D$5)*(INDIRECT("'"&amp;$C74&amp;"'!$H$23:$H$200")=$L$5)*(INDIRECT("'"&amp;$C74&amp;"'!$O$23:$O$200")&gt;=2.25)*((INDIRECT("'"&amp;$C74&amp;"'!$J$23:$J$200")-INDIRECT("'"&amp;$C74&amp;"'!$K$23:$K$200"))&lt;-2),1,0)))</f>
        <v>0</v>
      </c>
      <c r="Q78" s="605" t="str">
        <f t="shared" ca="1" si="63"/>
        <v>-</v>
      </c>
      <c r="R78" s="659">
        <f ca="1">IF($C78="N","",L78+N78+P78)</f>
        <v>0</v>
      </c>
      <c r="S78" s="657">
        <f ca="1">IF($C78="N","",L78+E78)</f>
        <v>0</v>
      </c>
      <c r="T78" s="605" t="str">
        <f t="shared" ca="1" si="64"/>
        <v>-</v>
      </c>
      <c r="U78" s="658">
        <f ca="1">IF($C78="N","",N78+G78)</f>
        <v>0</v>
      </c>
      <c r="V78" s="605" t="str">
        <f t="shared" ca="1" si="65"/>
        <v>-</v>
      </c>
      <c r="W78" s="658">
        <f ca="1">IF($C78="N","",P78+I78)</f>
        <v>0</v>
      </c>
      <c r="X78" s="660" t="str">
        <f t="shared" ca="1" si="66"/>
        <v>-</v>
      </c>
      <c r="Y78" s="531">
        <f ca="1">IF($C78="N","",R78+K78)</f>
        <v>0</v>
      </c>
      <c r="Z78" s="456"/>
      <c r="AA78" s="456"/>
      <c r="AB78" s="456"/>
      <c r="AC78" s="456"/>
      <c r="AD78" s="456"/>
      <c r="AE78" s="456"/>
      <c r="AF78" s="456"/>
      <c r="AG78" s="456"/>
      <c r="AH78" s="456"/>
      <c r="AI78" s="456"/>
      <c r="AJ78" s="456"/>
      <c r="AK78" s="456"/>
      <c r="AL78" s="456"/>
      <c r="AM78" s="456"/>
      <c r="AN78" s="456"/>
      <c r="AO78" s="456"/>
      <c r="AP78" s="456"/>
      <c r="AQ78" s="456"/>
      <c r="AR78" s="456"/>
      <c r="AS78" s="456"/>
      <c r="AT78" s="456"/>
      <c r="AU78" s="456"/>
      <c r="AV78" s="456"/>
      <c r="AW78" s="456"/>
      <c r="AX78" s="456"/>
      <c r="AY78" s="456"/>
      <c r="AZ78" s="456"/>
      <c r="BA78" s="456"/>
      <c r="BB78" s="456"/>
      <c r="BC78" s="456"/>
      <c r="BD78" s="456"/>
      <c r="BE78" s="456"/>
      <c r="BF78" s="456"/>
      <c r="BG78" s="456"/>
    </row>
    <row r="79" spans="2:59" ht="13.5" thickBot="1">
      <c r="B79" s="568" t="str">
        <f>D72</f>
        <v>Fagiano Okayama</v>
      </c>
      <c r="D79" s="661" t="s">
        <v>115</v>
      </c>
      <c r="E79" s="481">
        <f ca="1">SUM(E74:E78)</f>
        <v>9</v>
      </c>
      <c r="F79" s="435">
        <f t="shared" ca="1" si="58"/>
        <v>0.42857142857142855</v>
      </c>
      <c r="G79" s="438">
        <f ca="1">SUM(G74:G78)</f>
        <v>6</v>
      </c>
      <c r="H79" s="435">
        <f t="shared" ca="1" si="59"/>
        <v>0.2857142857142857</v>
      </c>
      <c r="I79" s="438">
        <f ca="1">SUM(I74:I78)</f>
        <v>6</v>
      </c>
      <c r="J79" s="435">
        <f t="shared" ca="1" si="60"/>
        <v>0.2857142857142857</v>
      </c>
      <c r="K79" s="479">
        <f ca="1">SUM(K74:K78)</f>
        <v>21</v>
      </c>
      <c r="L79" s="662">
        <f ca="1">SUM(L74:L78)</f>
        <v>7</v>
      </c>
      <c r="M79" s="435">
        <f t="shared" ca="1" si="61"/>
        <v>0.33333333333333331</v>
      </c>
      <c r="N79" s="438">
        <f ca="1">SUM(N74:N78)</f>
        <v>9</v>
      </c>
      <c r="O79" s="435">
        <f t="shared" ca="1" si="62"/>
        <v>0.42857142857142855</v>
      </c>
      <c r="P79" s="438">
        <f ca="1">SUM(P74:P78)</f>
        <v>5</v>
      </c>
      <c r="Q79" s="435">
        <f t="shared" ca="1" si="63"/>
        <v>0.23809523809523808</v>
      </c>
      <c r="R79" s="480">
        <f ca="1">SUM(R74:R78)</f>
        <v>21</v>
      </c>
      <c r="S79" s="481">
        <f ca="1">SUM(S74:S78)</f>
        <v>16</v>
      </c>
      <c r="T79" s="435">
        <f t="shared" ca="1" si="64"/>
        <v>0.38095238095238093</v>
      </c>
      <c r="U79" s="438">
        <f ca="1">SUM(U74:U78)</f>
        <v>15</v>
      </c>
      <c r="V79" s="435">
        <f t="shared" ca="1" si="65"/>
        <v>0.35714285714285715</v>
      </c>
      <c r="W79" s="438">
        <f ca="1">SUM(W74:W78)</f>
        <v>11</v>
      </c>
      <c r="X79" s="638">
        <f t="shared" ca="1" si="66"/>
        <v>0.26190476190476192</v>
      </c>
      <c r="Y79" s="639">
        <f ca="1">SUM(Y74:Y78)</f>
        <v>42</v>
      </c>
      <c r="Z79" s="456"/>
      <c r="AA79" s="456"/>
      <c r="AB79" s="456"/>
      <c r="AC79" s="456"/>
      <c r="AD79" s="456"/>
      <c r="AE79" s="456"/>
      <c r="AF79" s="456"/>
      <c r="AG79" s="456"/>
      <c r="AH79" s="456"/>
      <c r="AI79" s="456"/>
      <c r="AJ79" s="456"/>
      <c r="AK79" s="456"/>
      <c r="AL79" s="456"/>
      <c r="AM79" s="456"/>
      <c r="AN79" s="456"/>
      <c r="AO79" s="456"/>
      <c r="AP79" s="456"/>
      <c r="AQ79" s="456"/>
      <c r="AR79" s="456"/>
      <c r="AS79" s="456"/>
      <c r="AT79" s="456"/>
      <c r="AU79" s="456"/>
      <c r="AV79" s="456"/>
      <c r="AW79" s="456"/>
      <c r="AX79" s="456"/>
      <c r="AY79" s="456"/>
      <c r="AZ79" s="456"/>
      <c r="BA79" s="456"/>
      <c r="BB79" s="456"/>
      <c r="BC79" s="456"/>
      <c r="BD79" s="456"/>
      <c r="BE79" s="456"/>
      <c r="BF79" s="456"/>
      <c r="BG79" s="456"/>
    </row>
    <row r="80" spans="2:59" ht="13.5" thickBot="1">
      <c r="B80" s="568"/>
      <c r="X80" s="640"/>
      <c r="Y80" s="456"/>
      <c r="Z80" s="456"/>
      <c r="AA80" s="456"/>
      <c r="AB80" s="456"/>
      <c r="AC80" s="456"/>
      <c r="AD80" s="456"/>
      <c r="AE80" s="456"/>
      <c r="AF80" s="456"/>
      <c r="AG80" s="456"/>
      <c r="AH80" s="456"/>
      <c r="AI80" s="456"/>
      <c r="AJ80" s="456"/>
      <c r="AK80" s="456"/>
      <c r="AL80" s="456"/>
      <c r="AM80" s="456"/>
      <c r="AN80" s="456"/>
      <c r="AO80" s="456"/>
      <c r="AP80" s="456"/>
      <c r="AQ80" s="456"/>
      <c r="AR80" s="456"/>
      <c r="AS80" s="456"/>
      <c r="AT80" s="456"/>
      <c r="AU80" s="456"/>
      <c r="AV80" s="456"/>
      <c r="AW80" s="456"/>
      <c r="AX80" s="456"/>
      <c r="AY80" s="456"/>
      <c r="AZ80" s="456"/>
      <c r="BA80" s="456"/>
      <c r="BB80" s="456"/>
      <c r="BC80" s="456"/>
      <c r="BD80" s="456"/>
      <c r="BE80" s="456"/>
      <c r="BF80" s="456"/>
      <c r="BG80" s="456"/>
    </row>
    <row r="81" spans="2:59">
      <c r="D81" s="562" t="str">
        <f>H1</f>
        <v>Gifu</v>
      </c>
      <c r="E81" s="582" t="s">
        <v>162</v>
      </c>
      <c r="F81" s="583"/>
      <c r="G81" s="584"/>
      <c r="H81" s="583"/>
      <c r="I81" s="585"/>
      <c r="J81" s="584"/>
      <c r="K81" s="586"/>
      <c r="L81" s="641" t="s">
        <v>163</v>
      </c>
      <c r="M81" s="583"/>
      <c r="N81" s="584"/>
      <c r="O81" s="583"/>
      <c r="P81" s="585"/>
      <c r="Q81" s="583"/>
      <c r="R81" s="584"/>
      <c r="S81" s="582" t="s">
        <v>164</v>
      </c>
      <c r="T81" s="583"/>
      <c r="U81" s="584"/>
      <c r="V81" s="583"/>
      <c r="W81" s="587"/>
      <c r="X81" s="642"/>
      <c r="Y81" s="643"/>
      <c r="Z81" s="456"/>
      <c r="AA81" s="456"/>
      <c r="AB81" s="456"/>
      <c r="AC81" s="456"/>
      <c r="AD81" s="456"/>
      <c r="AE81" s="456"/>
      <c r="AF81" s="456"/>
      <c r="AG81" s="456"/>
      <c r="AH81" s="456"/>
      <c r="AI81" s="456"/>
      <c r="AJ81" s="456"/>
      <c r="AK81" s="456"/>
      <c r="AL81" s="456"/>
      <c r="AM81" s="456"/>
      <c r="AN81" s="456"/>
      <c r="AO81" s="456"/>
      <c r="AP81" s="456"/>
      <c r="AQ81" s="456"/>
      <c r="AR81" s="456"/>
      <c r="AS81" s="456"/>
      <c r="AT81" s="456"/>
      <c r="AU81" s="456"/>
      <c r="AV81" s="456"/>
      <c r="AW81" s="456"/>
      <c r="AX81" s="456"/>
      <c r="AY81" s="456"/>
      <c r="AZ81" s="456"/>
      <c r="BA81" s="456"/>
      <c r="BB81" s="456"/>
      <c r="BC81" s="456"/>
      <c r="BD81" s="456"/>
      <c r="BE81" s="456"/>
      <c r="BF81" s="456"/>
      <c r="BG81" s="456"/>
    </row>
    <row r="82" spans="2:59" ht="13.5" thickBot="1">
      <c r="D82" s="644" t="s">
        <v>165</v>
      </c>
      <c r="E82" s="590" t="s">
        <v>63</v>
      </c>
      <c r="F82" s="591"/>
      <c r="G82" s="645" t="s">
        <v>64</v>
      </c>
      <c r="H82" s="591"/>
      <c r="I82" s="645" t="s">
        <v>65</v>
      </c>
      <c r="J82" s="645"/>
      <c r="K82" s="646" t="s">
        <v>171</v>
      </c>
      <c r="L82" s="647" t="s">
        <v>63</v>
      </c>
      <c r="M82" s="591"/>
      <c r="N82" s="645" t="s">
        <v>64</v>
      </c>
      <c r="O82" s="591"/>
      <c r="P82" s="645" t="s">
        <v>65</v>
      </c>
      <c r="Q82" s="591"/>
      <c r="R82" s="646" t="s">
        <v>172</v>
      </c>
      <c r="S82" s="590" t="s">
        <v>63</v>
      </c>
      <c r="T82" s="591"/>
      <c r="U82" s="645" t="s">
        <v>64</v>
      </c>
      <c r="V82" s="648"/>
      <c r="W82" s="645" t="s">
        <v>65</v>
      </c>
      <c r="X82" s="649"/>
      <c r="Y82" s="650" t="s">
        <v>168</v>
      </c>
      <c r="Z82" s="456"/>
      <c r="AA82" s="456"/>
      <c r="AB82" s="456"/>
      <c r="AC82" s="456"/>
      <c r="AD82" s="456"/>
      <c r="AE82" s="456"/>
      <c r="AF82" s="456"/>
      <c r="AG82" s="456"/>
      <c r="AH82" s="456"/>
      <c r="AI82" s="456"/>
      <c r="AJ82" s="456"/>
      <c r="AK82" s="456"/>
      <c r="AL82" s="456"/>
      <c r="AM82" s="456"/>
      <c r="AN82" s="456"/>
      <c r="AO82" s="456"/>
      <c r="AP82" s="456"/>
      <c r="AQ82" s="456"/>
      <c r="AR82" s="456"/>
      <c r="AS82" s="456"/>
      <c r="AT82" s="456"/>
      <c r="AU82" s="456"/>
      <c r="AV82" s="456"/>
      <c r="AW82" s="456"/>
      <c r="AX82" s="456"/>
      <c r="AY82" s="456"/>
      <c r="AZ82" s="456"/>
      <c r="BA82" s="456"/>
      <c r="BB82" s="456"/>
      <c r="BC82" s="456"/>
      <c r="BD82" s="456"/>
      <c r="BE82" s="456"/>
      <c r="BF82" s="456"/>
      <c r="BG82" s="456"/>
    </row>
    <row r="83" spans="2:59">
      <c r="B83" s="568"/>
      <c r="C83" s="357" t="str">
        <f>IF(D81=0,"N",D81)</f>
        <v>Gifu</v>
      </c>
      <c r="D83" s="651">
        <v>-2</v>
      </c>
      <c r="E83" s="599">
        <f t="array" aca="1" ref="E83" ca="1">IF($C83="N","",SUM(IF((INDIRECT("'"&amp;$C83&amp;"'!$I$23:$I$200")=$D$5)*(INDIRECT("'"&amp;$C83&amp;"'!$H$23:$H$200")=$E$5)*(INDIRECT("'"&amp;$C83&amp;"'!$O$23:$O$200")&lt;=-2.25)*((INDIRECT("'"&amp;$C83&amp;"'!$J$23:$J$200")-INDIRECT("'"&amp;$C83&amp;"'!$K$23:$K$200"))&gt;2),1,0)))</f>
        <v>0</v>
      </c>
      <c r="F83" s="406" t="str">
        <f t="shared" ref="F83:F88" ca="1" si="67">IF(E83="","",IF(E83=0,"-",E83/$K83))</f>
        <v>-</v>
      </c>
      <c r="G83" s="408">
        <f t="array" aca="1" ref="G83" ca="1">IF($C83="N","",SUM(IF((INDIRECT("'"&amp;$C83&amp;"'!$I$23:$I$200")=$D$5)*(INDIRECT("'"&amp;$C83&amp;"'!$H$23:$H$200")=$E$5)*(INDIRECT("'"&amp;$C83&amp;"'!$O$23:$O$200")&lt;=-2.25)*((INDIRECT("'"&amp;$C83&amp;"'!$J$23:$J$200")-INDIRECT("'"&amp;$C83&amp;"'!$K$23:$K$200"))=2),1,0)))</f>
        <v>0</v>
      </c>
      <c r="H83" s="406" t="str">
        <f t="shared" ref="H83:H88" ca="1" si="68">IF(G83="","",IF(G83=0,"-",G83/$K83))</f>
        <v>-</v>
      </c>
      <c r="I83" s="408">
        <f t="array" aca="1" ref="I83" ca="1">IF($C83="N","",SUM(IF((INDIRECT("'"&amp;$C83&amp;"'!$I$23:$I$200")=$D$5)*(INDIRECT("'"&amp;$C83&amp;"'!$H$23:$H$200")=$E$5)*(INDIRECT("'"&amp;$C83&amp;"'!$O$23:$O$200")&lt;=-2.25)*((INDIRECT("'"&amp;$C83&amp;"'!$K$23:$K$200")-INDIRECT("'"&amp;$C83&amp;"'!$J$23:$J$200"))&gt;-2),1,0)))</f>
        <v>0</v>
      </c>
      <c r="J83" s="406" t="str">
        <f t="shared" ref="J83:J88" ca="1" si="69">IF(I83="","",IF(I83=0,"-",I83/$K83))</f>
        <v>-</v>
      </c>
      <c r="K83" s="602">
        <f ca="1">IF($C83="N","",E83+G83+I83)</f>
        <v>0</v>
      </c>
      <c r="L83" s="599">
        <f t="array" aca="1" ref="L83" ca="1">IF($C83="N","",SUM(IF((INDIRECT("'"&amp;$C83&amp;"'!$I$23:$I$200")=$D$5)*(INDIRECT("'"&amp;$C83&amp;"'!$H$23:$H$200")=$L$5)*(INDIRECT("'"&amp;$C83&amp;"'!$O$23:$O$200")&lt;=-2.25)*((INDIRECT("'"&amp;$C83&amp;"'!$J$23:$J$200")-INDIRECT("'"&amp;$C83&amp;"'!$K$23:$K$200"))&gt;2),1,0)))</f>
        <v>0</v>
      </c>
      <c r="M83" s="406" t="str">
        <f t="shared" ref="M83:M88" ca="1" si="70">IF(L83="","",IF(L83=0,"-",L83/$R83))</f>
        <v>-</v>
      </c>
      <c r="N83" s="408">
        <f t="array" aca="1" ref="N83" ca="1">IF($C83="N","",SUM(IF((INDIRECT("'"&amp;$C83&amp;"'!$I$23:$I$200")=$D$5)*(INDIRECT("'"&amp;$C83&amp;"'!$H$23:$H$200")=$L$5)*(INDIRECT("'"&amp;$C83&amp;"'!$O$23:$O$200")&lt;=-2.25)*((INDIRECT("'"&amp;$C83&amp;"'!$J$23:$J$200")-INDIRECT("'"&amp;$C83&amp;"'!$K$23:$K$200"))=2),1,0)))</f>
        <v>0</v>
      </c>
      <c r="O83" s="406" t="str">
        <f t="shared" ref="O83:O88" ca="1" si="71">IF(N83="","",IF(N83=0,"-",N83/$R83))</f>
        <v>-</v>
      </c>
      <c r="P83" s="408">
        <f t="array" aca="1" ref="P83" ca="1">IF($C83="N","",SUM(IF((INDIRECT("'"&amp;$C83&amp;"'!$I$23:$I$200")=$D$5)*(INDIRECT("'"&amp;$C83&amp;"'!$H$23:$H$200")=$L$5)*(INDIRECT("'"&amp;$C83&amp;"'!$O$23:$O$200")&lt;=-2.25)*((INDIRECT("'"&amp;$C83&amp;"'!$K$23:$K$200")-INDIRECT("'"&amp;$C83&amp;"'!$J$23:$J$200"))&gt;-2),1,0)))</f>
        <v>0</v>
      </c>
      <c r="Q83" s="406" t="str">
        <f t="shared" ref="Q83:Q88" ca="1" si="72">IF(P83="","",IF(P83=0,"-",P83/$R83))</f>
        <v>-</v>
      </c>
      <c r="R83" s="602">
        <f ca="1">IF($C83="N","",L83+N83+P83)</f>
        <v>0</v>
      </c>
      <c r="S83" s="599">
        <f ca="1">IF($C83="N","",L83+E83)</f>
        <v>0</v>
      </c>
      <c r="T83" s="406" t="str">
        <f t="shared" ref="T83:T88" ca="1" si="73">IF(S83="","",IF(S83=0,"-",S83/$Y83))</f>
        <v>-</v>
      </c>
      <c r="U83" s="408">
        <f ca="1">IF($C83="N","",N83+G83)</f>
        <v>0</v>
      </c>
      <c r="V83" s="406" t="str">
        <f t="shared" ref="V83:V88" ca="1" si="74">IF(U83="","",IF(U83=0,"-",U83/$Y83))</f>
        <v>-</v>
      </c>
      <c r="W83" s="408">
        <f ca="1">IF($C83="N","",P83+I83)</f>
        <v>0</v>
      </c>
      <c r="X83" s="652" t="str">
        <f t="shared" ref="X83:X88" ca="1" si="75">IF(W83="","",IF(W83=0,"-",W83/$Y83))</f>
        <v>-</v>
      </c>
      <c r="Y83" s="653">
        <f ca="1">IF($C83="N","",R83+K83)</f>
        <v>0</v>
      </c>
      <c r="Z83" s="456"/>
      <c r="AA83" s="456"/>
      <c r="AB83" s="456"/>
      <c r="AC83" s="456"/>
      <c r="AD83" s="456"/>
      <c r="AE83" s="456"/>
      <c r="AF83" s="456"/>
      <c r="AG83" s="456"/>
      <c r="AH83" s="456"/>
      <c r="AI83" s="456"/>
      <c r="AJ83" s="456"/>
      <c r="AK83" s="456"/>
      <c r="AL83" s="456"/>
      <c r="AM83" s="456"/>
      <c r="AN83" s="456"/>
      <c r="AO83" s="456"/>
      <c r="AP83" s="456"/>
      <c r="AQ83" s="456"/>
      <c r="AR83" s="456"/>
      <c r="AS83" s="456"/>
      <c r="AT83" s="456"/>
      <c r="AU83" s="456"/>
      <c r="AV83" s="456"/>
      <c r="AW83" s="456"/>
      <c r="AX83" s="456"/>
      <c r="AY83" s="456"/>
      <c r="AZ83" s="456"/>
      <c r="BA83" s="456"/>
      <c r="BB83" s="456"/>
      <c r="BC83" s="456"/>
      <c r="BD83" s="456"/>
      <c r="BE83" s="456"/>
      <c r="BF83" s="456"/>
      <c r="BG83" s="456"/>
    </row>
    <row r="84" spans="2:59">
      <c r="B84" s="568"/>
      <c r="C84" s="357" t="str">
        <f>C83</f>
        <v>Gifu</v>
      </c>
      <c r="D84" s="654">
        <v>-1</v>
      </c>
      <c r="E84" s="655">
        <f t="array" aca="1" ref="E84" ca="1">IF($C84="N","",SUM(IF((INDIRECT("'"&amp;$C83&amp;"'!$I$23:$I$200")=$D$5)*(INDIRECT("'"&amp;$C83&amp;"'!$H$23:$H$200")=$E$5)*(INDIRECT("'"&amp;$C83&amp;"'!$O$23:$O$200")&lt;=-0.5)*(INDIRECT("'"&amp;$C83&amp;"'!$O$23:$O$200")&gt;=-2)*((INDIRECT("'"&amp;$C83&amp;"'!$J$23:$J$200")-INDIRECT("'"&amp;$C83&amp;"'!$K$23:$K$200"))&gt;1),1,0)))</f>
        <v>1</v>
      </c>
      <c r="F84" s="601">
        <f t="shared" ca="1" si="67"/>
        <v>0.5</v>
      </c>
      <c r="G84" s="418">
        <f t="array" aca="1" ref="G84" ca="1">IF($C84="N","",SUM(IF((INDIRECT("'"&amp;$C83&amp;"'!$I$23:$I$200")=$D$5)*(INDIRECT("'"&amp;$C83&amp;"'!$H$23:$H$200")=$E$5)*(INDIRECT("'"&amp;$C83&amp;"'!$O$23:$O$200")&lt;=-0.5)*(INDIRECT("'"&amp;$C83&amp;"'!$O$23:$O$200")&gt;=-2)*((INDIRECT("'"&amp;$C83&amp;"'!$J$23:$J$200")-INDIRECT("'"&amp;$C83&amp;"'!$K$23:$K$200"))=1),1,0)))</f>
        <v>0</v>
      </c>
      <c r="H84" s="601" t="str">
        <f t="shared" ca="1" si="68"/>
        <v>-</v>
      </c>
      <c r="I84" s="418">
        <f t="array" aca="1" ref="I84" ca="1">IF($C84="N","",SUM(IF((INDIRECT("'"&amp;$C83&amp;"'!$I$23:$I$200")=$D$5)*(INDIRECT("'"&amp;$C83&amp;"'!$H$23:$H$200")=$E$5)*(INDIRECT("'"&amp;$C83&amp;"'!$O$23:$O$200")&lt;=-0.5)*(INDIRECT("'"&amp;$C83&amp;"'!$O$23:$O$200")&gt;=-2)*((INDIRECT("'"&amp;$C83&amp;"'!$K$23:$K$200")-INDIRECT("'"&amp;$C83&amp;"'!$J$23:$J$200"))&gt;-1),1,0)))</f>
        <v>1</v>
      </c>
      <c r="J84" s="601">
        <f t="shared" ca="1" si="69"/>
        <v>0.5</v>
      </c>
      <c r="K84" s="522">
        <f ca="1">IF($C84="N","",E84+G84+I84)</f>
        <v>2</v>
      </c>
      <c r="L84" s="655">
        <f t="array" aca="1" ref="L84" ca="1">IF($C84="N","",SUM(IF((INDIRECT("'"&amp;$C83&amp;"'!$I$23:$I$200")=$D$5)*(INDIRECT("'"&amp;$C83&amp;"'!$H$23:$H$200")=$L$5)*(INDIRECT("'"&amp;$C83&amp;"'!$O$23:$O$200")&lt;=-0.5)*(INDIRECT("'"&amp;$C83&amp;"'!$O$23:$O$200")&gt;=-2)*((INDIRECT("'"&amp;$C83&amp;"'!$J$23:$J$200")-INDIRECT("'"&amp;$C83&amp;"'!$K$23:$K$200"))&gt;1),1,0)))</f>
        <v>0</v>
      </c>
      <c r="M84" s="601" t="str">
        <f t="shared" ca="1" si="70"/>
        <v>-</v>
      </c>
      <c r="N84" s="418">
        <f t="array" aca="1" ref="N84" ca="1">IF($C84="N","",SUM(IF((INDIRECT("'"&amp;$C83&amp;"'!$I$23:$I$200")=$D$5)*(INDIRECT("'"&amp;$C83&amp;"'!$H$23:$H$200")=$L$5)*(INDIRECT("'"&amp;$C83&amp;"'!$O$23:$O$200")&lt;=-0.5)*(INDIRECT("'"&amp;$C83&amp;"'!$O$23:$O$200")&gt;=-2)*((INDIRECT("'"&amp;$C83&amp;"'!$J$23:$J$200")-INDIRECT("'"&amp;$C83&amp;"'!$K$23:$K$200"))=1),1,0)))</f>
        <v>0</v>
      </c>
      <c r="O84" s="601" t="str">
        <f t="shared" ca="1" si="71"/>
        <v>-</v>
      </c>
      <c r="P84" s="418">
        <f t="array" aca="1" ref="P84" ca="1">IF($C84="N","",SUM(IF((INDIRECT("'"&amp;$C83&amp;"'!$I$23:$I$200")=$D$5)*(INDIRECT("'"&amp;$C83&amp;"'!$H$23:$H$200")=$L$5)*(INDIRECT("'"&amp;$C83&amp;"'!$O$23:$O$200")&lt;=-0.5)*(INDIRECT("'"&amp;$C83&amp;"'!$O$23:$O$200")&gt;=-2)*((INDIRECT("'"&amp;$C83&amp;"'!$K$23:$K$200")-INDIRECT("'"&amp;$C83&amp;"'!$J$23:$J$200"))&gt;-1),1,0)))</f>
        <v>1</v>
      </c>
      <c r="Q84" s="601">
        <f t="shared" ca="1" si="72"/>
        <v>1</v>
      </c>
      <c r="R84" s="522">
        <f ca="1">IF($C84="N","",L84+N84+P84)</f>
        <v>1</v>
      </c>
      <c r="S84" s="655">
        <f ca="1">IF($C84="N","",L84+E84)</f>
        <v>1</v>
      </c>
      <c r="T84" s="601">
        <f t="shared" ca="1" si="73"/>
        <v>0.33333333333333331</v>
      </c>
      <c r="U84" s="418">
        <f ca="1">IF($C84="N","",N84+G84)</f>
        <v>0</v>
      </c>
      <c r="V84" s="601" t="str">
        <f t="shared" ca="1" si="74"/>
        <v>-</v>
      </c>
      <c r="W84" s="418">
        <f ca="1">IF($C84="N","",P84+I84)</f>
        <v>2</v>
      </c>
      <c r="X84" s="656">
        <f t="shared" ca="1" si="75"/>
        <v>0.66666666666666663</v>
      </c>
      <c r="Y84" s="653">
        <f ca="1">IF($C84="N","",R84+K84)</f>
        <v>3</v>
      </c>
      <c r="Z84" s="456"/>
      <c r="AA84" s="456"/>
      <c r="AB84" s="456"/>
      <c r="AC84" s="456"/>
      <c r="AD84" s="456"/>
      <c r="AE84" s="456"/>
      <c r="AF84" s="456"/>
      <c r="AG84" s="456"/>
      <c r="AH84" s="456"/>
      <c r="AI84" s="456"/>
      <c r="AJ84" s="456"/>
      <c r="AK84" s="456"/>
      <c r="AL84" s="456"/>
      <c r="AM84" s="456"/>
      <c r="AN84" s="456"/>
      <c r="AO84" s="456"/>
      <c r="AP84" s="456"/>
      <c r="AQ84" s="456"/>
      <c r="AR84" s="456"/>
      <c r="AS84" s="456"/>
      <c r="AT84" s="456"/>
      <c r="AU84" s="456"/>
      <c r="AV84" s="456"/>
      <c r="AW84" s="456"/>
      <c r="AX84" s="456"/>
      <c r="AY84" s="456"/>
      <c r="AZ84" s="456"/>
      <c r="BA84" s="456"/>
      <c r="BB84" s="456"/>
      <c r="BC84" s="456"/>
      <c r="BD84" s="456"/>
      <c r="BE84" s="456"/>
      <c r="BF84" s="456"/>
      <c r="BG84" s="456"/>
    </row>
    <row r="85" spans="2:59">
      <c r="B85" s="568"/>
      <c r="C85" s="357" t="str">
        <f>C84</f>
        <v>Gifu</v>
      </c>
      <c r="D85" s="654">
        <v>0</v>
      </c>
      <c r="E85" s="655">
        <f t="array" aca="1" ref="E85" ca="1">IF($C85="N","",SUM(IF((INDIRECT("'"&amp;$C83&amp;"'!$I$23:$I$200")=$D$5)*(INDIRECT("'"&amp;$C83&amp;"'!$H$23:$H$200")=$E$5)*(INDIRECT("'"&amp;$C83&amp;"'!$O$23:$O$200")&gt;=-0.25)*(INDIRECT("'"&amp;$C83&amp;"'!$O$23:$O$200")&lt;=0.25)*(INDIRECT("'"&amp;$C83&amp;"'!$O$23:$O$200")&lt;&gt;"")*((INDIRECT("'"&amp;$C83&amp;"'!$J$23:$J$200")-INDIRECT("'"&amp;$C83&amp;"'!$K$23:$K$200"))&gt;0),1,0)))</f>
        <v>4</v>
      </c>
      <c r="F85" s="601">
        <f t="shared" ca="1" si="67"/>
        <v>0.23529411764705882</v>
      </c>
      <c r="G85" s="418">
        <f t="array" aca="1" ref="G85" ca="1">IF($C85="N","",SUM(IF((INDIRECT("'"&amp;$C83&amp;"'!$I$23:$I$200")=$D$5)*(INDIRECT("'"&amp;$C83&amp;"'!$H$23:$H$200")=$E$5)*(INDIRECT("'"&amp;$C83&amp;"'!$O$23:$O$200")&gt;=-0.25)*(INDIRECT("'"&amp;$C83&amp;"'!$O$23:$O$200")&lt;=0.25)*(INDIRECT("'"&amp;$C83&amp;"'!$O$23:$O$200")&lt;&gt;"")*((INDIRECT("'"&amp;$C83&amp;"'!$J$23:$J$200")-INDIRECT("'"&amp;$C83&amp;"'!$K$23:$K$200"))=0),1,0)))</f>
        <v>4</v>
      </c>
      <c r="H85" s="601">
        <f t="shared" ca="1" si="68"/>
        <v>0.23529411764705882</v>
      </c>
      <c r="I85" s="418">
        <f t="array" aca="1" ref="I85" ca="1">IF($C85="N","",SUM(IF((INDIRECT("'"&amp;$C83&amp;"'!$I$23:$I$200")=$D$5)*(INDIRECT("'"&amp;$C83&amp;"'!$H$23:$H$200")=$E$5)*(INDIRECT("'"&amp;$C83&amp;"'!$O$23:$O$200")&gt;=-0.25)*(INDIRECT("'"&amp;$C83&amp;"'!$O$23:$O$200")&lt;=0.25)*(INDIRECT("'"&amp;$C83&amp;"'!$O$23:$O$200")&lt;&gt;"")*((INDIRECT("'"&amp;$C83&amp;"'!$J$23:$J$200")-INDIRECT("'"&amp;$C83&amp;"'!$K$23:$K$200"))&lt;0),1,0)))</f>
        <v>9</v>
      </c>
      <c r="J85" s="601">
        <f t="shared" ca="1" si="69"/>
        <v>0.52941176470588236</v>
      </c>
      <c r="K85" s="522">
        <f ca="1">IF($C85="N","",E85+G85+I85)</f>
        <v>17</v>
      </c>
      <c r="L85" s="655">
        <f t="array" aca="1" ref="L85" ca="1">IF($C85="N","",SUM(IF((INDIRECT("'"&amp;$C83&amp;"'!$I$23:$I$200")=$D$5)*(INDIRECT("'"&amp;$C83&amp;"'!$H$23:$H$200")=$L$5)*(INDIRECT("'"&amp;$C83&amp;"'!$O$23:$O$200")&gt;=-0.25)*(INDIRECT("'"&amp;$C83&amp;"'!$O$23:$O$200")&lt;=0.25)*(INDIRECT("'"&amp;$C83&amp;"'!$O$23:$O$200")&lt;&gt;"")*((INDIRECT("'"&amp;$C83&amp;"'!$J$23:$J$200")-INDIRECT("'"&amp;$C83&amp;"'!$K$23:$K$200"))&gt;0),1,0)))</f>
        <v>5</v>
      </c>
      <c r="M85" s="601">
        <f t="shared" ca="1" si="70"/>
        <v>0.35714285714285715</v>
      </c>
      <c r="N85" s="418">
        <f t="array" aca="1" ref="N85" ca="1">IF($C85="N","",SUM(IF((INDIRECT("'"&amp;$C83&amp;"'!$I$23:$I$200")=$D$5)*(INDIRECT("'"&amp;$C83&amp;"'!$H$23:$H$200")=$L$5)*(INDIRECT("'"&amp;$C83&amp;"'!$O$23:$O$200")&gt;=-0.25)*(INDIRECT("'"&amp;$C83&amp;"'!$O$23:$O$200")&lt;=0.25)*(INDIRECT("'"&amp;$C83&amp;"'!$O$23:$O$200")&lt;&gt;"")*((INDIRECT("'"&amp;$C83&amp;"'!$J$23:$J$200")-INDIRECT("'"&amp;$C83&amp;"'!$K$23:$K$200"))=0),1,0)))</f>
        <v>5</v>
      </c>
      <c r="O85" s="601">
        <f t="shared" ca="1" si="71"/>
        <v>0.35714285714285715</v>
      </c>
      <c r="P85" s="418">
        <f t="array" aca="1" ref="P85" ca="1">IF($C85="N","",SUM(IF((INDIRECT("'"&amp;$C83&amp;"'!$I$23:$I$200")=$D$5)*(INDIRECT("'"&amp;$C83&amp;"'!$H$23:$H$200")=$L$5)*(INDIRECT("'"&amp;$C83&amp;"'!$O$23:$O$200")&gt;=-0.25)*(INDIRECT("'"&amp;$C83&amp;"'!$O$23:$O$200")&lt;=0.25)*(INDIRECT("'"&amp;$C83&amp;"'!$O$23:$O$200")&lt;&gt;"")*((INDIRECT("'"&amp;$C83&amp;"'!$J$23:$J$200")-INDIRECT("'"&amp;$C83&amp;"'!$K$23:$K$200"))&lt;0),1,0)))</f>
        <v>4</v>
      </c>
      <c r="Q85" s="601">
        <f t="shared" ca="1" si="72"/>
        <v>0.2857142857142857</v>
      </c>
      <c r="R85" s="522">
        <f ca="1">IF($C85="N","",L85+N85+P85)</f>
        <v>14</v>
      </c>
      <c r="S85" s="655">
        <f ca="1">IF($C85="N","",L85+E85)</f>
        <v>9</v>
      </c>
      <c r="T85" s="601">
        <f t="shared" ca="1" si="73"/>
        <v>0.29032258064516131</v>
      </c>
      <c r="U85" s="418">
        <f ca="1">IF($C85="N","",N85+G85)</f>
        <v>9</v>
      </c>
      <c r="V85" s="601">
        <f t="shared" ca="1" si="74"/>
        <v>0.29032258064516131</v>
      </c>
      <c r="W85" s="418">
        <f ca="1">IF($C85="N","",P85+I85)</f>
        <v>13</v>
      </c>
      <c r="X85" s="656">
        <f t="shared" ca="1" si="75"/>
        <v>0.41935483870967744</v>
      </c>
      <c r="Y85" s="653">
        <f ca="1">IF($C85="N","",R85+K85)</f>
        <v>31</v>
      </c>
      <c r="Z85" s="456"/>
      <c r="AA85" s="456"/>
      <c r="AB85" s="456"/>
      <c r="AC85" s="456"/>
      <c r="AD85" s="456"/>
      <c r="AE85" s="456"/>
      <c r="AF85" s="456"/>
      <c r="AG85" s="456"/>
      <c r="AH85" s="456"/>
      <c r="AI85" s="456"/>
      <c r="AJ85" s="456"/>
      <c r="AK85" s="456"/>
      <c r="AL85" s="456"/>
      <c r="AM85" s="456"/>
      <c r="AN85" s="456"/>
      <c r="AO85" s="456"/>
      <c r="AP85" s="456"/>
      <c r="AQ85" s="456"/>
      <c r="AR85" s="456"/>
      <c r="AS85" s="456"/>
      <c r="AT85" s="456"/>
      <c r="AU85" s="456"/>
      <c r="AV85" s="456"/>
      <c r="AW85" s="456"/>
      <c r="AX85" s="456"/>
      <c r="AY85" s="456"/>
      <c r="AZ85" s="456"/>
      <c r="BA85" s="456"/>
      <c r="BB85" s="456"/>
      <c r="BC85" s="456"/>
      <c r="BD85" s="456"/>
      <c r="BE85" s="456"/>
      <c r="BF85" s="456"/>
      <c r="BG85" s="456"/>
    </row>
    <row r="86" spans="2:59">
      <c r="B86" s="568"/>
      <c r="C86" s="357" t="str">
        <f>C85</f>
        <v>Gifu</v>
      </c>
      <c r="D86" s="654">
        <v>1</v>
      </c>
      <c r="E86" s="655">
        <f t="array" aca="1" ref="E86" ca="1">IF($C86="N","",SUM(IF((INDIRECT("'"&amp;$C83&amp;"'!$I$23:$I$200")=$D$5)*(INDIRECT("'"&amp;$C83&amp;"'!$H$23:$H$200")=$E$5)*(INDIRECT("'"&amp;$C83&amp;"'!$O$23:$O$200")&gt;=0.5)*(INDIRECT("'"&amp;$C83&amp;"'!$O$23:$O$200")&lt;=2)*((INDIRECT("'"&amp;$C83&amp;"'!$J$23:$J$200")-INDIRECT("'"&amp;$C83&amp;"'!$K$23:$K$200"))&gt;-1),1,0)))</f>
        <v>1</v>
      </c>
      <c r="F86" s="601">
        <f t="shared" ca="1" si="67"/>
        <v>0.5</v>
      </c>
      <c r="G86" s="418">
        <f t="array" aca="1" ref="G86" ca="1">IF($C86="N","",SUM(IF((INDIRECT("'"&amp;$C83&amp;"'!$I$23:$I$200")=$D$5)*(INDIRECT("'"&amp;$C83&amp;"'!$H$23:$H$200")=$E$5)*(INDIRECT("'"&amp;$C83&amp;"'!$O$23:$O$200")&gt;=0.5)*(INDIRECT("'"&amp;$C83&amp;"'!$O$23:$O$200")&lt;=2)*((INDIRECT("'"&amp;$C83&amp;"'!$J$23:$J$200")-INDIRECT("'"&amp;$C83&amp;"'!$K$23:$K$200"))=-1),1,0)))</f>
        <v>1</v>
      </c>
      <c r="H86" s="601">
        <f t="shared" ca="1" si="68"/>
        <v>0.5</v>
      </c>
      <c r="I86" s="418">
        <f t="array" aca="1" ref="I86" ca="1">IF($C86="N","",SUM(IF((INDIRECT("'"&amp;$C83&amp;"'!$I$23:$I$200")=$D$5)*(INDIRECT("'"&amp;$C83&amp;"'!$H$23:$H$200")=$E$5)*(INDIRECT("'"&amp;$C83&amp;"'!$O$23:$O$200")&gt;=0.5)*(INDIRECT("'"&amp;$C83&amp;"'!$O$23:$O$200")&lt;=2)*((INDIRECT("'"&amp;$C83&amp;"'!$J$23:$J$200")-INDIRECT("'"&amp;$C83&amp;"'!$K$23:$K$200"))&lt;-1),1,0)))</f>
        <v>0</v>
      </c>
      <c r="J86" s="601" t="str">
        <f t="shared" ca="1" si="69"/>
        <v>-</v>
      </c>
      <c r="K86" s="522">
        <f ca="1">IF($C86="N","",E86+G86+I86)</f>
        <v>2</v>
      </c>
      <c r="L86" s="655">
        <f t="array" aca="1" ref="L86" ca="1">IF($C86="N","",SUM(IF((INDIRECT("'"&amp;$C83&amp;"'!$I$23:$I$200")=$D$5)*(INDIRECT("'"&amp;$C83&amp;"'!$H$23:$H$200")=$L$5)*(INDIRECT("'"&amp;$C83&amp;"'!$O$23:$O$200")&gt;=0.5)*(INDIRECT("'"&amp;$C83&amp;"'!$O$23:$O$200")&lt;=2)*((INDIRECT("'"&amp;$C83&amp;"'!$J$23:$J$200")-INDIRECT("'"&amp;$C83&amp;"'!$K$23:$K$200"))&gt;-1),1,0)))</f>
        <v>3</v>
      </c>
      <c r="M86" s="601">
        <f t="shared" ca="1" si="70"/>
        <v>0.5</v>
      </c>
      <c r="N86" s="418">
        <f t="array" aca="1" ref="N86" ca="1">IF($C86="N","",SUM(IF((INDIRECT("'"&amp;$C83&amp;"'!$I$23:$I$200")=$D$5)*(INDIRECT("'"&amp;$C83&amp;"'!$H$23:$H$200")=$L$5)*(INDIRECT("'"&amp;$C83&amp;"'!$O$23:$O$200")&gt;=0.5)*(INDIRECT("'"&amp;$C83&amp;"'!$O$23:$O$200")&lt;=2)*((INDIRECT("'"&amp;$C83&amp;"'!$J$23:$J$200")-INDIRECT("'"&amp;$C83&amp;"'!$K$23:$K$200"))=-1),1,0)))</f>
        <v>3</v>
      </c>
      <c r="O86" s="601">
        <f t="shared" ca="1" si="71"/>
        <v>0.5</v>
      </c>
      <c r="P86" s="418">
        <f t="array" aca="1" ref="P86" ca="1">IF($C86="N","",SUM(IF((INDIRECT("'"&amp;$C83&amp;"'!$I$23:$I$200")=$D$5)*(INDIRECT("'"&amp;$C83&amp;"'!$H$23:$H$200")=$L$5)*(INDIRECT("'"&amp;$C83&amp;"'!$O$23:$O$200")&gt;=0.5)*(INDIRECT("'"&amp;$C83&amp;"'!$O$23:$O$200")&lt;=2)*((INDIRECT("'"&amp;$C83&amp;"'!$J$23:$J$200")-INDIRECT("'"&amp;$C83&amp;"'!$K$23:$K$200"))&lt;-1),1,0)))</f>
        <v>0</v>
      </c>
      <c r="Q86" s="601" t="str">
        <f t="shared" ca="1" si="72"/>
        <v>-</v>
      </c>
      <c r="R86" s="522">
        <f ca="1">IF($C86="N","",L86+N86+P86)</f>
        <v>6</v>
      </c>
      <c r="S86" s="655">
        <f ca="1">IF($C86="N","",L86+E86)</f>
        <v>4</v>
      </c>
      <c r="T86" s="601">
        <f t="shared" ca="1" si="73"/>
        <v>0.5</v>
      </c>
      <c r="U86" s="418">
        <f ca="1">IF($C86="N","",N86+G86)</f>
        <v>4</v>
      </c>
      <c r="V86" s="601">
        <f t="shared" ca="1" si="74"/>
        <v>0.5</v>
      </c>
      <c r="W86" s="418">
        <f ca="1">IF($C86="N","",P86+I86)</f>
        <v>0</v>
      </c>
      <c r="X86" s="656" t="str">
        <f t="shared" ca="1" si="75"/>
        <v>-</v>
      </c>
      <c r="Y86" s="653">
        <f ca="1">IF($C86="N","",R86+K86)</f>
        <v>8</v>
      </c>
      <c r="Z86" s="456"/>
      <c r="AA86" s="456"/>
      <c r="AB86" s="456"/>
      <c r="AC86" s="456"/>
      <c r="AD86" s="456"/>
      <c r="AE86" s="456"/>
      <c r="AF86" s="456"/>
      <c r="AG86" s="456"/>
      <c r="AH86" s="456"/>
      <c r="AI86" s="456"/>
      <c r="AJ86" s="456"/>
      <c r="AK86" s="456"/>
      <c r="AL86" s="456"/>
      <c r="AM86" s="456"/>
      <c r="AN86" s="456"/>
      <c r="AO86" s="456"/>
      <c r="AP86" s="456"/>
      <c r="AQ86" s="456"/>
      <c r="AR86" s="456"/>
      <c r="AS86" s="456"/>
      <c r="AT86" s="456"/>
      <c r="AU86" s="456"/>
      <c r="AV86" s="456"/>
      <c r="AW86" s="456"/>
      <c r="AX86" s="456"/>
      <c r="AY86" s="456"/>
      <c r="AZ86" s="456"/>
      <c r="BA86" s="456"/>
      <c r="BB86" s="456"/>
      <c r="BC86" s="456"/>
      <c r="BD86" s="456"/>
      <c r="BE86" s="456"/>
      <c r="BF86" s="456"/>
      <c r="BG86" s="456"/>
    </row>
    <row r="87" spans="2:59" ht="13.5" thickBot="1">
      <c r="B87" s="568"/>
      <c r="C87" s="357" t="str">
        <f>C86</f>
        <v>Gifu</v>
      </c>
      <c r="D87" s="654">
        <v>2</v>
      </c>
      <c r="E87" s="657">
        <f t="array" aca="1" ref="E87" ca="1">IF($C87="N","",SUM(IF((INDIRECT("'"&amp;$C83&amp;"'!$I$23:$I$200")=$D$5)*(INDIRECT("'"&amp;$C83&amp;"'!$H$23:$H$200")=$E$5)*(INDIRECT("'"&amp;$C83&amp;"'!$O$23:$O$200")&gt;=2.25)*((INDIRECT("'"&amp;$C83&amp;"'!$J$23:$J$200")-INDIRECT("'"&amp;$C83&amp;"'!$K$23:$K$200"))&gt;-2),1,0)))</f>
        <v>0</v>
      </c>
      <c r="F87" s="605" t="str">
        <f t="shared" ca="1" si="67"/>
        <v>-</v>
      </c>
      <c r="G87" s="658">
        <f t="array" aca="1" ref="G87" ca="1">IF($C87="N","",SUM(IF((INDIRECT("'"&amp;$C83&amp;"'!$I$23:$I$200")=$D$5)*(INDIRECT("'"&amp;$C83&amp;"'!$H$23:$H$200")=$E$5)*(INDIRECT("'"&amp;$C83&amp;"'!$O$23:$O$200")&gt;=2.25)*((INDIRECT("'"&amp;$C83&amp;"'!$J$23:$J$200")-INDIRECT("'"&amp;$C83&amp;"'!$K$23:$K$200"))=-2),1,0)))</f>
        <v>0</v>
      </c>
      <c r="H87" s="605" t="str">
        <f t="shared" ca="1" si="68"/>
        <v>-</v>
      </c>
      <c r="I87" s="658">
        <f t="array" aca="1" ref="I87" ca="1">IF($C87="N","",SUM(IF((INDIRECT("'"&amp;$C83&amp;"'!$I$23:$I$200")=$D$5)*(INDIRECT("'"&amp;$C83&amp;"'!$H$23:$H$200")=$E$5)*(INDIRECT("'"&amp;$C83&amp;"'!$O$23:$O$200")&gt;=2.25)*((INDIRECT("'"&amp;$C83&amp;"'!$J$23:$J$200")-INDIRECT("'"&amp;$C83&amp;"'!$K$23:$K$200"))&lt;-2),1,0)))</f>
        <v>0</v>
      </c>
      <c r="J87" s="605" t="str">
        <f t="shared" ca="1" si="69"/>
        <v>-</v>
      </c>
      <c r="K87" s="659">
        <f ca="1">IF($C87="N","",E87+G87+I87)</f>
        <v>0</v>
      </c>
      <c r="L87" s="657">
        <f t="array" aca="1" ref="L87" ca="1">IF($C87="N","",SUM(IF((INDIRECT("'"&amp;$C83&amp;"'!$I$23:$I$200")=$D$5)*(INDIRECT("'"&amp;$C83&amp;"'!$H$23:$H$200")=$L$5)*(INDIRECT("'"&amp;$C83&amp;"'!$O$23:$O$200")&gt;=2.25)*((INDIRECT("'"&amp;$C83&amp;"'!$J$23:$J$200")-INDIRECT("'"&amp;$C83&amp;"'!$K$23:$K$200"))&gt;-2),1,0)))</f>
        <v>0</v>
      </c>
      <c r="M87" s="605" t="str">
        <f t="shared" ca="1" si="70"/>
        <v>-</v>
      </c>
      <c r="N87" s="658">
        <f t="array" aca="1" ref="N87" ca="1">IF($C87="N","",SUM(IF((INDIRECT("'"&amp;$C83&amp;"'!$I$23:$I$200")=$D$5)*(INDIRECT("'"&amp;$C83&amp;"'!$H$23:$H$200")=$L$5)*(INDIRECT("'"&amp;$C83&amp;"'!$O$23:$O$200")&gt;=2.25)*((INDIRECT("'"&amp;$C83&amp;"'!$J$23:$J$200")-INDIRECT("'"&amp;$C83&amp;"'!$K$23:$K$200"))=-2),1,0)))</f>
        <v>0</v>
      </c>
      <c r="O87" s="605" t="str">
        <f t="shared" ca="1" si="71"/>
        <v>-</v>
      </c>
      <c r="P87" s="658">
        <f t="array" aca="1" ref="P87" ca="1">IF($C87="N","",SUM(IF((INDIRECT("'"&amp;$C83&amp;"'!$I$23:$I$200")=$D$5)*(INDIRECT("'"&amp;$C83&amp;"'!$H$23:$H$200")=$L$5)*(INDIRECT("'"&amp;$C83&amp;"'!$O$23:$O$200")&gt;=2.25)*((INDIRECT("'"&amp;$C83&amp;"'!$J$23:$J$200")-INDIRECT("'"&amp;$C83&amp;"'!$K$23:$K$200"))&lt;-2),1,0)))</f>
        <v>0</v>
      </c>
      <c r="Q87" s="605" t="str">
        <f t="shared" ca="1" si="72"/>
        <v>-</v>
      </c>
      <c r="R87" s="659">
        <f ca="1">IF($C87="N","",L87+N87+P87)</f>
        <v>0</v>
      </c>
      <c r="S87" s="657">
        <f ca="1">IF($C87="N","",L87+E87)</f>
        <v>0</v>
      </c>
      <c r="T87" s="605" t="str">
        <f t="shared" ca="1" si="73"/>
        <v>-</v>
      </c>
      <c r="U87" s="658">
        <f ca="1">IF($C87="N","",N87+G87)</f>
        <v>0</v>
      </c>
      <c r="V87" s="605" t="str">
        <f t="shared" ca="1" si="74"/>
        <v>-</v>
      </c>
      <c r="W87" s="658">
        <f ca="1">IF($C87="N","",P87+I87)</f>
        <v>0</v>
      </c>
      <c r="X87" s="660" t="str">
        <f t="shared" ca="1" si="75"/>
        <v>-</v>
      </c>
      <c r="Y87" s="531">
        <f ca="1">IF($C87="N","",R87+K87)</f>
        <v>0</v>
      </c>
      <c r="Z87" s="456"/>
      <c r="AA87" s="456"/>
      <c r="AB87" s="456"/>
      <c r="AC87" s="456"/>
      <c r="AD87" s="456"/>
      <c r="AE87" s="456"/>
      <c r="AF87" s="456"/>
      <c r="AG87" s="456"/>
      <c r="AH87" s="456"/>
      <c r="AI87" s="456"/>
      <c r="AJ87" s="456"/>
      <c r="AK87" s="456"/>
      <c r="AL87" s="456"/>
      <c r="AM87" s="456"/>
      <c r="AN87" s="456"/>
      <c r="AO87" s="456"/>
      <c r="AP87" s="456"/>
      <c r="AQ87" s="456"/>
      <c r="AR87" s="456"/>
      <c r="AS87" s="456"/>
      <c r="AT87" s="456"/>
      <c r="AU87" s="456"/>
      <c r="AV87" s="456"/>
      <c r="AW87" s="456"/>
      <c r="AX87" s="456"/>
      <c r="AY87" s="456"/>
      <c r="AZ87" s="456"/>
      <c r="BA87" s="456"/>
      <c r="BB87" s="456"/>
      <c r="BC87" s="456"/>
      <c r="BD87" s="456"/>
      <c r="BE87" s="456"/>
      <c r="BF87" s="456"/>
      <c r="BG87" s="456"/>
    </row>
    <row r="88" spans="2:59" ht="13.5" thickBot="1">
      <c r="B88" s="568" t="str">
        <f>D81</f>
        <v>Gifu</v>
      </c>
      <c r="D88" s="661" t="s">
        <v>115</v>
      </c>
      <c r="E88" s="481">
        <f ca="1">SUM(E83:E87)</f>
        <v>6</v>
      </c>
      <c r="F88" s="435">
        <f t="shared" ca="1" si="67"/>
        <v>0.2857142857142857</v>
      </c>
      <c r="G88" s="438">
        <f ca="1">SUM(G83:G87)</f>
        <v>5</v>
      </c>
      <c r="H88" s="435">
        <f t="shared" ca="1" si="68"/>
        <v>0.23809523809523808</v>
      </c>
      <c r="I88" s="438">
        <f ca="1">SUM(I83:I87)</f>
        <v>10</v>
      </c>
      <c r="J88" s="435">
        <f t="shared" ca="1" si="69"/>
        <v>0.47619047619047616</v>
      </c>
      <c r="K88" s="479">
        <f ca="1">SUM(K83:K87)</f>
        <v>21</v>
      </c>
      <c r="L88" s="662">
        <f ca="1">SUM(L83:L87)</f>
        <v>8</v>
      </c>
      <c r="M88" s="435">
        <f t="shared" ca="1" si="70"/>
        <v>0.38095238095238093</v>
      </c>
      <c r="N88" s="438">
        <f ca="1">SUM(N83:N87)</f>
        <v>8</v>
      </c>
      <c r="O88" s="435">
        <f t="shared" ca="1" si="71"/>
        <v>0.38095238095238093</v>
      </c>
      <c r="P88" s="438">
        <f ca="1">SUM(P83:P87)</f>
        <v>5</v>
      </c>
      <c r="Q88" s="435">
        <f t="shared" ca="1" si="72"/>
        <v>0.23809523809523808</v>
      </c>
      <c r="R88" s="480">
        <f ca="1">SUM(R83:R87)</f>
        <v>21</v>
      </c>
      <c r="S88" s="481">
        <f ca="1">SUM(S83:S87)</f>
        <v>14</v>
      </c>
      <c r="T88" s="435">
        <f t="shared" ca="1" si="73"/>
        <v>0.33333333333333331</v>
      </c>
      <c r="U88" s="438">
        <f ca="1">SUM(U83:U87)</f>
        <v>13</v>
      </c>
      <c r="V88" s="435">
        <f t="shared" ca="1" si="74"/>
        <v>0.30952380952380953</v>
      </c>
      <c r="W88" s="438">
        <f ca="1">SUM(W83:W87)</f>
        <v>15</v>
      </c>
      <c r="X88" s="638">
        <f t="shared" ca="1" si="75"/>
        <v>0.35714285714285715</v>
      </c>
      <c r="Y88" s="639">
        <f ca="1">SUM(Y83:Y87)</f>
        <v>42</v>
      </c>
      <c r="Z88" s="456"/>
      <c r="AA88" s="456"/>
      <c r="AB88" s="456"/>
      <c r="AC88" s="456"/>
      <c r="AD88" s="456"/>
      <c r="AE88" s="456"/>
      <c r="AF88" s="456"/>
      <c r="AG88" s="456"/>
      <c r="AH88" s="456"/>
      <c r="AI88" s="456"/>
      <c r="AJ88" s="456"/>
      <c r="AK88" s="456"/>
      <c r="AL88" s="456"/>
      <c r="AM88" s="456"/>
      <c r="AN88" s="456"/>
      <c r="AO88" s="456"/>
      <c r="AP88" s="456"/>
      <c r="AQ88" s="456"/>
      <c r="AR88" s="456"/>
      <c r="AS88" s="456"/>
      <c r="AT88" s="456"/>
      <c r="AU88" s="456"/>
      <c r="AV88" s="456"/>
      <c r="AW88" s="456"/>
      <c r="AX88" s="456"/>
      <c r="AY88" s="456"/>
      <c r="AZ88" s="456"/>
      <c r="BA88" s="456"/>
      <c r="BB88" s="456"/>
      <c r="BC88" s="456"/>
      <c r="BD88" s="456"/>
      <c r="BE88" s="456"/>
      <c r="BF88" s="456"/>
      <c r="BG88" s="456"/>
    </row>
    <row r="89" spans="2:59" ht="13.5" thickBot="1">
      <c r="B89" s="568"/>
      <c r="X89" s="640"/>
      <c r="Y89" s="456"/>
      <c r="Z89" s="456"/>
      <c r="AA89" s="456"/>
      <c r="AB89" s="456"/>
      <c r="AC89" s="456"/>
      <c r="AD89" s="456"/>
      <c r="AE89" s="456"/>
      <c r="AF89" s="456"/>
      <c r="AG89" s="456"/>
      <c r="AH89" s="456"/>
      <c r="AI89" s="456"/>
      <c r="AJ89" s="456"/>
      <c r="AK89" s="456"/>
      <c r="AL89" s="456"/>
      <c r="AM89" s="456"/>
      <c r="AN89" s="456"/>
      <c r="AO89" s="456"/>
      <c r="AP89" s="456"/>
      <c r="AQ89" s="456"/>
      <c r="AR89" s="456"/>
      <c r="AS89" s="456"/>
      <c r="AT89" s="456"/>
      <c r="AU89" s="456"/>
      <c r="AV89" s="456"/>
      <c r="AW89" s="456"/>
      <c r="AX89" s="456"/>
      <c r="AY89" s="456"/>
      <c r="AZ89" s="456"/>
      <c r="BA89" s="456"/>
      <c r="BB89" s="456"/>
      <c r="BC89" s="456"/>
      <c r="BD89" s="456"/>
      <c r="BE89" s="456"/>
      <c r="BF89" s="456"/>
      <c r="BG89" s="456"/>
    </row>
    <row r="90" spans="2:59">
      <c r="D90" s="562" t="str">
        <f>I1</f>
        <v>Shonan Bellmare</v>
      </c>
      <c r="E90" s="582" t="s">
        <v>162</v>
      </c>
      <c r="F90" s="583"/>
      <c r="G90" s="584"/>
      <c r="H90" s="583"/>
      <c r="I90" s="585"/>
      <c r="J90" s="584"/>
      <c r="K90" s="586"/>
      <c r="L90" s="641" t="s">
        <v>163</v>
      </c>
      <c r="M90" s="583"/>
      <c r="N90" s="584"/>
      <c r="O90" s="583"/>
      <c r="P90" s="585"/>
      <c r="Q90" s="583"/>
      <c r="R90" s="584"/>
      <c r="S90" s="582" t="s">
        <v>164</v>
      </c>
      <c r="T90" s="583"/>
      <c r="U90" s="584"/>
      <c r="V90" s="583"/>
      <c r="W90" s="587"/>
      <c r="X90" s="642"/>
      <c r="Y90" s="643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  <c r="AK90" s="456"/>
      <c r="AL90" s="456"/>
      <c r="AM90" s="456"/>
      <c r="AN90" s="456"/>
      <c r="AO90" s="456"/>
      <c r="AP90" s="456"/>
      <c r="AQ90" s="456"/>
      <c r="AR90" s="456"/>
      <c r="AS90" s="456"/>
      <c r="AT90" s="456"/>
      <c r="AU90" s="456"/>
      <c r="AV90" s="456"/>
      <c r="AW90" s="456"/>
      <c r="AX90" s="456"/>
      <c r="AY90" s="456"/>
      <c r="AZ90" s="456"/>
      <c r="BA90" s="456"/>
      <c r="BB90" s="456"/>
      <c r="BC90" s="456"/>
      <c r="BD90" s="456"/>
      <c r="BE90" s="456"/>
      <c r="BF90" s="456"/>
      <c r="BG90" s="456"/>
    </row>
    <row r="91" spans="2:59" ht="13.5" thickBot="1">
      <c r="D91" s="644" t="s">
        <v>165</v>
      </c>
      <c r="E91" s="590" t="s">
        <v>63</v>
      </c>
      <c r="F91" s="591"/>
      <c r="G91" s="645" t="s">
        <v>64</v>
      </c>
      <c r="H91" s="591"/>
      <c r="I91" s="645" t="s">
        <v>65</v>
      </c>
      <c r="J91" s="645"/>
      <c r="K91" s="646" t="s">
        <v>171</v>
      </c>
      <c r="L91" s="647" t="s">
        <v>63</v>
      </c>
      <c r="M91" s="591"/>
      <c r="N91" s="645" t="s">
        <v>64</v>
      </c>
      <c r="O91" s="591"/>
      <c r="P91" s="645" t="s">
        <v>65</v>
      </c>
      <c r="Q91" s="591"/>
      <c r="R91" s="646" t="s">
        <v>172</v>
      </c>
      <c r="S91" s="590" t="s">
        <v>63</v>
      </c>
      <c r="T91" s="591"/>
      <c r="U91" s="645" t="s">
        <v>64</v>
      </c>
      <c r="V91" s="648"/>
      <c r="W91" s="645" t="s">
        <v>65</v>
      </c>
      <c r="X91" s="649"/>
      <c r="Y91" s="650" t="s">
        <v>168</v>
      </c>
      <c r="Z91" s="456"/>
      <c r="AA91" s="456"/>
      <c r="AB91" s="456"/>
      <c r="AC91" s="456"/>
      <c r="AD91" s="456"/>
      <c r="AE91" s="456"/>
      <c r="AF91" s="456"/>
      <c r="AG91" s="456"/>
      <c r="AH91" s="456"/>
      <c r="AI91" s="456"/>
      <c r="AJ91" s="456"/>
      <c r="AK91" s="456"/>
      <c r="AL91" s="456"/>
      <c r="AM91" s="456"/>
      <c r="AN91" s="456"/>
      <c r="AO91" s="456"/>
      <c r="AP91" s="456"/>
      <c r="AQ91" s="456"/>
      <c r="AR91" s="456"/>
      <c r="AS91" s="456"/>
      <c r="AT91" s="456"/>
      <c r="AU91" s="456"/>
      <c r="AV91" s="456"/>
      <c r="AW91" s="456"/>
      <c r="AX91" s="456"/>
      <c r="AY91" s="456"/>
      <c r="AZ91" s="456"/>
      <c r="BA91" s="456"/>
      <c r="BB91" s="456"/>
      <c r="BC91" s="456"/>
      <c r="BD91" s="456"/>
      <c r="BE91" s="456"/>
      <c r="BF91" s="456"/>
      <c r="BG91" s="456"/>
    </row>
    <row r="92" spans="2:59">
      <c r="B92" s="568"/>
      <c r="C92" s="357" t="str">
        <f>IF(D90=0,"N",D90)</f>
        <v>Shonan Bellmare</v>
      </c>
      <c r="D92" s="651">
        <v>-2</v>
      </c>
      <c r="E92" s="599">
        <f t="array" aca="1" ref="E92" ca="1">IF($C92="N","",SUM(IF((INDIRECT("'"&amp;$C92&amp;"'!$I$23:$I$200")=$D$5)*(INDIRECT("'"&amp;$C92&amp;"'!$H$23:$H$200")=$E$5)*(INDIRECT("'"&amp;$C92&amp;"'!$O$23:$O$200")&lt;=-2.25)*((INDIRECT("'"&amp;$C92&amp;"'!$J$23:$J$200")-INDIRECT("'"&amp;$C92&amp;"'!$K$23:$K$200"))&gt;2),1,0)))</f>
        <v>0</v>
      </c>
      <c r="F92" s="406" t="str">
        <f t="shared" ref="F92:F97" ca="1" si="76">IF(E92="","",IF(E92=0,"-",E92/$K92))</f>
        <v>-</v>
      </c>
      <c r="G92" s="408">
        <f t="array" aca="1" ref="G92" ca="1">IF($C92="N","",SUM(IF((INDIRECT("'"&amp;$C92&amp;"'!$I$23:$I$200")=$D$5)*(INDIRECT("'"&amp;$C92&amp;"'!$H$23:$H$200")=$E$5)*(INDIRECT("'"&amp;$C92&amp;"'!$O$23:$O$200")&lt;=-2.25)*((INDIRECT("'"&amp;$C92&amp;"'!$J$23:$J$200")-INDIRECT("'"&amp;$C92&amp;"'!$K$23:$K$200"))=2),1,0)))</f>
        <v>0</v>
      </c>
      <c r="H92" s="406" t="str">
        <f t="shared" ref="H92:H97" ca="1" si="77">IF(G92="","",IF(G92=0,"-",G92/$K92))</f>
        <v>-</v>
      </c>
      <c r="I92" s="408">
        <f t="array" aca="1" ref="I92" ca="1">IF($C92="N","",SUM(IF((INDIRECT("'"&amp;$C92&amp;"'!$I$23:$I$200")=$D$5)*(INDIRECT("'"&amp;$C92&amp;"'!$H$23:$H$200")=$E$5)*(INDIRECT("'"&amp;$C92&amp;"'!$O$23:$O$200")&lt;=-2.25)*((INDIRECT("'"&amp;$C92&amp;"'!$K$23:$K$200")-INDIRECT("'"&amp;$C92&amp;"'!$J$23:$J$200"))&gt;-2),1,0)))</f>
        <v>0</v>
      </c>
      <c r="J92" s="406" t="str">
        <f t="shared" ref="J92:J97" ca="1" si="78">IF(I92="","",IF(I92=0,"-",I92/$K92))</f>
        <v>-</v>
      </c>
      <c r="K92" s="602">
        <f ca="1">IF($C92="N","",E92+G92+I92)</f>
        <v>0</v>
      </c>
      <c r="L92" s="599">
        <f t="array" aca="1" ref="L92" ca="1">IF($C92="N","",SUM(IF((INDIRECT("'"&amp;$C92&amp;"'!$I$23:$I$200")=$D$5)*(INDIRECT("'"&amp;$C92&amp;"'!$H$23:$H$200")=$L$5)*(INDIRECT("'"&amp;$C92&amp;"'!$O$23:$O$200")&lt;=-2.25)*((INDIRECT("'"&amp;$C92&amp;"'!$J$23:$J$200")-INDIRECT("'"&amp;$C92&amp;"'!$K$23:$K$200"))&gt;2),1,0)))</f>
        <v>0</v>
      </c>
      <c r="M92" s="406" t="str">
        <f t="shared" ref="M92:M97" ca="1" si="79">IF(L92="","",IF(L92=0,"-",L92/$R92))</f>
        <v>-</v>
      </c>
      <c r="N92" s="408">
        <f t="array" aca="1" ref="N92" ca="1">IF($C92="N","",SUM(IF((INDIRECT("'"&amp;$C92&amp;"'!$I$23:$I$200")=$D$5)*(INDIRECT("'"&amp;$C92&amp;"'!$H$23:$H$200")=$L$5)*(INDIRECT("'"&amp;$C92&amp;"'!$O$23:$O$200")&lt;=-2.25)*((INDIRECT("'"&amp;$C92&amp;"'!$J$23:$J$200")-INDIRECT("'"&amp;$C92&amp;"'!$K$23:$K$200"))=2),1,0)))</f>
        <v>0</v>
      </c>
      <c r="O92" s="406" t="str">
        <f t="shared" ref="O92:O97" ca="1" si="80">IF(N92="","",IF(N92=0,"-",N92/$R92))</f>
        <v>-</v>
      </c>
      <c r="P92" s="408">
        <f t="array" aca="1" ref="P92" ca="1">IF($C92="N","",SUM(IF((INDIRECT("'"&amp;$C92&amp;"'!$I$23:$I$200")=$D$5)*(INDIRECT("'"&amp;$C92&amp;"'!$H$23:$H$200")=$L$5)*(INDIRECT("'"&amp;$C92&amp;"'!$O$23:$O$200")&lt;=-2.25)*((INDIRECT("'"&amp;$C92&amp;"'!$K$23:$K$200")-INDIRECT("'"&amp;$C92&amp;"'!$J$23:$J$200"))&gt;-2),1,0)))</f>
        <v>0</v>
      </c>
      <c r="Q92" s="406" t="str">
        <f t="shared" ref="Q92:Q97" ca="1" si="81">IF(P92="","",IF(P92=0,"-",P92/$R92))</f>
        <v>-</v>
      </c>
      <c r="R92" s="602">
        <f ca="1">IF($C92="N","",L92+N92+P92)</f>
        <v>0</v>
      </c>
      <c r="S92" s="599">
        <f ca="1">IF($C92="N","",L92+E92)</f>
        <v>0</v>
      </c>
      <c r="T92" s="406" t="str">
        <f t="shared" ref="T92:T97" ca="1" si="82">IF(S92="","",IF(S92=0,"-",S92/$Y92))</f>
        <v>-</v>
      </c>
      <c r="U92" s="408">
        <f ca="1">IF($C92="N","",N92+G92)</f>
        <v>0</v>
      </c>
      <c r="V92" s="406" t="str">
        <f t="shared" ref="V92:V97" ca="1" si="83">IF(U92="","",IF(U92=0,"-",U92/$Y92))</f>
        <v>-</v>
      </c>
      <c r="W92" s="408">
        <f ca="1">IF($C92="N","",P92+I92)</f>
        <v>0</v>
      </c>
      <c r="X92" s="652" t="str">
        <f t="shared" ref="X92:X97" ca="1" si="84">IF(W92="","",IF(W92=0,"-",W92/$Y92))</f>
        <v>-</v>
      </c>
      <c r="Y92" s="653">
        <f ca="1">IF($C92="N","",R92+K92)</f>
        <v>0</v>
      </c>
      <c r="Z92" s="456"/>
      <c r="AA92" s="456"/>
      <c r="AB92" s="456"/>
      <c r="AC92" s="456"/>
      <c r="AD92" s="456"/>
      <c r="AE92" s="456"/>
      <c r="AF92" s="456"/>
      <c r="AG92" s="456"/>
      <c r="AH92" s="456"/>
      <c r="AI92" s="456"/>
      <c r="AJ92" s="456"/>
      <c r="AK92" s="456"/>
      <c r="AL92" s="456"/>
      <c r="AM92" s="456"/>
      <c r="AN92" s="456"/>
      <c r="AO92" s="456"/>
      <c r="AP92" s="456"/>
      <c r="AQ92" s="456"/>
      <c r="AR92" s="456"/>
      <c r="AS92" s="456"/>
      <c r="AT92" s="456"/>
      <c r="AU92" s="456"/>
      <c r="AV92" s="456"/>
      <c r="AW92" s="456"/>
      <c r="AX92" s="456"/>
      <c r="AY92" s="456"/>
      <c r="AZ92" s="456"/>
      <c r="BA92" s="456"/>
      <c r="BB92" s="456"/>
      <c r="BC92" s="456"/>
      <c r="BD92" s="456"/>
      <c r="BE92" s="456"/>
      <c r="BF92" s="456"/>
      <c r="BG92" s="456"/>
    </row>
    <row r="93" spans="2:59">
      <c r="B93" s="568"/>
      <c r="C93" s="357" t="str">
        <f>C92</f>
        <v>Shonan Bellmare</v>
      </c>
      <c r="D93" s="654">
        <v>-1</v>
      </c>
      <c r="E93" s="655">
        <f t="array" aca="1" ref="E93" ca="1">IF($C93="N","",SUM(IF((INDIRECT("'"&amp;$C92&amp;"'!$I$23:$I$200")=$D$5)*(INDIRECT("'"&amp;$C92&amp;"'!$H$23:$H$200")=$E$5)*(INDIRECT("'"&amp;$C92&amp;"'!$O$23:$O$200")&lt;=-0.5)*(INDIRECT("'"&amp;$C92&amp;"'!$O$23:$O$200")&gt;=-2)*((INDIRECT("'"&amp;$C92&amp;"'!$J$23:$J$200")-INDIRECT("'"&amp;$C92&amp;"'!$K$23:$K$200"))&gt;1),1,0)))</f>
        <v>4</v>
      </c>
      <c r="F93" s="601">
        <f t="shared" ca="1" si="76"/>
        <v>0.2857142857142857</v>
      </c>
      <c r="G93" s="418">
        <f t="array" aca="1" ref="G93" ca="1">IF($C93="N","",SUM(IF((INDIRECT("'"&amp;$C92&amp;"'!$I$23:$I$200")=$D$5)*(INDIRECT("'"&amp;$C92&amp;"'!$H$23:$H$200")=$E$5)*(INDIRECT("'"&amp;$C92&amp;"'!$O$23:$O$200")&lt;=-0.5)*(INDIRECT("'"&amp;$C92&amp;"'!$O$23:$O$200")&gt;=-2)*((INDIRECT("'"&amp;$C92&amp;"'!$J$23:$J$200")-INDIRECT("'"&amp;$C92&amp;"'!$K$23:$K$200"))=1),1,0)))</f>
        <v>3</v>
      </c>
      <c r="H93" s="601">
        <f t="shared" ca="1" si="77"/>
        <v>0.21428571428571427</v>
      </c>
      <c r="I93" s="418">
        <f t="array" aca="1" ref="I93" ca="1">IF($C93="N","",SUM(IF((INDIRECT("'"&amp;$C92&amp;"'!$I$23:$I$200")=$D$5)*(INDIRECT("'"&amp;$C92&amp;"'!$H$23:$H$200")=$E$5)*(INDIRECT("'"&amp;$C92&amp;"'!$O$23:$O$200")&lt;=-0.5)*(INDIRECT("'"&amp;$C92&amp;"'!$O$23:$O$200")&gt;=-2)*((INDIRECT("'"&amp;$C92&amp;"'!$K$23:$K$200")-INDIRECT("'"&amp;$C92&amp;"'!$J$23:$J$200"))&gt;-1),1,0)))</f>
        <v>7</v>
      </c>
      <c r="J93" s="601">
        <f t="shared" ca="1" si="78"/>
        <v>0.5</v>
      </c>
      <c r="K93" s="522">
        <f ca="1">IF($C93="N","",E93+G93+I93)</f>
        <v>14</v>
      </c>
      <c r="L93" s="655">
        <f t="array" aca="1" ref="L93" ca="1">IF($C93="N","",SUM(IF((INDIRECT("'"&amp;$C92&amp;"'!$I$23:$I$200")=$D$5)*(INDIRECT("'"&amp;$C92&amp;"'!$H$23:$H$200")=$L$5)*(INDIRECT("'"&amp;$C92&amp;"'!$O$23:$O$200")&lt;=-0.5)*(INDIRECT("'"&amp;$C92&amp;"'!$O$23:$O$200")&gt;=-2)*((INDIRECT("'"&amp;$C92&amp;"'!$J$23:$J$200")-INDIRECT("'"&amp;$C92&amp;"'!$K$23:$K$200"))&gt;1),1,0)))</f>
        <v>2</v>
      </c>
      <c r="M93" s="601">
        <f t="shared" ca="1" si="79"/>
        <v>0.2857142857142857</v>
      </c>
      <c r="N93" s="418">
        <f t="array" aca="1" ref="N93" ca="1">IF($C93="N","",SUM(IF((INDIRECT("'"&amp;$C92&amp;"'!$I$23:$I$200")=$D$5)*(INDIRECT("'"&amp;$C92&amp;"'!$H$23:$H$200")=$L$5)*(INDIRECT("'"&amp;$C92&amp;"'!$O$23:$O$200")&lt;=-0.5)*(INDIRECT("'"&amp;$C92&amp;"'!$O$23:$O$200")&gt;=-2)*((INDIRECT("'"&amp;$C92&amp;"'!$J$23:$J$200")-INDIRECT("'"&amp;$C92&amp;"'!$K$23:$K$200"))=1),1,0)))</f>
        <v>2</v>
      </c>
      <c r="O93" s="601">
        <f t="shared" ca="1" si="80"/>
        <v>0.2857142857142857</v>
      </c>
      <c r="P93" s="418">
        <f t="array" aca="1" ref="P93" ca="1">IF($C93="N","",SUM(IF((INDIRECT("'"&amp;$C92&amp;"'!$I$23:$I$200")=$D$5)*(INDIRECT("'"&amp;$C92&amp;"'!$H$23:$H$200")=$L$5)*(INDIRECT("'"&amp;$C92&amp;"'!$O$23:$O$200")&lt;=-0.5)*(INDIRECT("'"&amp;$C92&amp;"'!$O$23:$O$200")&gt;=-2)*((INDIRECT("'"&amp;$C92&amp;"'!$K$23:$K$200")-INDIRECT("'"&amp;$C92&amp;"'!$J$23:$J$200"))&gt;-1),1,0)))</f>
        <v>3</v>
      </c>
      <c r="Q93" s="601">
        <f t="shared" ca="1" si="81"/>
        <v>0.42857142857142855</v>
      </c>
      <c r="R93" s="522">
        <f ca="1">IF($C93="N","",L93+N93+P93)</f>
        <v>7</v>
      </c>
      <c r="S93" s="655">
        <f ca="1">IF($C93="N","",L93+E93)</f>
        <v>6</v>
      </c>
      <c r="T93" s="601">
        <f t="shared" ca="1" si="82"/>
        <v>0.2857142857142857</v>
      </c>
      <c r="U93" s="418">
        <f ca="1">IF($C93="N","",N93+G93)</f>
        <v>5</v>
      </c>
      <c r="V93" s="601">
        <f t="shared" ca="1" si="83"/>
        <v>0.23809523809523808</v>
      </c>
      <c r="W93" s="418">
        <f ca="1">IF($C93="N","",P93+I93)</f>
        <v>10</v>
      </c>
      <c r="X93" s="656">
        <f t="shared" ca="1" si="84"/>
        <v>0.47619047619047616</v>
      </c>
      <c r="Y93" s="653">
        <f ca="1">IF($C93="N","",R93+K93)</f>
        <v>21</v>
      </c>
      <c r="Z93" s="456"/>
      <c r="AA93" s="456"/>
      <c r="AB93" s="456"/>
      <c r="AC93" s="456"/>
      <c r="AD93" s="456"/>
      <c r="AE93" s="456"/>
      <c r="AF93" s="456"/>
      <c r="AG93" s="456"/>
      <c r="AH93" s="456"/>
      <c r="AI93" s="456"/>
      <c r="AJ93" s="456"/>
      <c r="AK93" s="456"/>
      <c r="AL93" s="456"/>
      <c r="AM93" s="456"/>
      <c r="AN93" s="456"/>
      <c r="AO93" s="456"/>
      <c r="AP93" s="456"/>
      <c r="AQ93" s="456"/>
      <c r="AR93" s="456"/>
      <c r="AS93" s="456"/>
      <c r="AT93" s="456"/>
      <c r="AU93" s="456"/>
      <c r="AV93" s="456"/>
      <c r="AW93" s="456"/>
      <c r="AX93" s="456"/>
      <c r="AY93" s="456"/>
      <c r="AZ93" s="456"/>
      <c r="BA93" s="456"/>
      <c r="BB93" s="456"/>
      <c r="BC93" s="456"/>
      <c r="BD93" s="456"/>
      <c r="BE93" s="456"/>
      <c r="BF93" s="456"/>
      <c r="BG93" s="456"/>
    </row>
    <row r="94" spans="2:59">
      <c r="B94" s="568"/>
      <c r="C94" s="357" t="str">
        <f>C93</f>
        <v>Shonan Bellmare</v>
      </c>
      <c r="D94" s="654">
        <v>0</v>
      </c>
      <c r="E94" s="655">
        <f t="array" aca="1" ref="E94" ca="1">IF($C94="N","",SUM(IF((INDIRECT("'"&amp;$C92&amp;"'!$I$23:$I$200")=$D$5)*(INDIRECT("'"&amp;$C92&amp;"'!$H$23:$H$200")=$E$5)*(INDIRECT("'"&amp;$C92&amp;"'!$O$23:$O$200")&gt;=-0.25)*(INDIRECT("'"&amp;$C92&amp;"'!$O$23:$O$200")&lt;=0.25)*(INDIRECT("'"&amp;$C92&amp;"'!$O$23:$O$200")&lt;&gt;"")*((INDIRECT("'"&amp;$C92&amp;"'!$J$23:$J$200")-INDIRECT("'"&amp;$C92&amp;"'!$K$23:$K$200"))&gt;0),1,0)))</f>
        <v>5</v>
      </c>
      <c r="F94" s="601">
        <f t="shared" ca="1" si="76"/>
        <v>0.7142857142857143</v>
      </c>
      <c r="G94" s="418">
        <f t="array" aca="1" ref="G94" ca="1">IF($C94="N","",SUM(IF((INDIRECT("'"&amp;$C92&amp;"'!$I$23:$I$200")=$D$5)*(INDIRECT("'"&amp;$C92&amp;"'!$H$23:$H$200")=$E$5)*(INDIRECT("'"&amp;$C92&amp;"'!$O$23:$O$200")&gt;=-0.25)*(INDIRECT("'"&amp;$C92&amp;"'!$O$23:$O$200")&lt;=0.25)*(INDIRECT("'"&amp;$C92&amp;"'!$O$23:$O$200")&lt;&gt;"")*((INDIRECT("'"&amp;$C92&amp;"'!$J$23:$J$200")-INDIRECT("'"&amp;$C92&amp;"'!$K$23:$K$200"))=0),1,0)))</f>
        <v>0</v>
      </c>
      <c r="H94" s="601" t="str">
        <f t="shared" ca="1" si="77"/>
        <v>-</v>
      </c>
      <c r="I94" s="418">
        <f t="array" aca="1" ref="I94" ca="1">IF($C94="N","",SUM(IF((INDIRECT("'"&amp;$C92&amp;"'!$I$23:$I$200")=$D$5)*(INDIRECT("'"&amp;$C92&amp;"'!$H$23:$H$200")=$E$5)*(INDIRECT("'"&amp;$C92&amp;"'!$O$23:$O$200")&gt;=-0.25)*(INDIRECT("'"&amp;$C92&amp;"'!$O$23:$O$200")&lt;=0.25)*(INDIRECT("'"&amp;$C92&amp;"'!$O$23:$O$200")&lt;&gt;"")*((INDIRECT("'"&amp;$C92&amp;"'!$J$23:$J$200")-INDIRECT("'"&amp;$C92&amp;"'!$K$23:$K$200"))&lt;0),1,0)))</f>
        <v>2</v>
      </c>
      <c r="J94" s="601">
        <f t="shared" ca="1" si="78"/>
        <v>0.2857142857142857</v>
      </c>
      <c r="K94" s="522">
        <f ca="1">IF($C94="N","",E94+G94+I94)</f>
        <v>7</v>
      </c>
      <c r="L94" s="655">
        <f t="array" aca="1" ref="L94" ca="1">IF($C94="N","",SUM(IF((INDIRECT("'"&amp;$C92&amp;"'!$I$23:$I$200")=$D$5)*(INDIRECT("'"&amp;$C92&amp;"'!$H$23:$H$200")=$L$5)*(INDIRECT("'"&amp;$C92&amp;"'!$O$23:$O$200")&gt;=-0.25)*(INDIRECT("'"&amp;$C92&amp;"'!$O$23:$O$200")&lt;=0.25)*(INDIRECT("'"&amp;$C92&amp;"'!$O$23:$O$200")&lt;&gt;"")*((INDIRECT("'"&amp;$C92&amp;"'!$J$23:$J$200")-INDIRECT("'"&amp;$C92&amp;"'!$K$23:$K$200"))&gt;0),1,0)))</f>
        <v>8</v>
      </c>
      <c r="M94" s="601">
        <f t="shared" ca="1" si="79"/>
        <v>0.5714285714285714</v>
      </c>
      <c r="N94" s="418">
        <f t="array" aca="1" ref="N94" ca="1">IF($C94="N","",SUM(IF((INDIRECT("'"&amp;$C92&amp;"'!$I$23:$I$200")=$D$5)*(INDIRECT("'"&amp;$C92&amp;"'!$H$23:$H$200")=$L$5)*(INDIRECT("'"&amp;$C92&amp;"'!$O$23:$O$200")&gt;=-0.25)*(INDIRECT("'"&amp;$C92&amp;"'!$O$23:$O$200")&lt;=0.25)*(INDIRECT("'"&amp;$C92&amp;"'!$O$23:$O$200")&lt;&gt;"")*((INDIRECT("'"&amp;$C92&amp;"'!$J$23:$J$200")-INDIRECT("'"&amp;$C92&amp;"'!$K$23:$K$200"))=0),1,0)))</f>
        <v>3</v>
      </c>
      <c r="O94" s="601">
        <f t="shared" ca="1" si="80"/>
        <v>0.21428571428571427</v>
      </c>
      <c r="P94" s="418">
        <f t="array" aca="1" ref="P94" ca="1">IF($C94="N","",SUM(IF((INDIRECT("'"&amp;$C92&amp;"'!$I$23:$I$200")=$D$5)*(INDIRECT("'"&amp;$C92&amp;"'!$H$23:$H$200")=$L$5)*(INDIRECT("'"&amp;$C92&amp;"'!$O$23:$O$200")&gt;=-0.25)*(INDIRECT("'"&amp;$C92&amp;"'!$O$23:$O$200")&lt;=0.25)*(INDIRECT("'"&amp;$C92&amp;"'!$O$23:$O$200")&lt;&gt;"")*((INDIRECT("'"&amp;$C92&amp;"'!$J$23:$J$200")-INDIRECT("'"&amp;$C92&amp;"'!$K$23:$K$200"))&lt;0),1,0)))</f>
        <v>3</v>
      </c>
      <c r="Q94" s="601">
        <f t="shared" ca="1" si="81"/>
        <v>0.21428571428571427</v>
      </c>
      <c r="R94" s="522">
        <f ca="1">IF($C94="N","",L94+N94+P94)</f>
        <v>14</v>
      </c>
      <c r="S94" s="655">
        <f ca="1">IF($C94="N","",L94+E94)</f>
        <v>13</v>
      </c>
      <c r="T94" s="601">
        <f t="shared" ca="1" si="82"/>
        <v>0.61904761904761907</v>
      </c>
      <c r="U94" s="418">
        <f ca="1">IF($C94="N","",N94+G94)</f>
        <v>3</v>
      </c>
      <c r="V94" s="601">
        <f t="shared" ca="1" si="83"/>
        <v>0.14285714285714285</v>
      </c>
      <c r="W94" s="418">
        <f ca="1">IF($C94="N","",P94+I94)</f>
        <v>5</v>
      </c>
      <c r="X94" s="656">
        <f t="shared" ca="1" si="84"/>
        <v>0.23809523809523808</v>
      </c>
      <c r="Y94" s="653">
        <f ca="1">IF($C94="N","",R94+K94)</f>
        <v>21</v>
      </c>
      <c r="Z94" s="456"/>
      <c r="AA94" s="456"/>
      <c r="AB94" s="456"/>
      <c r="AC94" s="456"/>
      <c r="AD94" s="456"/>
      <c r="AE94" s="456"/>
      <c r="AF94" s="456"/>
      <c r="AG94" s="456"/>
      <c r="AH94" s="456"/>
      <c r="AI94" s="456"/>
      <c r="AJ94" s="456"/>
      <c r="AK94" s="456"/>
      <c r="AL94" s="456"/>
      <c r="AM94" s="456"/>
      <c r="AN94" s="456"/>
      <c r="AO94" s="456"/>
      <c r="AP94" s="456"/>
      <c r="AQ94" s="456"/>
      <c r="AR94" s="456"/>
      <c r="AS94" s="456"/>
      <c r="AT94" s="456"/>
      <c r="AU94" s="456"/>
      <c r="AV94" s="456"/>
      <c r="AW94" s="456"/>
      <c r="AX94" s="456"/>
      <c r="AY94" s="456"/>
      <c r="AZ94" s="456"/>
      <c r="BA94" s="456"/>
      <c r="BB94" s="456"/>
      <c r="BC94" s="456"/>
      <c r="BD94" s="456"/>
      <c r="BE94" s="456"/>
      <c r="BF94" s="456"/>
      <c r="BG94" s="456"/>
    </row>
    <row r="95" spans="2:59">
      <c r="B95" s="568"/>
      <c r="C95" s="357" t="str">
        <f>C94</f>
        <v>Shonan Bellmare</v>
      </c>
      <c r="D95" s="654">
        <v>1</v>
      </c>
      <c r="E95" s="655">
        <f t="array" aca="1" ref="E95" ca="1">IF($C95="N","",SUM(IF((INDIRECT("'"&amp;$C92&amp;"'!$I$23:$I$200")=$D$5)*(INDIRECT("'"&amp;$C92&amp;"'!$H$23:$H$200")=$E$5)*(INDIRECT("'"&amp;$C92&amp;"'!$O$23:$O$200")&gt;=0.5)*(INDIRECT("'"&amp;$C92&amp;"'!$O$23:$O$200")&lt;=2)*((INDIRECT("'"&amp;$C92&amp;"'!$J$23:$J$200")-INDIRECT("'"&amp;$C92&amp;"'!$K$23:$K$200"))&gt;-1),1,0)))</f>
        <v>0</v>
      </c>
      <c r="F95" s="601" t="str">
        <f t="shared" ca="1" si="76"/>
        <v>-</v>
      </c>
      <c r="G95" s="418">
        <f t="array" aca="1" ref="G95" ca="1">IF($C95="N","",SUM(IF((INDIRECT("'"&amp;$C92&amp;"'!$I$23:$I$200")=$D$5)*(INDIRECT("'"&amp;$C92&amp;"'!$H$23:$H$200")=$E$5)*(INDIRECT("'"&amp;$C92&amp;"'!$O$23:$O$200")&gt;=0.5)*(INDIRECT("'"&amp;$C92&amp;"'!$O$23:$O$200")&lt;=2)*((INDIRECT("'"&amp;$C92&amp;"'!$J$23:$J$200")-INDIRECT("'"&amp;$C92&amp;"'!$K$23:$K$200"))=-1),1,0)))</f>
        <v>0</v>
      </c>
      <c r="H95" s="601" t="str">
        <f t="shared" ca="1" si="77"/>
        <v>-</v>
      </c>
      <c r="I95" s="418">
        <f t="array" aca="1" ref="I95" ca="1">IF($C95="N","",SUM(IF((INDIRECT("'"&amp;$C92&amp;"'!$I$23:$I$200")=$D$5)*(INDIRECT("'"&amp;$C92&amp;"'!$H$23:$H$200")=$E$5)*(INDIRECT("'"&amp;$C92&amp;"'!$O$23:$O$200")&gt;=0.5)*(INDIRECT("'"&amp;$C92&amp;"'!$O$23:$O$200")&lt;=2)*((INDIRECT("'"&amp;$C92&amp;"'!$J$23:$J$200")-INDIRECT("'"&amp;$C92&amp;"'!$K$23:$K$200"))&lt;-1),1,0)))</f>
        <v>0</v>
      </c>
      <c r="J95" s="601" t="str">
        <f t="shared" ca="1" si="78"/>
        <v>-</v>
      </c>
      <c r="K95" s="522">
        <f ca="1">IF($C95="N","",E95+G95+I95)</f>
        <v>0</v>
      </c>
      <c r="L95" s="655">
        <f t="array" aca="1" ref="L95" ca="1">IF($C95="N","",SUM(IF((INDIRECT("'"&amp;$C92&amp;"'!$I$23:$I$200")=$D$5)*(INDIRECT("'"&amp;$C92&amp;"'!$H$23:$H$200")=$L$5)*(INDIRECT("'"&amp;$C92&amp;"'!$O$23:$O$200")&gt;=0.5)*(INDIRECT("'"&amp;$C92&amp;"'!$O$23:$O$200")&lt;=2)*((INDIRECT("'"&amp;$C92&amp;"'!$J$23:$J$200")-INDIRECT("'"&amp;$C92&amp;"'!$K$23:$K$200"))&gt;-1),1,0)))</f>
        <v>0</v>
      </c>
      <c r="M95" s="601" t="str">
        <f t="shared" ca="1" si="79"/>
        <v>-</v>
      </c>
      <c r="N95" s="418">
        <f t="array" aca="1" ref="N95" ca="1">IF($C95="N","",SUM(IF((INDIRECT("'"&amp;$C92&amp;"'!$I$23:$I$200")=$D$5)*(INDIRECT("'"&amp;$C92&amp;"'!$H$23:$H$200")=$L$5)*(INDIRECT("'"&amp;$C92&amp;"'!$O$23:$O$200")&gt;=0.5)*(INDIRECT("'"&amp;$C92&amp;"'!$O$23:$O$200")&lt;=2)*((INDIRECT("'"&amp;$C92&amp;"'!$J$23:$J$200")-INDIRECT("'"&amp;$C92&amp;"'!$K$23:$K$200"))=-1),1,0)))</f>
        <v>0</v>
      </c>
      <c r="O95" s="601" t="str">
        <f t="shared" ca="1" si="80"/>
        <v>-</v>
      </c>
      <c r="P95" s="418">
        <f t="array" aca="1" ref="P95" ca="1">IF($C95="N","",SUM(IF((INDIRECT("'"&amp;$C92&amp;"'!$I$23:$I$200")=$D$5)*(INDIRECT("'"&amp;$C92&amp;"'!$H$23:$H$200")=$L$5)*(INDIRECT("'"&amp;$C92&amp;"'!$O$23:$O$200")&gt;=0.5)*(INDIRECT("'"&amp;$C92&amp;"'!$O$23:$O$200")&lt;=2)*((INDIRECT("'"&amp;$C92&amp;"'!$J$23:$J$200")-INDIRECT("'"&amp;$C92&amp;"'!$K$23:$K$200"))&lt;-1),1,0)))</f>
        <v>0</v>
      </c>
      <c r="Q95" s="601" t="str">
        <f t="shared" ca="1" si="81"/>
        <v>-</v>
      </c>
      <c r="R95" s="522">
        <f ca="1">IF($C95="N","",L95+N95+P95)</f>
        <v>0</v>
      </c>
      <c r="S95" s="655">
        <f ca="1">IF($C95="N","",L95+E95)</f>
        <v>0</v>
      </c>
      <c r="T95" s="601" t="str">
        <f t="shared" ca="1" si="82"/>
        <v>-</v>
      </c>
      <c r="U95" s="418">
        <f ca="1">IF($C95="N","",N95+G95)</f>
        <v>0</v>
      </c>
      <c r="V95" s="601" t="str">
        <f t="shared" ca="1" si="83"/>
        <v>-</v>
      </c>
      <c r="W95" s="418">
        <f ca="1">IF($C95="N","",P95+I95)</f>
        <v>0</v>
      </c>
      <c r="X95" s="656" t="str">
        <f t="shared" ca="1" si="84"/>
        <v>-</v>
      </c>
      <c r="Y95" s="653">
        <f ca="1">IF($C95="N","",R95+K95)</f>
        <v>0</v>
      </c>
      <c r="Z95" s="456"/>
      <c r="AA95" s="456"/>
      <c r="AB95" s="456"/>
      <c r="AC95" s="456"/>
      <c r="AD95" s="456"/>
      <c r="AE95" s="456"/>
      <c r="AF95" s="456"/>
      <c r="AG95" s="456"/>
      <c r="AH95" s="456"/>
      <c r="AI95" s="456"/>
      <c r="AJ95" s="456"/>
      <c r="AK95" s="456"/>
      <c r="AL95" s="456"/>
      <c r="AM95" s="456"/>
      <c r="AN95" s="456"/>
      <c r="AO95" s="456"/>
      <c r="AP95" s="456"/>
      <c r="AQ95" s="456"/>
      <c r="AR95" s="456"/>
      <c r="AS95" s="456"/>
      <c r="AT95" s="456"/>
      <c r="AU95" s="456"/>
      <c r="AV95" s="456"/>
      <c r="AW95" s="456"/>
      <c r="AX95" s="456"/>
      <c r="AY95" s="456"/>
      <c r="AZ95" s="456"/>
      <c r="BA95" s="456"/>
      <c r="BB95" s="456"/>
      <c r="BC95" s="456"/>
      <c r="BD95" s="456"/>
      <c r="BE95" s="456"/>
      <c r="BF95" s="456"/>
      <c r="BG95" s="456"/>
    </row>
    <row r="96" spans="2:59" ht="13.5" thickBot="1">
      <c r="B96" s="568"/>
      <c r="C96" s="357" t="str">
        <f>C95</f>
        <v>Shonan Bellmare</v>
      </c>
      <c r="D96" s="654">
        <v>2</v>
      </c>
      <c r="E96" s="657">
        <f t="array" aca="1" ref="E96" ca="1">IF($C96="N","",SUM(IF((INDIRECT("'"&amp;$C92&amp;"'!$I$23:$I$200")=$D$5)*(INDIRECT("'"&amp;$C92&amp;"'!$H$23:$H$200")=$E$5)*(INDIRECT("'"&amp;$C92&amp;"'!$O$23:$O$200")&gt;=2.25)*((INDIRECT("'"&amp;$C92&amp;"'!$J$23:$J$200")-INDIRECT("'"&amp;$C92&amp;"'!$K$23:$K$200"))&gt;-2),1,0)))</f>
        <v>0</v>
      </c>
      <c r="F96" s="605" t="str">
        <f t="shared" ca="1" si="76"/>
        <v>-</v>
      </c>
      <c r="G96" s="658">
        <f t="array" aca="1" ref="G96" ca="1">IF($C96="N","",SUM(IF((INDIRECT("'"&amp;$C92&amp;"'!$I$23:$I$200")=$D$5)*(INDIRECT("'"&amp;$C92&amp;"'!$H$23:$H$200")=$E$5)*(INDIRECT("'"&amp;$C92&amp;"'!$O$23:$O$200")&gt;=2.25)*((INDIRECT("'"&amp;$C92&amp;"'!$J$23:$J$200")-INDIRECT("'"&amp;$C92&amp;"'!$K$23:$K$200"))=-2),1,0)))</f>
        <v>0</v>
      </c>
      <c r="H96" s="605" t="str">
        <f t="shared" ca="1" si="77"/>
        <v>-</v>
      </c>
      <c r="I96" s="658">
        <f t="array" aca="1" ref="I96" ca="1">IF($C96="N","",SUM(IF((INDIRECT("'"&amp;$C92&amp;"'!$I$23:$I$200")=$D$5)*(INDIRECT("'"&amp;$C92&amp;"'!$H$23:$H$200")=$E$5)*(INDIRECT("'"&amp;$C92&amp;"'!$O$23:$O$200")&gt;=2.25)*((INDIRECT("'"&amp;$C92&amp;"'!$J$23:$J$200")-INDIRECT("'"&amp;$C92&amp;"'!$K$23:$K$200"))&lt;-2),1,0)))</f>
        <v>0</v>
      </c>
      <c r="J96" s="605" t="str">
        <f t="shared" ca="1" si="78"/>
        <v>-</v>
      </c>
      <c r="K96" s="659">
        <f ca="1">IF($C96="N","",E96+G96+I96)</f>
        <v>0</v>
      </c>
      <c r="L96" s="657">
        <f t="array" aca="1" ref="L96" ca="1">IF($C96="N","",SUM(IF((INDIRECT("'"&amp;$C92&amp;"'!$I$23:$I$200")=$D$5)*(INDIRECT("'"&amp;$C92&amp;"'!$H$23:$H$200")=$L$5)*(INDIRECT("'"&amp;$C92&amp;"'!$O$23:$O$200")&gt;=2.25)*((INDIRECT("'"&amp;$C92&amp;"'!$J$23:$J$200")-INDIRECT("'"&amp;$C92&amp;"'!$K$23:$K$200"))&gt;-2),1,0)))</f>
        <v>0</v>
      </c>
      <c r="M96" s="605" t="str">
        <f t="shared" ca="1" si="79"/>
        <v>-</v>
      </c>
      <c r="N96" s="658">
        <f t="array" aca="1" ref="N96" ca="1">IF($C96="N","",SUM(IF((INDIRECT("'"&amp;$C92&amp;"'!$I$23:$I$200")=$D$5)*(INDIRECT("'"&amp;$C92&amp;"'!$H$23:$H$200")=$L$5)*(INDIRECT("'"&amp;$C92&amp;"'!$O$23:$O$200")&gt;=2.25)*((INDIRECT("'"&amp;$C92&amp;"'!$J$23:$J$200")-INDIRECT("'"&amp;$C92&amp;"'!$K$23:$K$200"))=-2),1,0)))</f>
        <v>0</v>
      </c>
      <c r="O96" s="605" t="str">
        <f t="shared" ca="1" si="80"/>
        <v>-</v>
      </c>
      <c r="P96" s="658">
        <f t="array" aca="1" ref="P96" ca="1">IF($C96="N","",SUM(IF((INDIRECT("'"&amp;$C92&amp;"'!$I$23:$I$200")=$D$5)*(INDIRECT("'"&amp;$C92&amp;"'!$H$23:$H$200")=$L$5)*(INDIRECT("'"&amp;$C92&amp;"'!$O$23:$O$200")&gt;=2.25)*((INDIRECT("'"&amp;$C92&amp;"'!$J$23:$J$200")-INDIRECT("'"&amp;$C92&amp;"'!$K$23:$K$200"))&lt;-2),1,0)))</f>
        <v>0</v>
      </c>
      <c r="Q96" s="605" t="str">
        <f t="shared" ca="1" si="81"/>
        <v>-</v>
      </c>
      <c r="R96" s="659">
        <f ca="1">IF($C96="N","",L96+N96+P96)</f>
        <v>0</v>
      </c>
      <c r="S96" s="657">
        <f ca="1">IF($C96="N","",L96+E96)</f>
        <v>0</v>
      </c>
      <c r="T96" s="605" t="str">
        <f t="shared" ca="1" si="82"/>
        <v>-</v>
      </c>
      <c r="U96" s="658">
        <f ca="1">IF($C96="N","",N96+G96)</f>
        <v>0</v>
      </c>
      <c r="V96" s="605" t="str">
        <f t="shared" ca="1" si="83"/>
        <v>-</v>
      </c>
      <c r="W96" s="658">
        <f ca="1">IF($C96="N","",P96+I96)</f>
        <v>0</v>
      </c>
      <c r="X96" s="660" t="str">
        <f t="shared" ca="1" si="84"/>
        <v>-</v>
      </c>
      <c r="Y96" s="531">
        <f ca="1">IF($C96="N","",R96+K96)</f>
        <v>0</v>
      </c>
      <c r="Z96" s="456"/>
      <c r="AA96" s="456"/>
      <c r="AB96" s="456"/>
      <c r="AC96" s="456"/>
      <c r="AD96" s="456"/>
      <c r="AE96" s="456"/>
      <c r="AF96" s="456"/>
      <c r="AG96" s="456"/>
      <c r="AH96" s="456"/>
      <c r="AI96" s="456"/>
      <c r="AJ96" s="456"/>
      <c r="AK96" s="456"/>
      <c r="AL96" s="456"/>
      <c r="AM96" s="456"/>
      <c r="AN96" s="456"/>
      <c r="AO96" s="456"/>
      <c r="AP96" s="456"/>
      <c r="AQ96" s="456"/>
      <c r="AR96" s="456"/>
      <c r="AS96" s="456"/>
      <c r="AT96" s="456"/>
      <c r="AU96" s="456"/>
      <c r="AV96" s="456"/>
      <c r="AW96" s="456"/>
      <c r="AX96" s="456"/>
      <c r="AY96" s="456"/>
      <c r="AZ96" s="456"/>
      <c r="BA96" s="456"/>
      <c r="BB96" s="456"/>
      <c r="BC96" s="456"/>
      <c r="BD96" s="456"/>
      <c r="BE96" s="456"/>
      <c r="BF96" s="456"/>
      <c r="BG96" s="456"/>
    </row>
    <row r="97" spans="2:59" ht="13.5" thickBot="1">
      <c r="B97" s="568" t="str">
        <f>D90</f>
        <v>Shonan Bellmare</v>
      </c>
      <c r="D97" s="661" t="s">
        <v>115</v>
      </c>
      <c r="E97" s="481">
        <f ca="1">SUM(E92:E96)</f>
        <v>9</v>
      </c>
      <c r="F97" s="435">
        <f t="shared" ca="1" si="76"/>
        <v>0.42857142857142855</v>
      </c>
      <c r="G97" s="438">
        <f ca="1">SUM(G92:G96)</f>
        <v>3</v>
      </c>
      <c r="H97" s="435">
        <f t="shared" ca="1" si="77"/>
        <v>0.14285714285714285</v>
      </c>
      <c r="I97" s="438">
        <f ca="1">SUM(I92:I96)</f>
        <v>9</v>
      </c>
      <c r="J97" s="435">
        <f t="shared" ca="1" si="78"/>
        <v>0.42857142857142855</v>
      </c>
      <c r="K97" s="479">
        <f ca="1">SUM(K92:K96)</f>
        <v>21</v>
      </c>
      <c r="L97" s="662">
        <f ca="1">SUM(L92:L96)</f>
        <v>10</v>
      </c>
      <c r="M97" s="435">
        <f t="shared" ca="1" si="79"/>
        <v>0.47619047619047616</v>
      </c>
      <c r="N97" s="438">
        <f ca="1">SUM(N92:N96)</f>
        <v>5</v>
      </c>
      <c r="O97" s="435">
        <f t="shared" ca="1" si="80"/>
        <v>0.23809523809523808</v>
      </c>
      <c r="P97" s="438">
        <f ca="1">SUM(P92:P96)</f>
        <v>6</v>
      </c>
      <c r="Q97" s="435">
        <f t="shared" ca="1" si="81"/>
        <v>0.2857142857142857</v>
      </c>
      <c r="R97" s="480">
        <f ca="1">SUM(R92:R96)</f>
        <v>21</v>
      </c>
      <c r="S97" s="481">
        <f ca="1">SUM(S92:S96)</f>
        <v>19</v>
      </c>
      <c r="T97" s="435">
        <f t="shared" ca="1" si="82"/>
        <v>0.45238095238095238</v>
      </c>
      <c r="U97" s="438">
        <f ca="1">SUM(U92:U96)</f>
        <v>8</v>
      </c>
      <c r="V97" s="435">
        <f t="shared" ca="1" si="83"/>
        <v>0.19047619047619047</v>
      </c>
      <c r="W97" s="438">
        <f ca="1">SUM(W92:W96)</f>
        <v>15</v>
      </c>
      <c r="X97" s="638">
        <f t="shared" ca="1" si="84"/>
        <v>0.35714285714285715</v>
      </c>
      <c r="Y97" s="639">
        <f ca="1">SUM(Y92:Y96)</f>
        <v>42</v>
      </c>
      <c r="Z97" s="456"/>
      <c r="AA97" s="456"/>
      <c r="AB97" s="456"/>
      <c r="AC97" s="456"/>
      <c r="AD97" s="456"/>
      <c r="AE97" s="456"/>
      <c r="AF97" s="456"/>
      <c r="AG97" s="456"/>
      <c r="AH97" s="456"/>
      <c r="AI97" s="456"/>
      <c r="AJ97" s="456"/>
      <c r="AK97" s="456"/>
      <c r="AL97" s="456"/>
      <c r="AM97" s="456"/>
      <c r="AN97" s="456"/>
      <c r="AO97" s="456"/>
      <c r="AP97" s="456"/>
      <c r="AQ97" s="456"/>
      <c r="AR97" s="456"/>
      <c r="AS97" s="456"/>
      <c r="AT97" s="456"/>
      <c r="AU97" s="456"/>
      <c r="AV97" s="456"/>
      <c r="AW97" s="456"/>
      <c r="AX97" s="456"/>
      <c r="AY97" s="456"/>
      <c r="AZ97" s="456"/>
      <c r="BA97" s="456"/>
      <c r="BB97" s="456"/>
      <c r="BC97" s="456"/>
      <c r="BD97" s="456"/>
      <c r="BE97" s="456"/>
      <c r="BF97" s="456"/>
      <c r="BG97" s="456"/>
    </row>
    <row r="98" spans="2:59" ht="13.5" thickBot="1">
      <c r="B98" s="568"/>
      <c r="X98" s="640"/>
      <c r="Y98" s="456"/>
      <c r="Z98" s="456"/>
      <c r="AA98" s="456"/>
      <c r="AB98" s="456"/>
      <c r="AC98" s="456"/>
      <c r="AD98" s="456"/>
      <c r="AE98" s="456"/>
      <c r="AF98" s="456"/>
      <c r="AG98" s="456"/>
      <c r="AH98" s="456"/>
      <c r="AI98" s="456"/>
      <c r="AJ98" s="456"/>
      <c r="AK98" s="456"/>
      <c r="AL98" s="456"/>
      <c r="AM98" s="456"/>
      <c r="AN98" s="456"/>
      <c r="AO98" s="456"/>
      <c r="AP98" s="456"/>
      <c r="AQ98" s="456"/>
      <c r="AR98" s="456"/>
      <c r="AS98" s="456"/>
      <c r="AT98" s="456"/>
      <c r="AU98" s="456"/>
      <c r="AV98" s="456"/>
      <c r="AW98" s="456"/>
      <c r="AX98" s="456"/>
      <c r="AY98" s="456"/>
      <c r="AZ98" s="456"/>
      <c r="BA98" s="456"/>
      <c r="BB98" s="456"/>
      <c r="BC98" s="456"/>
      <c r="BD98" s="456"/>
      <c r="BE98" s="456"/>
      <c r="BF98" s="456"/>
      <c r="BG98" s="456"/>
    </row>
    <row r="99" spans="2:59">
      <c r="D99" s="562" t="str">
        <f>J1</f>
        <v>JEF United</v>
      </c>
      <c r="E99" s="582" t="s">
        <v>162</v>
      </c>
      <c r="F99" s="583"/>
      <c r="G99" s="584"/>
      <c r="H99" s="583"/>
      <c r="I99" s="585"/>
      <c r="J99" s="584"/>
      <c r="K99" s="586"/>
      <c r="L99" s="641" t="s">
        <v>163</v>
      </c>
      <c r="M99" s="583"/>
      <c r="N99" s="584"/>
      <c r="O99" s="583"/>
      <c r="P99" s="585"/>
      <c r="Q99" s="583"/>
      <c r="R99" s="584"/>
      <c r="S99" s="582" t="s">
        <v>164</v>
      </c>
      <c r="T99" s="583"/>
      <c r="U99" s="584"/>
      <c r="V99" s="583"/>
      <c r="W99" s="587"/>
      <c r="X99" s="642"/>
      <c r="Y99" s="643"/>
      <c r="Z99" s="456"/>
      <c r="AA99" s="456"/>
      <c r="AB99" s="456"/>
      <c r="AC99" s="456"/>
      <c r="AD99" s="456"/>
      <c r="AE99" s="456"/>
      <c r="AF99" s="456"/>
      <c r="AG99" s="456"/>
      <c r="AH99" s="456"/>
      <c r="AI99" s="456"/>
      <c r="AJ99" s="456"/>
      <c r="AK99" s="456"/>
      <c r="AL99" s="456"/>
      <c r="AM99" s="456"/>
      <c r="AN99" s="456"/>
      <c r="AO99" s="456"/>
      <c r="AP99" s="456"/>
      <c r="AQ99" s="456"/>
      <c r="AR99" s="456"/>
      <c r="AS99" s="456"/>
      <c r="AT99" s="456"/>
      <c r="AU99" s="456"/>
      <c r="AV99" s="456"/>
      <c r="AW99" s="456"/>
      <c r="AX99" s="456"/>
      <c r="AY99" s="456"/>
      <c r="AZ99" s="456"/>
      <c r="BA99" s="456"/>
      <c r="BB99" s="456"/>
      <c r="BC99" s="456"/>
      <c r="BD99" s="456"/>
      <c r="BE99" s="456"/>
      <c r="BF99" s="456"/>
      <c r="BG99" s="456"/>
    </row>
    <row r="100" spans="2:59" ht="13.5" thickBot="1">
      <c r="D100" s="644" t="s">
        <v>165</v>
      </c>
      <c r="E100" s="590" t="s">
        <v>63</v>
      </c>
      <c r="F100" s="591"/>
      <c r="G100" s="645" t="s">
        <v>64</v>
      </c>
      <c r="H100" s="591"/>
      <c r="I100" s="645" t="s">
        <v>65</v>
      </c>
      <c r="J100" s="645"/>
      <c r="K100" s="646" t="s">
        <v>171</v>
      </c>
      <c r="L100" s="647" t="s">
        <v>63</v>
      </c>
      <c r="M100" s="591"/>
      <c r="N100" s="645" t="s">
        <v>64</v>
      </c>
      <c r="O100" s="591"/>
      <c r="P100" s="645" t="s">
        <v>65</v>
      </c>
      <c r="Q100" s="591"/>
      <c r="R100" s="646" t="s">
        <v>172</v>
      </c>
      <c r="S100" s="590" t="s">
        <v>63</v>
      </c>
      <c r="T100" s="591"/>
      <c r="U100" s="645" t="s">
        <v>64</v>
      </c>
      <c r="V100" s="648"/>
      <c r="W100" s="645" t="s">
        <v>65</v>
      </c>
      <c r="X100" s="649"/>
      <c r="Y100" s="650" t="s">
        <v>168</v>
      </c>
      <c r="Z100" s="456"/>
      <c r="AA100" s="456"/>
      <c r="AB100" s="456"/>
      <c r="AC100" s="456"/>
      <c r="AD100" s="456"/>
      <c r="AE100" s="456"/>
      <c r="AF100" s="456"/>
      <c r="AG100" s="456"/>
      <c r="AH100" s="456"/>
      <c r="AI100" s="456"/>
      <c r="AJ100" s="456"/>
      <c r="AK100" s="456"/>
      <c r="AL100" s="456"/>
      <c r="AM100" s="456"/>
      <c r="AN100" s="456"/>
      <c r="AO100" s="456"/>
      <c r="AP100" s="456"/>
      <c r="AQ100" s="456"/>
      <c r="AR100" s="456"/>
      <c r="AS100" s="456"/>
      <c r="AT100" s="456"/>
      <c r="AU100" s="456"/>
      <c r="AV100" s="456"/>
      <c r="AW100" s="456"/>
      <c r="AX100" s="456"/>
      <c r="AY100" s="456"/>
      <c r="AZ100" s="456"/>
      <c r="BA100" s="456"/>
      <c r="BB100" s="456"/>
      <c r="BC100" s="456"/>
      <c r="BD100" s="456"/>
      <c r="BE100" s="456"/>
      <c r="BF100" s="456"/>
      <c r="BG100" s="456"/>
    </row>
    <row r="101" spans="2:59">
      <c r="B101" s="568"/>
      <c r="C101" s="357" t="str">
        <f>IF(D99=0,"N",D99)</f>
        <v>JEF United</v>
      </c>
      <c r="D101" s="651">
        <v>-2</v>
      </c>
      <c r="E101" s="599">
        <f t="array" aca="1" ref="E101" ca="1">IF($C101="N","",SUM(IF((INDIRECT("'"&amp;$C101&amp;"'!$I$23:$I$200")=$D$5)*(INDIRECT("'"&amp;$C101&amp;"'!$H$23:$H$200")=$E$5)*(INDIRECT("'"&amp;$C101&amp;"'!$O$23:$O$200")&lt;=-2.25)*((INDIRECT("'"&amp;$C101&amp;"'!$J$23:$J$200")-INDIRECT("'"&amp;$C101&amp;"'!$K$23:$K$200"))&gt;2),1,0)))</f>
        <v>0</v>
      </c>
      <c r="F101" s="406" t="str">
        <f t="shared" ref="F101:F106" ca="1" si="85">IF(E101="","",IF(E101=0,"-",E101/$K101))</f>
        <v>-</v>
      </c>
      <c r="G101" s="408">
        <f t="array" aca="1" ref="G101" ca="1">IF($C101="N","",SUM(IF((INDIRECT("'"&amp;$C101&amp;"'!$I$23:$I$200")=$D$5)*(INDIRECT("'"&amp;$C101&amp;"'!$H$23:$H$200")=$E$5)*(INDIRECT("'"&amp;$C101&amp;"'!$O$23:$O$200")&lt;=-2.25)*((INDIRECT("'"&amp;$C101&amp;"'!$J$23:$J$200")-INDIRECT("'"&amp;$C101&amp;"'!$K$23:$K$200"))=2),1,0)))</f>
        <v>0</v>
      </c>
      <c r="H101" s="406" t="str">
        <f t="shared" ref="H101:H106" ca="1" si="86">IF(G101="","",IF(G101=0,"-",G101/$K101))</f>
        <v>-</v>
      </c>
      <c r="I101" s="408">
        <f t="array" aca="1" ref="I101" ca="1">IF($C101="N","",SUM(IF((INDIRECT("'"&amp;$C101&amp;"'!$I$23:$I$200")=$D$5)*(INDIRECT("'"&amp;$C101&amp;"'!$H$23:$H$200")=$E$5)*(INDIRECT("'"&amp;$C101&amp;"'!$O$23:$O$200")&lt;=-2.25)*((INDIRECT("'"&amp;$C101&amp;"'!$K$23:$K$200")-INDIRECT("'"&amp;$C101&amp;"'!$J$23:$J$200"))&gt;-2),1,0)))</f>
        <v>0</v>
      </c>
      <c r="J101" s="406" t="str">
        <f t="shared" ref="J101:J106" ca="1" si="87">IF(I101="","",IF(I101=0,"-",I101/$K101))</f>
        <v>-</v>
      </c>
      <c r="K101" s="602">
        <f ca="1">IF($C101="N","",E101+G101+I101)</f>
        <v>0</v>
      </c>
      <c r="L101" s="599">
        <f t="array" aca="1" ref="L101" ca="1">IF($C101="N","",SUM(IF((INDIRECT("'"&amp;$C101&amp;"'!$I$23:$I$200")=$D$5)*(INDIRECT("'"&amp;$C101&amp;"'!$H$23:$H$200")=$L$5)*(INDIRECT("'"&amp;$C101&amp;"'!$O$23:$O$200")&lt;=-2.25)*((INDIRECT("'"&amp;$C101&amp;"'!$J$23:$J$200")-INDIRECT("'"&amp;$C101&amp;"'!$K$23:$K$200"))&gt;2),1,0)))</f>
        <v>0</v>
      </c>
      <c r="M101" s="406" t="str">
        <f t="shared" ref="M101:M106" ca="1" si="88">IF(L101="","",IF(L101=0,"-",L101/$R101))</f>
        <v>-</v>
      </c>
      <c r="N101" s="408">
        <f t="array" aca="1" ref="N101" ca="1">IF($C101="N","",SUM(IF((INDIRECT("'"&amp;$C101&amp;"'!$I$23:$I$200")=$D$5)*(INDIRECT("'"&amp;$C101&amp;"'!$H$23:$H$200")=$L$5)*(INDIRECT("'"&amp;$C101&amp;"'!$O$23:$O$200")&lt;=-2.25)*((INDIRECT("'"&amp;$C101&amp;"'!$J$23:$J$200")-INDIRECT("'"&amp;$C101&amp;"'!$K$23:$K$200"))=2),1,0)))</f>
        <v>0</v>
      </c>
      <c r="O101" s="406" t="str">
        <f t="shared" ref="O101:O106" ca="1" si="89">IF(N101="","",IF(N101=0,"-",N101/$R101))</f>
        <v>-</v>
      </c>
      <c r="P101" s="408">
        <f t="array" aca="1" ref="P101" ca="1">IF($C101="N","",SUM(IF((INDIRECT("'"&amp;$C101&amp;"'!$I$23:$I$200")=$D$5)*(INDIRECT("'"&amp;$C101&amp;"'!$H$23:$H$200")=$L$5)*(INDIRECT("'"&amp;$C101&amp;"'!$O$23:$O$200")&lt;=-2.25)*((INDIRECT("'"&amp;$C101&amp;"'!$K$23:$K$200")-INDIRECT("'"&amp;$C101&amp;"'!$J$23:$J$200"))&gt;-2),1,0)))</f>
        <v>0</v>
      </c>
      <c r="Q101" s="406" t="str">
        <f t="shared" ref="Q101:Q106" ca="1" si="90">IF(P101="","",IF(P101=0,"-",P101/$R101))</f>
        <v>-</v>
      </c>
      <c r="R101" s="602">
        <f ca="1">IF($C101="N","",L101+N101+P101)</f>
        <v>0</v>
      </c>
      <c r="S101" s="599">
        <f ca="1">IF($C101="N","",L101+E101)</f>
        <v>0</v>
      </c>
      <c r="T101" s="406" t="str">
        <f t="shared" ref="T101:T106" ca="1" si="91">IF(S101="","",IF(S101=0,"-",S101/$Y101))</f>
        <v>-</v>
      </c>
      <c r="U101" s="408">
        <f ca="1">IF($C101="N","",N101+G101)</f>
        <v>0</v>
      </c>
      <c r="V101" s="406" t="str">
        <f t="shared" ref="V101:V106" ca="1" si="92">IF(U101="","",IF(U101=0,"-",U101/$Y101))</f>
        <v>-</v>
      </c>
      <c r="W101" s="408">
        <f ca="1">IF($C101="N","",P101+I101)</f>
        <v>0</v>
      </c>
      <c r="X101" s="406" t="str">
        <f t="shared" ref="X101:X106" ca="1" si="93">IF(W101="","",IF(W101=0,"-",W101/$Y101))</f>
        <v>-</v>
      </c>
      <c r="Y101" s="602">
        <f ca="1">IF($C101="N","",R101+K101)</f>
        <v>0</v>
      </c>
      <c r="Z101" s="355"/>
    </row>
    <row r="102" spans="2:59">
      <c r="B102" s="568"/>
      <c r="C102" s="357" t="str">
        <f>C101</f>
        <v>JEF United</v>
      </c>
      <c r="D102" s="654">
        <v>-1</v>
      </c>
      <c r="E102" s="655">
        <f t="array" aca="1" ref="E102" ca="1">IF($C102="N","",SUM(IF((INDIRECT("'"&amp;$C101&amp;"'!$I$23:$I$200")=$D$5)*(INDIRECT("'"&amp;$C101&amp;"'!$H$23:$H$200")=$E$5)*(INDIRECT("'"&amp;$C101&amp;"'!$O$23:$O$200")&lt;=-0.5)*(INDIRECT("'"&amp;$C101&amp;"'!$O$23:$O$200")&gt;=-2)*((INDIRECT("'"&amp;$C101&amp;"'!$J$23:$J$200")-INDIRECT("'"&amp;$C101&amp;"'!$K$23:$K$200"))&gt;1),1,0)))</f>
        <v>2</v>
      </c>
      <c r="F102" s="601">
        <f t="shared" ca="1" si="85"/>
        <v>0.18181818181818182</v>
      </c>
      <c r="G102" s="418">
        <f t="array" aca="1" ref="G102" ca="1">IF($C102="N","",SUM(IF((INDIRECT("'"&amp;$C101&amp;"'!$I$23:$I$200")=$D$5)*(INDIRECT("'"&amp;$C101&amp;"'!$H$23:$H$200")=$E$5)*(INDIRECT("'"&amp;$C101&amp;"'!$O$23:$O$200")&lt;=-0.5)*(INDIRECT("'"&amp;$C101&amp;"'!$O$23:$O$200")&gt;=-2)*((INDIRECT("'"&amp;$C101&amp;"'!$J$23:$J$200")-INDIRECT("'"&amp;$C101&amp;"'!$K$23:$K$200"))=1),1,0)))</f>
        <v>5</v>
      </c>
      <c r="H102" s="601">
        <f t="shared" ca="1" si="86"/>
        <v>0.45454545454545453</v>
      </c>
      <c r="I102" s="418">
        <f t="array" aca="1" ref="I102" ca="1">IF($C102="N","",SUM(IF((INDIRECT("'"&amp;$C101&amp;"'!$I$23:$I$200")=$D$5)*(INDIRECT("'"&amp;$C101&amp;"'!$H$23:$H$200")=$E$5)*(INDIRECT("'"&amp;$C101&amp;"'!$O$23:$O$200")&lt;=-0.5)*(INDIRECT("'"&amp;$C101&amp;"'!$O$23:$O$200")&gt;=-2)*((INDIRECT("'"&amp;$C101&amp;"'!$K$23:$K$200")-INDIRECT("'"&amp;$C101&amp;"'!$J$23:$J$200"))&gt;-1),1,0)))</f>
        <v>4</v>
      </c>
      <c r="J102" s="601">
        <f t="shared" ca="1" si="87"/>
        <v>0.36363636363636365</v>
      </c>
      <c r="K102" s="522">
        <f ca="1">IF($C102="N","",E102+G102+I102)</f>
        <v>11</v>
      </c>
      <c r="L102" s="655">
        <f t="array" aca="1" ref="L102" ca="1">IF($C102="N","",SUM(IF((INDIRECT("'"&amp;$C101&amp;"'!$I$23:$I$200")=$D$5)*(INDIRECT("'"&amp;$C101&amp;"'!$H$23:$H$200")=$L$5)*(INDIRECT("'"&amp;$C101&amp;"'!$O$23:$O$200")&lt;=-0.5)*(INDIRECT("'"&amp;$C101&amp;"'!$O$23:$O$200")&gt;=-2)*((INDIRECT("'"&amp;$C101&amp;"'!$J$23:$J$200")-INDIRECT("'"&amp;$C101&amp;"'!$K$23:$K$200"))&gt;1),1,0)))</f>
        <v>0</v>
      </c>
      <c r="M102" s="601" t="str">
        <f t="shared" ca="1" si="88"/>
        <v>-</v>
      </c>
      <c r="N102" s="418">
        <f t="array" aca="1" ref="N102" ca="1">IF($C102="N","",SUM(IF((INDIRECT("'"&amp;$C101&amp;"'!$I$23:$I$200")=$D$5)*(INDIRECT("'"&amp;$C101&amp;"'!$H$23:$H$200")=$L$5)*(INDIRECT("'"&amp;$C101&amp;"'!$O$23:$O$200")&lt;=-0.5)*(INDIRECT("'"&amp;$C101&amp;"'!$O$23:$O$200")&gt;=-2)*((INDIRECT("'"&amp;$C101&amp;"'!$J$23:$J$200")-INDIRECT("'"&amp;$C101&amp;"'!$K$23:$K$200"))=1),1,0)))</f>
        <v>0</v>
      </c>
      <c r="O102" s="601" t="str">
        <f t="shared" ca="1" si="89"/>
        <v>-</v>
      </c>
      <c r="P102" s="418">
        <f t="array" aca="1" ref="P102" ca="1">IF($C102="N","",SUM(IF((INDIRECT("'"&amp;$C101&amp;"'!$I$23:$I$200")=$D$5)*(INDIRECT("'"&amp;$C101&amp;"'!$H$23:$H$200")=$L$5)*(INDIRECT("'"&amp;$C101&amp;"'!$O$23:$O$200")&lt;=-0.5)*(INDIRECT("'"&amp;$C101&amp;"'!$O$23:$O$200")&gt;=-2)*((INDIRECT("'"&amp;$C101&amp;"'!$K$23:$K$200")-INDIRECT("'"&amp;$C101&amp;"'!$J$23:$J$200"))&gt;-1),1,0)))</f>
        <v>3</v>
      </c>
      <c r="Q102" s="601">
        <f t="shared" ca="1" si="90"/>
        <v>1</v>
      </c>
      <c r="R102" s="522">
        <f ca="1">IF($C102="N","",L102+N102+P102)</f>
        <v>3</v>
      </c>
      <c r="S102" s="655">
        <f ca="1">IF($C102="N","",L102+E102)</f>
        <v>2</v>
      </c>
      <c r="T102" s="601">
        <f t="shared" ca="1" si="91"/>
        <v>0.14285714285714285</v>
      </c>
      <c r="U102" s="418">
        <f ca="1">IF($C102="N","",N102+G102)</f>
        <v>5</v>
      </c>
      <c r="V102" s="601">
        <f t="shared" ca="1" si="92"/>
        <v>0.35714285714285715</v>
      </c>
      <c r="W102" s="418">
        <f ca="1">IF($C102="N","",P102+I102)</f>
        <v>7</v>
      </c>
      <c r="X102" s="601">
        <f t="shared" ca="1" si="93"/>
        <v>0.5</v>
      </c>
      <c r="Y102" s="602">
        <f ca="1">IF($C102="N","",R102+K102)</f>
        <v>14</v>
      </c>
      <c r="Z102" s="355"/>
    </row>
    <row r="103" spans="2:59">
      <c r="B103" s="568"/>
      <c r="C103" s="357" t="str">
        <f>C102</f>
        <v>JEF United</v>
      </c>
      <c r="D103" s="654">
        <v>0</v>
      </c>
      <c r="E103" s="655">
        <f t="array" aca="1" ref="E103" ca="1">IF($C103="N","",SUM(IF((INDIRECT("'"&amp;$C101&amp;"'!$I$23:$I$200")=$D$5)*(INDIRECT("'"&amp;$C101&amp;"'!$H$23:$H$200")=$E$5)*(INDIRECT("'"&amp;$C101&amp;"'!$O$23:$O$200")&gt;=-0.25)*(INDIRECT("'"&amp;$C101&amp;"'!$O$23:$O$200")&lt;=0.25)*(INDIRECT("'"&amp;$C101&amp;"'!$O$23:$O$200")&lt;&gt;"")*((INDIRECT("'"&amp;$C101&amp;"'!$J$23:$J$200")-INDIRECT("'"&amp;$C101&amp;"'!$K$23:$K$200"))&gt;0),1,0)))</f>
        <v>6</v>
      </c>
      <c r="F103" s="601">
        <f t="shared" ca="1" si="85"/>
        <v>0.6</v>
      </c>
      <c r="G103" s="418">
        <f t="array" aca="1" ref="G103" ca="1">IF($C103="N","",SUM(IF((INDIRECT("'"&amp;$C101&amp;"'!$I$23:$I$200")=$D$5)*(INDIRECT("'"&amp;$C101&amp;"'!$H$23:$H$200")=$E$5)*(INDIRECT("'"&amp;$C101&amp;"'!$O$23:$O$200")&gt;=-0.25)*(INDIRECT("'"&amp;$C101&amp;"'!$O$23:$O$200")&lt;=0.25)*(INDIRECT("'"&amp;$C101&amp;"'!$O$23:$O$200")&lt;&gt;"")*((INDIRECT("'"&amp;$C101&amp;"'!$J$23:$J$200")-INDIRECT("'"&amp;$C101&amp;"'!$K$23:$K$200"))=0),1,0)))</f>
        <v>3</v>
      </c>
      <c r="H103" s="601">
        <f t="shared" ca="1" si="86"/>
        <v>0.3</v>
      </c>
      <c r="I103" s="418">
        <f t="array" aca="1" ref="I103" ca="1">IF($C103="N","",SUM(IF((INDIRECT("'"&amp;$C101&amp;"'!$I$23:$I$200")=$D$5)*(INDIRECT("'"&amp;$C101&amp;"'!$H$23:$H$200")=$E$5)*(INDIRECT("'"&amp;$C101&amp;"'!$O$23:$O$200")&gt;=-0.25)*(INDIRECT("'"&amp;$C101&amp;"'!$O$23:$O$200")&lt;=0.25)*(INDIRECT("'"&amp;$C101&amp;"'!$O$23:$O$200")&lt;&gt;"")*((INDIRECT("'"&amp;$C101&amp;"'!$J$23:$J$200")-INDIRECT("'"&amp;$C101&amp;"'!$K$23:$K$200"))&lt;0),1,0)))</f>
        <v>1</v>
      </c>
      <c r="J103" s="601">
        <f t="shared" ca="1" si="87"/>
        <v>0.1</v>
      </c>
      <c r="K103" s="522">
        <f ca="1">IF($C103="N","",E103+G103+I103)</f>
        <v>10</v>
      </c>
      <c r="L103" s="655">
        <f t="array" aca="1" ref="L103" ca="1">IF($C103="N","",SUM(IF((INDIRECT("'"&amp;$C101&amp;"'!$I$23:$I$200")=$D$5)*(INDIRECT("'"&amp;$C101&amp;"'!$H$23:$H$200")=$L$5)*(INDIRECT("'"&amp;$C101&amp;"'!$O$23:$O$200")&gt;=-0.25)*(INDIRECT("'"&amp;$C101&amp;"'!$O$23:$O$200")&lt;=0.25)*(INDIRECT("'"&amp;$C101&amp;"'!$O$23:$O$200")&lt;&gt;"")*((INDIRECT("'"&amp;$C101&amp;"'!$J$23:$J$200")-INDIRECT("'"&amp;$C101&amp;"'!$K$23:$K$200"))&gt;0),1,0)))</f>
        <v>6</v>
      </c>
      <c r="M103" s="601">
        <f t="shared" ca="1" si="88"/>
        <v>0.35294117647058826</v>
      </c>
      <c r="N103" s="418">
        <f t="array" aca="1" ref="N103" ca="1">IF($C103="N","",SUM(IF((INDIRECT("'"&amp;$C101&amp;"'!$I$23:$I$200")=$D$5)*(INDIRECT("'"&amp;$C101&amp;"'!$H$23:$H$200")=$L$5)*(INDIRECT("'"&amp;$C101&amp;"'!$O$23:$O$200")&gt;=-0.25)*(INDIRECT("'"&amp;$C101&amp;"'!$O$23:$O$200")&lt;=0.25)*(INDIRECT("'"&amp;$C101&amp;"'!$O$23:$O$200")&lt;&gt;"")*((INDIRECT("'"&amp;$C101&amp;"'!$J$23:$J$200")-INDIRECT("'"&amp;$C101&amp;"'!$K$23:$K$200"))=0),1,0)))</f>
        <v>1</v>
      </c>
      <c r="O103" s="601">
        <f t="shared" ca="1" si="89"/>
        <v>5.8823529411764705E-2</v>
      </c>
      <c r="P103" s="418">
        <f t="array" aca="1" ref="P103" ca="1">IF($C103="N","",SUM(IF((INDIRECT("'"&amp;$C101&amp;"'!$I$23:$I$200")=$D$5)*(INDIRECT("'"&amp;$C101&amp;"'!$H$23:$H$200")=$L$5)*(INDIRECT("'"&amp;$C101&amp;"'!$O$23:$O$200")&gt;=-0.25)*(INDIRECT("'"&amp;$C101&amp;"'!$O$23:$O$200")&lt;=0.25)*(INDIRECT("'"&amp;$C101&amp;"'!$O$23:$O$200")&lt;&gt;"")*((INDIRECT("'"&amp;$C101&amp;"'!$J$23:$J$200")-INDIRECT("'"&amp;$C101&amp;"'!$K$23:$K$200"))&lt;0),1,0)))</f>
        <v>10</v>
      </c>
      <c r="Q103" s="601">
        <f t="shared" ca="1" si="90"/>
        <v>0.58823529411764708</v>
      </c>
      <c r="R103" s="522">
        <f ca="1">IF($C103="N","",L103+N103+P103)</f>
        <v>17</v>
      </c>
      <c r="S103" s="655">
        <f ca="1">IF($C103="N","",L103+E103)</f>
        <v>12</v>
      </c>
      <c r="T103" s="601">
        <f t="shared" ca="1" si="91"/>
        <v>0.44444444444444442</v>
      </c>
      <c r="U103" s="418">
        <f ca="1">IF($C103="N","",N103+G103)</f>
        <v>4</v>
      </c>
      <c r="V103" s="601">
        <f t="shared" ca="1" si="92"/>
        <v>0.14814814814814814</v>
      </c>
      <c r="W103" s="418">
        <f ca="1">IF($C103="N","",P103+I103)</f>
        <v>11</v>
      </c>
      <c r="X103" s="601">
        <f t="shared" ca="1" si="93"/>
        <v>0.40740740740740738</v>
      </c>
      <c r="Y103" s="602">
        <f ca="1">IF($C103="N","",R103+K103)</f>
        <v>27</v>
      </c>
      <c r="Z103" s="355"/>
    </row>
    <row r="104" spans="2:59">
      <c r="B104" s="568"/>
      <c r="C104" s="357" t="str">
        <f>C103</f>
        <v>JEF United</v>
      </c>
      <c r="D104" s="654">
        <v>1</v>
      </c>
      <c r="E104" s="655">
        <f t="array" aca="1" ref="E104" ca="1">IF($C104="N","",SUM(IF((INDIRECT("'"&amp;$C101&amp;"'!$I$23:$I$200")=$D$5)*(INDIRECT("'"&amp;$C101&amp;"'!$H$23:$H$200")=$E$5)*(INDIRECT("'"&amp;$C101&amp;"'!$O$23:$O$200")&gt;=0.5)*(INDIRECT("'"&amp;$C101&amp;"'!$O$23:$O$200")&lt;=2)*((INDIRECT("'"&amp;$C101&amp;"'!$J$23:$J$200")-INDIRECT("'"&amp;$C101&amp;"'!$K$23:$K$200"))&gt;-1),1,0)))</f>
        <v>0</v>
      </c>
      <c r="F104" s="601" t="str">
        <f t="shared" ca="1" si="85"/>
        <v>-</v>
      </c>
      <c r="G104" s="418">
        <f t="array" aca="1" ref="G104" ca="1">IF($C104="N","",SUM(IF((INDIRECT("'"&amp;$C101&amp;"'!$I$23:$I$200")=$D$5)*(INDIRECT("'"&amp;$C101&amp;"'!$H$23:$H$200")=$E$5)*(INDIRECT("'"&amp;$C101&amp;"'!$O$23:$O$200")&gt;=0.5)*(INDIRECT("'"&amp;$C101&amp;"'!$O$23:$O$200")&lt;=2)*((INDIRECT("'"&amp;$C101&amp;"'!$J$23:$J$200")-INDIRECT("'"&amp;$C101&amp;"'!$K$23:$K$200"))=-1),1,0)))</f>
        <v>0</v>
      </c>
      <c r="H104" s="601" t="str">
        <f t="shared" ca="1" si="86"/>
        <v>-</v>
      </c>
      <c r="I104" s="418">
        <f t="array" aca="1" ref="I104" ca="1">IF($C104="N","",SUM(IF((INDIRECT("'"&amp;$C101&amp;"'!$I$23:$I$200")=$D$5)*(INDIRECT("'"&amp;$C101&amp;"'!$H$23:$H$200")=$E$5)*(INDIRECT("'"&amp;$C101&amp;"'!$O$23:$O$200")&gt;=0.5)*(INDIRECT("'"&amp;$C101&amp;"'!$O$23:$O$200")&lt;=2)*((INDIRECT("'"&amp;$C101&amp;"'!$J$23:$J$200")-INDIRECT("'"&amp;$C101&amp;"'!$K$23:$K$200"))&lt;-1),1,0)))</f>
        <v>0</v>
      </c>
      <c r="J104" s="601" t="str">
        <f t="shared" ca="1" si="87"/>
        <v>-</v>
      </c>
      <c r="K104" s="522">
        <f ca="1">IF($C104="N","",E104+G104+I104)</f>
        <v>0</v>
      </c>
      <c r="L104" s="655">
        <f t="array" aca="1" ref="L104" ca="1">IF($C104="N","",SUM(IF((INDIRECT("'"&amp;$C101&amp;"'!$I$23:$I$200")=$D$5)*(INDIRECT("'"&amp;$C101&amp;"'!$H$23:$H$200")=$L$5)*(INDIRECT("'"&amp;$C101&amp;"'!$O$23:$O$200")&gt;=0.5)*(INDIRECT("'"&amp;$C101&amp;"'!$O$23:$O$200")&lt;=2)*((INDIRECT("'"&amp;$C101&amp;"'!$J$23:$J$200")-INDIRECT("'"&amp;$C101&amp;"'!$K$23:$K$200"))&gt;-1),1,0)))</f>
        <v>1</v>
      </c>
      <c r="M104" s="601">
        <f t="shared" ca="1" si="88"/>
        <v>0.5</v>
      </c>
      <c r="N104" s="418">
        <f t="array" aca="1" ref="N104" ca="1">IF($C104="N","",SUM(IF((INDIRECT("'"&amp;$C101&amp;"'!$I$23:$I$200")=$D$5)*(INDIRECT("'"&amp;$C101&amp;"'!$H$23:$H$200")=$L$5)*(INDIRECT("'"&amp;$C101&amp;"'!$O$23:$O$200")&gt;=0.5)*(INDIRECT("'"&amp;$C101&amp;"'!$O$23:$O$200")&lt;=2)*((INDIRECT("'"&amp;$C101&amp;"'!$J$23:$J$200")-INDIRECT("'"&amp;$C101&amp;"'!$K$23:$K$200"))=-1),1,0)))</f>
        <v>0</v>
      </c>
      <c r="O104" s="601" t="str">
        <f t="shared" ca="1" si="89"/>
        <v>-</v>
      </c>
      <c r="P104" s="418">
        <f t="array" aca="1" ref="P104" ca="1">IF($C104="N","",SUM(IF((INDIRECT("'"&amp;$C101&amp;"'!$I$23:$I$200")=$D$5)*(INDIRECT("'"&amp;$C101&amp;"'!$H$23:$H$200")=$L$5)*(INDIRECT("'"&amp;$C101&amp;"'!$O$23:$O$200")&gt;=0.5)*(INDIRECT("'"&amp;$C101&amp;"'!$O$23:$O$200")&lt;=2)*((INDIRECT("'"&amp;$C101&amp;"'!$J$23:$J$200")-INDIRECT("'"&amp;$C101&amp;"'!$K$23:$K$200"))&lt;-1),1,0)))</f>
        <v>1</v>
      </c>
      <c r="Q104" s="601">
        <f t="shared" ca="1" si="90"/>
        <v>0.5</v>
      </c>
      <c r="R104" s="522">
        <f ca="1">IF($C104="N","",L104+N104+P104)</f>
        <v>2</v>
      </c>
      <c r="S104" s="655">
        <f ca="1">IF($C104="N","",L104+E104)</f>
        <v>1</v>
      </c>
      <c r="T104" s="601">
        <f t="shared" ca="1" si="91"/>
        <v>0.5</v>
      </c>
      <c r="U104" s="418">
        <f ca="1">IF($C104="N","",N104+G104)</f>
        <v>0</v>
      </c>
      <c r="V104" s="601" t="str">
        <f t="shared" ca="1" si="92"/>
        <v>-</v>
      </c>
      <c r="W104" s="418">
        <f ca="1">IF($C104="N","",P104+I104)</f>
        <v>1</v>
      </c>
      <c r="X104" s="601">
        <f t="shared" ca="1" si="93"/>
        <v>0.5</v>
      </c>
      <c r="Y104" s="602">
        <f ca="1">IF($C104="N","",R104+K104)</f>
        <v>2</v>
      </c>
      <c r="Z104" s="355"/>
    </row>
    <row r="105" spans="2:59" ht="13.5" thickBot="1">
      <c r="B105" s="568"/>
      <c r="C105" s="357" t="str">
        <f>C104</f>
        <v>JEF United</v>
      </c>
      <c r="D105" s="654">
        <v>2</v>
      </c>
      <c r="E105" s="657">
        <f t="array" aca="1" ref="E105" ca="1">IF($C105="N","",SUM(IF((INDIRECT("'"&amp;$C101&amp;"'!$I$23:$I$200")=$D$5)*(INDIRECT("'"&amp;$C101&amp;"'!$H$23:$H$200")=$E$5)*(INDIRECT("'"&amp;$C101&amp;"'!$O$23:$O$200")&gt;=2.25)*((INDIRECT("'"&amp;$C101&amp;"'!$J$23:$J$200")-INDIRECT("'"&amp;$C101&amp;"'!$K$23:$K$200"))&gt;-2),1,0)))</f>
        <v>0</v>
      </c>
      <c r="F105" s="605" t="str">
        <f t="shared" ca="1" si="85"/>
        <v>-</v>
      </c>
      <c r="G105" s="658">
        <f t="array" aca="1" ref="G105" ca="1">IF($C105="N","",SUM(IF((INDIRECT("'"&amp;$C101&amp;"'!$I$23:$I$200")=$D$5)*(INDIRECT("'"&amp;$C101&amp;"'!$H$23:$H$200")=$E$5)*(INDIRECT("'"&amp;$C101&amp;"'!$O$23:$O$200")&gt;=2.25)*((INDIRECT("'"&amp;$C101&amp;"'!$J$23:$J$200")-INDIRECT("'"&amp;$C101&amp;"'!$K$23:$K$200"))=-2),1,0)))</f>
        <v>0</v>
      </c>
      <c r="H105" s="605" t="str">
        <f t="shared" ca="1" si="86"/>
        <v>-</v>
      </c>
      <c r="I105" s="658">
        <f t="array" aca="1" ref="I105" ca="1">IF($C105="N","",SUM(IF((INDIRECT("'"&amp;$C101&amp;"'!$I$23:$I$200")=$D$5)*(INDIRECT("'"&amp;$C101&amp;"'!$H$23:$H$200")=$E$5)*(INDIRECT("'"&amp;$C101&amp;"'!$O$23:$O$200")&gt;=2.25)*((INDIRECT("'"&amp;$C101&amp;"'!$J$23:$J$200")-INDIRECT("'"&amp;$C101&amp;"'!$K$23:$K$200"))&lt;-2),1,0)))</f>
        <v>0</v>
      </c>
      <c r="J105" s="605" t="str">
        <f t="shared" ca="1" si="87"/>
        <v>-</v>
      </c>
      <c r="K105" s="659">
        <f ca="1">IF($C105="N","",E105+G105+I105)</f>
        <v>0</v>
      </c>
      <c r="L105" s="657">
        <f t="array" aca="1" ref="L105" ca="1">IF($C105="N","",SUM(IF((INDIRECT("'"&amp;$C101&amp;"'!$I$23:$I$200")=$D$5)*(INDIRECT("'"&amp;$C101&amp;"'!$H$23:$H$200")=$L$5)*(INDIRECT("'"&amp;$C101&amp;"'!$O$23:$O$200")&gt;=2.25)*((INDIRECT("'"&amp;$C101&amp;"'!$J$23:$J$200")-INDIRECT("'"&amp;$C101&amp;"'!$K$23:$K$200"))&gt;-2),1,0)))</f>
        <v>0</v>
      </c>
      <c r="M105" s="605" t="str">
        <f t="shared" ca="1" si="88"/>
        <v>-</v>
      </c>
      <c r="N105" s="658">
        <f t="array" aca="1" ref="N105" ca="1">IF($C105="N","",SUM(IF((INDIRECT("'"&amp;$C101&amp;"'!$I$23:$I$200")=$D$5)*(INDIRECT("'"&amp;$C101&amp;"'!$H$23:$H$200")=$L$5)*(INDIRECT("'"&amp;$C101&amp;"'!$O$23:$O$200")&gt;=2.25)*((INDIRECT("'"&amp;$C101&amp;"'!$J$23:$J$200")-INDIRECT("'"&amp;$C101&amp;"'!$K$23:$K$200"))=-2),1,0)))</f>
        <v>0</v>
      </c>
      <c r="O105" s="605" t="str">
        <f t="shared" ca="1" si="89"/>
        <v>-</v>
      </c>
      <c r="P105" s="658">
        <f t="array" aca="1" ref="P105" ca="1">IF($C105="N","",SUM(IF((INDIRECT("'"&amp;$C101&amp;"'!$I$23:$I$200")=$D$5)*(INDIRECT("'"&amp;$C101&amp;"'!$H$23:$H$200")=$L$5)*(INDIRECT("'"&amp;$C101&amp;"'!$O$23:$O$200")&gt;=2.25)*((INDIRECT("'"&amp;$C101&amp;"'!$J$23:$J$200")-INDIRECT("'"&amp;$C101&amp;"'!$K$23:$K$200"))&lt;-2),1,0)))</f>
        <v>0</v>
      </c>
      <c r="Q105" s="605" t="str">
        <f t="shared" ca="1" si="90"/>
        <v>-</v>
      </c>
      <c r="R105" s="659">
        <f ca="1">IF($C105="N","",L105+N105+P105)</f>
        <v>0</v>
      </c>
      <c r="S105" s="657">
        <f ca="1">IF($C105="N","",L105+E105)</f>
        <v>0</v>
      </c>
      <c r="T105" s="605" t="str">
        <f t="shared" ca="1" si="91"/>
        <v>-</v>
      </c>
      <c r="U105" s="658">
        <f ca="1">IF($C105="N","",N105+G105)</f>
        <v>0</v>
      </c>
      <c r="V105" s="605" t="str">
        <f t="shared" ca="1" si="92"/>
        <v>-</v>
      </c>
      <c r="W105" s="658">
        <f ca="1">IF($C105="N","",P105+I105)</f>
        <v>0</v>
      </c>
      <c r="X105" s="605" t="str">
        <f t="shared" ca="1" si="93"/>
        <v>-</v>
      </c>
      <c r="Y105" s="608">
        <f ca="1">IF($C105="N","",R105+K105)</f>
        <v>0</v>
      </c>
      <c r="Z105" s="355"/>
    </row>
    <row r="106" spans="2:59" ht="13.5" thickBot="1">
      <c r="B106" s="568" t="str">
        <f>D99</f>
        <v>JEF United</v>
      </c>
      <c r="D106" s="661" t="s">
        <v>115</v>
      </c>
      <c r="E106" s="481">
        <f ca="1">SUM(E101:E105)</f>
        <v>8</v>
      </c>
      <c r="F106" s="435">
        <f t="shared" ca="1" si="85"/>
        <v>0.38095238095238093</v>
      </c>
      <c r="G106" s="438">
        <f ca="1">SUM(G101:G105)</f>
        <v>8</v>
      </c>
      <c r="H106" s="435">
        <f t="shared" ca="1" si="86"/>
        <v>0.38095238095238093</v>
      </c>
      <c r="I106" s="438">
        <f ca="1">SUM(I101:I105)</f>
        <v>5</v>
      </c>
      <c r="J106" s="435">
        <f t="shared" ca="1" si="87"/>
        <v>0.23809523809523808</v>
      </c>
      <c r="K106" s="479">
        <f ca="1">SUM(K101:K105)</f>
        <v>21</v>
      </c>
      <c r="L106" s="662">
        <f ca="1">SUM(L101:L105)</f>
        <v>7</v>
      </c>
      <c r="M106" s="435">
        <f t="shared" ca="1" si="88"/>
        <v>0.31818181818181818</v>
      </c>
      <c r="N106" s="438">
        <f ca="1">SUM(N101:N105)</f>
        <v>1</v>
      </c>
      <c r="O106" s="435">
        <f t="shared" ca="1" si="89"/>
        <v>4.5454545454545456E-2</v>
      </c>
      <c r="P106" s="438">
        <f ca="1">SUM(P101:P105)</f>
        <v>14</v>
      </c>
      <c r="Q106" s="435">
        <f t="shared" ca="1" si="90"/>
        <v>0.63636363636363635</v>
      </c>
      <c r="R106" s="480">
        <f ca="1">SUM(R101:R105)</f>
        <v>22</v>
      </c>
      <c r="S106" s="481">
        <f ca="1">SUM(S101:S105)</f>
        <v>15</v>
      </c>
      <c r="T106" s="435">
        <f t="shared" ca="1" si="91"/>
        <v>0.34883720930232559</v>
      </c>
      <c r="U106" s="438">
        <f ca="1">SUM(U101:U105)</f>
        <v>9</v>
      </c>
      <c r="V106" s="435">
        <f t="shared" ca="1" si="92"/>
        <v>0.20930232558139536</v>
      </c>
      <c r="W106" s="438">
        <f ca="1">SUM(W101:W105)</f>
        <v>19</v>
      </c>
      <c r="X106" s="435">
        <f t="shared" ca="1" si="93"/>
        <v>0.44186046511627908</v>
      </c>
      <c r="Y106" s="479">
        <f ca="1">SUM(Y101:Y105)</f>
        <v>43</v>
      </c>
    </row>
    <row r="107" spans="2:59" ht="13.5" thickBot="1">
      <c r="B107" s="568"/>
    </row>
    <row r="108" spans="2:59">
      <c r="D108" s="562" t="str">
        <f>K1</f>
        <v>Kamatamare Sanuki</v>
      </c>
      <c r="E108" s="582" t="s">
        <v>162</v>
      </c>
      <c r="F108" s="583"/>
      <c r="G108" s="584"/>
      <c r="H108" s="583"/>
      <c r="I108" s="585"/>
      <c r="J108" s="584"/>
      <c r="K108" s="586"/>
      <c r="L108" s="641" t="s">
        <v>163</v>
      </c>
      <c r="M108" s="583"/>
      <c r="N108" s="584"/>
      <c r="O108" s="583"/>
      <c r="P108" s="585"/>
      <c r="Q108" s="583"/>
      <c r="R108" s="584"/>
      <c r="S108" s="582" t="s">
        <v>164</v>
      </c>
      <c r="T108" s="583"/>
      <c r="U108" s="584"/>
      <c r="V108" s="583"/>
      <c r="W108" s="587"/>
      <c r="X108" s="588"/>
      <c r="Y108" s="589"/>
    </row>
    <row r="109" spans="2:59" ht="13.5" thickBot="1">
      <c r="D109" s="644" t="s">
        <v>165</v>
      </c>
      <c r="E109" s="590" t="s">
        <v>63</v>
      </c>
      <c r="F109" s="591"/>
      <c r="G109" s="645" t="s">
        <v>64</v>
      </c>
      <c r="H109" s="591"/>
      <c r="I109" s="645" t="s">
        <v>65</v>
      </c>
      <c r="J109" s="645"/>
      <c r="K109" s="646" t="s">
        <v>171</v>
      </c>
      <c r="L109" s="647" t="s">
        <v>63</v>
      </c>
      <c r="M109" s="591"/>
      <c r="N109" s="645" t="s">
        <v>64</v>
      </c>
      <c r="O109" s="591"/>
      <c r="P109" s="645" t="s">
        <v>65</v>
      </c>
      <c r="Q109" s="591"/>
      <c r="R109" s="646" t="s">
        <v>172</v>
      </c>
      <c r="S109" s="590" t="s">
        <v>63</v>
      </c>
      <c r="T109" s="591"/>
      <c r="U109" s="645" t="s">
        <v>64</v>
      </c>
      <c r="V109" s="648"/>
      <c r="W109" s="645" t="s">
        <v>65</v>
      </c>
      <c r="X109" s="591"/>
      <c r="Y109" s="646" t="s">
        <v>168</v>
      </c>
      <c r="Z109" s="355"/>
    </row>
    <row r="110" spans="2:59">
      <c r="B110" s="568"/>
      <c r="C110" s="357" t="str">
        <f>IF(D108=0,"N",D108)</f>
        <v>Kamatamare Sanuki</v>
      </c>
      <c r="D110" s="651">
        <v>-2</v>
      </c>
      <c r="E110" s="599">
        <f t="array" aca="1" ref="E110" ca="1">IF($C110="N","",SUM(IF((INDIRECT("'"&amp;$C110&amp;"'!$I$23:$I$200")=$D$5)*(INDIRECT("'"&amp;$C110&amp;"'!$H$23:$H$200")=$E$5)*(INDIRECT("'"&amp;$C110&amp;"'!$O$23:$O$200")&lt;=-2.25)*((INDIRECT("'"&amp;$C110&amp;"'!$J$23:$J$200")-INDIRECT("'"&amp;$C110&amp;"'!$K$23:$K$200"))&gt;2),1,0)))</f>
        <v>0</v>
      </c>
      <c r="F110" s="406" t="str">
        <f t="shared" ref="F110:F115" ca="1" si="94">IF(E110="","",IF(E110=0,"-",E110/$K110))</f>
        <v>-</v>
      </c>
      <c r="G110" s="408">
        <f t="array" aca="1" ref="G110" ca="1">IF($C110="N","",SUM(IF((INDIRECT("'"&amp;$C110&amp;"'!$I$23:$I$200")=$D$5)*(INDIRECT("'"&amp;$C110&amp;"'!$H$23:$H$200")=$E$5)*(INDIRECT("'"&amp;$C110&amp;"'!$O$23:$O$200")&lt;=-2.25)*((INDIRECT("'"&amp;$C110&amp;"'!$J$23:$J$200")-INDIRECT("'"&amp;$C110&amp;"'!$K$23:$K$200"))=2),1,0)))</f>
        <v>0</v>
      </c>
      <c r="H110" s="406" t="str">
        <f t="shared" ref="H110:H115" ca="1" si="95">IF(G110="","",IF(G110=0,"-",G110/$K110))</f>
        <v>-</v>
      </c>
      <c r="I110" s="408">
        <f t="array" aca="1" ref="I110" ca="1">IF($C110="N","",SUM(IF((INDIRECT("'"&amp;$C110&amp;"'!$I$23:$I$200")=$D$5)*(INDIRECT("'"&amp;$C110&amp;"'!$H$23:$H$200")=$E$5)*(INDIRECT("'"&amp;$C110&amp;"'!$O$23:$O$200")&lt;=-2.25)*((INDIRECT("'"&amp;$C110&amp;"'!$K$23:$K$200")-INDIRECT("'"&amp;$C110&amp;"'!$J$23:$J$200"))&gt;-2),1,0)))</f>
        <v>0</v>
      </c>
      <c r="J110" s="406" t="str">
        <f t="shared" ref="J110:J115" ca="1" si="96">IF(I110="","",IF(I110=0,"-",I110/$K110))</f>
        <v>-</v>
      </c>
      <c r="K110" s="602">
        <f ca="1">IF($C110="N","",E110+G110+I110)</f>
        <v>0</v>
      </c>
      <c r="L110" s="599">
        <f t="array" aca="1" ref="L110" ca="1">IF($C110="N","",SUM(IF((INDIRECT("'"&amp;$C110&amp;"'!$I$23:$I$200")=$D$5)*(INDIRECT("'"&amp;$C110&amp;"'!$H$23:$H$200")=$L$5)*(INDIRECT("'"&amp;$C110&amp;"'!$O$23:$O$200")&lt;=-2.25)*((INDIRECT("'"&amp;$C110&amp;"'!$J$23:$J$200")-INDIRECT("'"&amp;$C110&amp;"'!$K$23:$K$200"))&gt;2),1,0)))</f>
        <v>0</v>
      </c>
      <c r="M110" s="406" t="str">
        <f t="shared" ref="M110:M115" ca="1" si="97">IF(L110="","",IF(L110=0,"-",L110/$R110))</f>
        <v>-</v>
      </c>
      <c r="N110" s="408">
        <f t="array" aca="1" ref="N110" ca="1">IF($C110="N","",SUM(IF((INDIRECT("'"&amp;$C110&amp;"'!$I$23:$I$200")=$D$5)*(INDIRECT("'"&amp;$C110&amp;"'!$H$23:$H$200")=$L$5)*(INDIRECT("'"&amp;$C110&amp;"'!$O$23:$O$200")&lt;=-2.25)*((INDIRECT("'"&amp;$C110&amp;"'!$J$23:$J$200")-INDIRECT("'"&amp;$C110&amp;"'!$K$23:$K$200"))=2),1,0)))</f>
        <v>0</v>
      </c>
      <c r="O110" s="406" t="str">
        <f t="shared" ref="O110:O115" ca="1" si="98">IF(N110="","",IF(N110=0,"-",N110/$R110))</f>
        <v>-</v>
      </c>
      <c r="P110" s="408">
        <f t="array" aca="1" ref="P110" ca="1">IF($C110="N","",SUM(IF((INDIRECT("'"&amp;$C110&amp;"'!$I$23:$I$200")=$D$5)*(INDIRECT("'"&amp;$C110&amp;"'!$H$23:$H$200")=$L$5)*(INDIRECT("'"&amp;$C110&amp;"'!$O$23:$O$200")&lt;=-2.25)*((INDIRECT("'"&amp;$C110&amp;"'!$K$23:$K$200")-INDIRECT("'"&amp;$C110&amp;"'!$J$23:$J$200"))&gt;-2),1,0)))</f>
        <v>0</v>
      </c>
      <c r="Q110" s="406" t="str">
        <f t="shared" ref="Q110:Q115" ca="1" si="99">IF(P110="","",IF(P110=0,"-",P110/$R110))</f>
        <v>-</v>
      </c>
      <c r="R110" s="602">
        <f ca="1">IF($C110="N","",L110+N110+P110)</f>
        <v>0</v>
      </c>
      <c r="S110" s="599">
        <f ca="1">IF($C110="N","",L110+E110)</f>
        <v>0</v>
      </c>
      <c r="T110" s="406" t="str">
        <f t="shared" ref="T110:T115" ca="1" si="100">IF(S110="","",IF(S110=0,"-",S110/$Y110))</f>
        <v>-</v>
      </c>
      <c r="U110" s="408">
        <f ca="1">IF($C110="N","",N110+G110)</f>
        <v>0</v>
      </c>
      <c r="V110" s="406" t="str">
        <f t="shared" ref="V110:V115" ca="1" si="101">IF(U110="","",IF(U110=0,"-",U110/$Y110))</f>
        <v>-</v>
      </c>
      <c r="W110" s="408">
        <f ca="1">IF($C110="N","",P110+I110)</f>
        <v>0</v>
      </c>
      <c r="X110" s="406" t="str">
        <f t="shared" ref="X110:X115" ca="1" si="102">IF(W110="","",IF(W110=0,"-",W110/$Y110))</f>
        <v>-</v>
      </c>
      <c r="Y110" s="602">
        <f ca="1">IF($C110="N","",R110+K110)</f>
        <v>0</v>
      </c>
      <c r="Z110" s="355"/>
    </row>
    <row r="111" spans="2:59">
      <c r="B111" s="568"/>
      <c r="C111" s="357" t="str">
        <f>C110</f>
        <v>Kamatamare Sanuki</v>
      </c>
      <c r="D111" s="654">
        <v>-1</v>
      </c>
      <c r="E111" s="655">
        <f t="array" aca="1" ref="E111" ca="1">IF($C111="N","",SUM(IF((INDIRECT("'"&amp;$C110&amp;"'!$I$23:$I$200")=$D$5)*(INDIRECT("'"&amp;$C110&amp;"'!$H$23:$H$200")=$E$5)*(INDIRECT("'"&amp;$C110&amp;"'!$O$23:$O$200")&lt;=-0.5)*(INDIRECT("'"&amp;$C110&amp;"'!$O$23:$O$200")&gt;=-2)*((INDIRECT("'"&amp;$C110&amp;"'!$J$23:$J$200")-INDIRECT("'"&amp;$C110&amp;"'!$K$23:$K$200"))&gt;1),1,0)))</f>
        <v>0</v>
      </c>
      <c r="F111" s="601" t="str">
        <f t="shared" ca="1" si="94"/>
        <v>-</v>
      </c>
      <c r="G111" s="418">
        <f t="array" aca="1" ref="G111" ca="1">IF($C111="N","",SUM(IF((INDIRECT("'"&amp;$C110&amp;"'!$I$23:$I$200")=$D$5)*(INDIRECT("'"&amp;$C110&amp;"'!$H$23:$H$200")=$E$5)*(INDIRECT("'"&amp;$C110&amp;"'!$O$23:$O$200")&lt;=-0.5)*(INDIRECT("'"&amp;$C110&amp;"'!$O$23:$O$200")&gt;=-2)*((INDIRECT("'"&amp;$C110&amp;"'!$J$23:$J$200")-INDIRECT("'"&amp;$C110&amp;"'!$K$23:$K$200"))=1),1,0)))</f>
        <v>0</v>
      </c>
      <c r="H111" s="601" t="str">
        <f t="shared" ca="1" si="95"/>
        <v>-</v>
      </c>
      <c r="I111" s="418">
        <f t="array" aca="1" ref="I111" ca="1">IF($C111="N","",SUM(IF((INDIRECT("'"&amp;$C110&amp;"'!$I$23:$I$200")=$D$5)*(INDIRECT("'"&amp;$C110&amp;"'!$H$23:$H$200")=$E$5)*(INDIRECT("'"&amp;$C110&amp;"'!$O$23:$O$200")&lt;=-0.5)*(INDIRECT("'"&amp;$C110&amp;"'!$O$23:$O$200")&gt;=-2)*((INDIRECT("'"&amp;$C110&amp;"'!$K$23:$K$200")-INDIRECT("'"&amp;$C110&amp;"'!$J$23:$J$200"))&gt;-1),1,0)))</f>
        <v>0</v>
      </c>
      <c r="J111" s="601" t="str">
        <f t="shared" ca="1" si="96"/>
        <v>-</v>
      </c>
      <c r="K111" s="522">
        <f ca="1">IF($C111="N","",E111+G111+I111)</f>
        <v>0</v>
      </c>
      <c r="L111" s="655">
        <f t="array" aca="1" ref="L111" ca="1">IF($C111="N","",SUM(IF((INDIRECT("'"&amp;$C110&amp;"'!$I$23:$I$200")=$D$5)*(INDIRECT("'"&amp;$C110&amp;"'!$H$23:$H$200")=$L$5)*(INDIRECT("'"&amp;$C110&amp;"'!$O$23:$O$200")&lt;=-0.5)*(INDIRECT("'"&amp;$C110&amp;"'!$O$23:$O$200")&gt;=-2)*((INDIRECT("'"&amp;$C110&amp;"'!$J$23:$J$200")-INDIRECT("'"&amp;$C110&amp;"'!$K$23:$K$200"))&gt;1),1,0)))</f>
        <v>0</v>
      </c>
      <c r="M111" s="601" t="str">
        <f t="shared" ca="1" si="97"/>
        <v>-</v>
      </c>
      <c r="N111" s="418">
        <f t="array" aca="1" ref="N111" ca="1">IF($C111="N","",SUM(IF((INDIRECT("'"&amp;$C110&amp;"'!$I$23:$I$200")=$D$5)*(INDIRECT("'"&amp;$C110&amp;"'!$H$23:$H$200")=$L$5)*(INDIRECT("'"&amp;$C110&amp;"'!$O$23:$O$200")&lt;=-0.5)*(INDIRECT("'"&amp;$C110&amp;"'!$O$23:$O$200")&gt;=-2)*((INDIRECT("'"&amp;$C110&amp;"'!$J$23:$J$200")-INDIRECT("'"&amp;$C110&amp;"'!$K$23:$K$200"))=1),1,0)))</f>
        <v>0</v>
      </c>
      <c r="O111" s="601" t="str">
        <f t="shared" ca="1" si="98"/>
        <v>-</v>
      </c>
      <c r="P111" s="418">
        <f t="array" aca="1" ref="P111" ca="1">IF($C111="N","",SUM(IF((INDIRECT("'"&amp;$C110&amp;"'!$I$23:$I$200")=$D$5)*(INDIRECT("'"&amp;$C110&amp;"'!$H$23:$H$200")=$L$5)*(INDIRECT("'"&amp;$C110&amp;"'!$O$23:$O$200")&lt;=-0.5)*(INDIRECT("'"&amp;$C110&amp;"'!$O$23:$O$200")&gt;=-2)*((INDIRECT("'"&amp;$C110&amp;"'!$K$23:$K$200")-INDIRECT("'"&amp;$C110&amp;"'!$J$23:$J$200"))&gt;-1),1,0)))</f>
        <v>0</v>
      </c>
      <c r="Q111" s="601" t="str">
        <f t="shared" ca="1" si="99"/>
        <v>-</v>
      </c>
      <c r="R111" s="522">
        <f ca="1">IF($C111="N","",L111+N111+P111)</f>
        <v>0</v>
      </c>
      <c r="S111" s="655">
        <f ca="1">IF($C111="N","",L111+E111)</f>
        <v>0</v>
      </c>
      <c r="T111" s="601" t="str">
        <f t="shared" ca="1" si="100"/>
        <v>-</v>
      </c>
      <c r="U111" s="418">
        <f ca="1">IF($C111="N","",N111+G111)</f>
        <v>0</v>
      </c>
      <c r="V111" s="601" t="str">
        <f t="shared" ca="1" si="101"/>
        <v>-</v>
      </c>
      <c r="W111" s="418">
        <f ca="1">IF($C111="N","",P111+I111)</f>
        <v>0</v>
      </c>
      <c r="X111" s="601" t="str">
        <f t="shared" ca="1" si="102"/>
        <v>-</v>
      </c>
      <c r="Y111" s="602">
        <f ca="1">IF($C111="N","",R111+K111)</f>
        <v>0</v>
      </c>
      <c r="Z111" s="355"/>
    </row>
    <row r="112" spans="2:59">
      <c r="B112" s="568"/>
      <c r="C112" s="357" t="str">
        <f>C111</f>
        <v>Kamatamare Sanuki</v>
      </c>
      <c r="D112" s="654">
        <v>0</v>
      </c>
      <c r="E112" s="655">
        <f t="array" aca="1" ref="E112" ca="1">IF($C112="N","",SUM(IF((INDIRECT("'"&amp;$C110&amp;"'!$I$23:$I$200")=$D$5)*(INDIRECT("'"&amp;$C110&amp;"'!$H$23:$H$200")=$E$5)*(INDIRECT("'"&amp;$C110&amp;"'!$O$23:$O$200")&gt;=-0.25)*(INDIRECT("'"&amp;$C110&amp;"'!$O$23:$O$200")&lt;=0.25)*(INDIRECT("'"&amp;$C110&amp;"'!$O$23:$O$200")&lt;&gt;"")*((INDIRECT("'"&amp;$C110&amp;"'!$J$23:$J$200")-INDIRECT("'"&amp;$C110&amp;"'!$K$23:$K$200"))&gt;0),1,0)))</f>
        <v>3</v>
      </c>
      <c r="F112" s="601">
        <f t="shared" ca="1" si="94"/>
        <v>0.2</v>
      </c>
      <c r="G112" s="418">
        <f t="array" aca="1" ref="G112" ca="1">IF($C112="N","",SUM(IF((INDIRECT("'"&amp;$C110&amp;"'!$I$23:$I$200")=$D$5)*(INDIRECT("'"&amp;$C110&amp;"'!$H$23:$H$200")=$E$5)*(INDIRECT("'"&amp;$C110&amp;"'!$O$23:$O$200")&gt;=-0.25)*(INDIRECT("'"&amp;$C110&amp;"'!$O$23:$O$200")&lt;=0.25)*(INDIRECT("'"&amp;$C110&amp;"'!$O$23:$O$200")&lt;&gt;"")*((INDIRECT("'"&amp;$C110&amp;"'!$J$23:$J$200")-INDIRECT("'"&amp;$C110&amp;"'!$K$23:$K$200"))=0),1,0)))</f>
        <v>6</v>
      </c>
      <c r="H112" s="601">
        <f t="shared" ca="1" si="95"/>
        <v>0.4</v>
      </c>
      <c r="I112" s="418">
        <f t="array" aca="1" ref="I112" ca="1">IF($C112="N","",SUM(IF((INDIRECT("'"&amp;$C110&amp;"'!$I$23:$I$200")=$D$5)*(INDIRECT("'"&amp;$C110&amp;"'!$H$23:$H$200")=$E$5)*(INDIRECT("'"&amp;$C110&amp;"'!$O$23:$O$200")&gt;=-0.25)*(INDIRECT("'"&amp;$C110&amp;"'!$O$23:$O$200")&lt;=0.25)*(INDIRECT("'"&amp;$C110&amp;"'!$O$23:$O$200")&lt;&gt;"")*((INDIRECT("'"&amp;$C110&amp;"'!$J$23:$J$200")-INDIRECT("'"&amp;$C110&amp;"'!$K$23:$K$200"))&lt;0),1,0)))</f>
        <v>6</v>
      </c>
      <c r="J112" s="601">
        <f t="shared" ca="1" si="96"/>
        <v>0.4</v>
      </c>
      <c r="K112" s="522">
        <f ca="1">IF($C112="N","",E112+G112+I112)</f>
        <v>15</v>
      </c>
      <c r="L112" s="655">
        <f t="array" aca="1" ref="L112" ca="1">IF($C112="N","",SUM(IF((INDIRECT("'"&amp;$C110&amp;"'!$I$23:$I$200")=$D$5)*(INDIRECT("'"&amp;$C110&amp;"'!$H$23:$H$200")=$L$5)*(INDIRECT("'"&amp;$C110&amp;"'!$O$23:$O$200")&gt;=-0.25)*(INDIRECT("'"&amp;$C110&amp;"'!$O$23:$O$200")&lt;=0.25)*(INDIRECT("'"&amp;$C110&amp;"'!$O$23:$O$200")&lt;&gt;"")*((INDIRECT("'"&amp;$C110&amp;"'!$J$23:$J$200")-INDIRECT("'"&amp;$C110&amp;"'!$K$23:$K$200"))&gt;0),1,0)))</f>
        <v>4</v>
      </c>
      <c r="M112" s="601">
        <f t="shared" ca="1" si="97"/>
        <v>0.44444444444444442</v>
      </c>
      <c r="N112" s="418">
        <f t="array" aca="1" ref="N112" ca="1">IF($C112="N","",SUM(IF((INDIRECT("'"&amp;$C110&amp;"'!$I$23:$I$200")=$D$5)*(INDIRECT("'"&amp;$C110&amp;"'!$H$23:$H$200")=$L$5)*(INDIRECT("'"&amp;$C110&amp;"'!$O$23:$O$200")&gt;=-0.25)*(INDIRECT("'"&amp;$C110&amp;"'!$O$23:$O$200")&lt;=0.25)*(INDIRECT("'"&amp;$C110&amp;"'!$O$23:$O$200")&lt;&gt;"")*((INDIRECT("'"&amp;$C110&amp;"'!$J$23:$J$200")-INDIRECT("'"&amp;$C110&amp;"'!$K$23:$K$200"))=0),1,0)))</f>
        <v>1</v>
      </c>
      <c r="O112" s="601">
        <f t="shared" ca="1" si="98"/>
        <v>0.1111111111111111</v>
      </c>
      <c r="P112" s="418">
        <f t="array" aca="1" ref="P112" ca="1">IF($C112="N","",SUM(IF((INDIRECT("'"&amp;$C110&amp;"'!$I$23:$I$200")=$D$5)*(INDIRECT("'"&amp;$C110&amp;"'!$H$23:$H$200")=$L$5)*(INDIRECT("'"&amp;$C110&amp;"'!$O$23:$O$200")&gt;=-0.25)*(INDIRECT("'"&amp;$C110&amp;"'!$O$23:$O$200")&lt;=0.25)*(INDIRECT("'"&amp;$C110&amp;"'!$O$23:$O$200")&lt;&gt;"")*((INDIRECT("'"&amp;$C110&amp;"'!$J$23:$J$200")-INDIRECT("'"&amp;$C110&amp;"'!$K$23:$K$200"))&lt;0),1,0)))</f>
        <v>4</v>
      </c>
      <c r="Q112" s="601">
        <f t="shared" ca="1" si="99"/>
        <v>0.44444444444444442</v>
      </c>
      <c r="R112" s="522">
        <f ca="1">IF($C112="N","",L112+N112+P112)</f>
        <v>9</v>
      </c>
      <c r="S112" s="655">
        <f ca="1">IF($C112="N","",L112+E112)</f>
        <v>7</v>
      </c>
      <c r="T112" s="601">
        <f t="shared" ca="1" si="100"/>
        <v>0.29166666666666669</v>
      </c>
      <c r="U112" s="418">
        <f ca="1">IF($C112="N","",N112+G112)</f>
        <v>7</v>
      </c>
      <c r="V112" s="601">
        <f t="shared" ca="1" si="101"/>
        <v>0.29166666666666669</v>
      </c>
      <c r="W112" s="418">
        <f ca="1">IF($C112="N","",P112+I112)</f>
        <v>10</v>
      </c>
      <c r="X112" s="601">
        <f t="shared" ca="1" si="102"/>
        <v>0.41666666666666669</v>
      </c>
      <c r="Y112" s="602">
        <f ca="1">IF($C112="N","",R112+K112)</f>
        <v>24</v>
      </c>
      <c r="Z112" s="355"/>
    </row>
    <row r="113" spans="2:26">
      <c r="B113" s="568"/>
      <c r="C113" s="357" t="str">
        <f>C112</f>
        <v>Kamatamare Sanuki</v>
      </c>
      <c r="D113" s="654">
        <v>1</v>
      </c>
      <c r="E113" s="655">
        <f t="array" aca="1" ref="E113" ca="1">IF($C113="N","",SUM(IF((INDIRECT("'"&amp;$C110&amp;"'!$I$23:$I$200")=$D$5)*(INDIRECT("'"&amp;$C110&amp;"'!$H$23:$H$200")=$E$5)*(INDIRECT("'"&amp;$C110&amp;"'!$O$23:$O$200")&gt;=0.5)*(INDIRECT("'"&amp;$C110&amp;"'!$O$23:$O$200")&lt;=2)*((INDIRECT("'"&amp;$C110&amp;"'!$J$23:$J$200")-INDIRECT("'"&amp;$C110&amp;"'!$K$23:$K$200"))&gt;-1),1,0)))</f>
        <v>5</v>
      </c>
      <c r="F113" s="601">
        <f t="shared" ca="1" si="94"/>
        <v>0.83333333333333337</v>
      </c>
      <c r="G113" s="418">
        <f t="array" aca="1" ref="G113" ca="1">IF($C113="N","",SUM(IF((INDIRECT("'"&amp;$C110&amp;"'!$I$23:$I$200")=$D$5)*(INDIRECT("'"&amp;$C110&amp;"'!$H$23:$H$200")=$E$5)*(INDIRECT("'"&amp;$C110&amp;"'!$O$23:$O$200")&gt;=0.5)*(INDIRECT("'"&amp;$C110&amp;"'!$O$23:$O$200")&lt;=2)*((INDIRECT("'"&amp;$C110&amp;"'!$J$23:$J$200")-INDIRECT("'"&amp;$C110&amp;"'!$K$23:$K$200"))=-1),1,0)))</f>
        <v>0</v>
      </c>
      <c r="H113" s="601" t="str">
        <f t="shared" ca="1" si="95"/>
        <v>-</v>
      </c>
      <c r="I113" s="418">
        <f t="array" aca="1" ref="I113" ca="1">IF($C113="N","",SUM(IF((INDIRECT("'"&amp;$C110&amp;"'!$I$23:$I$200")=$D$5)*(INDIRECT("'"&amp;$C110&amp;"'!$H$23:$H$200")=$E$5)*(INDIRECT("'"&amp;$C110&amp;"'!$O$23:$O$200")&gt;=0.5)*(INDIRECT("'"&amp;$C110&amp;"'!$O$23:$O$200")&lt;=2)*((INDIRECT("'"&amp;$C110&amp;"'!$J$23:$J$200")-INDIRECT("'"&amp;$C110&amp;"'!$K$23:$K$200"))&lt;-1),1,0)))</f>
        <v>1</v>
      </c>
      <c r="J113" s="601">
        <f t="shared" ca="1" si="96"/>
        <v>0.16666666666666666</v>
      </c>
      <c r="K113" s="522">
        <f ca="1">IF($C113="N","",E113+G113+I113)</f>
        <v>6</v>
      </c>
      <c r="L113" s="655">
        <f t="array" aca="1" ref="L113" ca="1">IF($C113="N","",SUM(IF((INDIRECT("'"&amp;$C110&amp;"'!$I$23:$I$200")=$D$5)*(INDIRECT("'"&amp;$C110&amp;"'!$H$23:$H$200")=$L$5)*(INDIRECT("'"&amp;$C110&amp;"'!$O$23:$O$200")&gt;=0.5)*(INDIRECT("'"&amp;$C110&amp;"'!$O$23:$O$200")&lt;=2)*((INDIRECT("'"&amp;$C110&amp;"'!$J$23:$J$200")-INDIRECT("'"&amp;$C110&amp;"'!$K$23:$K$200"))&gt;-1),1,0)))</f>
        <v>3</v>
      </c>
      <c r="M113" s="601">
        <f t="shared" ca="1" si="97"/>
        <v>0.25</v>
      </c>
      <c r="N113" s="418">
        <f t="array" aca="1" ref="N113" ca="1">IF($C113="N","",SUM(IF((INDIRECT("'"&amp;$C110&amp;"'!$I$23:$I$200")=$D$5)*(INDIRECT("'"&amp;$C110&amp;"'!$H$23:$H$200")=$L$5)*(INDIRECT("'"&amp;$C110&amp;"'!$O$23:$O$200")&gt;=0.5)*(INDIRECT("'"&amp;$C110&amp;"'!$O$23:$O$200")&lt;=2)*((INDIRECT("'"&amp;$C110&amp;"'!$J$23:$J$200")-INDIRECT("'"&amp;$C110&amp;"'!$K$23:$K$200"))=-1),1,0)))</f>
        <v>6</v>
      </c>
      <c r="O113" s="601">
        <f t="shared" ca="1" si="98"/>
        <v>0.5</v>
      </c>
      <c r="P113" s="418">
        <f t="array" aca="1" ref="P113" ca="1">IF($C113="N","",SUM(IF((INDIRECT("'"&amp;$C110&amp;"'!$I$23:$I$200")=$D$5)*(INDIRECT("'"&amp;$C110&amp;"'!$H$23:$H$200")=$L$5)*(INDIRECT("'"&amp;$C110&amp;"'!$O$23:$O$200")&gt;=0.5)*(INDIRECT("'"&amp;$C110&amp;"'!$O$23:$O$200")&lt;=2)*((INDIRECT("'"&amp;$C110&amp;"'!$J$23:$J$200")-INDIRECT("'"&amp;$C110&amp;"'!$K$23:$K$200"))&lt;-1),1,0)))</f>
        <v>3</v>
      </c>
      <c r="Q113" s="601">
        <f t="shared" ca="1" si="99"/>
        <v>0.25</v>
      </c>
      <c r="R113" s="522">
        <f ca="1">IF($C113="N","",L113+N113+P113)</f>
        <v>12</v>
      </c>
      <c r="S113" s="655">
        <f ca="1">IF($C113="N","",L113+E113)</f>
        <v>8</v>
      </c>
      <c r="T113" s="601">
        <f t="shared" ca="1" si="100"/>
        <v>0.44444444444444442</v>
      </c>
      <c r="U113" s="418">
        <f ca="1">IF($C113="N","",N113+G113)</f>
        <v>6</v>
      </c>
      <c r="V113" s="601">
        <f t="shared" ca="1" si="101"/>
        <v>0.33333333333333331</v>
      </c>
      <c r="W113" s="418">
        <f ca="1">IF($C113="N","",P113+I113)</f>
        <v>4</v>
      </c>
      <c r="X113" s="601">
        <f t="shared" ca="1" si="102"/>
        <v>0.22222222222222221</v>
      </c>
      <c r="Y113" s="602">
        <f ca="1">IF($C113="N","",R113+K113)</f>
        <v>18</v>
      </c>
      <c r="Z113" s="355"/>
    </row>
    <row r="114" spans="2:26" ht="13.5" thickBot="1">
      <c r="B114" s="568"/>
      <c r="C114" s="357" t="str">
        <f>C113</f>
        <v>Kamatamare Sanuki</v>
      </c>
      <c r="D114" s="654">
        <v>2</v>
      </c>
      <c r="E114" s="657">
        <f t="array" aca="1" ref="E114" ca="1">IF($C114="N","",SUM(IF((INDIRECT("'"&amp;$C110&amp;"'!$I$23:$I$200")=$D$5)*(INDIRECT("'"&amp;$C110&amp;"'!$H$23:$H$200")=$E$5)*(INDIRECT("'"&amp;$C110&amp;"'!$O$23:$O$200")&gt;=2.25)*((INDIRECT("'"&amp;$C110&amp;"'!$J$23:$J$200")-INDIRECT("'"&amp;$C110&amp;"'!$K$23:$K$200"))&gt;-2),1,0)))</f>
        <v>0</v>
      </c>
      <c r="F114" s="605" t="str">
        <f t="shared" ca="1" si="94"/>
        <v>-</v>
      </c>
      <c r="G114" s="658">
        <f t="array" aca="1" ref="G114" ca="1">IF($C114="N","",SUM(IF((INDIRECT("'"&amp;$C110&amp;"'!$I$23:$I$200")=$D$5)*(INDIRECT("'"&amp;$C110&amp;"'!$H$23:$H$200")=$E$5)*(INDIRECT("'"&amp;$C110&amp;"'!$O$23:$O$200")&gt;=2.25)*((INDIRECT("'"&amp;$C110&amp;"'!$J$23:$J$200")-INDIRECT("'"&amp;$C110&amp;"'!$K$23:$K$200"))=-2),1,0)))</f>
        <v>0</v>
      </c>
      <c r="H114" s="605" t="str">
        <f t="shared" ca="1" si="95"/>
        <v>-</v>
      </c>
      <c r="I114" s="658">
        <f t="array" aca="1" ref="I114" ca="1">IF($C114="N","",SUM(IF((INDIRECT("'"&amp;$C110&amp;"'!$I$23:$I$200")=$D$5)*(INDIRECT("'"&amp;$C110&amp;"'!$H$23:$H$200")=$E$5)*(INDIRECT("'"&amp;$C110&amp;"'!$O$23:$O$200")&gt;=2.25)*((INDIRECT("'"&amp;$C110&amp;"'!$J$23:$J$200")-INDIRECT("'"&amp;$C110&amp;"'!$K$23:$K$200"))&lt;-2),1,0)))</f>
        <v>0</v>
      </c>
      <c r="J114" s="605" t="str">
        <f t="shared" ca="1" si="96"/>
        <v>-</v>
      </c>
      <c r="K114" s="659">
        <f ca="1">IF($C114="N","",E114+G114+I114)</f>
        <v>0</v>
      </c>
      <c r="L114" s="657">
        <f t="array" aca="1" ref="L114" ca="1">IF($C114="N","",SUM(IF((INDIRECT("'"&amp;$C110&amp;"'!$I$23:$I$200")=$D$5)*(INDIRECT("'"&amp;$C110&amp;"'!$H$23:$H$200")=$L$5)*(INDIRECT("'"&amp;$C110&amp;"'!$O$23:$O$200")&gt;=2.25)*((INDIRECT("'"&amp;$C110&amp;"'!$J$23:$J$200")-INDIRECT("'"&amp;$C110&amp;"'!$K$23:$K$200"))&gt;-2),1,0)))</f>
        <v>0</v>
      </c>
      <c r="M114" s="605" t="str">
        <f t="shared" ca="1" si="97"/>
        <v>-</v>
      </c>
      <c r="N114" s="658">
        <f t="array" aca="1" ref="N114" ca="1">IF($C114="N","",SUM(IF((INDIRECT("'"&amp;$C110&amp;"'!$I$23:$I$200")=$D$5)*(INDIRECT("'"&amp;$C110&amp;"'!$H$23:$H$200")=$L$5)*(INDIRECT("'"&amp;$C110&amp;"'!$O$23:$O$200")&gt;=2.25)*((INDIRECT("'"&amp;$C110&amp;"'!$J$23:$J$200")-INDIRECT("'"&amp;$C110&amp;"'!$K$23:$K$200"))=-2),1,0)))</f>
        <v>0</v>
      </c>
      <c r="O114" s="605" t="str">
        <f t="shared" ca="1" si="98"/>
        <v>-</v>
      </c>
      <c r="P114" s="658">
        <f t="array" aca="1" ref="P114" ca="1">IF($C114="N","",SUM(IF((INDIRECT("'"&amp;$C110&amp;"'!$I$23:$I$200")=$D$5)*(INDIRECT("'"&amp;$C110&amp;"'!$H$23:$H$200")=$L$5)*(INDIRECT("'"&amp;$C110&amp;"'!$O$23:$O$200")&gt;=2.25)*((INDIRECT("'"&amp;$C110&amp;"'!$J$23:$J$200")-INDIRECT("'"&amp;$C110&amp;"'!$K$23:$K$200"))&lt;-2),1,0)))</f>
        <v>0</v>
      </c>
      <c r="Q114" s="605" t="str">
        <f t="shared" ca="1" si="99"/>
        <v>-</v>
      </c>
      <c r="R114" s="659">
        <f ca="1">IF($C114="N","",L114+N114+P114)</f>
        <v>0</v>
      </c>
      <c r="S114" s="657">
        <f ca="1">IF($C114="N","",L114+E114)</f>
        <v>0</v>
      </c>
      <c r="T114" s="605" t="str">
        <f t="shared" ca="1" si="100"/>
        <v>-</v>
      </c>
      <c r="U114" s="658">
        <f ca="1">IF($C114="N","",N114+G114)</f>
        <v>0</v>
      </c>
      <c r="V114" s="605" t="str">
        <f t="shared" ca="1" si="101"/>
        <v>-</v>
      </c>
      <c r="W114" s="658">
        <f ca="1">IF($C114="N","",P114+I114)</f>
        <v>0</v>
      </c>
      <c r="X114" s="605" t="str">
        <f t="shared" ca="1" si="102"/>
        <v>-</v>
      </c>
      <c r="Y114" s="608">
        <f ca="1">IF($C114="N","",R114+K114)</f>
        <v>0</v>
      </c>
      <c r="Z114" s="355"/>
    </row>
    <row r="115" spans="2:26" ht="13.5" thickBot="1">
      <c r="B115" s="568" t="str">
        <f>D108</f>
        <v>Kamatamare Sanuki</v>
      </c>
      <c r="D115" s="661" t="s">
        <v>115</v>
      </c>
      <c r="E115" s="481">
        <f ca="1">SUM(E110:E114)</f>
        <v>8</v>
      </c>
      <c r="F115" s="435">
        <f t="shared" ca="1" si="94"/>
        <v>0.38095238095238093</v>
      </c>
      <c r="G115" s="438">
        <f ca="1">SUM(G110:G114)</f>
        <v>6</v>
      </c>
      <c r="H115" s="435">
        <f t="shared" ca="1" si="95"/>
        <v>0.2857142857142857</v>
      </c>
      <c r="I115" s="438">
        <f ca="1">SUM(I110:I114)</f>
        <v>7</v>
      </c>
      <c r="J115" s="435">
        <f t="shared" ca="1" si="96"/>
        <v>0.33333333333333331</v>
      </c>
      <c r="K115" s="479">
        <f ca="1">SUM(K110:K114)</f>
        <v>21</v>
      </c>
      <c r="L115" s="662">
        <f ca="1">SUM(L110:L114)</f>
        <v>7</v>
      </c>
      <c r="M115" s="435">
        <f t="shared" ca="1" si="97"/>
        <v>0.33333333333333331</v>
      </c>
      <c r="N115" s="438">
        <f ca="1">SUM(N110:N114)</f>
        <v>7</v>
      </c>
      <c r="O115" s="435">
        <f t="shared" ca="1" si="98"/>
        <v>0.33333333333333331</v>
      </c>
      <c r="P115" s="438">
        <f ca="1">SUM(P110:P114)</f>
        <v>7</v>
      </c>
      <c r="Q115" s="435">
        <f t="shared" ca="1" si="99"/>
        <v>0.33333333333333331</v>
      </c>
      <c r="R115" s="480">
        <f ca="1">SUM(R110:R114)</f>
        <v>21</v>
      </c>
      <c r="S115" s="481">
        <f ca="1">SUM(S110:S114)</f>
        <v>15</v>
      </c>
      <c r="T115" s="435">
        <f t="shared" ca="1" si="100"/>
        <v>0.35714285714285715</v>
      </c>
      <c r="U115" s="438">
        <f ca="1">SUM(U110:U114)</f>
        <v>13</v>
      </c>
      <c r="V115" s="435">
        <f t="shared" ca="1" si="101"/>
        <v>0.30952380952380953</v>
      </c>
      <c r="W115" s="438">
        <f ca="1">SUM(W110:W114)</f>
        <v>14</v>
      </c>
      <c r="X115" s="435">
        <f t="shared" ca="1" si="102"/>
        <v>0.33333333333333331</v>
      </c>
      <c r="Y115" s="479">
        <f ca="1">SUM(Y110:Y114)</f>
        <v>42</v>
      </c>
    </row>
    <row r="116" spans="2:26" ht="13.5" thickBot="1">
      <c r="B116" s="568"/>
    </row>
    <row r="117" spans="2:26">
      <c r="D117" s="562" t="str">
        <f>L1</f>
        <v>Kyoto Sanga</v>
      </c>
      <c r="E117" s="582" t="s">
        <v>162</v>
      </c>
      <c r="F117" s="583"/>
      <c r="G117" s="584"/>
      <c r="H117" s="583"/>
      <c r="I117" s="585"/>
      <c r="J117" s="584"/>
      <c r="K117" s="586"/>
      <c r="L117" s="641" t="s">
        <v>163</v>
      </c>
      <c r="M117" s="583"/>
      <c r="N117" s="584"/>
      <c r="O117" s="583"/>
      <c r="P117" s="585"/>
      <c r="Q117" s="583"/>
      <c r="R117" s="584"/>
      <c r="S117" s="582" t="s">
        <v>164</v>
      </c>
      <c r="T117" s="583"/>
      <c r="U117" s="584"/>
      <c r="V117" s="583"/>
      <c r="W117" s="587"/>
      <c r="X117" s="588"/>
      <c r="Y117" s="589"/>
    </row>
    <row r="118" spans="2:26" ht="13.5" thickBot="1">
      <c r="D118" s="644" t="s">
        <v>165</v>
      </c>
      <c r="E118" s="590" t="s">
        <v>63</v>
      </c>
      <c r="F118" s="591"/>
      <c r="G118" s="645" t="s">
        <v>64</v>
      </c>
      <c r="H118" s="591"/>
      <c r="I118" s="645" t="s">
        <v>65</v>
      </c>
      <c r="J118" s="645"/>
      <c r="K118" s="646" t="s">
        <v>171</v>
      </c>
      <c r="L118" s="647" t="s">
        <v>63</v>
      </c>
      <c r="M118" s="591"/>
      <c r="N118" s="645" t="s">
        <v>64</v>
      </c>
      <c r="O118" s="591"/>
      <c r="P118" s="645" t="s">
        <v>65</v>
      </c>
      <c r="Q118" s="591"/>
      <c r="R118" s="646" t="s">
        <v>172</v>
      </c>
      <c r="S118" s="590" t="s">
        <v>63</v>
      </c>
      <c r="T118" s="591"/>
      <c r="U118" s="645" t="s">
        <v>64</v>
      </c>
      <c r="V118" s="648"/>
      <c r="W118" s="645" t="s">
        <v>65</v>
      </c>
      <c r="X118" s="591"/>
      <c r="Y118" s="646" t="s">
        <v>168</v>
      </c>
      <c r="Z118" s="355"/>
    </row>
    <row r="119" spans="2:26">
      <c r="B119" s="568"/>
      <c r="C119" s="357" t="str">
        <f>IF(D117=0,"N",D117)</f>
        <v>Kyoto Sanga</v>
      </c>
      <c r="D119" s="651">
        <v>-2</v>
      </c>
      <c r="E119" s="599">
        <f t="array" aca="1" ref="E119" ca="1">IF($C119="N","",SUM(IF((INDIRECT("'"&amp;$C119&amp;"'!$I$23:$I$200")=$D$5)*(INDIRECT("'"&amp;$C119&amp;"'!$H$23:$H$200")=$E$5)*(INDIRECT("'"&amp;$C119&amp;"'!$O$23:$O$200")&lt;=-2.25)*((INDIRECT("'"&amp;$C119&amp;"'!$J$23:$J$200")-INDIRECT("'"&amp;$C119&amp;"'!$K$23:$K$200"))&gt;2),1,0)))</f>
        <v>0</v>
      </c>
      <c r="F119" s="406" t="str">
        <f t="shared" ref="F119:F124" ca="1" si="103">IF(E119="","",IF(E119=0,"-",E119/$K119))</f>
        <v>-</v>
      </c>
      <c r="G119" s="408">
        <f t="array" aca="1" ref="G119" ca="1">IF($C119="N","",SUM(IF((INDIRECT("'"&amp;$C119&amp;"'!$I$23:$I$200")=$D$5)*(INDIRECT("'"&amp;$C119&amp;"'!$H$23:$H$200")=$E$5)*(INDIRECT("'"&amp;$C119&amp;"'!$O$23:$O$200")&lt;=-2.25)*((INDIRECT("'"&amp;$C119&amp;"'!$J$23:$J$200")-INDIRECT("'"&amp;$C119&amp;"'!$K$23:$K$200"))=2),1,0)))</f>
        <v>0</v>
      </c>
      <c r="H119" s="406" t="str">
        <f t="shared" ref="H119:H124" ca="1" si="104">IF(G119="","",IF(G119=0,"-",G119/$K119))</f>
        <v>-</v>
      </c>
      <c r="I119" s="408">
        <f t="array" aca="1" ref="I119" ca="1">IF($C119="N","",SUM(IF((INDIRECT("'"&amp;$C119&amp;"'!$I$23:$I$200")=$D$5)*(INDIRECT("'"&amp;$C119&amp;"'!$H$23:$H$200")=$E$5)*(INDIRECT("'"&amp;$C119&amp;"'!$O$23:$O$200")&lt;=-2.25)*((INDIRECT("'"&amp;$C119&amp;"'!$K$23:$K$200")-INDIRECT("'"&amp;$C119&amp;"'!$J$23:$J$200"))&gt;-2),1,0)))</f>
        <v>0</v>
      </c>
      <c r="J119" s="406" t="str">
        <f t="shared" ref="J119:J124" ca="1" si="105">IF(I119="","",IF(I119=0,"-",I119/$K119))</f>
        <v>-</v>
      </c>
      <c r="K119" s="602">
        <f ca="1">IF($C119="N","",E119+G119+I119)</f>
        <v>0</v>
      </c>
      <c r="L119" s="599">
        <f t="array" aca="1" ref="L119" ca="1">IF($C119="N","",SUM(IF((INDIRECT("'"&amp;$C119&amp;"'!$I$23:$I$200")=$D$5)*(INDIRECT("'"&amp;$C119&amp;"'!$H$23:$H$200")=$L$5)*(INDIRECT("'"&amp;$C119&amp;"'!$O$23:$O$200")&lt;=-2.25)*((INDIRECT("'"&amp;$C119&amp;"'!$J$23:$J$200")-INDIRECT("'"&amp;$C119&amp;"'!$K$23:$K$200"))&gt;2),1,0)))</f>
        <v>0</v>
      </c>
      <c r="M119" s="406" t="str">
        <f t="shared" ref="M119:M124" ca="1" si="106">IF(L119="","",IF(L119=0,"-",L119/$R119))</f>
        <v>-</v>
      </c>
      <c r="N119" s="408">
        <f t="array" aca="1" ref="N119" ca="1">IF($C119="N","",SUM(IF((INDIRECT("'"&amp;$C119&amp;"'!$I$23:$I$200")=$D$5)*(INDIRECT("'"&amp;$C119&amp;"'!$H$23:$H$200")=$L$5)*(INDIRECT("'"&amp;$C119&amp;"'!$O$23:$O$200")&lt;=-2.25)*((INDIRECT("'"&amp;$C119&amp;"'!$J$23:$J$200")-INDIRECT("'"&amp;$C119&amp;"'!$K$23:$K$200"))=2),1,0)))</f>
        <v>0</v>
      </c>
      <c r="O119" s="406" t="str">
        <f t="shared" ref="O119:O124" ca="1" si="107">IF(N119="","",IF(N119=0,"-",N119/$R119))</f>
        <v>-</v>
      </c>
      <c r="P119" s="408">
        <f t="array" aca="1" ref="P119" ca="1">IF($C119="N","",SUM(IF((INDIRECT("'"&amp;$C119&amp;"'!$I$23:$I$200")=$D$5)*(INDIRECT("'"&amp;$C119&amp;"'!$H$23:$H$200")=$L$5)*(INDIRECT("'"&amp;$C119&amp;"'!$O$23:$O$200")&lt;=-2.25)*((INDIRECT("'"&amp;$C119&amp;"'!$K$23:$K$200")-INDIRECT("'"&amp;$C119&amp;"'!$J$23:$J$200"))&gt;-2),1,0)))</f>
        <v>0</v>
      </c>
      <c r="Q119" s="406" t="str">
        <f t="shared" ref="Q119:Q124" ca="1" si="108">IF(P119="","",IF(P119=0,"-",P119/$R119))</f>
        <v>-</v>
      </c>
      <c r="R119" s="602">
        <f ca="1">IF($C119="N","",L119+N119+P119)</f>
        <v>0</v>
      </c>
      <c r="S119" s="599">
        <f ca="1">IF($C119="N","",L119+E119)</f>
        <v>0</v>
      </c>
      <c r="T119" s="406" t="str">
        <f t="shared" ref="T119:T124" ca="1" si="109">IF(S119="","",IF(S119=0,"-",S119/$Y119))</f>
        <v>-</v>
      </c>
      <c r="U119" s="408">
        <f ca="1">IF($C119="N","",N119+G119)</f>
        <v>0</v>
      </c>
      <c r="V119" s="406" t="str">
        <f t="shared" ref="V119:V124" ca="1" si="110">IF(U119="","",IF(U119=0,"-",U119/$Y119))</f>
        <v>-</v>
      </c>
      <c r="W119" s="408">
        <f ca="1">IF($C119="N","",P119+I119)</f>
        <v>0</v>
      </c>
      <c r="X119" s="406" t="str">
        <f t="shared" ref="X119:X124" ca="1" si="111">IF(W119="","",IF(W119=0,"-",W119/$Y119))</f>
        <v>-</v>
      </c>
      <c r="Y119" s="602">
        <f ca="1">IF($C119="N","",R119+K119)</f>
        <v>0</v>
      </c>
      <c r="Z119" s="355"/>
    </row>
    <row r="120" spans="2:26">
      <c r="B120" s="568"/>
      <c r="C120" s="357" t="str">
        <f>C119</f>
        <v>Kyoto Sanga</v>
      </c>
      <c r="D120" s="654">
        <v>-1</v>
      </c>
      <c r="E120" s="655">
        <f t="array" aca="1" ref="E120" ca="1">IF($C120="N","",SUM(IF((INDIRECT("'"&amp;$C119&amp;"'!$I$23:$I$200")=$D$5)*(INDIRECT("'"&amp;$C119&amp;"'!$H$23:$H$200")=$E$5)*(INDIRECT("'"&amp;$C119&amp;"'!$O$23:$O$200")&lt;=-0.5)*(INDIRECT("'"&amp;$C119&amp;"'!$O$23:$O$200")&gt;=-2)*((INDIRECT("'"&amp;$C119&amp;"'!$J$23:$J$200")-INDIRECT("'"&amp;$C119&amp;"'!$K$23:$K$200"))&gt;1),1,0)))</f>
        <v>0</v>
      </c>
      <c r="F120" s="601" t="str">
        <f t="shared" ca="1" si="103"/>
        <v>-</v>
      </c>
      <c r="G120" s="418">
        <f t="array" aca="1" ref="G120" ca="1">IF($C120="N","",SUM(IF((INDIRECT("'"&amp;$C119&amp;"'!$I$23:$I$200")=$D$5)*(INDIRECT("'"&amp;$C119&amp;"'!$H$23:$H$200")=$E$5)*(INDIRECT("'"&amp;$C119&amp;"'!$O$23:$O$200")&lt;=-0.5)*(INDIRECT("'"&amp;$C119&amp;"'!$O$23:$O$200")&gt;=-2)*((INDIRECT("'"&amp;$C119&amp;"'!$J$23:$J$200")-INDIRECT("'"&amp;$C119&amp;"'!$K$23:$K$200"))=1),1,0)))</f>
        <v>3</v>
      </c>
      <c r="H120" s="601">
        <f t="shared" ca="1" si="104"/>
        <v>0.6</v>
      </c>
      <c r="I120" s="418">
        <f t="array" aca="1" ref="I120" ca="1">IF($C120="N","",SUM(IF((INDIRECT("'"&amp;$C119&amp;"'!$I$23:$I$200")=$D$5)*(INDIRECT("'"&amp;$C119&amp;"'!$H$23:$H$200")=$E$5)*(INDIRECT("'"&amp;$C119&amp;"'!$O$23:$O$200")&lt;=-0.5)*(INDIRECT("'"&amp;$C119&amp;"'!$O$23:$O$200")&gt;=-2)*((INDIRECT("'"&amp;$C119&amp;"'!$K$23:$K$200")-INDIRECT("'"&amp;$C119&amp;"'!$J$23:$J$200"))&gt;-1),1,0)))</f>
        <v>2</v>
      </c>
      <c r="J120" s="601">
        <f t="shared" ca="1" si="105"/>
        <v>0.4</v>
      </c>
      <c r="K120" s="522">
        <f ca="1">IF($C120="N","",E120+G120+I120)</f>
        <v>5</v>
      </c>
      <c r="L120" s="655">
        <f t="array" aca="1" ref="L120" ca="1">IF($C120="N","",SUM(IF((INDIRECT("'"&amp;$C119&amp;"'!$I$23:$I$200")=$D$5)*(INDIRECT("'"&amp;$C119&amp;"'!$H$23:$H$200")=$L$5)*(INDIRECT("'"&amp;$C119&amp;"'!$O$23:$O$200")&lt;=-0.5)*(INDIRECT("'"&amp;$C119&amp;"'!$O$23:$O$200")&gt;=-2)*((INDIRECT("'"&amp;$C119&amp;"'!$J$23:$J$200")-INDIRECT("'"&amp;$C119&amp;"'!$K$23:$K$200"))&gt;1),1,0)))</f>
        <v>0</v>
      </c>
      <c r="M120" s="601" t="str">
        <f t="shared" ca="1" si="106"/>
        <v>-</v>
      </c>
      <c r="N120" s="418">
        <f t="array" aca="1" ref="N120" ca="1">IF($C120="N","",SUM(IF((INDIRECT("'"&amp;$C119&amp;"'!$I$23:$I$200")=$D$5)*(INDIRECT("'"&amp;$C119&amp;"'!$H$23:$H$200")=$L$5)*(INDIRECT("'"&amp;$C119&amp;"'!$O$23:$O$200")&lt;=-0.5)*(INDIRECT("'"&amp;$C119&amp;"'!$O$23:$O$200")&gt;=-2)*((INDIRECT("'"&amp;$C119&amp;"'!$J$23:$J$200")-INDIRECT("'"&amp;$C119&amp;"'!$K$23:$K$200"))=1),1,0)))</f>
        <v>0</v>
      </c>
      <c r="O120" s="601" t="str">
        <f t="shared" ca="1" si="107"/>
        <v>-</v>
      </c>
      <c r="P120" s="418">
        <f t="array" aca="1" ref="P120" ca="1">IF($C120="N","",SUM(IF((INDIRECT("'"&amp;$C119&amp;"'!$I$23:$I$200")=$D$5)*(INDIRECT("'"&amp;$C119&amp;"'!$H$23:$H$200")=$L$5)*(INDIRECT("'"&amp;$C119&amp;"'!$O$23:$O$200")&lt;=-0.5)*(INDIRECT("'"&amp;$C119&amp;"'!$O$23:$O$200")&gt;=-2)*((INDIRECT("'"&amp;$C119&amp;"'!$K$23:$K$200")-INDIRECT("'"&amp;$C119&amp;"'!$J$23:$J$200"))&gt;-1),1,0)))</f>
        <v>1</v>
      </c>
      <c r="Q120" s="601">
        <f t="shared" ca="1" si="108"/>
        <v>1</v>
      </c>
      <c r="R120" s="522">
        <f ca="1">IF($C120="N","",L120+N120+P120)</f>
        <v>1</v>
      </c>
      <c r="S120" s="655">
        <f ca="1">IF($C120="N","",L120+E120)</f>
        <v>0</v>
      </c>
      <c r="T120" s="601" t="str">
        <f t="shared" ca="1" si="109"/>
        <v>-</v>
      </c>
      <c r="U120" s="418">
        <f ca="1">IF($C120="N","",N120+G120)</f>
        <v>3</v>
      </c>
      <c r="V120" s="601">
        <f t="shared" ca="1" si="110"/>
        <v>0.5</v>
      </c>
      <c r="W120" s="418">
        <f ca="1">IF($C120="N","",P120+I120)</f>
        <v>3</v>
      </c>
      <c r="X120" s="601">
        <f t="shared" ca="1" si="111"/>
        <v>0.5</v>
      </c>
      <c r="Y120" s="602">
        <f ca="1">IF($C120="N","",R120+K120)</f>
        <v>6</v>
      </c>
      <c r="Z120" s="355"/>
    </row>
    <row r="121" spans="2:26">
      <c r="B121" s="568"/>
      <c r="C121" s="357" t="str">
        <f>C120</f>
        <v>Kyoto Sanga</v>
      </c>
      <c r="D121" s="654">
        <v>0</v>
      </c>
      <c r="E121" s="655">
        <f t="array" aca="1" ref="E121" ca="1">IF($C121="N","",SUM(IF((INDIRECT("'"&amp;$C119&amp;"'!$I$23:$I$200")=$D$5)*(INDIRECT("'"&amp;$C119&amp;"'!$H$23:$H$200")=$E$5)*(INDIRECT("'"&amp;$C119&amp;"'!$O$23:$O$200")&gt;=-0.25)*(INDIRECT("'"&amp;$C119&amp;"'!$O$23:$O$200")&lt;=0.25)*(INDIRECT("'"&amp;$C119&amp;"'!$O$23:$O$200")&lt;&gt;"")*((INDIRECT("'"&amp;$C119&amp;"'!$J$23:$J$200")-INDIRECT("'"&amp;$C119&amp;"'!$K$23:$K$200"))&gt;0),1,0)))</f>
        <v>4</v>
      </c>
      <c r="F121" s="601">
        <f t="shared" ca="1" si="103"/>
        <v>0.2857142857142857</v>
      </c>
      <c r="G121" s="418">
        <f t="array" aca="1" ref="G121" ca="1">IF($C121="N","",SUM(IF((INDIRECT("'"&amp;$C119&amp;"'!$I$23:$I$200")=$D$5)*(INDIRECT("'"&amp;$C119&amp;"'!$H$23:$H$200")=$E$5)*(INDIRECT("'"&amp;$C119&amp;"'!$O$23:$O$200")&gt;=-0.25)*(INDIRECT("'"&amp;$C119&amp;"'!$O$23:$O$200")&lt;=0.25)*(INDIRECT("'"&amp;$C119&amp;"'!$O$23:$O$200")&lt;&gt;"")*((INDIRECT("'"&amp;$C119&amp;"'!$J$23:$J$200")-INDIRECT("'"&amp;$C119&amp;"'!$K$23:$K$200"))=0),1,0)))</f>
        <v>8</v>
      </c>
      <c r="H121" s="601">
        <f t="shared" ca="1" si="104"/>
        <v>0.5714285714285714</v>
      </c>
      <c r="I121" s="418">
        <f t="array" aca="1" ref="I121" ca="1">IF($C121="N","",SUM(IF((INDIRECT("'"&amp;$C119&amp;"'!$I$23:$I$200")=$D$5)*(INDIRECT("'"&amp;$C119&amp;"'!$H$23:$H$200")=$E$5)*(INDIRECT("'"&amp;$C119&amp;"'!$O$23:$O$200")&gt;=-0.25)*(INDIRECT("'"&amp;$C119&amp;"'!$O$23:$O$200")&lt;=0.25)*(INDIRECT("'"&amp;$C119&amp;"'!$O$23:$O$200")&lt;&gt;"")*((INDIRECT("'"&amp;$C119&amp;"'!$J$23:$J$200")-INDIRECT("'"&amp;$C119&amp;"'!$K$23:$K$200"))&lt;0),1,0)))</f>
        <v>2</v>
      </c>
      <c r="J121" s="601">
        <f t="shared" ca="1" si="105"/>
        <v>0.14285714285714285</v>
      </c>
      <c r="K121" s="522">
        <f ca="1">IF($C121="N","",E121+G121+I121)</f>
        <v>14</v>
      </c>
      <c r="L121" s="655">
        <f t="array" aca="1" ref="L121" ca="1">IF($C121="N","",SUM(IF((INDIRECT("'"&amp;$C119&amp;"'!$I$23:$I$200")=$D$5)*(INDIRECT("'"&amp;$C119&amp;"'!$H$23:$H$200")=$L$5)*(INDIRECT("'"&amp;$C119&amp;"'!$O$23:$O$200")&gt;=-0.25)*(INDIRECT("'"&amp;$C119&amp;"'!$O$23:$O$200")&lt;=0.25)*(INDIRECT("'"&amp;$C119&amp;"'!$O$23:$O$200")&lt;&gt;"")*((INDIRECT("'"&amp;$C119&amp;"'!$J$23:$J$200")-INDIRECT("'"&amp;$C119&amp;"'!$K$23:$K$200"))&gt;0),1,0)))</f>
        <v>6</v>
      </c>
      <c r="M121" s="601">
        <f t="shared" ca="1" si="106"/>
        <v>0.35294117647058826</v>
      </c>
      <c r="N121" s="418">
        <f t="array" aca="1" ref="N121" ca="1">IF($C121="N","",SUM(IF((INDIRECT("'"&amp;$C119&amp;"'!$I$23:$I$200")=$D$5)*(INDIRECT("'"&amp;$C119&amp;"'!$H$23:$H$200")=$L$5)*(INDIRECT("'"&amp;$C119&amp;"'!$O$23:$O$200")&gt;=-0.25)*(INDIRECT("'"&amp;$C119&amp;"'!$O$23:$O$200")&lt;=0.25)*(INDIRECT("'"&amp;$C119&amp;"'!$O$23:$O$200")&lt;&gt;"")*((INDIRECT("'"&amp;$C119&amp;"'!$J$23:$J$200")-INDIRECT("'"&amp;$C119&amp;"'!$K$23:$K$200"))=0),1,0)))</f>
        <v>4</v>
      </c>
      <c r="O121" s="601">
        <f t="shared" ca="1" si="107"/>
        <v>0.23529411764705882</v>
      </c>
      <c r="P121" s="418">
        <f t="array" aca="1" ref="P121" ca="1">IF($C121="N","",SUM(IF((INDIRECT("'"&amp;$C119&amp;"'!$I$23:$I$200")=$D$5)*(INDIRECT("'"&amp;$C119&amp;"'!$H$23:$H$200")=$L$5)*(INDIRECT("'"&amp;$C119&amp;"'!$O$23:$O$200")&gt;=-0.25)*(INDIRECT("'"&amp;$C119&amp;"'!$O$23:$O$200")&lt;=0.25)*(INDIRECT("'"&amp;$C119&amp;"'!$O$23:$O$200")&lt;&gt;"")*((INDIRECT("'"&amp;$C119&amp;"'!$J$23:$J$200")-INDIRECT("'"&amp;$C119&amp;"'!$K$23:$K$200"))&lt;0),1,0)))</f>
        <v>7</v>
      </c>
      <c r="Q121" s="601">
        <f t="shared" ca="1" si="108"/>
        <v>0.41176470588235292</v>
      </c>
      <c r="R121" s="522">
        <f ca="1">IF($C121="N","",L121+N121+P121)</f>
        <v>17</v>
      </c>
      <c r="S121" s="655">
        <f ca="1">IF($C121="N","",L121+E121)</f>
        <v>10</v>
      </c>
      <c r="T121" s="601">
        <f t="shared" ca="1" si="109"/>
        <v>0.32258064516129031</v>
      </c>
      <c r="U121" s="418">
        <f ca="1">IF($C121="N","",N121+G121)</f>
        <v>12</v>
      </c>
      <c r="V121" s="601">
        <f t="shared" ca="1" si="110"/>
        <v>0.38709677419354838</v>
      </c>
      <c r="W121" s="418">
        <f ca="1">IF($C121="N","",P121+I121)</f>
        <v>9</v>
      </c>
      <c r="X121" s="601">
        <f t="shared" ca="1" si="111"/>
        <v>0.29032258064516131</v>
      </c>
      <c r="Y121" s="602">
        <f ca="1">IF($C121="N","",R121+K121)</f>
        <v>31</v>
      </c>
      <c r="Z121" s="355"/>
    </row>
    <row r="122" spans="2:26">
      <c r="B122" s="568"/>
      <c r="C122" s="357" t="str">
        <f>C121</f>
        <v>Kyoto Sanga</v>
      </c>
      <c r="D122" s="654">
        <v>1</v>
      </c>
      <c r="E122" s="655">
        <f t="array" aca="1" ref="E122" ca="1">IF($C122="N","",SUM(IF((INDIRECT("'"&amp;$C119&amp;"'!$I$23:$I$200")=$D$5)*(INDIRECT("'"&amp;$C119&amp;"'!$H$23:$H$200")=$E$5)*(INDIRECT("'"&amp;$C119&amp;"'!$O$23:$O$200")&gt;=0.5)*(INDIRECT("'"&amp;$C119&amp;"'!$O$23:$O$200")&lt;=2)*((INDIRECT("'"&amp;$C119&amp;"'!$J$23:$J$200")-INDIRECT("'"&amp;$C119&amp;"'!$K$23:$K$200"))&gt;-1),1,0)))</f>
        <v>0</v>
      </c>
      <c r="F122" s="601" t="str">
        <f t="shared" ca="1" si="103"/>
        <v>-</v>
      </c>
      <c r="G122" s="418">
        <f t="array" aca="1" ref="G122" ca="1">IF($C122="N","",SUM(IF((INDIRECT("'"&amp;$C119&amp;"'!$I$23:$I$200")=$D$5)*(INDIRECT("'"&amp;$C119&amp;"'!$H$23:$H$200")=$E$5)*(INDIRECT("'"&amp;$C119&amp;"'!$O$23:$O$200")&gt;=0.5)*(INDIRECT("'"&amp;$C119&amp;"'!$O$23:$O$200")&lt;=2)*((INDIRECT("'"&amp;$C119&amp;"'!$J$23:$J$200")-INDIRECT("'"&amp;$C119&amp;"'!$K$23:$K$200"))=-1),1,0)))</f>
        <v>2</v>
      </c>
      <c r="H122" s="601">
        <f t="shared" ca="1" si="104"/>
        <v>1</v>
      </c>
      <c r="I122" s="418">
        <f t="array" aca="1" ref="I122" ca="1">IF($C122="N","",SUM(IF((INDIRECT("'"&amp;$C119&amp;"'!$I$23:$I$200")=$D$5)*(INDIRECT("'"&amp;$C119&amp;"'!$H$23:$H$200")=$E$5)*(INDIRECT("'"&amp;$C119&amp;"'!$O$23:$O$200")&gt;=0.5)*(INDIRECT("'"&amp;$C119&amp;"'!$O$23:$O$200")&lt;=2)*((INDIRECT("'"&amp;$C119&amp;"'!$J$23:$J$200")-INDIRECT("'"&amp;$C119&amp;"'!$K$23:$K$200"))&lt;-1),1,0)))</f>
        <v>0</v>
      </c>
      <c r="J122" s="601" t="str">
        <f t="shared" ca="1" si="105"/>
        <v>-</v>
      </c>
      <c r="K122" s="522">
        <f ca="1">IF($C122="N","",E122+G122+I122)</f>
        <v>2</v>
      </c>
      <c r="L122" s="655">
        <f t="array" aca="1" ref="L122" ca="1">IF($C122="N","",SUM(IF((INDIRECT("'"&amp;$C119&amp;"'!$I$23:$I$200")=$D$5)*(INDIRECT("'"&amp;$C119&amp;"'!$H$23:$H$200")=$L$5)*(INDIRECT("'"&amp;$C119&amp;"'!$O$23:$O$200")&gt;=0.5)*(INDIRECT("'"&amp;$C119&amp;"'!$O$23:$O$200")&lt;=2)*((INDIRECT("'"&amp;$C119&amp;"'!$J$23:$J$200")-INDIRECT("'"&amp;$C119&amp;"'!$K$23:$K$200"))&gt;-1),1,0)))</f>
        <v>3</v>
      </c>
      <c r="M122" s="601">
        <f t="shared" ca="1" si="106"/>
        <v>1</v>
      </c>
      <c r="N122" s="418">
        <f t="array" aca="1" ref="N122" ca="1">IF($C122="N","",SUM(IF((INDIRECT("'"&amp;$C119&amp;"'!$I$23:$I$200")=$D$5)*(INDIRECT("'"&amp;$C119&amp;"'!$H$23:$H$200")=$L$5)*(INDIRECT("'"&amp;$C119&amp;"'!$O$23:$O$200")&gt;=0.5)*(INDIRECT("'"&amp;$C119&amp;"'!$O$23:$O$200")&lt;=2)*((INDIRECT("'"&amp;$C119&amp;"'!$J$23:$J$200")-INDIRECT("'"&amp;$C119&amp;"'!$K$23:$K$200"))=-1),1,0)))</f>
        <v>0</v>
      </c>
      <c r="O122" s="601" t="str">
        <f t="shared" ca="1" si="107"/>
        <v>-</v>
      </c>
      <c r="P122" s="418">
        <f t="array" aca="1" ref="P122" ca="1">IF($C122="N","",SUM(IF((INDIRECT("'"&amp;$C119&amp;"'!$I$23:$I$200")=$D$5)*(INDIRECT("'"&amp;$C119&amp;"'!$H$23:$H$200")=$L$5)*(INDIRECT("'"&amp;$C119&amp;"'!$O$23:$O$200")&gt;=0.5)*(INDIRECT("'"&amp;$C119&amp;"'!$O$23:$O$200")&lt;=2)*((INDIRECT("'"&amp;$C119&amp;"'!$J$23:$J$200")-INDIRECT("'"&amp;$C119&amp;"'!$K$23:$K$200"))&lt;-1),1,0)))</f>
        <v>0</v>
      </c>
      <c r="Q122" s="601" t="str">
        <f t="shared" ca="1" si="108"/>
        <v>-</v>
      </c>
      <c r="R122" s="522">
        <f ca="1">IF($C122="N","",L122+N122+P122)</f>
        <v>3</v>
      </c>
      <c r="S122" s="655">
        <f ca="1">IF($C122="N","",L122+E122)</f>
        <v>3</v>
      </c>
      <c r="T122" s="601">
        <f t="shared" ca="1" si="109"/>
        <v>0.6</v>
      </c>
      <c r="U122" s="418">
        <f ca="1">IF($C122="N","",N122+G122)</f>
        <v>2</v>
      </c>
      <c r="V122" s="601">
        <f t="shared" ca="1" si="110"/>
        <v>0.4</v>
      </c>
      <c r="W122" s="418">
        <f ca="1">IF($C122="N","",P122+I122)</f>
        <v>0</v>
      </c>
      <c r="X122" s="601" t="str">
        <f t="shared" ca="1" si="111"/>
        <v>-</v>
      </c>
      <c r="Y122" s="602">
        <f ca="1">IF($C122="N","",R122+K122)</f>
        <v>5</v>
      </c>
      <c r="Z122" s="355"/>
    </row>
    <row r="123" spans="2:26" ht="13.5" thickBot="1">
      <c r="B123" s="568"/>
      <c r="C123" s="357" t="str">
        <f>C122</f>
        <v>Kyoto Sanga</v>
      </c>
      <c r="D123" s="654">
        <v>2</v>
      </c>
      <c r="E123" s="657">
        <f t="array" aca="1" ref="E123" ca="1">IF($C123="N","",SUM(IF((INDIRECT("'"&amp;$C119&amp;"'!$I$23:$I$200")=$D$5)*(INDIRECT("'"&amp;$C119&amp;"'!$H$23:$H$200")=$E$5)*(INDIRECT("'"&amp;$C119&amp;"'!$O$23:$O$200")&gt;=2.25)*((INDIRECT("'"&amp;$C119&amp;"'!$J$23:$J$200")-INDIRECT("'"&amp;$C119&amp;"'!$K$23:$K$200"))&gt;-2),1,0)))</f>
        <v>0</v>
      </c>
      <c r="F123" s="605" t="str">
        <f t="shared" ca="1" si="103"/>
        <v>-</v>
      </c>
      <c r="G123" s="658">
        <f t="array" aca="1" ref="G123" ca="1">IF($C123="N","",SUM(IF((INDIRECT("'"&amp;$C119&amp;"'!$I$23:$I$200")=$D$5)*(INDIRECT("'"&amp;$C119&amp;"'!$H$23:$H$200")=$E$5)*(INDIRECT("'"&amp;$C119&amp;"'!$O$23:$O$200")&gt;=2.25)*((INDIRECT("'"&amp;$C119&amp;"'!$J$23:$J$200")-INDIRECT("'"&amp;$C119&amp;"'!$K$23:$K$200"))=-2),1,0)))</f>
        <v>0</v>
      </c>
      <c r="H123" s="605" t="str">
        <f t="shared" ca="1" si="104"/>
        <v>-</v>
      </c>
      <c r="I123" s="658">
        <f t="array" aca="1" ref="I123" ca="1">IF($C123="N","",SUM(IF((INDIRECT("'"&amp;$C119&amp;"'!$I$23:$I$200")=$D$5)*(INDIRECT("'"&amp;$C119&amp;"'!$H$23:$H$200")=$E$5)*(INDIRECT("'"&amp;$C119&amp;"'!$O$23:$O$200")&gt;=2.25)*((INDIRECT("'"&amp;$C119&amp;"'!$J$23:$J$200")-INDIRECT("'"&amp;$C119&amp;"'!$K$23:$K$200"))&lt;-2),1,0)))</f>
        <v>0</v>
      </c>
      <c r="J123" s="605" t="str">
        <f t="shared" ca="1" si="105"/>
        <v>-</v>
      </c>
      <c r="K123" s="659">
        <f ca="1">IF($C123="N","",E123+G123+I123)</f>
        <v>0</v>
      </c>
      <c r="L123" s="657">
        <f t="array" aca="1" ref="L123" ca="1">IF($C123="N","",SUM(IF((INDIRECT("'"&amp;$C119&amp;"'!$I$23:$I$200")=$D$5)*(INDIRECT("'"&amp;$C119&amp;"'!$H$23:$H$200")=$L$5)*(INDIRECT("'"&amp;$C119&amp;"'!$O$23:$O$200")&gt;=2.25)*((INDIRECT("'"&amp;$C119&amp;"'!$J$23:$J$200")-INDIRECT("'"&amp;$C119&amp;"'!$K$23:$K$200"))&gt;-2),1,0)))</f>
        <v>0</v>
      </c>
      <c r="M123" s="605" t="str">
        <f t="shared" ca="1" si="106"/>
        <v>-</v>
      </c>
      <c r="N123" s="658">
        <f t="array" aca="1" ref="N123" ca="1">IF($C123="N","",SUM(IF((INDIRECT("'"&amp;$C119&amp;"'!$I$23:$I$200")=$D$5)*(INDIRECT("'"&amp;$C119&amp;"'!$H$23:$H$200")=$L$5)*(INDIRECT("'"&amp;$C119&amp;"'!$O$23:$O$200")&gt;=2.25)*((INDIRECT("'"&amp;$C119&amp;"'!$J$23:$J$200")-INDIRECT("'"&amp;$C119&amp;"'!$K$23:$K$200"))=-2),1,0)))</f>
        <v>0</v>
      </c>
      <c r="O123" s="605" t="str">
        <f t="shared" ca="1" si="107"/>
        <v>-</v>
      </c>
      <c r="P123" s="658">
        <f t="array" aca="1" ref="P123" ca="1">IF($C123="N","",SUM(IF((INDIRECT("'"&amp;$C119&amp;"'!$I$23:$I$200")=$D$5)*(INDIRECT("'"&amp;$C119&amp;"'!$H$23:$H$200")=$L$5)*(INDIRECT("'"&amp;$C119&amp;"'!$O$23:$O$200")&gt;=2.25)*((INDIRECT("'"&amp;$C119&amp;"'!$J$23:$J$200")-INDIRECT("'"&amp;$C119&amp;"'!$K$23:$K$200"))&lt;-2),1,0)))</f>
        <v>0</v>
      </c>
      <c r="Q123" s="605" t="str">
        <f t="shared" ca="1" si="108"/>
        <v>-</v>
      </c>
      <c r="R123" s="659">
        <f ca="1">IF($C123="N","",L123+N123+P123)</f>
        <v>0</v>
      </c>
      <c r="S123" s="657">
        <f ca="1">IF($C123="N","",L123+E123)</f>
        <v>0</v>
      </c>
      <c r="T123" s="605" t="str">
        <f t="shared" ca="1" si="109"/>
        <v>-</v>
      </c>
      <c r="U123" s="658">
        <f ca="1">IF($C123="N","",N123+G123)</f>
        <v>0</v>
      </c>
      <c r="V123" s="605" t="str">
        <f t="shared" ca="1" si="110"/>
        <v>-</v>
      </c>
      <c r="W123" s="658">
        <f ca="1">IF($C123="N","",P123+I123)</f>
        <v>0</v>
      </c>
      <c r="X123" s="605" t="str">
        <f t="shared" ca="1" si="111"/>
        <v>-</v>
      </c>
      <c r="Y123" s="608">
        <f ca="1">IF($C123="N","",R123+K123)</f>
        <v>0</v>
      </c>
      <c r="Z123" s="355"/>
    </row>
    <row r="124" spans="2:26" ht="13.5" thickBot="1">
      <c r="B124" s="568" t="str">
        <f>D117</f>
        <v>Kyoto Sanga</v>
      </c>
      <c r="D124" s="661" t="s">
        <v>115</v>
      </c>
      <c r="E124" s="481">
        <f ca="1">SUM(E119:E123)</f>
        <v>4</v>
      </c>
      <c r="F124" s="435">
        <f t="shared" ca="1" si="103"/>
        <v>0.19047619047619047</v>
      </c>
      <c r="G124" s="438">
        <f ca="1">SUM(G119:G123)</f>
        <v>13</v>
      </c>
      <c r="H124" s="435">
        <f t="shared" ca="1" si="104"/>
        <v>0.61904761904761907</v>
      </c>
      <c r="I124" s="438">
        <f ca="1">SUM(I119:I123)</f>
        <v>4</v>
      </c>
      <c r="J124" s="435">
        <f t="shared" ca="1" si="105"/>
        <v>0.19047619047619047</v>
      </c>
      <c r="K124" s="479">
        <f ca="1">SUM(K119:K123)</f>
        <v>21</v>
      </c>
      <c r="L124" s="662">
        <f ca="1">SUM(L119:L123)</f>
        <v>9</v>
      </c>
      <c r="M124" s="435">
        <f t="shared" ca="1" si="106"/>
        <v>0.42857142857142855</v>
      </c>
      <c r="N124" s="438">
        <f ca="1">SUM(N119:N123)</f>
        <v>4</v>
      </c>
      <c r="O124" s="435">
        <f t="shared" ca="1" si="107"/>
        <v>0.19047619047619047</v>
      </c>
      <c r="P124" s="438">
        <f ca="1">SUM(P119:P123)</f>
        <v>8</v>
      </c>
      <c r="Q124" s="435">
        <f t="shared" ca="1" si="108"/>
        <v>0.38095238095238093</v>
      </c>
      <c r="R124" s="480">
        <f ca="1">SUM(R119:R123)</f>
        <v>21</v>
      </c>
      <c r="S124" s="481">
        <f ca="1">SUM(S119:S123)</f>
        <v>13</v>
      </c>
      <c r="T124" s="435">
        <f t="shared" ca="1" si="109"/>
        <v>0.30952380952380953</v>
      </c>
      <c r="U124" s="438">
        <f ca="1">SUM(U119:U123)</f>
        <v>17</v>
      </c>
      <c r="V124" s="435">
        <f t="shared" ca="1" si="110"/>
        <v>0.40476190476190477</v>
      </c>
      <c r="W124" s="438">
        <f ca="1">SUM(W119:W123)</f>
        <v>12</v>
      </c>
      <c r="X124" s="435">
        <f t="shared" ca="1" si="111"/>
        <v>0.2857142857142857</v>
      </c>
      <c r="Y124" s="479">
        <f ca="1">SUM(Y119:Y123)</f>
        <v>42</v>
      </c>
    </row>
    <row r="125" spans="2:26" ht="13.5" thickBot="1">
      <c r="B125" s="568"/>
    </row>
    <row r="126" spans="2:26">
      <c r="D126" s="562" t="str">
        <f>M1</f>
        <v>Machida Zelvia</v>
      </c>
      <c r="E126" s="582" t="s">
        <v>162</v>
      </c>
      <c r="F126" s="583"/>
      <c r="G126" s="584"/>
      <c r="H126" s="583"/>
      <c r="I126" s="585"/>
      <c r="J126" s="584"/>
      <c r="K126" s="586"/>
      <c r="L126" s="641" t="s">
        <v>163</v>
      </c>
      <c r="M126" s="583"/>
      <c r="N126" s="584"/>
      <c r="O126" s="583"/>
      <c r="P126" s="585"/>
      <c r="Q126" s="583"/>
      <c r="R126" s="584"/>
      <c r="S126" s="582" t="s">
        <v>164</v>
      </c>
      <c r="T126" s="583"/>
      <c r="U126" s="584"/>
      <c r="V126" s="583"/>
      <c r="W126" s="587"/>
      <c r="X126" s="588"/>
      <c r="Y126" s="589"/>
    </row>
    <row r="127" spans="2:26" ht="13.5" thickBot="1">
      <c r="D127" s="644" t="s">
        <v>165</v>
      </c>
      <c r="E127" s="590" t="s">
        <v>63</v>
      </c>
      <c r="F127" s="591"/>
      <c r="G127" s="645" t="s">
        <v>64</v>
      </c>
      <c r="H127" s="591"/>
      <c r="I127" s="645" t="s">
        <v>65</v>
      </c>
      <c r="J127" s="645"/>
      <c r="K127" s="646" t="s">
        <v>171</v>
      </c>
      <c r="L127" s="647" t="s">
        <v>63</v>
      </c>
      <c r="M127" s="591"/>
      <c r="N127" s="645" t="s">
        <v>64</v>
      </c>
      <c r="O127" s="591"/>
      <c r="P127" s="645" t="s">
        <v>65</v>
      </c>
      <c r="Q127" s="591"/>
      <c r="R127" s="646" t="s">
        <v>172</v>
      </c>
      <c r="S127" s="590" t="s">
        <v>63</v>
      </c>
      <c r="T127" s="591"/>
      <c r="U127" s="645" t="s">
        <v>64</v>
      </c>
      <c r="V127" s="648"/>
      <c r="W127" s="645" t="s">
        <v>65</v>
      </c>
      <c r="X127" s="591"/>
      <c r="Y127" s="646" t="s">
        <v>168</v>
      </c>
      <c r="Z127" s="355"/>
    </row>
    <row r="128" spans="2:26">
      <c r="B128" s="568"/>
      <c r="C128" s="357" t="str">
        <f>IF(D126=0,"N",D126)</f>
        <v>Machida Zelvia</v>
      </c>
      <c r="D128" s="651">
        <v>-2</v>
      </c>
      <c r="E128" s="599">
        <f t="array" aca="1" ref="E128" ca="1">IF($C128="N","",SUM(IF((INDIRECT("'"&amp;$C128&amp;"'!$I$23:$I$200")=$D$5)*(INDIRECT("'"&amp;$C128&amp;"'!$H$23:$H$200")=$E$5)*(INDIRECT("'"&amp;$C128&amp;"'!$O$23:$O$200")&lt;=-2.25)*((INDIRECT("'"&amp;$C128&amp;"'!$J$23:$J$200")-INDIRECT("'"&amp;$C128&amp;"'!$K$23:$K$200"))&gt;2),1,0)))</f>
        <v>0</v>
      </c>
      <c r="F128" s="406" t="str">
        <f t="shared" ref="F128:F133" ca="1" si="112">IF(E128="","",IF(E128=0,"-",E128/$K128))</f>
        <v>-</v>
      </c>
      <c r="G128" s="408">
        <f t="array" aca="1" ref="G128" ca="1">IF($C128="N","",SUM(IF((INDIRECT("'"&amp;$C128&amp;"'!$I$23:$I$200")=$D$5)*(INDIRECT("'"&amp;$C128&amp;"'!$H$23:$H$200")=$E$5)*(INDIRECT("'"&amp;$C128&amp;"'!$O$23:$O$200")&lt;=-2.25)*((INDIRECT("'"&amp;$C128&amp;"'!$J$23:$J$200")-INDIRECT("'"&amp;$C128&amp;"'!$K$23:$K$200"))=2),1,0)))</f>
        <v>0</v>
      </c>
      <c r="H128" s="406" t="str">
        <f t="shared" ref="H128:H133" ca="1" si="113">IF(G128="","",IF(G128=0,"-",G128/$K128))</f>
        <v>-</v>
      </c>
      <c r="I128" s="408">
        <f t="array" aca="1" ref="I128" ca="1">IF($C128="N","",SUM(IF((INDIRECT("'"&amp;$C128&amp;"'!$I$23:$I$200")=$D$5)*(INDIRECT("'"&amp;$C128&amp;"'!$H$23:$H$200")=$E$5)*(INDIRECT("'"&amp;$C128&amp;"'!$O$23:$O$200")&lt;=-2.25)*((INDIRECT("'"&amp;$C128&amp;"'!$K$23:$K$200")-INDIRECT("'"&amp;$C128&amp;"'!$J$23:$J$200"))&gt;-2),1,0)))</f>
        <v>0</v>
      </c>
      <c r="J128" s="406" t="str">
        <f t="shared" ref="J128:J133" ca="1" si="114">IF(I128="","",IF(I128=0,"-",I128/$K128))</f>
        <v>-</v>
      </c>
      <c r="K128" s="602">
        <f ca="1">IF($C128="N","",E128+G128+I128)</f>
        <v>0</v>
      </c>
      <c r="L128" s="599">
        <f t="array" aca="1" ref="L128" ca="1">IF($C128="N","",SUM(IF((INDIRECT("'"&amp;$C128&amp;"'!$I$23:$I$200")=$D$5)*(INDIRECT("'"&amp;$C128&amp;"'!$H$23:$H$200")=$L$5)*(INDIRECT("'"&amp;$C128&amp;"'!$O$23:$O$200")&lt;=-2.25)*((INDIRECT("'"&amp;$C128&amp;"'!$J$23:$J$200")-INDIRECT("'"&amp;$C128&amp;"'!$K$23:$K$200"))&gt;2),1,0)))</f>
        <v>0</v>
      </c>
      <c r="M128" s="406" t="str">
        <f t="shared" ref="M128:M133" ca="1" si="115">IF(L128="","",IF(L128=0,"-",L128/$R128))</f>
        <v>-</v>
      </c>
      <c r="N128" s="408">
        <f t="array" aca="1" ref="N128" ca="1">IF($C128="N","",SUM(IF((INDIRECT("'"&amp;$C128&amp;"'!$I$23:$I$200")=$D$5)*(INDIRECT("'"&amp;$C128&amp;"'!$H$23:$H$200")=$L$5)*(INDIRECT("'"&amp;$C128&amp;"'!$O$23:$O$200")&lt;=-2.25)*((INDIRECT("'"&amp;$C128&amp;"'!$J$23:$J$200")-INDIRECT("'"&amp;$C128&amp;"'!$K$23:$K$200"))=2),1,0)))</f>
        <v>0</v>
      </c>
      <c r="O128" s="406" t="str">
        <f t="shared" ref="O128:O133" ca="1" si="116">IF(N128="","",IF(N128=0,"-",N128/$R128))</f>
        <v>-</v>
      </c>
      <c r="P128" s="408">
        <f t="array" aca="1" ref="P128" ca="1">IF($C128="N","",SUM(IF((INDIRECT("'"&amp;$C128&amp;"'!$I$23:$I$200")=$D$5)*(INDIRECT("'"&amp;$C128&amp;"'!$H$23:$H$200")=$L$5)*(INDIRECT("'"&amp;$C128&amp;"'!$O$23:$O$200")&lt;=-2.25)*((INDIRECT("'"&amp;$C128&amp;"'!$K$23:$K$200")-INDIRECT("'"&amp;$C128&amp;"'!$J$23:$J$200"))&gt;-2),1,0)))</f>
        <v>0</v>
      </c>
      <c r="Q128" s="406" t="str">
        <f t="shared" ref="Q128:Q133" ca="1" si="117">IF(P128="","",IF(P128=0,"-",P128/$R128))</f>
        <v>-</v>
      </c>
      <c r="R128" s="602">
        <f ca="1">IF($C128="N","",L128+N128+P128)</f>
        <v>0</v>
      </c>
      <c r="S128" s="599">
        <f ca="1">IF($C128="N","",L128+E128)</f>
        <v>0</v>
      </c>
      <c r="T128" s="406" t="str">
        <f t="shared" ref="T128:T133" ca="1" si="118">IF(S128="","",IF(S128=0,"-",S128/$Y128))</f>
        <v>-</v>
      </c>
      <c r="U128" s="408">
        <f ca="1">IF($C128="N","",N128+G128)</f>
        <v>0</v>
      </c>
      <c r="V128" s="406" t="str">
        <f t="shared" ref="V128:V133" ca="1" si="119">IF(U128="","",IF(U128=0,"-",U128/$Y128))</f>
        <v>-</v>
      </c>
      <c r="W128" s="408">
        <f ca="1">IF($C128="N","",P128+I128)</f>
        <v>0</v>
      </c>
      <c r="X128" s="406" t="str">
        <f t="shared" ref="X128:X133" ca="1" si="120">IF(W128="","",IF(W128=0,"-",W128/$Y128))</f>
        <v>-</v>
      </c>
      <c r="Y128" s="602">
        <f ca="1">IF($C128="N","",R128+K128)</f>
        <v>0</v>
      </c>
      <c r="Z128" s="355"/>
    </row>
    <row r="129" spans="2:26">
      <c r="B129" s="568"/>
      <c r="C129" s="357" t="str">
        <f>C128</f>
        <v>Machida Zelvia</v>
      </c>
      <c r="D129" s="654">
        <v>-1</v>
      </c>
      <c r="E129" s="655">
        <f t="array" aca="1" ref="E129" ca="1">IF($C129="N","",SUM(IF((INDIRECT("'"&amp;$C128&amp;"'!$I$23:$I$200")=$D$5)*(INDIRECT("'"&amp;$C128&amp;"'!$H$23:$H$200")=$E$5)*(INDIRECT("'"&amp;$C128&amp;"'!$O$23:$O$200")&lt;=-0.5)*(INDIRECT("'"&amp;$C128&amp;"'!$O$23:$O$200")&gt;=-2)*((INDIRECT("'"&amp;$C128&amp;"'!$J$23:$J$200")-INDIRECT("'"&amp;$C128&amp;"'!$K$23:$K$200"))&gt;1),1,0)))</f>
        <v>1</v>
      </c>
      <c r="F129" s="601">
        <f t="shared" ca="1" si="112"/>
        <v>0.5</v>
      </c>
      <c r="G129" s="418">
        <f t="array" aca="1" ref="G129" ca="1">IF($C129="N","",SUM(IF((INDIRECT("'"&amp;$C128&amp;"'!$I$23:$I$200")=$D$5)*(INDIRECT("'"&amp;$C128&amp;"'!$H$23:$H$200")=$E$5)*(INDIRECT("'"&amp;$C128&amp;"'!$O$23:$O$200")&lt;=-0.5)*(INDIRECT("'"&amp;$C128&amp;"'!$O$23:$O$200")&gt;=-2)*((INDIRECT("'"&amp;$C128&amp;"'!$J$23:$J$200")-INDIRECT("'"&amp;$C128&amp;"'!$K$23:$K$200"))=1),1,0)))</f>
        <v>1</v>
      </c>
      <c r="H129" s="601">
        <f t="shared" ca="1" si="113"/>
        <v>0.5</v>
      </c>
      <c r="I129" s="418">
        <f t="array" aca="1" ref="I129" ca="1">IF($C129="N","",SUM(IF((INDIRECT("'"&amp;$C128&amp;"'!$I$23:$I$200")=$D$5)*(INDIRECT("'"&amp;$C128&amp;"'!$H$23:$H$200")=$E$5)*(INDIRECT("'"&amp;$C128&amp;"'!$O$23:$O$200")&lt;=-0.5)*(INDIRECT("'"&amp;$C128&amp;"'!$O$23:$O$200")&gt;=-2)*((INDIRECT("'"&amp;$C128&amp;"'!$K$23:$K$200")-INDIRECT("'"&amp;$C128&amp;"'!$J$23:$J$200"))&gt;-1),1,0)))</f>
        <v>0</v>
      </c>
      <c r="J129" s="601" t="str">
        <f t="shared" ca="1" si="114"/>
        <v>-</v>
      </c>
      <c r="K129" s="522">
        <f ca="1">IF($C129="N","",E129+G129+I129)</f>
        <v>2</v>
      </c>
      <c r="L129" s="655">
        <f t="array" aca="1" ref="L129" ca="1">IF($C129="N","",SUM(IF((INDIRECT("'"&amp;$C128&amp;"'!$I$23:$I$200")=$D$5)*(INDIRECT("'"&amp;$C128&amp;"'!$H$23:$H$200")=$L$5)*(INDIRECT("'"&amp;$C128&amp;"'!$O$23:$O$200")&lt;=-0.5)*(INDIRECT("'"&amp;$C128&amp;"'!$O$23:$O$200")&gt;=-2)*((INDIRECT("'"&amp;$C128&amp;"'!$J$23:$J$200")-INDIRECT("'"&amp;$C128&amp;"'!$K$23:$K$200"))&gt;1),1,0)))</f>
        <v>0</v>
      </c>
      <c r="M129" s="601" t="str">
        <f t="shared" ca="1" si="115"/>
        <v>-</v>
      </c>
      <c r="N129" s="418">
        <f t="array" aca="1" ref="N129" ca="1">IF($C129="N","",SUM(IF((INDIRECT("'"&amp;$C128&amp;"'!$I$23:$I$200")=$D$5)*(INDIRECT("'"&amp;$C128&amp;"'!$H$23:$H$200")=$L$5)*(INDIRECT("'"&amp;$C128&amp;"'!$O$23:$O$200")&lt;=-0.5)*(INDIRECT("'"&amp;$C128&amp;"'!$O$23:$O$200")&gt;=-2)*((INDIRECT("'"&amp;$C128&amp;"'!$J$23:$J$200")-INDIRECT("'"&amp;$C128&amp;"'!$K$23:$K$200"))=1),1,0)))</f>
        <v>0</v>
      </c>
      <c r="O129" s="601" t="str">
        <f t="shared" ca="1" si="116"/>
        <v>-</v>
      </c>
      <c r="P129" s="418">
        <f t="array" aca="1" ref="P129" ca="1">IF($C129="N","",SUM(IF((INDIRECT("'"&amp;$C128&amp;"'!$I$23:$I$200")=$D$5)*(INDIRECT("'"&amp;$C128&amp;"'!$H$23:$H$200")=$L$5)*(INDIRECT("'"&amp;$C128&amp;"'!$O$23:$O$200")&lt;=-0.5)*(INDIRECT("'"&amp;$C128&amp;"'!$O$23:$O$200")&gt;=-2)*((INDIRECT("'"&amp;$C128&amp;"'!$K$23:$K$200")-INDIRECT("'"&amp;$C128&amp;"'!$J$23:$J$200"))&gt;-1),1,0)))</f>
        <v>0</v>
      </c>
      <c r="Q129" s="601" t="str">
        <f t="shared" ca="1" si="117"/>
        <v>-</v>
      </c>
      <c r="R129" s="522">
        <f ca="1">IF($C129="N","",L129+N129+P129)</f>
        <v>0</v>
      </c>
      <c r="S129" s="655">
        <f ca="1">IF($C129="N","",L129+E129)</f>
        <v>1</v>
      </c>
      <c r="T129" s="601">
        <f t="shared" ca="1" si="118"/>
        <v>0.5</v>
      </c>
      <c r="U129" s="418">
        <f ca="1">IF($C129="N","",N129+G129)</f>
        <v>1</v>
      </c>
      <c r="V129" s="601">
        <f t="shared" ca="1" si="119"/>
        <v>0.5</v>
      </c>
      <c r="W129" s="418">
        <f ca="1">IF($C129="N","",P129+I129)</f>
        <v>0</v>
      </c>
      <c r="X129" s="601" t="str">
        <f t="shared" ca="1" si="120"/>
        <v>-</v>
      </c>
      <c r="Y129" s="602">
        <f ca="1">IF($C129="N","",R129+K129)</f>
        <v>2</v>
      </c>
      <c r="Z129" s="355"/>
    </row>
    <row r="130" spans="2:26">
      <c r="B130" s="568"/>
      <c r="C130" s="357" t="str">
        <f>C129</f>
        <v>Machida Zelvia</v>
      </c>
      <c r="D130" s="654">
        <v>0</v>
      </c>
      <c r="E130" s="655">
        <f t="array" aca="1" ref="E130" ca="1">IF($C130="N","",SUM(IF((INDIRECT("'"&amp;$C128&amp;"'!$I$23:$I$200")=$D$5)*(INDIRECT("'"&amp;$C128&amp;"'!$H$23:$H$200")=$E$5)*(INDIRECT("'"&amp;$C128&amp;"'!$O$23:$O$200")&gt;=-0.25)*(INDIRECT("'"&amp;$C128&amp;"'!$O$23:$O$200")&lt;=0.25)*(INDIRECT("'"&amp;$C128&amp;"'!$O$23:$O$200")&lt;&gt;"")*((INDIRECT("'"&amp;$C128&amp;"'!$J$23:$J$200")-INDIRECT("'"&amp;$C128&amp;"'!$K$23:$K$200"))&gt;0),1,0)))</f>
        <v>2</v>
      </c>
      <c r="F130" s="601">
        <f t="shared" ca="1" si="112"/>
        <v>0.10526315789473684</v>
      </c>
      <c r="G130" s="418">
        <f t="array" aca="1" ref="G130" ca="1">IF($C130="N","",SUM(IF((INDIRECT("'"&amp;$C128&amp;"'!$I$23:$I$200")=$D$5)*(INDIRECT("'"&amp;$C128&amp;"'!$H$23:$H$200")=$E$5)*(INDIRECT("'"&amp;$C128&amp;"'!$O$23:$O$200")&gt;=-0.25)*(INDIRECT("'"&amp;$C128&amp;"'!$O$23:$O$200")&lt;=0.25)*(INDIRECT("'"&amp;$C128&amp;"'!$O$23:$O$200")&lt;&gt;"")*((INDIRECT("'"&amp;$C128&amp;"'!$J$23:$J$200")-INDIRECT("'"&amp;$C128&amp;"'!$K$23:$K$200"))=0),1,0)))</f>
        <v>7</v>
      </c>
      <c r="H130" s="601">
        <f t="shared" ca="1" si="113"/>
        <v>0.36842105263157893</v>
      </c>
      <c r="I130" s="418">
        <f t="array" aca="1" ref="I130" ca="1">IF($C130="N","",SUM(IF((INDIRECT("'"&amp;$C128&amp;"'!$I$23:$I$200")=$D$5)*(INDIRECT("'"&amp;$C128&amp;"'!$H$23:$H$200")=$E$5)*(INDIRECT("'"&amp;$C128&amp;"'!$O$23:$O$200")&gt;=-0.25)*(INDIRECT("'"&amp;$C128&amp;"'!$O$23:$O$200")&lt;=0.25)*(INDIRECT("'"&amp;$C128&amp;"'!$O$23:$O$200")&lt;&gt;"")*((INDIRECT("'"&amp;$C128&amp;"'!$J$23:$J$200")-INDIRECT("'"&amp;$C128&amp;"'!$K$23:$K$200"))&lt;0),1,0)))</f>
        <v>10</v>
      </c>
      <c r="J130" s="601">
        <f t="shared" ca="1" si="114"/>
        <v>0.52631578947368418</v>
      </c>
      <c r="K130" s="522">
        <f ca="1">IF($C130="N","",E130+G130+I130)</f>
        <v>19</v>
      </c>
      <c r="L130" s="655">
        <f t="array" aca="1" ref="L130" ca="1">IF($C130="N","",SUM(IF((INDIRECT("'"&amp;$C128&amp;"'!$I$23:$I$200")=$D$5)*(INDIRECT("'"&amp;$C128&amp;"'!$H$23:$H$200")=$L$5)*(INDIRECT("'"&amp;$C128&amp;"'!$O$23:$O$200")&gt;=-0.25)*(INDIRECT("'"&amp;$C128&amp;"'!$O$23:$O$200")&lt;=0.25)*(INDIRECT("'"&amp;$C128&amp;"'!$O$23:$O$200")&lt;&gt;"")*((INDIRECT("'"&amp;$C128&amp;"'!$J$23:$J$200")-INDIRECT("'"&amp;$C128&amp;"'!$K$23:$K$200"))&gt;0),1,0)))</f>
        <v>7</v>
      </c>
      <c r="M130" s="601">
        <f t="shared" ca="1" si="115"/>
        <v>0.41176470588235292</v>
      </c>
      <c r="N130" s="418">
        <f t="array" aca="1" ref="N130" ca="1">IF($C130="N","",SUM(IF((INDIRECT("'"&amp;$C128&amp;"'!$I$23:$I$200")=$D$5)*(INDIRECT("'"&amp;$C128&amp;"'!$H$23:$H$200")=$L$5)*(INDIRECT("'"&amp;$C128&amp;"'!$O$23:$O$200")&gt;=-0.25)*(INDIRECT("'"&amp;$C128&amp;"'!$O$23:$O$200")&lt;=0.25)*(INDIRECT("'"&amp;$C128&amp;"'!$O$23:$O$200")&lt;&gt;"")*((INDIRECT("'"&amp;$C128&amp;"'!$J$23:$J$200")-INDIRECT("'"&amp;$C128&amp;"'!$K$23:$K$200"))=0),1,0)))</f>
        <v>8</v>
      </c>
      <c r="O130" s="601">
        <f t="shared" ca="1" si="116"/>
        <v>0.47058823529411764</v>
      </c>
      <c r="P130" s="418">
        <f t="array" aca="1" ref="P130" ca="1">IF($C130="N","",SUM(IF((INDIRECT("'"&amp;$C128&amp;"'!$I$23:$I$200")=$D$5)*(INDIRECT("'"&amp;$C128&amp;"'!$H$23:$H$200")=$L$5)*(INDIRECT("'"&amp;$C128&amp;"'!$O$23:$O$200")&gt;=-0.25)*(INDIRECT("'"&amp;$C128&amp;"'!$O$23:$O$200")&lt;=0.25)*(INDIRECT("'"&amp;$C128&amp;"'!$O$23:$O$200")&lt;&gt;"")*((INDIRECT("'"&amp;$C128&amp;"'!$J$23:$J$200")-INDIRECT("'"&amp;$C128&amp;"'!$K$23:$K$200"))&lt;0),1,0)))</f>
        <v>2</v>
      </c>
      <c r="Q130" s="601">
        <f t="shared" ca="1" si="117"/>
        <v>0.11764705882352941</v>
      </c>
      <c r="R130" s="522">
        <f ca="1">IF($C130="N","",L130+N130+P130)</f>
        <v>17</v>
      </c>
      <c r="S130" s="655">
        <f ca="1">IF($C130="N","",L130+E130)</f>
        <v>9</v>
      </c>
      <c r="T130" s="601">
        <f t="shared" ca="1" si="118"/>
        <v>0.25</v>
      </c>
      <c r="U130" s="418">
        <f ca="1">IF($C130="N","",N130+G130)</f>
        <v>15</v>
      </c>
      <c r="V130" s="601">
        <f t="shared" ca="1" si="119"/>
        <v>0.41666666666666669</v>
      </c>
      <c r="W130" s="418">
        <f ca="1">IF($C130="N","",P130+I130)</f>
        <v>12</v>
      </c>
      <c r="X130" s="601">
        <f t="shared" ca="1" si="120"/>
        <v>0.33333333333333331</v>
      </c>
      <c r="Y130" s="602">
        <f ca="1">IF($C130="N","",R130+K130)</f>
        <v>36</v>
      </c>
      <c r="Z130" s="355"/>
    </row>
    <row r="131" spans="2:26">
      <c r="B131" s="568"/>
      <c r="C131" s="357" t="str">
        <f>C130</f>
        <v>Machida Zelvia</v>
      </c>
      <c r="D131" s="654">
        <v>1</v>
      </c>
      <c r="E131" s="655">
        <f t="array" aca="1" ref="E131" ca="1">IF($C131="N","",SUM(IF((INDIRECT("'"&amp;$C128&amp;"'!$I$23:$I$200")=$D$5)*(INDIRECT("'"&amp;$C128&amp;"'!$H$23:$H$200")=$E$5)*(INDIRECT("'"&amp;$C128&amp;"'!$O$23:$O$200")&gt;=0.5)*(INDIRECT("'"&amp;$C128&amp;"'!$O$23:$O$200")&lt;=2)*((INDIRECT("'"&amp;$C128&amp;"'!$J$23:$J$200")-INDIRECT("'"&amp;$C128&amp;"'!$K$23:$K$200"))&gt;-1),1,0)))</f>
        <v>0</v>
      </c>
      <c r="F131" s="601" t="str">
        <f t="shared" ca="1" si="112"/>
        <v>-</v>
      </c>
      <c r="G131" s="418">
        <f t="array" aca="1" ref="G131" ca="1">IF($C131="N","",SUM(IF((INDIRECT("'"&amp;$C128&amp;"'!$I$23:$I$200")=$D$5)*(INDIRECT("'"&amp;$C128&amp;"'!$H$23:$H$200")=$E$5)*(INDIRECT("'"&amp;$C128&amp;"'!$O$23:$O$200")&gt;=0.5)*(INDIRECT("'"&amp;$C128&amp;"'!$O$23:$O$200")&lt;=2)*((INDIRECT("'"&amp;$C128&amp;"'!$J$23:$J$200")-INDIRECT("'"&amp;$C128&amp;"'!$K$23:$K$200"))=-1),1,0)))</f>
        <v>0</v>
      </c>
      <c r="H131" s="601" t="str">
        <f t="shared" ca="1" si="113"/>
        <v>-</v>
      </c>
      <c r="I131" s="418">
        <f t="array" aca="1" ref="I131" ca="1">IF($C131="N","",SUM(IF((INDIRECT("'"&amp;$C128&amp;"'!$I$23:$I$200")=$D$5)*(INDIRECT("'"&amp;$C128&amp;"'!$H$23:$H$200")=$E$5)*(INDIRECT("'"&amp;$C128&amp;"'!$O$23:$O$200")&gt;=0.5)*(INDIRECT("'"&amp;$C128&amp;"'!$O$23:$O$200")&lt;=2)*((INDIRECT("'"&amp;$C128&amp;"'!$J$23:$J$200")-INDIRECT("'"&amp;$C128&amp;"'!$K$23:$K$200"))&lt;-1),1,0)))</f>
        <v>0</v>
      </c>
      <c r="J131" s="601" t="str">
        <f t="shared" ca="1" si="114"/>
        <v>-</v>
      </c>
      <c r="K131" s="522">
        <f ca="1">IF($C131="N","",E131+G131+I131)</f>
        <v>0</v>
      </c>
      <c r="L131" s="655">
        <f t="array" aca="1" ref="L131" ca="1">IF($C131="N","",SUM(IF((INDIRECT("'"&amp;$C128&amp;"'!$I$23:$I$200")=$D$5)*(INDIRECT("'"&amp;$C128&amp;"'!$H$23:$H$200")=$L$5)*(INDIRECT("'"&amp;$C128&amp;"'!$O$23:$O$200")&gt;=0.5)*(INDIRECT("'"&amp;$C128&amp;"'!$O$23:$O$200")&lt;=2)*((INDIRECT("'"&amp;$C128&amp;"'!$J$23:$J$200")-INDIRECT("'"&amp;$C128&amp;"'!$K$23:$K$200"))&gt;-1),1,0)))</f>
        <v>2</v>
      </c>
      <c r="M131" s="601">
        <f t="shared" ca="1" si="115"/>
        <v>0.5</v>
      </c>
      <c r="N131" s="418">
        <f t="array" aca="1" ref="N131" ca="1">IF($C131="N","",SUM(IF((INDIRECT("'"&amp;$C128&amp;"'!$I$23:$I$200")=$D$5)*(INDIRECT("'"&amp;$C128&amp;"'!$H$23:$H$200")=$L$5)*(INDIRECT("'"&amp;$C128&amp;"'!$O$23:$O$200")&gt;=0.5)*(INDIRECT("'"&amp;$C128&amp;"'!$O$23:$O$200")&lt;=2)*((INDIRECT("'"&amp;$C128&amp;"'!$J$23:$J$200")-INDIRECT("'"&amp;$C128&amp;"'!$K$23:$K$200"))=-1),1,0)))</f>
        <v>1</v>
      </c>
      <c r="O131" s="601">
        <f t="shared" ca="1" si="116"/>
        <v>0.25</v>
      </c>
      <c r="P131" s="418">
        <f t="array" aca="1" ref="P131" ca="1">IF($C131="N","",SUM(IF((INDIRECT("'"&amp;$C128&amp;"'!$I$23:$I$200")=$D$5)*(INDIRECT("'"&amp;$C128&amp;"'!$H$23:$H$200")=$L$5)*(INDIRECT("'"&amp;$C128&amp;"'!$O$23:$O$200")&gt;=0.5)*(INDIRECT("'"&amp;$C128&amp;"'!$O$23:$O$200")&lt;=2)*((INDIRECT("'"&amp;$C128&amp;"'!$J$23:$J$200")-INDIRECT("'"&amp;$C128&amp;"'!$K$23:$K$200"))&lt;-1),1,0)))</f>
        <v>1</v>
      </c>
      <c r="Q131" s="601">
        <f t="shared" ca="1" si="117"/>
        <v>0.25</v>
      </c>
      <c r="R131" s="522">
        <f ca="1">IF($C131="N","",L131+N131+P131)</f>
        <v>4</v>
      </c>
      <c r="S131" s="655">
        <f ca="1">IF($C131="N","",L131+E131)</f>
        <v>2</v>
      </c>
      <c r="T131" s="601">
        <f t="shared" ca="1" si="118"/>
        <v>0.5</v>
      </c>
      <c r="U131" s="418">
        <f ca="1">IF($C131="N","",N131+G131)</f>
        <v>1</v>
      </c>
      <c r="V131" s="601">
        <f t="shared" ca="1" si="119"/>
        <v>0.25</v>
      </c>
      <c r="W131" s="418">
        <f ca="1">IF($C131="N","",P131+I131)</f>
        <v>1</v>
      </c>
      <c r="X131" s="601">
        <f t="shared" ca="1" si="120"/>
        <v>0.25</v>
      </c>
      <c r="Y131" s="602">
        <f ca="1">IF($C131="N","",R131+K131)</f>
        <v>4</v>
      </c>
      <c r="Z131" s="355"/>
    </row>
    <row r="132" spans="2:26" ht="13.5" thickBot="1">
      <c r="B132" s="568"/>
      <c r="C132" s="357" t="str">
        <f>C131</f>
        <v>Machida Zelvia</v>
      </c>
      <c r="D132" s="654">
        <v>2</v>
      </c>
      <c r="E132" s="657">
        <f t="array" aca="1" ref="E132" ca="1">IF($C132="N","",SUM(IF((INDIRECT("'"&amp;$C128&amp;"'!$I$23:$I$200")=$D$5)*(INDIRECT("'"&amp;$C128&amp;"'!$H$23:$H$200")=$E$5)*(INDIRECT("'"&amp;$C128&amp;"'!$O$23:$O$200")&gt;=2.25)*((INDIRECT("'"&amp;$C128&amp;"'!$J$23:$J$200")-INDIRECT("'"&amp;$C128&amp;"'!$K$23:$K$200"))&gt;-2),1,0)))</f>
        <v>0</v>
      </c>
      <c r="F132" s="605" t="str">
        <f t="shared" ca="1" si="112"/>
        <v>-</v>
      </c>
      <c r="G132" s="658">
        <f t="array" aca="1" ref="G132" ca="1">IF($C132="N","",SUM(IF((INDIRECT("'"&amp;$C128&amp;"'!$I$23:$I$200")=$D$5)*(INDIRECT("'"&amp;$C128&amp;"'!$H$23:$H$200")=$E$5)*(INDIRECT("'"&amp;$C128&amp;"'!$O$23:$O$200")&gt;=2.25)*((INDIRECT("'"&amp;$C128&amp;"'!$J$23:$J$200")-INDIRECT("'"&amp;$C128&amp;"'!$K$23:$K$200"))=-2),1,0)))</f>
        <v>0</v>
      </c>
      <c r="H132" s="605" t="str">
        <f t="shared" ca="1" si="113"/>
        <v>-</v>
      </c>
      <c r="I132" s="658">
        <f t="array" aca="1" ref="I132" ca="1">IF($C132="N","",SUM(IF((INDIRECT("'"&amp;$C128&amp;"'!$I$23:$I$200")=$D$5)*(INDIRECT("'"&amp;$C128&amp;"'!$H$23:$H$200")=$E$5)*(INDIRECT("'"&amp;$C128&amp;"'!$O$23:$O$200")&gt;=2.25)*((INDIRECT("'"&amp;$C128&amp;"'!$J$23:$J$200")-INDIRECT("'"&amp;$C128&amp;"'!$K$23:$K$200"))&lt;-2),1,0)))</f>
        <v>0</v>
      </c>
      <c r="J132" s="605" t="str">
        <f t="shared" ca="1" si="114"/>
        <v>-</v>
      </c>
      <c r="K132" s="659">
        <f ca="1">IF($C132="N","",E132+G132+I132)</f>
        <v>0</v>
      </c>
      <c r="L132" s="657">
        <f t="array" aca="1" ref="L132" ca="1">IF($C132="N","",SUM(IF((INDIRECT("'"&amp;$C128&amp;"'!$I$23:$I$200")=$D$5)*(INDIRECT("'"&amp;$C128&amp;"'!$H$23:$H$200")=$L$5)*(INDIRECT("'"&amp;$C128&amp;"'!$O$23:$O$200")&gt;=2.25)*((INDIRECT("'"&amp;$C128&amp;"'!$J$23:$J$200")-INDIRECT("'"&amp;$C128&amp;"'!$K$23:$K$200"))&gt;-2),1,0)))</f>
        <v>0</v>
      </c>
      <c r="M132" s="605" t="str">
        <f t="shared" ca="1" si="115"/>
        <v>-</v>
      </c>
      <c r="N132" s="658">
        <f t="array" aca="1" ref="N132" ca="1">IF($C132="N","",SUM(IF((INDIRECT("'"&amp;$C128&amp;"'!$I$23:$I$200")=$D$5)*(INDIRECT("'"&amp;$C128&amp;"'!$H$23:$H$200")=$L$5)*(INDIRECT("'"&amp;$C128&amp;"'!$O$23:$O$200")&gt;=2.25)*((INDIRECT("'"&amp;$C128&amp;"'!$J$23:$J$200")-INDIRECT("'"&amp;$C128&amp;"'!$K$23:$K$200"))=-2),1,0)))</f>
        <v>0</v>
      </c>
      <c r="O132" s="605" t="str">
        <f t="shared" ca="1" si="116"/>
        <v>-</v>
      </c>
      <c r="P132" s="658">
        <f t="array" aca="1" ref="P132" ca="1">IF($C132="N","",SUM(IF((INDIRECT("'"&amp;$C128&amp;"'!$I$23:$I$200")=$D$5)*(INDIRECT("'"&amp;$C128&amp;"'!$H$23:$H$200")=$L$5)*(INDIRECT("'"&amp;$C128&amp;"'!$O$23:$O$200")&gt;=2.25)*((INDIRECT("'"&amp;$C128&amp;"'!$J$23:$J$200")-INDIRECT("'"&amp;$C128&amp;"'!$K$23:$K$200"))&lt;-2),1,0)))</f>
        <v>0</v>
      </c>
      <c r="Q132" s="605" t="str">
        <f t="shared" ca="1" si="117"/>
        <v>-</v>
      </c>
      <c r="R132" s="659">
        <f ca="1">IF($C132="N","",L132+N132+P132)</f>
        <v>0</v>
      </c>
      <c r="S132" s="657">
        <f ca="1">IF($C132="N","",L132+E132)</f>
        <v>0</v>
      </c>
      <c r="T132" s="605" t="str">
        <f t="shared" ca="1" si="118"/>
        <v>-</v>
      </c>
      <c r="U132" s="658">
        <f ca="1">IF($C132="N","",N132+G132)</f>
        <v>0</v>
      </c>
      <c r="V132" s="605" t="str">
        <f t="shared" ca="1" si="119"/>
        <v>-</v>
      </c>
      <c r="W132" s="658">
        <f ca="1">IF($C132="N","",P132+I132)</f>
        <v>0</v>
      </c>
      <c r="X132" s="605" t="str">
        <f t="shared" ca="1" si="120"/>
        <v>-</v>
      </c>
      <c r="Y132" s="608">
        <f ca="1">IF($C132="N","",R132+K132)</f>
        <v>0</v>
      </c>
      <c r="Z132" s="355"/>
    </row>
    <row r="133" spans="2:26" ht="13.5" thickBot="1">
      <c r="B133" s="568" t="str">
        <f>D126</f>
        <v>Machida Zelvia</v>
      </c>
      <c r="D133" s="661" t="s">
        <v>115</v>
      </c>
      <c r="E133" s="481">
        <f ca="1">SUM(E128:E132)</f>
        <v>3</v>
      </c>
      <c r="F133" s="435">
        <f t="shared" ca="1" si="112"/>
        <v>0.14285714285714285</v>
      </c>
      <c r="G133" s="438">
        <f ca="1">SUM(G128:G132)</f>
        <v>8</v>
      </c>
      <c r="H133" s="435">
        <f t="shared" ca="1" si="113"/>
        <v>0.38095238095238093</v>
      </c>
      <c r="I133" s="438">
        <f ca="1">SUM(I128:I132)</f>
        <v>10</v>
      </c>
      <c r="J133" s="435">
        <f t="shared" ca="1" si="114"/>
        <v>0.47619047619047616</v>
      </c>
      <c r="K133" s="479">
        <f ca="1">SUM(K128:K132)</f>
        <v>21</v>
      </c>
      <c r="L133" s="662">
        <f ca="1">SUM(L128:L132)</f>
        <v>9</v>
      </c>
      <c r="M133" s="435">
        <f t="shared" ca="1" si="115"/>
        <v>0.42857142857142855</v>
      </c>
      <c r="N133" s="438">
        <f ca="1">SUM(N128:N132)</f>
        <v>9</v>
      </c>
      <c r="O133" s="435">
        <f t="shared" ca="1" si="116"/>
        <v>0.42857142857142855</v>
      </c>
      <c r="P133" s="438">
        <f ca="1">SUM(P128:P132)</f>
        <v>3</v>
      </c>
      <c r="Q133" s="435">
        <f t="shared" ca="1" si="117"/>
        <v>0.14285714285714285</v>
      </c>
      <c r="R133" s="480">
        <f ca="1">SUM(R128:R132)</f>
        <v>21</v>
      </c>
      <c r="S133" s="481">
        <f ca="1">SUM(S128:S132)</f>
        <v>12</v>
      </c>
      <c r="T133" s="435">
        <f t="shared" ca="1" si="118"/>
        <v>0.2857142857142857</v>
      </c>
      <c r="U133" s="438">
        <f ca="1">SUM(U128:U132)</f>
        <v>17</v>
      </c>
      <c r="V133" s="435">
        <f t="shared" ca="1" si="119"/>
        <v>0.40476190476190477</v>
      </c>
      <c r="W133" s="438">
        <f ca="1">SUM(W128:W132)</f>
        <v>13</v>
      </c>
      <c r="X133" s="435">
        <f t="shared" ca="1" si="120"/>
        <v>0.30952380952380953</v>
      </c>
      <c r="Y133" s="479">
        <f ca="1">SUM(Y128:Y132)</f>
        <v>42</v>
      </c>
    </row>
    <row r="134" spans="2:26" ht="13.5" thickBot="1">
      <c r="B134" s="568"/>
    </row>
    <row r="135" spans="2:26">
      <c r="D135" s="562" t="str">
        <f>N1</f>
        <v>Matsumoto Yamaga</v>
      </c>
      <c r="E135" s="582" t="s">
        <v>162</v>
      </c>
      <c r="F135" s="583"/>
      <c r="G135" s="584"/>
      <c r="H135" s="583"/>
      <c r="I135" s="585"/>
      <c r="J135" s="584"/>
      <c r="K135" s="586"/>
      <c r="L135" s="641" t="s">
        <v>163</v>
      </c>
      <c r="M135" s="583"/>
      <c r="N135" s="584"/>
      <c r="O135" s="583"/>
      <c r="P135" s="585"/>
      <c r="Q135" s="583"/>
      <c r="R135" s="584"/>
      <c r="S135" s="582" t="s">
        <v>164</v>
      </c>
      <c r="T135" s="583"/>
      <c r="U135" s="584"/>
      <c r="V135" s="583"/>
      <c r="W135" s="587"/>
      <c r="X135" s="588"/>
      <c r="Y135" s="589"/>
    </row>
    <row r="136" spans="2:26" ht="13.5" thickBot="1">
      <c r="D136" s="644" t="s">
        <v>165</v>
      </c>
      <c r="E136" s="590" t="s">
        <v>63</v>
      </c>
      <c r="F136" s="591"/>
      <c r="G136" s="645" t="s">
        <v>64</v>
      </c>
      <c r="H136" s="591"/>
      <c r="I136" s="645" t="s">
        <v>65</v>
      </c>
      <c r="J136" s="645"/>
      <c r="K136" s="646" t="s">
        <v>171</v>
      </c>
      <c r="L136" s="647" t="s">
        <v>63</v>
      </c>
      <c r="M136" s="591"/>
      <c r="N136" s="645" t="s">
        <v>64</v>
      </c>
      <c r="O136" s="591"/>
      <c r="P136" s="645" t="s">
        <v>65</v>
      </c>
      <c r="Q136" s="591"/>
      <c r="R136" s="646" t="s">
        <v>172</v>
      </c>
      <c r="S136" s="590" t="s">
        <v>63</v>
      </c>
      <c r="T136" s="591"/>
      <c r="U136" s="645" t="s">
        <v>64</v>
      </c>
      <c r="V136" s="648"/>
      <c r="W136" s="645" t="s">
        <v>65</v>
      </c>
      <c r="X136" s="591"/>
      <c r="Y136" s="646" t="s">
        <v>168</v>
      </c>
      <c r="Z136" s="355"/>
    </row>
    <row r="137" spans="2:26">
      <c r="B137" s="568"/>
      <c r="C137" s="357" t="str">
        <f>IF(D135=0,"N",D135)</f>
        <v>Matsumoto Yamaga</v>
      </c>
      <c r="D137" s="651">
        <v>-2</v>
      </c>
      <c r="E137" s="599">
        <f t="array" aca="1" ref="E137" ca="1">IF($C137="N","",SUM(IF((INDIRECT("'"&amp;$C137&amp;"'!$I$23:$I$200")=$D$5)*(INDIRECT("'"&amp;$C137&amp;"'!$H$23:$H$200")=$E$5)*(INDIRECT("'"&amp;$C137&amp;"'!$O$23:$O$200")&lt;=-2.25)*((INDIRECT("'"&amp;$C137&amp;"'!$J$23:$J$200")-INDIRECT("'"&amp;$C137&amp;"'!$K$23:$K$200"))&gt;2),1,0)))</f>
        <v>0</v>
      </c>
      <c r="F137" s="406" t="str">
        <f t="shared" ref="F137:F142" ca="1" si="121">IF(E137="","",IF(E137=0,"-",E137/$K137))</f>
        <v>-</v>
      </c>
      <c r="G137" s="408">
        <f t="array" aca="1" ref="G137" ca="1">IF($C137="N","",SUM(IF((INDIRECT("'"&amp;$C137&amp;"'!$I$23:$I$200")=$D$5)*(INDIRECT("'"&amp;$C137&amp;"'!$H$23:$H$200")=$E$5)*(INDIRECT("'"&amp;$C137&amp;"'!$O$23:$O$200")&lt;=-2.25)*((INDIRECT("'"&amp;$C137&amp;"'!$J$23:$J$200")-INDIRECT("'"&amp;$C137&amp;"'!$K$23:$K$200"))=2),1,0)))</f>
        <v>0</v>
      </c>
      <c r="H137" s="406" t="str">
        <f t="shared" ref="H137:H142" ca="1" si="122">IF(G137="","",IF(G137=0,"-",G137/$K137))</f>
        <v>-</v>
      </c>
      <c r="I137" s="408">
        <f t="array" aca="1" ref="I137" ca="1">IF($C137="N","",SUM(IF((INDIRECT("'"&amp;$C137&amp;"'!$I$23:$I$200")=$D$5)*(INDIRECT("'"&amp;$C137&amp;"'!$H$23:$H$200")=$E$5)*(INDIRECT("'"&amp;$C137&amp;"'!$O$23:$O$200")&lt;=-2.25)*((INDIRECT("'"&amp;$C137&amp;"'!$K$23:$K$200")-INDIRECT("'"&amp;$C137&amp;"'!$J$23:$J$200"))&gt;-2),1,0)))</f>
        <v>0</v>
      </c>
      <c r="J137" s="406" t="str">
        <f t="shared" ref="J137:J142" ca="1" si="123">IF(I137="","",IF(I137=0,"-",I137/$K137))</f>
        <v>-</v>
      </c>
      <c r="K137" s="602">
        <f ca="1">IF($C137="N","",E137+G137+I137)</f>
        <v>0</v>
      </c>
      <c r="L137" s="599">
        <f t="array" aca="1" ref="L137" ca="1">IF($C137="N","",SUM(IF((INDIRECT("'"&amp;$C137&amp;"'!$I$23:$I$200")=$D$5)*(INDIRECT("'"&amp;$C137&amp;"'!$H$23:$H$200")=$L$5)*(INDIRECT("'"&amp;$C137&amp;"'!$O$23:$O$200")&lt;=-2.25)*((INDIRECT("'"&amp;$C137&amp;"'!$J$23:$J$200")-INDIRECT("'"&amp;$C137&amp;"'!$K$23:$K$200"))&gt;2),1,0)))</f>
        <v>0</v>
      </c>
      <c r="M137" s="406" t="str">
        <f t="shared" ref="M137:M142" ca="1" si="124">IF(L137="","",IF(L137=0,"-",L137/$R137))</f>
        <v>-</v>
      </c>
      <c r="N137" s="408">
        <f t="array" aca="1" ref="N137" ca="1">IF($C137="N","",SUM(IF((INDIRECT("'"&amp;$C137&amp;"'!$I$23:$I$200")=$D$5)*(INDIRECT("'"&amp;$C137&amp;"'!$H$23:$H$200")=$L$5)*(INDIRECT("'"&amp;$C137&amp;"'!$O$23:$O$200")&lt;=-2.25)*((INDIRECT("'"&amp;$C137&amp;"'!$J$23:$J$200")-INDIRECT("'"&amp;$C137&amp;"'!$K$23:$K$200"))=2),1,0)))</f>
        <v>0</v>
      </c>
      <c r="O137" s="406" t="str">
        <f t="shared" ref="O137:O142" ca="1" si="125">IF(N137="","",IF(N137=0,"-",N137/$R137))</f>
        <v>-</v>
      </c>
      <c r="P137" s="408">
        <f t="array" aca="1" ref="P137" ca="1">IF($C137="N","",SUM(IF((INDIRECT("'"&amp;$C137&amp;"'!$I$23:$I$200")=$D$5)*(INDIRECT("'"&amp;$C137&amp;"'!$H$23:$H$200")=$L$5)*(INDIRECT("'"&amp;$C137&amp;"'!$O$23:$O$200")&lt;=-2.25)*((INDIRECT("'"&amp;$C137&amp;"'!$K$23:$K$200")-INDIRECT("'"&amp;$C137&amp;"'!$J$23:$J$200"))&gt;-2),1,0)))</f>
        <v>0</v>
      </c>
      <c r="Q137" s="406" t="str">
        <f t="shared" ref="Q137:Q142" ca="1" si="126">IF(P137="","",IF(P137=0,"-",P137/$R137))</f>
        <v>-</v>
      </c>
      <c r="R137" s="602">
        <f ca="1">IF($C137="N","",L137+N137+P137)</f>
        <v>0</v>
      </c>
      <c r="S137" s="599">
        <f ca="1">IF($C137="N","",L137+E137)</f>
        <v>0</v>
      </c>
      <c r="T137" s="406" t="str">
        <f t="shared" ref="T137:T142" ca="1" si="127">IF(S137="","",IF(S137=0,"-",S137/$Y137))</f>
        <v>-</v>
      </c>
      <c r="U137" s="408">
        <f ca="1">IF($C137="N","",N137+G137)</f>
        <v>0</v>
      </c>
      <c r="V137" s="406" t="str">
        <f t="shared" ref="V137:V142" ca="1" si="128">IF(U137="","",IF(U137=0,"-",U137/$Y137))</f>
        <v>-</v>
      </c>
      <c r="W137" s="408">
        <f ca="1">IF($C137="N","",P137+I137)</f>
        <v>0</v>
      </c>
      <c r="X137" s="406" t="str">
        <f t="shared" ref="X137:X142" ca="1" si="129">IF(W137="","",IF(W137=0,"-",W137/$Y137))</f>
        <v>-</v>
      </c>
      <c r="Y137" s="602">
        <f ca="1">IF($C137="N","",R137+K137)</f>
        <v>0</v>
      </c>
      <c r="Z137" s="355"/>
    </row>
    <row r="138" spans="2:26">
      <c r="B138" s="568"/>
      <c r="C138" s="357" t="str">
        <f>C137</f>
        <v>Matsumoto Yamaga</v>
      </c>
      <c r="D138" s="654">
        <v>-1</v>
      </c>
      <c r="E138" s="655">
        <f t="array" aca="1" ref="E138" ca="1">IF($C138="N","",SUM(IF((INDIRECT("'"&amp;$C137&amp;"'!$I$23:$I$200")=$D$5)*(INDIRECT("'"&amp;$C137&amp;"'!$H$23:$H$200")=$E$5)*(INDIRECT("'"&amp;$C137&amp;"'!$O$23:$O$200")&lt;=-0.5)*(INDIRECT("'"&amp;$C137&amp;"'!$O$23:$O$200")&gt;=-2)*((INDIRECT("'"&amp;$C137&amp;"'!$J$23:$J$200")-INDIRECT("'"&amp;$C137&amp;"'!$K$23:$K$200"))&gt;1),1,0)))</f>
        <v>4</v>
      </c>
      <c r="F138" s="601">
        <f t="shared" ca="1" si="121"/>
        <v>0.33333333333333331</v>
      </c>
      <c r="G138" s="418">
        <f t="array" aca="1" ref="G138" ca="1">IF($C138="N","",SUM(IF((INDIRECT("'"&amp;$C137&amp;"'!$I$23:$I$200")=$D$5)*(INDIRECT("'"&amp;$C137&amp;"'!$H$23:$H$200")=$E$5)*(INDIRECT("'"&amp;$C137&amp;"'!$O$23:$O$200")&lt;=-0.5)*(INDIRECT("'"&amp;$C137&amp;"'!$O$23:$O$200")&gt;=-2)*((INDIRECT("'"&amp;$C137&amp;"'!$J$23:$J$200")-INDIRECT("'"&amp;$C137&amp;"'!$K$23:$K$200"))=1),1,0)))</f>
        <v>3</v>
      </c>
      <c r="H138" s="601">
        <f t="shared" ca="1" si="122"/>
        <v>0.25</v>
      </c>
      <c r="I138" s="418">
        <f t="array" aca="1" ref="I138" ca="1">IF($C138="N","",SUM(IF((INDIRECT("'"&amp;$C137&amp;"'!$I$23:$I$200")=$D$5)*(INDIRECT("'"&amp;$C137&amp;"'!$H$23:$H$200")=$E$5)*(INDIRECT("'"&amp;$C137&amp;"'!$O$23:$O$200")&lt;=-0.5)*(INDIRECT("'"&amp;$C137&amp;"'!$O$23:$O$200")&gt;=-2)*((INDIRECT("'"&amp;$C137&amp;"'!$K$23:$K$200")-INDIRECT("'"&amp;$C137&amp;"'!$J$23:$J$200"))&gt;-1),1,0)))</f>
        <v>5</v>
      </c>
      <c r="J138" s="601">
        <f t="shared" ca="1" si="123"/>
        <v>0.41666666666666669</v>
      </c>
      <c r="K138" s="522">
        <f ca="1">IF($C138="N","",E138+G138+I138)</f>
        <v>12</v>
      </c>
      <c r="L138" s="655">
        <f t="array" aca="1" ref="L138" ca="1">IF($C138="N","",SUM(IF((INDIRECT("'"&amp;$C137&amp;"'!$I$23:$I$200")=$D$5)*(INDIRECT("'"&amp;$C137&amp;"'!$H$23:$H$200")=$L$5)*(INDIRECT("'"&amp;$C137&amp;"'!$O$23:$O$200")&lt;=-0.5)*(INDIRECT("'"&amp;$C137&amp;"'!$O$23:$O$200")&gt;=-2)*((INDIRECT("'"&amp;$C137&amp;"'!$J$23:$J$200")-INDIRECT("'"&amp;$C137&amp;"'!$K$23:$K$200"))&gt;1),1,0)))</f>
        <v>2</v>
      </c>
      <c r="M138" s="601">
        <f t="shared" ca="1" si="124"/>
        <v>0.2857142857142857</v>
      </c>
      <c r="N138" s="418">
        <f t="array" aca="1" ref="N138" ca="1">IF($C138="N","",SUM(IF((INDIRECT("'"&amp;$C137&amp;"'!$I$23:$I$200")=$D$5)*(INDIRECT("'"&amp;$C137&amp;"'!$H$23:$H$200")=$L$5)*(INDIRECT("'"&amp;$C137&amp;"'!$O$23:$O$200")&lt;=-0.5)*(INDIRECT("'"&amp;$C137&amp;"'!$O$23:$O$200")&gt;=-2)*((INDIRECT("'"&amp;$C137&amp;"'!$J$23:$J$200")-INDIRECT("'"&amp;$C137&amp;"'!$K$23:$K$200"))=1),1,0)))</f>
        <v>2</v>
      </c>
      <c r="O138" s="601">
        <f t="shared" ca="1" si="125"/>
        <v>0.2857142857142857</v>
      </c>
      <c r="P138" s="418">
        <f t="array" aca="1" ref="P138" ca="1">IF($C138="N","",SUM(IF((INDIRECT("'"&amp;$C137&amp;"'!$I$23:$I$200")=$D$5)*(INDIRECT("'"&amp;$C137&amp;"'!$H$23:$H$200")=$L$5)*(INDIRECT("'"&amp;$C137&amp;"'!$O$23:$O$200")&lt;=-0.5)*(INDIRECT("'"&amp;$C137&amp;"'!$O$23:$O$200")&gt;=-2)*((INDIRECT("'"&amp;$C137&amp;"'!$K$23:$K$200")-INDIRECT("'"&amp;$C137&amp;"'!$J$23:$J$200"))&gt;-1),1,0)))</f>
        <v>3</v>
      </c>
      <c r="Q138" s="601">
        <f t="shared" ca="1" si="126"/>
        <v>0.42857142857142855</v>
      </c>
      <c r="R138" s="522">
        <f ca="1">IF($C138="N","",L138+N138+P138)</f>
        <v>7</v>
      </c>
      <c r="S138" s="655">
        <f ca="1">IF($C138="N","",L138+E138)</f>
        <v>6</v>
      </c>
      <c r="T138" s="601">
        <f t="shared" ca="1" si="127"/>
        <v>0.31578947368421051</v>
      </c>
      <c r="U138" s="418">
        <f ca="1">IF($C138="N","",N138+G138)</f>
        <v>5</v>
      </c>
      <c r="V138" s="601">
        <f t="shared" ca="1" si="128"/>
        <v>0.26315789473684209</v>
      </c>
      <c r="W138" s="418">
        <f ca="1">IF($C138="N","",P138+I138)</f>
        <v>8</v>
      </c>
      <c r="X138" s="601">
        <f t="shared" ca="1" si="129"/>
        <v>0.42105263157894735</v>
      </c>
      <c r="Y138" s="602">
        <f ca="1">IF($C138="N","",R138+K138)</f>
        <v>19</v>
      </c>
      <c r="Z138" s="355"/>
    </row>
    <row r="139" spans="2:26">
      <c r="B139" s="568"/>
      <c r="C139" s="357" t="str">
        <f>C138</f>
        <v>Matsumoto Yamaga</v>
      </c>
      <c r="D139" s="654">
        <v>0</v>
      </c>
      <c r="E139" s="655">
        <f t="array" aca="1" ref="E139" ca="1">IF($C139="N","",SUM(IF((INDIRECT("'"&amp;$C137&amp;"'!$I$23:$I$200")=$D$5)*(INDIRECT("'"&amp;$C137&amp;"'!$H$23:$H$200")=$E$5)*(INDIRECT("'"&amp;$C137&amp;"'!$O$23:$O$200")&gt;=-0.25)*(INDIRECT("'"&amp;$C137&amp;"'!$O$23:$O$200")&lt;=0.25)*(INDIRECT("'"&amp;$C137&amp;"'!$O$23:$O$200")&lt;&gt;"")*((INDIRECT("'"&amp;$C137&amp;"'!$J$23:$J$200")-INDIRECT("'"&amp;$C137&amp;"'!$K$23:$K$200"))&gt;0),1,0)))</f>
        <v>4</v>
      </c>
      <c r="F139" s="601">
        <f t="shared" ca="1" si="121"/>
        <v>0.44444444444444442</v>
      </c>
      <c r="G139" s="418">
        <f t="array" aca="1" ref="G139" ca="1">IF($C139="N","",SUM(IF((INDIRECT("'"&amp;$C137&amp;"'!$I$23:$I$200")=$D$5)*(INDIRECT("'"&amp;$C137&amp;"'!$H$23:$H$200")=$E$5)*(INDIRECT("'"&amp;$C137&amp;"'!$O$23:$O$200")&gt;=-0.25)*(INDIRECT("'"&amp;$C137&amp;"'!$O$23:$O$200")&lt;=0.25)*(INDIRECT("'"&amp;$C137&amp;"'!$O$23:$O$200")&lt;&gt;"")*((INDIRECT("'"&amp;$C137&amp;"'!$J$23:$J$200")-INDIRECT("'"&amp;$C137&amp;"'!$K$23:$K$200"))=0),1,0)))</f>
        <v>2</v>
      </c>
      <c r="H139" s="601">
        <f t="shared" ca="1" si="122"/>
        <v>0.22222222222222221</v>
      </c>
      <c r="I139" s="418">
        <f t="array" aca="1" ref="I139" ca="1">IF($C139="N","",SUM(IF((INDIRECT("'"&amp;$C137&amp;"'!$I$23:$I$200")=$D$5)*(INDIRECT("'"&amp;$C137&amp;"'!$H$23:$H$200")=$E$5)*(INDIRECT("'"&amp;$C137&amp;"'!$O$23:$O$200")&gt;=-0.25)*(INDIRECT("'"&amp;$C137&amp;"'!$O$23:$O$200")&lt;=0.25)*(INDIRECT("'"&amp;$C137&amp;"'!$O$23:$O$200")&lt;&gt;"")*((INDIRECT("'"&amp;$C137&amp;"'!$J$23:$J$200")-INDIRECT("'"&amp;$C137&amp;"'!$K$23:$K$200"))&lt;0),1,0)))</f>
        <v>3</v>
      </c>
      <c r="J139" s="601">
        <f t="shared" ca="1" si="123"/>
        <v>0.33333333333333331</v>
      </c>
      <c r="K139" s="522">
        <f ca="1">IF($C139="N","",E139+G139+I139)</f>
        <v>9</v>
      </c>
      <c r="L139" s="655">
        <f t="array" aca="1" ref="L139" ca="1">IF($C139="N","",SUM(IF((INDIRECT("'"&amp;$C137&amp;"'!$I$23:$I$200")=$D$5)*(INDIRECT("'"&amp;$C137&amp;"'!$H$23:$H$200")=$L$5)*(INDIRECT("'"&amp;$C137&amp;"'!$O$23:$O$200")&gt;=-0.25)*(INDIRECT("'"&amp;$C137&amp;"'!$O$23:$O$200")&lt;=0.25)*(INDIRECT("'"&amp;$C137&amp;"'!$O$23:$O$200")&lt;&gt;"")*((INDIRECT("'"&amp;$C137&amp;"'!$J$23:$J$200")-INDIRECT("'"&amp;$C137&amp;"'!$K$23:$K$200"))&gt;0),1,0)))</f>
        <v>4</v>
      </c>
      <c r="M139" s="601">
        <f t="shared" ca="1" si="124"/>
        <v>0.2857142857142857</v>
      </c>
      <c r="N139" s="418">
        <f t="array" aca="1" ref="N139" ca="1">IF($C139="N","",SUM(IF((INDIRECT("'"&amp;$C137&amp;"'!$I$23:$I$200")=$D$5)*(INDIRECT("'"&amp;$C137&amp;"'!$H$23:$H$200")=$L$5)*(INDIRECT("'"&amp;$C137&amp;"'!$O$23:$O$200")&gt;=-0.25)*(INDIRECT("'"&amp;$C137&amp;"'!$O$23:$O$200")&lt;=0.25)*(INDIRECT("'"&amp;$C137&amp;"'!$O$23:$O$200")&lt;&gt;"")*((INDIRECT("'"&amp;$C137&amp;"'!$J$23:$J$200")-INDIRECT("'"&amp;$C137&amp;"'!$K$23:$K$200"))=0),1,0)))</f>
        <v>5</v>
      </c>
      <c r="O139" s="601">
        <f t="shared" ca="1" si="125"/>
        <v>0.35714285714285715</v>
      </c>
      <c r="P139" s="418">
        <f t="array" aca="1" ref="P139" ca="1">IF($C139="N","",SUM(IF((INDIRECT("'"&amp;$C137&amp;"'!$I$23:$I$200")=$D$5)*(INDIRECT("'"&amp;$C137&amp;"'!$H$23:$H$200")=$L$5)*(INDIRECT("'"&amp;$C137&amp;"'!$O$23:$O$200")&gt;=-0.25)*(INDIRECT("'"&amp;$C137&amp;"'!$O$23:$O$200")&lt;=0.25)*(INDIRECT("'"&amp;$C137&amp;"'!$O$23:$O$200")&lt;&gt;"")*((INDIRECT("'"&amp;$C137&amp;"'!$J$23:$J$200")-INDIRECT("'"&amp;$C137&amp;"'!$K$23:$K$200"))&lt;0),1,0)))</f>
        <v>5</v>
      </c>
      <c r="Q139" s="601">
        <f t="shared" ca="1" si="126"/>
        <v>0.35714285714285715</v>
      </c>
      <c r="R139" s="522">
        <f ca="1">IF($C139="N","",L139+N139+P139)</f>
        <v>14</v>
      </c>
      <c r="S139" s="655">
        <f ca="1">IF($C139="N","",L139+E139)</f>
        <v>8</v>
      </c>
      <c r="T139" s="601">
        <f t="shared" ca="1" si="127"/>
        <v>0.34782608695652173</v>
      </c>
      <c r="U139" s="418">
        <f ca="1">IF($C139="N","",N139+G139)</f>
        <v>7</v>
      </c>
      <c r="V139" s="601">
        <f t="shared" ca="1" si="128"/>
        <v>0.30434782608695654</v>
      </c>
      <c r="W139" s="418">
        <f ca="1">IF($C139="N","",P139+I139)</f>
        <v>8</v>
      </c>
      <c r="X139" s="601">
        <f t="shared" ca="1" si="129"/>
        <v>0.34782608695652173</v>
      </c>
      <c r="Y139" s="602">
        <f ca="1">IF($C139="N","",R139+K139)</f>
        <v>23</v>
      </c>
      <c r="Z139" s="355"/>
    </row>
    <row r="140" spans="2:26">
      <c r="B140" s="568"/>
      <c r="C140" s="357" t="str">
        <f>C139</f>
        <v>Matsumoto Yamaga</v>
      </c>
      <c r="D140" s="654">
        <v>1</v>
      </c>
      <c r="E140" s="655">
        <f t="array" aca="1" ref="E140" ca="1">IF($C140="N","",SUM(IF((INDIRECT("'"&amp;$C137&amp;"'!$I$23:$I$200")=$D$5)*(INDIRECT("'"&amp;$C137&amp;"'!$H$23:$H$200")=$E$5)*(INDIRECT("'"&amp;$C137&amp;"'!$O$23:$O$200")&gt;=0.5)*(INDIRECT("'"&amp;$C137&amp;"'!$O$23:$O$200")&lt;=2)*((INDIRECT("'"&amp;$C137&amp;"'!$J$23:$J$200")-INDIRECT("'"&amp;$C137&amp;"'!$K$23:$K$200"))&gt;-1),1,0)))</f>
        <v>0</v>
      </c>
      <c r="F140" s="601" t="str">
        <f t="shared" ca="1" si="121"/>
        <v>-</v>
      </c>
      <c r="G140" s="418">
        <f t="array" aca="1" ref="G140" ca="1">IF($C140="N","",SUM(IF((INDIRECT("'"&amp;$C137&amp;"'!$I$23:$I$200")=$D$5)*(INDIRECT("'"&amp;$C137&amp;"'!$H$23:$H$200")=$E$5)*(INDIRECT("'"&amp;$C137&amp;"'!$O$23:$O$200")&gt;=0.5)*(INDIRECT("'"&amp;$C137&amp;"'!$O$23:$O$200")&lt;=2)*((INDIRECT("'"&amp;$C137&amp;"'!$J$23:$J$200")-INDIRECT("'"&amp;$C137&amp;"'!$K$23:$K$200"))=-1),1,0)))</f>
        <v>0</v>
      </c>
      <c r="H140" s="601" t="str">
        <f t="shared" ca="1" si="122"/>
        <v>-</v>
      </c>
      <c r="I140" s="418">
        <f t="array" aca="1" ref="I140" ca="1">IF($C140="N","",SUM(IF((INDIRECT("'"&amp;$C137&amp;"'!$I$23:$I$200")=$D$5)*(INDIRECT("'"&amp;$C137&amp;"'!$H$23:$H$200")=$E$5)*(INDIRECT("'"&amp;$C137&amp;"'!$O$23:$O$200")&gt;=0.5)*(INDIRECT("'"&amp;$C137&amp;"'!$O$23:$O$200")&lt;=2)*((INDIRECT("'"&amp;$C137&amp;"'!$J$23:$J$200")-INDIRECT("'"&amp;$C137&amp;"'!$K$23:$K$200"))&lt;-1),1,0)))</f>
        <v>0</v>
      </c>
      <c r="J140" s="601" t="str">
        <f t="shared" ca="1" si="123"/>
        <v>-</v>
      </c>
      <c r="K140" s="522">
        <f ca="1">IF($C140="N","",E140+G140+I140)</f>
        <v>0</v>
      </c>
      <c r="L140" s="655">
        <f t="array" aca="1" ref="L140" ca="1">IF($C140="N","",SUM(IF((INDIRECT("'"&amp;$C137&amp;"'!$I$23:$I$200")=$D$5)*(INDIRECT("'"&amp;$C137&amp;"'!$H$23:$H$200")=$L$5)*(INDIRECT("'"&amp;$C137&amp;"'!$O$23:$O$200")&gt;=0.5)*(INDIRECT("'"&amp;$C137&amp;"'!$O$23:$O$200")&lt;=2)*((INDIRECT("'"&amp;$C137&amp;"'!$J$23:$J$200")-INDIRECT("'"&amp;$C137&amp;"'!$K$23:$K$200"))&gt;-1),1,0)))</f>
        <v>0</v>
      </c>
      <c r="M140" s="601" t="str">
        <f t="shared" ca="1" si="124"/>
        <v>-</v>
      </c>
      <c r="N140" s="418">
        <f t="array" aca="1" ref="N140" ca="1">IF($C140="N","",SUM(IF((INDIRECT("'"&amp;$C137&amp;"'!$I$23:$I$200")=$D$5)*(INDIRECT("'"&amp;$C137&amp;"'!$H$23:$H$200")=$L$5)*(INDIRECT("'"&amp;$C137&amp;"'!$O$23:$O$200")&gt;=0.5)*(INDIRECT("'"&amp;$C137&amp;"'!$O$23:$O$200")&lt;=2)*((INDIRECT("'"&amp;$C137&amp;"'!$J$23:$J$200")-INDIRECT("'"&amp;$C137&amp;"'!$K$23:$K$200"))=-1),1,0)))</f>
        <v>0</v>
      </c>
      <c r="O140" s="601" t="str">
        <f t="shared" ca="1" si="125"/>
        <v>-</v>
      </c>
      <c r="P140" s="418">
        <f t="array" aca="1" ref="P140" ca="1">IF($C140="N","",SUM(IF((INDIRECT("'"&amp;$C137&amp;"'!$I$23:$I$200")=$D$5)*(INDIRECT("'"&amp;$C137&amp;"'!$H$23:$H$200")=$L$5)*(INDIRECT("'"&amp;$C137&amp;"'!$O$23:$O$200")&gt;=0.5)*(INDIRECT("'"&amp;$C137&amp;"'!$O$23:$O$200")&lt;=2)*((INDIRECT("'"&amp;$C137&amp;"'!$J$23:$J$200")-INDIRECT("'"&amp;$C137&amp;"'!$K$23:$K$200"))&lt;-1),1,0)))</f>
        <v>0</v>
      </c>
      <c r="Q140" s="601" t="str">
        <f t="shared" ca="1" si="126"/>
        <v>-</v>
      </c>
      <c r="R140" s="522">
        <f ca="1">IF($C140="N","",L140+N140+P140)</f>
        <v>0</v>
      </c>
      <c r="S140" s="655">
        <f ca="1">IF($C140="N","",L140+E140)</f>
        <v>0</v>
      </c>
      <c r="T140" s="601" t="str">
        <f t="shared" ca="1" si="127"/>
        <v>-</v>
      </c>
      <c r="U140" s="418">
        <f ca="1">IF($C140="N","",N140+G140)</f>
        <v>0</v>
      </c>
      <c r="V140" s="601" t="str">
        <f t="shared" ca="1" si="128"/>
        <v>-</v>
      </c>
      <c r="W140" s="418">
        <f ca="1">IF($C140="N","",P140+I140)</f>
        <v>0</v>
      </c>
      <c r="X140" s="601" t="str">
        <f t="shared" ca="1" si="129"/>
        <v>-</v>
      </c>
      <c r="Y140" s="602">
        <f ca="1">IF($C140="N","",R140+K140)</f>
        <v>0</v>
      </c>
      <c r="Z140" s="355"/>
    </row>
    <row r="141" spans="2:26" ht="13.5" thickBot="1">
      <c r="B141" s="568"/>
      <c r="C141" s="357" t="str">
        <f>C140</f>
        <v>Matsumoto Yamaga</v>
      </c>
      <c r="D141" s="654">
        <v>2</v>
      </c>
      <c r="E141" s="657">
        <f t="array" aca="1" ref="E141" ca="1">IF($C141="N","",SUM(IF((INDIRECT("'"&amp;$C137&amp;"'!$I$23:$I$200")=$D$5)*(INDIRECT("'"&amp;$C137&amp;"'!$H$23:$H$200")=$E$5)*(INDIRECT("'"&amp;$C137&amp;"'!$O$23:$O$200")&gt;=2.25)*((INDIRECT("'"&amp;$C137&amp;"'!$J$23:$J$200")-INDIRECT("'"&amp;$C137&amp;"'!$K$23:$K$200"))&gt;-2),1,0)))</f>
        <v>0</v>
      </c>
      <c r="F141" s="605" t="str">
        <f t="shared" ca="1" si="121"/>
        <v>-</v>
      </c>
      <c r="G141" s="658">
        <f t="array" aca="1" ref="G141" ca="1">IF($C141="N","",SUM(IF((INDIRECT("'"&amp;$C137&amp;"'!$I$23:$I$200")=$D$5)*(INDIRECT("'"&amp;$C137&amp;"'!$H$23:$H$200")=$E$5)*(INDIRECT("'"&amp;$C137&amp;"'!$O$23:$O$200")&gt;=2.25)*((INDIRECT("'"&amp;$C137&amp;"'!$J$23:$J$200")-INDIRECT("'"&amp;$C137&amp;"'!$K$23:$K$200"))=-2),1,0)))</f>
        <v>0</v>
      </c>
      <c r="H141" s="605" t="str">
        <f t="shared" ca="1" si="122"/>
        <v>-</v>
      </c>
      <c r="I141" s="658">
        <f t="array" aca="1" ref="I141" ca="1">IF($C141="N","",SUM(IF((INDIRECT("'"&amp;$C137&amp;"'!$I$23:$I$200")=$D$5)*(INDIRECT("'"&amp;$C137&amp;"'!$H$23:$H$200")=$E$5)*(INDIRECT("'"&amp;$C137&amp;"'!$O$23:$O$200")&gt;=2.25)*((INDIRECT("'"&amp;$C137&amp;"'!$J$23:$J$200")-INDIRECT("'"&amp;$C137&amp;"'!$K$23:$K$200"))&lt;-2),1,0)))</f>
        <v>0</v>
      </c>
      <c r="J141" s="605" t="str">
        <f t="shared" ca="1" si="123"/>
        <v>-</v>
      </c>
      <c r="K141" s="659">
        <f ca="1">IF($C141="N","",E141+G141+I141)</f>
        <v>0</v>
      </c>
      <c r="L141" s="657">
        <f t="array" aca="1" ref="L141" ca="1">IF($C141="N","",SUM(IF((INDIRECT("'"&amp;$C137&amp;"'!$I$23:$I$200")=$D$5)*(INDIRECT("'"&amp;$C137&amp;"'!$H$23:$H$200")=$L$5)*(INDIRECT("'"&amp;$C137&amp;"'!$O$23:$O$200")&gt;=2.25)*((INDIRECT("'"&amp;$C137&amp;"'!$J$23:$J$200")-INDIRECT("'"&amp;$C137&amp;"'!$K$23:$K$200"))&gt;-2),1,0)))</f>
        <v>0</v>
      </c>
      <c r="M141" s="605" t="str">
        <f t="shared" ca="1" si="124"/>
        <v>-</v>
      </c>
      <c r="N141" s="658">
        <f t="array" aca="1" ref="N141" ca="1">IF($C141="N","",SUM(IF((INDIRECT("'"&amp;$C137&amp;"'!$I$23:$I$200")=$D$5)*(INDIRECT("'"&amp;$C137&amp;"'!$H$23:$H$200")=$L$5)*(INDIRECT("'"&amp;$C137&amp;"'!$O$23:$O$200")&gt;=2.25)*((INDIRECT("'"&amp;$C137&amp;"'!$J$23:$J$200")-INDIRECT("'"&amp;$C137&amp;"'!$K$23:$K$200"))=-2),1,0)))</f>
        <v>0</v>
      </c>
      <c r="O141" s="605" t="str">
        <f t="shared" ca="1" si="125"/>
        <v>-</v>
      </c>
      <c r="P141" s="658">
        <f t="array" aca="1" ref="P141" ca="1">IF($C141="N","",SUM(IF((INDIRECT("'"&amp;$C137&amp;"'!$I$23:$I$200")=$D$5)*(INDIRECT("'"&amp;$C137&amp;"'!$H$23:$H$200")=$L$5)*(INDIRECT("'"&amp;$C137&amp;"'!$O$23:$O$200")&gt;=2.25)*((INDIRECT("'"&amp;$C137&amp;"'!$J$23:$J$200")-INDIRECT("'"&amp;$C137&amp;"'!$K$23:$K$200"))&lt;-2),1,0)))</f>
        <v>0</v>
      </c>
      <c r="Q141" s="605" t="str">
        <f t="shared" ca="1" si="126"/>
        <v>-</v>
      </c>
      <c r="R141" s="659">
        <f ca="1">IF($C141="N","",L141+N141+P141)</f>
        <v>0</v>
      </c>
      <c r="S141" s="657">
        <f ca="1">IF($C141="N","",L141+E141)</f>
        <v>0</v>
      </c>
      <c r="T141" s="605" t="str">
        <f t="shared" ca="1" si="127"/>
        <v>-</v>
      </c>
      <c r="U141" s="658">
        <f ca="1">IF($C141="N","",N141+G141)</f>
        <v>0</v>
      </c>
      <c r="V141" s="605" t="str">
        <f t="shared" ca="1" si="128"/>
        <v>-</v>
      </c>
      <c r="W141" s="658">
        <f ca="1">IF($C141="N","",P141+I141)</f>
        <v>0</v>
      </c>
      <c r="X141" s="605" t="str">
        <f t="shared" ca="1" si="129"/>
        <v>-</v>
      </c>
      <c r="Y141" s="608">
        <f ca="1">IF($C141="N","",R141+K141)</f>
        <v>0</v>
      </c>
      <c r="Z141" s="355"/>
    </row>
    <row r="142" spans="2:26" ht="13.5" thickBot="1">
      <c r="B142" s="568" t="str">
        <f>D135</f>
        <v>Matsumoto Yamaga</v>
      </c>
      <c r="D142" s="661" t="s">
        <v>115</v>
      </c>
      <c r="E142" s="481">
        <f ca="1">SUM(E137:E141)</f>
        <v>8</v>
      </c>
      <c r="F142" s="435">
        <f t="shared" ca="1" si="121"/>
        <v>0.38095238095238093</v>
      </c>
      <c r="G142" s="438">
        <f ca="1">SUM(G137:G141)</f>
        <v>5</v>
      </c>
      <c r="H142" s="435">
        <f t="shared" ca="1" si="122"/>
        <v>0.23809523809523808</v>
      </c>
      <c r="I142" s="438">
        <f ca="1">SUM(I137:I141)</f>
        <v>8</v>
      </c>
      <c r="J142" s="435">
        <f t="shared" ca="1" si="123"/>
        <v>0.38095238095238093</v>
      </c>
      <c r="K142" s="479">
        <f ca="1">SUM(K137:K141)</f>
        <v>21</v>
      </c>
      <c r="L142" s="662">
        <f ca="1">SUM(L137:L141)</f>
        <v>6</v>
      </c>
      <c r="M142" s="435">
        <f t="shared" ca="1" si="124"/>
        <v>0.2857142857142857</v>
      </c>
      <c r="N142" s="438">
        <f ca="1">SUM(N137:N141)</f>
        <v>7</v>
      </c>
      <c r="O142" s="435">
        <f t="shared" ca="1" si="125"/>
        <v>0.33333333333333331</v>
      </c>
      <c r="P142" s="438">
        <f ca="1">SUM(P137:P141)</f>
        <v>8</v>
      </c>
      <c r="Q142" s="435">
        <f t="shared" ca="1" si="126"/>
        <v>0.38095238095238093</v>
      </c>
      <c r="R142" s="480">
        <f ca="1">SUM(R137:R141)</f>
        <v>21</v>
      </c>
      <c r="S142" s="481">
        <f ca="1">SUM(S137:S141)</f>
        <v>14</v>
      </c>
      <c r="T142" s="435">
        <f t="shared" ca="1" si="127"/>
        <v>0.33333333333333331</v>
      </c>
      <c r="U142" s="438">
        <f ca="1">SUM(U137:U141)</f>
        <v>12</v>
      </c>
      <c r="V142" s="435">
        <f t="shared" ca="1" si="128"/>
        <v>0.2857142857142857</v>
      </c>
      <c r="W142" s="438">
        <f ca="1">SUM(W137:W141)</f>
        <v>16</v>
      </c>
      <c r="X142" s="435">
        <f t="shared" ca="1" si="129"/>
        <v>0.38095238095238093</v>
      </c>
      <c r="Y142" s="479">
        <f ca="1">SUM(Y137:Y141)</f>
        <v>42</v>
      </c>
    </row>
    <row r="143" spans="2:26" ht="13.5" thickBot="1">
      <c r="B143" s="568"/>
    </row>
    <row r="144" spans="2:26">
      <c r="D144" s="562" t="str">
        <f>O1</f>
        <v>Mito Hollyhock</v>
      </c>
      <c r="E144" s="582" t="s">
        <v>162</v>
      </c>
      <c r="F144" s="583"/>
      <c r="G144" s="584"/>
      <c r="H144" s="583"/>
      <c r="I144" s="585"/>
      <c r="J144" s="584"/>
      <c r="K144" s="586"/>
      <c r="L144" s="641" t="s">
        <v>163</v>
      </c>
      <c r="M144" s="583"/>
      <c r="N144" s="584"/>
      <c r="O144" s="583"/>
      <c r="P144" s="585"/>
      <c r="Q144" s="583"/>
      <c r="R144" s="584"/>
      <c r="S144" s="582" t="s">
        <v>164</v>
      </c>
      <c r="T144" s="583"/>
      <c r="U144" s="584"/>
      <c r="V144" s="583"/>
      <c r="W144" s="587"/>
      <c r="X144" s="588"/>
      <c r="Y144" s="589"/>
    </row>
    <row r="145" spans="2:26" ht="13.5" thickBot="1">
      <c r="D145" s="644" t="s">
        <v>165</v>
      </c>
      <c r="E145" s="590" t="s">
        <v>63</v>
      </c>
      <c r="F145" s="591"/>
      <c r="G145" s="645" t="s">
        <v>64</v>
      </c>
      <c r="H145" s="591"/>
      <c r="I145" s="645" t="s">
        <v>65</v>
      </c>
      <c r="J145" s="645"/>
      <c r="K145" s="646" t="s">
        <v>171</v>
      </c>
      <c r="L145" s="647" t="s">
        <v>63</v>
      </c>
      <c r="M145" s="591"/>
      <c r="N145" s="645" t="s">
        <v>64</v>
      </c>
      <c r="O145" s="591"/>
      <c r="P145" s="645" t="s">
        <v>65</v>
      </c>
      <c r="Q145" s="591"/>
      <c r="R145" s="646" t="s">
        <v>172</v>
      </c>
      <c r="S145" s="590" t="s">
        <v>63</v>
      </c>
      <c r="T145" s="591"/>
      <c r="U145" s="645" t="s">
        <v>64</v>
      </c>
      <c r="V145" s="648"/>
      <c r="W145" s="645" t="s">
        <v>65</v>
      </c>
      <c r="X145" s="591"/>
      <c r="Y145" s="646" t="s">
        <v>168</v>
      </c>
      <c r="Z145" s="355"/>
    </row>
    <row r="146" spans="2:26">
      <c r="B146" s="568"/>
      <c r="C146" s="357" t="str">
        <f>IF(D144=0,"N",D144)</f>
        <v>Mito Hollyhock</v>
      </c>
      <c r="D146" s="651">
        <v>-2</v>
      </c>
      <c r="E146" s="599">
        <f t="array" aca="1" ref="E146" ca="1">IF($C146="N","",SUM(IF((INDIRECT("'"&amp;$C146&amp;"'!$I$23:$I$200")=$D$5)*(INDIRECT("'"&amp;$C146&amp;"'!$H$23:$H$200")=$E$5)*(INDIRECT("'"&amp;$C146&amp;"'!$O$23:$O$200")&lt;=-2.25)*((INDIRECT("'"&amp;$C146&amp;"'!$J$23:$J$200")-INDIRECT("'"&amp;$C146&amp;"'!$K$23:$K$200"))&gt;2),1,0)))</f>
        <v>0</v>
      </c>
      <c r="F146" s="406" t="str">
        <f t="shared" ref="F146:F151" ca="1" si="130">IF(E146="","",IF(E146=0,"-",E146/$K146))</f>
        <v>-</v>
      </c>
      <c r="G146" s="408">
        <f t="array" aca="1" ref="G146" ca="1">IF($C146="N","",SUM(IF((INDIRECT("'"&amp;$C146&amp;"'!$I$23:$I$200")=$D$5)*(INDIRECT("'"&amp;$C146&amp;"'!$H$23:$H$200")=$E$5)*(INDIRECT("'"&amp;$C146&amp;"'!$O$23:$O$200")&lt;=-2.25)*((INDIRECT("'"&amp;$C146&amp;"'!$J$23:$J$200")-INDIRECT("'"&amp;$C146&amp;"'!$K$23:$K$200"))=2),1,0)))</f>
        <v>0</v>
      </c>
      <c r="H146" s="406" t="str">
        <f t="shared" ref="H146:H151" ca="1" si="131">IF(G146="","",IF(G146=0,"-",G146/$K146))</f>
        <v>-</v>
      </c>
      <c r="I146" s="408">
        <f t="array" aca="1" ref="I146" ca="1">IF($C146="N","",SUM(IF((INDIRECT("'"&amp;$C146&amp;"'!$I$23:$I$200")=$D$5)*(INDIRECT("'"&amp;$C146&amp;"'!$H$23:$H$200")=$E$5)*(INDIRECT("'"&amp;$C146&amp;"'!$O$23:$O$200")&lt;=-2.25)*((INDIRECT("'"&amp;$C146&amp;"'!$K$23:$K$200")-INDIRECT("'"&amp;$C146&amp;"'!$J$23:$J$200"))&gt;-2),1,0)))</f>
        <v>0</v>
      </c>
      <c r="J146" s="406" t="str">
        <f t="shared" ref="J146:J151" ca="1" si="132">IF(I146="","",IF(I146=0,"-",I146/$K146))</f>
        <v>-</v>
      </c>
      <c r="K146" s="602">
        <f ca="1">IF($C146="N","",E146+G146+I146)</f>
        <v>0</v>
      </c>
      <c r="L146" s="599">
        <f t="array" aca="1" ref="L146" ca="1">IF($C146="N","",SUM(IF((INDIRECT("'"&amp;$C146&amp;"'!$I$23:$I$200")=$D$5)*(INDIRECT("'"&amp;$C146&amp;"'!$H$23:$H$200")=$L$5)*(INDIRECT("'"&amp;$C146&amp;"'!$O$23:$O$200")&lt;=-2.25)*((INDIRECT("'"&amp;$C146&amp;"'!$J$23:$J$200")-INDIRECT("'"&amp;$C146&amp;"'!$K$23:$K$200"))&gt;2),1,0)))</f>
        <v>0</v>
      </c>
      <c r="M146" s="406" t="str">
        <f t="shared" ref="M146:M151" ca="1" si="133">IF(L146="","",IF(L146=0,"-",L146/$R146))</f>
        <v>-</v>
      </c>
      <c r="N146" s="408">
        <f t="array" aca="1" ref="N146" ca="1">IF($C146="N","",SUM(IF((INDIRECT("'"&amp;$C146&amp;"'!$I$23:$I$200")=$D$5)*(INDIRECT("'"&amp;$C146&amp;"'!$H$23:$H$200")=$L$5)*(INDIRECT("'"&amp;$C146&amp;"'!$O$23:$O$200")&lt;=-2.25)*((INDIRECT("'"&amp;$C146&amp;"'!$J$23:$J$200")-INDIRECT("'"&amp;$C146&amp;"'!$K$23:$K$200"))=2),1,0)))</f>
        <v>0</v>
      </c>
      <c r="O146" s="406" t="str">
        <f t="shared" ref="O146:O151" ca="1" si="134">IF(N146="","",IF(N146=0,"-",N146/$R146))</f>
        <v>-</v>
      </c>
      <c r="P146" s="408">
        <f t="array" aca="1" ref="P146" ca="1">IF($C146="N","",SUM(IF((INDIRECT("'"&amp;$C146&amp;"'!$I$23:$I$200")=$D$5)*(INDIRECT("'"&amp;$C146&amp;"'!$H$23:$H$200")=$L$5)*(INDIRECT("'"&amp;$C146&amp;"'!$O$23:$O$200")&lt;=-2.25)*((INDIRECT("'"&amp;$C146&amp;"'!$K$23:$K$200")-INDIRECT("'"&amp;$C146&amp;"'!$J$23:$J$200"))&gt;-2),1,0)))</f>
        <v>0</v>
      </c>
      <c r="Q146" s="406" t="str">
        <f t="shared" ref="Q146:Q151" ca="1" si="135">IF(P146="","",IF(P146=0,"-",P146/$R146))</f>
        <v>-</v>
      </c>
      <c r="R146" s="602">
        <f ca="1">IF($C146="N","",L146+N146+P146)</f>
        <v>0</v>
      </c>
      <c r="S146" s="599">
        <f ca="1">IF($C146="N","",L146+E146)</f>
        <v>0</v>
      </c>
      <c r="T146" s="406" t="str">
        <f t="shared" ref="T146:T151" ca="1" si="136">IF(S146="","",IF(S146=0,"-",S146/$Y146))</f>
        <v>-</v>
      </c>
      <c r="U146" s="408">
        <f ca="1">IF($C146="N","",N146+G146)</f>
        <v>0</v>
      </c>
      <c r="V146" s="406" t="str">
        <f t="shared" ref="V146:V151" ca="1" si="137">IF(U146="","",IF(U146=0,"-",U146/$Y146))</f>
        <v>-</v>
      </c>
      <c r="W146" s="408">
        <f ca="1">IF($C146="N","",P146+I146)</f>
        <v>0</v>
      </c>
      <c r="X146" s="406" t="str">
        <f t="shared" ref="X146:X151" ca="1" si="138">IF(W146="","",IF(W146=0,"-",W146/$Y146))</f>
        <v>-</v>
      </c>
      <c r="Y146" s="602">
        <f ca="1">IF($C146="N","",R146+K146)</f>
        <v>0</v>
      </c>
      <c r="Z146" s="355"/>
    </row>
    <row r="147" spans="2:26">
      <c r="B147" s="568"/>
      <c r="C147" s="357" t="str">
        <f>C146</f>
        <v>Mito Hollyhock</v>
      </c>
      <c r="D147" s="654">
        <v>-1</v>
      </c>
      <c r="E147" s="655">
        <f t="array" aca="1" ref="E147" ca="1">IF($C147="N","",SUM(IF((INDIRECT("'"&amp;$C146&amp;"'!$I$23:$I$200")=$D$5)*(INDIRECT("'"&amp;$C146&amp;"'!$H$23:$H$200")=$E$5)*(INDIRECT("'"&amp;$C146&amp;"'!$O$23:$O$200")&lt;=-0.5)*(INDIRECT("'"&amp;$C146&amp;"'!$O$23:$O$200")&gt;=-2)*((INDIRECT("'"&amp;$C146&amp;"'!$J$23:$J$200")-INDIRECT("'"&amp;$C146&amp;"'!$K$23:$K$200"))&gt;1),1,0)))</f>
        <v>1</v>
      </c>
      <c r="F147" s="601">
        <f t="shared" ca="1" si="130"/>
        <v>0.5</v>
      </c>
      <c r="G147" s="418">
        <f t="array" aca="1" ref="G147" ca="1">IF($C147="N","",SUM(IF((INDIRECT("'"&amp;$C146&amp;"'!$I$23:$I$200")=$D$5)*(INDIRECT("'"&amp;$C146&amp;"'!$H$23:$H$200")=$E$5)*(INDIRECT("'"&amp;$C146&amp;"'!$O$23:$O$200")&lt;=-0.5)*(INDIRECT("'"&amp;$C146&amp;"'!$O$23:$O$200")&gt;=-2)*((INDIRECT("'"&amp;$C146&amp;"'!$J$23:$J$200")-INDIRECT("'"&amp;$C146&amp;"'!$K$23:$K$200"))=1),1,0)))</f>
        <v>0</v>
      </c>
      <c r="H147" s="601" t="str">
        <f t="shared" ca="1" si="131"/>
        <v>-</v>
      </c>
      <c r="I147" s="418">
        <f t="array" aca="1" ref="I147" ca="1">IF($C147="N","",SUM(IF((INDIRECT("'"&amp;$C146&amp;"'!$I$23:$I$200")=$D$5)*(INDIRECT("'"&amp;$C146&amp;"'!$H$23:$H$200")=$E$5)*(INDIRECT("'"&amp;$C146&amp;"'!$O$23:$O$200")&lt;=-0.5)*(INDIRECT("'"&amp;$C146&amp;"'!$O$23:$O$200")&gt;=-2)*((INDIRECT("'"&amp;$C146&amp;"'!$K$23:$K$200")-INDIRECT("'"&amp;$C146&amp;"'!$J$23:$J$200"))&gt;-1),1,0)))</f>
        <v>1</v>
      </c>
      <c r="J147" s="601">
        <f t="shared" ca="1" si="132"/>
        <v>0.5</v>
      </c>
      <c r="K147" s="522">
        <f ca="1">IF($C147="N","",E147+G147+I147)</f>
        <v>2</v>
      </c>
      <c r="L147" s="655">
        <f t="array" aca="1" ref="L147" ca="1">IF($C147="N","",SUM(IF((INDIRECT("'"&amp;$C146&amp;"'!$I$23:$I$200")=$D$5)*(INDIRECT("'"&amp;$C146&amp;"'!$H$23:$H$200")=$L$5)*(INDIRECT("'"&amp;$C146&amp;"'!$O$23:$O$200")&lt;=-0.5)*(INDIRECT("'"&amp;$C146&amp;"'!$O$23:$O$200")&gt;=-2)*((INDIRECT("'"&amp;$C146&amp;"'!$J$23:$J$200")-INDIRECT("'"&amp;$C146&amp;"'!$K$23:$K$200"))&gt;1),1,0)))</f>
        <v>0</v>
      </c>
      <c r="M147" s="601" t="str">
        <f t="shared" ca="1" si="133"/>
        <v>-</v>
      </c>
      <c r="N147" s="418">
        <f t="array" aca="1" ref="N147" ca="1">IF($C147="N","",SUM(IF((INDIRECT("'"&amp;$C146&amp;"'!$I$23:$I$200")=$D$5)*(INDIRECT("'"&amp;$C146&amp;"'!$H$23:$H$200")=$L$5)*(INDIRECT("'"&amp;$C146&amp;"'!$O$23:$O$200")&lt;=-0.5)*(INDIRECT("'"&amp;$C146&amp;"'!$O$23:$O$200")&gt;=-2)*((INDIRECT("'"&amp;$C146&amp;"'!$J$23:$J$200")-INDIRECT("'"&amp;$C146&amp;"'!$K$23:$K$200"))=1),1,0)))</f>
        <v>0</v>
      </c>
      <c r="O147" s="601" t="str">
        <f t="shared" ca="1" si="134"/>
        <v>-</v>
      </c>
      <c r="P147" s="418">
        <f t="array" aca="1" ref="P147" ca="1">IF($C147="N","",SUM(IF((INDIRECT("'"&amp;$C146&amp;"'!$I$23:$I$200")=$D$5)*(INDIRECT("'"&amp;$C146&amp;"'!$H$23:$H$200")=$L$5)*(INDIRECT("'"&amp;$C146&amp;"'!$O$23:$O$200")&lt;=-0.5)*(INDIRECT("'"&amp;$C146&amp;"'!$O$23:$O$200")&gt;=-2)*((INDIRECT("'"&amp;$C146&amp;"'!$K$23:$K$200")-INDIRECT("'"&amp;$C146&amp;"'!$J$23:$J$200"))&gt;-1),1,0)))</f>
        <v>0</v>
      </c>
      <c r="Q147" s="601" t="str">
        <f t="shared" ca="1" si="135"/>
        <v>-</v>
      </c>
      <c r="R147" s="522">
        <f ca="1">IF($C147="N","",L147+N147+P147)</f>
        <v>0</v>
      </c>
      <c r="S147" s="655">
        <f ca="1">IF($C147="N","",L147+E147)</f>
        <v>1</v>
      </c>
      <c r="T147" s="601">
        <f t="shared" ca="1" si="136"/>
        <v>0.5</v>
      </c>
      <c r="U147" s="418">
        <f ca="1">IF($C147="N","",N147+G147)</f>
        <v>0</v>
      </c>
      <c r="V147" s="601" t="str">
        <f t="shared" ca="1" si="137"/>
        <v>-</v>
      </c>
      <c r="W147" s="418">
        <f ca="1">IF($C147="N","",P147+I147)</f>
        <v>1</v>
      </c>
      <c r="X147" s="601">
        <f t="shared" ca="1" si="138"/>
        <v>0.5</v>
      </c>
      <c r="Y147" s="602">
        <f ca="1">IF($C147="N","",R147+K147)</f>
        <v>2</v>
      </c>
      <c r="Z147" s="355"/>
    </row>
    <row r="148" spans="2:26">
      <c r="B148" s="568"/>
      <c r="C148" s="357" t="str">
        <f>C147</f>
        <v>Mito Hollyhock</v>
      </c>
      <c r="D148" s="654">
        <v>0</v>
      </c>
      <c r="E148" s="655">
        <f t="array" aca="1" ref="E148" ca="1">IF($C148="N","",SUM(IF((INDIRECT("'"&amp;$C146&amp;"'!$I$23:$I$200")=$D$5)*(INDIRECT("'"&amp;$C146&amp;"'!$H$23:$H$200")=$E$5)*(INDIRECT("'"&amp;$C146&amp;"'!$O$23:$O$200")&gt;=-0.25)*(INDIRECT("'"&amp;$C146&amp;"'!$O$23:$O$200")&lt;=0.25)*(INDIRECT("'"&amp;$C146&amp;"'!$O$23:$O$200")&lt;&gt;"")*((INDIRECT("'"&amp;$C146&amp;"'!$J$23:$J$200")-INDIRECT("'"&amp;$C146&amp;"'!$K$23:$K$200"))&gt;0),1,0)))</f>
        <v>9</v>
      </c>
      <c r="F148" s="601">
        <f t="shared" ca="1" si="130"/>
        <v>0.47368421052631576</v>
      </c>
      <c r="G148" s="418">
        <f t="array" aca="1" ref="G148" ca="1">IF($C148="N","",SUM(IF((INDIRECT("'"&amp;$C146&amp;"'!$I$23:$I$200")=$D$5)*(INDIRECT("'"&amp;$C146&amp;"'!$H$23:$H$200")=$E$5)*(INDIRECT("'"&amp;$C146&amp;"'!$O$23:$O$200")&gt;=-0.25)*(INDIRECT("'"&amp;$C146&amp;"'!$O$23:$O$200")&lt;=0.25)*(INDIRECT("'"&amp;$C146&amp;"'!$O$23:$O$200")&lt;&gt;"")*((INDIRECT("'"&amp;$C146&amp;"'!$J$23:$J$200")-INDIRECT("'"&amp;$C146&amp;"'!$K$23:$K$200"))=0),1,0)))</f>
        <v>5</v>
      </c>
      <c r="H148" s="601">
        <f t="shared" ca="1" si="131"/>
        <v>0.26315789473684209</v>
      </c>
      <c r="I148" s="418">
        <f t="array" aca="1" ref="I148" ca="1">IF($C148="N","",SUM(IF((INDIRECT("'"&amp;$C146&amp;"'!$I$23:$I$200")=$D$5)*(INDIRECT("'"&amp;$C146&amp;"'!$H$23:$H$200")=$E$5)*(INDIRECT("'"&amp;$C146&amp;"'!$O$23:$O$200")&gt;=-0.25)*(INDIRECT("'"&amp;$C146&amp;"'!$O$23:$O$200")&lt;=0.25)*(INDIRECT("'"&amp;$C146&amp;"'!$O$23:$O$200")&lt;&gt;"")*((INDIRECT("'"&amp;$C146&amp;"'!$J$23:$J$200")-INDIRECT("'"&amp;$C146&amp;"'!$K$23:$K$200"))&lt;0),1,0)))</f>
        <v>5</v>
      </c>
      <c r="J148" s="601">
        <f t="shared" ca="1" si="132"/>
        <v>0.26315789473684209</v>
      </c>
      <c r="K148" s="522">
        <f ca="1">IF($C148="N","",E148+G148+I148)</f>
        <v>19</v>
      </c>
      <c r="L148" s="655">
        <f t="array" aca="1" ref="L148" ca="1">IF($C148="N","",SUM(IF((INDIRECT("'"&amp;$C146&amp;"'!$I$23:$I$200")=$D$5)*(INDIRECT("'"&amp;$C146&amp;"'!$H$23:$H$200")=$L$5)*(INDIRECT("'"&amp;$C146&amp;"'!$O$23:$O$200")&gt;=-0.25)*(INDIRECT("'"&amp;$C146&amp;"'!$O$23:$O$200")&lt;=0.25)*(INDIRECT("'"&amp;$C146&amp;"'!$O$23:$O$200")&lt;&gt;"")*((INDIRECT("'"&amp;$C146&amp;"'!$J$23:$J$200")-INDIRECT("'"&amp;$C146&amp;"'!$K$23:$K$200"))&gt;0),1,0)))</f>
        <v>2</v>
      </c>
      <c r="M148" s="601">
        <f t="shared" ca="1" si="133"/>
        <v>0.13333333333333333</v>
      </c>
      <c r="N148" s="418">
        <f t="array" aca="1" ref="N148" ca="1">IF($C148="N","",SUM(IF((INDIRECT("'"&amp;$C146&amp;"'!$I$23:$I$200")=$D$5)*(INDIRECT("'"&amp;$C146&amp;"'!$H$23:$H$200")=$L$5)*(INDIRECT("'"&amp;$C146&amp;"'!$O$23:$O$200")&gt;=-0.25)*(INDIRECT("'"&amp;$C146&amp;"'!$O$23:$O$200")&lt;=0.25)*(INDIRECT("'"&amp;$C146&amp;"'!$O$23:$O$200")&lt;&gt;"")*((INDIRECT("'"&amp;$C146&amp;"'!$J$23:$J$200")-INDIRECT("'"&amp;$C146&amp;"'!$K$23:$K$200"))=0),1,0)))</f>
        <v>5</v>
      </c>
      <c r="O148" s="601">
        <f t="shared" ca="1" si="134"/>
        <v>0.33333333333333331</v>
      </c>
      <c r="P148" s="418">
        <f t="array" aca="1" ref="P148" ca="1">IF($C148="N","",SUM(IF((INDIRECT("'"&amp;$C146&amp;"'!$I$23:$I$200")=$D$5)*(INDIRECT("'"&amp;$C146&amp;"'!$H$23:$H$200")=$L$5)*(INDIRECT("'"&amp;$C146&amp;"'!$O$23:$O$200")&gt;=-0.25)*(INDIRECT("'"&amp;$C146&amp;"'!$O$23:$O$200")&lt;=0.25)*(INDIRECT("'"&amp;$C146&amp;"'!$O$23:$O$200")&lt;&gt;"")*((INDIRECT("'"&amp;$C146&amp;"'!$J$23:$J$200")-INDIRECT("'"&amp;$C146&amp;"'!$K$23:$K$200"))&lt;0),1,0)))</f>
        <v>8</v>
      </c>
      <c r="Q148" s="601">
        <f t="shared" ca="1" si="135"/>
        <v>0.53333333333333333</v>
      </c>
      <c r="R148" s="522">
        <f ca="1">IF($C148="N","",L148+N148+P148)</f>
        <v>15</v>
      </c>
      <c r="S148" s="655">
        <f ca="1">IF($C148="N","",L148+E148)</f>
        <v>11</v>
      </c>
      <c r="T148" s="601">
        <f t="shared" ca="1" si="136"/>
        <v>0.3235294117647059</v>
      </c>
      <c r="U148" s="418">
        <f ca="1">IF($C148="N","",N148+G148)</f>
        <v>10</v>
      </c>
      <c r="V148" s="601">
        <f t="shared" ca="1" si="137"/>
        <v>0.29411764705882354</v>
      </c>
      <c r="W148" s="418">
        <f ca="1">IF($C148="N","",P148+I148)</f>
        <v>13</v>
      </c>
      <c r="X148" s="601">
        <f t="shared" ca="1" si="138"/>
        <v>0.38235294117647056</v>
      </c>
      <c r="Y148" s="602">
        <f ca="1">IF($C148="N","",R148+K148)</f>
        <v>34</v>
      </c>
      <c r="Z148" s="355"/>
    </row>
    <row r="149" spans="2:26">
      <c r="B149" s="568"/>
      <c r="C149" s="357" t="str">
        <f>C148</f>
        <v>Mito Hollyhock</v>
      </c>
      <c r="D149" s="654">
        <v>1</v>
      </c>
      <c r="E149" s="655">
        <f t="array" aca="1" ref="E149" ca="1">IF($C149="N","",SUM(IF((INDIRECT("'"&amp;$C146&amp;"'!$I$23:$I$200")=$D$5)*(INDIRECT("'"&amp;$C146&amp;"'!$H$23:$H$200")=$E$5)*(INDIRECT("'"&amp;$C146&amp;"'!$O$23:$O$200")&gt;=0.5)*(INDIRECT("'"&amp;$C146&amp;"'!$O$23:$O$200")&lt;=2)*((INDIRECT("'"&amp;$C146&amp;"'!$J$23:$J$200")-INDIRECT("'"&amp;$C146&amp;"'!$K$23:$K$200"))&gt;-1),1,0)))</f>
        <v>0</v>
      </c>
      <c r="F149" s="601" t="str">
        <f t="shared" ca="1" si="130"/>
        <v>-</v>
      </c>
      <c r="G149" s="418">
        <f t="array" aca="1" ref="G149" ca="1">IF($C149="N","",SUM(IF((INDIRECT("'"&amp;$C146&amp;"'!$I$23:$I$200")=$D$5)*(INDIRECT("'"&amp;$C146&amp;"'!$H$23:$H$200")=$E$5)*(INDIRECT("'"&amp;$C146&amp;"'!$O$23:$O$200")&gt;=0.5)*(INDIRECT("'"&amp;$C146&amp;"'!$O$23:$O$200")&lt;=2)*((INDIRECT("'"&amp;$C146&amp;"'!$J$23:$J$200")-INDIRECT("'"&amp;$C146&amp;"'!$K$23:$K$200"))=-1),1,0)))</f>
        <v>0</v>
      </c>
      <c r="H149" s="601" t="str">
        <f t="shared" ca="1" si="131"/>
        <v>-</v>
      </c>
      <c r="I149" s="418">
        <f t="array" aca="1" ref="I149" ca="1">IF($C149="N","",SUM(IF((INDIRECT("'"&amp;$C146&amp;"'!$I$23:$I$200")=$D$5)*(INDIRECT("'"&amp;$C146&amp;"'!$H$23:$H$200")=$E$5)*(INDIRECT("'"&amp;$C146&amp;"'!$O$23:$O$200")&gt;=0.5)*(INDIRECT("'"&amp;$C146&amp;"'!$O$23:$O$200")&lt;=2)*((INDIRECT("'"&amp;$C146&amp;"'!$J$23:$J$200")-INDIRECT("'"&amp;$C146&amp;"'!$K$23:$K$200"))&lt;-1),1,0)))</f>
        <v>0</v>
      </c>
      <c r="J149" s="601" t="str">
        <f t="shared" ca="1" si="132"/>
        <v>-</v>
      </c>
      <c r="K149" s="522">
        <f ca="1">IF($C149="N","",E149+G149+I149)</f>
        <v>0</v>
      </c>
      <c r="L149" s="655">
        <f t="array" aca="1" ref="L149" ca="1">IF($C149="N","",SUM(IF((INDIRECT("'"&amp;$C146&amp;"'!$I$23:$I$200")=$D$5)*(INDIRECT("'"&amp;$C146&amp;"'!$H$23:$H$200")=$L$5)*(INDIRECT("'"&amp;$C146&amp;"'!$O$23:$O$200")&gt;=0.5)*(INDIRECT("'"&amp;$C146&amp;"'!$O$23:$O$200")&lt;=2)*((INDIRECT("'"&amp;$C146&amp;"'!$J$23:$J$200")-INDIRECT("'"&amp;$C146&amp;"'!$K$23:$K$200"))&gt;-1),1,0)))</f>
        <v>3</v>
      </c>
      <c r="M149" s="601">
        <f t="shared" ca="1" si="133"/>
        <v>0.5</v>
      </c>
      <c r="N149" s="418">
        <f t="array" aca="1" ref="N149" ca="1">IF($C149="N","",SUM(IF((INDIRECT("'"&amp;$C146&amp;"'!$I$23:$I$200")=$D$5)*(INDIRECT("'"&amp;$C146&amp;"'!$H$23:$H$200")=$L$5)*(INDIRECT("'"&amp;$C146&amp;"'!$O$23:$O$200")&gt;=0.5)*(INDIRECT("'"&amp;$C146&amp;"'!$O$23:$O$200")&lt;=2)*((INDIRECT("'"&amp;$C146&amp;"'!$J$23:$J$200")-INDIRECT("'"&amp;$C146&amp;"'!$K$23:$K$200"))=-1),1,0)))</f>
        <v>2</v>
      </c>
      <c r="O149" s="601">
        <f t="shared" ca="1" si="134"/>
        <v>0.33333333333333331</v>
      </c>
      <c r="P149" s="418">
        <f t="array" aca="1" ref="P149" ca="1">IF($C149="N","",SUM(IF((INDIRECT("'"&amp;$C146&amp;"'!$I$23:$I$200")=$D$5)*(INDIRECT("'"&amp;$C146&amp;"'!$H$23:$H$200")=$L$5)*(INDIRECT("'"&amp;$C146&amp;"'!$O$23:$O$200")&gt;=0.5)*(INDIRECT("'"&amp;$C146&amp;"'!$O$23:$O$200")&lt;=2)*((INDIRECT("'"&amp;$C146&amp;"'!$J$23:$J$200")-INDIRECT("'"&amp;$C146&amp;"'!$K$23:$K$200"))&lt;-1),1,0)))</f>
        <v>1</v>
      </c>
      <c r="Q149" s="601">
        <f t="shared" ca="1" si="135"/>
        <v>0.16666666666666666</v>
      </c>
      <c r="R149" s="522">
        <f ca="1">IF($C149="N","",L149+N149+P149)</f>
        <v>6</v>
      </c>
      <c r="S149" s="655">
        <f ca="1">IF($C149="N","",L149+E149)</f>
        <v>3</v>
      </c>
      <c r="T149" s="601">
        <f t="shared" ca="1" si="136"/>
        <v>0.5</v>
      </c>
      <c r="U149" s="418">
        <f ca="1">IF($C149="N","",N149+G149)</f>
        <v>2</v>
      </c>
      <c r="V149" s="601">
        <f t="shared" ca="1" si="137"/>
        <v>0.33333333333333331</v>
      </c>
      <c r="W149" s="418">
        <f ca="1">IF($C149="N","",P149+I149)</f>
        <v>1</v>
      </c>
      <c r="X149" s="601">
        <f t="shared" ca="1" si="138"/>
        <v>0.16666666666666666</v>
      </c>
      <c r="Y149" s="602">
        <f ca="1">IF($C149="N","",R149+K149)</f>
        <v>6</v>
      </c>
      <c r="Z149" s="355"/>
    </row>
    <row r="150" spans="2:26" ht="13.5" thickBot="1">
      <c r="B150" s="568"/>
      <c r="C150" s="357" t="str">
        <f>C149</f>
        <v>Mito Hollyhock</v>
      </c>
      <c r="D150" s="654">
        <v>2</v>
      </c>
      <c r="E150" s="657">
        <f t="array" aca="1" ref="E150" ca="1">IF($C150="N","",SUM(IF((INDIRECT("'"&amp;$C146&amp;"'!$I$23:$I$200")=$D$5)*(INDIRECT("'"&amp;$C146&amp;"'!$H$23:$H$200")=$E$5)*(INDIRECT("'"&amp;$C146&amp;"'!$O$23:$O$200")&gt;=2.25)*((INDIRECT("'"&amp;$C146&amp;"'!$J$23:$J$200")-INDIRECT("'"&amp;$C146&amp;"'!$K$23:$K$200"))&gt;-2),1,0)))</f>
        <v>0</v>
      </c>
      <c r="F150" s="605" t="str">
        <f t="shared" ca="1" si="130"/>
        <v>-</v>
      </c>
      <c r="G150" s="658">
        <f t="array" aca="1" ref="G150" ca="1">IF($C150="N","",SUM(IF((INDIRECT("'"&amp;$C146&amp;"'!$I$23:$I$200")=$D$5)*(INDIRECT("'"&amp;$C146&amp;"'!$H$23:$H$200")=$E$5)*(INDIRECT("'"&amp;$C146&amp;"'!$O$23:$O$200")&gt;=2.25)*((INDIRECT("'"&amp;$C146&amp;"'!$J$23:$J$200")-INDIRECT("'"&amp;$C146&amp;"'!$K$23:$K$200"))=-2),1,0)))</f>
        <v>0</v>
      </c>
      <c r="H150" s="605" t="str">
        <f t="shared" ca="1" si="131"/>
        <v>-</v>
      </c>
      <c r="I150" s="658">
        <f t="array" aca="1" ref="I150" ca="1">IF($C150="N","",SUM(IF((INDIRECT("'"&amp;$C146&amp;"'!$I$23:$I$200")=$D$5)*(INDIRECT("'"&amp;$C146&amp;"'!$H$23:$H$200")=$E$5)*(INDIRECT("'"&amp;$C146&amp;"'!$O$23:$O$200")&gt;=2.25)*((INDIRECT("'"&amp;$C146&amp;"'!$J$23:$J$200")-INDIRECT("'"&amp;$C146&amp;"'!$K$23:$K$200"))&lt;-2),1,0)))</f>
        <v>0</v>
      </c>
      <c r="J150" s="605" t="str">
        <f t="shared" ca="1" si="132"/>
        <v>-</v>
      </c>
      <c r="K150" s="659">
        <f ca="1">IF($C150="N","",E150+G150+I150)</f>
        <v>0</v>
      </c>
      <c r="L150" s="657">
        <f t="array" aca="1" ref="L150" ca="1">IF($C150="N","",SUM(IF((INDIRECT("'"&amp;$C146&amp;"'!$I$23:$I$200")=$D$5)*(INDIRECT("'"&amp;$C146&amp;"'!$H$23:$H$200")=$L$5)*(INDIRECT("'"&amp;$C146&amp;"'!$O$23:$O$200")&gt;=2.25)*((INDIRECT("'"&amp;$C146&amp;"'!$J$23:$J$200")-INDIRECT("'"&amp;$C146&amp;"'!$K$23:$K$200"))&gt;-2),1,0)))</f>
        <v>0</v>
      </c>
      <c r="M150" s="605" t="str">
        <f t="shared" ca="1" si="133"/>
        <v>-</v>
      </c>
      <c r="N150" s="658">
        <f t="array" aca="1" ref="N150" ca="1">IF($C150="N","",SUM(IF((INDIRECT("'"&amp;$C146&amp;"'!$I$23:$I$200")=$D$5)*(INDIRECT("'"&amp;$C146&amp;"'!$H$23:$H$200")=$L$5)*(INDIRECT("'"&amp;$C146&amp;"'!$O$23:$O$200")&gt;=2.25)*((INDIRECT("'"&amp;$C146&amp;"'!$J$23:$J$200")-INDIRECT("'"&amp;$C146&amp;"'!$K$23:$K$200"))=-2),1,0)))</f>
        <v>0</v>
      </c>
      <c r="O150" s="605" t="str">
        <f t="shared" ca="1" si="134"/>
        <v>-</v>
      </c>
      <c r="P150" s="658">
        <f t="array" aca="1" ref="P150" ca="1">IF($C150="N","",SUM(IF((INDIRECT("'"&amp;$C146&amp;"'!$I$23:$I$200")=$D$5)*(INDIRECT("'"&amp;$C146&amp;"'!$H$23:$H$200")=$L$5)*(INDIRECT("'"&amp;$C146&amp;"'!$O$23:$O$200")&gt;=2.25)*((INDIRECT("'"&amp;$C146&amp;"'!$J$23:$J$200")-INDIRECT("'"&amp;$C146&amp;"'!$K$23:$K$200"))&lt;-2),1,0)))</f>
        <v>0</v>
      </c>
      <c r="Q150" s="605" t="str">
        <f t="shared" ca="1" si="135"/>
        <v>-</v>
      </c>
      <c r="R150" s="659">
        <f ca="1">IF($C150="N","",L150+N150+P150)</f>
        <v>0</v>
      </c>
      <c r="S150" s="657">
        <f ca="1">IF($C150="N","",L150+E150)</f>
        <v>0</v>
      </c>
      <c r="T150" s="605" t="str">
        <f t="shared" ca="1" si="136"/>
        <v>-</v>
      </c>
      <c r="U150" s="658">
        <f ca="1">IF($C150="N","",N150+G150)</f>
        <v>0</v>
      </c>
      <c r="V150" s="605" t="str">
        <f t="shared" ca="1" si="137"/>
        <v>-</v>
      </c>
      <c r="W150" s="658">
        <f ca="1">IF($C150="N","",P150+I150)</f>
        <v>0</v>
      </c>
      <c r="X150" s="605" t="str">
        <f t="shared" ca="1" si="138"/>
        <v>-</v>
      </c>
      <c r="Y150" s="608">
        <f ca="1">IF($C150="N","",R150+K150)</f>
        <v>0</v>
      </c>
      <c r="Z150" s="355"/>
    </row>
    <row r="151" spans="2:26" ht="13.5" thickBot="1">
      <c r="B151" s="568" t="str">
        <f>D144</f>
        <v>Mito Hollyhock</v>
      </c>
      <c r="D151" s="661" t="s">
        <v>115</v>
      </c>
      <c r="E151" s="481">
        <f ca="1">SUM(E146:E150)</f>
        <v>10</v>
      </c>
      <c r="F151" s="435">
        <f t="shared" ca="1" si="130"/>
        <v>0.47619047619047616</v>
      </c>
      <c r="G151" s="438">
        <f ca="1">SUM(G146:G150)</f>
        <v>5</v>
      </c>
      <c r="H151" s="435">
        <f t="shared" ca="1" si="131"/>
        <v>0.23809523809523808</v>
      </c>
      <c r="I151" s="438">
        <f ca="1">SUM(I146:I150)</f>
        <v>6</v>
      </c>
      <c r="J151" s="435">
        <f t="shared" ca="1" si="132"/>
        <v>0.2857142857142857</v>
      </c>
      <c r="K151" s="479">
        <f ca="1">SUM(K146:K150)</f>
        <v>21</v>
      </c>
      <c r="L151" s="662">
        <f ca="1">SUM(L146:L150)</f>
        <v>5</v>
      </c>
      <c r="M151" s="435">
        <f t="shared" ca="1" si="133"/>
        <v>0.23809523809523808</v>
      </c>
      <c r="N151" s="438">
        <f ca="1">SUM(N146:N150)</f>
        <v>7</v>
      </c>
      <c r="O151" s="435">
        <f t="shared" ca="1" si="134"/>
        <v>0.33333333333333331</v>
      </c>
      <c r="P151" s="438">
        <f ca="1">SUM(P146:P150)</f>
        <v>9</v>
      </c>
      <c r="Q151" s="435">
        <f t="shared" ca="1" si="135"/>
        <v>0.42857142857142855</v>
      </c>
      <c r="R151" s="480">
        <f ca="1">SUM(R146:R150)</f>
        <v>21</v>
      </c>
      <c r="S151" s="481">
        <f ca="1">SUM(S146:S150)</f>
        <v>15</v>
      </c>
      <c r="T151" s="435">
        <f t="shared" ca="1" si="136"/>
        <v>0.35714285714285715</v>
      </c>
      <c r="U151" s="438">
        <f ca="1">SUM(U146:U150)</f>
        <v>12</v>
      </c>
      <c r="V151" s="435">
        <f t="shared" ca="1" si="137"/>
        <v>0.2857142857142857</v>
      </c>
      <c r="W151" s="438">
        <f ca="1">SUM(W146:W150)</f>
        <v>15</v>
      </c>
      <c r="X151" s="435">
        <f t="shared" ca="1" si="138"/>
        <v>0.35714285714285715</v>
      </c>
      <c r="Y151" s="479">
        <f ca="1">SUM(Y146:Y150)</f>
        <v>42</v>
      </c>
    </row>
    <row r="152" spans="2:26" ht="13.5" thickBot="1">
      <c r="B152" s="568"/>
    </row>
    <row r="153" spans="2:26">
      <c r="D153" s="562" t="str">
        <f>D2</f>
        <v>Montedio Yamagata</v>
      </c>
      <c r="E153" s="582" t="s">
        <v>162</v>
      </c>
      <c r="F153" s="583"/>
      <c r="G153" s="584"/>
      <c r="H153" s="583"/>
      <c r="I153" s="585"/>
      <c r="J153" s="584"/>
      <c r="K153" s="586"/>
      <c r="L153" s="641" t="s">
        <v>163</v>
      </c>
      <c r="M153" s="583"/>
      <c r="N153" s="584"/>
      <c r="O153" s="583"/>
      <c r="P153" s="585"/>
      <c r="Q153" s="583"/>
      <c r="R153" s="584"/>
      <c r="S153" s="582" t="s">
        <v>164</v>
      </c>
      <c r="T153" s="583"/>
      <c r="U153" s="584"/>
      <c r="V153" s="583"/>
      <c r="W153" s="587"/>
      <c r="X153" s="588"/>
      <c r="Y153" s="589"/>
    </row>
    <row r="154" spans="2:26" ht="13.5" thickBot="1">
      <c r="D154" s="644" t="s">
        <v>165</v>
      </c>
      <c r="E154" s="590" t="s">
        <v>63</v>
      </c>
      <c r="F154" s="591"/>
      <c r="G154" s="645" t="s">
        <v>64</v>
      </c>
      <c r="H154" s="591"/>
      <c r="I154" s="645" t="s">
        <v>65</v>
      </c>
      <c r="J154" s="645"/>
      <c r="K154" s="646" t="s">
        <v>171</v>
      </c>
      <c r="L154" s="647" t="s">
        <v>63</v>
      </c>
      <c r="M154" s="591"/>
      <c r="N154" s="645" t="s">
        <v>64</v>
      </c>
      <c r="O154" s="591"/>
      <c r="P154" s="645" t="s">
        <v>65</v>
      </c>
      <c r="Q154" s="591"/>
      <c r="R154" s="646" t="s">
        <v>172</v>
      </c>
      <c r="S154" s="590" t="s">
        <v>63</v>
      </c>
      <c r="T154" s="591"/>
      <c r="U154" s="645" t="s">
        <v>64</v>
      </c>
      <c r="V154" s="648"/>
      <c r="W154" s="645" t="s">
        <v>65</v>
      </c>
      <c r="X154" s="591"/>
      <c r="Y154" s="646" t="s">
        <v>168</v>
      </c>
      <c r="Z154" s="355"/>
    </row>
    <row r="155" spans="2:26">
      <c r="B155" s="568"/>
      <c r="C155" s="357" t="str">
        <f>IF(D153=0,"N",D153)</f>
        <v>Montedio Yamagata</v>
      </c>
      <c r="D155" s="651">
        <v>-2</v>
      </c>
      <c r="E155" s="599">
        <f t="array" aca="1" ref="E155" ca="1">IF($C155="N","",SUM(IF((INDIRECT("'"&amp;$C155&amp;"'!$I$23:$I$200")=$D$5)*(INDIRECT("'"&amp;$C155&amp;"'!$H$23:$H$200")=$E$5)*(INDIRECT("'"&amp;$C155&amp;"'!$O$23:$O$200")&lt;=-2.25)*((INDIRECT("'"&amp;$C155&amp;"'!$J$23:$J$200")-INDIRECT("'"&amp;$C155&amp;"'!$K$23:$K$200"))&gt;2),1,0)))</f>
        <v>0</v>
      </c>
      <c r="F155" s="406" t="str">
        <f t="shared" ref="F155:F160" ca="1" si="139">IF(E155="","",IF(E155=0,"-",E155/$K155))</f>
        <v>-</v>
      </c>
      <c r="G155" s="408">
        <f t="array" aca="1" ref="G155" ca="1">IF($C155="N","",SUM(IF((INDIRECT("'"&amp;$C155&amp;"'!$I$23:$I$200")=$D$5)*(INDIRECT("'"&amp;$C155&amp;"'!$H$23:$H$200")=$E$5)*(INDIRECT("'"&amp;$C155&amp;"'!$O$23:$O$200")&lt;=-2.25)*((INDIRECT("'"&amp;$C155&amp;"'!$J$23:$J$200")-INDIRECT("'"&amp;$C155&amp;"'!$K$23:$K$200"))=2),1,0)))</f>
        <v>0</v>
      </c>
      <c r="H155" s="406" t="str">
        <f t="shared" ref="H155:H160" ca="1" si="140">IF(G155="","",IF(G155=0,"-",G155/$K155))</f>
        <v>-</v>
      </c>
      <c r="I155" s="408">
        <f t="array" aca="1" ref="I155" ca="1">IF($C155="N","",SUM(IF((INDIRECT("'"&amp;$C155&amp;"'!$I$23:$I$200")=$D$5)*(INDIRECT("'"&amp;$C155&amp;"'!$H$23:$H$200")=$E$5)*(INDIRECT("'"&amp;$C155&amp;"'!$O$23:$O$200")&lt;=-2.25)*((INDIRECT("'"&amp;$C155&amp;"'!$K$23:$K$200")-INDIRECT("'"&amp;$C155&amp;"'!$J$23:$J$200"))&gt;-2),1,0)))</f>
        <v>0</v>
      </c>
      <c r="J155" s="406" t="str">
        <f t="shared" ref="J155:J160" ca="1" si="141">IF(I155="","",IF(I155=0,"-",I155/$K155))</f>
        <v>-</v>
      </c>
      <c r="K155" s="602">
        <f ca="1">IF($C155="N","",E155+G155+I155)</f>
        <v>0</v>
      </c>
      <c r="L155" s="599">
        <f t="array" aca="1" ref="L155" ca="1">IF($C155="N","",SUM(IF((INDIRECT("'"&amp;$C155&amp;"'!$I$23:$I$200")=$D$5)*(INDIRECT("'"&amp;$C155&amp;"'!$H$23:$H$200")=$L$5)*(INDIRECT("'"&amp;$C155&amp;"'!$O$23:$O$200")&lt;=-2.25)*((INDIRECT("'"&amp;$C155&amp;"'!$J$23:$J$200")-INDIRECT("'"&amp;$C155&amp;"'!$K$23:$K$200"))&gt;2),1,0)))</f>
        <v>0</v>
      </c>
      <c r="M155" s="406" t="str">
        <f t="shared" ref="M155:M160" ca="1" si="142">IF(L155="","",IF(L155=0,"-",L155/$R155))</f>
        <v>-</v>
      </c>
      <c r="N155" s="408">
        <f t="array" aca="1" ref="N155" ca="1">IF($C155="N","",SUM(IF((INDIRECT("'"&amp;$C155&amp;"'!$I$23:$I$200")=$D$5)*(INDIRECT("'"&amp;$C155&amp;"'!$H$23:$H$200")=$L$5)*(INDIRECT("'"&amp;$C155&amp;"'!$O$23:$O$200")&lt;=-2.25)*((INDIRECT("'"&amp;$C155&amp;"'!$J$23:$J$200")-INDIRECT("'"&amp;$C155&amp;"'!$K$23:$K$200"))=2),1,0)))</f>
        <v>0</v>
      </c>
      <c r="O155" s="406" t="str">
        <f t="shared" ref="O155:O160" ca="1" si="143">IF(N155="","",IF(N155=0,"-",N155/$R155))</f>
        <v>-</v>
      </c>
      <c r="P155" s="408">
        <f t="array" aca="1" ref="P155" ca="1">IF($C155="N","",SUM(IF((INDIRECT("'"&amp;$C155&amp;"'!$I$23:$I$200")=$D$5)*(INDIRECT("'"&amp;$C155&amp;"'!$H$23:$H$200")=$L$5)*(INDIRECT("'"&amp;$C155&amp;"'!$O$23:$O$200")&lt;=-2.25)*((INDIRECT("'"&amp;$C155&amp;"'!$K$23:$K$200")-INDIRECT("'"&amp;$C155&amp;"'!$J$23:$J$200"))&gt;-2),1,0)))</f>
        <v>0</v>
      </c>
      <c r="Q155" s="406" t="str">
        <f t="shared" ref="Q155:Q160" ca="1" si="144">IF(P155="","",IF(P155=0,"-",P155/$R155))</f>
        <v>-</v>
      </c>
      <c r="R155" s="602">
        <f ca="1">IF($C155="N","",L155+N155+P155)</f>
        <v>0</v>
      </c>
      <c r="S155" s="599">
        <f ca="1">IF($C155="N","",L155+E155)</f>
        <v>0</v>
      </c>
      <c r="T155" s="406" t="str">
        <f t="shared" ref="T155:T160" ca="1" si="145">IF(S155="","",IF(S155=0,"-",S155/$Y155))</f>
        <v>-</v>
      </c>
      <c r="U155" s="408">
        <f ca="1">IF($C155="N","",N155+G155)</f>
        <v>0</v>
      </c>
      <c r="V155" s="406" t="str">
        <f t="shared" ref="V155:V160" ca="1" si="146">IF(U155="","",IF(U155=0,"-",U155/$Y155))</f>
        <v>-</v>
      </c>
      <c r="W155" s="408">
        <f ca="1">IF($C155="N","",P155+I155)</f>
        <v>0</v>
      </c>
      <c r="X155" s="406" t="str">
        <f t="shared" ref="X155:X160" ca="1" si="147">IF(W155="","",IF(W155=0,"-",W155/$Y155))</f>
        <v>-</v>
      </c>
      <c r="Y155" s="602">
        <f ca="1">IF($C155="N","",R155+K155)</f>
        <v>0</v>
      </c>
      <c r="Z155" s="355"/>
    </row>
    <row r="156" spans="2:26">
      <c r="B156" s="568"/>
      <c r="C156" s="357" t="str">
        <f>C155</f>
        <v>Montedio Yamagata</v>
      </c>
      <c r="D156" s="654">
        <v>-1</v>
      </c>
      <c r="E156" s="655">
        <f t="array" aca="1" ref="E156" ca="1">IF($C156="N","",SUM(IF((INDIRECT("'"&amp;$C155&amp;"'!$I$23:$I$200")=$D$5)*(INDIRECT("'"&amp;$C155&amp;"'!$H$23:$H$200")=$E$5)*(INDIRECT("'"&amp;$C155&amp;"'!$O$23:$O$200")&lt;=-0.5)*(INDIRECT("'"&amp;$C155&amp;"'!$O$23:$O$200")&gt;=-2)*((INDIRECT("'"&amp;$C155&amp;"'!$J$23:$J$200")-INDIRECT("'"&amp;$C155&amp;"'!$K$23:$K$200"))&gt;1),1,0)))</f>
        <v>0</v>
      </c>
      <c r="F156" s="601" t="str">
        <f t="shared" ca="1" si="139"/>
        <v>-</v>
      </c>
      <c r="G156" s="418">
        <f t="array" aca="1" ref="G156" ca="1">IF($C156="N","",SUM(IF((INDIRECT("'"&amp;$C155&amp;"'!$I$23:$I$200")=$D$5)*(INDIRECT("'"&amp;$C155&amp;"'!$H$23:$H$200")=$E$5)*(INDIRECT("'"&amp;$C155&amp;"'!$O$23:$O$200")&lt;=-0.5)*(INDIRECT("'"&amp;$C155&amp;"'!$O$23:$O$200")&gt;=-2)*((INDIRECT("'"&amp;$C155&amp;"'!$J$23:$J$200")-INDIRECT("'"&amp;$C155&amp;"'!$K$23:$K$200"))=1),1,0)))</f>
        <v>2</v>
      </c>
      <c r="H156" s="601">
        <f t="shared" ca="1" si="140"/>
        <v>0.4</v>
      </c>
      <c r="I156" s="418">
        <f t="array" aca="1" ref="I156" ca="1">IF($C156="N","",SUM(IF((INDIRECT("'"&amp;$C155&amp;"'!$I$23:$I$200")=$D$5)*(INDIRECT("'"&amp;$C155&amp;"'!$H$23:$H$200")=$E$5)*(INDIRECT("'"&amp;$C155&amp;"'!$O$23:$O$200")&lt;=-0.5)*(INDIRECT("'"&amp;$C155&amp;"'!$O$23:$O$200")&gt;=-2)*((INDIRECT("'"&amp;$C155&amp;"'!$K$23:$K$200")-INDIRECT("'"&amp;$C155&amp;"'!$J$23:$J$200"))&gt;-1),1,0)))</f>
        <v>3</v>
      </c>
      <c r="J156" s="601">
        <f t="shared" ca="1" si="141"/>
        <v>0.6</v>
      </c>
      <c r="K156" s="522">
        <f ca="1">IF($C156="N","",E156+G156+I156)</f>
        <v>5</v>
      </c>
      <c r="L156" s="655">
        <f t="array" aca="1" ref="L156" ca="1">IF($C156="N","",SUM(IF((INDIRECT("'"&amp;$C155&amp;"'!$I$23:$I$200")=$D$5)*(INDIRECT("'"&amp;$C155&amp;"'!$H$23:$H$200")=$L$5)*(INDIRECT("'"&amp;$C155&amp;"'!$O$23:$O$200")&lt;=-0.5)*(INDIRECT("'"&amp;$C155&amp;"'!$O$23:$O$200")&gt;=-2)*((INDIRECT("'"&amp;$C155&amp;"'!$J$23:$J$200")-INDIRECT("'"&amp;$C155&amp;"'!$K$23:$K$200"))&gt;1),1,0)))</f>
        <v>0</v>
      </c>
      <c r="M156" s="601" t="str">
        <f t="shared" ca="1" si="142"/>
        <v>-</v>
      </c>
      <c r="N156" s="418">
        <f t="array" aca="1" ref="N156" ca="1">IF($C156="N","",SUM(IF((INDIRECT("'"&amp;$C155&amp;"'!$I$23:$I$200")=$D$5)*(INDIRECT("'"&amp;$C155&amp;"'!$H$23:$H$200")=$L$5)*(INDIRECT("'"&amp;$C155&amp;"'!$O$23:$O$200")&lt;=-0.5)*(INDIRECT("'"&amp;$C155&amp;"'!$O$23:$O$200")&gt;=-2)*((INDIRECT("'"&amp;$C155&amp;"'!$J$23:$J$200")-INDIRECT("'"&amp;$C155&amp;"'!$K$23:$K$200"))=1),1,0)))</f>
        <v>1</v>
      </c>
      <c r="O156" s="601">
        <f t="shared" ca="1" si="143"/>
        <v>1</v>
      </c>
      <c r="P156" s="418">
        <f t="array" aca="1" ref="P156" ca="1">IF($C156="N","",SUM(IF((INDIRECT("'"&amp;$C155&amp;"'!$I$23:$I$200")=$D$5)*(INDIRECT("'"&amp;$C155&amp;"'!$H$23:$H$200")=$L$5)*(INDIRECT("'"&amp;$C155&amp;"'!$O$23:$O$200")&lt;=-0.5)*(INDIRECT("'"&amp;$C155&amp;"'!$O$23:$O$200")&gt;=-2)*((INDIRECT("'"&amp;$C155&amp;"'!$K$23:$K$200")-INDIRECT("'"&amp;$C155&amp;"'!$J$23:$J$200"))&gt;-1),1,0)))</f>
        <v>0</v>
      </c>
      <c r="Q156" s="601" t="str">
        <f t="shared" ca="1" si="144"/>
        <v>-</v>
      </c>
      <c r="R156" s="522">
        <f ca="1">IF($C156="N","",L156+N156+P156)</f>
        <v>1</v>
      </c>
      <c r="S156" s="655">
        <f ca="1">IF($C156="N","",L156+E156)</f>
        <v>0</v>
      </c>
      <c r="T156" s="601" t="str">
        <f t="shared" ca="1" si="145"/>
        <v>-</v>
      </c>
      <c r="U156" s="418">
        <f ca="1">IF($C156="N","",N156+G156)</f>
        <v>3</v>
      </c>
      <c r="V156" s="601">
        <f t="shared" ca="1" si="146"/>
        <v>0.5</v>
      </c>
      <c r="W156" s="418">
        <f ca="1">IF($C156="N","",P156+I156)</f>
        <v>3</v>
      </c>
      <c r="X156" s="601">
        <f t="shared" ca="1" si="147"/>
        <v>0.5</v>
      </c>
      <c r="Y156" s="602">
        <f ca="1">IF($C156="N","",R156+K156)</f>
        <v>6</v>
      </c>
      <c r="Z156" s="355"/>
    </row>
    <row r="157" spans="2:26">
      <c r="B157" s="568"/>
      <c r="C157" s="357" t="str">
        <f>C156</f>
        <v>Montedio Yamagata</v>
      </c>
      <c r="D157" s="654">
        <v>0</v>
      </c>
      <c r="E157" s="655">
        <f t="array" aca="1" ref="E157" ca="1">IF($C157="N","",SUM(IF((INDIRECT("'"&amp;$C155&amp;"'!$I$23:$I$200")=$D$5)*(INDIRECT("'"&amp;$C155&amp;"'!$H$23:$H$200")=$E$5)*(INDIRECT("'"&amp;$C155&amp;"'!$O$23:$O$200")&gt;=-0.25)*(INDIRECT("'"&amp;$C155&amp;"'!$O$23:$O$200")&lt;=0.25)*(INDIRECT("'"&amp;$C155&amp;"'!$O$23:$O$200")&lt;&gt;"")*((INDIRECT("'"&amp;$C155&amp;"'!$J$23:$J$200")-INDIRECT("'"&amp;$C155&amp;"'!$K$23:$K$200"))&gt;0),1,0)))</f>
        <v>7</v>
      </c>
      <c r="F157" s="601">
        <f t="shared" ca="1" si="139"/>
        <v>0.4375</v>
      </c>
      <c r="G157" s="418">
        <f t="array" aca="1" ref="G157" ca="1">IF($C157="N","",SUM(IF((INDIRECT("'"&amp;$C155&amp;"'!$I$23:$I$200")=$D$5)*(INDIRECT("'"&amp;$C155&amp;"'!$H$23:$H$200")=$E$5)*(INDIRECT("'"&amp;$C155&amp;"'!$O$23:$O$200")&gt;=-0.25)*(INDIRECT("'"&amp;$C155&amp;"'!$O$23:$O$200")&lt;=0.25)*(INDIRECT("'"&amp;$C155&amp;"'!$O$23:$O$200")&lt;&gt;"")*((INDIRECT("'"&amp;$C155&amp;"'!$J$23:$J$200")-INDIRECT("'"&amp;$C155&amp;"'!$K$23:$K$200"))=0),1,0)))</f>
        <v>7</v>
      </c>
      <c r="H157" s="601">
        <f t="shared" ca="1" si="140"/>
        <v>0.4375</v>
      </c>
      <c r="I157" s="418">
        <f t="array" aca="1" ref="I157" ca="1">IF($C157="N","",SUM(IF((INDIRECT("'"&amp;$C155&amp;"'!$I$23:$I$200")=$D$5)*(INDIRECT("'"&amp;$C155&amp;"'!$H$23:$H$200")=$E$5)*(INDIRECT("'"&amp;$C155&amp;"'!$O$23:$O$200")&gt;=-0.25)*(INDIRECT("'"&amp;$C155&amp;"'!$O$23:$O$200")&lt;=0.25)*(INDIRECT("'"&amp;$C155&amp;"'!$O$23:$O$200")&lt;&gt;"")*((INDIRECT("'"&amp;$C155&amp;"'!$J$23:$J$200")-INDIRECT("'"&amp;$C155&amp;"'!$K$23:$K$200"))&lt;0),1,0)))</f>
        <v>2</v>
      </c>
      <c r="J157" s="601">
        <f t="shared" ca="1" si="141"/>
        <v>0.125</v>
      </c>
      <c r="K157" s="522">
        <f ca="1">IF($C157="N","",E157+G157+I157)</f>
        <v>16</v>
      </c>
      <c r="L157" s="655">
        <f t="array" aca="1" ref="L157" ca="1">IF($C157="N","",SUM(IF((INDIRECT("'"&amp;$C155&amp;"'!$I$23:$I$200")=$D$5)*(INDIRECT("'"&amp;$C155&amp;"'!$H$23:$H$200")=$L$5)*(INDIRECT("'"&amp;$C155&amp;"'!$O$23:$O$200")&gt;=-0.25)*(INDIRECT("'"&amp;$C155&amp;"'!$O$23:$O$200")&lt;=0.25)*(INDIRECT("'"&amp;$C155&amp;"'!$O$23:$O$200")&lt;&gt;"")*((INDIRECT("'"&amp;$C155&amp;"'!$J$23:$J$200")-INDIRECT("'"&amp;$C155&amp;"'!$K$23:$K$200"))&gt;0),1,0)))</f>
        <v>3</v>
      </c>
      <c r="M157" s="601">
        <f t="shared" ca="1" si="142"/>
        <v>0.17647058823529413</v>
      </c>
      <c r="N157" s="418">
        <f t="array" aca="1" ref="N157" ca="1">IF($C157="N","",SUM(IF((INDIRECT("'"&amp;$C155&amp;"'!$I$23:$I$200")=$D$5)*(INDIRECT("'"&amp;$C155&amp;"'!$H$23:$H$200")=$L$5)*(INDIRECT("'"&amp;$C155&amp;"'!$O$23:$O$200")&gt;=-0.25)*(INDIRECT("'"&amp;$C155&amp;"'!$O$23:$O$200")&lt;=0.25)*(INDIRECT("'"&amp;$C155&amp;"'!$O$23:$O$200")&lt;&gt;"")*((INDIRECT("'"&amp;$C155&amp;"'!$J$23:$J$200")-INDIRECT("'"&amp;$C155&amp;"'!$K$23:$K$200"))=0),1,0)))</f>
        <v>7</v>
      </c>
      <c r="O157" s="601">
        <f t="shared" ca="1" si="143"/>
        <v>0.41176470588235292</v>
      </c>
      <c r="P157" s="418">
        <f t="array" aca="1" ref="P157" ca="1">IF($C157="N","",SUM(IF((INDIRECT("'"&amp;$C155&amp;"'!$I$23:$I$200")=$D$5)*(INDIRECT("'"&amp;$C155&amp;"'!$H$23:$H$200")=$L$5)*(INDIRECT("'"&amp;$C155&amp;"'!$O$23:$O$200")&gt;=-0.25)*(INDIRECT("'"&amp;$C155&amp;"'!$O$23:$O$200")&lt;=0.25)*(INDIRECT("'"&amp;$C155&amp;"'!$O$23:$O$200")&lt;&gt;"")*((INDIRECT("'"&amp;$C155&amp;"'!$J$23:$J$200")-INDIRECT("'"&amp;$C155&amp;"'!$K$23:$K$200"))&lt;0),1,0)))</f>
        <v>7</v>
      </c>
      <c r="Q157" s="601">
        <f t="shared" ca="1" si="144"/>
        <v>0.41176470588235292</v>
      </c>
      <c r="R157" s="522">
        <f ca="1">IF($C157="N","",L157+N157+P157)</f>
        <v>17</v>
      </c>
      <c r="S157" s="655">
        <f ca="1">IF($C157="N","",L157+E157)</f>
        <v>10</v>
      </c>
      <c r="T157" s="601">
        <f t="shared" ca="1" si="145"/>
        <v>0.30303030303030304</v>
      </c>
      <c r="U157" s="418">
        <f ca="1">IF($C157="N","",N157+G157)</f>
        <v>14</v>
      </c>
      <c r="V157" s="601">
        <f t="shared" ca="1" si="146"/>
        <v>0.42424242424242425</v>
      </c>
      <c r="W157" s="418">
        <f ca="1">IF($C157="N","",P157+I157)</f>
        <v>9</v>
      </c>
      <c r="X157" s="601">
        <f t="shared" ca="1" si="147"/>
        <v>0.27272727272727271</v>
      </c>
      <c r="Y157" s="602">
        <f ca="1">IF($C157="N","",R157+K157)</f>
        <v>33</v>
      </c>
      <c r="Z157" s="355"/>
    </row>
    <row r="158" spans="2:26">
      <c r="B158" s="568"/>
      <c r="C158" s="357" t="str">
        <f>C157</f>
        <v>Montedio Yamagata</v>
      </c>
      <c r="D158" s="654">
        <v>1</v>
      </c>
      <c r="E158" s="655">
        <f t="array" aca="1" ref="E158" ca="1">IF($C158="N","",SUM(IF((INDIRECT("'"&amp;$C155&amp;"'!$I$23:$I$200")=$D$5)*(INDIRECT("'"&amp;$C155&amp;"'!$H$23:$H$200")=$E$5)*(INDIRECT("'"&amp;$C155&amp;"'!$O$23:$O$200")&gt;=0.5)*(INDIRECT("'"&amp;$C155&amp;"'!$O$23:$O$200")&lt;=2)*((INDIRECT("'"&amp;$C155&amp;"'!$J$23:$J$200")-INDIRECT("'"&amp;$C155&amp;"'!$K$23:$K$200"))&gt;-1),1,0)))</f>
        <v>0</v>
      </c>
      <c r="F158" s="601" t="str">
        <f t="shared" ca="1" si="139"/>
        <v>-</v>
      </c>
      <c r="G158" s="418">
        <f t="array" aca="1" ref="G158" ca="1">IF($C158="N","",SUM(IF((INDIRECT("'"&amp;$C155&amp;"'!$I$23:$I$200")=$D$5)*(INDIRECT("'"&amp;$C155&amp;"'!$H$23:$H$200")=$E$5)*(INDIRECT("'"&amp;$C155&amp;"'!$O$23:$O$200")&gt;=0.5)*(INDIRECT("'"&amp;$C155&amp;"'!$O$23:$O$200")&lt;=2)*((INDIRECT("'"&amp;$C155&amp;"'!$J$23:$J$200")-INDIRECT("'"&amp;$C155&amp;"'!$K$23:$K$200"))=-1),1,0)))</f>
        <v>0</v>
      </c>
      <c r="H158" s="601" t="str">
        <f t="shared" ca="1" si="140"/>
        <v>-</v>
      </c>
      <c r="I158" s="418">
        <f t="array" aca="1" ref="I158" ca="1">IF($C158="N","",SUM(IF((INDIRECT("'"&amp;$C155&amp;"'!$I$23:$I$200")=$D$5)*(INDIRECT("'"&amp;$C155&amp;"'!$H$23:$H$200")=$E$5)*(INDIRECT("'"&amp;$C155&amp;"'!$O$23:$O$200")&gt;=0.5)*(INDIRECT("'"&amp;$C155&amp;"'!$O$23:$O$200")&lt;=2)*((INDIRECT("'"&amp;$C155&amp;"'!$J$23:$J$200")-INDIRECT("'"&amp;$C155&amp;"'!$K$23:$K$200"))&lt;-1),1,0)))</f>
        <v>0</v>
      </c>
      <c r="J158" s="601" t="str">
        <f t="shared" ca="1" si="141"/>
        <v>-</v>
      </c>
      <c r="K158" s="522">
        <f ca="1">IF($C158="N","",E158+G158+I158)</f>
        <v>0</v>
      </c>
      <c r="L158" s="655">
        <f t="array" aca="1" ref="L158" ca="1">IF($C158="N","",SUM(IF((INDIRECT("'"&amp;$C155&amp;"'!$I$23:$I$200")=$D$5)*(INDIRECT("'"&amp;$C155&amp;"'!$H$23:$H$200")=$L$5)*(INDIRECT("'"&amp;$C155&amp;"'!$O$23:$O$200")&gt;=0.5)*(INDIRECT("'"&amp;$C155&amp;"'!$O$23:$O$200")&lt;=2)*((INDIRECT("'"&amp;$C155&amp;"'!$J$23:$J$200")-INDIRECT("'"&amp;$C155&amp;"'!$K$23:$K$200"))&gt;-1),1,0)))</f>
        <v>2</v>
      </c>
      <c r="M158" s="601">
        <f t="shared" ca="1" si="142"/>
        <v>0.66666666666666663</v>
      </c>
      <c r="N158" s="418">
        <f t="array" aca="1" ref="N158" ca="1">IF($C158="N","",SUM(IF((INDIRECT("'"&amp;$C155&amp;"'!$I$23:$I$200")=$D$5)*(INDIRECT("'"&amp;$C155&amp;"'!$H$23:$H$200")=$L$5)*(INDIRECT("'"&amp;$C155&amp;"'!$O$23:$O$200")&gt;=0.5)*(INDIRECT("'"&amp;$C155&amp;"'!$O$23:$O$200")&lt;=2)*((INDIRECT("'"&amp;$C155&amp;"'!$J$23:$J$200")-INDIRECT("'"&amp;$C155&amp;"'!$K$23:$K$200"))=-1),1,0)))</f>
        <v>0</v>
      </c>
      <c r="O158" s="601" t="str">
        <f t="shared" ca="1" si="143"/>
        <v>-</v>
      </c>
      <c r="P158" s="418">
        <f t="array" aca="1" ref="P158" ca="1">IF($C158="N","",SUM(IF((INDIRECT("'"&amp;$C155&amp;"'!$I$23:$I$200")=$D$5)*(INDIRECT("'"&amp;$C155&amp;"'!$H$23:$H$200")=$L$5)*(INDIRECT("'"&amp;$C155&amp;"'!$O$23:$O$200")&gt;=0.5)*(INDIRECT("'"&amp;$C155&amp;"'!$O$23:$O$200")&lt;=2)*((INDIRECT("'"&amp;$C155&amp;"'!$J$23:$J$200")-INDIRECT("'"&amp;$C155&amp;"'!$K$23:$K$200"))&lt;-1),1,0)))</f>
        <v>1</v>
      </c>
      <c r="Q158" s="601">
        <f t="shared" ca="1" si="144"/>
        <v>0.33333333333333331</v>
      </c>
      <c r="R158" s="522">
        <f ca="1">IF($C158="N","",L158+N158+P158)</f>
        <v>3</v>
      </c>
      <c r="S158" s="655">
        <f ca="1">IF($C158="N","",L158+E158)</f>
        <v>2</v>
      </c>
      <c r="T158" s="601">
        <f t="shared" ca="1" si="145"/>
        <v>0.66666666666666663</v>
      </c>
      <c r="U158" s="418">
        <f ca="1">IF($C158="N","",N158+G158)</f>
        <v>0</v>
      </c>
      <c r="V158" s="601" t="str">
        <f t="shared" ca="1" si="146"/>
        <v>-</v>
      </c>
      <c r="W158" s="418">
        <f ca="1">IF($C158="N","",P158+I158)</f>
        <v>1</v>
      </c>
      <c r="X158" s="601">
        <f t="shared" ca="1" si="147"/>
        <v>0.33333333333333331</v>
      </c>
      <c r="Y158" s="602">
        <f ca="1">IF($C158="N","",R158+K158)</f>
        <v>3</v>
      </c>
      <c r="Z158" s="355"/>
    </row>
    <row r="159" spans="2:26" ht="13.5" thickBot="1">
      <c r="B159" s="568"/>
      <c r="C159" s="357" t="str">
        <f>C158</f>
        <v>Montedio Yamagata</v>
      </c>
      <c r="D159" s="654">
        <v>2</v>
      </c>
      <c r="E159" s="657">
        <f t="array" aca="1" ref="E159" ca="1">IF($C159="N","",SUM(IF((INDIRECT("'"&amp;$C155&amp;"'!$I$23:$I$200")=$D$5)*(INDIRECT("'"&amp;$C155&amp;"'!$H$23:$H$200")=$E$5)*(INDIRECT("'"&amp;$C155&amp;"'!$O$23:$O$200")&gt;=2.25)*((INDIRECT("'"&amp;$C155&amp;"'!$J$23:$J$200")-INDIRECT("'"&amp;$C155&amp;"'!$K$23:$K$200"))&gt;-2),1,0)))</f>
        <v>0</v>
      </c>
      <c r="F159" s="605" t="str">
        <f t="shared" ca="1" si="139"/>
        <v>-</v>
      </c>
      <c r="G159" s="658">
        <f t="array" aca="1" ref="G159" ca="1">IF($C159="N","",SUM(IF((INDIRECT("'"&amp;$C155&amp;"'!$I$23:$I$200")=$D$5)*(INDIRECT("'"&amp;$C155&amp;"'!$H$23:$H$200")=$E$5)*(INDIRECT("'"&amp;$C155&amp;"'!$O$23:$O$200")&gt;=2.25)*((INDIRECT("'"&amp;$C155&amp;"'!$J$23:$J$200")-INDIRECT("'"&amp;$C155&amp;"'!$K$23:$K$200"))=-2),1,0)))</f>
        <v>0</v>
      </c>
      <c r="H159" s="605" t="str">
        <f t="shared" ca="1" si="140"/>
        <v>-</v>
      </c>
      <c r="I159" s="658">
        <f t="array" aca="1" ref="I159" ca="1">IF($C159="N","",SUM(IF((INDIRECT("'"&amp;$C155&amp;"'!$I$23:$I$200")=$D$5)*(INDIRECT("'"&amp;$C155&amp;"'!$H$23:$H$200")=$E$5)*(INDIRECT("'"&amp;$C155&amp;"'!$O$23:$O$200")&gt;=2.25)*((INDIRECT("'"&amp;$C155&amp;"'!$J$23:$J$200")-INDIRECT("'"&amp;$C155&amp;"'!$K$23:$K$200"))&lt;-2),1,0)))</f>
        <v>0</v>
      </c>
      <c r="J159" s="605" t="str">
        <f t="shared" ca="1" si="141"/>
        <v>-</v>
      </c>
      <c r="K159" s="659">
        <f ca="1">IF($C159="N","",E159+G159+I159)</f>
        <v>0</v>
      </c>
      <c r="L159" s="657">
        <f t="array" aca="1" ref="L159" ca="1">IF($C159="N","",SUM(IF((INDIRECT("'"&amp;$C155&amp;"'!$I$23:$I$200")=$D$5)*(INDIRECT("'"&amp;$C155&amp;"'!$H$23:$H$200")=$L$5)*(INDIRECT("'"&amp;$C155&amp;"'!$O$23:$O$200")&gt;=2.25)*((INDIRECT("'"&amp;$C155&amp;"'!$J$23:$J$200")-INDIRECT("'"&amp;$C155&amp;"'!$K$23:$K$200"))&gt;-2),1,0)))</f>
        <v>0</v>
      </c>
      <c r="M159" s="605" t="str">
        <f t="shared" ca="1" si="142"/>
        <v>-</v>
      </c>
      <c r="N159" s="658">
        <f t="array" aca="1" ref="N159" ca="1">IF($C159="N","",SUM(IF((INDIRECT("'"&amp;$C155&amp;"'!$I$23:$I$200")=$D$5)*(INDIRECT("'"&amp;$C155&amp;"'!$H$23:$H$200")=$L$5)*(INDIRECT("'"&amp;$C155&amp;"'!$O$23:$O$200")&gt;=2.25)*((INDIRECT("'"&amp;$C155&amp;"'!$J$23:$J$200")-INDIRECT("'"&amp;$C155&amp;"'!$K$23:$K$200"))=-2),1,0)))</f>
        <v>0</v>
      </c>
      <c r="O159" s="605" t="str">
        <f t="shared" ca="1" si="143"/>
        <v>-</v>
      </c>
      <c r="P159" s="658">
        <f t="array" aca="1" ref="P159" ca="1">IF($C159="N","",SUM(IF((INDIRECT("'"&amp;$C155&amp;"'!$I$23:$I$200")=$D$5)*(INDIRECT("'"&amp;$C155&amp;"'!$H$23:$H$200")=$L$5)*(INDIRECT("'"&amp;$C155&amp;"'!$O$23:$O$200")&gt;=2.25)*((INDIRECT("'"&amp;$C155&amp;"'!$J$23:$J$200")-INDIRECT("'"&amp;$C155&amp;"'!$K$23:$K$200"))&lt;-2),1,0)))</f>
        <v>0</v>
      </c>
      <c r="Q159" s="605" t="str">
        <f t="shared" ca="1" si="144"/>
        <v>-</v>
      </c>
      <c r="R159" s="659">
        <f ca="1">IF($C159="N","",L159+N159+P159)</f>
        <v>0</v>
      </c>
      <c r="S159" s="657">
        <f ca="1">IF($C159="N","",L159+E159)</f>
        <v>0</v>
      </c>
      <c r="T159" s="605" t="str">
        <f t="shared" ca="1" si="145"/>
        <v>-</v>
      </c>
      <c r="U159" s="658">
        <f ca="1">IF($C159="N","",N159+G159)</f>
        <v>0</v>
      </c>
      <c r="V159" s="605" t="str">
        <f t="shared" ca="1" si="146"/>
        <v>-</v>
      </c>
      <c r="W159" s="658">
        <f ca="1">IF($C159="N","",P159+I159)</f>
        <v>0</v>
      </c>
      <c r="X159" s="605" t="str">
        <f t="shared" ca="1" si="147"/>
        <v>-</v>
      </c>
      <c r="Y159" s="608">
        <f ca="1">IF($C159="N","",R159+K159)</f>
        <v>0</v>
      </c>
      <c r="Z159" s="355"/>
    </row>
    <row r="160" spans="2:26" ht="13.5" thickBot="1">
      <c r="B160" s="568" t="str">
        <f>D153</f>
        <v>Montedio Yamagata</v>
      </c>
      <c r="D160" s="661" t="s">
        <v>115</v>
      </c>
      <c r="E160" s="481">
        <f ca="1">SUM(E155:E159)</f>
        <v>7</v>
      </c>
      <c r="F160" s="435">
        <f t="shared" ca="1" si="139"/>
        <v>0.33333333333333331</v>
      </c>
      <c r="G160" s="438">
        <f ca="1">SUM(G155:G159)</f>
        <v>9</v>
      </c>
      <c r="H160" s="435">
        <f t="shared" ca="1" si="140"/>
        <v>0.42857142857142855</v>
      </c>
      <c r="I160" s="438">
        <f ca="1">SUM(I155:I159)</f>
        <v>5</v>
      </c>
      <c r="J160" s="435">
        <f t="shared" ca="1" si="141"/>
        <v>0.23809523809523808</v>
      </c>
      <c r="K160" s="479">
        <f ca="1">SUM(K155:K159)</f>
        <v>21</v>
      </c>
      <c r="L160" s="662">
        <f ca="1">SUM(L155:L159)</f>
        <v>5</v>
      </c>
      <c r="M160" s="435">
        <f t="shared" ca="1" si="142"/>
        <v>0.23809523809523808</v>
      </c>
      <c r="N160" s="438">
        <f ca="1">SUM(N155:N159)</f>
        <v>8</v>
      </c>
      <c r="O160" s="435">
        <f t="shared" ca="1" si="143"/>
        <v>0.38095238095238093</v>
      </c>
      <c r="P160" s="438">
        <f ca="1">SUM(P155:P159)</f>
        <v>8</v>
      </c>
      <c r="Q160" s="435">
        <f t="shared" ca="1" si="144"/>
        <v>0.38095238095238093</v>
      </c>
      <c r="R160" s="480">
        <f ca="1">SUM(R155:R159)</f>
        <v>21</v>
      </c>
      <c r="S160" s="481">
        <f ca="1">SUM(S155:S159)</f>
        <v>12</v>
      </c>
      <c r="T160" s="435">
        <f t="shared" ca="1" si="145"/>
        <v>0.2857142857142857</v>
      </c>
      <c r="U160" s="438">
        <f ca="1">SUM(U155:U159)</f>
        <v>17</v>
      </c>
      <c r="V160" s="435">
        <f t="shared" ca="1" si="146"/>
        <v>0.40476190476190477</v>
      </c>
      <c r="W160" s="438">
        <f ca="1">SUM(W155:W159)</f>
        <v>13</v>
      </c>
      <c r="X160" s="435">
        <f t="shared" ca="1" si="147"/>
        <v>0.30952380952380953</v>
      </c>
      <c r="Y160" s="479">
        <f ca="1">SUM(Y155:Y159)</f>
        <v>42</v>
      </c>
    </row>
    <row r="161" spans="2:26" ht="13.5" thickBot="1">
      <c r="B161" s="568"/>
    </row>
    <row r="162" spans="2:26">
      <c r="D162" s="562" t="str">
        <f>E2</f>
        <v>Renofa Yamaguchi</v>
      </c>
      <c r="E162" s="582" t="s">
        <v>162</v>
      </c>
      <c r="F162" s="583"/>
      <c r="G162" s="584"/>
      <c r="H162" s="583"/>
      <c r="I162" s="585"/>
      <c r="J162" s="584"/>
      <c r="K162" s="586"/>
      <c r="L162" s="641" t="s">
        <v>163</v>
      </c>
      <c r="M162" s="583"/>
      <c r="N162" s="584"/>
      <c r="O162" s="583"/>
      <c r="P162" s="585"/>
      <c r="Q162" s="583"/>
      <c r="R162" s="584"/>
      <c r="S162" s="582" t="s">
        <v>164</v>
      </c>
      <c r="T162" s="583"/>
      <c r="U162" s="584"/>
      <c r="V162" s="583"/>
      <c r="W162" s="587"/>
      <c r="X162" s="588"/>
      <c r="Y162" s="589"/>
    </row>
    <row r="163" spans="2:26" ht="13.5" thickBot="1">
      <c r="D163" s="644" t="s">
        <v>165</v>
      </c>
      <c r="E163" s="590" t="s">
        <v>63</v>
      </c>
      <c r="F163" s="591"/>
      <c r="G163" s="645" t="s">
        <v>64</v>
      </c>
      <c r="H163" s="591"/>
      <c r="I163" s="645" t="s">
        <v>65</v>
      </c>
      <c r="J163" s="645"/>
      <c r="K163" s="646" t="s">
        <v>171</v>
      </c>
      <c r="L163" s="647" t="s">
        <v>63</v>
      </c>
      <c r="M163" s="591"/>
      <c r="N163" s="645" t="s">
        <v>64</v>
      </c>
      <c r="O163" s="591"/>
      <c r="P163" s="645" t="s">
        <v>65</v>
      </c>
      <c r="Q163" s="591"/>
      <c r="R163" s="646" t="s">
        <v>172</v>
      </c>
      <c r="S163" s="590" t="s">
        <v>63</v>
      </c>
      <c r="T163" s="591"/>
      <c r="U163" s="645" t="s">
        <v>64</v>
      </c>
      <c r="V163" s="648"/>
      <c r="W163" s="645" t="s">
        <v>65</v>
      </c>
      <c r="X163" s="591"/>
      <c r="Y163" s="646" t="s">
        <v>168</v>
      </c>
      <c r="Z163" s="355"/>
    </row>
    <row r="164" spans="2:26">
      <c r="B164" s="568"/>
      <c r="C164" s="357" t="str">
        <f>IF(D162=0,"N",D162)</f>
        <v>Renofa Yamaguchi</v>
      </c>
      <c r="D164" s="651">
        <v>-2</v>
      </c>
      <c r="E164" s="599">
        <f t="array" aca="1" ref="E164" ca="1">IF($C164="N","",SUM(IF((INDIRECT("'"&amp;$C164&amp;"'!$I$23:$I$200")=$D$5)*(INDIRECT("'"&amp;$C164&amp;"'!$H$23:$H$200")=$E$5)*(INDIRECT("'"&amp;$C164&amp;"'!$O$23:$O$200")&lt;=-2.25)*((INDIRECT("'"&amp;$C164&amp;"'!$J$23:$J$200")-INDIRECT("'"&amp;$C164&amp;"'!$K$23:$K$200"))&gt;2),1,0)))</f>
        <v>0</v>
      </c>
      <c r="F164" s="406" t="str">
        <f t="shared" ref="F164:F169" ca="1" si="148">IF(E164="","",IF(E164=0,"-",E164/$K164))</f>
        <v>-</v>
      </c>
      <c r="G164" s="408">
        <f t="array" aca="1" ref="G164" ca="1">IF($C164="N","",SUM(IF((INDIRECT("'"&amp;$C164&amp;"'!$I$23:$I$200")=$D$5)*(INDIRECT("'"&amp;$C164&amp;"'!$H$23:$H$200")=$E$5)*(INDIRECT("'"&amp;$C164&amp;"'!$O$23:$O$200")&lt;=-2.25)*((INDIRECT("'"&amp;$C164&amp;"'!$J$23:$J$200")-INDIRECT("'"&amp;$C164&amp;"'!$K$23:$K$200"))=2),1,0)))</f>
        <v>0</v>
      </c>
      <c r="H164" s="406" t="str">
        <f t="shared" ref="H164:H169" ca="1" si="149">IF(G164="","",IF(G164=0,"-",G164/$K164))</f>
        <v>-</v>
      </c>
      <c r="I164" s="408">
        <f t="array" aca="1" ref="I164" ca="1">IF($C164="N","",SUM(IF((INDIRECT("'"&amp;$C164&amp;"'!$I$23:$I$200")=$D$5)*(INDIRECT("'"&amp;$C164&amp;"'!$H$23:$H$200")=$E$5)*(INDIRECT("'"&amp;$C164&amp;"'!$O$23:$O$200")&lt;=-2.25)*((INDIRECT("'"&amp;$C164&amp;"'!$K$23:$K$200")-INDIRECT("'"&amp;$C164&amp;"'!$J$23:$J$200"))&gt;-2),1,0)))</f>
        <v>0</v>
      </c>
      <c r="J164" s="406" t="str">
        <f t="shared" ref="J164:J169" ca="1" si="150">IF(I164="","",IF(I164=0,"-",I164/$K164))</f>
        <v>-</v>
      </c>
      <c r="K164" s="602">
        <f ca="1">IF($C164="N","",E164+G164+I164)</f>
        <v>0</v>
      </c>
      <c r="L164" s="599">
        <f t="array" aca="1" ref="L164" ca="1">IF($C164="N","",SUM(IF((INDIRECT("'"&amp;$C164&amp;"'!$I$23:$I$200")=$D$5)*(INDIRECT("'"&amp;$C164&amp;"'!$H$23:$H$200")=$L$5)*(INDIRECT("'"&amp;$C164&amp;"'!$O$23:$O$200")&lt;=-2.25)*((INDIRECT("'"&amp;$C164&amp;"'!$J$23:$J$200")-INDIRECT("'"&amp;$C164&amp;"'!$K$23:$K$200"))&gt;2),1,0)))</f>
        <v>0</v>
      </c>
      <c r="M164" s="406" t="str">
        <f t="shared" ref="M164:M169" ca="1" si="151">IF(L164="","",IF(L164=0,"-",L164/$R164))</f>
        <v>-</v>
      </c>
      <c r="N164" s="408">
        <f t="array" aca="1" ref="N164" ca="1">IF($C164="N","",SUM(IF((INDIRECT("'"&amp;$C164&amp;"'!$I$23:$I$200")=$D$5)*(INDIRECT("'"&amp;$C164&amp;"'!$H$23:$H$200")=$L$5)*(INDIRECT("'"&amp;$C164&amp;"'!$O$23:$O$200")&lt;=-2.25)*((INDIRECT("'"&amp;$C164&amp;"'!$J$23:$J$200")-INDIRECT("'"&amp;$C164&amp;"'!$K$23:$K$200"))=2),1,0)))</f>
        <v>0</v>
      </c>
      <c r="O164" s="406" t="str">
        <f t="shared" ref="O164:O169" ca="1" si="152">IF(N164="","",IF(N164=0,"-",N164/$R164))</f>
        <v>-</v>
      </c>
      <c r="P164" s="408">
        <f t="array" aca="1" ref="P164" ca="1">IF($C164="N","",SUM(IF((INDIRECT("'"&amp;$C164&amp;"'!$I$23:$I$200")=$D$5)*(INDIRECT("'"&amp;$C164&amp;"'!$H$23:$H$200")=$L$5)*(INDIRECT("'"&amp;$C164&amp;"'!$O$23:$O$200")&lt;=-2.25)*((INDIRECT("'"&amp;$C164&amp;"'!$K$23:$K$200")-INDIRECT("'"&amp;$C164&amp;"'!$J$23:$J$200"))&gt;-2),1,0)))</f>
        <v>0</v>
      </c>
      <c r="Q164" s="406" t="str">
        <f t="shared" ref="Q164:Q169" ca="1" si="153">IF(P164="","",IF(P164=0,"-",P164/$R164))</f>
        <v>-</v>
      </c>
      <c r="R164" s="602">
        <f ca="1">IF($C164="N","",L164+N164+P164)</f>
        <v>0</v>
      </c>
      <c r="S164" s="599">
        <f ca="1">IF($C164="N","",L164+E164)</f>
        <v>0</v>
      </c>
      <c r="T164" s="406" t="str">
        <f t="shared" ref="T164:T169" ca="1" si="154">IF(S164="","",IF(S164=0,"-",S164/$Y164))</f>
        <v>-</v>
      </c>
      <c r="U164" s="408">
        <f ca="1">IF($C164="N","",N164+G164)</f>
        <v>0</v>
      </c>
      <c r="V164" s="406" t="str">
        <f t="shared" ref="V164:V169" ca="1" si="155">IF(U164="","",IF(U164=0,"-",U164/$Y164))</f>
        <v>-</v>
      </c>
      <c r="W164" s="408">
        <f ca="1">IF($C164="N","",P164+I164)</f>
        <v>0</v>
      </c>
      <c r="X164" s="406" t="str">
        <f t="shared" ref="X164:X169" ca="1" si="156">IF(W164="","",IF(W164=0,"-",W164/$Y164))</f>
        <v>-</v>
      </c>
      <c r="Y164" s="602">
        <f ca="1">IF($C164="N","",R164+K164)</f>
        <v>0</v>
      </c>
      <c r="Z164" s="355"/>
    </row>
    <row r="165" spans="2:26">
      <c r="B165" s="568"/>
      <c r="C165" s="357" t="str">
        <f>C164</f>
        <v>Renofa Yamaguchi</v>
      </c>
      <c r="D165" s="654">
        <v>-1</v>
      </c>
      <c r="E165" s="655">
        <f t="array" aca="1" ref="E165" ca="1">IF($C165="N","",SUM(IF((INDIRECT("'"&amp;$C164&amp;"'!$I$23:$I$200")=$D$5)*(INDIRECT("'"&amp;$C164&amp;"'!$H$23:$H$200")=$E$5)*(INDIRECT("'"&amp;$C164&amp;"'!$O$23:$O$200")&lt;=-0.5)*(INDIRECT("'"&amp;$C164&amp;"'!$O$23:$O$200")&gt;=-2)*((INDIRECT("'"&amp;$C164&amp;"'!$J$23:$J$200")-INDIRECT("'"&amp;$C164&amp;"'!$K$23:$K$200"))&gt;1),1,0)))</f>
        <v>0</v>
      </c>
      <c r="F165" s="601" t="str">
        <f t="shared" ca="1" si="148"/>
        <v>-</v>
      </c>
      <c r="G165" s="418">
        <f t="array" aca="1" ref="G165" ca="1">IF($C165="N","",SUM(IF((INDIRECT("'"&amp;$C164&amp;"'!$I$23:$I$200")=$D$5)*(INDIRECT("'"&amp;$C164&amp;"'!$H$23:$H$200")=$E$5)*(INDIRECT("'"&amp;$C164&amp;"'!$O$23:$O$200")&lt;=-0.5)*(INDIRECT("'"&amp;$C164&amp;"'!$O$23:$O$200")&gt;=-2)*((INDIRECT("'"&amp;$C164&amp;"'!$J$23:$J$200")-INDIRECT("'"&amp;$C164&amp;"'!$K$23:$K$200"))=1),1,0)))</f>
        <v>1</v>
      </c>
      <c r="H165" s="601">
        <f t="shared" ca="1" si="149"/>
        <v>0.5</v>
      </c>
      <c r="I165" s="418">
        <f t="array" aca="1" ref="I165" ca="1">IF($C165="N","",SUM(IF((INDIRECT("'"&amp;$C164&amp;"'!$I$23:$I$200")=$D$5)*(INDIRECT("'"&amp;$C164&amp;"'!$H$23:$H$200")=$E$5)*(INDIRECT("'"&amp;$C164&amp;"'!$O$23:$O$200")&lt;=-0.5)*(INDIRECT("'"&amp;$C164&amp;"'!$O$23:$O$200")&gt;=-2)*((INDIRECT("'"&amp;$C164&amp;"'!$K$23:$K$200")-INDIRECT("'"&amp;$C164&amp;"'!$J$23:$J$200"))&gt;-1),1,0)))</f>
        <v>1</v>
      </c>
      <c r="J165" s="601">
        <f t="shared" ca="1" si="150"/>
        <v>0.5</v>
      </c>
      <c r="K165" s="522">
        <f ca="1">IF($C165="N","",E165+G165+I165)</f>
        <v>2</v>
      </c>
      <c r="L165" s="655">
        <f t="array" aca="1" ref="L165" ca="1">IF($C165="N","",SUM(IF((INDIRECT("'"&amp;$C164&amp;"'!$I$23:$I$200")=$D$5)*(INDIRECT("'"&amp;$C164&amp;"'!$H$23:$H$200")=$L$5)*(INDIRECT("'"&amp;$C164&amp;"'!$O$23:$O$200")&lt;=-0.5)*(INDIRECT("'"&amp;$C164&amp;"'!$O$23:$O$200")&gt;=-2)*((INDIRECT("'"&amp;$C164&amp;"'!$J$23:$J$200")-INDIRECT("'"&amp;$C164&amp;"'!$K$23:$K$200"))&gt;1),1,0)))</f>
        <v>0</v>
      </c>
      <c r="M165" s="601" t="str">
        <f t="shared" ca="1" si="151"/>
        <v>-</v>
      </c>
      <c r="N165" s="418">
        <f t="array" aca="1" ref="N165" ca="1">IF($C165="N","",SUM(IF((INDIRECT("'"&amp;$C164&amp;"'!$I$23:$I$200")=$D$5)*(INDIRECT("'"&amp;$C164&amp;"'!$H$23:$H$200")=$L$5)*(INDIRECT("'"&amp;$C164&amp;"'!$O$23:$O$200")&lt;=-0.5)*(INDIRECT("'"&amp;$C164&amp;"'!$O$23:$O$200")&gt;=-2)*((INDIRECT("'"&amp;$C164&amp;"'!$J$23:$J$200")-INDIRECT("'"&amp;$C164&amp;"'!$K$23:$K$200"))=1),1,0)))</f>
        <v>0</v>
      </c>
      <c r="O165" s="601" t="str">
        <f t="shared" ca="1" si="152"/>
        <v>-</v>
      </c>
      <c r="P165" s="418">
        <f t="array" aca="1" ref="P165" ca="1">IF($C165="N","",SUM(IF((INDIRECT("'"&amp;$C164&amp;"'!$I$23:$I$200")=$D$5)*(INDIRECT("'"&amp;$C164&amp;"'!$H$23:$H$200")=$L$5)*(INDIRECT("'"&amp;$C164&amp;"'!$O$23:$O$200")&lt;=-0.5)*(INDIRECT("'"&amp;$C164&amp;"'!$O$23:$O$200")&gt;=-2)*((INDIRECT("'"&amp;$C164&amp;"'!$K$23:$K$200")-INDIRECT("'"&amp;$C164&amp;"'!$J$23:$J$200"))&gt;-1),1,0)))</f>
        <v>0</v>
      </c>
      <c r="Q165" s="601" t="str">
        <f t="shared" ca="1" si="153"/>
        <v>-</v>
      </c>
      <c r="R165" s="522">
        <f ca="1">IF($C165="N","",L165+N165+P165)</f>
        <v>0</v>
      </c>
      <c r="S165" s="655">
        <f ca="1">IF($C165="N","",L165+E165)</f>
        <v>0</v>
      </c>
      <c r="T165" s="601" t="str">
        <f t="shared" ca="1" si="154"/>
        <v>-</v>
      </c>
      <c r="U165" s="418">
        <f ca="1">IF($C165="N","",N165+G165)</f>
        <v>1</v>
      </c>
      <c r="V165" s="601">
        <f t="shared" ca="1" si="155"/>
        <v>0.5</v>
      </c>
      <c r="W165" s="418">
        <f ca="1">IF($C165="N","",P165+I165)</f>
        <v>1</v>
      </c>
      <c r="X165" s="601">
        <f t="shared" ca="1" si="156"/>
        <v>0.5</v>
      </c>
      <c r="Y165" s="602">
        <f ca="1">IF($C165="N","",R165+K165)</f>
        <v>2</v>
      </c>
      <c r="Z165" s="355"/>
    </row>
    <row r="166" spans="2:26">
      <c r="B166" s="568"/>
      <c r="C166" s="357" t="str">
        <f>C165</f>
        <v>Renofa Yamaguchi</v>
      </c>
      <c r="D166" s="654">
        <v>0</v>
      </c>
      <c r="E166" s="655">
        <f t="array" aca="1" ref="E166" ca="1">IF($C166="N","",SUM(IF((INDIRECT("'"&amp;$C164&amp;"'!$I$23:$I$200")=$D$5)*(INDIRECT("'"&amp;$C164&amp;"'!$H$23:$H$200")=$E$5)*(INDIRECT("'"&amp;$C164&amp;"'!$O$23:$O$200")&gt;=-0.25)*(INDIRECT("'"&amp;$C164&amp;"'!$O$23:$O$200")&lt;=0.25)*(INDIRECT("'"&amp;$C164&amp;"'!$O$23:$O$200")&lt;&gt;"")*((INDIRECT("'"&amp;$C164&amp;"'!$J$23:$J$200")-INDIRECT("'"&amp;$C164&amp;"'!$K$23:$K$200"))&gt;0),1,0)))</f>
        <v>3</v>
      </c>
      <c r="F166" s="601">
        <f t="shared" ca="1" si="148"/>
        <v>0.1875</v>
      </c>
      <c r="G166" s="418">
        <f t="array" aca="1" ref="G166" ca="1">IF($C166="N","",SUM(IF((INDIRECT("'"&amp;$C164&amp;"'!$I$23:$I$200")=$D$5)*(INDIRECT("'"&amp;$C164&amp;"'!$H$23:$H$200")=$E$5)*(INDIRECT("'"&amp;$C164&amp;"'!$O$23:$O$200")&gt;=-0.25)*(INDIRECT("'"&amp;$C164&amp;"'!$O$23:$O$200")&lt;=0.25)*(INDIRECT("'"&amp;$C164&amp;"'!$O$23:$O$200")&lt;&gt;"")*((INDIRECT("'"&amp;$C164&amp;"'!$J$23:$J$200")-INDIRECT("'"&amp;$C164&amp;"'!$K$23:$K$200"))=0),1,0)))</f>
        <v>3</v>
      </c>
      <c r="H166" s="601">
        <f t="shared" ca="1" si="149"/>
        <v>0.1875</v>
      </c>
      <c r="I166" s="418">
        <f t="array" aca="1" ref="I166" ca="1">IF($C166="N","",SUM(IF((INDIRECT("'"&amp;$C164&amp;"'!$I$23:$I$200")=$D$5)*(INDIRECT("'"&amp;$C164&amp;"'!$H$23:$H$200")=$E$5)*(INDIRECT("'"&amp;$C164&amp;"'!$O$23:$O$200")&gt;=-0.25)*(INDIRECT("'"&amp;$C164&amp;"'!$O$23:$O$200")&lt;=0.25)*(INDIRECT("'"&amp;$C164&amp;"'!$O$23:$O$200")&lt;&gt;"")*((INDIRECT("'"&amp;$C164&amp;"'!$J$23:$J$200")-INDIRECT("'"&amp;$C164&amp;"'!$K$23:$K$200"))&lt;0),1,0)))</f>
        <v>10</v>
      </c>
      <c r="J166" s="601">
        <f t="shared" ca="1" si="150"/>
        <v>0.625</v>
      </c>
      <c r="K166" s="522">
        <f ca="1">IF($C166="N","",E166+G166+I166)</f>
        <v>16</v>
      </c>
      <c r="L166" s="655">
        <f t="array" aca="1" ref="L166" ca="1">IF($C166="N","",SUM(IF((INDIRECT("'"&amp;$C164&amp;"'!$I$23:$I$200")=$D$5)*(INDIRECT("'"&amp;$C164&amp;"'!$H$23:$H$200")=$L$5)*(INDIRECT("'"&amp;$C164&amp;"'!$O$23:$O$200")&gt;=-0.25)*(INDIRECT("'"&amp;$C164&amp;"'!$O$23:$O$200")&lt;=0.25)*(INDIRECT("'"&amp;$C164&amp;"'!$O$23:$O$200")&lt;&gt;"")*((INDIRECT("'"&amp;$C164&amp;"'!$J$23:$J$200")-INDIRECT("'"&amp;$C164&amp;"'!$K$23:$K$200"))&gt;0),1,0)))</f>
        <v>4</v>
      </c>
      <c r="M166" s="601">
        <f t="shared" ca="1" si="151"/>
        <v>0.30769230769230771</v>
      </c>
      <c r="N166" s="418">
        <f t="array" aca="1" ref="N166" ca="1">IF($C166="N","",SUM(IF((INDIRECT("'"&amp;$C164&amp;"'!$I$23:$I$200")=$D$5)*(INDIRECT("'"&amp;$C164&amp;"'!$H$23:$H$200")=$L$5)*(INDIRECT("'"&amp;$C164&amp;"'!$O$23:$O$200")&gt;=-0.25)*(INDIRECT("'"&amp;$C164&amp;"'!$O$23:$O$200")&lt;=0.25)*(INDIRECT("'"&amp;$C164&amp;"'!$O$23:$O$200")&lt;&gt;"")*((INDIRECT("'"&amp;$C164&amp;"'!$J$23:$J$200")-INDIRECT("'"&amp;$C164&amp;"'!$K$23:$K$200"))=0),1,0)))</f>
        <v>2</v>
      </c>
      <c r="O166" s="601">
        <f t="shared" ca="1" si="152"/>
        <v>0.15384615384615385</v>
      </c>
      <c r="P166" s="418">
        <f t="array" aca="1" ref="P166" ca="1">IF($C166="N","",SUM(IF((INDIRECT("'"&amp;$C164&amp;"'!$I$23:$I$200")=$D$5)*(INDIRECT("'"&amp;$C164&amp;"'!$H$23:$H$200")=$L$5)*(INDIRECT("'"&amp;$C164&amp;"'!$O$23:$O$200")&gt;=-0.25)*(INDIRECT("'"&amp;$C164&amp;"'!$O$23:$O$200")&lt;=0.25)*(INDIRECT("'"&amp;$C164&amp;"'!$O$23:$O$200")&lt;&gt;"")*((INDIRECT("'"&amp;$C164&amp;"'!$J$23:$J$200")-INDIRECT("'"&amp;$C164&amp;"'!$K$23:$K$200"))&lt;0),1,0)))</f>
        <v>7</v>
      </c>
      <c r="Q166" s="601">
        <f t="shared" ca="1" si="153"/>
        <v>0.53846153846153844</v>
      </c>
      <c r="R166" s="522">
        <f ca="1">IF($C166="N","",L166+N166+P166)</f>
        <v>13</v>
      </c>
      <c r="S166" s="655">
        <f ca="1">IF($C166="N","",L166+E166)</f>
        <v>7</v>
      </c>
      <c r="T166" s="601">
        <f t="shared" ca="1" si="154"/>
        <v>0.2413793103448276</v>
      </c>
      <c r="U166" s="418">
        <f ca="1">IF($C166="N","",N166+G166)</f>
        <v>5</v>
      </c>
      <c r="V166" s="601">
        <f t="shared" ca="1" si="155"/>
        <v>0.17241379310344829</v>
      </c>
      <c r="W166" s="418">
        <f ca="1">IF($C166="N","",P166+I166)</f>
        <v>17</v>
      </c>
      <c r="X166" s="601">
        <f t="shared" ca="1" si="156"/>
        <v>0.58620689655172409</v>
      </c>
      <c r="Y166" s="602">
        <f ca="1">IF($C166="N","",R166+K166)</f>
        <v>29</v>
      </c>
      <c r="Z166" s="355"/>
    </row>
    <row r="167" spans="2:26">
      <c r="B167" s="568"/>
      <c r="C167" s="357" t="str">
        <f>C166</f>
        <v>Renofa Yamaguchi</v>
      </c>
      <c r="D167" s="654">
        <v>1</v>
      </c>
      <c r="E167" s="655">
        <f t="array" aca="1" ref="E167" ca="1">IF($C167="N","",SUM(IF((INDIRECT("'"&amp;$C164&amp;"'!$I$23:$I$200")=$D$5)*(INDIRECT("'"&amp;$C164&amp;"'!$H$23:$H$200")=$E$5)*(INDIRECT("'"&amp;$C164&amp;"'!$O$23:$O$200")&gt;=0.5)*(INDIRECT("'"&amp;$C164&amp;"'!$O$23:$O$200")&lt;=2)*((INDIRECT("'"&amp;$C164&amp;"'!$J$23:$J$200")-INDIRECT("'"&amp;$C164&amp;"'!$K$23:$K$200"))&gt;-1),1,0)))</f>
        <v>0</v>
      </c>
      <c r="F167" s="601" t="str">
        <f t="shared" ca="1" si="148"/>
        <v>-</v>
      </c>
      <c r="G167" s="418">
        <f t="array" aca="1" ref="G167" ca="1">IF($C167="N","",SUM(IF((INDIRECT("'"&amp;$C164&amp;"'!$I$23:$I$200")=$D$5)*(INDIRECT("'"&amp;$C164&amp;"'!$H$23:$H$200")=$E$5)*(INDIRECT("'"&amp;$C164&amp;"'!$O$23:$O$200")&gt;=0.5)*(INDIRECT("'"&amp;$C164&amp;"'!$O$23:$O$200")&lt;=2)*((INDIRECT("'"&amp;$C164&amp;"'!$J$23:$J$200")-INDIRECT("'"&amp;$C164&amp;"'!$K$23:$K$200"))=-1),1,0)))</f>
        <v>1</v>
      </c>
      <c r="H167" s="601">
        <f t="shared" ca="1" si="149"/>
        <v>0.33333333333333331</v>
      </c>
      <c r="I167" s="418">
        <f t="array" aca="1" ref="I167" ca="1">IF($C167="N","",SUM(IF((INDIRECT("'"&amp;$C164&amp;"'!$I$23:$I$200")=$D$5)*(INDIRECT("'"&amp;$C164&amp;"'!$H$23:$H$200")=$E$5)*(INDIRECT("'"&amp;$C164&amp;"'!$O$23:$O$200")&gt;=0.5)*(INDIRECT("'"&amp;$C164&amp;"'!$O$23:$O$200")&lt;=2)*((INDIRECT("'"&amp;$C164&amp;"'!$J$23:$J$200")-INDIRECT("'"&amp;$C164&amp;"'!$K$23:$K$200"))&lt;-1),1,0)))</f>
        <v>2</v>
      </c>
      <c r="J167" s="601">
        <f t="shared" ca="1" si="150"/>
        <v>0.66666666666666663</v>
      </c>
      <c r="K167" s="522">
        <f ca="1">IF($C167="N","",E167+G167+I167)</f>
        <v>3</v>
      </c>
      <c r="L167" s="655">
        <f t="array" aca="1" ref="L167" ca="1">IF($C167="N","",SUM(IF((INDIRECT("'"&amp;$C164&amp;"'!$I$23:$I$200")=$D$5)*(INDIRECT("'"&amp;$C164&amp;"'!$H$23:$H$200")=$L$5)*(INDIRECT("'"&amp;$C164&amp;"'!$O$23:$O$200")&gt;=0.5)*(INDIRECT("'"&amp;$C164&amp;"'!$O$23:$O$200")&lt;=2)*((INDIRECT("'"&amp;$C164&amp;"'!$J$23:$J$200")-INDIRECT("'"&amp;$C164&amp;"'!$K$23:$K$200"))&gt;-1),1,0)))</f>
        <v>3</v>
      </c>
      <c r="M167" s="601">
        <f t="shared" ca="1" si="151"/>
        <v>0.375</v>
      </c>
      <c r="N167" s="418">
        <f t="array" aca="1" ref="N167" ca="1">IF($C167="N","",SUM(IF((INDIRECT("'"&amp;$C164&amp;"'!$I$23:$I$200")=$D$5)*(INDIRECT("'"&amp;$C164&amp;"'!$H$23:$H$200")=$L$5)*(INDIRECT("'"&amp;$C164&amp;"'!$O$23:$O$200")&gt;=0.5)*(INDIRECT("'"&amp;$C164&amp;"'!$O$23:$O$200")&lt;=2)*((INDIRECT("'"&amp;$C164&amp;"'!$J$23:$J$200")-INDIRECT("'"&amp;$C164&amp;"'!$K$23:$K$200"))=-1),1,0)))</f>
        <v>4</v>
      </c>
      <c r="O167" s="601">
        <f t="shared" ca="1" si="152"/>
        <v>0.5</v>
      </c>
      <c r="P167" s="418">
        <f t="array" aca="1" ref="P167" ca="1">IF($C167="N","",SUM(IF((INDIRECT("'"&amp;$C164&amp;"'!$I$23:$I$200")=$D$5)*(INDIRECT("'"&amp;$C164&amp;"'!$H$23:$H$200")=$L$5)*(INDIRECT("'"&amp;$C164&amp;"'!$O$23:$O$200")&gt;=0.5)*(INDIRECT("'"&amp;$C164&amp;"'!$O$23:$O$200")&lt;=2)*((INDIRECT("'"&amp;$C164&amp;"'!$J$23:$J$200")-INDIRECT("'"&amp;$C164&amp;"'!$K$23:$K$200"))&lt;-1),1,0)))</f>
        <v>1</v>
      </c>
      <c r="Q167" s="601">
        <f t="shared" ca="1" si="153"/>
        <v>0.125</v>
      </c>
      <c r="R167" s="522">
        <f ca="1">IF($C167="N","",L167+N167+P167)</f>
        <v>8</v>
      </c>
      <c r="S167" s="655">
        <f ca="1">IF($C167="N","",L167+E167)</f>
        <v>3</v>
      </c>
      <c r="T167" s="601">
        <f t="shared" ca="1" si="154"/>
        <v>0.27272727272727271</v>
      </c>
      <c r="U167" s="418">
        <f ca="1">IF($C167="N","",N167+G167)</f>
        <v>5</v>
      </c>
      <c r="V167" s="601">
        <f t="shared" ca="1" si="155"/>
        <v>0.45454545454545453</v>
      </c>
      <c r="W167" s="418">
        <f ca="1">IF($C167="N","",P167+I167)</f>
        <v>3</v>
      </c>
      <c r="X167" s="601">
        <f t="shared" ca="1" si="156"/>
        <v>0.27272727272727271</v>
      </c>
      <c r="Y167" s="602">
        <f ca="1">IF($C167="N","",R167+K167)</f>
        <v>11</v>
      </c>
      <c r="Z167" s="355"/>
    </row>
    <row r="168" spans="2:26" ht="13.5" thickBot="1">
      <c r="B168" s="568"/>
      <c r="C168" s="357" t="str">
        <f>C167</f>
        <v>Renofa Yamaguchi</v>
      </c>
      <c r="D168" s="654">
        <v>2</v>
      </c>
      <c r="E168" s="657">
        <f t="array" aca="1" ref="E168" ca="1">IF($C168="N","",SUM(IF((INDIRECT("'"&amp;$C164&amp;"'!$I$23:$I$200")=$D$5)*(INDIRECT("'"&amp;$C164&amp;"'!$H$23:$H$200")=$E$5)*(INDIRECT("'"&amp;$C164&amp;"'!$O$23:$O$200")&gt;=2.25)*((INDIRECT("'"&amp;$C164&amp;"'!$J$23:$J$200")-INDIRECT("'"&amp;$C164&amp;"'!$K$23:$K$200"))&gt;-2),1,0)))</f>
        <v>0</v>
      </c>
      <c r="F168" s="605" t="str">
        <f t="shared" ca="1" si="148"/>
        <v>-</v>
      </c>
      <c r="G168" s="658">
        <f t="array" aca="1" ref="G168" ca="1">IF($C168="N","",SUM(IF((INDIRECT("'"&amp;$C164&amp;"'!$I$23:$I$200")=$D$5)*(INDIRECT("'"&amp;$C164&amp;"'!$H$23:$H$200")=$E$5)*(INDIRECT("'"&amp;$C164&amp;"'!$O$23:$O$200")&gt;=2.25)*((INDIRECT("'"&amp;$C164&amp;"'!$J$23:$J$200")-INDIRECT("'"&amp;$C164&amp;"'!$K$23:$K$200"))=-2),1,0)))</f>
        <v>0</v>
      </c>
      <c r="H168" s="605" t="str">
        <f t="shared" ca="1" si="149"/>
        <v>-</v>
      </c>
      <c r="I168" s="658">
        <f t="array" aca="1" ref="I168" ca="1">IF($C168="N","",SUM(IF((INDIRECT("'"&amp;$C164&amp;"'!$I$23:$I$200")=$D$5)*(INDIRECT("'"&amp;$C164&amp;"'!$H$23:$H$200")=$E$5)*(INDIRECT("'"&amp;$C164&amp;"'!$O$23:$O$200")&gt;=2.25)*((INDIRECT("'"&amp;$C164&amp;"'!$J$23:$J$200")-INDIRECT("'"&amp;$C164&amp;"'!$K$23:$K$200"))&lt;-2),1,0)))</f>
        <v>0</v>
      </c>
      <c r="J168" s="605" t="str">
        <f t="shared" ca="1" si="150"/>
        <v>-</v>
      </c>
      <c r="K168" s="659">
        <f ca="1">IF($C168="N","",E168+G168+I168)</f>
        <v>0</v>
      </c>
      <c r="L168" s="657">
        <f t="array" aca="1" ref="L168" ca="1">IF($C168="N","",SUM(IF((INDIRECT("'"&amp;$C164&amp;"'!$I$23:$I$200")=$D$5)*(INDIRECT("'"&amp;$C164&amp;"'!$H$23:$H$200")=$L$5)*(INDIRECT("'"&amp;$C164&amp;"'!$O$23:$O$200")&gt;=2.25)*((INDIRECT("'"&amp;$C164&amp;"'!$J$23:$J$200")-INDIRECT("'"&amp;$C164&amp;"'!$K$23:$K$200"))&gt;-2),1,0)))</f>
        <v>0</v>
      </c>
      <c r="M168" s="605" t="str">
        <f t="shared" ca="1" si="151"/>
        <v>-</v>
      </c>
      <c r="N168" s="658">
        <f t="array" aca="1" ref="N168" ca="1">IF($C168="N","",SUM(IF((INDIRECT("'"&amp;$C164&amp;"'!$I$23:$I$200")=$D$5)*(INDIRECT("'"&amp;$C164&amp;"'!$H$23:$H$200")=$L$5)*(INDIRECT("'"&amp;$C164&amp;"'!$O$23:$O$200")&gt;=2.25)*((INDIRECT("'"&amp;$C164&amp;"'!$J$23:$J$200")-INDIRECT("'"&amp;$C164&amp;"'!$K$23:$K$200"))=-2),1,0)))</f>
        <v>0</v>
      </c>
      <c r="O168" s="605" t="str">
        <f t="shared" ca="1" si="152"/>
        <v>-</v>
      </c>
      <c r="P168" s="658">
        <f t="array" aca="1" ref="P168" ca="1">IF($C168="N","",SUM(IF((INDIRECT("'"&amp;$C164&amp;"'!$I$23:$I$200")=$D$5)*(INDIRECT("'"&amp;$C164&amp;"'!$H$23:$H$200")=$L$5)*(INDIRECT("'"&amp;$C164&amp;"'!$O$23:$O$200")&gt;=2.25)*((INDIRECT("'"&amp;$C164&amp;"'!$J$23:$J$200")-INDIRECT("'"&amp;$C164&amp;"'!$K$23:$K$200"))&lt;-2),1,0)))</f>
        <v>0</v>
      </c>
      <c r="Q168" s="605" t="str">
        <f t="shared" ca="1" si="153"/>
        <v>-</v>
      </c>
      <c r="R168" s="659">
        <f ca="1">IF($C168="N","",L168+N168+P168)</f>
        <v>0</v>
      </c>
      <c r="S168" s="657">
        <f ca="1">IF($C168="N","",L168+E168)</f>
        <v>0</v>
      </c>
      <c r="T168" s="605" t="str">
        <f t="shared" ca="1" si="154"/>
        <v>-</v>
      </c>
      <c r="U168" s="658">
        <f ca="1">IF($C168="N","",N168+G168)</f>
        <v>0</v>
      </c>
      <c r="V168" s="605" t="str">
        <f t="shared" ca="1" si="155"/>
        <v>-</v>
      </c>
      <c r="W168" s="658">
        <f ca="1">IF($C168="N","",P168+I168)</f>
        <v>0</v>
      </c>
      <c r="X168" s="605" t="str">
        <f t="shared" ca="1" si="156"/>
        <v>-</v>
      </c>
      <c r="Y168" s="608">
        <f ca="1">IF($C168="N","",R168+K168)</f>
        <v>0</v>
      </c>
      <c r="Z168" s="355"/>
    </row>
    <row r="169" spans="2:26" ht="13.5" thickBot="1">
      <c r="B169" s="568" t="str">
        <f>D162</f>
        <v>Renofa Yamaguchi</v>
      </c>
      <c r="D169" s="661" t="s">
        <v>115</v>
      </c>
      <c r="E169" s="481">
        <f ca="1">SUM(E164:E168)</f>
        <v>3</v>
      </c>
      <c r="F169" s="435">
        <f t="shared" ca="1" si="148"/>
        <v>0.14285714285714285</v>
      </c>
      <c r="G169" s="438">
        <f ca="1">SUM(G164:G168)</f>
        <v>5</v>
      </c>
      <c r="H169" s="435">
        <f t="shared" ca="1" si="149"/>
        <v>0.23809523809523808</v>
      </c>
      <c r="I169" s="438">
        <f ca="1">SUM(I164:I168)</f>
        <v>13</v>
      </c>
      <c r="J169" s="435">
        <f t="shared" ca="1" si="150"/>
        <v>0.61904761904761907</v>
      </c>
      <c r="K169" s="479">
        <f ca="1">SUM(K164:K168)</f>
        <v>21</v>
      </c>
      <c r="L169" s="662">
        <f ca="1">SUM(L164:L168)</f>
        <v>7</v>
      </c>
      <c r="M169" s="435">
        <f t="shared" ca="1" si="151"/>
        <v>0.33333333333333331</v>
      </c>
      <c r="N169" s="438">
        <f ca="1">SUM(N164:N168)</f>
        <v>6</v>
      </c>
      <c r="O169" s="435">
        <f t="shared" ca="1" si="152"/>
        <v>0.2857142857142857</v>
      </c>
      <c r="P169" s="438">
        <f ca="1">SUM(P164:P168)</f>
        <v>8</v>
      </c>
      <c r="Q169" s="435">
        <f t="shared" ca="1" si="153"/>
        <v>0.38095238095238093</v>
      </c>
      <c r="R169" s="480">
        <f ca="1">SUM(R164:R168)</f>
        <v>21</v>
      </c>
      <c r="S169" s="481">
        <f ca="1">SUM(S164:S168)</f>
        <v>10</v>
      </c>
      <c r="T169" s="435">
        <f t="shared" ca="1" si="154"/>
        <v>0.23809523809523808</v>
      </c>
      <c r="U169" s="438">
        <f ca="1">SUM(U164:U168)</f>
        <v>11</v>
      </c>
      <c r="V169" s="435">
        <f t="shared" ca="1" si="155"/>
        <v>0.26190476190476192</v>
      </c>
      <c r="W169" s="438">
        <f ca="1">SUM(W164:W168)</f>
        <v>21</v>
      </c>
      <c r="X169" s="435">
        <f t="shared" ca="1" si="156"/>
        <v>0.5</v>
      </c>
      <c r="Y169" s="479">
        <f ca="1">SUM(Y164:Y168)</f>
        <v>42</v>
      </c>
    </row>
    <row r="170" spans="2:26" ht="13.5" thickBot="1">
      <c r="B170" s="568"/>
    </row>
    <row r="171" spans="2:26">
      <c r="D171" s="562" t="str">
        <f>F2</f>
        <v>Roasso Kumamoto</v>
      </c>
      <c r="E171" s="582" t="s">
        <v>162</v>
      </c>
      <c r="F171" s="583"/>
      <c r="G171" s="584"/>
      <c r="H171" s="583"/>
      <c r="I171" s="585"/>
      <c r="J171" s="584"/>
      <c r="K171" s="586"/>
      <c r="L171" s="641" t="s">
        <v>163</v>
      </c>
      <c r="M171" s="583"/>
      <c r="N171" s="584"/>
      <c r="O171" s="583"/>
      <c r="P171" s="585"/>
      <c r="Q171" s="583"/>
      <c r="R171" s="584"/>
      <c r="S171" s="582" t="s">
        <v>164</v>
      </c>
      <c r="T171" s="583"/>
      <c r="U171" s="584"/>
      <c r="V171" s="583"/>
      <c r="W171" s="587"/>
      <c r="X171" s="588"/>
      <c r="Y171" s="589"/>
    </row>
    <row r="172" spans="2:26" ht="13.5" thickBot="1">
      <c r="D172" s="644" t="s">
        <v>165</v>
      </c>
      <c r="E172" s="590" t="s">
        <v>63</v>
      </c>
      <c r="F172" s="591"/>
      <c r="G172" s="645" t="s">
        <v>64</v>
      </c>
      <c r="H172" s="591"/>
      <c r="I172" s="645" t="s">
        <v>65</v>
      </c>
      <c r="J172" s="645"/>
      <c r="K172" s="646" t="s">
        <v>171</v>
      </c>
      <c r="L172" s="647" t="s">
        <v>63</v>
      </c>
      <c r="M172" s="591"/>
      <c r="N172" s="645" t="s">
        <v>64</v>
      </c>
      <c r="O172" s="591"/>
      <c r="P172" s="645" t="s">
        <v>65</v>
      </c>
      <c r="Q172" s="591"/>
      <c r="R172" s="646" t="s">
        <v>172</v>
      </c>
      <c r="S172" s="590" t="s">
        <v>63</v>
      </c>
      <c r="T172" s="591"/>
      <c r="U172" s="645" t="s">
        <v>64</v>
      </c>
      <c r="V172" s="648"/>
      <c r="W172" s="645" t="s">
        <v>65</v>
      </c>
      <c r="X172" s="591"/>
      <c r="Y172" s="646" t="s">
        <v>168</v>
      </c>
      <c r="Z172" s="355"/>
    </row>
    <row r="173" spans="2:26">
      <c r="B173" s="568"/>
      <c r="C173" s="357" t="str">
        <f>IF(D171=0,"N",D171)</f>
        <v>Roasso Kumamoto</v>
      </c>
      <c r="D173" s="651">
        <v>-2</v>
      </c>
      <c r="E173" s="599">
        <f t="array" aca="1" ref="E173" ca="1">IF($C173="N","",SUM(IF((INDIRECT("'"&amp;$C173&amp;"'!$I$23:$I$200")=$D$5)*(INDIRECT("'"&amp;$C173&amp;"'!$H$23:$H$200")=$E$5)*(INDIRECT("'"&amp;$C173&amp;"'!$O$23:$O$200")&lt;=-2.25)*((INDIRECT("'"&amp;$C173&amp;"'!$J$23:$J$200")-INDIRECT("'"&amp;$C173&amp;"'!$K$23:$K$200"))&gt;2),1,0)))</f>
        <v>0</v>
      </c>
      <c r="F173" s="406" t="str">
        <f t="shared" ref="F173:F178" ca="1" si="157">IF(E173="","",IF(E173=0,"-",E173/$K173))</f>
        <v>-</v>
      </c>
      <c r="G173" s="408">
        <f t="array" aca="1" ref="G173" ca="1">IF($C173="N","",SUM(IF((INDIRECT("'"&amp;$C173&amp;"'!$I$23:$I$200")=$D$5)*(INDIRECT("'"&amp;$C173&amp;"'!$H$23:$H$200")=$E$5)*(INDIRECT("'"&amp;$C173&amp;"'!$O$23:$O$200")&lt;=-2.25)*((INDIRECT("'"&amp;$C173&amp;"'!$J$23:$J$200")-INDIRECT("'"&amp;$C173&amp;"'!$K$23:$K$200"))=2),1,0)))</f>
        <v>0</v>
      </c>
      <c r="H173" s="406" t="str">
        <f t="shared" ref="H173:H178" ca="1" si="158">IF(G173="","",IF(G173=0,"-",G173/$K173))</f>
        <v>-</v>
      </c>
      <c r="I173" s="408">
        <f t="array" aca="1" ref="I173" ca="1">IF($C173="N","",SUM(IF((INDIRECT("'"&amp;$C173&amp;"'!$I$23:$I$200")=$D$5)*(INDIRECT("'"&amp;$C173&amp;"'!$H$23:$H$200")=$E$5)*(INDIRECT("'"&amp;$C173&amp;"'!$O$23:$O$200")&lt;=-2.25)*((INDIRECT("'"&amp;$C173&amp;"'!$K$23:$K$200")-INDIRECT("'"&amp;$C173&amp;"'!$J$23:$J$200"))&gt;-2),1,0)))</f>
        <v>0</v>
      </c>
      <c r="J173" s="406" t="str">
        <f t="shared" ref="J173:J178" ca="1" si="159">IF(I173="","",IF(I173=0,"-",I173/$K173))</f>
        <v>-</v>
      </c>
      <c r="K173" s="602">
        <f ca="1">IF($C173="N","",E173+G173+I173)</f>
        <v>0</v>
      </c>
      <c r="L173" s="599">
        <f t="array" aca="1" ref="L173" ca="1">IF($C173="N","",SUM(IF((INDIRECT("'"&amp;$C173&amp;"'!$I$23:$I$200")=$D$5)*(INDIRECT("'"&amp;$C173&amp;"'!$H$23:$H$200")=$L$5)*(INDIRECT("'"&amp;$C173&amp;"'!$O$23:$O$200")&lt;=-2.25)*((INDIRECT("'"&amp;$C173&amp;"'!$J$23:$J$200")-INDIRECT("'"&amp;$C173&amp;"'!$K$23:$K$200"))&gt;2),1,0)))</f>
        <v>0</v>
      </c>
      <c r="M173" s="406" t="str">
        <f t="shared" ref="M173:M178" ca="1" si="160">IF(L173="","",IF(L173=0,"-",L173/$R173))</f>
        <v>-</v>
      </c>
      <c r="N173" s="408">
        <f t="array" aca="1" ref="N173" ca="1">IF($C173="N","",SUM(IF((INDIRECT("'"&amp;$C173&amp;"'!$I$23:$I$200")=$D$5)*(INDIRECT("'"&amp;$C173&amp;"'!$H$23:$H$200")=$L$5)*(INDIRECT("'"&amp;$C173&amp;"'!$O$23:$O$200")&lt;=-2.25)*((INDIRECT("'"&amp;$C173&amp;"'!$J$23:$J$200")-INDIRECT("'"&amp;$C173&amp;"'!$K$23:$K$200"))=2),1,0)))</f>
        <v>0</v>
      </c>
      <c r="O173" s="406" t="str">
        <f t="shared" ref="O173:O178" ca="1" si="161">IF(N173="","",IF(N173=0,"-",N173/$R173))</f>
        <v>-</v>
      </c>
      <c r="P173" s="408">
        <f t="array" aca="1" ref="P173" ca="1">IF($C173="N","",SUM(IF((INDIRECT("'"&amp;$C173&amp;"'!$I$23:$I$200")=$D$5)*(INDIRECT("'"&amp;$C173&amp;"'!$H$23:$H$200")=$L$5)*(INDIRECT("'"&amp;$C173&amp;"'!$O$23:$O$200")&lt;=-2.25)*((INDIRECT("'"&amp;$C173&amp;"'!$K$23:$K$200")-INDIRECT("'"&amp;$C173&amp;"'!$J$23:$J$200"))&gt;-2),1,0)))</f>
        <v>0</v>
      </c>
      <c r="Q173" s="406" t="str">
        <f t="shared" ref="Q173:Q178" ca="1" si="162">IF(P173="","",IF(P173=0,"-",P173/$R173))</f>
        <v>-</v>
      </c>
      <c r="R173" s="602">
        <f ca="1">IF($C173="N","",L173+N173+P173)</f>
        <v>0</v>
      </c>
      <c r="S173" s="599">
        <f ca="1">IF($C173="N","",L173+E173)</f>
        <v>0</v>
      </c>
      <c r="T173" s="406" t="str">
        <f t="shared" ref="T173:T178" ca="1" si="163">IF(S173="","",IF(S173=0,"-",S173/$Y173))</f>
        <v>-</v>
      </c>
      <c r="U173" s="408">
        <f ca="1">IF($C173="N","",N173+G173)</f>
        <v>0</v>
      </c>
      <c r="V173" s="406" t="str">
        <f t="shared" ref="V173:V178" ca="1" si="164">IF(U173="","",IF(U173=0,"-",U173/$Y173))</f>
        <v>-</v>
      </c>
      <c r="W173" s="408">
        <f ca="1">IF($C173="N","",P173+I173)</f>
        <v>0</v>
      </c>
      <c r="X173" s="406" t="str">
        <f t="shared" ref="X173:X178" ca="1" si="165">IF(W173="","",IF(W173=0,"-",W173/$Y173))</f>
        <v>-</v>
      </c>
      <c r="Y173" s="602">
        <f ca="1">IF($C173="N","",R173+K173)</f>
        <v>0</v>
      </c>
      <c r="Z173" s="355"/>
    </row>
    <row r="174" spans="2:26">
      <c r="B174" s="568"/>
      <c r="C174" s="357" t="str">
        <f>C173</f>
        <v>Roasso Kumamoto</v>
      </c>
      <c r="D174" s="654">
        <v>-1</v>
      </c>
      <c r="E174" s="655">
        <f t="array" aca="1" ref="E174" ca="1">IF($C174="N","",SUM(IF((INDIRECT("'"&amp;$C173&amp;"'!$I$23:$I$200")=$D$5)*(INDIRECT("'"&amp;$C173&amp;"'!$H$23:$H$200")=$E$5)*(INDIRECT("'"&amp;$C173&amp;"'!$O$23:$O$200")&lt;=-0.5)*(INDIRECT("'"&amp;$C173&amp;"'!$O$23:$O$200")&gt;=-2)*((INDIRECT("'"&amp;$C173&amp;"'!$J$23:$J$200")-INDIRECT("'"&amp;$C173&amp;"'!$K$23:$K$200"))&gt;1),1,0)))</f>
        <v>0</v>
      </c>
      <c r="F174" s="601" t="str">
        <f t="shared" ca="1" si="157"/>
        <v>-</v>
      </c>
      <c r="G174" s="418">
        <f t="array" aca="1" ref="G174" ca="1">IF($C174="N","",SUM(IF((INDIRECT("'"&amp;$C173&amp;"'!$I$23:$I$200")=$D$5)*(INDIRECT("'"&amp;$C173&amp;"'!$H$23:$H$200")=$E$5)*(INDIRECT("'"&amp;$C173&amp;"'!$O$23:$O$200")&lt;=-0.5)*(INDIRECT("'"&amp;$C173&amp;"'!$O$23:$O$200")&gt;=-2)*((INDIRECT("'"&amp;$C173&amp;"'!$J$23:$J$200")-INDIRECT("'"&amp;$C173&amp;"'!$K$23:$K$200"))=1),1,0)))</f>
        <v>0</v>
      </c>
      <c r="H174" s="601" t="str">
        <f t="shared" ca="1" si="158"/>
        <v>-</v>
      </c>
      <c r="I174" s="418">
        <f t="array" aca="1" ref="I174" ca="1">IF($C174="N","",SUM(IF((INDIRECT("'"&amp;$C173&amp;"'!$I$23:$I$200")=$D$5)*(INDIRECT("'"&amp;$C173&amp;"'!$H$23:$H$200")=$E$5)*(INDIRECT("'"&amp;$C173&amp;"'!$O$23:$O$200")&lt;=-0.5)*(INDIRECT("'"&amp;$C173&amp;"'!$O$23:$O$200")&gt;=-2)*((INDIRECT("'"&amp;$C173&amp;"'!$K$23:$K$200")-INDIRECT("'"&amp;$C173&amp;"'!$J$23:$J$200"))&gt;-1),1,0)))</f>
        <v>0</v>
      </c>
      <c r="J174" s="601" t="str">
        <f t="shared" ca="1" si="159"/>
        <v>-</v>
      </c>
      <c r="K174" s="522">
        <f ca="1">IF($C174="N","",E174+G174+I174)</f>
        <v>0</v>
      </c>
      <c r="L174" s="655">
        <f t="array" aca="1" ref="L174" ca="1">IF($C174="N","",SUM(IF((INDIRECT("'"&amp;$C173&amp;"'!$I$23:$I$200")=$D$5)*(INDIRECT("'"&amp;$C173&amp;"'!$H$23:$H$200")=$L$5)*(INDIRECT("'"&amp;$C173&amp;"'!$O$23:$O$200")&lt;=-0.5)*(INDIRECT("'"&amp;$C173&amp;"'!$O$23:$O$200")&gt;=-2)*((INDIRECT("'"&amp;$C173&amp;"'!$J$23:$J$200")-INDIRECT("'"&amp;$C173&amp;"'!$K$23:$K$200"))&gt;1),1,0)))</f>
        <v>0</v>
      </c>
      <c r="M174" s="601" t="str">
        <f t="shared" ca="1" si="160"/>
        <v>-</v>
      </c>
      <c r="N174" s="418">
        <f t="array" aca="1" ref="N174" ca="1">IF($C174="N","",SUM(IF((INDIRECT("'"&amp;$C173&amp;"'!$I$23:$I$200")=$D$5)*(INDIRECT("'"&amp;$C173&amp;"'!$H$23:$H$200")=$L$5)*(INDIRECT("'"&amp;$C173&amp;"'!$O$23:$O$200")&lt;=-0.5)*(INDIRECT("'"&amp;$C173&amp;"'!$O$23:$O$200")&gt;=-2)*((INDIRECT("'"&amp;$C173&amp;"'!$J$23:$J$200")-INDIRECT("'"&amp;$C173&amp;"'!$K$23:$K$200"))=1),1,0)))</f>
        <v>0</v>
      </c>
      <c r="O174" s="601" t="str">
        <f t="shared" ca="1" si="161"/>
        <v>-</v>
      </c>
      <c r="P174" s="418">
        <f t="array" aca="1" ref="P174" ca="1">IF($C174="N","",SUM(IF((INDIRECT("'"&amp;$C173&amp;"'!$I$23:$I$200")=$D$5)*(INDIRECT("'"&amp;$C173&amp;"'!$H$23:$H$200")=$L$5)*(INDIRECT("'"&amp;$C173&amp;"'!$O$23:$O$200")&lt;=-0.5)*(INDIRECT("'"&amp;$C173&amp;"'!$O$23:$O$200")&gt;=-2)*((INDIRECT("'"&amp;$C173&amp;"'!$K$23:$K$200")-INDIRECT("'"&amp;$C173&amp;"'!$J$23:$J$200"))&gt;-1),1,0)))</f>
        <v>0</v>
      </c>
      <c r="Q174" s="601" t="str">
        <f t="shared" ca="1" si="162"/>
        <v>-</v>
      </c>
      <c r="R174" s="522">
        <f ca="1">IF($C174="N","",L174+N174+P174)</f>
        <v>0</v>
      </c>
      <c r="S174" s="655">
        <f ca="1">IF($C174="N","",L174+E174)</f>
        <v>0</v>
      </c>
      <c r="T174" s="601" t="str">
        <f t="shared" ca="1" si="163"/>
        <v>-</v>
      </c>
      <c r="U174" s="418">
        <f ca="1">IF($C174="N","",N174+G174)</f>
        <v>0</v>
      </c>
      <c r="V174" s="601" t="str">
        <f t="shared" ca="1" si="164"/>
        <v>-</v>
      </c>
      <c r="W174" s="418">
        <f ca="1">IF($C174="N","",P174+I174)</f>
        <v>0</v>
      </c>
      <c r="X174" s="601" t="str">
        <f t="shared" ca="1" si="165"/>
        <v>-</v>
      </c>
      <c r="Y174" s="602">
        <f ca="1">IF($C174="N","",R174+K174)</f>
        <v>0</v>
      </c>
      <c r="Z174" s="355"/>
    </row>
    <row r="175" spans="2:26">
      <c r="B175" s="568"/>
      <c r="C175" s="357" t="str">
        <f>C174</f>
        <v>Roasso Kumamoto</v>
      </c>
      <c r="D175" s="654">
        <v>0</v>
      </c>
      <c r="E175" s="655">
        <f t="array" aca="1" ref="E175" ca="1">IF($C175="N","",SUM(IF((INDIRECT("'"&amp;$C173&amp;"'!$I$23:$I$200")=$D$5)*(INDIRECT("'"&amp;$C173&amp;"'!$H$23:$H$200")=$E$5)*(INDIRECT("'"&amp;$C173&amp;"'!$O$23:$O$200")&gt;=-0.25)*(INDIRECT("'"&amp;$C173&amp;"'!$O$23:$O$200")&lt;=0.25)*(INDIRECT("'"&amp;$C173&amp;"'!$O$23:$O$200")&lt;&gt;"")*((INDIRECT("'"&amp;$C173&amp;"'!$J$23:$J$200")-INDIRECT("'"&amp;$C173&amp;"'!$K$23:$K$200"))&gt;0),1,0)))</f>
        <v>2</v>
      </c>
      <c r="F175" s="601">
        <f t="shared" ca="1" si="157"/>
        <v>0.16666666666666666</v>
      </c>
      <c r="G175" s="418">
        <f t="array" aca="1" ref="G175" ca="1">IF($C175="N","",SUM(IF((INDIRECT("'"&amp;$C173&amp;"'!$I$23:$I$200")=$D$5)*(INDIRECT("'"&amp;$C173&amp;"'!$H$23:$H$200")=$E$5)*(INDIRECT("'"&amp;$C173&amp;"'!$O$23:$O$200")&gt;=-0.25)*(INDIRECT("'"&amp;$C173&amp;"'!$O$23:$O$200")&lt;=0.25)*(INDIRECT("'"&amp;$C173&amp;"'!$O$23:$O$200")&lt;&gt;"")*((INDIRECT("'"&amp;$C173&amp;"'!$J$23:$J$200")-INDIRECT("'"&amp;$C173&amp;"'!$K$23:$K$200"))=0),1,0)))</f>
        <v>1</v>
      </c>
      <c r="H175" s="601">
        <f t="shared" ca="1" si="158"/>
        <v>8.3333333333333329E-2</v>
      </c>
      <c r="I175" s="418">
        <f t="array" aca="1" ref="I175" ca="1">IF($C175="N","",SUM(IF((INDIRECT("'"&amp;$C173&amp;"'!$I$23:$I$200")=$D$5)*(INDIRECT("'"&amp;$C173&amp;"'!$H$23:$H$200")=$E$5)*(INDIRECT("'"&amp;$C173&amp;"'!$O$23:$O$200")&gt;=-0.25)*(INDIRECT("'"&amp;$C173&amp;"'!$O$23:$O$200")&lt;=0.25)*(INDIRECT("'"&amp;$C173&amp;"'!$O$23:$O$200")&lt;&gt;"")*((INDIRECT("'"&amp;$C173&amp;"'!$J$23:$J$200")-INDIRECT("'"&amp;$C173&amp;"'!$K$23:$K$200"))&lt;0),1,0)))</f>
        <v>9</v>
      </c>
      <c r="J175" s="601">
        <f t="shared" ca="1" si="159"/>
        <v>0.75</v>
      </c>
      <c r="K175" s="522">
        <f ca="1">IF($C175="N","",E175+G175+I175)</f>
        <v>12</v>
      </c>
      <c r="L175" s="655">
        <f t="array" aca="1" ref="L175" ca="1">IF($C175="N","",SUM(IF((INDIRECT("'"&amp;$C173&amp;"'!$I$23:$I$200")=$D$5)*(INDIRECT("'"&amp;$C173&amp;"'!$H$23:$H$200")=$L$5)*(INDIRECT("'"&amp;$C173&amp;"'!$O$23:$O$200")&gt;=-0.25)*(INDIRECT("'"&amp;$C173&amp;"'!$O$23:$O$200")&lt;=0.25)*(INDIRECT("'"&amp;$C173&amp;"'!$O$23:$O$200")&lt;&gt;"")*((INDIRECT("'"&amp;$C173&amp;"'!$J$23:$J$200")-INDIRECT("'"&amp;$C173&amp;"'!$K$23:$K$200"))&gt;0),1,0)))</f>
        <v>1</v>
      </c>
      <c r="M175" s="601">
        <f t="shared" ca="1" si="160"/>
        <v>0.2</v>
      </c>
      <c r="N175" s="418">
        <f t="array" aca="1" ref="N175" ca="1">IF($C175="N","",SUM(IF((INDIRECT("'"&amp;$C173&amp;"'!$I$23:$I$200")=$D$5)*(INDIRECT("'"&amp;$C173&amp;"'!$H$23:$H$200")=$L$5)*(INDIRECT("'"&amp;$C173&amp;"'!$O$23:$O$200")&gt;=-0.25)*(INDIRECT("'"&amp;$C173&amp;"'!$O$23:$O$200")&lt;=0.25)*(INDIRECT("'"&amp;$C173&amp;"'!$O$23:$O$200")&lt;&gt;"")*((INDIRECT("'"&amp;$C173&amp;"'!$J$23:$J$200")-INDIRECT("'"&amp;$C173&amp;"'!$K$23:$K$200"))=0),1,0)))</f>
        <v>3</v>
      </c>
      <c r="O175" s="601">
        <f t="shared" ca="1" si="161"/>
        <v>0.6</v>
      </c>
      <c r="P175" s="418">
        <f t="array" aca="1" ref="P175" ca="1">IF($C175="N","",SUM(IF((INDIRECT("'"&amp;$C173&amp;"'!$I$23:$I$200")=$D$5)*(INDIRECT("'"&amp;$C173&amp;"'!$H$23:$H$200")=$L$5)*(INDIRECT("'"&amp;$C173&amp;"'!$O$23:$O$200")&gt;=-0.25)*(INDIRECT("'"&amp;$C173&amp;"'!$O$23:$O$200")&lt;=0.25)*(INDIRECT("'"&amp;$C173&amp;"'!$O$23:$O$200")&lt;&gt;"")*((INDIRECT("'"&amp;$C173&amp;"'!$J$23:$J$200")-INDIRECT("'"&amp;$C173&amp;"'!$K$23:$K$200"))&lt;0),1,0)))</f>
        <v>1</v>
      </c>
      <c r="Q175" s="601">
        <f t="shared" ca="1" si="162"/>
        <v>0.2</v>
      </c>
      <c r="R175" s="522">
        <f ca="1">IF($C175="N","",L175+N175+P175)</f>
        <v>5</v>
      </c>
      <c r="S175" s="655">
        <f ca="1">IF($C175="N","",L175+E175)</f>
        <v>3</v>
      </c>
      <c r="T175" s="601">
        <f t="shared" ca="1" si="163"/>
        <v>0.17647058823529413</v>
      </c>
      <c r="U175" s="418">
        <f ca="1">IF($C175="N","",N175+G175)</f>
        <v>4</v>
      </c>
      <c r="V175" s="601">
        <f t="shared" ca="1" si="164"/>
        <v>0.23529411764705882</v>
      </c>
      <c r="W175" s="418">
        <f ca="1">IF($C175="N","",P175+I175)</f>
        <v>10</v>
      </c>
      <c r="X175" s="601">
        <f t="shared" ca="1" si="165"/>
        <v>0.58823529411764708</v>
      </c>
      <c r="Y175" s="602">
        <f ca="1">IF($C175="N","",R175+K175)</f>
        <v>17</v>
      </c>
      <c r="Z175" s="355"/>
    </row>
    <row r="176" spans="2:26">
      <c r="B176" s="568"/>
      <c r="C176" s="357" t="str">
        <f>C175</f>
        <v>Roasso Kumamoto</v>
      </c>
      <c r="D176" s="654">
        <v>1</v>
      </c>
      <c r="E176" s="655">
        <f t="array" aca="1" ref="E176" ca="1">IF($C176="N","",SUM(IF((INDIRECT("'"&amp;$C173&amp;"'!$I$23:$I$200")=$D$5)*(INDIRECT("'"&amp;$C173&amp;"'!$H$23:$H$200")=$E$5)*(INDIRECT("'"&amp;$C173&amp;"'!$O$23:$O$200")&gt;=0.5)*(INDIRECT("'"&amp;$C173&amp;"'!$O$23:$O$200")&lt;=2)*((INDIRECT("'"&amp;$C173&amp;"'!$J$23:$J$200")-INDIRECT("'"&amp;$C173&amp;"'!$K$23:$K$200"))&gt;-1),1,0)))</f>
        <v>6</v>
      </c>
      <c r="F176" s="601">
        <f t="shared" ca="1" si="157"/>
        <v>0.66666666666666663</v>
      </c>
      <c r="G176" s="418">
        <f t="array" aca="1" ref="G176" ca="1">IF($C176="N","",SUM(IF((INDIRECT("'"&amp;$C173&amp;"'!$I$23:$I$200")=$D$5)*(INDIRECT("'"&amp;$C173&amp;"'!$H$23:$H$200")=$E$5)*(INDIRECT("'"&amp;$C173&amp;"'!$O$23:$O$200")&gt;=0.5)*(INDIRECT("'"&amp;$C173&amp;"'!$O$23:$O$200")&lt;=2)*((INDIRECT("'"&amp;$C173&amp;"'!$J$23:$J$200")-INDIRECT("'"&amp;$C173&amp;"'!$K$23:$K$200"))=-1),1,0)))</f>
        <v>2</v>
      </c>
      <c r="H176" s="601">
        <f t="shared" ca="1" si="158"/>
        <v>0.22222222222222221</v>
      </c>
      <c r="I176" s="418">
        <f t="array" aca="1" ref="I176" ca="1">IF($C176="N","",SUM(IF((INDIRECT("'"&amp;$C173&amp;"'!$I$23:$I$200")=$D$5)*(INDIRECT("'"&amp;$C173&amp;"'!$H$23:$H$200")=$E$5)*(INDIRECT("'"&amp;$C173&amp;"'!$O$23:$O$200")&gt;=0.5)*(INDIRECT("'"&amp;$C173&amp;"'!$O$23:$O$200")&lt;=2)*((INDIRECT("'"&amp;$C173&amp;"'!$J$23:$J$200")-INDIRECT("'"&amp;$C173&amp;"'!$K$23:$K$200"))&lt;-1),1,0)))</f>
        <v>1</v>
      </c>
      <c r="J176" s="601">
        <f t="shared" ca="1" si="159"/>
        <v>0.1111111111111111</v>
      </c>
      <c r="K176" s="522">
        <f ca="1">IF($C176="N","",E176+G176+I176)</f>
        <v>9</v>
      </c>
      <c r="L176" s="655">
        <f t="array" aca="1" ref="L176" ca="1">IF($C176="N","",SUM(IF((INDIRECT("'"&amp;$C173&amp;"'!$I$23:$I$200")=$D$5)*(INDIRECT("'"&amp;$C173&amp;"'!$H$23:$H$200")=$L$5)*(INDIRECT("'"&amp;$C173&amp;"'!$O$23:$O$200")&gt;=0.5)*(INDIRECT("'"&amp;$C173&amp;"'!$O$23:$O$200")&lt;=2)*((INDIRECT("'"&amp;$C173&amp;"'!$J$23:$J$200")-INDIRECT("'"&amp;$C173&amp;"'!$K$23:$K$200"))&gt;-1),1,0)))</f>
        <v>6</v>
      </c>
      <c r="M176" s="601">
        <f t="shared" ca="1" si="160"/>
        <v>0.375</v>
      </c>
      <c r="N176" s="418">
        <f t="array" aca="1" ref="N176" ca="1">IF($C176="N","",SUM(IF((INDIRECT("'"&amp;$C173&amp;"'!$I$23:$I$200")=$D$5)*(INDIRECT("'"&amp;$C173&amp;"'!$H$23:$H$200")=$L$5)*(INDIRECT("'"&amp;$C173&amp;"'!$O$23:$O$200")&gt;=0.5)*(INDIRECT("'"&amp;$C173&amp;"'!$O$23:$O$200")&lt;=2)*((INDIRECT("'"&amp;$C173&amp;"'!$J$23:$J$200")-INDIRECT("'"&amp;$C173&amp;"'!$K$23:$K$200"))=-1),1,0)))</f>
        <v>7</v>
      </c>
      <c r="O176" s="601">
        <f t="shared" ca="1" si="161"/>
        <v>0.4375</v>
      </c>
      <c r="P176" s="418">
        <f t="array" aca="1" ref="P176" ca="1">IF($C176="N","",SUM(IF((INDIRECT("'"&amp;$C173&amp;"'!$I$23:$I$200")=$D$5)*(INDIRECT("'"&amp;$C173&amp;"'!$H$23:$H$200")=$L$5)*(INDIRECT("'"&amp;$C173&amp;"'!$O$23:$O$200")&gt;=0.5)*(INDIRECT("'"&amp;$C173&amp;"'!$O$23:$O$200")&lt;=2)*((INDIRECT("'"&amp;$C173&amp;"'!$J$23:$J$200")-INDIRECT("'"&amp;$C173&amp;"'!$K$23:$K$200"))&lt;-1),1,0)))</f>
        <v>3</v>
      </c>
      <c r="Q176" s="601">
        <f t="shared" ca="1" si="162"/>
        <v>0.1875</v>
      </c>
      <c r="R176" s="522">
        <f ca="1">IF($C176="N","",L176+N176+P176)</f>
        <v>16</v>
      </c>
      <c r="S176" s="655">
        <f ca="1">IF($C176="N","",L176+E176)</f>
        <v>12</v>
      </c>
      <c r="T176" s="601">
        <f t="shared" ca="1" si="163"/>
        <v>0.48</v>
      </c>
      <c r="U176" s="418">
        <f ca="1">IF($C176="N","",N176+G176)</f>
        <v>9</v>
      </c>
      <c r="V176" s="601">
        <f t="shared" ca="1" si="164"/>
        <v>0.36</v>
      </c>
      <c r="W176" s="418">
        <f ca="1">IF($C176="N","",P176+I176)</f>
        <v>4</v>
      </c>
      <c r="X176" s="601">
        <f t="shared" ca="1" si="165"/>
        <v>0.16</v>
      </c>
      <c r="Y176" s="602">
        <f ca="1">IF($C176="N","",R176+K176)</f>
        <v>25</v>
      </c>
      <c r="Z176" s="355"/>
    </row>
    <row r="177" spans="2:26" ht="13.5" thickBot="1">
      <c r="B177" s="568"/>
      <c r="C177" s="357" t="str">
        <f>C176</f>
        <v>Roasso Kumamoto</v>
      </c>
      <c r="D177" s="654">
        <v>2</v>
      </c>
      <c r="E177" s="657">
        <f t="array" aca="1" ref="E177" ca="1">IF($C177="N","",SUM(IF((INDIRECT("'"&amp;$C173&amp;"'!$I$23:$I$200")=$D$5)*(INDIRECT("'"&amp;$C173&amp;"'!$H$23:$H$200")=$E$5)*(INDIRECT("'"&amp;$C173&amp;"'!$O$23:$O$200")&gt;=2.25)*((INDIRECT("'"&amp;$C173&amp;"'!$J$23:$J$200")-INDIRECT("'"&amp;$C173&amp;"'!$K$23:$K$200"))&gt;-2),1,0)))</f>
        <v>0</v>
      </c>
      <c r="F177" s="605" t="str">
        <f t="shared" ca="1" si="157"/>
        <v>-</v>
      </c>
      <c r="G177" s="658">
        <f t="array" aca="1" ref="G177" ca="1">IF($C177="N","",SUM(IF((INDIRECT("'"&amp;$C173&amp;"'!$I$23:$I$200")=$D$5)*(INDIRECT("'"&amp;$C173&amp;"'!$H$23:$H$200")=$E$5)*(INDIRECT("'"&amp;$C173&amp;"'!$O$23:$O$200")&gt;=2.25)*((INDIRECT("'"&amp;$C173&amp;"'!$J$23:$J$200")-INDIRECT("'"&amp;$C173&amp;"'!$K$23:$K$200"))=-2),1,0)))</f>
        <v>0</v>
      </c>
      <c r="H177" s="605" t="str">
        <f t="shared" ca="1" si="158"/>
        <v>-</v>
      </c>
      <c r="I177" s="658">
        <f t="array" aca="1" ref="I177" ca="1">IF($C177="N","",SUM(IF((INDIRECT("'"&amp;$C173&amp;"'!$I$23:$I$200")=$D$5)*(INDIRECT("'"&amp;$C173&amp;"'!$H$23:$H$200")=$E$5)*(INDIRECT("'"&amp;$C173&amp;"'!$O$23:$O$200")&gt;=2.25)*((INDIRECT("'"&amp;$C173&amp;"'!$J$23:$J$200")-INDIRECT("'"&amp;$C173&amp;"'!$K$23:$K$200"))&lt;-2),1,0)))</f>
        <v>0</v>
      </c>
      <c r="J177" s="605" t="str">
        <f t="shared" ca="1" si="159"/>
        <v>-</v>
      </c>
      <c r="K177" s="659">
        <f ca="1">IF($C177="N","",E177+G177+I177)</f>
        <v>0</v>
      </c>
      <c r="L177" s="657">
        <f t="array" aca="1" ref="L177" ca="1">IF($C177="N","",SUM(IF((INDIRECT("'"&amp;$C173&amp;"'!$I$23:$I$200")=$D$5)*(INDIRECT("'"&amp;$C173&amp;"'!$H$23:$H$200")=$L$5)*(INDIRECT("'"&amp;$C173&amp;"'!$O$23:$O$200")&gt;=2.25)*((INDIRECT("'"&amp;$C173&amp;"'!$J$23:$J$200")-INDIRECT("'"&amp;$C173&amp;"'!$K$23:$K$200"))&gt;-2),1,0)))</f>
        <v>0</v>
      </c>
      <c r="M177" s="605" t="str">
        <f t="shared" ca="1" si="160"/>
        <v>-</v>
      </c>
      <c r="N177" s="658">
        <f t="array" aca="1" ref="N177" ca="1">IF($C177="N","",SUM(IF((INDIRECT("'"&amp;$C173&amp;"'!$I$23:$I$200")=$D$5)*(INDIRECT("'"&amp;$C173&amp;"'!$H$23:$H$200")=$L$5)*(INDIRECT("'"&amp;$C173&amp;"'!$O$23:$O$200")&gt;=2.25)*((INDIRECT("'"&amp;$C173&amp;"'!$J$23:$J$200")-INDIRECT("'"&amp;$C173&amp;"'!$K$23:$K$200"))=-2),1,0)))</f>
        <v>0</v>
      </c>
      <c r="O177" s="605" t="str">
        <f t="shared" ca="1" si="161"/>
        <v>-</v>
      </c>
      <c r="P177" s="658">
        <f t="array" aca="1" ref="P177" ca="1">IF($C177="N","",SUM(IF((INDIRECT("'"&amp;$C173&amp;"'!$I$23:$I$200")=$D$5)*(INDIRECT("'"&amp;$C173&amp;"'!$H$23:$H$200")=$L$5)*(INDIRECT("'"&amp;$C173&amp;"'!$O$23:$O$200")&gt;=2.25)*((INDIRECT("'"&amp;$C173&amp;"'!$J$23:$J$200")-INDIRECT("'"&amp;$C173&amp;"'!$K$23:$K$200"))&lt;-2),1,0)))</f>
        <v>0</v>
      </c>
      <c r="Q177" s="605" t="str">
        <f t="shared" ca="1" si="162"/>
        <v>-</v>
      </c>
      <c r="R177" s="659">
        <f ca="1">IF($C177="N","",L177+N177+P177)</f>
        <v>0</v>
      </c>
      <c r="S177" s="657">
        <f ca="1">IF($C177="N","",L177+E177)</f>
        <v>0</v>
      </c>
      <c r="T177" s="605" t="str">
        <f t="shared" ca="1" si="163"/>
        <v>-</v>
      </c>
      <c r="U177" s="658">
        <f ca="1">IF($C177="N","",N177+G177)</f>
        <v>0</v>
      </c>
      <c r="V177" s="605" t="str">
        <f t="shared" ca="1" si="164"/>
        <v>-</v>
      </c>
      <c r="W177" s="658">
        <f ca="1">IF($C177="N","",P177+I177)</f>
        <v>0</v>
      </c>
      <c r="X177" s="605" t="str">
        <f t="shared" ca="1" si="165"/>
        <v>-</v>
      </c>
      <c r="Y177" s="608">
        <f ca="1">IF($C177="N","",R177+K177)</f>
        <v>0</v>
      </c>
      <c r="Z177" s="355"/>
    </row>
    <row r="178" spans="2:26" ht="13.5" thickBot="1">
      <c r="B178" s="568" t="str">
        <f>D171</f>
        <v>Roasso Kumamoto</v>
      </c>
      <c r="D178" s="661" t="s">
        <v>115</v>
      </c>
      <c r="E178" s="481">
        <f ca="1">SUM(E173:E177)</f>
        <v>8</v>
      </c>
      <c r="F178" s="435">
        <f t="shared" ca="1" si="157"/>
        <v>0.38095238095238093</v>
      </c>
      <c r="G178" s="438">
        <f ca="1">SUM(G173:G177)</f>
        <v>3</v>
      </c>
      <c r="H178" s="435">
        <f t="shared" ca="1" si="158"/>
        <v>0.14285714285714285</v>
      </c>
      <c r="I178" s="438">
        <f ca="1">SUM(I173:I177)</f>
        <v>10</v>
      </c>
      <c r="J178" s="435">
        <f t="shared" ca="1" si="159"/>
        <v>0.47619047619047616</v>
      </c>
      <c r="K178" s="479">
        <f ca="1">SUM(K173:K177)</f>
        <v>21</v>
      </c>
      <c r="L178" s="662">
        <f ca="1">SUM(L173:L177)</f>
        <v>7</v>
      </c>
      <c r="M178" s="435">
        <f t="shared" ca="1" si="160"/>
        <v>0.33333333333333331</v>
      </c>
      <c r="N178" s="438">
        <f ca="1">SUM(N173:N177)</f>
        <v>10</v>
      </c>
      <c r="O178" s="435">
        <f t="shared" ca="1" si="161"/>
        <v>0.47619047619047616</v>
      </c>
      <c r="P178" s="438">
        <f ca="1">SUM(P173:P177)</f>
        <v>4</v>
      </c>
      <c r="Q178" s="435">
        <f t="shared" ca="1" si="162"/>
        <v>0.19047619047619047</v>
      </c>
      <c r="R178" s="480">
        <f ca="1">SUM(R173:R177)</f>
        <v>21</v>
      </c>
      <c r="S178" s="481">
        <f ca="1">SUM(S173:S177)</f>
        <v>15</v>
      </c>
      <c r="T178" s="435">
        <f t="shared" ca="1" si="163"/>
        <v>0.35714285714285715</v>
      </c>
      <c r="U178" s="438">
        <f ca="1">SUM(U173:U177)</f>
        <v>13</v>
      </c>
      <c r="V178" s="435">
        <f t="shared" ca="1" si="164"/>
        <v>0.30952380952380953</v>
      </c>
      <c r="W178" s="438">
        <f ca="1">SUM(W173:W177)</f>
        <v>14</v>
      </c>
      <c r="X178" s="435">
        <f t="shared" ca="1" si="165"/>
        <v>0.33333333333333331</v>
      </c>
      <c r="Y178" s="479">
        <f ca="1">SUM(Y173:Y177)</f>
        <v>42</v>
      </c>
    </row>
    <row r="179" spans="2:26" ht="13.5" thickBot="1">
      <c r="B179" s="568"/>
    </row>
    <row r="180" spans="2:26">
      <c r="D180" s="562" t="str">
        <f>G2</f>
        <v>Nagoya Grampus</v>
      </c>
      <c r="E180" s="582" t="s">
        <v>162</v>
      </c>
      <c r="F180" s="583"/>
      <c r="G180" s="584"/>
      <c r="H180" s="583"/>
      <c r="I180" s="585"/>
      <c r="J180" s="584"/>
      <c r="K180" s="586"/>
      <c r="L180" s="641" t="s">
        <v>163</v>
      </c>
      <c r="M180" s="583"/>
      <c r="N180" s="584"/>
      <c r="O180" s="583"/>
      <c r="P180" s="585"/>
      <c r="Q180" s="583"/>
      <c r="R180" s="584"/>
      <c r="S180" s="582" t="s">
        <v>164</v>
      </c>
      <c r="T180" s="583"/>
      <c r="U180" s="584"/>
      <c r="V180" s="583"/>
      <c r="W180" s="587"/>
      <c r="X180" s="588"/>
      <c r="Y180" s="589"/>
    </row>
    <row r="181" spans="2:26" ht="13.5" thickBot="1">
      <c r="D181" s="644" t="s">
        <v>165</v>
      </c>
      <c r="E181" s="590" t="s">
        <v>63</v>
      </c>
      <c r="F181" s="591"/>
      <c r="G181" s="645" t="s">
        <v>64</v>
      </c>
      <c r="H181" s="591"/>
      <c r="I181" s="645" t="s">
        <v>65</v>
      </c>
      <c r="J181" s="645"/>
      <c r="K181" s="646" t="s">
        <v>171</v>
      </c>
      <c r="L181" s="647" t="s">
        <v>63</v>
      </c>
      <c r="M181" s="591"/>
      <c r="N181" s="645" t="s">
        <v>64</v>
      </c>
      <c r="O181" s="591"/>
      <c r="P181" s="645" t="s">
        <v>65</v>
      </c>
      <c r="Q181" s="591"/>
      <c r="R181" s="646" t="s">
        <v>172</v>
      </c>
      <c r="S181" s="590" t="s">
        <v>63</v>
      </c>
      <c r="T181" s="591"/>
      <c r="U181" s="645" t="s">
        <v>64</v>
      </c>
      <c r="V181" s="648"/>
      <c r="W181" s="645" t="s">
        <v>65</v>
      </c>
      <c r="X181" s="591"/>
      <c r="Y181" s="646" t="s">
        <v>168</v>
      </c>
      <c r="Z181" s="355"/>
    </row>
    <row r="182" spans="2:26">
      <c r="B182" s="568"/>
      <c r="C182" s="357" t="str">
        <f>IF(D180=0,"N",D180)</f>
        <v>Nagoya Grampus</v>
      </c>
      <c r="D182" s="651">
        <v>-2</v>
      </c>
      <c r="E182" s="599">
        <f t="array" aca="1" ref="E182" ca="1">IF($C182="N","",SUM(IF((INDIRECT("'"&amp;$C182&amp;"'!$I$23:$I$200")=$D$5)*(INDIRECT("'"&amp;$C182&amp;"'!$H$23:$H$200")=$E$5)*(INDIRECT("'"&amp;$C182&amp;"'!$O$23:$O$200")&lt;=-2.25)*((INDIRECT("'"&amp;$C182&amp;"'!$J$23:$J$200")-INDIRECT("'"&amp;$C182&amp;"'!$K$23:$K$200"))&gt;2),1,0)))</f>
        <v>0</v>
      </c>
      <c r="F182" s="406" t="str">
        <f t="shared" ref="F182:F187" ca="1" si="166">IF(E182="","",IF(E182=0,"-",E182/$K182))</f>
        <v>-</v>
      </c>
      <c r="G182" s="408">
        <f t="array" aca="1" ref="G182" ca="1">IF($C182="N","",SUM(IF((INDIRECT("'"&amp;$C182&amp;"'!$I$23:$I$200")=$D$5)*(INDIRECT("'"&amp;$C182&amp;"'!$H$23:$H$200")=$E$5)*(INDIRECT("'"&amp;$C182&amp;"'!$O$23:$O$200")&lt;=-2.25)*((INDIRECT("'"&amp;$C182&amp;"'!$J$23:$J$200")-INDIRECT("'"&amp;$C182&amp;"'!$K$23:$K$200"))=2),1,0)))</f>
        <v>0</v>
      </c>
      <c r="H182" s="406" t="str">
        <f t="shared" ref="H182:H187" ca="1" si="167">IF(G182="","",IF(G182=0,"-",G182/$K182))</f>
        <v>-</v>
      </c>
      <c r="I182" s="408">
        <f t="array" aca="1" ref="I182" ca="1">IF($C182="N","",SUM(IF((INDIRECT("'"&amp;$C182&amp;"'!$I$23:$I$200")=$D$5)*(INDIRECT("'"&amp;$C182&amp;"'!$H$23:$H$200")=$E$5)*(INDIRECT("'"&amp;$C182&amp;"'!$O$23:$O$200")&lt;=-2.25)*((INDIRECT("'"&amp;$C182&amp;"'!$K$23:$K$200")-INDIRECT("'"&amp;$C182&amp;"'!$J$23:$J$200"))&gt;-2),1,0)))</f>
        <v>0</v>
      </c>
      <c r="J182" s="406" t="str">
        <f t="shared" ref="J182:J187" ca="1" si="168">IF(I182="","",IF(I182=0,"-",I182/$K182))</f>
        <v>-</v>
      </c>
      <c r="K182" s="602">
        <f ca="1">IF($C182="N","",E182+G182+I182)</f>
        <v>0</v>
      </c>
      <c r="L182" s="599">
        <f t="array" aca="1" ref="L182" ca="1">IF($C182="N","",SUM(IF((INDIRECT("'"&amp;$C182&amp;"'!$I$23:$I$200")=$D$5)*(INDIRECT("'"&amp;$C182&amp;"'!$H$23:$H$200")=$L$5)*(INDIRECT("'"&amp;$C182&amp;"'!$O$23:$O$200")&lt;=-2.25)*((INDIRECT("'"&amp;$C182&amp;"'!$J$23:$J$200")-INDIRECT("'"&amp;$C182&amp;"'!$K$23:$K$200"))&gt;2),1,0)))</f>
        <v>0</v>
      </c>
      <c r="M182" s="406" t="str">
        <f t="shared" ref="M182:M187" ca="1" si="169">IF(L182="","",IF(L182=0,"-",L182/$R182))</f>
        <v>-</v>
      </c>
      <c r="N182" s="408">
        <f t="array" aca="1" ref="N182" ca="1">IF($C182="N","",SUM(IF((INDIRECT("'"&amp;$C182&amp;"'!$I$23:$I$200")=$D$5)*(INDIRECT("'"&amp;$C182&amp;"'!$H$23:$H$200")=$L$5)*(INDIRECT("'"&amp;$C182&amp;"'!$O$23:$O$200")&lt;=-2.25)*((INDIRECT("'"&amp;$C182&amp;"'!$J$23:$J$200")-INDIRECT("'"&amp;$C182&amp;"'!$K$23:$K$200"))=2),1,0)))</f>
        <v>0</v>
      </c>
      <c r="O182" s="406" t="str">
        <f t="shared" ref="O182:O187" ca="1" si="170">IF(N182="","",IF(N182=0,"-",N182/$R182))</f>
        <v>-</v>
      </c>
      <c r="P182" s="408">
        <f t="array" aca="1" ref="P182" ca="1">IF($C182="N","",SUM(IF((INDIRECT("'"&amp;$C182&amp;"'!$I$23:$I$200")=$D$5)*(INDIRECT("'"&amp;$C182&amp;"'!$H$23:$H$200")=$L$5)*(INDIRECT("'"&amp;$C182&amp;"'!$O$23:$O$200")&lt;=-2.25)*((INDIRECT("'"&amp;$C182&amp;"'!$K$23:$K$200")-INDIRECT("'"&amp;$C182&amp;"'!$J$23:$J$200"))&gt;-2),1,0)))</f>
        <v>0</v>
      </c>
      <c r="Q182" s="406" t="str">
        <f t="shared" ref="Q182:Q187" ca="1" si="171">IF(P182="","",IF(P182=0,"-",P182/$R182))</f>
        <v>-</v>
      </c>
      <c r="R182" s="602">
        <f ca="1">IF($C182="N","",L182+N182+P182)</f>
        <v>0</v>
      </c>
      <c r="S182" s="599">
        <f ca="1">IF($C182="N","",L182+E182)</f>
        <v>0</v>
      </c>
      <c r="T182" s="406" t="str">
        <f t="shared" ref="T182:T187" ca="1" si="172">IF(S182="","",IF(S182=0,"-",S182/$Y182))</f>
        <v>-</v>
      </c>
      <c r="U182" s="408">
        <f ca="1">IF($C182="N","",N182+G182)</f>
        <v>0</v>
      </c>
      <c r="V182" s="406" t="str">
        <f t="shared" ref="V182:V187" ca="1" si="173">IF(U182="","",IF(U182=0,"-",U182/$Y182))</f>
        <v>-</v>
      </c>
      <c r="W182" s="408">
        <f ca="1">IF($C182="N","",P182+I182)</f>
        <v>0</v>
      </c>
      <c r="X182" s="406" t="str">
        <f t="shared" ref="X182:X187" ca="1" si="174">IF(W182="","",IF(W182=0,"-",W182/$Y182))</f>
        <v>-</v>
      </c>
      <c r="Y182" s="602">
        <f ca="1">IF($C182="N","",R182+K182)</f>
        <v>0</v>
      </c>
      <c r="Z182" s="355"/>
    </row>
    <row r="183" spans="2:26">
      <c r="B183" s="568"/>
      <c r="C183" s="357" t="str">
        <f>C182</f>
        <v>Nagoya Grampus</v>
      </c>
      <c r="D183" s="654">
        <v>-1</v>
      </c>
      <c r="E183" s="655">
        <f t="array" aca="1" ref="E183" ca="1">IF($C183="N","",SUM(IF((INDIRECT("'"&amp;$C182&amp;"'!$I$23:$I$200")=$D$5)*(INDIRECT("'"&amp;$C182&amp;"'!$H$23:$H$200")=$E$5)*(INDIRECT("'"&amp;$C182&amp;"'!$O$23:$O$200")&lt;=-0.5)*(INDIRECT("'"&amp;$C182&amp;"'!$O$23:$O$200")&gt;=-2)*((INDIRECT("'"&amp;$C182&amp;"'!$J$23:$J$200")-INDIRECT("'"&amp;$C182&amp;"'!$K$23:$K$200"))&gt;1),1,0)))</f>
        <v>3</v>
      </c>
      <c r="F183" s="601">
        <f t="shared" ca="1" si="166"/>
        <v>0.3</v>
      </c>
      <c r="G183" s="418">
        <f t="array" aca="1" ref="G183" ca="1">IF($C183="N","",SUM(IF((INDIRECT("'"&amp;$C182&amp;"'!$I$23:$I$200")=$D$5)*(INDIRECT("'"&amp;$C182&amp;"'!$H$23:$H$200")=$E$5)*(INDIRECT("'"&amp;$C182&amp;"'!$O$23:$O$200")&lt;=-0.5)*(INDIRECT("'"&amp;$C182&amp;"'!$O$23:$O$200")&gt;=-2)*((INDIRECT("'"&amp;$C182&amp;"'!$J$23:$J$200")-INDIRECT("'"&amp;$C182&amp;"'!$K$23:$K$200"))=1),1,0)))</f>
        <v>2</v>
      </c>
      <c r="H183" s="601">
        <f t="shared" ca="1" si="167"/>
        <v>0.2</v>
      </c>
      <c r="I183" s="418">
        <f t="array" aca="1" ref="I183" ca="1">IF($C183="N","",SUM(IF((INDIRECT("'"&amp;$C182&amp;"'!$I$23:$I$200")=$D$5)*(INDIRECT("'"&amp;$C182&amp;"'!$H$23:$H$200")=$E$5)*(INDIRECT("'"&amp;$C182&amp;"'!$O$23:$O$200")&lt;=-0.5)*(INDIRECT("'"&amp;$C182&amp;"'!$O$23:$O$200")&gt;=-2)*((INDIRECT("'"&amp;$C182&amp;"'!$K$23:$K$200")-INDIRECT("'"&amp;$C182&amp;"'!$J$23:$J$200"))&gt;-1),1,0)))</f>
        <v>5</v>
      </c>
      <c r="J183" s="601">
        <f t="shared" ca="1" si="168"/>
        <v>0.5</v>
      </c>
      <c r="K183" s="522">
        <f ca="1">IF($C183="N","",E183+G183+I183)</f>
        <v>10</v>
      </c>
      <c r="L183" s="655">
        <f t="array" aca="1" ref="L183" ca="1">IF($C183="N","",SUM(IF((INDIRECT("'"&amp;$C182&amp;"'!$I$23:$I$200")=$D$5)*(INDIRECT("'"&amp;$C182&amp;"'!$H$23:$H$200")=$L$5)*(INDIRECT("'"&amp;$C182&amp;"'!$O$23:$O$200")&lt;=-0.5)*(INDIRECT("'"&amp;$C182&amp;"'!$O$23:$O$200")&gt;=-2)*((INDIRECT("'"&amp;$C182&amp;"'!$J$23:$J$200")-INDIRECT("'"&amp;$C182&amp;"'!$K$23:$K$200"))&gt;1),1,0)))</f>
        <v>3</v>
      </c>
      <c r="M183" s="601">
        <f t="shared" ca="1" si="169"/>
        <v>0.5</v>
      </c>
      <c r="N183" s="418">
        <f t="array" aca="1" ref="N183" ca="1">IF($C183="N","",SUM(IF((INDIRECT("'"&amp;$C182&amp;"'!$I$23:$I$200")=$D$5)*(INDIRECT("'"&amp;$C182&amp;"'!$H$23:$H$200")=$L$5)*(INDIRECT("'"&amp;$C182&amp;"'!$O$23:$O$200")&lt;=-0.5)*(INDIRECT("'"&amp;$C182&amp;"'!$O$23:$O$200")&gt;=-2)*((INDIRECT("'"&amp;$C182&amp;"'!$J$23:$J$200")-INDIRECT("'"&amp;$C182&amp;"'!$K$23:$K$200"))=1),1,0)))</f>
        <v>2</v>
      </c>
      <c r="O183" s="601">
        <f t="shared" ca="1" si="170"/>
        <v>0.33333333333333331</v>
      </c>
      <c r="P183" s="418">
        <f t="array" aca="1" ref="P183" ca="1">IF($C183="N","",SUM(IF((INDIRECT("'"&amp;$C182&amp;"'!$I$23:$I$200")=$D$5)*(INDIRECT("'"&amp;$C182&amp;"'!$H$23:$H$200")=$L$5)*(INDIRECT("'"&amp;$C182&amp;"'!$O$23:$O$200")&lt;=-0.5)*(INDIRECT("'"&amp;$C182&amp;"'!$O$23:$O$200")&gt;=-2)*((INDIRECT("'"&amp;$C182&amp;"'!$K$23:$K$200")-INDIRECT("'"&amp;$C182&amp;"'!$J$23:$J$200"))&gt;-1),1,0)))</f>
        <v>1</v>
      </c>
      <c r="Q183" s="601">
        <f t="shared" ca="1" si="171"/>
        <v>0.16666666666666666</v>
      </c>
      <c r="R183" s="522">
        <f ca="1">IF($C183="N","",L183+N183+P183)</f>
        <v>6</v>
      </c>
      <c r="S183" s="655">
        <f ca="1">IF($C183="N","",L183+E183)</f>
        <v>6</v>
      </c>
      <c r="T183" s="601">
        <f t="shared" ca="1" si="172"/>
        <v>0.375</v>
      </c>
      <c r="U183" s="418">
        <f ca="1">IF($C183="N","",N183+G183)</f>
        <v>4</v>
      </c>
      <c r="V183" s="601">
        <f t="shared" ca="1" si="173"/>
        <v>0.25</v>
      </c>
      <c r="W183" s="418">
        <f ca="1">IF($C183="N","",P183+I183)</f>
        <v>6</v>
      </c>
      <c r="X183" s="601">
        <f t="shared" ca="1" si="174"/>
        <v>0.375</v>
      </c>
      <c r="Y183" s="602">
        <f ca="1">IF($C183="N","",R183+K183)</f>
        <v>16</v>
      </c>
      <c r="Z183" s="355"/>
    </row>
    <row r="184" spans="2:26">
      <c r="B184" s="568"/>
      <c r="C184" s="357" t="str">
        <f>C183</f>
        <v>Nagoya Grampus</v>
      </c>
      <c r="D184" s="654">
        <v>0</v>
      </c>
      <c r="E184" s="655">
        <f t="array" aca="1" ref="E184" ca="1">IF($C184="N","",SUM(IF((INDIRECT("'"&amp;$C182&amp;"'!$I$23:$I$200")=$D$5)*(INDIRECT("'"&amp;$C182&amp;"'!$H$23:$H$200")=$E$5)*(INDIRECT("'"&amp;$C182&amp;"'!$O$23:$O$200")&gt;=-0.25)*(INDIRECT("'"&amp;$C182&amp;"'!$O$23:$O$200")&lt;=0.25)*(INDIRECT("'"&amp;$C182&amp;"'!$O$23:$O$200")&lt;&gt;"")*((INDIRECT("'"&amp;$C182&amp;"'!$J$23:$J$200")-INDIRECT("'"&amp;$C182&amp;"'!$K$23:$K$200"))&gt;0),1,0)))</f>
        <v>9</v>
      </c>
      <c r="F184" s="601">
        <f t="shared" ca="1" si="166"/>
        <v>0.75</v>
      </c>
      <c r="G184" s="418">
        <f t="array" aca="1" ref="G184" ca="1">IF($C184="N","",SUM(IF((INDIRECT("'"&amp;$C182&amp;"'!$I$23:$I$200")=$D$5)*(INDIRECT("'"&amp;$C182&amp;"'!$H$23:$H$200")=$E$5)*(INDIRECT("'"&amp;$C182&amp;"'!$O$23:$O$200")&gt;=-0.25)*(INDIRECT("'"&amp;$C182&amp;"'!$O$23:$O$200")&lt;=0.25)*(INDIRECT("'"&amp;$C182&amp;"'!$O$23:$O$200")&lt;&gt;"")*((INDIRECT("'"&amp;$C182&amp;"'!$J$23:$J$200")-INDIRECT("'"&amp;$C182&amp;"'!$K$23:$K$200"))=0),1,0)))</f>
        <v>1</v>
      </c>
      <c r="H184" s="601">
        <f t="shared" ca="1" si="167"/>
        <v>8.3333333333333329E-2</v>
      </c>
      <c r="I184" s="418">
        <f t="array" aca="1" ref="I184" ca="1">IF($C184="N","",SUM(IF((INDIRECT("'"&amp;$C182&amp;"'!$I$23:$I$200")=$D$5)*(INDIRECT("'"&amp;$C182&amp;"'!$H$23:$H$200")=$E$5)*(INDIRECT("'"&amp;$C182&amp;"'!$O$23:$O$200")&gt;=-0.25)*(INDIRECT("'"&amp;$C182&amp;"'!$O$23:$O$200")&lt;=0.25)*(INDIRECT("'"&amp;$C182&amp;"'!$O$23:$O$200")&lt;&gt;"")*((INDIRECT("'"&amp;$C182&amp;"'!$J$23:$J$200")-INDIRECT("'"&amp;$C182&amp;"'!$K$23:$K$200"))&lt;0),1,0)))</f>
        <v>2</v>
      </c>
      <c r="J184" s="601">
        <f t="shared" ca="1" si="168"/>
        <v>0.16666666666666666</v>
      </c>
      <c r="K184" s="522">
        <f ca="1">IF($C184="N","",E184+G184+I184)</f>
        <v>12</v>
      </c>
      <c r="L184" s="655">
        <f t="array" aca="1" ref="L184" ca="1">IF($C184="N","",SUM(IF((INDIRECT("'"&amp;$C182&amp;"'!$I$23:$I$200")=$D$5)*(INDIRECT("'"&amp;$C182&amp;"'!$H$23:$H$200")=$L$5)*(INDIRECT("'"&amp;$C182&amp;"'!$O$23:$O$200")&gt;=-0.25)*(INDIRECT("'"&amp;$C182&amp;"'!$O$23:$O$200")&lt;=0.25)*(INDIRECT("'"&amp;$C182&amp;"'!$O$23:$O$200")&lt;&gt;"")*((INDIRECT("'"&amp;$C182&amp;"'!$J$23:$J$200")-INDIRECT("'"&amp;$C182&amp;"'!$K$23:$K$200"))&gt;0),1,0)))</f>
        <v>5</v>
      </c>
      <c r="M184" s="601">
        <f t="shared" ca="1" si="169"/>
        <v>0.33333333333333331</v>
      </c>
      <c r="N184" s="418">
        <f t="array" aca="1" ref="N184" ca="1">IF($C184="N","",SUM(IF((INDIRECT("'"&amp;$C182&amp;"'!$I$23:$I$200")=$D$5)*(INDIRECT("'"&amp;$C182&amp;"'!$H$23:$H$200")=$L$5)*(INDIRECT("'"&amp;$C182&amp;"'!$O$23:$O$200")&gt;=-0.25)*(INDIRECT("'"&amp;$C182&amp;"'!$O$23:$O$200")&lt;=0.25)*(INDIRECT("'"&amp;$C182&amp;"'!$O$23:$O$200")&lt;&gt;"")*((INDIRECT("'"&amp;$C182&amp;"'!$J$23:$J$200")-INDIRECT("'"&amp;$C182&amp;"'!$K$23:$K$200"))=0),1,0)))</f>
        <v>4</v>
      </c>
      <c r="O184" s="601">
        <f t="shared" ca="1" si="170"/>
        <v>0.26666666666666666</v>
      </c>
      <c r="P184" s="418">
        <f t="array" aca="1" ref="P184" ca="1">IF($C184="N","",SUM(IF((INDIRECT("'"&amp;$C182&amp;"'!$I$23:$I$200")=$D$5)*(INDIRECT("'"&amp;$C182&amp;"'!$H$23:$H$200")=$L$5)*(INDIRECT("'"&amp;$C182&amp;"'!$O$23:$O$200")&gt;=-0.25)*(INDIRECT("'"&amp;$C182&amp;"'!$O$23:$O$200")&lt;=0.25)*(INDIRECT("'"&amp;$C182&amp;"'!$O$23:$O$200")&lt;&gt;"")*((INDIRECT("'"&amp;$C182&amp;"'!$J$23:$J$200")-INDIRECT("'"&amp;$C182&amp;"'!$K$23:$K$200"))&lt;0),1,0)))</f>
        <v>6</v>
      </c>
      <c r="Q184" s="601">
        <f t="shared" ca="1" si="171"/>
        <v>0.4</v>
      </c>
      <c r="R184" s="522">
        <f ca="1">IF($C184="N","",L184+N184+P184)</f>
        <v>15</v>
      </c>
      <c r="S184" s="655">
        <f ca="1">IF($C184="N","",L184+E184)</f>
        <v>14</v>
      </c>
      <c r="T184" s="601">
        <f t="shared" ca="1" si="172"/>
        <v>0.51851851851851849</v>
      </c>
      <c r="U184" s="418">
        <f ca="1">IF($C184="N","",N184+G184)</f>
        <v>5</v>
      </c>
      <c r="V184" s="601">
        <f t="shared" ca="1" si="173"/>
        <v>0.18518518518518517</v>
      </c>
      <c r="W184" s="418">
        <f ca="1">IF($C184="N","",P184+I184)</f>
        <v>8</v>
      </c>
      <c r="X184" s="601">
        <f t="shared" ca="1" si="174"/>
        <v>0.29629629629629628</v>
      </c>
      <c r="Y184" s="602">
        <f ca="1">IF($C184="N","",R184+K184)</f>
        <v>27</v>
      </c>
      <c r="Z184" s="355"/>
    </row>
    <row r="185" spans="2:26">
      <c r="B185" s="568"/>
      <c r="C185" s="357" t="str">
        <f>C184</f>
        <v>Nagoya Grampus</v>
      </c>
      <c r="D185" s="654">
        <v>1</v>
      </c>
      <c r="E185" s="655">
        <f t="array" aca="1" ref="E185" ca="1">IF($C185="N","",SUM(IF((INDIRECT("'"&amp;$C182&amp;"'!$I$23:$I$200")=$D$5)*(INDIRECT("'"&amp;$C182&amp;"'!$H$23:$H$200")=$E$5)*(INDIRECT("'"&amp;$C182&amp;"'!$O$23:$O$200")&gt;=0.5)*(INDIRECT("'"&amp;$C182&amp;"'!$O$23:$O$200")&lt;=2)*((INDIRECT("'"&amp;$C182&amp;"'!$J$23:$J$200")-INDIRECT("'"&amp;$C182&amp;"'!$K$23:$K$200"))&gt;-1),1,0)))</f>
        <v>0</v>
      </c>
      <c r="F185" s="601" t="str">
        <f t="shared" ca="1" si="166"/>
        <v>-</v>
      </c>
      <c r="G185" s="418">
        <f t="array" aca="1" ref="G185" ca="1">IF($C185="N","",SUM(IF((INDIRECT("'"&amp;$C182&amp;"'!$I$23:$I$200")=$D$5)*(INDIRECT("'"&amp;$C182&amp;"'!$H$23:$H$200")=$E$5)*(INDIRECT("'"&amp;$C182&amp;"'!$O$23:$O$200")&gt;=0.5)*(INDIRECT("'"&amp;$C182&amp;"'!$O$23:$O$200")&lt;=2)*((INDIRECT("'"&amp;$C182&amp;"'!$J$23:$J$200")-INDIRECT("'"&amp;$C182&amp;"'!$K$23:$K$200"))=-1),1,0)))</f>
        <v>0</v>
      </c>
      <c r="H185" s="601" t="str">
        <f t="shared" ca="1" si="167"/>
        <v>-</v>
      </c>
      <c r="I185" s="418">
        <f t="array" aca="1" ref="I185" ca="1">IF($C185="N","",SUM(IF((INDIRECT("'"&amp;$C182&amp;"'!$I$23:$I$200")=$D$5)*(INDIRECT("'"&amp;$C182&amp;"'!$H$23:$H$200")=$E$5)*(INDIRECT("'"&amp;$C182&amp;"'!$O$23:$O$200")&gt;=0.5)*(INDIRECT("'"&amp;$C182&amp;"'!$O$23:$O$200")&lt;=2)*((INDIRECT("'"&amp;$C182&amp;"'!$J$23:$J$200")-INDIRECT("'"&amp;$C182&amp;"'!$K$23:$K$200"))&lt;-1),1,0)))</f>
        <v>0</v>
      </c>
      <c r="J185" s="601" t="str">
        <f t="shared" ca="1" si="168"/>
        <v>-</v>
      </c>
      <c r="K185" s="522">
        <f ca="1">IF($C185="N","",E185+G185+I185)</f>
        <v>0</v>
      </c>
      <c r="L185" s="655">
        <f t="array" aca="1" ref="L185" ca="1">IF($C185="N","",SUM(IF((INDIRECT("'"&amp;$C182&amp;"'!$I$23:$I$200")=$D$5)*(INDIRECT("'"&amp;$C182&amp;"'!$H$23:$H$200")=$L$5)*(INDIRECT("'"&amp;$C182&amp;"'!$O$23:$O$200")&gt;=0.5)*(INDIRECT("'"&amp;$C182&amp;"'!$O$23:$O$200")&lt;=2)*((INDIRECT("'"&amp;$C182&amp;"'!$J$23:$J$200")-INDIRECT("'"&amp;$C182&amp;"'!$K$23:$K$200"))&gt;-1),1,0)))</f>
        <v>0</v>
      </c>
      <c r="M185" s="601" t="str">
        <f t="shared" ca="1" si="169"/>
        <v>-</v>
      </c>
      <c r="N185" s="418">
        <f t="array" aca="1" ref="N185" ca="1">IF($C185="N","",SUM(IF((INDIRECT("'"&amp;$C182&amp;"'!$I$23:$I$200")=$D$5)*(INDIRECT("'"&amp;$C182&amp;"'!$H$23:$H$200")=$L$5)*(INDIRECT("'"&amp;$C182&amp;"'!$O$23:$O$200")&gt;=0.5)*(INDIRECT("'"&amp;$C182&amp;"'!$O$23:$O$200")&lt;=2)*((INDIRECT("'"&amp;$C182&amp;"'!$J$23:$J$200")-INDIRECT("'"&amp;$C182&amp;"'!$K$23:$K$200"))=-1),1,0)))</f>
        <v>0</v>
      </c>
      <c r="O185" s="601" t="str">
        <f t="shared" ca="1" si="170"/>
        <v>-</v>
      </c>
      <c r="P185" s="418">
        <f t="array" aca="1" ref="P185" ca="1">IF($C185="N","",SUM(IF((INDIRECT("'"&amp;$C182&amp;"'!$I$23:$I$200")=$D$5)*(INDIRECT("'"&amp;$C182&amp;"'!$H$23:$H$200")=$L$5)*(INDIRECT("'"&amp;$C182&amp;"'!$O$23:$O$200")&gt;=0.5)*(INDIRECT("'"&amp;$C182&amp;"'!$O$23:$O$200")&lt;=2)*((INDIRECT("'"&amp;$C182&amp;"'!$J$23:$J$200")-INDIRECT("'"&amp;$C182&amp;"'!$K$23:$K$200"))&lt;-1),1,0)))</f>
        <v>0</v>
      </c>
      <c r="Q185" s="601" t="str">
        <f t="shared" ca="1" si="171"/>
        <v>-</v>
      </c>
      <c r="R185" s="522">
        <f ca="1">IF($C185="N","",L185+N185+P185)</f>
        <v>0</v>
      </c>
      <c r="S185" s="655">
        <f ca="1">IF($C185="N","",L185+E185)</f>
        <v>0</v>
      </c>
      <c r="T185" s="601" t="str">
        <f t="shared" ca="1" si="172"/>
        <v>-</v>
      </c>
      <c r="U185" s="418">
        <f ca="1">IF($C185="N","",N185+G185)</f>
        <v>0</v>
      </c>
      <c r="V185" s="601" t="str">
        <f t="shared" ca="1" si="173"/>
        <v>-</v>
      </c>
      <c r="W185" s="418">
        <f ca="1">IF($C185="N","",P185+I185)</f>
        <v>0</v>
      </c>
      <c r="X185" s="601" t="str">
        <f t="shared" ca="1" si="174"/>
        <v>-</v>
      </c>
      <c r="Y185" s="602">
        <f ca="1">IF($C185="N","",R185+K185)</f>
        <v>0</v>
      </c>
      <c r="Z185" s="355"/>
    </row>
    <row r="186" spans="2:26" ht="13.5" thickBot="1">
      <c r="B186" s="568"/>
      <c r="C186" s="357" t="str">
        <f>C185</f>
        <v>Nagoya Grampus</v>
      </c>
      <c r="D186" s="654">
        <v>2</v>
      </c>
      <c r="E186" s="657">
        <f t="array" aca="1" ref="E186" ca="1">IF($C186="N","",SUM(IF((INDIRECT("'"&amp;$C182&amp;"'!$I$23:$I$200")=$D$5)*(INDIRECT("'"&amp;$C182&amp;"'!$H$23:$H$200")=$E$5)*(INDIRECT("'"&amp;$C182&amp;"'!$O$23:$O$200")&gt;=2.25)*((INDIRECT("'"&amp;$C182&amp;"'!$J$23:$J$200")-INDIRECT("'"&amp;$C182&amp;"'!$K$23:$K$200"))&gt;-2),1,0)))</f>
        <v>0</v>
      </c>
      <c r="F186" s="605" t="str">
        <f t="shared" ca="1" si="166"/>
        <v>-</v>
      </c>
      <c r="G186" s="658">
        <f t="array" aca="1" ref="G186" ca="1">IF($C186="N","",SUM(IF((INDIRECT("'"&amp;$C182&amp;"'!$I$23:$I$200")=$D$5)*(INDIRECT("'"&amp;$C182&amp;"'!$H$23:$H$200")=$E$5)*(INDIRECT("'"&amp;$C182&amp;"'!$O$23:$O$200")&gt;=2.25)*((INDIRECT("'"&amp;$C182&amp;"'!$J$23:$J$200")-INDIRECT("'"&amp;$C182&amp;"'!$K$23:$K$200"))=-2),1,0)))</f>
        <v>0</v>
      </c>
      <c r="H186" s="605" t="str">
        <f t="shared" ca="1" si="167"/>
        <v>-</v>
      </c>
      <c r="I186" s="658">
        <f t="array" aca="1" ref="I186" ca="1">IF($C186="N","",SUM(IF((INDIRECT("'"&amp;$C182&amp;"'!$I$23:$I$200")=$D$5)*(INDIRECT("'"&amp;$C182&amp;"'!$H$23:$H$200")=$E$5)*(INDIRECT("'"&amp;$C182&amp;"'!$O$23:$O$200")&gt;=2.25)*((INDIRECT("'"&amp;$C182&amp;"'!$J$23:$J$200")-INDIRECT("'"&amp;$C182&amp;"'!$K$23:$K$200"))&lt;-2),1,0)))</f>
        <v>0</v>
      </c>
      <c r="J186" s="605" t="str">
        <f t="shared" ca="1" si="168"/>
        <v>-</v>
      </c>
      <c r="K186" s="659">
        <f ca="1">IF($C186="N","",E186+G186+I186)</f>
        <v>0</v>
      </c>
      <c r="L186" s="657">
        <f t="array" aca="1" ref="L186" ca="1">IF($C186="N","",SUM(IF((INDIRECT("'"&amp;$C182&amp;"'!$I$23:$I$200")=$D$5)*(INDIRECT("'"&amp;$C182&amp;"'!$H$23:$H$200")=$L$5)*(INDIRECT("'"&amp;$C182&amp;"'!$O$23:$O$200")&gt;=2.25)*((INDIRECT("'"&amp;$C182&amp;"'!$J$23:$J$200")-INDIRECT("'"&amp;$C182&amp;"'!$K$23:$K$200"))&gt;-2),1,0)))</f>
        <v>0</v>
      </c>
      <c r="M186" s="605" t="str">
        <f t="shared" ca="1" si="169"/>
        <v>-</v>
      </c>
      <c r="N186" s="658">
        <f t="array" aca="1" ref="N186" ca="1">IF($C186="N","",SUM(IF((INDIRECT("'"&amp;$C182&amp;"'!$I$23:$I$200")=$D$5)*(INDIRECT("'"&amp;$C182&amp;"'!$H$23:$H$200")=$L$5)*(INDIRECT("'"&amp;$C182&amp;"'!$O$23:$O$200")&gt;=2.25)*((INDIRECT("'"&amp;$C182&amp;"'!$J$23:$J$200")-INDIRECT("'"&amp;$C182&amp;"'!$K$23:$K$200"))=-2),1,0)))</f>
        <v>0</v>
      </c>
      <c r="O186" s="605" t="str">
        <f t="shared" ca="1" si="170"/>
        <v>-</v>
      </c>
      <c r="P186" s="658">
        <f t="array" aca="1" ref="P186" ca="1">IF($C186="N","",SUM(IF((INDIRECT("'"&amp;$C182&amp;"'!$I$23:$I$200")=$D$5)*(INDIRECT("'"&amp;$C182&amp;"'!$H$23:$H$200")=$L$5)*(INDIRECT("'"&amp;$C182&amp;"'!$O$23:$O$200")&gt;=2.25)*((INDIRECT("'"&amp;$C182&amp;"'!$J$23:$J$200")-INDIRECT("'"&amp;$C182&amp;"'!$K$23:$K$200"))&lt;-2),1,0)))</f>
        <v>0</v>
      </c>
      <c r="Q186" s="605" t="str">
        <f t="shared" ca="1" si="171"/>
        <v>-</v>
      </c>
      <c r="R186" s="659">
        <f ca="1">IF($C186="N","",L186+N186+P186)</f>
        <v>0</v>
      </c>
      <c r="S186" s="657">
        <f ca="1">IF($C186="N","",L186+E186)</f>
        <v>0</v>
      </c>
      <c r="T186" s="605" t="str">
        <f t="shared" ca="1" si="172"/>
        <v>-</v>
      </c>
      <c r="U186" s="658">
        <f ca="1">IF($C186="N","",N186+G186)</f>
        <v>0</v>
      </c>
      <c r="V186" s="605" t="str">
        <f t="shared" ca="1" si="173"/>
        <v>-</v>
      </c>
      <c r="W186" s="658">
        <f ca="1">IF($C186="N","",P186+I186)</f>
        <v>0</v>
      </c>
      <c r="X186" s="605" t="str">
        <f t="shared" ca="1" si="174"/>
        <v>-</v>
      </c>
      <c r="Y186" s="608">
        <f ca="1">IF($C186="N","",R186+K186)</f>
        <v>0</v>
      </c>
      <c r="Z186" s="355"/>
    </row>
    <row r="187" spans="2:26" ht="13.5" thickBot="1">
      <c r="B187" s="568" t="str">
        <f>D180</f>
        <v>Nagoya Grampus</v>
      </c>
      <c r="D187" s="661" t="s">
        <v>115</v>
      </c>
      <c r="E187" s="481">
        <f ca="1">SUM(E182:E186)</f>
        <v>12</v>
      </c>
      <c r="F187" s="435">
        <f t="shared" ca="1" si="166"/>
        <v>0.54545454545454541</v>
      </c>
      <c r="G187" s="438">
        <f ca="1">SUM(G182:G186)</f>
        <v>3</v>
      </c>
      <c r="H187" s="435">
        <f t="shared" ca="1" si="167"/>
        <v>0.13636363636363635</v>
      </c>
      <c r="I187" s="438">
        <f ca="1">SUM(I182:I186)</f>
        <v>7</v>
      </c>
      <c r="J187" s="435">
        <f t="shared" ca="1" si="168"/>
        <v>0.31818181818181818</v>
      </c>
      <c r="K187" s="479">
        <f ca="1">SUM(K182:K186)</f>
        <v>22</v>
      </c>
      <c r="L187" s="662">
        <f ca="1">SUM(L182:L186)</f>
        <v>8</v>
      </c>
      <c r="M187" s="435">
        <f t="shared" ca="1" si="169"/>
        <v>0.38095238095238093</v>
      </c>
      <c r="N187" s="438">
        <f ca="1">SUM(N182:N186)</f>
        <v>6</v>
      </c>
      <c r="O187" s="435">
        <f t="shared" ca="1" si="170"/>
        <v>0.2857142857142857</v>
      </c>
      <c r="P187" s="438">
        <f ca="1">SUM(P182:P186)</f>
        <v>7</v>
      </c>
      <c r="Q187" s="435">
        <f t="shared" ca="1" si="171"/>
        <v>0.33333333333333331</v>
      </c>
      <c r="R187" s="480">
        <f ca="1">SUM(R182:R186)</f>
        <v>21</v>
      </c>
      <c r="S187" s="481">
        <f ca="1">SUM(S182:S186)</f>
        <v>20</v>
      </c>
      <c r="T187" s="435">
        <f t="shared" ca="1" si="172"/>
        <v>0.46511627906976744</v>
      </c>
      <c r="U187" s="438">
        <f ca="1">SUM(U182:U186)</f>
        <v>9</v>
      </c>
      <c r="V187" s="435">
        <f t="shared" ca="1" si="173"/>
        <v>0.20930232558139536</v>
      </c>
      <c r="W187" s="438">
        <f ca="1">SUM(W182:W186)</f>
        <v>14</v>
      </c>
      <c r="X187" s="435">
        <f t="shared" ca="1" si="174"/>
        <v>0.32558139534883723</v>
      </c>
      <c r="Y187" s="479">
        <f ca="1">SUM(Y182:Y186)</f>
        <v>43</v>
      </c>
    </row>
    <row r="188" spans="2:26" ht="13.5" thickBot="1">
      <c r="B188" s="568"/>
    </row>
    <row r="189" spans="2:26">
      <c r="D189" s="562" t="str">
        <f>H2</f>
        <v>ThespaKusatsu Gunma</v>
      </c>
      <c r="E189" s="582" t="s">
        <v>162</v>
      </c>
      <c r="F189" s="583"/>
      <c r="G189" s="584"/>
      <c r="H189" s="583"/>
      <c r="I189" s="585"/>
      <c r="J189" s="584"/>
      <c r="K189" s="586"/>
      <c r="L189" s="641" t="s">
        <v>163</v>
      </c>
      <c r="M189" s="583"/>
      <c r="N189" s="584"/>
      <c r="O189" s="583"/>
      <c r="P189" s="585"/>
      <c r="Q189" s="583"/>
      <c r="R189" s="584"/>
      <c r="S189" s="582" t="s">
        <v>164</v>
      </c>
      <c r="T189" s="583"/>
      <c r="U189" s="584"/>
      <c r="V189" s="583"/>
      <c r="W189" s="587"/>
      <c r="X189" s="588"/>
      <c r="Y189" s="589"/>
    </row>
    <row r="190" spans="2:26" ht="13.5" thickBot="1">
      <c r="D190" s="644" t="s">
        <v>165</v>
      </c>
      <c r="E190" s="590" t="s">
        <v>63</v>
      </c>
      <c r="F190" s="591"/>
      <c r="G190" s="645" t="s">
        <v>64</v>
      </c>
      <c r="H190" s="591"/>
      <c r="I190" s="645" t="s">
        <v>65</v>
      </c>
      <c r="J190" s="645"/>
      <c r="K190" s="646" t="s">
        <v>171</v>
      </c>
      <c r="L190" s="647" t="s">
        <v>63</v>
      </c>
      <c r="M190" s="591"/>
      <c r="N190" s="645" t="s">
        <v>64</v>
      </c>
      <c r="O190" s="591"/>
      <c r="P190" s="645" t="s">
        <v>65</v>
      </c>
      <c r="Q190" s="591"/>
      <c r="R190" s="646" t="s">
        <v>172</v>
      </c>
      <c r="S190" s="590" t="s">
        <v>63</v>
      </c>
      <c r="T190" s="591"/>
      <c r="U190" s="645" t="s">
        <v>64</v>
      </c>
      <c r="V190" s="648"/>
      <c r="W190" s="645" t="s">
        <v>65</v>
      </c>
      <c r="X190" s="591"/>
      <c r="Y190" s="646" t="s">
        <v>168</v>
      </c>
      <c r="Z190" s="355"/>
    </row>
    <row r="191" spans="2:26">
      <c r="B191" s="568"/>
      <c r="C191" s="357" t="str">
        <f>IF(D189=0,"N",D189)</f>
        <v>ThespaKusatsu Gunma</v>
      </c>
      <c r="D191" s="651">
        <v>-2</v>
      </c>
      <c r="E191" s="599">
        <f t="array" aca="1" ref="E191" ca="1">IF($C191="N","",SUM(IF((INDIRECT("'"&amp;$C191&amp;"'!$I$23:$I$200")=$D$5)*(INDIRECT("'"&amp;$C191&amp;"'!$H$23:$H$200")=$E$5)*(INDIRECT("'"&amp;$C191&amp;"'!$O$23:$O$200")&lt;=-2.25)*((INDIRECT("'"&amp;$C191&amp;"'!$J$23:$J$200")-INDIRECT("'"&amp;$C191&amp;"'!$K$23:$K$200"))&gt;2),1,0)))</f>
        <v>0</v>
      </c>
      <c r="F191" s="406" t="str">
        <f t="shared" ref="F191:F196" ca="1" si="175">IF(E191="","",IF(E191=0,"-",E191/$K191))</f>
        <v>-</v>
      </c>
      <c r="G191" s="408">
        <f t="array" aca="1" ref="G191" ca="1">IF($C191="N","",SUM(IF((INDIRECT("'"&amp;$C191&amp;"'!$I$23:$I$200")=$D$5)*(INDIRECT("'"&amp;$C191&amp;"'!$H$23:$H$200")=$E$5)*(INDIRECT("'"&amp;$C191&amp;"'!$O$23:$O$200")&lt;=-2.25)*((INDIRECT("'"&amp;$C191&amp;"'!$J$23:$J$200")-INDIRECT("'"&amp;$C191&amp;"'!$K$23:$K$200"))=2),1,0)))</f>
        <v>0</v>
      </c>
      <c r="H191" s="406" t="str">
        <f t="shared" ref="H191:H196" ca="1" si="176">IF(G191="","",IF(G191=0,"-",G191/$K191))</f>
        <v>-</v>
      </c>
      <c r="I191" s="408">
        <f t="array" aca="1" ref="I191" ca="1">IF($C191="N","",SUM(IF((INDIRECT("'"&amp;$C191&amp;"'!$I$23:$I$200")=$D$5)*(INDIRECT("'"&amp;$C191&amp;"'!$H$23:$H$200")=$E$5)*(INDIRECT("'"&amp;$C191&amp;"'!$O$23:$O$200")&lt;=-2.25)*((INDIRECT("'"&amp;$C191&amp;"'!$K$23:$K$200")-INDIRECT("'"&amp;$C191&amp;"'!$J$23:$J$200"))&gt;-2),1,0)))</f>
        <v>0</v>
      </c>
      <c r="J191" s="406" t="str">
        <f t="shared" ref="J191:J196" ca="1" si="177">IF(I191="","",IF(I191=0,"-",I191/$K191))</f>
        <v>-</v>
      </c>
      <c r="K191" s="602">
        <f ca="1">IF($C191="N","",E191+G191+I191)</f>
        <v>0</v>
      </c>
      <c r="L191" s="599">
        <f t="array" aca="1" ref="L191" ca="1">IF($C191="N","",SUM(IF((INDIRECT("'"&amp;$C191&amp;"'!$I$23:$I$200")=$D$5)*(INDIRECT("'"&amp;$C191&amp;"'!$H$23:$H$200")=$L$5)*(INDIRECT("'"&amp;$C191&amp;"'!$O$23:$O$200")&lt;=-2.25)*((INDIRECT("'"&amp;$C191&amp;"'!$J$23:$J$200")-INDIRECT("'"&amp;$C191&amp;"'!$K$23:$K$200"))&gt;2),1,0)))</f>
        <v>0</v>
      </c>
      <c r="M191" s="406" t="str">
        <f t="shared" ref="M191:M196" ca="1" si="178">IF(L191="","",IF(L191=0,"-",L191/$R191))</f>
        <v>-</v>
      </c>
      <c r="N191" s="408">
        <f t="array" aca="1" ref="N191" ca="1">IF($C191="N","",SUM(IF((INDIRECT("'"&amp;$C191&amp;"'!$I$23:$I$200")=$D$5)*(INDIRECT("'"&amp;$C191&amp;"'!$H$23:$H$200")=$L$5)*(INDIRECT("'"&amp;$C191&amp;"'!$O$23:$O$200")&lt;=-2.25)*((INDIRECT("'"&amp;$C191&amp;"'!$J$23:$J$200")-INDIRECT("'"&amp;$C191&amp;"'!$K$23:$K$200"))=2),1,0)))</f>
        <v>0</v>
      </c>
      <c r="O191" s="406" t="str">
        <f t="shared" ref="O191:O196" ca="1" si="179">IF(N191="","",IF(N191=0,"-",N191/$R191))</f>
        <v>-</v>
      </c>
      <c r="P191" s="408">
        <f t="array" aca="1" ref="P191" ca="1">IF($C191="N","",SUM(IF((INDIRECT("'"&amp;$C191&amp;"'!$I$23:$I$200")=$D$5)*(INDIRECT("'"&amp;$C191&amp;"'!$H$23:$H$200")=$L$5)*(INDIRECT("'"&amp;$C191&amp;"'!$O$23:$O$200")&lt;=-2.25)*((INDIRECT("'"&amp;$C191&amp;"'!$K$23:$K$200")-INDIRECT("'"&amp;$C191&amp;"'!$J$23:$J$200"))&gt;-2),1,0)))</f>
        <v>0</v>
      </c>
      <c r="Q191" s="406" t="str">
        <f t="shared" ref="Q191:Q196" ca="1" si="180">IF(P191="","",IF(P191=0,"-",P191/$R191))</f>
        <v>-</v>
      </c>
      <c r="R191" s="602">
        <f ca="1">IF($C191="N","",L191+N191+P191)</f>
        <v>0</v>
      </c>
      <c r="S191" s="599">
        <f ca="1">IF($C191="N","",L191+E191)</f>
        <v>0</v>
      </c>
      <c r="T191" s="406" t="str">
        <f t="shared" ref="T191:T196" ca="1" si="181">IF(S191="","",IF(S191=0,"-",S191/$Y191))</f>
        <v>-</v>
      </c>
      <c r="U191" s="408">
        <f ca="1">IF($C191="N","",N191+G191)</f>
        <v>0</v>
      </c>
      <c r="V191" s="406" t="str">
        <f t="shared" ref="V191:V196" ca="1" si="182">IF(U191="","",IF(U191=0,"-",U191/$Y191))</f>
        <v>-</v>
      </c>
      <c r="W191" s="408">
        <f ca="1">IF($C191="N","",P191+I191)</f>
        <v>0</v>
      </c>
      <c r="X191" s="406" t="str">
        <f t="shared" ref="X191:X196" ca="1" si="183">IF(W191="","",IF(W191=0,"-",W191/$Y191))</f>
        <v>-</v>
      </c>
      <c r="Y191" s="602">
        <f ca="1">IF($C191="N","",R191+K191)</f>
        <v>0</v>
      </c>
      <c r="Z191" s="355"/>
    </row>
    <row r="192" spans="2:26">
      <c r="B192" s="568"/>
      <c r="C192" s="357" t="str">
        <f>C191</f>
        <v>ThespaKusatsu Gunma</v>
      </c>
      <c r="D192" s="654">
        <v>-1</v>
      </c>
      <c r="E192" s="655">
        <f t="array" aca="1" ref="E192" ca="1">IF($C192="N","",SUM(IF((INDIRECT("'"&amp;$C191&amp;"'!$I$23:$I$200")=$D$5)*(INDIRECT("'"&amp;$C191&amp;"'!$H$23:$H$200")=$E$5)*(INDIRECT("'"&amp;$C191&amp;"'!$O$23:$O$200")&lt;=-0.5)*(INDIRECT("'"&amp;$C191&amp;"'!$O$23:$O$200")&gt;=-2)*((INDIRECT("'"&amp;$C191&amp;"'!$J$23:$J$200")-INDIRECT("'"&amp;$C191&amp;"'!$K$23:$K$200"))&gt;1),1,0)))</f>
        <v>0</v>
      </c>
      <c r="F192" s="601" t="str">
        <f t="shared" ca="1" si="175"/>
        <v>-</v>
      </c>
      <c r="G192" s="418">
        <f t="array" aca="1" ref="G192" ca="1">IF($C192="N","",SUM(IF((INDIRECT("'"&amp;$C191&amp;"'!$I$23:$I$200")=$D$5)*(INDIRECT("'"&amp;$C191&amp;"'!$H$23:$H$200")=$E$5)*(INDIRECT("'"&amp;$C191&amp;"'!$O$23:$O$200")&lt;=-0.5)*(INDIRECT("'"&amp;$C191&amp;"'!$O$23:$O$200")&gt;=-2)*((INDIRECT("'"&amp;$C191&amp;"'!$J$23:$J$200")-INDIRECT("'"&amp;$C191&amp;"'!$K$23:$K$200"))=1),1,0)))</f>
        <v>0</v>
      </c>
      <c r="H192" s="601" t="str">
        <f t="shared" ca="1" si="176"/>
        <v>-</v>
      </c>
      <c r="I192" s="418">
        <f t="array" aca="1" ref="I192" ca="1">IF($C192="N","",SUM(IF((INDIRECT("'"&amp;$C191&amp;"'!$I$23:$I$200")=$D$5)*(INDIRECT("'"&amp;$C191&amp;"'!$H$23:$H$200")=$E$5)*(INDIRECT("'"&amp;$C191&amp;"'!$O$23:$O$200")&lt;=-0.5)*(INDIRECT("'"&amp;$C191&amp;"'!$O$23:$O$200")&gt;=-2)*((INDIRECT("'"&amp;$C191&amp;"'!$K$23:$K$200")-INDIRECT("'"&amp;$C191&amp;"'!$J$23:$J$200"))&gt;-1),1,0)))</f>
        <v>0</v>
      </c>
      <c r="J192" s="601" t="str">
        <f t="shared" ca="1" si="177"/>
        <v>-</v>
      </c>
      <c r="K192" s="522">
        <f ca="1">IF($C192="N","",E192+G192+I192)</f>
        <v>0</v>
      </c>
      <c r="L192" s="655">
        <f t="array" aca="1" ref="L192" ca="1">IF($C192="N","",SUM(IF((INDIRECT("'"&amp;$C191&amp;"'!$I$23:$I$200")=$D$5)*(INDIRECT("'"&amp;$C191&amp;"'!$H$23:$H$200")=$L$5)*(INDIRECT("'"&amp;$C191&amp;"'!$O$23:$O$200")&lt;=-0.5)*(INDIRECT("'"&amp;$C191&amp;"'!$O$23:$O$200")&gt;=-2)*((INDIRECT("'"&amp;$C191&amp;"'!$J$23:$J$200")-INDIRECT("'"&amp;$C191&amp;"'!$K$23:$K$200"))&gt;1),1,0)))</f>
        <v>0</v>
      </c>
      <c r="M192" s="601" t="str">
        <f t="shared" ca="1" si="178"/>
        <v>-</v>
      </c>
      <c r="N192" s="418">
        <f t="array" aca="1" ref="N192" ca="1">IF($C192="N","",SUM(IF((INDIRECT("'"&amp;$C191&amp;"'!$I$23:$I$200")=$D$5)*(INDIRECT("'"&amp;$C191&amp;"'!$H$23:$H$200")=$L$5)*(INDIRECT("'"&amp;$C191&amp;"'!$O$23:$O$200")&lt;=-0.5)*(INDIRECT("'"&amp;$C191&amp;"'!$O$23:$O$200")&gt;=-2)*((INDIRECT("'"&amp;$C191&amp;"'!$J$23:$J$200")-INDIRECT("'"&amp;$C191&amp;"'!$K$23:$K$200"))=1),1,0)))</f>
        <v>0</v>
      </c>
      <c r="O192" s="601" t="str">
        <f t="shared" ca="1" si="179"/>
        <v>-</v>
      </c>
      <c r="P192" s="418">
        <f t="array" aca="1" ref="P192" ca="1">IF($C192="N","",SUM(IF((INDIRECT("'"&amp;$C191&amp;"'!$I$23:$I$200")=$D$5)*(INDIRECT("'"&amp;$C191&amp;"'!$H$23:$H$200")=$L$5)*(INDIRECT("'"&amp;$C191&amp;"'!$O$23:$O$200")&lt;=-0.5)*(INDIRECT("'"&amp;$C191&amp;"'!$O$23:$O$200")&gt;=-2)*((INDIRECT("'"&amp;$C191&amp;"'!$K$23:$K$200")-INDIRECT("'"&amp;$C191&amp;"'!$J$23:$J$200"))&gt;-1),1,0)))</f>
        <v>0</v>
      </c>
      <c r="Q192" s="601" t="str">
        <f t="shared" ca="1" si="180"/>
        <v>-</v>
      </c>
      <c r="R192" s="522">
        <f ca="1">IF($C192="N","",L192+N192+P192)</f>
        <v>0</v>
      </c>
      <c r="S192" s="655">
        <f ca="1">IF($C192="N","",L192+E192)</f>
        <v>0</v>
      </c>
      <c r="T192" s="601" t="str">
        <f t="shared" ca="1" si="181"/>
        <v>-</v>
      </c>
      <c r="U192" s="418">
        <f ca="1">IF($C192="N","",N192+G192)</f>
        <v>0</v>
      </c>
      <c r="V192" s="601" t="str">
        <f t="shared" ca="1" si="182"/>
        <v>-</v>
      </c>
      <c r="W192" s="418">
        <f ca="1">IF($C192="N","",P192+I192)</f>
        <v>0</v>
      </c>
      <c r="X192" s="601" t="str">
        <f t="shared" ca="1" si="183"/>
        <v>-</v>
      </c>
      <c r="Y192" s="602">
        <f ca="1">IF($C192="N","",R192+K192)</f>
        <v>0</v>
      </c>
      <c r="Z192" s="355"/>
    </row>
    <row r="193" spans="2:26">
      <c r="B193" s="568"/>
      <c r="C193" s="357" t="str">
        <f>C192</f>
        <v>ThespaKusatsu Gunma</v>
      </c>
      <c r="D193" s="654">
        <v>0</v>
      </c>
      <c r="E193" s="655">
        <f t="array" aca="1" ref="E193" ca="1">IF($C193="N","",SUM(IF((INDIRECT("'"&amp;$C191&amp;"'!$I$23:$I$200")=$D$5)*(INDIRECT("'"&amp;$C191&amp;"'!$H$23:$H$200")=$E$5)*(INDIRECT("'"&amp;$C191&amp;"'!$O$23:$O$200")&gt;=-0.25)*(INDIRECT("'"&amp;$C191&amp;"'!$O$23:$O$200")&lt;=0.25)*(INDIRECT("'"&amp;$C191&amp;"'!$O$23:$O$200")&lt;&gt;"")*((INDIRECT("'"&amp;$C191&amp;"'!$J$23:$J$200")-INDIRECT("'"&amp;$C191&amp;"'!$K$23:$K$200"))&gt;0),1,0)))</f>
        <v>1</v>
      </c>
      <c r="F193" s="601">
        <f t="shared" ca="1" si="175"/>
        <v>0.1111111111111111</v>
      </c>
      <c r="G193" s="418">
        <f t="array" aca="1" ref="G193" ca="1">IF($C193="N","",SUM(IF((INDIRECT("'"&amp;$C191&amp;"'!$I$23:$I$200")=$D$5)*(INDIRECT("'"&amp;$C191&amp;"'!$H$23:$H$200")=$E$5)*(INDIRECT("'"&amp;$C191&amp;"'!$O$23:$O$200")&gt;=-0.25)*(INDIRECT("'"&amp;$C191&amp;"'!$O$23:$O$200")&lt;=0.25)*(INDIRECT("'"&amp;$C191&amp;"'!$O$23:$O$200")&lt;&gt;"")*((INDIRECT("'"&amp;$C191&amp;"'!$J$23:$J$200")-INDIRECT("'"&amp;$C191&amp;"'!$K$23:$K$200"))=0),1,0)))</f>
        <v>2</v>
      </c>
      <c r="H193" s="601">
        <f t="shared" ca="1" si="176"/>
        <v>0.22222222222222221</v>
      </c>
      <c r="I193" s="418">
        <f t="array" aca="1" ref="I193" ca="1">IF($C193="N","",SUM(IF((INDIRECT("'"&amp;$C191&amp;"'!$I$23:$I$200")=$D$5)*(INDIRECT("'"&amp;$C191&amp;"'!$H$23:$H$200")=$E$5)*(INDIRECT("'"&amp;$C191&amp;"'!$O$23:$O$200")&gt;=-0.25)*(INDIRECT("'"&amp;$C191&amp;"'!$O$23:$O$200")&lt;=0.25)*(INDIRECT("'"&amp;$C191&amp;"'!$O$23:$O$200")&lt;&gt;"")*((INDIRECT("'"&amp;$C191&amp;"'!$J$23:$J$200")-INDIRECT("'"&amp;$C191&amp;"'!$K$23:$K$200"))&lt;0),1,0)))</f>
        <v>6</v>
      </c>
      <c r="J193" s="601">
        <f t="shared" ca="1" si="177"/>
        <v>0.66666666666666663</v>
      </c>
      <c r="K193" s="522">
        <f ca="1">IF($C193="N","",E193+G193+I193)</f>
        <v>9</v>
      </c>
      <c r="L193" s="655">
        <f t="array" aca="1" ref="L193" ca="1">IF($C193="N","",SUM(IF((INDIRECT("'"&amp;$C191&amp;"'!$I$23:$I$200")=$D$5)*(INDIRECT("'"&amp;$C191&amp;"'!$H$23:$H$200")=$L$5)*(INDIRECT("'"&amp;$C191&amp;"'!$O$23:$O$200")&gt;=-0.25)*(INDIRECT("'"&amp;$C191&amp;"'!$O$23:$O$200")&lt;=0.25)*(INDIRECT("'"&amp;$C191&amp;"'!$O$23:$O$200")&lt;&gt;"")*((INDIRECT("'"&amp;$C191&amp;"'!$J$23:$J$200")-INDIRECT("'"&amp;$C191&amp;"'!$K$23:$K$200"))&gt;0),1,0)))</f>
        <v>2</v>
      </c>
      <c r="M193" s="601">
        <f t="shared" ca="1" si="178"/>
        <v>0.66666666666666663</v>
      </c>
      <c r="N193" s="418">
        <f t="array" aca="1" ref="N193" ca="1">IF($C193="N","",SUM(IF((INDIRECT("'"&amp;$C191&amp;"'!$I$23:$I$200")=$D$5)*(INDIRECT("'"&amp;$C191&amp;"'!$H$23:$H$200")=$L$5)*(INDIRECT("'"&amp;$C191&amp;"'!$O$23:$O$200")&gt;=-0.25)*(INDIRECT("'"&amp;$C191&amp;"'!$O$23:$O$200")&lt;=0.25)*(INDIRECT("'"&amp;$C191&amp;"'!$O$23:$O$200")&lt;&gt;"")*((INDIRECT("'"&amp;$C191&amp;"'!$J$23:$J$200")-INDIRECT("'"&amp;$C191&amp;"'!$K$23:$K$200"))=0),1,0)))</f>
        <v>0</v>
      </c>
      <c r="O193" s="601" t="str">
        <f t="shared" ca="1" si="179"/>
        <v>-</v>
      </c>
      <c r="P193" s="418">
        <f t="array" aca="1" ref="P193" ca="1">IF($C193="N","",SUM(IF((INDIRECT("'"&amp;$C191&amp;"'!$I$23:$I$200")=$D$5)*(INDIRECT("'"&amp;$C191&amp;"'!$H$23:$H$200")=$L$5)*(INDIRECT("'"&amp;$C191&amp;"'!$O$23:$O$200")&gt;=-0.25)*(INDIRECT("'"&amp;$C191&amp;"'!$O$23:$O$200")&lt;=0.25)*(INDIRECT("'"&amp;$C191&amp;"'!$O$23:$O$200")&lt;&gt;"")*((INDIRECT("'"&amp;$C191&amp;"'!$J$23:$J$200")-INDIRECT("'"&amp;$C191&amp;"'!$K$23:$K$200"))&lt;0),1,0)))</f>
        <v>1</v>
      </c>
      <c r="Q193" s="601">
        <f t="shared" ca="1" si="180"/>
        <v>0.33333333333333331</v>
      </c>
      <c r="R193" s="522">
        <f ca="1">IF($C193="N","",L193+N193+P193)</f>
        <v>3</v>
      </c>
      <c r="S193" s="655">
        <f ca="1">IF($C193="N","",L193+E193)</f>
        <v>3</v>
      </c>
      <c r="T193" s="601">
        <f t="shared" ca="1" si="181"/>
        <v>0.25</v>
      </c>
      <c r="U193" s="418">
        <f ca="1">IF($C193="N","",N193+G193)</f>
        <v>2</v>
      </c>
      <c r="V193" s="601">
        <f t="shared" ca="1" si="182"/>
        <v>0.16666666666666666</v>
      </c>
      <c r="W193" s="418">
        <f ca="1">IF($C193="N","",P193+I193)</f>
        <v>7</v>
      </c>
      <c r="X193" s="601">
        <f t="shared" ca="1" si="183"/>
        <v>0.58333333333333337</v>
      </c>
      <c r="Y193" s="602">
        <f ca="1">IF($C193="N","",R193+K193)</f>
        <v>12</v>
      </c>
      <c r="Z193" s="355"/>
    </row>
    <row r="194" spans="2:26">
      <c r="B194" s="568"/>
      <c r="C194" s="357" t="str">
        <f>C193</f>
        <v>ThespaKusatsu Gunma</v>
      </c>
      <c r="D194" s="654">
        <v>1</v>
      </c>
      <c r="E194" s="655">
        <f t="array" aca="1" ref="E194" ca="1">IF($C194="N","",SUM(IF((INDIRECT("'"&amp;$C191&amp;"'!$I$23:$I$200")=$D$5)*(INDIRECT("'"&amp;$C191&amp;"'!$H$23:$H$200")=$E$5)*(INDIRECT("'"&amp;$C191&amp;"'!$O$23:$O$200")&gt;=0.5)*(INDIRECT("'"&amp;$C191&amp;"'!$O$23:$O$200")&lt;=2)*((INDIRECT("'"&amp;$C191&amp;"'!$J$23:$J$200")-INDIRECT("'"&amp;$C191&amp;"'!$K$23:$K$200"))&gt;-1),1,0)))</f>
        <v>3</v>
      </c>
      <c r="F194" s="601">
        <f t="shared" ca="1" si="175"/>
        <v>0.25</v>
      </c>
      <c r="G194" s="418">
        <f t="array" aca="1" ref="G194" ca="1">IF($C194="N","",SUM(IF((INDIRECT("'"&amp;$C191&amp;"'!$I$23:$I$200")=$D$5)*(INDIRECT("'"&amp;$C191&amp;"'!$H$23:$H$200")=$E$5)*(INDIRECT("'"&amp;$C191&amp;"'!$O$23:$O$200")&gt;=0.5)*(INDIRECT("'"&amp;$C191&amp;"'!$O$23:$O$200")&lt;=2)*((INDIRECT("'"&amp;$C191&amp;"'!$J$23:$J$200")-INDIRECT("'"&amp;$C191&amp;"'!$K$23:$K$200"))=-1),1,0)))</f>
        <v>2</v>
      </c>
      <c r="H194" s="601">
        <f t="shared" ca="1" si="176"/>
        <v>0.16666666666666666</v>
      </c>
      <c r="I194" s="418">
        <f t="array" aca="1" ref="I194" ca="1">IF($C194="N","",SUM(IF((INDIRECT("'"&amp;$C191&amp;"'!$I$23:$I$200")=$D$5)*(INDIRECT("'"&amp;$C191&amp;"'!$H$23:$H$200")=$E$5)*(INDIRECT("'"&amp;$C191&amp;"'!$O$23:$O$200")&gt;=0.5)*(INDIRECT("'"&amp;$C191&amp;"'!$O$23:$O$200")&lt;=2)*((INDIRECT("'"&amp;$C191&amp;"'!$J$23:$J$200")-INDIRECT("'"&amp;$C191&amp;"'!$K$23:$K$200"))&lt;-1),1,0)))</f>
        <v>7</v>
      </c>
      <c r="J194" s="601">
        <f t="shared" ca="1" si="177"/>
        <v>0.58333333333333337</v>
      </c>
      <c r="K194" s="522">
        <f ca="1">IF($C194="N","",E194+G194+I194)</f>
        <v>12</v>
      </c>
      <c r="L194" s="655">
        <f t="array" aca="1" ref="L194" ca="1">IF($C194="N","",SUM(IF((INDIRECT("'"&amp;$C191&amp;"'!$I$23:$I$200")=$D$5)*(INDIRECT("'"&amp;$C191&amp;"'!$H$23:$H$200")=$L$5)*(INDIRECT("'"&amp;$C191&amp;"'!$O$23:$O$200")&gt;=0.5)*(INDIRECT("'"&amp;$C191&amp;"'!$O$23:$O$200")&lt;=2)*((INDIRECT("'"&amp;$C191&amp;"'!$J$23:$J$200")-INDIRECT("'"&amp;$C191&amp;"'!$K$23:$K$200"))&gt;-1),1,0)))</f>
        <v>2</v>
      </c>
      <c r="M194" s="601">
        <f t="shared" ca="1" si="178"/>
        <v>0.1111111111111111</v>
      </c>
      <c r="N194" s="418">
        <f t="array" aca="1" ref="N194" ca="1">IF($C194="N","",SUM(IF((INDIRECT("'"&amp;$C191&amp;"'!$I$23:$I$200")=$D$5)*(INDIRECT("'"&amp;$C191&amp;"'!$H$23:$H$200")=$L$5)*(INDIRECT("'"&amp;$C191&amp;"'!$O$23:$O$200")&gt;=0.5)*(INDIRECT("'"&amp;$C191&amp;"'!$O$23:$O$200")&lt;=2)*((INDIRECT("'"&amp;$C191&amp;"'!$J$23:$J$200")-INDIRECT("'"&amp;$C191&amp;"'!$K$23:$K$200"))=-1),1,0)))</f>
        <v>6</v>
      </c>
      <c r="O194" s="601">
        <f t="shared" ca="1" si="179"/>
        <v>0.33333333333333331</v>
      </c>
      <c r="P194" s="418">
        <f t="array" aca="1" ref="P194" ca="1">IF($C194="N","",SUM(IF((INDIRECT("'"&amp;$C191&amp;"'!$I$23:$I$200")=$D$5)*(INDIRECT("'"&amp;$C191&amp;"'!$H$23:$H$200")=$L$5)*(INDIRECT("'"&amp;$C191&amp;"'!$O$23:$O$200")&gt;=0.5)*(INDIRECT("'"&amp;$C191&amp;"'!$O$23:$O$200")&lt;=2)*((INDIRECT("'"&amp;$C191&amp;"'!$J$23:$J$200")-INDIRECT("'"&amp;$C191&amp;"'!$K$23:$K$200"))&lt;-1),1,0)))</f>
        <v>10</v>
      </c>
      <c r="Q194" s="601">
        <f t="shared" ca="1" si="180"/>
        <v>0.55555555555555558</v>
      </c>
      <c r="R194" s="522">
        <f ca="1">IF($C194="N","",L194+N194+P194)</f>
        <v>18</v>
      </c>
      <c r="S194" s="655">
        <f ca="1">IF($C194="N","",L194+E194)</f>
        <v>5</v>
      </c>
      <c r="T194" s="601">
        <f t="shared" ca="1" si="181"/>
        <v>0.16666666666666666</v>
      </c>
      <c r="U194" s="418">
        <f ca="1">IF($C194="N","",N194+G194)</f>
        <v>8</v>
      </c>
      <c r="V194" s="601">
        <f t="shared" ca="1" si="182"/>
        <v>0.26666666666666666</v>
      </c>
      <c r="W194" s="418">
        <f ca="1">IF($C194="N","",P194+I194)</f>
        <v>17</v>
      </c>
      <c r="X194" s="601">
        <f t="shared" ca="1" si="183"/>
        <v>0.56666666666666665</v>
      </c>
      <c r="Y194" s="602">
        <f ca="1">IF($C194="N","",R194+K194)</f>
        <v>30</v>
      </c>
      <c r="Z194" s="355"/>
    </row>
    <row r="195" spans="2:26" ht="13.5" thickBot="1">
      <c r="B195" s="568"/>
      <c r="C195" s="357" t="str">
        <f>C194</f>
        <v>ThespaKusatsu Gunma</v>
      </c>
      <c r="D195" s="654">
        <v>2</v>
      </c>
      <c r="E195" s="657">
        <f t="array" aca="1" ref="E195" ca="1">IF($C195="N","",SUM(IF((INDIRECT("'"&amp;$C191&amp;"'!$I$23:$I$200")=$D$5)*(INDIRECT("'"&amp;$C191&amp;"'!$H$23:$H$200")=$E$5)*(INDIRECT("'"&amp;$C191&amp;"'!$O$23:$O$200")&gt;=2.25)*((INDIRECT("'"&amp;$C191&amp;"'!$J$23:$J$200")-INDIRECT("'"&amp;$C191&amp;"'!$K$23:$K$200"))&gt;-2),1,0)))</f>
        <v>0</v>
      </c>
      <c r="F195" s="605" t="str">
        <f t="shared" ca="1" si="175"/>
        <v>-</v>
      </c>
      <c r="G195" s="658">
        <f t="array" aca="1" ref="G195" ca="1">IF($C195="N","",SUM(IF((INDIRECT("'"&amp;$C191&amp;"'!$I$23:$I$200")=$D$5)*(INDIRECT("'"&amp;$C191&amp;"'!$H$23:$H$200")=$E$5)*(INDIRECT("'"&amp;$C191&amp;"'!$O$23:$O$200")&gt;=2.25)*((INDIRECT("'"&amp;$C191&amp;"'!$J$23:$J$200")-INDIRECT("'"&amp;$C191&amp;"'!$K$23:$K$200"))=-2),1,0)))</f>
        <v>0</v>
      </c>
      <c r="H195" s="605" t="str">
        <f t="shared" ca="1" si="176"/>
        <v>-</v>
      </c>
      <c r="I195" s="658">
        <f t="array" aca="1" ref="I195" ca="1">IF($C195="N","",SUM(IF((INDIRECT("'"&amp;$C191&amp;"'!$I$23:$I$200")=$D$5)*(INDIRECT("'"&amp;$C191&amp;"'!$H$23:$H$200")=$E$5)*(INDIRECT("'"&amp;$C191&amp;"'!$O$23:$O$200")&gt;=2.25)*((INDIRECT("'"&amp;$C191&amp;"'!$J$23:$J$200")-INDIRECT("'"&amp;$C191&amp;"'!$K$23:$K$200"))&lt;-2),1,0)))</f>
        <v>0</v>
      </c>
      <c r="J195" s="605" t="str">
        <f t="shared" ca="1" si="177"/>
        <v>-</v>
      </c>
      <c r="K195" s="659">
        <f ca="1">IF($C195="N","",E195+G195+I195)</f>
        <v>0</v>
      </c>
      <c r="L195" s="657">
        <f t="array" aca="1" ref="L195" ca="1">IF($C195="N","",SUM(IF((INDIRECT("'"&amp;$C191&amp;"'!$I$23:$I$200")=$D$5)*(INDIRECT("'"&amp;$C191&amp;"'!$H$23:$H$200")=$L$5)*(INDIRECT("'"&amp;$C191&amp;"'!$O$23:$O$200")&gt;=2.25)*((INDIRECT("'"&amp;$C191&amp;"'!$J$23:$J$200")-INDIRECT("'"&amp;$C191&amp;"'!$K$23:$K$200"))&gt;-2),1,0)))</f>
        <v>0</v>
      </c>
      <c r="M195" s="605" t="str">
        <f t="shared" ca="1" si="178"/>
        <v>-</v>
      </c>
      <c r="N195" s="658">
        <f t="array" aca="1" ref="N195" ca="1">IF($C195="N","",SUM(IF((INDIRECT("'"&amp;$C191&amp;"'!$I$23:$I$200")=$D$5)*(INDIRECT("'"&amp;$C191&amp;"'!$H$23:$H$200")=$L$5)*(INDIRECT("'"&amp;$C191&amp;"'!$O$23:$O$200")&gt;=2.25)*((INDIRECT("'"&amp;$C191&amp;"'!$J$23:$J$200")-INDIRECT("'"&amp;$C191&amp;"'!$K$23:$K$200"))=-2),1,0)))</f>
        <v>0</v>
      </c>
      <c r="O195" s="605" t="str">
        <f t="shared" ca="1" si="179"/>
        <v>-</v>
      </c>
      <c r="P195" s="658">
        <f t="array" aca="1" ref="P195" ca="1">IF($C195="N","",SUM(IF((INDIRECT("'"&amp;$C191&amp;"'!$I$23:$I$200")=$D$5)*(INDIRECT("'"&amp;$C191&amp;"'!$H$23:$H$200")=$L$5)*(INDIRECT("'"&amp;$C191&amp;"'!$O$23:$O$200")&gt;=2.25)*((INDIRECT("'"&amp;$C191&amp;"'!$J$23:$J$200")-INDIRECT("'"&amp;$C191&amp;"'!$K$23:$K$200"))&lt;-2),1,0)))</f>
        <v>0</v>
      </c>
      <c r="Q195" s="605" t="str">
        <f t="shared" ca="1" si="180"/>
        <v>-</v>
      </c>
      <c r="R195" s="659">
        <f ca="1">IF($C195="N","",L195+N195+P195)</f>
        <v>0</v>
      </c>
      <c r="S195" s="657">
        <f ca="1">IF($C195="N","",L195+E195)</f>
        <v>0</v>
      </c>
      <c r="T195" s="605" t="str">
        <f t="shared" ca="1" si="181"/>
        <v>-</v>
      </c>
      <c r="U195" s="658">
        <f ca="1">IF($C195="N","",N195+G195)</f>
        <v>0</v>
      </c>
      <c r="V195" s="605" t="str">
        <f t="shared" ca="1" si="182"/>
        <v>-</v>
      </c>
      <c r="W195" s="658">
        <f ca="1">IF($C195="N","",P195+I195)</f>
        <v>0</v>
      </c>
      <c r="X195" s="605" t="str">
        <f t="shared" ca="1" si="183"/>
        <v>-</v>
      </c>
      <c r="Y195" s="608">
        <f ca="1">IF($C195="N","",R195+K195)</f>
        <v>0</v>
      </c>
      <c r="Z195" s="355"/>
    </row>
    <row r="196" spans="2:26" ht="13.5" thickBot="1">
      <c r="B196" s="568" t="str">
        <f>D189</f>
        <v>ThespaKusatsu Gunma</v>
      </c>
      <c r="D196" s="661" t="s">
        <v>115</v>
      </c>
      <c r="E196" s="481">
        <f ca="1">SUM(E191:E195)</f>
        <v>4</v>
      </c>
      <c r="F196" s="435">
        <f t="shared" ca="1" si="175"/>
        <v>0.19047619047619047</v>
      </c>
      <c r="G196" s="438">
        <f ca="1">SUM(G191:G195)</f>
        <v>4</v>
      </c>
      <c r="H196" s="435">
        <f t="shared" ca="1" si="176"/>
        <v>0.19047619047619047</v>
      </c>
      <c r="I196" s="438">
        <f ca="1">SUM(I191:I195)</f>
        <v>13</v>
      </c>
      <c r="J196" s="435">
        <f t="shared" ca="1" si="177"/>
        <v>0.61904761904761907</v>
      </c>
      <c r="K196" s="479">
        <f ca="1">SUM(K191:K195)</f>
        <v>21</v>
      </c>
      <c r="L196" s="662">
        <f ca="1">SUM(L191:L195)</f>
        <v>4</v>
      </c>
      <c r="M196" s="435">
        <f t="shared" ca="1" si="178"/>
        <v>0.19047619047619047</v>
      </c>
      <c r="N196" s="438">
        <f ca="1">SUM(N191:N195)</f>
        <v>6</v>
      </c>
      <c r="O196" s="435">
        <f t="shared" ca="1" si="179"/>
        <v>0.2857142857142857</v>
      </c>
      <c r="P196" s="438">
        <f ca="1">SUM(P191:P195)</f>
        <v>11</v>
      </c>
      <c r="Q196" s="435">
        <f t="shared" ca="1" si="180"/>
        <v>0.52380952380952384</v>
      </c>
      <c r="R196" s="480">
        <f ca="1">SUM(R191:R195)</f>
        <v>21</v>
      </c>
      <c r="S196" s="481">
        <f ca="1">SUM(S191:S195)</f>
        <v>8</v>
      </c>
      <c r="T196" s="435">
        <f t="shared" ca="1" si="181"/>
        <v>0.19047619047619047</v>
      </c>
      <c r="U196" s="438">
        <f ca="1">SUM(U191:U195)</f>
        <v>10</v>
      </c>
      <c r="V196" s="435">
        <f t="shared" ca="1" si="182"/>
        <v>0.23809523809523808</v>
      </c>
      <c r="W196" s="438">
        <f ca="1">SUM(W191:W195)</f>
        <v>24</v>
      </c>
      <c r="X196" s="435">
        <f t="shared" ca="1" si="183"/>
        <v>0.5714285714285714</v>
      </c>
      <c r="Y196" s="479">
        <f ca="1">SUM(Y191:Y195)</f>
        <v>42</v>
      </c>
    </row>
    <row r="197" spans="2:26" ht="13.5" thickBot="1">
      <c r="B197" s="568"/>
    </row>
    <row r="198" spans="2:26">
      <c r="D198" s="562" t="str">
        <f>I2</f>
        <v>Tokushima Vortis</v>
      </c>
      <c r="E198" s="582" t="s">
        <v>162</v>
      </c>
      <c r="F198" s="583"/>
      <c r="G198" s="584"/>
      <c r="H198" s="583"/>
      <c r="I198" s="585"/>
      <c r="J198" s="584"/>
      <c r="K198" s="586"/>
      <c r="L198" s="641" t="s">
        <v>163</v>
      </c>
      <c r="M198" s="583"/>
      <c r="N198" s="584"/>
      <c r="O198" s="583"/>
      <c r="P198" s="585"/>
      <c r="Q198" s="583"/>
      <c r="R198" s="584"/>
      <c r="S198" s="582" t="s">
        <v>164</v>
      </c>
      <c r="T198" s="583"/>
      <c r="U198" s="584"/>
      <c r="V198" s="583"/>
      <c r="W198" s="587"/>
      <c r="X198" s="588"/>
      <c r="Y198" s="589"/>
    </row>
    <row r="199" spans="2:26" ht="13.5" thickBot="1">
      <c r="D199" s="644" t="s">
        <v>165</v>
      </c>
      <c r="E199" s="590" t="s">
        <v>63</v>
      </c>
      <c r="F199" s="591"/>
      <c r="G199" s="645" t="s">
        <v>64</v>
      </c>
      <c r="H199" s="591"/>
      <c r="I199" s="645" t="s">
        <v>65</v>
      </c>
      <c r="J199" s="645"/>
      <c r="K199" s="646" t="s">
        <v>171</v>
      </c>
      <c r="L199" s="647" t="s">
        <v>63</v>
      </c>
      <c r="M199" s="591"/>
      <c r="N199" s="645" t="s">
        <v>64</v>
      </c>
      <c r="O199" s="591"/>
      <c r="P199" s="645" t="s">
        <v>65</v>
      </c>
      <c r="Q199" s="591"/>
      <c r="R199" s="646" t="s">
        <v>172</v>
      </c>
      <c r="S199" s="590" t="s">
        <v>63</v>
      </c>
      <c r="T199" s="591"/>
      <c r="U199" s="645" t="s">
        <v>64</v>
      </c>
      <c r="V199" s="648"/>
      <c r="W199" s="645" t="s">
        <v>65</v>
      </c>
      <c r="X199" s="591"/>
      <c r="Y199" s="646" t="s">
        <v>168</v>
      </c>
      <c r="Z199" s="355"/>
    </row>
    <row r="200" spans="2:26">
      <c r="B200" s="568"/>
      <c r="C200" s="357" t="str">
        <f>IF(D198=0,"N",D198)</f>
        <v>Tokushima Vortis</v>
      </c>
      <c r="D200" s="651">
        <v>-2</v>
      </c>
      <c r="E200" s="599">
        <f t="array" aca="1" ref="E200" ca="1">IF($C200="N","",SUM(IF((INDIRECT("'"&amp;$C200&amp;"'!$I$23:$I$200")=$D$5)*(INDIRECT("'"&amp;$C200&amp;"'!$H$23:$H$200")=$E$5)*(INDIRECT("'"&amp;$C200&amp;"'!$O$23:$O$200")&lt;=-2.25)*((INDIRECT("'"&amp;$C200&amp;"'!$J$23:$J$200")-INDIRECT("'"&amp;$C200&amp;"'!$K$23:$K$200"))&gt;2),1,0)))</f>
        <v>0</v>
      </c>
      <c r="F200" s="406" t="str">
        <f t="shared" ref="F200:F205" ca="1" si="184">IF(E200="","",IF(E200=0,"-",E200/$K200))</f>
        <v>-</v>
      </c>
      <c r="G200" s="408">
        <f t="array" aca="1" ref="G200" ca="1">IF($C200="N","",SUM(IF((INDIRECT("'"&amp;$C200&amp;"'!$I$23:$I$200")=$D$5)*(INDIRECT("'"&amp;$C200&amp;"'!$H$23:$H$200")=$E$5)*(INDIRECT("'"&amp;$C200&amp;"'!$O$23:$O$200")&lt;=-2.25)*((INDIRECT("'"&amp;$C200&amp;"'!$J$23:$J$200")-INDIRECT("'"&amp;$C200&amp;"'!$K$23:$K$200"))=2),1,0)))</f>
        <v>0</v>
      </c>
      <c r="H200" s="406" t="str">
        <f t="shared" ref="H200:H205" ca="1" si="185">IF(G200="","",IF(G200=0,"-",G200/$K200))</f>
        <v>-</v>
      </c>
      <c r="I200" s="408">
        <f t="array" aca="1" ref="I200" ca="1">IF($C200="N","",SUM(IF((INDIRECT("'"&amp;$C200&amp;"'!$I$23:$I$200")=$D$5)*(INDIRECT("'"&amp;$C200&amp;"'!$H$23:$H$200")=$E$5)*(INDIRECT("'"&amp;$C200&amp;"'!$O$23:$O$200")&lt;=-2.25)*((INDIRECT("'"&amp;$C200&amp;"'!$K$23:$K$200")-INDIRECT("'"&amp;$C200&amp;"'!$J$23:$J$200"))&gt;-2),1,0)))</f>
        <v>0</v>
      </c>
      <c r="J200" s="406" t="str">
        <f t="shared" ref="J200:J205" ca="1" si="186">IF(I200="","",IF(I200=0,"-",I200/$K200))</f>
        <v>-</v>
      </c>
      <c r="K200" s="602">
        <f ca="1">IF($C200="N","",E200+G200+I200)</f>
        <v>0</v>
      </c>
      <c r="L200" s="599">
        <f t="array" aca="1" ref="L200" ca="1">IF($C200="N","",SUM(IF((INDIRECT("'"&amp;$C200&amp;"'!$I$23:$I$200")=$D$5)*(INDIRECT("'"&amp;$C200&amp;"'!$H$23:$H$200")=$L$5)*(INDIRECT("'"&amp;$C200&amp;"'!$O$23:$O$200")&lt;=-2.25)*((INDIRECT("'"&amp;$C200&amp;"'!$J$23:$J$200")-INDIRECT("'"&amp;$C200&amp;"'!$K$23:$K$200"))&gt;2),1,0)))</f>
        <v>0</v>
      </c>
      <c r="M200" s="406" t="str">
        <f t="shared" ref="M200:M205" ca="1" si="187">IF(L200="","",IF(L200=0,"-",L200/$R200))</f>
        <v>-</v>
      </c>
      <c r="N200" s="408">
        <f t="array" aca="1" ref="N200" ca="1">IF($C200="N","",SUM(IF((INDIRECT("'"&amp;$C200&amp;"'!$I$23:$I$200")=$D$5)*(INDIRECT("'"&amp;$C200&amp;"'!$H$23:$H$200")=$L$5)*(INDIRECT("'"&amp;$C200&amp;"'!$O$23:$O$200")&lt;=-2.25)*((INDIRECT("'"&amp;$C200&amp;"'!$J$23:$J$200")-INDIRECT("'"&amp;$C200&amp;"'!$K$23:$K$200"))=2),1,0)))</f>
        <v>0</v>
      </c>
      <c r="O200" s="406" t="str">
        <f t="shared" ref="O200:O205" ca="1" si="188">IF(N200="","",IF(N200=0,"-",N200/$R200))</f>
        <v>-</v>
      </c>
      <c r="P200" s="408">
        <f t="array" aca="1" ref="P200" ca="1">IF($C200="N","",SUM(IF((INDIRECT("'"&amp;$C200&amp;"'!$I$23:$I$200")=$D$5)*(INDIRECT("'"&amp;$C200&amp;"'!$H$23:$H$200")=$L$5)*(INDIRECT("'"&amp;$C200&amp;"'!$O$23:$O$200")&lt;=-2.25)*((INDIRECT("'"&amp;$C200&amp;"'!$K$23:$K$200")-INDIRECT("'"&amp;$C200&amp;"'!$J$23:$J$200"))&gt;-2),1,0)))</f>
        <v>0</v>
      </c>
      <c r="Q200" s="406" t="str">
        <f t="shared" ref="Q200:Q205" ca="1" si="189">IF(P200="","",IF(P200=0,"-",P200/$R200))</f>
        <v>-</v>
      </c>
      <c r="R200" s="602">
        <f ca="1">IF($C200="N","",L200+N200+P200)</f>
        <v>0</v>
      </c>
      <c r="S200" s="599">
        <f ca="1">IF($C200="N","",L200+E200)</f>
        <v>0</v>
      </c>
      <c r="T200" s="406" t="str">
        <f t="shared" ref="T200:T205" ca="1" si="190">IF(S200="","",IF(S200=0,"-",S200/$Y200))</f>
        <v>-</v>
      </c>
      <c r="U200" s="408">
        <f ca="1">IF($C200="N","",N200+G200)</f>
        <v>0</v>
      </c>
      <c r="V200" s="406" t="str">
        <f t="shared" ref="V200:V205" ca="1" si="191">IF(U200="","",IF(U200=0,"-",U200/$Y200))</f>
        <v>-</v>
      </c>
      <c r="W200" s="408">
        <f ca="1">IF($C200="N","",P200+I200)</f>
        <v>0</v>
      </c>
      <c r="X200" s="406" t="str">
        <f t="shared" ref="X200:X205" ca="1" si="192">IF(W200="","",IF(W200=0,"-",W200/$Y200))</f>
        <v>-</v>
      </c>
      <c r="Y200" s="602">
        <f ca="1">IF($C200="N","",R200+K200)</f>
        <v>0</v>
      </c>
      <c r="Z200" s="355"/>
    </row>
    <row r="201" spans="2:26">
      <c r="B201" s="568"/>
      <c r="C201" s="357" t="str">
        <f>C200</f>
        <v>Tokushima Vortis</v>
      </c>
      <c r="D201" s="654">
        <v>-1</v>
      </c>
      <c r="E201" s="655">
        <f t="array" aca="1" ref="E201" ca="1">IF($C201="N","",SUM(IF((INDIRECT("'"&amp;$C200&amp;"'!$I$23:$I$200")=$D$5)*(INDIRECT("'"&amp;$C200&amp;"'!$H$23:$H$200")=$E$5)*(INDIRECT("'"&amp;$C200&amp;"'!$O$23:$O$200")&lt;=-0.5)*(INDIRECT("'"&amp;$C200&amp;"'!$O$23:$O$200")&gt;=-2)*((INDIRECT("'"&amp;$C200&amp;"'!$J$23:$J$200")-INDIRECT("'"&amp;$C200&amp;"'!$K$23:$K$200"))&gt;1),1,0)))</f>
        <v>4</v>
      </c>
      <c r="F201" s="601">
        <f t="shared" ca="1" si="184"/>
        <v>0.33333333333333331</v>
      </c>
      <c r="G201" s="418">
        <f t="array" aca="1" ref="G201" ca="1">IF($C201="N","",SUM(IF((INDIRECT("'"&amp;$C200&amp;"'!$I$23:$I$200")=$D$5)*(INDIRECT("'"&amp;$C200&amp;"'!$H$23:$H$200")=$E$5)*(INDIRECT("'"&amp;$C200&amp;"'!$O$23:$O$200")&lt;=-0.5)*(INDIRECT("'"&amp;$C200&amp;"'!$O$23:$O$200")&gt;=-2)*((INDIRECT("'"&amp;$C200&amp;"'!$J$23:$J$200")-INDIRECT("'"&amp;$C200&amp;"'!$K$23:$K$200"))=1),1,0)))</f>
        <v>1</v>
      </c>
      <c r="H201" s="601">
        <f t="shared" ca="1" si="185"/>
        <v>8.3333333333333329E-2</v>
      </c>
      <c r="I201" s="418">
        <f t="array" aca="1" ref="I201" ca="1">IF($C201="N","",SUM(IF((INDIRECT("'"&amp;$C200&amp;"'!$I$23:$I$200")=$D$5)*(INDIRECT("'"&amp;$C200&amp;"'!$H$23:$H$200")=$E$5)*(INDIRECT("'"&amp;$C200&amp;"'!$O$23:$O$200")&lt;=-0.5)*(INDIRECT("'"&amp;$C200&amp;"'!$O$23:$O$200")&gt;=-2)*((INDIRECT("'"&amp;$C200&amp;"'!$K$23:$K$200")-INDIRECT("'"&amp;$C200&amp;"'!$J$23:$J$200"))&gt;-1),1,0)))</f>
        <v>7</v>
      </c>
      <c r="J201" s="601">
        <f t="shared" ca="1" si="186"/>
        <v>0.58333333333333337</v>
      </c>
      <c r="K201" s="522">
        <f ca="1">IF($C201="N","",E201+G201+I201)</f>
        <v>12</v>
      </c>
      <c r="L201" s="655">
        <f t="array" aca="1" ref="L201" ca="1">IF($C201="N","",SUM(IF((INDIRECT("'"&amp;$C200&amp;"'!$I$23:$I$200")=$D$5)*(INDIRECT("'"&amp;$C200&amp;"'!$H$23:$H$200")=$L$5)*(INDIRECT("'"&amp;$C200&amp;"'!$O$23:$O$200")&lt;=-0.5)*(INDIRECT("'"&amp;$C200&amp;"'!$O$23:$O$200")&gt;=-2)*((INDIRECT("'"&amp;$C200&amp;"'!$J$23:$J$200")-INDIRECT("'"&amp;$C200&amp;"'!$K$23:$K$200"))&gt;1),1,0)))</f>
        <v>3</v>
      </c>
      <c r="M201" s="601">
        <f t="shared" ca="1" si="187"/>
        <v>0.6</v>
      </c>
      <c r="N201" s="418">
        <f t="array" aca="1" ref="N201" ca="1">IF($C201="N","",SUM(IF((INDIRECT("'"&amp;$C200&amp;"'!$I$23:$I$200")=$D$5)*(INDIRECT("'"&amp;$C200&amp;"'!$H$23:$H$200")=$L$5)*(INDIRECT("'"&amp;$C200&amp;"'!$O$23:$O$200")&lt;=-0.5)*(INDIRECT("'"&amp;$C200&amp;"'!$O$23:$O$200")&gt;=-2)*((INDIRECT("'"&amp;$C200&amp;"'!$J$23:$J$200")-INDIRECT("'"&amp;$C200&amp;"'!$K$23:$K$200"))=1),1,0)))</f>
        <v>0</v>
      </c>
      <c r="O201" s="601" t="str">
        <f t="shared" ca="1" si="188"/>
        <v>-</v>
      </c>
      <c r="P201" s="418">
        <f t="array" aca="1" ref="P201" ca="1">IF($C201="N","",SUM(IF((INDIRECT("'"&amp;$C200&amp;"'!$I$23:$I$200")=$D$5)*(INDIRECT("'"&amp;$C200&amp;"'!$H$23:$H$200")=$L$5)*(INDIRECT("'"&amp;$C200&amp;"'!$O$23:$O$200")&lt;=-0.5)*(INDIRECT("'"&amp;$C200&amp;"'!$O$23:$O$200")&gt;=-2)*((INDIRECT("'"&amp;$C200&amp;"'!$K$23:$K$200")-INDIRECT("'"&amp;$C200&amp;"'!$J$23:$J$200"))&gt;-1),1,0)))</f>
        <v>2</v>
      </c>
      <c r="Q201" s="601">
        <f t="shared" ca="1" si="189"/>
        <v>0.4</v>
      </c>
      <c r="R201" s="522">
        <f ca="1">IF($C201="N","",L201+N201+P201)</f>
        <v>5</v>
      </c>
      <c r="S201" s="655">
        <f ca="1">IF($C201="N","",L201+E201)</f>
        <v>7</v>
      </c>
      <c r="T201" s="601">
        <f t="shared" ca="1" si="190"/>
        <v>0.41176470588235292</v>
      </c>
      <c r="U201" s="418">
        <f ca="1">IF($C201="N","",N201+G201)</f>
        <v>1</v>
      </c>
      <c r="V201" s="601">
        <f t="shared" ca="1" si="191"/>
        <v>5.8823529411764705E-2</v>
      </c>
      <c r="W201" s="418">
        <f ca="1">IF($C201="N","",P201+I201)</f>
        <v>9</v>
      </c>
      <c r="X201" s="601">
        <f t="shared" ca="1" si="192"/>
        <v>0.52941176470588236</v>
      </c>
      <c r="Y201" s="602">
        <f ca="1">IF($C201="N","",R201+K201)</f>
        <v>17</v>
      </c>
      <c r="Z201" s="355"/>
    </row>
    <row r="202" spans="2:26">
      <c r="B202" s="568"/>
      <c r="C202" s="357" t="str">
        <f>C201</f>
        <v>Tokushima Vortis</v>
      </c>
      <c r="D202" s="654">
        <v>0</v>
      </c>
      <c r="E202" s="655">
        <f t="array" aca="1" ref="E202" ca="1">IF($C202="N","",SUM(IF((INDIRECT("'"&amp;$C200&amp;"'!$I$23:$I$200")=$D$5)*(INDIRECT("'"&amp;$C200&amp;"'!$H$23:$H$200")=$E$5)*(INDIRECT("'"&amp;$C200&amp;"'!$O$23:$O$200")&gt;=-0.25)*(INDIRECT("'"&amp;$C200&amp;"'!$O$23:$O$200")&lt;=0.25)*(INDIRECT("'"&amp;$C200&amp;"'!$O$23:$O$200")&lt;&gt;"")*((INDIRECT("'"&amp;$C200&amp;"'!$J$23:$J$200")-INDIRECT("'"&amp;$C200&amp;"'!$K$23:$K$200"))&gt;0),1,0)))</f>
        <v>3</v>
      </c>
      <c r="F202" s="601">
        <f t="shared" ca="1" si="184"/>
        <v>0.33333333333333331</v>
      </c>
      <c r="G202" s="418">
        <f t="array" aca="1" ref="G202" ca="1">IF($C202="N","",SUM(IF((INDIRECT("'"&amp;$C200&amp;"'!$I$23:$I$200")=$D$5)*(INDIRECT("'"&amp;$C200&amp;"'!$H$23:$H$200")=$E$5)*(INDIRECT("'"&amp;$C200&amp;"'!$O$23:$O$200")&gt;=-0.25)*(INDIRECT("'"&amp;$C200&amp;"'!$O$23:$O$200")&lt;=0.25)*(INDIRECT("'"&amp;$C200&amp;"'!$O$23:$O$200")&lt;&gt;"")*((INDIRECT("'"&amp;$C200&amp;"'!$J$23:$J$200")-INDIRECT("'"&amp;$C200&amp;"'!$K$23:$K$200"))=0),1,0)))</f>
        <v>3</v>
      </c>
      <c r="H202" s="601">
        <f t="shared" ca="1" si="185"/>
        <v>0.33333333333333331</v>
      </c>
      <c r="I202" s="418">
        <f t="array" aca="1" ref="I202" ca="1">IF($C202="N","",SUM(IF((INDIRECT("'"&amp;$C200&amp;"'!$I$23:$I$200")=$D$5)*(INDIRECT("'"&amp;$C200&amp;"'!$H$23:$H$200")=$E$5)*(INDIRECT("'"&amp;$C200&amp;"'!$O$23:$O$200")&gt;=-0.25)*(INDIRECT("'"&amp;$C200&amp;"'!$O$23:$O$200")&lt;=0.25)*(INDIRECT("'"&amp;$C200&amp;"'!$O$23:$O$200")&lt;&gt;"")*((INDIRECT("'"&amp;$C200&amp;"'!$J$23:$J$200")-INDIRECT("'"&amp;$C200&amp;"'!$K$23:$K$200"))&lt;0),1,0)))</f>
        <v>3</v>
      </c>
      <c r="J202" s="601">
        <f t="shared" ca="1" si="186"/>
        <v>0.33333333333333331</v>
      </c>
      <c r="K202" s="522">
        <f ca="1">IF($C202="N","",E202+G202+I202)</f>
        <v>9</v>
      </c>
      <c r="L202" s="655">
        <f t="array" aca="1" ref="L202" ca="1">IF($C202="N","",SUM(IF((INDIRECT("'"&amp;$C200&amp;"'!$I$23:$I$200")=$D$5)*(INDIRECT("'"&amp;$C200&amp;"'!$H$23:$H$200")=$L$5)*(INDIRECT("'"&amp;$C200&amp;"'!$O$23:$O$200")&gt;=-0.25)*(INDIRECT("'"&amp;$C200&amp;"'!$O$23:$O$200")&lt;=0.25)*(INDIRECT("'"&amp;$C200&amp;"'!$O$23:$O$200")&lt;&gt;"")*((INDIRECT("'"&amp;$C200&amp;"'!$J$23:$J$200")-INDIRECT("'"&amp;$C200&amp;"'!$K$23:$K$200"))&gt;0),1,0)))</f>
        <v>7</v>
      </c>
      <c r="M202" s="601">
        <f t="shared" ca="1" si="187"/>
        <v>0.4375</v>
      </c>
      <c r="N202" s="418">
        <f t="array" aca="1" ref="N202" ca="1">IF($C202="N","",SUM(IF((INDIRECT("'"&amp;$C200&amp;"'!$I$23:$I$200")=$D$5)*(INDIRECT("'"&amp;$C200&amp;"'!$H$23:$H$200")=$L$5)*(INDIRECT("'"&amp;$C200&amp;"'!$O$23:$O$200")&gt;=-0.25)*(INDIRECT("'"&amp;$C200&amp;"'!$O$23:$O$200")&lt;=0.25)*(INDIRECT("'"&amp;$C200&amp;"'!$O$23:$O$200")&lt;&gt;"")*((INDIRECT("'"&amp;$C200&amp;"'!$J$23:$J$200")-INDIRECT("'"&amp;$C200&amp;"'!$K$23:$K$200"))=0),1,0)))</f>
        <v>2</v>
      </c>
      <c r="O202" s="601">
        <f t="shared" ca="1" si="188"/>
        <v>0.125</v>
      </c>
      <c r="P202" s="418">
        <f t="array" aca="1" ref="P202" ca="1">IF($C202="N","",SUM(IF((INDIRECT("'"&amp;$C200&amp;"'!$I$23:$I$200")=$D$5)*(INDIRECT("'"&amp;$C200&amp;"'!$H$23:$H$200")=$L$5)*(INDIRECT("'"&amp;$C200&amp;"'!$O$23:$O$200")&gt;=-0.25)*(INDIRECT("'"&amp;$C200&amp;"'!$O$23:$O$200")&lt;=0.25)*(INDIRECT("'"&amp;$C200&amp;"'!$O$23:$O$200")&lt;&gt;"")*((INDIRECT("'"&amp;$C200&amp;"'!$J$23:$J$200")-INDIRECT("'"&amp;$C200&amp;"'!$K$23:$K$200"))&lt;0),1,0)))</f>
        <v>7</v>
      </c>
      <c r="Q202" s="601">
        <f t="shared" ca="1" si="189"/>
        <v>0.4375</v>
      </c>
      <c r="R202" s="522">
        <f ca="1">IF($C202="N","",L202+N202+P202)</f>
        <v>16</v>
      </c>
      <c r="S202" s="655">
        <f ca="1">IF($C202="N","",L202+E202)</f>
        <v>10</v>
      </c>
      <c r="T202" s="601">
        <f t="shared" ca="1" si="190"/>
        <v>0.4</v>
      </c>
      <c r="U202" s="418">
        <f ca="1">IF($C202="N","",N202+G202)</f>
        <v>5</v>
      </c>
      <c r="V202" s="601">
        <f t="shared" ca="1" si="191"/>
        <v>0.2</v>
      </c>
      <c r="W202" s="418">
        <f ca="1">IF($C202="N","",P202+I202)</f>
        <v>10</v>
      </c>
      <c r="X202" s="601">
        <f t="shared" ca="1" si="192"/>
        <v>0.4</v>
      </c>
      <c r="Y202" s="602">
        <f ca="1">IF($C202="N","",R202+K202)</f>
        <v>25</v>
      </c>
      <c r="Z202" s="355"/>
    </row>
    <row r="203" spans="2:26">
      <c r="B203" s="568"/>
      <c r="C203" s="357" t="str">
        <f>C202</f>
        <v>Tokushima Vortis</v>
      </c>
      <c r="D203" s="654">
        <v>1</v>
      </c>
      <c r="E203" s="655">
        <f t="array" aca="1" ref="E203" ca="1">IF($C203="N","",SUM(IF((INDIRECT("'"&amp;$C200&amp;"'!$I$23:$I$200")=$D$5)*(INDIRECT("'"&amp;$C200&amp;"'!$H$23:$H$200")=$E$5)*(INDIRECT("'"&amp;$C200&amp;"'!$O$23:$O$200")&gt;=0.5)*(INDIRECT("'"&amp;$C200&amp;"'!$O$23:$O$200")&lt;=2)*((INDIRECT("'"&amp;$C200&amp;"'!$J$23:$J$200")-INDIRECT("'"&amp;$C200&amp;"'!$K$23:$K$200"))&gt;-1),1,0)))</f>
        <v>0</v>
      </c>
      <c r="F203" s="601" t="str">
        <f t="shared" ca="1" si="184"/>
        <v>-</v>
      </c>
      <c r="G203" s="418">
        <f t="array" aca="1" ref="G203" ca="1">IF($C203="N","",SUM(IF((INDIRECT("'"&amp;$C200&amp;"'!$I$23:$I$200")=$D$5)*(INDIRECT("'"&amp;$C200&amp;"'!$H$23:$H$200")=$E$5)*(INDIRECT("'"&amp;$C200&amp;"'!$O$23:$O$200")&gt;=0.5)*(INDIRECT("'"&amp;$C200&amp;"'!$O$23:$O$200")&lt;=2)*((INDIRECT("'"&amp;$C200&amp;"'!$J$23:$J$200")-INDIRECT("'"&amp;$C200&amp;"'!$K$23:$K$200"))=-1),1,0)))</f>
        <v>0</v>
      </c>
      <c r="H203" s="601" t="str">
        <f t="shared" ca="1" si="185"/>
        <v>-</v>
      </c>
      <c r="I203" s="418">
        <f t="array" aca="1" ref="I203" ca="1">IF($C203="N","",SUM(IF((INDIRECT("'"&amp;$C200&amp;"'!$I$23:$I$200")=$D$5)*(INDIRECT("'"&amp;$C200&amp;"'!$H$23:$H$200")=$E$5)*(INDIRECT("'"&amp;$C200&amp;"'!$O$23:$O$200")&gt;=0.5)*(INDIRECT("'"&amp;$C200&amp;"'!$O$23:$O$200")&lt;=2)*((INDIRECT("'"&amp;$C200&amp;"'!$J$23:$J$200")-INDIRECT("'"&amp;$C200&amp;"'!$K$23:$K$200"))&lt;-1),1,0)))</f>
        <v>0</v>
      </c>
      <c r="J203" s="601" t="str">
        <f t="shared" ca="1" si="186"/>
        <v>-</v>
      </c>
      <c r="K203" s="522">
        <f ca="1">IF($C203="N","",E203+G203+I203)</f>
        <v>0</v>
      </c>
      <c r="L203" s="655">
        <f t="array" aca="1" ref="L203" ca="1">IF($C203="N","",SUM(IF((INDIRECT("'"&amp;$C200&amp;"'!$I$23:$I$200")=$D$5)*(INDIRECT("'"&amp;$C200&amp;"'!$H$23:$H$200")=$L$5)*(INDIRECT("'"&amp;$C200&amp;"'!$O$23:$O$200")&gt;=0.5)*(INDIRECT("'"&amp;$C200&amp;"'!$O$23:$O$200")&lt;=2)*((INDIRECT("'"&amp;$C200&amp;"'!$J$23:$J$200")-INDIRECT("'"&amp;$C200&amp;"'!$K$23:$K$200"))&gt;-1),1,0)))</f>
        <v>0</v>
      </c>
      <c r="M203" s="601" t="str">
        <f t="shared" ca="1" si="187"/>
        <v>-</v>
      </c>
      <c r="N203" s="418">
        <f t="array" aca="1" ref="N203" ca="1">IF($C203="N","",SUM(IF((INDIRECT("'"&amp;$C200&amp;"'!$I$23:$I$200")=$D$5)*(INDIRECT("'"&amp;$C200&amp;"'!$H$23:$H$200")=$L$5)*(INDIRECT("'"&amp;$C200&amp;"'!$O$23:$O$200")&gt;=0.5)*(INDIRECT("'"&amp;$C200&amp;"'!$O$23:$O$200")&lt;=2)*((INDIRECT("'"&amp;$C200&amp;"'!$J$23:$J$200")-INDIRECT("'"&amp;$C200&amp;"'!$K$23:$K$200"))=-1),1,0)))</f>
        <v>0</v>
      </c>
      <c r="O203" s="601" t="str">
        <f t="shared" ca="1" si="188"/>
        <v>-</v>
      </c>
      <c r="P203" s="418">
        <f t="array" aca="1" ref="P203" ca="1">IF($C203="N","",SUM(IF((INDIRECT("'"&amp;$C200&amp;"'!$I$23:$I$200")=$D$5)*(INDIRECT("'"&amp;$C200&amp;"'!$H$23:$H$200")=$L$5)*(INDIRECT("'"&amp;$C200&amp;"'!$O$23:$O$200")&gt;=0.5)*(INDIRECT("'"&amp;$C200&amp;"'!$O$23:$O$200")&lt;=2)*((INDIRECT("'"&amp;$C200&amp;"'!$J$23:$J$200")-INDIRECT("'"&amp;$C200&amp;"'!$K$23:$K$200"))&lt;-1),1,0)))</f>
        <v>0</v>
      </c>
      <c r="Q203" s="601" t="str">
        <f t="shared" ca="1" si="189"/>
        <v>-</v>
      </c>
      <c r="R203" s="522">
        <f ca="1">IF($C203="N","",L203+N203+P203)</f>
        <v>0</v>
      </c>
      <c r="S203" s="655">
        <f ca="1">IF($C203="N","",L203+E203)</f>
        <v>0</v>
      </c>
      <c r="T203" s="601" t="str">
        <f t="shared" ca="1" si="190"/>
        <v>-</v>
      </c>
      <c r="U203" s="418">
        <f ca="1">IF($C203="N","",N203+G203)</f>
        <v>0</v>
      </c>
      <c r="V203" s="601" t="str">
        <f t="shared" ca="1" si="191"/>
        <v>-</v>
      </c>
      <c r="W203" s="418">
        <f ca="1">IF($C203="N","",P203+I203)</f>
        <v>0</v>
      </c>
      <c r="X203" s="601" t="str">
        <f t="shared" ca="1" si="192"/>
        <v>-</v>
      </c>
      <c r="Y203" s="602">
        <f ca="1">IF($C203="N","",R203+K203)</f>
        <v>0</v>
      </c>
      <c r="Z203" s="355"/>
    </row>
    <row r="204" spans="2:26" ht="13.5" thickBot="1">
      <c r="B204" s="568"/>
      <c r="C204" s="357" t="str">
        <f>C203</f>
        <v>Tokushima Vortis</v>
      </c>
      <c r="D204" s="654">
        <v>2</v>
      </c>
      <c r="E204" s="657">
        <f t="array" aca="1" ref="E204" ca="1">IF($C204="N","",SUM(IF((INDIRECT("'"&amp;$C200&amp;"'!$I$23:$I$200")=$D$5)*(INDIRECT("'"&amp;$C200&amp;"'!$H$23:$H$200")=$E$5)*(INDIRECT("'"&amp;$C200&amp;"'!$O$23:$O$200")&gt;=2.25)*((INDIRECT("'"&amp;$C200&amp;"'!$J$23:$J$200")-INDIRECT("'"&amp;$C200&amp;"'!$K$23:$K$200"))&gt;-2),1,0)))</f>
        <v>0</v>
      </c>
      <c r="F204" s="605" t="str">
        <f t="shared" ca="1" si="184"/>
        <v>-</v>
      </c>
      <c r="G204" s="658">
        <f t="array" aca="1" ref="G204" ca="1">IF($C204="N","",SUM(IF((INDIRECT("'"&amp;$C200&amp;"'!$I$23:$I$200")=$D$5)*(INDIRECT("'"&amp;$C200&amp;"'!$H$23:$H$200")=$E$5)*(INDIRECT("'"&amp;$C200&amp;"'!$O$23:$O$200")&gt;=2.25)*((INDIRECT("'"&amp;$C200&amp;"'!$J$23:$J$200")-INDIRECT("'"&amp;$C200&amp;"'!$K$23:$K$200"))=-2),1,0)))</f>
        <v>0</v>
      </c>
      <c r="H204" s="605" t="str">
        <f t="shared" ca="1" si="185"/>
        <v>-</v>
      </c>
      <c r="I204" s="658">
        <f t="array" aca="1" ref="I204" ca="1">IF($C204="N","",SUM(IF((INDIRECT("'"&amp;$C200&amp;"'!$I$23:$I$200")=$D$5)*(INDIRECT("'"&amp;$C200&amp;"'!$H$23:$H$200")=$E$5)*(INDIRECT("'"&amp;$C200&amp;"'!$O$23:$O$200")&gt;=2.25)*((INDIRECT("'"&amp;$C200&amp;"'!$J$23:$J$200")-INDIRECT("'"&amp;$C200&amp;"'!$K$23:$K$200"))&lt;-2),1,0)))</f>
        <v>0</v>
      </c>
      <c r="J204" s="605" t="str">
        <f t="shared" ca="1" si="186"/>
        <v>-</v>
      </c>
      <c r="K204" s="659">
        <f ca="1">IF($C204="N","",E204+G204+I204)</f>
        <v>0</v>
      </c>
      <c r="L204" s="657">
        <f t="array" aca="1" ref="L204" ca="1">IF($C204="N","",SUM(IF((INDIRECT("'"&amp;$C200&amp;"'!$I$23:$I$200")=$D$5)*(INDIRECT("'"&amp;$C200&amp;"'!$H$23:$H$200")=$L$5)*(INDIRECT("'"&amp;$C200&amp;"'!$O$23:$O$200")&gt;=2.25)*((INDIRECT("'"&amp;$C200&amp;"'!$J$23:$J$200")-INDIRECT("'"&amp;$C200&amp;"'!$K$23:$K$200"))&gt;-2),1,0)))</f>
        <v>0</v>
      </c>
      <c r="M204" s="605" t="str">
        <f t="shared" ca="1" si="187"/>
        <v>-</v>
      </c>
      <c r="N204" s="658">
        <f t="array" aca="1" ref="N204" ca="1">IF($C204="N","",SUM(IF((INDIRECT("'"&amp;$C200&amp;"'!$I$23:$I$200")=$D$5)*(INDIRECT("'"&amp;$C200&amp;"'!$H$23:$H$200")=$L$5)*(INDIRECT("'"&amp;$C200&amp;"'!$O$23:$O$200")&gt;=2.25)*((INDIRECT("'"&amp;$C200&amp;"'!$J$23:$J$200")-INDIRECT("'"&amp;$C200&amp;"'!$K$23:$K$200"))=-2),1,0)))</f>
        <v>0</v>
      </c>
      <c r="O204" s="605" t="str">
        <f t="shared" ca="1" si="188"/>
        <v>-</v>
      </c>
      <c r="P204" s="658">
        <f t="array" aca="1" ref="P204" ca="1">IF($C204="N","",SUM(IF((INDIRECT("'"&amp;$C200&amp;"'!$I$23:$I$200")=$D$5)*(INDIRECT("'"&amp;$C200&amp;"'!$H$23:$H$200")=$L$5)*(INDIRECT("'"&amp;$C200&amp;"'!$O$23:$O$200")&gt;=2.25)*((INDIRECT("'"&amp;$C200&amp;"'!$J$23:$J$200")-INDIRECT("'"&amp;$C200&amp;"'!$K$23:$K$200"))&lt;-2),1,0)))</f>
        <v>0</v>
      </c>
      <c r="Q204" s="605" t="str">
        <f t="shared" ca="1" si="189"/>
        <v>-</v>
      </c>
      <c r="R204" s="659">
        <f ca="1">IF($C204="N","",L204+N204+P204)</f>
        <v>0</v>
      </c>
      <c r="S204" s="657">
        <f ca="1">IF($C204="N","",L204+E204)</f>
        <v>0</v>
      </c>
      <c r="T204" s="605" t="str">
        <f t="shared" ca="1" si="190"/>
        <v>-</v>
      </c>
      <c r="U204" s="658">
        <f ca="1">IF($C204="N","",N204+G204)</f>
        <v>0</v>
      </c>
      <c r="V204" s="605" t="str">
        <f t="shared" ca="1" si="191"/>
        <v>-</v>
      </c>
      <c r="W204" s="658">
        <f ca="1">IF($C204="N","",P204+I204)</f>
        <v>0</v>
      </c>
      <c r="X204" s="605" t="str">
        <f t="shared" ca="1" si="192"/>
        <v>-</v>
      </c>
      <c r="Y204" s="608">
        <f ca="1">IF($C204="N","",R204+K204)</f>
        <v>0</v>
      </c>
      <c r="Z204" s="355"/>
    </row>
    <row r="205" spans="2:26" ht="13.5" thickBot="1">
      <c r="B205" s="568" t="str">
        <f>D198</f>
        <v>Tokushima Vortis</v>
      </c>
      <c r="D205" s="661" t="s">
        <v>115</v>
      </c>
      <c r="E205" s="481">
        <f ca="1">SUM(E200:E204)</f>
        <v>7</v>
      </c>
      <c r="F205" s="435">
        <f t="shared" ca="1" si="184"/>
        <v>0.33333333333333331</v>
      </c>
      <c r="G205" s="438">
        <f ca="1">SUM(G200:G204)</f>
        <v>4</v>
      </c>
      <c r="H205" s="435">
        <f t="shared" ca="1" si="185"/>
        <v>0.19047619047619047</v>
      </c>
      <c r="I205" s="438">
        <f ca="1">SUM(I200:I204)</f>
        <v>10</v>
      </c>
      <c r="J205" s="435">
        <f t="shared" ca="1" si="186"/>
        <v>0.47619047619047616</v>
      </c>
      <c r="K205" s="479">
        <f ca="1">SUM(K200:K204)</f>
        <v>21</v>
      </c>
      <c r="L205" s="662">
        <f ca="1">SUM(L200:L204)</f>
        <v>10</v>
      </c>
      <c r="M205" s="435">
        <f t="shared" ca="1" si="187"/>
        <v>0.47619047619047616</v>
      </c>
      <c r="N205" s="438">
        <f ca="1">SUM(N200:N204)</f>
        <v>2</v>
      </c>
      <c r="O205" s="435">
        <f t="shared" ca="1" si="188"/>
        <v>9.5238095238095233E-2</v>
      </c>
      <c r="P205" s="438">
        <f ca="1">SUM(P200:P204)</f>
        <v>9</v>
      </c>
      <c r="Q205" s="435">
        <f t="shared" ca="1" si="189"/>
        <v>0.42857142857142855</v>
      </c>
      <c r="R205" s="480">
        <f ca="1">SUM(R200:R204)</f>
        <v>21</v>
      </c>
      <c r="S205" s="481">
        <f ca="1">SUM(S200:S204)</f>
        <v>17</v>
      </c>
      <c r="T205" s="435">
        <f t="shared" ca="1" si="190"/>
        <v>0.40476190476190477</v>
      </c>
      <c r="U205" s="438">
        <f ca="1">SUM(U200:U204)</f>
        <v>6</v>
      </c>
      <c r="V205" s="435">
        <f t="shared" ca="1" si="191"/>
        <v>0.14285714285714285</v>
      </c>
      <c r="W205" s="438">
        <f ca="1">SUM(W200:W204)</f>
        <v>19</v>
      </c>
      <c r="X205" s="435">
        <f t="shared" ca="1" si="192"/>
        <v>0.45238095238095238</v>
      </c>
      <c r="Y205" s="479">
        <f ca="1">SUM(Y200:Y204)</f>
        <v>42</v>
      </c>
    </row>
    <row r="206" spans="2:26" ht="13.5" thickBot="1">
      <c r="B206" s="568"/>
    </row>
    <row r="207" spans="2:26">
      <c r="D207" s="562" t="str">
        <f>J2</f>
        <v>Tokyo Verdy</v>
      </c>
      <c r="E207" s="582" t="s">
        <v>162</v>
      </c>
      <c r="F207" s="583"/>
      <c r="G207" s="584"/>
      <c r="H207" s="583"/>
      <c r="I207" s="585"/>
      <c r="J207" s="584"/>
      <c r="K207" s="586"/>
      <c r="L207" s="641" t="s">
        <v>163</v>
      </c>
      <c r="M207" s="583"/>
      <c r="N207" s="584"/>
      <c r="O207" s="583"/>
      <c r="P207" s="585"/>
      <c r="Q207" s="583"/>
      <c r="R207" s="584"/>
      <c r="S207" s="582" t="s">
        <v>164</v>
      </c>
      <c r="T207" s="583"/>
      <c r="U207" s="584"/>
      <c r="V207" s="583"/>
      <c r="W207" s="587"/>
      <c r="X207" s="588"/>
      <c r="Y207" s="589"/>
    </row>
    <row r="208" spans="2:26" ht="13.5" thickBot="1">
      <c r="D208" s="644" t="s">
        <v>165</v>
      </c>
      <c r="E208" s="590" t="s">
        <v>63</v>
      </c>
      <c r="F208" s="591"/>
      <c r="G208" s="645" t="s">
        <v>64</v>
      </c>
      <c r="H208" s="591"/>
      <c r="I208" s="645" t="s">
        <v>65</v>
      </c>
      <c r="J208" s="645"/>
      <c r="K208" s="646" t="s">
        <v>171</v>
      </c>
      <c r="L208" s="647" t="s">
        <v>63</v>
      </c>
      <c r="M208" s="591"/>
      <c r="N208" s="645" t="s">
        <v>64</v>
      </c>
      <c r="O208" s="591"/>
      <c r="P208" s="645" t="s">
        <v>65</v>
      </c>
      <c r="Q208" s="591"/>
      <c r="R208" s="646" t="s">
        <v>172</v>
      </c>
      <c r="S208" s="590" t="s">
        <v>63</v>
      </c>
      <c r="T208" s="591"/>
      <c r="U208" s="645" t="s">
        <v>64</v>
      </c>
      <c r="V208" s="648"/>
      <c r="W208" s="645" t="s">
        <v>65</v>
      </c>
      <c r="X208" s="591"/>
      <c r="Y208" s="646" t="s">
        <v>168</v>
      </c>
      <c r="Z208" s="355"/>
    </row>
    <row r="209" spans="2:26">
      <c r="B209" s="568"/>
      <c r="C209" s="357" t="str">
        <f>IF(D207=0,"N",D207)</f>
        <v>Tokyo Verdy</v>
      </c>
      <c r="D209" s="651">
        <v>-2</v>
      </c>
      <c r="E209" s="599">
        <f t="array" aca="1" ref="E209" ca="1">IF($C209="N","",SUM(IF((INDIRECT("'"&amp;$C209&amp;"'!$I$23:$I$200")=$D$5)*(INDIRECT("'"&amp;$C209&amp;"'!$H$23:$H$200")=$E$5)*(INDIRECT("'"&amp;$C209&amp;"'!$O$23:$O$200")&lt;=-2.25)*((INDIRECT("'"&amp;$C209&amp;"'!$J$23:$J$200")-INDIRECT("'"&amp;$C209&amp;"'!$K$23:$K$200"))&gt;2),1,0)))</f>
        <v>0</v>
      </c>
      <c r="F209" s="406" t="str">
        <f t="shared" ref="F209:F214" ca="1" si="193">IF(E209="","",IF(E209=0,"-",E209/$K209))</f>
        <v>-</v>
      </c>
      <c r="G209" s="408">
        <f t="array" aca="1" ref="G209" ca="1">IF($C209="N","",SUM(IF((INDIRECT("'"&amp;$C209&amp;"'!$I$23:$I$200")=$D$5)*(INDIRECT("'"&amp;$C209&amp;"'!$H$23:$H$200")=$E$5)*(INDIRECT("'"&amp;$C209&amp;"'!$O$23:$O$200")&lt;=-2.25)*((INDIRECT("'"&amp;$C209&amp;"'!$J$23:$J$200")-INDIRECT("'"&amp;$C209&amp;"'!$K$23:$K$200"))=2),1,0)))</f>
        <v>0</v>
      </c>
      <c r="H209" s="406" t="str">
        <f t="shared" ref="H209:H214" ca="1" si="194">IF(G209="","",IF(G209=0,"-",G209/$K209))</f>
        <v>-</v>
      </c>
      <c r="I209" s="408">
        <f t="array" aca="1" ref="I209" ca="1">IF($C209="N","",SUM(IF((INDIRECT("'"&amp;$C209&amp;"'!$I$23:$I$200")=$D$5)*(INDIRECT("'"&amp;$C209&amp;"'!$H$23:$H$200")=$E$5)*(INDIRECT("'"&amp;$C209&amp;"'!$O$23:$O$200")&lt;=-2.25)*((INDIRECT("'"&amp;$C209&amp;"'!$K$23:$K$200")-INDIRECT("'"&amp;$C209&amp;"'!$J$23:$J$200"))&gt;-2),1,0)))</f>
        <v>0</v>
      </c>
      <c r="J209" s="406" t="str">
        <f t="shared" ref="J209:J214" ca="1" si="195">IF(I209="","",IF(I209=0,"-",I209/$K209))</f>
        <v>-</v>
      </c>
      <c r="K209" s="602">
        <f ca="1">IF($C209="N","",E209+G209+I209)</f>
        <v>0</v>
      </c>
      <c r="L209" s="599">
        <f t="array" aca="1" ref="L209" ca="1">IF($C209="N","",SUM(IF((INDIRECT("'"&amp;$C209&amp;"'!$I$23:$I$200")=$D$5)*(INDIRECT("'"&amp;$C209&amp;"'!$H$23:$H$200")=$L$5)*(INDIRECT("'"&amp;$C209&amp;"'!$O$23:$O$200")&lt;=-2.25)*((INDIRECT("'"&amp;$C209&amp;"'!$J$23:$J$200")-INDIRECT("'"&amp;$C209&amp;"'!$K$23:$K$200"))&gt;2),1,0)))</f>
        <v>0</v>
      </c>
      <c r="M209" s="406" t="str">
        <f t="shared" ref="M209:M214" ca="1" si="196">IF(L209="","",IF(L209=0,"-",L209/$R209))</f>
        <v>-</v>
      </c>
      <c r="N209" s="408">
        <f t="array" aca="1" ref="N209" ca="1">IF($C209="N","",SUM(IF((INDIRECT("'"&amp;$C209&amp;"'!$I$23:$I$200")=$D$5)*(INDIRECT("'"&amp;$C209&amp;"'!$H$23:$H$200")=$L$5)*(INDIRECT("'"&amp;$C209&amp;"'!$O$23:$O$200")&lt;=-2.25)*((INDIRECT("'"&amp;$C209&amp;"'!$J$23:$J$200")-INDIRECT("'"&amp;$C209&amp;"'!$K$23:$K$200"))=2),1,0)))</f>
        <v>0</v>
      </c>
      <c r="O209" s="406" t="str">
        <f t="shared" ref="O209:O214" ca="1" si="197">IF(N209="","",IF(N209=0,"-",N209/$R209))</f>
        <v>-</v>
      </c>
      <c r="P209" s="408">
        <f t="array" aca="1" ref="P209" ca="1">IF($C209="N","",SUM(IF((INDIRECT("'"&amp;$C209&amp;"'!$I$23:$I$200")=$D$5)*(INDIRECT("'"&amp;$C209&amp;"'!$H$23:$H$200")=$L$5)*(INDIRECT("'"&amp;$C209&amp;"'!$O$23:$O$200")&lt;=-2.25)*((INDIRECT("'"&amp;$C209&amp;"'!$K$23:$K$200")-INDIRECT("'"&amp;$C209&amp;"'!$J$23:$J$200"))&gt;-2),1,0)))</f>
        <v>0</v>
      </c>
      <c r="Q209" s="406" t="str">
        <f t="shared" ref="Q209:Q214" ca="1" si="198">IF(P209="","",IF(P209=0,"-",P209/$R209))</f>
        <v>-</v>
      </c>
      <c r="R209" s="602">
        <f ca="1">IF($C209="N","",L209+N209+P209)</f>
        <v>0</v>
      </c>
      <c r="S209" s="599">
        <f ca="1">IF($C209="N","",L209+E209)</f>
        <v>0</v>
      </c>
      <c r="T209" s="406" t="str">
        <f t="shared" ref="T209:T214" ca="1" si="199">IF(S209="","",IF(S209=0,"-",S209/$Y209))</f>
        <v>-</v>
      </c>
      <c r="U209" s="408">
        <f ca="1">IF($C209="N","",N209+G209)</f>
        <v>0</v>
      </c>
      <c r="V209" s="406" t="str">
        <f t="shared" ref="V209:V214" ca="1" si="200">IF(U209="","",IF(U209=0,"-",U209/$Y209))</f>
        <v>-</v>
      </c>
      <c r="W209" s="408">
        <f ca="1">IF($C209="N","",P209+I209)</f>
        <v>0</v>
      </c>
      <c r="X209" s="406" t="str">
        <f t="shared" ref="X209:X214" ca="1" si="201">IF(W209="","",IF(W209=0,"-",W209/$Y209))</f>
        <v>-</v>
      </c>
      <c r="Y209" s="602">
        <f ca="1">IF($C209="N","",R209+K209)</f>
        <v>0</v>
      </c>
      <c r="Z209" s="355"/>
    </row>
    <row r="210" spans="2:26">
      <c r="B210" s="568"/>
      <c r="C210" s="357" t="str">
        <f>C209</f>
        <v>Tokyo Verdy</v>
      </c>
      <c r="D210" s="654">
        <v>-1</v>
      </c>
      <c r="E210" s="655">
        <f t="array" aca="1" ref="E210" ca="1">IF($C210="N","",SUM(IF((INDIRECT("'"&amp;$C209&amp;"'!$I$23:$I$200")=$D$5)*(INDIRECT("'"&amp;$C209&amp;"'!$H$23:$H$200")=$E$5)*(INDIRECT("'"&amp;$C209&amp;"'!$O$23:$O$200")&lt;=-0.5)*(INDIRECT("'"&amp;$C209&amp;"'!$O$23:$O$200")&gt;=-2)*((INDIRECT("'"&amp;$C209&amp;"'!$J$23:$J$200")-INDIRECT("'"&amp;$C209&amp;"'!$K$23:$K$200"))&gt;1),1,0)))</f>
        <v>2</v>
      </c>
      <c r="F210" s="601">
        <f t="shared" ca="1" si="193"/>
        <v>0.4</v>
      </c>
      <c r="G210" s="418">
        <f t="array" aca="1" ref="G210" ca="1">IF($C210="N","",SUM(IF((INDIRECT("'"&amp;$C209&amp;"'!$I$23:$I$200")=$D$5)*(INDIRECT("'"&amp;$C209&amp;"'!$H$23:$H$200")=$E$5)*(INDIRECT("'"&amp;$C209&amp;"'!$O$23:$O$200")&lt;=-0.5)*(INDIRECT("'"&amp;$C209&amp;"'!$O$23:$O$200")&gt;=-2)*((INDIRECT("'"&amp;$C209&amp;"'!$J$23:$J$200")-INDIRECT("'"&amp;$C209&amp;"'!$K$23:$K$200"))=1),1,0)))</f>
        <v>1</v>
      </c>
      <c r="H210" s="601">
        <f t="shared" ca="1" si="194"/>
        <v>0.2</v>
      </c>
      <c r="I210" s="418">
        <f t="array" aca="1" ref="I210" ca="1">IF($C210="N","",SUM(IF((INDIRECT("'"&amp;$C209&amp;"'!$I$23:$I$200")=$D$5)*(INDIRECT("'"&amp;$C209&amp;"'!$H$23:$H$200")=$E$5)*(INDIRECT("'"&amp;$C209&amp;"'!$O$23:$O$200")&lt;=-0.5)*(INDIRECT("'"&amp;$C209&amp;"'!$O$23:$O$200")&gt;=-2)*((INDIRECT("'"&amp;$C209&amp;"'!$K$23:$K$200")-INDIRECT("'"&amp;$C209&amp;"'!$J$23:$J$200"))&gt;-1),1,0)))</f>
        <v>2</v>
      </c>
      <c r="J210" s="601">
        <f t="shared" ca="1" si="195"/>
        <v>0.4</v>
      </c>
      <c r="K210" s="522">
        <f ca="1">IF($C210="N","",E210+G210+I210)</f>
        <v>5</v>
      </c>
      <c r="L210" s="655">
        <f t="array" aca="1" ref="L210" ca="1">IF($C210="N","",SUM(IF((INDIRECT("'"&amp;$C209&amp;"'!$I$23:$I$200")=$D$5)*(INDIRECT("'"&amp;$C209&amp;"'!$H$23:$H$200")=$L$5)*(INDIRECT("'"&amp;$C209&amp;"'!$O$23:$O$200")&lt;=-0.5)*(INDIRECT("'"&amp;$C209&amp;"'!$O$23:$O$200")&gt;=-2)*((INDIRECT("'"&amp;$C209&amp;"'!$J$23:$J$200")-INDIRECT("'"&amp;$C209&amp;"'!$K$23:$K$200"))&gt;1),1,0)))</f>
        <v>0</v>
      </c>
      <c r="M210" s="601" t="str">
        <f t="shared" ca="1" si="196"/>
        <v>-</v>
      </c>
      <c r="N210" s="418">
        <f t="array" aca="1" ref="N210" ca="1">IF($C210="N","",SUM(IF((INDIRECT("'"&amp;$C209&amp;"'!$I$23:$I$200")=$D$5)*(INDIRECT("'"&amp;$C209&amp;"'!$H$23:$H$200")=$L$5)*(INDIRECT("'"&amp;$C209&amp;"'!$O$23:$O$200")&lt;=-0.5)*(INDIRECT("'"&amp;$C209&amp;"'!$O$23:$O$200")&gt;=-2)*((INDIRECT("'"&amp;$C209&amp;"'!$J$23:$J$200")-INDIRECT("'"&amp;$C209&amp;"'!$K$23:$K$200"))=1),1,0)))</f>
        <v>2</v>
      </c>
      <c r="O210" s="601">
        <f t="shared" ca="1" si="197"/>
        <v>0.5</v>
      </c>
      <c r="P210" s="418">
        <f t="array" aca="1" ref="P210" ca="1">IF($C210="N","",SUM(IF((INDIRECT("'"&amp;$C209&amp;"'!$I$23:$I$200")=$D$5)*(INDIRECT("'"&amp;$C209&amp;"'!$H$23:$H$200")=$L$5)*(INDIRECT("'"&amp;$C209&amp;"'!$O$23:$O$200")&lt;=-0.5)*(INDIRECT("'"&amp;$C209&amp;"'!$O$23:$O$200")&gt;=-2)*((INDIRECT("'"&amp;$C209&amp;"'!$K$23:$K$200")-INDIRECT("'"&amp;$C209&amp;"'!$J$23:$J$200"))&gt;-1),1,0)))</f>
        <v>2</v>
      </c>
      <c r="Q210" s="601">
        <f t="shared" ca="1" si="198"/>
        <v>0.5</v>
      </c>
      <c r="R210" s="522">
        <f ca="1">IF($C210="N","",L210+N210+P210)</f>
        <v>4</v>
      </c>
      <c r="S210" s="655">
        <f ca="1">IF($C210="N","",L210+E210)</f>
        <v>2</v>
      </c>
      <c r="T210" s="601">
        <f t="shared" ca="1" si="199"/>
        <v>0.22222222222222221</v>
      </c>
      <c r="U210" s="418">
        <f ca="1">IF($C210="N","",N210+G210)</f>
        <v>3</v>
      </c>
      <c r="V210" s="601">
        <f t="shared" ca="1" si="200"/>
        <v>0.33333333333333331</v>
      </c>
      <c r="W210" s="418">
        <f ca="1">IF($C210="N","",P210+I210)</f>
        <v>4</v>
      </c>
      <c r="X210" s="601">
        <f t="shared" ca="1" si="201"/>
        <v>0.44444444444444442</v>
      </c>
      <c r="Y210" s="602">
        <f ca="1">IF($C210="N","",R210+K210)</f>
        <v>9</v>
      </c>
      <c r="Z210" s="355"/>
    </row>
    <row r="211" spans="2:26">
      <c r="B211" s="568"/>
      <c r="C211" s="357" t="str">
        <f>C210</f>
        <v>Tokyo Verdy</v>
      </c>
      <c r="D211" s="654">
        <v>0</v>
      </c>
      <c r="E211" s="655">
        <f t="array" aca="1" ref="E211" ca="1">IF($C211="N","",SUM(IF((INDIRECT("'"&amp;$C209&amp;"'!$I$23:$I$200")=$D$5)*(INDIRECT("'"&amp;$C209&amp;"'!$H$23:$H$200")=$E$5)*(INDIRECT("'"&amp;$C209&amp;"'!$O$23:$O$200")&gt;=-0.25)*(INDIRECT("'"&amp;$C209&amp;"'!$O$23:$O$200")&lt;=0.25)*(INDIRECT("'"&amp;$C209&amp;"'!$O$23:$O$200")&lt;&gt;"")*((INDIRECT("'"&amp;$C209&amp;"'!$J$23:$J$200")-INDIRECT("'"&amp;$C209&amp;"'!$K$23:$K$200"))&gt;0),1,0)))</f>
        <v>9</v>
      </c>
      <c r="F211" s="601">
        <f t="shared" ca="1" si="193"/>
        <v>0.5625</v>
      </c>
      <c r="G211" s="418">
        <f t="array" aca="1" ref="G211" ca="1">IF($C211="N","",SUM(IF((INDIRECT("'"&amp;$C209&amp;"'!$I$23:$I$200")=$D$5)*(INDIRECT("'"&amp;$C209&amp;"'!$H$23:$H$200")=$E$5)*(INDIRECT("'"&amp;$C209&amp;"'!$O$23:$O$200")&gt;=-0.25)*(INDIRECT("'"&amp;$C209&amp;"'!$O$23:$O$200")&lt;=0.25)*(INDIRECT("'"&amp;$C209&amp;"'!$O$23:$O$200")&lt;&gt;"")*((INDIRECT("'"&amp;$C209&amp;"'!$J$23:$J$200")-INDIRECT("'"&amp;$C209&amp;"'!$K$23:$K$200"))=0),1,0)))</f>
        <v>4</v>
      </c>
      <c r="H211" s="601">
        <f t="shared" ca="1" si="194"/>
        <v>0.25</v>
      </c>
      <c r="I211" s="418">
        <f t="array" aca="1" ref="I211" ca="1">IF($C211="N","",SUM(IF((INDIRECT("'"&amp;$C209&amp;"'!$I$23:$I$200")=$D$5)*(INDIRECT("'"&amp;$C209&amp;"'!$H$23:$H$200")=$E$5)*(INDIRECT("'"&amp;$C209&amp;"'!$O$23:$O$200")&gt;=-0.25)*(INDIRECT("'"&amp;$C209&amp;"'!$O$23:$O$200")&lt;=0.25)*(INDIRECT("'"&amp;$C209&amp;"'!$O$23:$O$200")&lt;&gt;"")*((INDIRECT("'"&amp;$C209&amp;"'!$J$23:$J$200")-INDIRECT("'"&amp;$C209&amp;"'!$K$23:$K$200"))&lt;0),1,0)))</f>
        <v>3</v>
      </c>
      <c r="J211" s="601">
        <f t="shared" ca="1" si="195"/>
        <v>0.1875</v>
      </c>
      <c r="K211" s="522">
        <f ca="1">IF($C211="N","",E211+G211+I211)</f>
        <v>16</v>
      </c>
      <c r="L211" s="655">
        <f t="array" aca="1" ref="L211" ca="1">IF($C211="N","",SUM(IF((INDIRECT("'"&amp;$C209&amp;"'!$I$23:$I$200")=$D$5)*(INDIRECT("'"&amp;$C209&amp;"'!$H$23:$H$200")=$L$5)*(INDIRECT("'"&amp;$C209&amp;"'!$O$23:$O$200")&gt;=-0.25)*(INDIRECT("'"&amp;$C209&amp;"'!$O$23:$O$200")&lt;=0.25)*(INDIRECT("'"&amp;$C209&amp;"'!$O$23:$O$200")&lt;&gt;"")*((INDIRECT("'"&amp;$C209&amp;"'!$J$23:$J$200")-INDIRECT("'"&amp;$C209&amp;"'!$K$23:$K$200"))&gt;0),1,0)))</f>
        <v>6</v>
      </c>
      <c r="M211" s="601">
        <f t="shared" ca="1" si="196"/>
        <v>0.35294117647058826</v>
      </c>
      <c r="N211" s="418">
        <f t="array" aca="1" ref="N211" ca="1">IF($C211="N","",SUM(IF((INDIRECT("'"&amp;$C209&amp;"'!$I$23:$I$200")=$D$5)*(INDIRECT("'"&amp;$C209&amp;"'!$H$23:$H$200")=$L$5)*(INDIRECT("'"&amp;$C209&amp;"'!$O$23:$O$200")&gt;=-0.25)*(INDIRECT("'"&amp;$C209&amp;"'!$O$23:$O$200")&lt;=0.25)*(INDIRECT("'"&amp;$C209&amp;"'!$O$23:$O$200")&lt;&gt;"")*((INDIRECT("'"&amp;$C209&amp;"'!$J$23:$J$200")-INDIRECT("'"&amp;$C209&amp;"'!$K$23:$K$200"))=0),1,0)))</f>
        <v>4</v>
      </c>
      <c r="O211" s="601">
        <f t="shared" ca="1" si="197"/>
        <v>0.23529411764705882</v>
      </c>
      <c r="P211" s="418">
        <f t="array" aca="1" ref="P211" ca="1">IF($C211="N","",SUM(IF((INDIRECT("'"&amp;$C209&amp;"'!$I$23:$I$200")=$D$5)*(INDIRECT("'"&amp;$C209&amp;"'!$H$23:$H$200")=$L$5)*(INDIRECT("'"&amp;$C209&amp;"'!$O$23:$O$200")&gt;=-0.25)*(INDIRECT("'"&amp;$C209&amp;"'!$O$23:$O$200")&lt;=0.25)*(INDIRECT("'"&amp;$C209&amp;"'!$O$23:$O$200")&lt;&gt;"")*((INDIRECT("'"&amp;$C209&amp;"'!$J$23:$J$200")-INDIRECT("'"&amp;$C209&amp;"'!$K$23:$K$200"))&lt;0),1,0)))</f>
        <v>7</v>
      </c>
      <c r="Q211" s="601">
        <f t="shared" ca="1" si="198"/>
        <v>0.41176470588235292</v>
      </c>
      <c r="R211" s="522">
        <f ca="1">IF($C211="N","",L211+N211+P211)</f>
        <v>17</v>
      </c>
      <c r="S211" s="655">
        <f ca="1">IF($C211="N","",L211+E211)</f>
        <v>15</v>
      </c>
      <c r="T211" s="601">
        <f t="shared" ca="1" si="199"/>
        <v>0.45454545454545453</v>
      </c>
      <c r="U211" s="418">
        <f ca="1">IF($C211="N","",N211+G211)</f>
        <v>8</v>
      </c>
      <c r="V211" s="601">
        <f t="shared" ca="1" si="200"/>
        <v>0.24242424242424243</v>
      </c>
      <c r="W211" s="418">
        <f ca="1">IF($C211="N","",P211+I211)</f>
        <v>10</v>
      </c>
      <c r="X211" s="601">
        <f t="shared" ca="1" si="201"/>
        <v>0.30303030303030304</v>
      </c>
      <c r="Y211" s="602">
        <f ca="1">IF($C211="N","",R211+K211)</f>
        <v>33</v>
      </c>
      <c r="Z211" s="355"/>
    </row>
    <row r="212" spans="2:26">
      <c r="B212" s="568"/>
      <c r="C212" s="357" t="str">
        <f>C211</f>
        <v>Tokyo Verdy</v>
      </c>
      <c r="D212" s="654">
        <v>1</v>
      </c>
      <c r="E212" s="655">
        <f t="array" aca="1" ref="E212" ca="1">IF($C212="N","",SUM(IF((INDIRECT("'"&amp;$C209&amp;"'!$I$23:$I$200")=$D$5)*(INDIRECT("'"&amp;$C209&amp;"'!$H$23:$H$200")=$E$5)*(INDIRECT("'"&amp;$C209&amp;"'!$O$23:$O$200")&gt;=0.5)*(INDIRECT("'"&amp;$C209&amp;"'!$O$23:$O$200")&lt;=2)*((INDIRECT("'"&amp;$C209&amp;"'!$J$23:$J$200")-INDIRECT("'"&amp;$C209&amp;"'!$K$23:$K$200"))&gt;-1),1,0)))</f>
        <v>0</v>
      </c>
      <c r="F212" s="601" t="str">
        <f t="shared" ca="1" si="193"/>
        <v>-</v>
      </c>
      <c r="G212" s="418">
        <f t="array" aca="1" ref="G212" ca="1">IF($C212="N","",SUM(IF((INDIRECT("'"&amp;$C209&amp;"'!$I$23:$I$200")=$D$5)*(INDIRECT("'"&amp;$C209&amp;"'!$H$23:$H$200")=$E$5)*(INDIRECT("'"&amp;$C209&amp;"'!$O$23:$O$200")&gt;=0.5)*(INDIRECT("'"&amp;$C209&amp;"'!$O$23:$O$200")&lt;=2)*((INDIRECT("'"&amp;$C209&amp;"'!$J$23:$J$200")-INDIRECT("'"&amp;$C209&amp;"'!$K$23:$K$200"))=-1),1,0)))</f>
        <v>0</v>
      </c>
      <c r="H212" s="601" t="str">
        <f t="shared" ca="1" si="194"/>
        <v>-</v>
      </c>
      <c r="I212" s="418">
        <f t="array" aca="1" ref="I212" ca="1">IF($C212="N","",SUM(IF((INDIRECT("'"&amp;$C209&amp;"'!$I$23:$I$200")=$D$5)*(INDIRECT("'"&amp;$C209&amp;"'!$H$23:$H$200")=$E$5)*(INDIRECT("'"&amp;$C209&amp;"'!$O$23:$O$200")&gt;=0.5)*(INDIRECT("'"&amp;$C209&amp;"'!$O$23:$O$200")&lt;=2)*((INDIRECT("'"&amp;$C209&amp;"'!$J$23:$J$200")-INDIRECT("'"&amp;$C209&amp;"'!$K$23:$K$200"))&lt;-1),1,0)))</f>
        <v>0</v>
      </c>
      <c r="J212" s="601" t="str">
        <f t="shared" ca="1" si="195"/>
        <v>-</v>
      </c>
      <c r="K212" s="522">
        <f ca="1">IF($C212="N","",E212+G212+I212)</f>
        <v>0</v>
      </c>
      <c r="L212" s="655">
        <f t="array" aca="1" ref="L212" ca="1">IF($C212="N","",SUM(IF((INDIRECT("'"&amp;$C209&amp;"'!$I$23:$I$200")=$D$5)*(INDIRECT("'"&amp;$C209&amp;"'!$H$23:$H$200")=$L$5)*(INDIRECT("'"&amp;$C209&amp;"'!$O$23:$O$200")&gt;=0.5)*(INDIRECT("'"&amp;$C209&amp;"'!$O$23:$O$200")&lt;=2)*((INDIRECT("'"&amp;$C209&amp;"'!$J$23:$J$200")-INDIRECT("'"&amp;$C209&amp;"'!$K$23:$K$200"))&gt;-1),1,0)))</f>
        <v>0</v>
      </c>
      <c r="M212" s="601" t="str">
        <f t="shared" ca="1" si="196"/>
        <v>-</v>
      </c>
      <c r="N212" s="418">
        <f t="array" aca="1" ref="N212" ca="1">IF($C212="N","",SUM(IF((INDIRECT("'"&amp;$C209&amp;"'!$I$23:$I$200")=$D$5)*(INDIRECT("'"&amp;$C209&amp;"'!$H$23:$H$200")=$L$5)*(INDIRECT("'"&amp;$C209&amp;"'!$O$23:$O$200")&gt;=0.5)*(INDIRECT("'"&amp;$C209&amp;"'!$O$23:$O$200")&lt;=2)*((INDIRECT("'"&amp;$C209&amp;"'!$J$23:$J$200")-INDIRECT("'"&amp;$C209&amp;"'!$K$23:$K$200"))=-1),1,0)))</f>
        <v>0</v>
      </c>
      <c r="O212" s="601" t="str">
        <f t="shared" ca="1" si="197"/>
        <v>-</v>
      </c>
      <c r="P212" s="418">
        <f t="array" aca="1" ref="P212" ca="1">IF($C212="N","",SUM(IF((INDIRECT("'"&amp;$C209&amp;"'!$I$23:$I$200")=$D$5)*(INDIRECT("'"&amp;$C209&amp;"'!$H$23:$H$200")=$L$5)*(INDIRECT("'"&amp;$C209&amp;"'!$O$23:$O$200")&gt;=0.5)*(INDIRECT("'"&amp;$C209&amp;"'!$O$23:$O$200")&lt;=2)*((INDIRECT("'"&amp;$C209&amp;"'!$J$23:$J$200")-INDIRECT("'"&amp;$C209&amp;"'!$K$23:$K$200"))&lt;-1),1,0)))</f>
        <v>0</v>
      </c>
      <c r="Q212" s="601" t="str">
        <f t="shared" ca="1" si="198"/>
        <v>-</v>
      </c>
      <c r="R212" s="522">
        <f ca="1">IF($C212="N","",L212+N212+P212)</f>
        <v>0</v>
      </c>
      <c r="S212" s="655">
        <f ca="1">IF($C212="N","",L212+E212)</f>
        <v>0</v>
      </c>
      <c r="T212" s="601" t="str">
        <f t="shared" ca="1" si="199"/>
        <v>-</v>
      </c>
      <c r="U212" s="418">
        <f ca="1">IF($C212="N","",N212+G212)</f>
        <v>0</v>
      </c>
      <c r="V212" s="601" t="str">
        <f t="shared" ca="1" si="200"/>
        <v>-</v>
      </c>
      <c r="W212" s="418">
        <f ca="1">IF($C212="N","",P212+I212)</f>
        <v>0</v>
      </c>
      <c r="X212" s="601" t="str">
        <f t="shared" ca="1" si="201"/>
        <v>-</v>
      </c>
      <c r="Y212" s="602">
        <f ca="1">IF($C212="N","",R212+K212)</f>
        <v>0</v>
      </c>
      <c r="Z212" s="355"/>
    </row>
    <row r="213" spans="2:26" ht="13.5" thickBot="1">
      <c r="B213" s="568"/>
      <c r="C213" s="357" t="str">
        <f>C212</f>
        <v>Tokyo Verdy</v>
      </c>
      <c r="D213" s="654">
        <v>2</v>
      </c>
      <c r="E213" s="657">
        <f t="array" aca="1" ref="E213" ca="1">IF($C213="N","",SUM(IF((INDIRECT("'"&amp;$C209&amp;"'!$I$23:$I$200")=$D$5)*(INDIRECT("'"&amp;$C209&amp;"'!$H$23:$H$200")=$E$5)*(INDIRECT("'"&amp;$C209&amp;"'!$O$23:$O$200")&gt;=2.25)*((INDIRECT("'"&amp;$C209&amp;"'!$J$23:$J$200")-INDIRECT("'"&amp;$C209&amp;"'!$K$23:$K$200"))&gt;-2),1,0)))</f>
        <v>0</v>
      </c>
      <c r="F213" s="605" t="str">
        <f t="shared" ca="1" si="193"/>
        <v>-</v>
      </c>
      <c r="G213" s="658">
        <f t="array" aca="1" ref="G213" ca="1">IF($C213="N","",SUM(IF((INDIRECT("'"&amp;$C209&amp;"'!$I$23:$I$200")=$D$5)*(INDIRECT("'"&amp;$C209&amp;"'!$H$23:$H$200")=$E$5)*(INDIRECT("'"&amp;$C209&amp;"'!$O$23:$O$200")&gt;=2.25)*((INDIRECT("'"&amp;$C209&amp;"'!$J$23:$J$200")-INDIRECT("'"&amp;$C209&amp;"'!$K$23:$K$200"))=-2),1,0)))</f>
        <v>0</v>
      </c>
      <c r="H213" s="605" t="str">
        <f t="shared" ca="1" si="194"/>
        <v>-</v>
      </c>
      <c r="I213" s="658">
        <f t="array" aca="1" ref="I213" ca="1">IF($C213="N","",SUM(IF((INDIRECT("'"&amp;$C209&amp;"'!$I$23:$I$200")=$D$5)*(INDIRECT("'"&amp;$C209&amp;"'!$H$23:$H$200")=$E$5)*(INDIRECT("'"&amp;$C209&amp;"'!$O$23:$O$200")&gt;=2.25)*((INDIRECT("'"&amp;$C209&amp;"'!$J$23:$J$200")-INDIRECT("'"&amp;$C209&amp;"'!$K$23:$K$200"))&lt;-2),1,0)))</f>
        <v>0</v>
      </c>
      <c r="J213" s="605" t="str">
        <f t="shared" ca="1" si="195"/>
        <v>-</v>
      </c>
      <c r="K213" s="659">
        <f ca="1">IF($C213="N","",E213+G213+I213)</f>
        <v>0</v>
      </c>
      <c r="L213" s="657">
        <f t="array" aca="1" ref="L213" ca="1">IF($C213="N","",SUM(IF((INDIRECT("'"&amp;$C209&amp;"'!$I$23:$I$200")=$D$5)*(INDIRECT("'"&amp;$C209&amp;"'!$H$23:$H$200")=$L$5)*(INDIRECT("'"&amp;$C209&amp;"'!$O$23:$O$200")&gt;=2.25)*((INDIRECT("'"&amp;$C209&amp;"'!$J$23:$J$200")-INDIRECT("'"&amp;$C209&amp;"'!$K$23:$K$200"))&gt;-2),1,0)))</f>
        <v>0</v>
      </c>
      <c r="M213" s="605" t="str">
        <f t="shared" ca="1" si="196"/>
        <v>-</v>
      </c>
      <c r="N213" s="658">
        <f t="array" aca="1" ref="N213" ca="1">IF($C213="N","",SUM(IF((INDIRECT("'"&amp;$C209&amp;"'!$I$23:$I$200")=$D$5)*(INDIRECT("'"&amp;$C209&amp;"'!$H$23:$H$200")=$L$5)*(INDIRECT("'"&amp;$C209&amp;"'!$O$23:$O$200")&gt;=2.25)*((INDIRECT("'"&amp;$C209&amp;"'!$J$23:$J$200")-INDIRECT("'"&amp;$C209&amp;"'!$K$23:$K$200"))=-2),1,0)))</f>
        <v>0</v>
      </c>
      <c r="O213" s="605" t="str">
        <f t="shared" ca="1" si="197"/>
        <v>-</v>
      </c>
      <c r="P213" s="658">
        <f t="array" aca="1" ref="P213" ca="1">IF($C213="N","",SUM(IF((INDIRECT("'"&amp;$C209&amp;"'!$I$23:$I$200")=$D$5)*(INDIRECT("'"&amp;$C209&amp;"'!$H$23:$H$200")=$L$5)*(INDIRECT("'"&amp;$C209&amp;"'!$O$23:$O$200")&gt;=2.25)*((INDIRECT("'"&amp;$C209&amp;"'!$J$23:$J$200")-INDIRECT("'"&amp;$C209&amp;"'!$K$23:$K$200"))&lt;-2),1,0)))</f>
        <v>0</v>
      </c>
      <c r="Q213" s="605" t="str">
        <f t="shared" ca="1" si="198"/>
        <v>-</v>
      </c>
      <c r="R213" s="659">
        <f ca="1">IF($C213="N","",L213+N213+P213)</f>
        <v>0</v>
      </c>
      <c r="S213" s="657">
        <f ca="1">IF($C213="N","",L213+E213)</f>
        <v>0</v>
      </c>
      <c r="T213" s="605" t="str">
        <f t="shared" ca="1" si="199"/>
        <v>-</v>
      </c>
      <c r="U213" s="658">
        <f ca="1">IF($C213="N","",N213+G213)</f>
        <v>0</v>
      </c>
      <c r="V213" s="605" t="str">
        <f t="shared" ca="1" si="200"/>
        <v>-</v>
      </c>
      <c r="W213" s="658">
        <f ca="1">IF($C213="N","",P213+I213)</f>
        <v>0</v>
      </c>
      <c r="X213" s="605" t="str">
        <f t="shared" ca="1" si="201"/>
        <v>-</v>
      </c>
      <c r="Y213" s="608">
        <f ca="1">IF($C213="N","",R213+K213)</f>
        <v>0</v>
      </c>
      <c r="Z213" s="355"/>
    </row>
    <row r="214" spans="2:26" ht="13.5" thickBot="1">
      <c r="B214" s="568" t="str">
        <f>D207</f>
        <v>Tokyo Verdy</v>
      </c>
      <c r="D214" s="661" t="s">
        <v>115</v>
      </c>
      <c r="E214" s="481">
        <f ca="1">SUM(E209:E213)</f>
        <v>11</v>
      </c>
      <c r="F214" s="435">
        <f t="shared" ca="1" si="193"/>
        <v>0.52380952380952384</v>
      </c>
      <c r="G214" s="438">
        <f ca="1">SUM(G209:G213)</f>
        <v>5</v>
      </c>
      <c r="H214" s="435">
        <f t="shared" ca="1" si="194"/>
        <v>0.23809523809523808</v>
      </c>
      <c r="I214" s="438">
        <f ca="1">SUM(I209:I213)</f>
        <v>5</v>
      </c>
      <c r="J214" s="435">
        <f t="shared" ca="1" si="195"/>
        <v>0.23809523809523808</v>
      </c>
      <c r="K214" s="479">
        <f ca="1">SUM(K209:K213)</f>
        <v>21</v>
      </c>
      <c r="L214" s="662">
        <f ca="1">SUM(L209:L213)</f>
        <v>6</v>
      </c>
      <c r="M214" s="435">
        <f t="shared" ca="1" si="196"/>
        <v>0.2857142857142857</v>
      </c>
      <c r="N214" s="438">
        <f ca="1">SUM(N209:N213)</f>
        <v>6</v>
      </c>
      <c r="O214" s="435">
        <f t="shared" ca="1" si="197"/>
        <v>0.2857142857142857</v>
      </c>
      <c r="P214" s="438">
        <f ca="1">SUM(P209:P213)</f>
        <v>9</v>
      </c>
      <c r="Q214" s="435">
        <f t="shared" ca="1" si="198"/>
        <v>0.42857142857142855</v>
      </c>
      <c r="R214" s="480">
        <f ca="1">SUM(R209:R213)</f>
        <v>21</v>
      </c>
      <c r="S214" s="481">
        <f ca="1">SUM(S209:S213)</f>
        <v>17</v>
      </c>
      <c r="T214" s="435">
        <f t="shared" ca="1" si="199"/>
        <v>0.40476190476190477</v>
      </c>
      <c r="U214" s="438">
        <f ca="1">SUM(U209:U213)</f>
        <v>11</v>
      </c>
      <c r="V214" s="435">
        <f t="shared" ca="1" si="200"/>
        <v>0.26190476190476192</v>
      </c>
      <c r="W214" s="438">
        <f ca="1">SUM(W209:W213)</f>
        <v>14</v>
      </c>
      <c r="X214" s="435">
        <f t="shared" ca="1" si="201"/>
        <v>0.33333333333333331</v>
      </c>
      <c r="Y214" s="479">
        <f ca="1">SUM(Y209:Y213)</f>
        <v>42</v>
      </c>
    </row>
    <row r="215" spans="2:26" ht="13.5" thickBot="1">
      <c r="B215" s="568"/>
    </row>
    <row r="216" spans="2:26">
      <c r="D216" s="562" t="str">
        <f>K2</f>
        <v>V-Varen Nagasaki</v>
      </c>
      <c r="E216" s="582" t="s">
        <v>162</v>
      </c>
      <c r="F216" s="583"/>
      <c r="G216" s="584"/>
      <c r="H216" s="583"/>
      <c r="I216" s="585"/>
      <c r="J216" s="584"/>
      <c r="K216" s="586"/>
      <c r="L216" s="641" t="s">
        <v>163</v>
      </c>
      <c r="M216" s="583"/>
      <c r="N216" s="584"/>
      <c r="O216" s="583"/>
      <c r="P216" s="585"/>
      <c r="Q216" s="583"/>
      <c r="R216" s="584"/>
      <c r="S216" s="582" t="s">
        <v>164</v>
      </c>
      <c r="T216" s="583"/>
      <c r="U216" s="584"/>
      <c r="V216" s="583"/>
      <c r="W216" s="587"/>
      <c r="X216" s="588"/>
      <c r="Y216" s="589"/>
    </row>
    <row r="217" spans="2:26" ht="13.5" thickBot="1">
      <c r="D217" s="644" t="s">
        <v>165</v>
      </c>
      <c r="E217" s="590" t="s">
        <v>63</v>
      </c>
      <c r="F217" s="591"/>
      <c r="G217" s="645" t="s">
        <v>64</v>
      </c>
      <c r="H217" s="591"/>
      <c r="I217" s="645" t="s">
        <v>65</v>
      </c>
      <c r="J217" s="645"/>
      <c r="K217" s="646" t="s">
        <v>171</v>
      </c>
      <c r="L217" s="647" t="s">
        <v>63</v>
      </c>
      <c r="M217" s="591"/>
      <c r="N217" s="645" t="s">
        <v>64</v>
      </c>
      <c r="O217" s="591"/>
      <c r="P217" s="645" t="s">
        <v>65</v>
      </c>
      <c r="Q217" s="591"/>
      <c r="R217" s="646" t="s">
        <v>172</v>
      </c>
      <c r="S217" s="590" t="s">
        <v>63</v>
      </c>
      <c r="T217" s="591"/>
      <c r="U217" s="645" t="s">
        <v>64</v>
      </c>
      <c r="V217" s="648"/>
      <c r="W217" s="645" t="s">
        <v>65</v>
      </c>
      <c r="X217" s="591"/>
      <c r="Y217" s="646" t="s">
        <v>168</v>
      </c>
      <c r="Z217" s="355"/>
    </row>
    <row r="218" spans="2:26">
      <c r="B218" s="568"/>
      <c r="C218" s="357" t="str">
        <f>IF(D216=0,"N",D216)</f>
        <v>V-Varen Nagasaki</v>
      </c>
      <c r="D218" s="651">
        <v>-2</v>
      </c>
      <c r="E218" s="599">
        <f t="array" aca="1" ref="E218" ca="1">IF($C218="N","",SUM(IF((INDIRECT("'"&amp;$C218&amp;"'!$I$23:$I$200")=$D$5)*(INDIRECT("'"&amp;$C218&amp;"'!$H$23:$H$200")=$E$5)*(INDIRECT("'"&amp;$C218&amp;"'!$O$23:$O$200")&lt;=-2.25)*((INDIRECT("'"&amp;$C218&amp;"'!$J$23:$J$200")-INDIRECT("'"&amp;$C218&amp;"'!$K$23:$K$200"))&gt;2),1,0)))</f>
        <v>0</v>
      </c>
      <c r="F218" s="406" t="str">
        <f t="shared" ref="F218:F223" ca="1" si="202">IF(E218="","",IF(E218=0,"-",E218/$K218))</f>
        <v>-</v>
      </c>
      <c r="G218" s="408">
        <f t="array" aca="1" ref="G218" ca="1">IF($C218="N","",SUM(IF((INDIRECT("'"&amp;$C218&amp;"'!$I$23:$I$200")=$D$5)*(INDIRECT("'"&amp;$C218&amp;"'!$H$23:$H$200")=$E$5)*(INDIRECT("'"&amp;$C218&amp;"'!$O$23:$O$200")&lt;=-2.25)*((INDIRECT("'"&amp;$C218&amp;"'!$J$23:$J$200")-INDIRECT("'"&amp;$C218&amp;"'!$K$23:$K$200"))=2),1,0)))</f>
        <v>0</v>
      </c>
      <c r="H218" s="406" t="str">
        <f t="shared" ref="H218:H223" ca="1" si="203">IF(G218="","",IF(G218=0,"-",G218/$K218))</f>
        <v>-</v>
      </c>
      <c r="I218" s="408">
        <f t="array" aca="1" ref="I218" ca="1">IF($C218="N","",SUM(IF((INDIRECT("'"&amp;$C218&amp;"'!$I$23:$I$200")=$D$5)*(INDIRECT("'"&amp;$C218&amp;"'!$H$23:$H$200")=$E$5)*(INDIRECT("'"&amp;$C218&amp;"'!$O$23:$O$200")&lt;=-2.25)*((INDIRECT("'"&amp;$C218&amp;"'!$K$23:$K$200")-INDIRECT("'"&amp;$C218&amp;"'!$J$23:$J$200"))&gt;-2),1,0)))</f>
        <v>0</v>
      </c>
      <c r="J218" s="406" t="str">
        <f t="shared" ref="J218:J223" ca="1" si="204">IF(I218="","",IF(I218=0,"-",I218/$K218))</f>
        <v>-</v>
      </c>
      <c r="K218" s="602">
        <f ca="1">IF($C218="N","",E218+G218+I218)</f>
        <v>0</v>
      </c>
      <c r="L218" s="599">
        <f t="array" aca="1" ref="L218" ca="1">IF($C218="N","",SUM(IF((INDIRECT("'"&amp;$C218&amp;"'!$I$23:$I$200")=$D$5)*(INDIRECT("'"&amp;$C218&amp;"'!$H$23:$H$200")=$L$5)*(INDIRECT("'"&amp;$C218&amp;"'!$O$23:$O$200")&lt;=-2.25)*((INDIRECT("'"&amp;$C218&amp;"'!$J$23:$J$200")-INDIRECT("'"&amp;$C218&amp;"'!$K$23:$K$200"))&gt;2),1,0)))</f>
        <v>0</v>
      </c>
      <c r="M218" s="406" t="str">
        <f t="shared" ref="M218:M223" ca="1" si="205">IF(L218="","",IF(L218=0,"-",L218/$R218))</f>
        <v>-</v>
      </c>
      <c r="N218" s="408">
        <f t="array" aca="1" ref="N218" ca="1">IF($C218="N","",SUM(IF((INDIRECT("'"&amp;$C218&amp;"'!$I$23:$I$200")=$D$5)*(INDIRECT("'"&amp;$C218&amp;"'!$H$23:$H$200")=$L$5)*(INDIRECT("'"&amp;$C218&amp;"'!$O$23:$O$200")&lt;=-2.25)*((INDIRECT("'"&amp;$C218&amp;"'!$J$23:$J$200")-INDIRECT("'"&amp;$C218&amp;"'!$K$23:$K$200"))=2),1,0)))</f>
        <v>0</v>
      </c>
      <c r="O218" s="406" t="str">
        <f t="shared" ref="O218:O223" ca="1" si="206">IF(N218="","",IF(N218=0,"-",N218/$R218))</f>
        <v>-</v>
      </c>
      <c r="P218" s="408">
        <f t="array" aca="1" ref="P218" ca="1">IF($C218="N","",SUM(IF((INDIRECT("'"&amp;$C218&amp;"'!$I$23:$I$200")=$D$5)*(INDIRECT("'"&amp;$C218&amp;"'!$H$23:$H$200")=$L$5)*(INDIRECT("'"&amp;$C218&amp;"'!$O$23:$O$200")&lt;=-2.25)*((INDIRECT("'"&amp;$C218&amp;"'!$K$23:$K$200")-INDIRECT("'"&amp;$C218&amp;"'!$J$23:$J$200"))&gt;-2),1,0)))</f>
        <v>0</v>
      </c>
      <c r="Q218" s="406" t="str">
        <f t="shared" ref="Q218:Q223" ca="1" si="207">IF(P218="","",IF(P218=0,"-",P218/$R218))</f>
        <v>-</v>
      </c>
      <c r="R218" s="602">
        <f ca="1">IF($C218="N","",L218+N218+P218)</f>
        <v>0</v>
      </c>
      <c r="S218" s="599">
        <f ca="1">IF($C218="N","",L218+E218)</f>
        <v>0</v>
      </c>
      <c r="T218" s="406" t="str">
        <f t="shared" ref="T218:T223" ca="1" si="208">IF(S218="","",IF(S218=0,"-",S218/$Y218))</f>
        <v>-</v>
      </c>
      <c r="U218" s="408">
        <f ca="1">IF($C218="N","",N218+G218)</f>
        <v>0</v>
      </c>
      <c r="V218" s="406" t="str">
        <f t="shared" ref="V218:V223" ca="1" si="209">IF(U218="","",IF(U218=0,"-",U218/$Y218))</f>
        <v>-</v>
      </c>
      <c r="W218" s="408">
        <f ca="1">IF($C218="N","",P218+I218)</f>
        <v>0</v>
      </c>
      <c r="X218" s="406" t="str">
        <f t="shared" ref="X218:X223" ca="1" si="210">IF(W218="","",IF(W218=0,"-",W218/$Y218))</f>
        <v>-</v>
      </c>
      <c r="Y218" s="602">
        <f ca="1">IF($C218="N","",R218+K218)</f>
        <v>0</v>
      </c>
      <c r="Z218" s="355"/>
    </row>
    <row r="219" spans="2:26">
      <c r="B219" s="568"/>
      <c r="C219" s="357" t="str">
        <f>C218</f>
        <v>V-Varen Nagasaki</v>
      </c>
      <c r="D219" s="654">
        <v>-1</v>
      </c>
      <c r="E219" s="655">
        <f t="array" aca="1" ref="E219" ca="1">IF($C219="N","",SUM(IF((INDIRECT("'"&amp;$C218&amp;"'!$I$23:$I$200")=$D$5)*(INDIRECT("'"&amp;$C218&amp;"'!$H$23:$H$200")=$E$5)*(INDIRECT("'"&amp;$C218&amp;"'!$O$23:$O$200")&lt;=-0.5)*(INDIRECT("'"&amp;$C218&amp;"'!$O$23:$O$200")&gt;=-2)*((INDIRECT("'"&amp;$C218&amp;"'!$J$23:$J$200")-INDIRECT("'"&amp;$C218&amp;"'!$K$23:$K$200"))&gt;1),1,0)))</f>
        <v>2</v>
      </c>
      <c r="F219" s="601">
        <f t="shared" ca="1" si="202"/>
        <v>0.66666666666666663</v>
      </c>
      <c r="G219" s="418">
        <f t="array" aca="1" ref="G219" ca="1">IF($C219="N","",SUM(IF((INDIRECT("'"&amp;$C218&amp;"'!$I$23:$I$200")=$D$5)*(INDIRECT("'"&amp;$C218&amp;"'!$H$23:$H$200")=$E$5)*(INDIRECT("'"&amp;$C218&amp;"'!$O$23:$O$200")&lt;=-0.5)*(INDIRECT("'"&amp;$C218&amp;"'!$O$23:$O$200")&gt;=-2)*((INDIRECT("'"&amp;$C218&amp;"'!$J$23:$J$200")-INDIRECT("'"&amp;$C218&amp;"'!$K$23:$K$200"))=1),1,0)))</f>
        <v>1</v>
      </c>
      <c r="H219" s="601">
        <f t="shared" ca="1" si="203"/>
        <v>0.33333333333333331</v>
      </c>
      <c r="I219" s="418">
        <f t="array" aca="1" ref="I219" ca="1">IF($C219="N","",SUM(IF((INDIRECT("'"&amp;$C218&amp;"'!$I$23:$I$200")=$D$5)*(INDIRECT("'"&amp;$C218&amp;"'!$H$23:$H$200")=$E$5)*(INDIRECT("'"&amp;$C218&amp;"'!$O$23:$O$200")&lt;=-0.5)*(INDIRECT("'"&amp;$C218&amp;"'!$O$23:$O$200")&gt;=-2)*((INDIRECT("'"&amp;$C218&amp;"'!$K$23:$K$200")-INDIRECT("'"&amp;$C218&amp;"'!$J$23:$J$200"))&gt;-1),1,0)))</f>
        <v>0</v>
      </c>
      <c r="J219" s="601" t="str">
        <f t="shared" ca="1" si="204"/>
        <v>-</v>
      </c>
      <c r="K219" s="522">
        <f ca="1">IF($C219="N","",E219+G219+I219)</f>
        <v>3</v>
      </c>
      <c r="L219" s="655">
        <f t="array" aca="1" ref="L219" ca="1">IF($C219="N","",SUM(IF((INDIRECT("'"&amp;$C218&amp;"'!$I$23:$I$200")=$D$5)*(INDIRECT("'"&amp;$C218&amp;"'!$H$23:$H$200")=$L$5)*(INDIRECT("'"&amp;$C218&amp;"'!$O$23:$O$200")&lt;=-0.5)*(INDIRECT("'"&amp;$C218&amp;"'!$O$23:$O$200")&gt;=-2)*((INDIRECT("'"&amp;$C218&amp;"'!$J$23:$J$200")-INDIRECT("'"&amp;$C218&amp;"'!$K$23:$K$200"))&gt;1),1,0)))</f>
        <v>2</v>
      </c>
      <c r="M219" s="601">
        <f t="shared" ca="1" si="205"/>
        <v>1</v>
      </c>
      <c r="N219" s="418">
        <f t="array" aca="1" ref="N219" ca="1">IF($C219="N","",SUM(IF((INDIRECT("'"&amp;$C218&amp;"'!$I$23:$I$200")=$D$5)*(INDIRECT("'"&amp;$C218&amp;"'!$H$23:$H$200")=$L$5)*(INDIRECT("'"&amp;$C218&amp;"'!$O$23:$O$200")&lt;=-0.5)*(INDIRECT("'"&amp;$C218&amp;"'!$O$23:$O$200")&gt;=-2)*((INDIRECT("'"&amp;$C218&amp;"'!$J$23:$J$200")-INDIRECT("'"&amp;$C218&amp;"'!$K$23:$K$200"))=1),1,0)))</f>
        <v>0</v>
      </c>
      <c r="O219" s="601" t="str">
        <f t="shared" ca="1" si="206"/>
        <v>-</v>
      </c>
      <c r="P219" s="418">
        <f t="array" aca="1" ref="P219" ca="1">IF($C219="N","",SUM(IF((INDIRECT("'"&amp;$C218&amp;"'!$I$23:$I$200")=$D$5)*(INDIRECT("'"&amp;$C218&amp;"'!$H$23:$H$200")=$L$5)*(INDIRECT("'"&amp;$C218&amp;"'!$O$23:$O$200")&lt;=-0.5)*(INDIRECT("'"&amp;$C218&amp;"'!$O$23:$O$200")&gt;=-2)*((INDIRECT("'"&amp;$C218&amp;"'!$K$23:$K$200")-INDIRECT("'"&amp;$C218&amp;"'!$J$23:$J$200"))&gt;-1),1,0)))</f>
        <v>0</v>
      </c>
      <c r="Q219" s="601" t="str">
        <f t="shared" ca="1" si="207"/>
        <v>-</v>
      </c>
      <c r="R219" s="522">
        <f ca="1">IF($C219="N","",L219+N219+P219)</f>
        <v>2</v>
      </c>
      <c r="S219" s="655">
        <f ca="1">IF($C219="N","",L219+E219)</f>
        <v>4</v>
      </c>
      <c r="T219" s="601">
        <f t="shared" ca="1" si="208"/>
        <v>0.8</v>
      </c>
      <c r="U219" s="418">
        <f ca="1">IF($C219="N","",N219+G219)</f>
        <v>1</v>
      </c>
      <c r="V219" s="601">
        <f t="shared" ca="1" si="209"/>
        <v>0.2</v>
      </c>
      <c r="W219" s="418">
        <f ca="1">IF($C219="N","",P219+I219)</f>
        <v>0</v>
      </c>
      <c r="X219" s="601" t="str">
        <f t="shared" ca="1" si="210"/>
        <v>-</v>
      </c>
      <c r="Y219" s="602">
        <f ca="1">IF($C219="N","",R219+K219)</f>
        <v>5</v>
      </c>
      <c r="Z219" s="355"/>
    </row>
    <row r="220" spans="2:26">
      <c r="B220" s="568"/>
      <c r="C220" s="357" t="str">
        <f>C219</f>
        <v>V-Varen Nagasaki</v>
      </c>
      <c r="D220" s="654">
        <v>0</v>
      </c>
      <c r="E220" s="655">
        <f t="array" aca="1" ref="E220" ca="1">IF($C220="N","",SUM(IF((INDIRECT("'"&amp;$C218&amp;"'!$I$23:$I$200")=$D$5)*(INDIRECT("'"&amp;$C218&amp;"'!$H$23:$H$200")=$E$5)*(INDIRECT("'"&amp;$C218&amp;"'!$O$23:$O$200")&gt;=-0.25)*(INDIRECT("'"&amp;$C218&amp;"'!$O$23:$O$200")&lt;=0.25)*(INDIRECT("'"&amp;$C218&amp;"'!$O$23:$O$200")&lt;&gt;"")*((INDIRECT("'"&amp;$C218&amp;"'!$J$23:$J$200")-INDIRECT("'"&amp;$C218&amp;"'!$K$23:$K$200"))&gt;0),1,0)))</f>
        <v>12</v>
      </c>
      <c r="F220" s="601">
        <f t="shared" ca="1" si="202"/>
        <v>0.66666666666666663</v>
      </c>
      <c r="G220" s="418">
        <f t="array" aca="1" ref="G220" ca="1">IF($C220="N","",SUM(IF((INDIRECT("'"&amp;$C218&amp;"'!$I$23:$I$200")=$D$5)*(INDIRECT("'"&amp;$C218&amp;"'!$H$23:$H$200")=$E$5)*(INDIRECT("'"&amp;$C218&amp;"'!$O$23:$O$200")&gt;=-0.25)*(INDIRECT("'"&amp;$C218&amp;"'!$O$23:$O$200")&lt;=0.25)*(INDIRECT("'"&amp;$C218&amp;"'!$O$23:$O$200")&lt;&gt;"")*((INDIRECT("'"&amp;$C218&amp;"'!$J$23:$J$200")-INDIRECT("'"&amp;$C218&amp;"'!$K$23:$K$200"))=0),1,0)))</f>
        <v>4</v>
      </c>
      <c r="H220" s="601">
        <f t="shared" ca="1" si="203"/>
        <v>0.22222222222222221</v>
      </c>
      <c r="I220" s="418">
        <f t="array" aca="1" ref="I220" ca="1">IF($C220="N","",SUM(IF((INDIRECT("'"&amp;$C218&amp;"'!$I$23:$I$200")=$D$5)*(INDIRECT("'"&amp;$C218&amp;"'!$H$23:$H$200")=$E$5)*(INDIRECT("'"&amp;$C218&amp;"'!$O$23:$O$200")&gt;=-0.25)*(INDIRECT("'"&amp;$C218&amp;"'!$O$23:$O$200")&lt;=0.25)*(INDIRECT("'"&amp;$C218&amp;"'!$O$23:$O$200")&lt;&gt;"")*((INDIRECT("'"&amp;$C218&amp;"'!$J$23:$J$200")-INDIRECT("'"&amp;$C218&amp;"'!$K$23:$K$200"))&lt;0),1,0)))</f>
        <v>2</v>
      </c>
      <c r="J220" s="601">
        <f t="shared" ca="1" si="204"/>
        <v>0.1111111111111111</v>
      </c>
      <c r="K220" s="522">
        <f ca="1">IF($C220="N","",E220+G220+I220)</f>
        <v>18</v>
      </c>
      <c r="L220" s="655">
        <f t="array" aca="1" ref="L220" ca="1">IF($C220="N","",SUM(IF((INDIRECT("'"&amp;$C218&amp;"'!$I$23:$I$200")=$D$5)*(INDIRECT("'"&amp;$C218&amp;"'!$H$23:$H$200")=$L$5)*(INDIRECT("'"&amp;$C218&amp;"'!$O$23:$O$200")&gt;=-0.25)*(INDIRECT("'"&amp;$C218&amp;"'!$O$23:$O$200")&lt;=0.25)*(INDIRECT("'"&amp;$C218&amp;"'!$O$23:$O$200")&lt;&gt;"")*((INDIRECT("'"&amp;$C218&amp;"'!$J$23:$J$200")-INDIRECT("'"&amp;$C218&amp;"'!$K$23:$K$200"))&gt;0),1,0)))</f>
        <v>6</v>
      </c>
      <c r="M220" s="601">
        <f t="shared" ca="1" si="205"/>
        <v>0.375</v>
      </c>
      <c r="N220" s="418">
        <f t="array" aca="1" ref="N220" ca="1">IF($C220="N","",SUM(IF((INDIRECT("'"&amp;$C218&amp;"'!$I$23:$I$200")=$D$5)*(INDIRECT("'"&amp;$C218&amp;"'!$H$23:$H$200")=$L$5)*(INDIRECT("'"&amp;$C218&amp;"'!$O$23:$O$200")&gt;=-0.25)*(INDIRECT("'"&amp;$C218&amp;"'!$O$23:$O$200")&lt;=0.25)*(INDIRECT("'"&amp;$C218&amp;"'!$O$23:$O$200")&lt;&gt;"")*((INDIRECT("'"&amp;$C218&amp;"'!$J$23:$J$200")-INDIRECT("'"&amp;$C218&amp;"'!$K$23:$K$200"))=0),1,0)))</f>
        <v>3</v>
      </c>
      <c r="O220" s="601">
        <f t="shared" ca="1" si="206"/>
        <v>0.1875</v>
      </c>
      <c r="P220" s="418">
        <f t="array" aca="1" ref="P220" ca="1">IF($C220="N","",SUM(IF((INDIRECT("'"&amp;$C218&amp;"'!$I$23:$I$200")=$D$5)*(INDIRECT("'"&amp;$C218&amp;"'!$H$23:$H$200")=$L$5)*(INDIRECT("'"&amp;$C218&amp;"'!$O$23:$O$200")&gt;=-0.25)*(INDIRECT("'"&amp;$C218&amp;"'!$O$23:$O$200")&lt;=0.25)*(INDIRECT("'"&amp;$C218&amp;"'!$O$23:$O$200")&lt;&gt;"")*((INDIRECT("'"&amp;$C218&amp;"'!$J$23:$J$200")-INDIRECT("'"&amp;$C218&amp;"'!$K$23:$K$200"))&lt;0),1,0)))</f>
        <v>7</v>
      </c>
      <c r="Q220" s="601">
        <f t="shared" ca="1" si="207"/>
        <v>0.4375</v>
      </c>
      <c r="R220" s="522">
        <f ca="1">IF($C220="N","",L220+N220+P220)</f>
        <v>16</v>
      </c>
      <c r="S220" s="655">
        <f ca="1">IF($C220="N","",L220+E220)</f>
        <v>18</v>
      </c>
      <c r="T220" s="601">
        <f t="shared" ca="1" si="208"/>
        <v>0.52941176470588236</v>
      </c>
      <c r="U220" s="418">
        <f ca="1">IF($C220="N","",N220+G220)</f>
        <v>7</v>
      </c>
      <c r="V220" s="601">
        <f t="shared" ca="1" si="209"/>
        <v>0.20588235294117646</v>
      </c>
      <c r="W220" s="418">
        <f ca="1">IF($C220="N","",P220+I220)</f>
        <v>9</v>
      </c>
      <c r="X220" s="601">
        <f t="shared" ca="1" si="210"/>
        <v>0.26470588235294118</v>
      </c>
      <c r="Y220" s="602">
        <f ca="1">IF($C220="N","",R220+K220)</f>
        <v>34</v>
      </c>
      <c r="Z220" s="355"/>
    </row>
    <row r="221" spans="2:26">
      <c r="B221" s="568"/>
      <c r="C221" s="357" t="str">
        <f>C220</f>
        <v>V-Varen Nagasaki</v>
      </c>
      <c r="D221" s="654">
        <v>1</v>
      </c>
      <c r="E221" s="655">
        <f t="array" aca="1" ref="E221" ca="1">IF($C221="N","",SUM(IF((INDIRECT("'"&amp;$C218&amp;"'!$I$23:$I$200")=$D$5)*(INDIRECT("'"&amp;$C218&amp;"'!$H$23:$H$200")=$E$5)*(INDIRECT("'"&amp;$C218&amp;"'!$O$23:$O$200")&gt;=0.5)*(INDIRECT("'"&amp;$C218&amp;"'!$O$23:$O$200")&lt;=2)*((INDIRECT("'"&amp;$C218&amp;"'!$J$23:$J$200")-INDIRECT("'"&amp;$C218&amp;"'!$K$23:$K$200"))&gt;-1),1,0)))</f>
        <v>0</v>
      </c>
      <c r="F221" s="601" t="str">
        <f t="shared" ca="1" si="202"/>
        <v>-</v>
      </c>
      <c r="G221" s="418">
        <f t="array" aca="1" ref="G221" ca="1">IF($C221="N","",SUM(IF((INDIRECT("'"&amp;$C218&amp;"'!$I$23:$I$200")=$D$5)*(INDIRECT("'"&amp;$C218&amp;"'!$H$23:$H$200")=$E$5)*(INDIRECT("'"&amp;$C218&amp;"'!$O$23:$O$200")&gt;=0.5)*(INDIRECT("'"&amp;$C218&amp;"'!$O$23:$O$200")&lt;=2)*((INDIRECT("'"&amp;$C218&amp;"'!$J$23:$J$200")-INDIRECT("'"&amp;$C218&amp;"'!$K$23:$K$200"))=-1),1,0)))</f>
        <v>0</v>
      </c>
      <c r="H221" s="601" t="str">
        <f t="shared" ca="1" si="203"/>
        <v>-</v>
      </c>
      <c r="I221" s="418">
        <f t="array" aca="1" ref="I221" ca="1">IF($C221="N","",SUM(IF((INDIRECT("'"&amp;$C218&amp;"'!$I$23:$I$200")=$D$5)*(INDIRECT("'"&amp;$C218&amp;"'!$H$23:$H$200")=$E$5)*(INDIRECT("'"&amp;$C218&amp;"'!$O$23:$O$200")&gt;=0.5)*(INDIRECT("'"&amp;$C218&amp;"'!$O$23:$O$200")&lt;=2)*((INDIRECT("'"&amp;$C218&amp;"'!$J$23:$J$200")-INDIRECT("'"&amp;$C218&amp;"'!$K$23:$K$200"))&lt;-1),1,0)))</f>
        <v>0</v>
      </c>
      <c r="J221" s="601" t="str">
        <f t="shared" ca="1" si="204"/>
        <v>-</v>
      </c>
      <c r="K221" s="522">
        <f ca="1">IF($C221="N","",E221+G221+I221)</f>
        <v>0</v>
      </c>
      <c r="L221" s="655">
        <f t="array" aca="1" ref="L221" ca="1">IF($C221="N","",SUM(IF((INDIRECT("'"&amp;$C218&amp;"'!$I$23:$I$200")=$D$5)*(INDIRECT("'"&amp;$C218&amp;"'!$H$23:$H$200")=$L$5)*(INDIRECT("'"&amp;$C218&amp;"'!$O$23:$O$200")&gt;=0.5)*(INDIRECT("'"&amp;$C218&amp;"'!$O$23:$O$200")&lt;=2)*((INDIRECT("'"&amp;$C218&amp;"'!$J$23:$J$200")-INDIRECT("'"&amp;$C218&amp;"'!$K$23:$K$200"))&gt;-1),1,0)))</f>
        <v>2</v>
      </c>
      <c r="M221" s="601">
        <f t="shared" ca="1" si="205"/>
        <v>0.66666666666666663</v>
      </c>
      <c r="N221" s="418">
        <f t="array" aca="1" ref="N221" ca="1">IF($C221="N","",SUM(IF((INDIRECT("'"&amp;$C218&amp;"'!$I$23:$I$200")=$D$5)*(INDIRECT("'"&amp;$C218&amp;"'!$H$23:$H$200")=$L$5)*(INDIRECT("'"&amp;$C218&amp;"'!$O$23:$O$200")&gt;=0.5)*(INDIRECT("'"&amp;$C218&amp;"'!$O$23:$O$200")&lt;=2)*((INDIRECT("'"&amp;$C218&amp;"'!$J$23:$J$200")-INDIRECT("'"&amp;$C218&amp;"'!$K$23:$K$200"))=-1),1,0)))</f>
        <v>0</v>
      </c>
      <c r="O221" s="601" t="str">
        <f t="shared" ca="1" si="206"/>
        <v>-</v>
      </c>
      <c r="P221" s="418">
        <f t="array" aca="1" ref="P221" ca="1">IF($C221="N","",SUM(IF((INDIRECT("'"&amp;$C218&amp;"'!$I$23:$I$200")=$D$5)*(INDIRECT("'"&amp;$C218&amp;"'!$H$23:$H$200")=$L$5)*(INDIRECT("'"&amp;$C218&amp;"'!$O$23:$O$200")&gt;=0.5)*(INDIRECT("'"&amp;$C218&amp;"'!$O$23:$O$200")&lt;=2)*((INDIRECT("'"&amp;$C218&amp;"'!$J$23:$J$200")-INDIRECT("'"&amp;$C218&amp;"'!$K$23:$K$200"))&lt;-1),1,0)))</f>
        <v>1</v>
      </c>
      <c r="Q221" s="601">
        <f t="shared" ca="1" si="207"/>
        <v>0.33333333333333331</v>
      </c>
      <c r="R221" s="522">
        <f ca="1">IF($C221="N","",L221+N221+P221)</f>
        <v>3</v>
      </c>
      <c r="S221" s="655">
        <f ca="1">IF($C221="N","",L221+E221)</f>
        <v>2</v>
      </c>
      <c r="T221" s="601">
        <f t="shared" ca="1" si="208"/>
        <v>0.66666666666666663</v>
      </c>
      <c r="U221" s="418">
        <f ca="1">IF($C221="N","",N221+G221)</f>
        <v>0</v>
      </c>
      <c r="V221" s="601" t="str">
        <f t="shared" ca="1" si="209"/>
        <v>-</v>
      </c>
      <c r="W221" s="418">
        <f ca="1">IF($C221="N","",P221+I221)</f>
        <v>1</v>
      </c>
      <c r="X221" s="601">
        <f t="shared" ca="1" si="210"/>
        <v>0.33333333333333331</v>
      </c>
      <c r="Y221" s="602">
        <f ca="1">IF($C221="N","",R221+K221)</f>
        <v>3</v>
      </c>
      <c r="Z221" s="355"/>
    </row>
    <row r="222" spans="2:26" ht="13.5" thickBot="1">
      <c r="B222" s="568"/>
      <c r="C222" s="357" t="str">
        <f>C221</f>
        <v>V-Varen Nagasaki</v>
      </c>
      <c r="D222" s="654">
        <v>2</v>
      </c>
      <c r="E222" s="657">
        <f t="array" aca="1" ref="E222" ca="1">IF($C222="N","",SUM(IF((INDIRECT("'"&amp;$C218&amp;"'!$I$23:$I$200")=$D$5)*(INDIRECT("'"&amp;$C218&amp;"'!$H$23:$H$200")=$E$5)*(INDIRECT("'"&amp;$C218&amp;"'!$O$23:$O$200")&gt;=2.25)*((INDIRECT("'"&amp;$C218&amp;"'!$J$23:$J$200")-INDIRECT("'"&amp;$C218&amp;"'!$K$23:$K$200"))&gt;-2),1,0)))</f>
        <v>0</v>
      </c>
      <c r="F222" s="605" t="str">
        <f t="shared" ca="1" si="202"/>
        <v>-</v>
      </c>
      <c r="G222" s="658">
        <f t="array" aca="1" ref="G222" ca="1">IF($C222="N","",SUM(IF((INDIRECT("'"&amp;$C218&amp;"'!$I$23:$I$200")=$D$5)*(INDIRECT("'"&amp;$C218&amp;"'!$H$23:$H$200")=$E$5)*(INDIRECT("'"&amp;$C218&amp;"'!$O$23:$O$200")&gt;=2.25)*((INDIRECT("'"&amp;$C218&amp;"'!$J$23:$J$200")-INDIRECT("'"&amp;$C218&amp;"'!$K$23:$K$200"))=-2),1,0)))</f>
        <v>0</v>
      </c>
      <c r="H222" s="605" t="str">
        <f t="shared" ca="1" si="203"/>
        <v>-</v>
      </c>
      <c r="I222" s="658">
        <f t="array" aca="1" ref="I222" ca="1">IF($C222="N","",SUM(IF((INDIRECT("'"&amp;$C218&amp;"'!$I$23:$I$200")=$D$5)*(INDIRECT("'"&amp;$C218&amp;"'!$H$23:$H$200")=$E$5)*(INDIRECT("'"&amp;$C218&amp;"'!$O$23:$O$200")&gt;=2.25)*((INDIRECT("'"&amp;$C218&amp;"'!$J$23:$J$200")-INDIRECT("'"&amp;$C218&amp;"'!$K$23:$K$200"))&lt;-2),1,0)))</f>
        <v>0</v>
      </c>
      <c r="J222" s="605" t="str">
        <f t="shared" ca="1" si="204"/>
        <v>-</v>
      </c>
      <c r="K222" s="659">
        <f ca="1">IF($C222="N","",E222+G222+I222)</f>
        <v>0</v>
      </c>
      <c r="L222" s="657">
        <f t="array" aca="1" ref="L222" ca="1">IF($C222="N","",SUM(IF((INDIRECT("'"&amp;$C218&amp;"'!$I$23:$I$200")=$D$5)*(INDIRECT("'"&amp;$C218&amp;"'!$H$23:$H$200")=$L$5)*(INDIRECT("'"&amp;$C218&amp;"'!$O$23:$O$200")&gt;=2.25)*((INDIRECT("'"&amp;$C218&amp;"'!$J$23:$J$200")-INDIRECT("'"&amp;$C218&amp;"'!$K$23:$K$200"))&gt;-2),1,0)))</f>
        <v>0</v>
      </c>
      <c r="M222" s="605" t="str">
        <f t="shared" ca="1" si="205"/>
        <v>-</v>
      </c>
      <c r="N222" s="658">
        <f t="array" aca="1" ref="N222" ca="1">IF($C222="N","",SUM(IF((INDIRECT("'"&amp;$C218&amp;"'!$I$23:$I$200")=$D$5)*(INDIRECT("'"&amp;$C218&amp;"'!$H$23:$H$200")=$L$5)*(INDIRECT("'"&amp;$C218&amp;"'!$O$23:$O$200")&gt;=2.25)*((INDIRECT("'"&amp;$C218&amp;"'!$J$23:$J$200")-INDIRECT("'"&amp;$C218&amp;"'!$K$23:$K$200"))=-2),1,0)))</f>
        <v>0</v>
      </c>
      <c r="O222" s="605" t="str">
        <f t="shared" ca="1" si="206"/>
        <v>-</v>
      </c>
      <c r="P222" s="658">
        <f t="array" aca="1" ref="P222" ca="1">IF($C222="N","",SUM(IF((INDIRECT("'"&amp;$C218&amp;"'!$I$23:$I$200")=$D$5)*(INDIRECT("'"&amp;$C218&amp;"'!$H$23:$H$200")=$L$5)*(INDIRECT("'"&amp;$C218&amp;"'!$O$23:$O$200")&gt;=2.25)*((INDIRECT("'"&amp;$C218&amp;"'!$J$23:$J$200")-INDIRECT("'"&amp;$C218&amp;"'!$K$23:$K$200"))&lt;-2),1,0)))</f>
        <v>0</v>
      </c>
      <c r="Q222" s="605" t="str">
        <f t="shared" ca="1" si="207"/>
        <v>-</v>
      </c>
      <c r="R222" s="659">
        <f ca="1">IF($C222="N","",L222+N222+P222)</f>
        <v>0</v>
      </c>
      <c r="S222" s="657">
        <f ca="1">IF($C222="N","",L222+E222)</f>
        <v>0</v>
      </c>
      <c r="T222" s="605" t="str">
        <f t="shared" ca="1" si="208"/>
        <v>-</v>
      </c>
      <c r="U222" s="658">
        <f ca="1">IF($C222="N","",N222+G222)</f>
        <v>0</v>
      </c>
      <c r="V222" s="605" t="str">
        <f t="shared" ca="1" si="209"/>
        <v>-</v>
      </c>
      <c r="W222" s="658">
        <f ca="1">IF($C222="N","",P222+I222)</f>
        <v>0</v>
      </c>
      <c r="X222" s="605" t="str">
        <f t="shared" ca="1" si="210"/>
        <v>-</v>
      </c>
      <c r="Y222" s="608">
        <f ca="1">IF($C222="N","",R222+K222)</f>
        <v>0</v>
      </c>
      <c r="Z222" s="355"/>
    </row>
    <row r="223" spans="2:26" ht="13.5" thickBot="1">
      <c r="B223" s="568" t="str">
        <f>D216</f>
        <v>V-Varen Nagasaki</v>
      </c>
      <c r="D223" s="661" t="s">
        <v>115</v>
      </c>
      <c r="E223" s="481">
        <f ca="1">SUM(E218:E222)</f>
        <v>14</v>
      </c>
      <c r="F223" s="435">
        <f t="shared" ca="1" si="202"/>
        <v>0.66666666666666663</v>
      </c>
      <c r="G223" s="438">
        <f ca="1">SUM(G218:G222)</f>
        <v>5</v>
      </c>
      <c r="H223" s="435">
        <f t="shared" ca="1" si="203"/>
        <v>0.23809523809523808</v>
      </c>
      <c r="I223" s="438">
        <f ca="1">SUM(I218:I222)</f>
        <v>2</v>
      </c>
      <c r="J223" s="435">
        <f t="shared" ca="1" si="204"/>
        <v>9.5238095238095233E-2</v>
      </c>
      <c r="K223" s="479">
        <f ca="1">SUM(K218:K222)</f>
        <v>21</v>
      </c>
      <c r="L223" s="662">
        <f ca="1">SUM(L218:L222)</f>
        <v>10</v>
      </c>
      <c r="M223" s="435">
        <f t="shared" ca="1" si="205"/>
        <v>0.47619047619047616</v>
      </c>
      <c r="N223" s="438">
        <f ca="1">SUM(N218:N222)</f>
        <v>3</v>
      </c>
      <c r="O223" s="435">
        <f t="shared" ca="1" si="206"/>
        <v>0.14285714285714285</v>
      </c>
      <c r="P223" s="438">
        <f ca="1">SUM(P218:P222)</f>
        <v>8</v>
      </c>
      <c r="Q223" s="435">
        <f t="shared" ca="1" si="207"/>
        <v>0.38095238095238093</v>
      </c>
      <c r="R223" s="480">
        <f ca="1">SUM(R218:R222)</f>
        <v>21</v>
      </c>
      <c r="S223" s="481">
        <f ca="1">SUM(S218:S222)</f>
        <v>24</v>
      </c>
      <c r="T223" s="435">
        <f t="shared" ca="1" si="208"/>
        <v>0.5714285714285714</v>
      </c>
      <c r="U223" s="438">
        <f ca="1">SUM(U218:U222)</f>
        <v>8</v>
      </c>
      <c r="V223" s="435">
        <f t="shared" ca="1" si="209"/>
        <v>0.19047619047619047</v>
      </c>
      <c r="W223" s="438">
        <f ca="1">SUM(W218:W222)</f>
        <v>10</v>
      </c>
      <c r="X223" s="435">
        <f t="shared" ca="1" si="210"/>
        <v>0.23809523809523808</v>
      </c>
      <c r="Y223" s="479">
        <f ca="1">SUM(Y218:Y222)</f>
        <v>42</v>
      </c>
    </row>
    <row r="224" spans="2:26" ht="13.5" thickBot="1">
      <c r="B224" s="568"/>
    </row>
    <row r="225" spans="2:26">
      <c r="D225" s="562">
        <f>L2</f>
        <v>0</v>
      </c>
      <c r="E225" s="582" t="s">
        <v>162</v>
      </c>
      <c r="F225" s="583"/>
      <c r="G225" s="584"/>
      <c r="H225" s="583"/>
      <c r="I225" s="585"/>
      <c r="J225" s="584"/>
      <c r="K225" s="586"/>
      <c r="L225" s="641" t="s">
        <v>163</v>
      </c>
      <c r="M225" s="583"/>
      <c r="N225" s="584"/>
      <c r="O225" s="583"/>
      <c r="P225" s="585"/>
      <c r="Q225" s="583"/>
      <c r="R225" s="584"/>
      <c r="S225" s="582" t="s">
        <v>164</v>
      </c>
      <c r="T225" s="583"/>
      <c r="U225" s="584"/>
      <c r="V225" s="583"/>
      <c r="W225" s="587"/>
      <c r="X225" s="588"/>
      <c r="Y225" s="589"/>
    </row>
    <row r="226" spans="2:26" ht="13.5" thickBot="1">
      <c r="D226" s="644" t="s">
        <v>165</v>
      </c>
      <c r="E226" s="590" t="s">
        <v>63</v>
      </c>
      <c r="F226" s="591"/>
      <c r="G226" s="645" t="s">
        <v>64</v>
      </c>
      <c r="H226" s="591"/>
      <c r="I226" s="645" t="s">
        <v>65</v>
      </c>
      <c r="J226" s="645"/>
      <c r="K226" s="646" t="s">
        <v>171</v>
      </c>
      <c r="L226" s="647" t="s">
        <v>63</v>
      </c>
      <c r="M226" s="591"/>
      <c r="N226" s="645" t="s">
        <v>64</v>
      </c>
      <c r="O226" s="591"/>
      <c r="P226" s="645" t="s">
        <v>65</v>
      </c>
      <c r="Q226" s="591"/>
      <c r="R226" s="646" t="s">
        <v>172</v>
      </c>
      <c r="S226" s="590" t="s">
        <v>63</v>
      </c>
      <c r="T226" s="591"/>
      <c r="U226" s="645" t="s">
        <v>64</v>
      </c>
      <c r="V226" s="648"/>
      <c r="W226" s="645" t="s">
        <v>65</v>
      </c>
      <c r="X226" s="591"/>
      <c r="Y226" s="646" t="s">
        <v>168</v>
      </c>
      <c r="Z226" s="355"/>
    </row>
    <row r="227" spans="2:26">
      <c r="B227" s="568"/>
      <c r="C227" s="357" t="str">
        <f>IF(D225=0,"N",D225)</f>
        <v>N</v>
      </c>
      <c r="D227" s="651">
        <v>-2</v>
      </c>
      <c r="E227" s="599" t="str">
        <f t="array" aca="1" ref="E227" ca="1">IF($C227="N","",SUM(IF((INDIRECT("'"&amp;$C227&amp;"'!$I$23:$I$200")=$D$5)*(INDIRECT("'"&amp;$C227&amp;"'!$H$23:$H$200")=$E$5)*(INDIRECT("'"&amp;$C227&amp;"'!$O$23:$O$200")&lt;=-2.25)*((INDIRECT("'"&amp;$C227&amp;"'!$J$23:$J$200")-INDIRECT("'"&amp;$C227&amp;"'!$K$23:$K$200"))&gt;2),1,0)))</f>
        <v/>
      </c>
      <c r="F227" s="406" t="str">
        <f t="shared" ref="F227:F232" ca="1" si="211">IF(E227="","",IF(E227=0,"-",E227/$K227))</f>
        <v/>
      </c>
      <c r="G227" s="408" t="str">
        <f t="array" aca="1" ref="G227" ca="1">IF($C227="N","",SUM(IF((INDIRECT("'"&amp;$C227&amp;"'!$I$23:$I$200")=$D$5)*(INDIRECT("'"&amp;$C227&amp;"'!$H$23:$H$200")=$E$5)*(INDIRECT("'"&amp;$C227&amp;"'!$O$23:$O$200")&lt;=-2.25)*((INDIRECT("'"&amp;$C227&amp;"'!$J$23:$J$200")-INDIRECT("'"&amp;$C227&amp;"'!$K$23:$K$200"))=2),1,0)))</f>
        <v/>
      </c>
      <c r="H227" s="406" t="str">
        <f t="shared" ref="H227:H232" ca="1" si="212">IF(G227="","",IF(G227=0,"-",G227/$K227))</f>
        <v/>
      </c>
      <c r="I227" s="408" t="str">
        <f t="array" aca="1" ref="I227" ca="1">IF($C227="N","",SUM(IF((INDIRECT("'"&amp;$C227&amp;"'!$I$23:$I$200")=$D$5)*(INDIRECT("'"&amp;$C227&amp;"'!$H$23:$H$200")=$E$5)*(INDIRECT("'"&amp;$C227&amp;"'!$O$23:$O$200")&lt;=-2.25)*((INDIRECT("'"&amp;$C227&amp;"'!$K$23:$K$200")-INDIRECT("'"&amp;$C227&amp;"'!$J$23:$J$200"))&gt;-2),1,0)))</f>
        <v/>
      </c>
      <c r="J227" s="406" t="str">
        <f t="shared" ref="J227:J232" ca="1" si="213">IF(I227="","",IF(I227=0,"-",I227/$K227))</f>
        <v/>
      </c>
      <c r="K227" s="602" t="str">
        <f>IF($C227="N","",E227+G227+I227)</f>
        <v/>
      </c>
      <c r="L227" s="599" t="str">
        <f t="array" aca="1" ref="L227" ca="1">IF($C227="N","",SUM(IF((INDIRECT("'"&amp;$C227&amp;"'!$I$23:$I$200")=$D$5)*(INDIRECT("'"&amp;$C227&amp;"'!$H$23:$H$200")=$L$5)*(INDIRECT("'"&amp;$C227&amp;"'!$O$23:$O$200")&lt;=-2.25)*((INDIRECT("'"&amp;$C227&amp;"'!$J$23:$J$200")-INDIRECT("'"&amp;$C227&amp;"'!$K$23:$K$200"))&gt;2),1,0)))</f>
        <v/>
      </c>
      <c r="M227" s="406" t="str">
        <f t="shared" ref="M227:M232" ca="1" si="214">IF(L227="","",IF(L227=0,"-",L227/$R227))</f>
        <v/>
      </c>
      <c r="N227" s="408" t="str">
        <f t="array" aca="1" ref="N227" ca="1">IF($C227="N","",SUM(IF((INDIRECT("'"&amp;$C227&amp;"'!$I$23:$I$200")=$D$5)*(INDIRECT("'"&amp;$C227&amp;"'!$H$23:$H$200")=$L$5)*(INDIRECT("'"&amp;$C227&amp;"'!$O$23:$O$200")&lt;=-2.25)*((INDIRECT("'"&amp;$C227&amp;"'!$J$23:$J$200")-INDIRECT("'"&amp;$C227&amp;"'!$K$23:$K$200"))=2),1,0)))</f>
        <v/>
      </c>
      <c r="O227" s="406" t="str">
        <f t="shared" ref="O227:O232" ca="1" si="215">IF(N227="","",IF(N227=0,"-",N227/$R227))</f>
        <v/>
      </c>
      <c r="P227" s="408" t="str">
        <f t="array" aca="1" ref="P227" ca="1">IF($C227="N","",SUM(IF((INDIRECT("'"&amp;$C227&amp;"'!$I$23:$I$200")=$D$5)*(INDIRECT("'"&amp;$C227&amp;"'!$H$23:$H$200")=$L$5)*(INDIRECT("'"&amp;$C227&amp;"'!$O$23:$O$200")&lt;=-2.25)*((INDIRECT("'"&amp;$C227&amp;"'!$K$23:$K$200")-INDIRECT("'"&amp;$C227&amp;"'!$J$23:$J$200"))&gt;-2),1,0)))</f>
        <v/>
      </c>
      <c r="Q227" s="406" t="str">
        <f t="shared" ref="Q227:Q232" ca="1" si="216">IF(P227="","",IF(P227=0,"-",P227/$R227))</f>
        <v/>
      </c>
      <c r="R227" s="602" t="str">
        <f>IF($C227="N","",L227+N227+P227)</f>
        <v/>
      </c>
      <c r="S227" s="599" t="str">
        <f>IF($C227="N","",L227+E227)</f>
        <v/>
      </c>
      <c r="T227" s="406" t="str">
        <f t="shared" ref="T227:T232" si="217">IF(S227="","",IF(S227=0,"-",S227/$Y227))</f>
        <v/>
      </c>
      <c r="U227" s="408" t="str">
        <f>IF($C227="N","",N227+G227)</f>
        <v/>
      </c>
      <c r="V227" s="406" t="str">
        <f t="shared" ref="V227:V232" si="218">IF(U227="","",IF(U227=0,"-",U227/$Y227))</f>
        <v/>
      </c>
      <c r="W227" s="408" t="str">
        <f>IF($C227="N","",P227+I227)</f>
        <v/>
      </c>
      <c r="X227" s="406" t="str">
        <f t="shared" ref="X227:X232" si="219">IF(W227="","",IF(W227=0,"-",W227/$Y227))</f>
        <v/>
      </c>
      <c r="Y227" s="602" t="str">
        <f>IF($C227="N","",R227+K227)</f>
        <v/>
      </c>
      <c r="Z227" s="355"/>
    </row>
    <row r="228" spans="2:26">
      <c r="B228" s="568"/>
      <c r="C228" s="357" t="str">
        <f>C227</f>
        <v>N</v>
      </c>
      <c r="D228" s="654">
        <v>-1</v>
      </c>
      <c r="E228" s="655" t="str">
        <f t="array" aca="1" ref="E228" ca="1">IF($C228="N","",SUM(IF((INDIRECT("'"&amp;$C227&amp;"'!$I$23:$I$200")=$D$5)*(INDIRECT("'"&amp;$C227&amp;"'!$H$23:$H$200")=$E$5)*(INDIRECT("'"&amp;$C227&amp;"'!$O$23:$O$200")&lt;=-0.5)*(INDIRECT("'"&amp;$C227&amp;"'!$O$23:$O$200")&gt;=-2)*((INDIRECT("'"&amp;$C227&amp;"'!$J$23:$J$200")-INDIRECT("'"&amp;$C227&amp;"'!$K$23:$K$200"))&gt;1),1,0)))</f>
        <v/>
      </c>
      <c r="F228" s="601" t="str">
        <f t="shared" ca="1" si="211"/>
        <v/>
      </c>
      <c r="G228" s="418" t="str">
        <f t="array" aca="1" ref="G228" ca="1">IF($C228="N","",SUM(IF((INDIRECT("'"&amp;$C227&amp;"'!$I$23:$I$200")=$D$5)*(INDIRECT("'"&amp;$C227&amp;"'!$H$23:$H$200")=$E$5)*(INDIRECT("'"&amp;$C227&amp;"'!$O$23:$O$200")&lt;=-0.5)*(INDIRECT("'"&amp;$C227&amp;"'!$O$23:$O$200")&gt;=-2)*((INDIRECT("'"&amp;$C227&amp;"'!$J$23:$J$200")-INDIRECT("'"&amp;$C227&amp;"'!$K$23:$K$200"))=1),1,0)))</f>
        <v/>
      </c>
      <c r="H228" s="601" t="str">
        <f t="shared" ca="1" si="212"/>
        <v/>
      </c>
      <c r="I228" s="418" t="str">
        <f t="array" aca="1" ref="I228" ca="1">IF($C228="N","",SUM(IF((INDIRECT("'"&amp;$C227&amp;"'!$I$23:$I$200")=$D$5)*(INDIRECT("'"&amp;$C227&amp;"'!$H$23:$H$200")=$E$5)*(INDIRECT("'"&amp;$C227&amp;"'!$O$23:$O$200")&lt;=-0.5)*(INDIRECT("'"&amp;$C227&amp;"'!$O$23:$O$200")&gt;=-2)*((INDIRECT("'"&amp;$C227&amp;"'!$K$23:$K$200")-INDIRECT("'"&amp;$C227&amp;"'!$J$23:$J$200"))&gt;-1),1,0)))</f>
        <v/>
      </c>
      <c r="J228" s="601" t="str">
        <f t="shared" ca="1" si="213"/>
        <v/>
      </c>
      <c r="K228" s="522" t="str">
        <f>IF($C228="N","",E228+G228+I228)</f>
        <v/>
      </c>
      <c r="L228" s="655" t="str">
        <f t="array" aca="1" ref="L228" ca="1">IF($C228="N","",SUM(IF((INDIRECT("'"&amp;$C227&amp;"'!$I$23:$I$200")=$D$5)*(INDIRECT("'"&amp;$C227&amp;"'!$H$23:$H$200")=$L$5)*(INDIRECT("'"&amp;$C227&amp;"'!$O$23:$O$200")&lt;=-0.5)*(INDIRECT("'"&amp;$C227&amp;"'!$O$23:$O$200")&gt;=-2)*((INDIRECT("'"&amp;$C227&amp;"'!$J$23:$J$200")-INDIRECT("'"&amp;$C227&amp;"'!$K$23:$K$200"))&gt;1),1,0)))</f>
        <v/>
      </c>
      <c r="M228" s="601" t="str">
        <f t="shared" ca="1" si="214"/>
        <v/>
      </c>
      <c r="N228" s="418" t="str">
        <f t="array" aca="1" ref="N228" ca="1">IF($C228="N","",SUM(IF((INDIRECT("'"&amp;$C227&amp;"'!$I$23:$I$200")=$D$5)*(INDIRECT("'"&amp;$C227&amp;"'!$H$23:$H$200")=$L$5)*(INDIRECT("'"&amp;$C227&amp;"'!$O$23:$O$200")&lt;=-0.5)*(INDIRECT("'"&amp;$C227&amp;"'!$O$23:$O$200")&gt;=-2)*((INDIRECT("'"&amp;$C227&amp;"'!$J$23:$J$200")-INDIRECT("'"&amp;$C227&amp;"'!$K$23:$K$200"))=1),1,0)))</f>
        <v/>
      </c>
      <c r="O228" s="601" t="str">
        <f t="shared" ca="1" si="215"/>
        <v/>
      </c>
      <c r="P228" s="418" t="str">
        <f t="array" aca="1" ref="P228" ca="1">IF($C228="N","",SUM(IF((INDIRECT("'"&amp;$C227&amp;"'!$I$23:$I$200")=$D$5)*(INDIRECT("'"&amp;$C227&amp;"'!$H$23:$H$200")=$L$5)*(INDIRECT("'"&amp;$C227&amp;"'!$O$23:$O$200")&lt;=-0.5)*(INDIRECT("'"&amp;$C227&amp;"'!$O$23:$O$200")&gt;=-2)*((INDIRECT("'"&amp;$C227&amp;"'!$K$23:$K$200")-INDIRECT("'"&amp;$C227&amp;"'!$J$23:$J$200"))&gt;-1),1,0)))</f>
        <v/>
      </c>
      <c r="Q228" s="601" t="str">
        <f t="shared" ca="1" si="216"/>
        <v/>
      </c>
      <c r="R228" s="522" t="str">
        <f>IF($C228="N","",L228+N228+P228)</f>
        <v/>
      </c>
      <c r="S228" s="655" t="str">
        <f>IF($C228="N","",L228+E228)</f>
        <v/>
      </c>
      <c r="T228" s="601" t="str">
        <f t="shared" si="217"/>
        <v/>
      </c>
      <c r="U228" s="418" t="str">
        <f>IF($C228="N","",N228+G228)</f>
        <v/>
      </c>
      <c r="V228" s="601" t="str">
        <f t="shared" si="218"/>
        <v/>
      </c>
      <c r="W228" s="418" t="str">
        <f>IF($C228="N","",P228+I228)</f>
        <v/>
      </c>
      <c r="X228" s="601" t="str">
        <f t="shared" si="219"/>
        <v/>
      </c>
      <c r="Y228" s="602" t="str">
        <f>IF($C228="N","",R228+K228)</f>
        <v/>
      </c>
      <c r="Z228" s="355"/>
    </row>
    <row r="229" spans="2:26">
      <c r="B229" s="568"/>
      <c r="C229" s="357" t="str">
        <f>C228</f>
        <v>N</v>
      </c>
      <c r="D229" s="654">
        <v>0</v>
      </c>
      <c r="E229" s="655" t="str">
        <f t="array" aca="1" ref="E229" ca="1">IF($C229="N","",SUM(IF((INDIRECT("'"&amp;$C227&amp;"'!$I$23:$I$200")=$D$5)*(INDIRECT("'"&amp;$C227&amp;"'!$H$23:$H$200")=$E$5)*(INDIRECT("'"&amp;$C227&amp;"'!$O$23:$O$200")&gt;=-0.25)*(INDIRECT("'"&amp;$C227&amp;"'!$O$23:$O$200")&lt;=0.25)*(INDIRECT("'"&amp;$C227&amp;"'!$O$23:$O$200")&lt;&gt;"")*((INDIRECT("'"&amp;$C227&amp;"'!$J$23:$J$200")-INDIRECT("'"&amp;$C227&amp;"'!$K$23:$K$200"))&gt;0),1,0)))</f>
        <v/>
      </c>
      <c r="F229" s="601" t="str">
        <f t="shared" ca="1" si="211"/>
        <v/>
      </c>
      <c r="G229" s="418" t="str">
        <f t="array" aca="1" ref="G229" ca="1">IF($C229="N","",SUM(IF((INDIRECT("'"&amp;$C227&amp;"'!$I$23:$I$200")=$D$5)*(INDIRECT("'"&amp;$C227&amp;"'!$H$23:$H$200")=$E$5)*(INDIRECT("'"&amp;$C227&amp;"'!$O$23:$O$200")&gt;=-0.25)*(INDIRECT("'"&amp;$C227&amp;"'!$O$23:$O$200")&lt;=0.25)*(INDIRECT("'"&amp;$C227&amp;"'!$O$23:$O$200")&lt;&gt;"")*((INDIRECT("'"&amp;$C227&amp;"'!$J$23:$J$200")-INDIRECT("'"&amp;$C227&amp;"'!$K$23:$K$200"))=0),1,0)))</f>
        <v/>
      </c>
      <c r="H229" s="601" t="str">
        <f t="shared" ca="1" si="212"/>
        <v/>
      </c>
      <c r="I229" s="418" t="str">
        <f t="array" aca="1" ref="I229" ca="1">IF($C229="N","",SUM(IF((INDIRECT("'"&amp;$C227&amp;"'!$I$23:$I$200")=$D$5)*(INDIRECT("'"&amp;$C227&amp;"'!$H$23:$H$200")=$E$5)*(INDIRECT("'"&amp;$C227&amp;"'!$O$23:$O$200")&gt;=-0.25)*(INDIRECT("'"&amp;$C227&amp;"'!$O$23:$O$200")&lt;=0.25)*(INDIRECT("'"&amp;$C227&amp;"'!$O$23:$O$200")&lt;&gt;"")*((INDIRECT("'"&amp;$C227&amp;"'!$J$23:$J$200")-INDIRECT("'"&amp;$C227&amp;"'!$K$23:$K$200"))&lt;0),1,0)))</f>
        <v/>
      </c>
      <c r="J229" s="601" t="str">
        <f t="shared" ca="1" si="213"/>
        <v/>
      </c>
      <c r="K229" s="522" t="str">
        <f>IF($C229="N","",E229+G229+I229)</f>
        <v/>
      </c>
      <c r="L229" s="655" t="str">
        <f t="array" aca="1" ref="L229" ca="1">IF($C229="N","",SUM(IF((INDIRECT("'"&amp;$C227&amp;"'!$I$23:$I$200")=$D$5)*(INDIRECT("'"&amp;$C227&amp;"'!$H$23:$H$200")=$L$5)*(INDIRECT("'"&amp;$C227&amp;"'!$O$23:$O$200")&gt;=-0.25)*(INDIRECT("'"&amp;$C227&amp;"'!$O$23:$O$200")&lt;=0.25)*(INDIRECT("'"&amp;$C227&amp;"'!$O$23:$O$200")&lt;&gt;"")*((INDIRECT("'"&amp;$C227&amp;"'!$J$23:$J$200")-INDIRECT("'"&amp;$C227&amp;"'!$K$23:$K$200"))&gt;0),1,0)))</f>
        <v/>
      </c>
      <c r="M229" s="601" t="str">
        <f t="shared" ca="1" si="214"/>
        <v/>
      </c>
      <c r="N229" s="418" t="str">
        <f t="array" aca="1" ref="N229" ca="1">IF($C229="N","",SUM(IF((INDIRECT("'"&amp;$C227&amp;"'!$I$23:$I$200")=$D$5)*(INDIRECT("'"&amp;$C227&amp;"'!$H$23:$H$200")=$L$5)*(INDIRECT("'"&amp;$C227&amp;"'!$O$23:$O$200")&gt;=-0.25)*(INDIRECT("'"&amp;$C227&amp;"'!$O$23:$O$200")&lt;=0.25)*(INDIRECT("'"&amp;$C227&amp;"'!$O$23:$O$200")&lt;&gt;"")*((INDIRECT("'"&amp;$C227&amp;"'!$J$23:$J$200")-INDIRECT("'"&amp;$C227&amp;"'!$K$23:$K$200"))=0),1,0)))</f>
        <v/>
      </c>
      <c r="O229" s="601" t="str">
        <f t="shared" ca="1" si="215"/>
        <v/>
      </c>
      <c r="P229" s="418" t="str">
        <f t="array" aca="1" ref="P229" ca="1">IF($C229="N","",SUM(IF((INDIRECT("'"&amp;$C227&amp;"'!$I$23:$I$200")=$D$5)*(INDIRECT("'"&amp;$C227&amp;"'!$H$23:$H$200")=$L$5)*(INDIRECT("'"&amp;$C227&amp;"'!$O$23:$O$200")&gt;=-0.25)*(INDIRECT("'"&amp;$C227&amp;"'!$O$23:$O$200")&lt;=0.25)*(INDIRECT("'"&amp;$C227&amp;"'!$O$23:$O$200")&lt;&gt;"")*((INDIRECT("'"&amp;$C227&amp;"'!$J$23:$J$200")-INDIRECT("'"&amp;$C227&amp;"'!$K$23:$K$200"))&lt;0),1,0)))</f>
        <v/>
      </c>
      <c r="Q229" s="601" t="str">
        <f t="shared" ca="1" si="216"/>
        <v/>
      </c>
      <c r="R229" s="522" t="str">
        <f>IF($C229="N","",L229+N229+P229)</f>
        <v/>
      </c>
      <c r="S229" s="655" t="str">
        <f>IF($C229="N","",L229+E229)</f>
        <v/>
      </c>
      <c r="T229" s="601" t="str">
        <f t="shared" si="217"/>
        <v/>
      </c>
      <c r="U229" s="418" t="str">
        <f>IF($C229="N","",N229+G229)</f>
        <v/>
      </c>
      <c r="V229" s="601" t="str">
        <f t="shared" si="218"/>
        <v/>
      </c>
      <c r="W229" s="418" t="str">
        <f>IF($C229="N","",P229+I229)</f>
        <v/>
      </c>
      <c r="X229" s="601" t="str">
        <f t="shared" si="219"/>
        <v/>
      </c>
      <c r="Y229" s="602" t="str">
        <f>IF($C229="N","",R229+K229)</f>
        <v/>
      </c>
      <c r="Z229" s="355"/>
    </row>
    <row r="230" spans="2:26">
      <c r="B230" s="568"/>
      <c r="C230" s="357" t="str">
        <f>C229</f>
        <v>N</v>
      </c>
      <c r="D230" s="654">
        <v>1</v>
      </c>
      <c r="E230" s="655" t="str">
        <f t="array" aca="1" ref="E230" ca="1">IF($C230="N","",SUM(IF((INDIRECT("'"&amp;$C227&amp;"'!$I$23:$I$200")=$D$5)*(INDIRECT("'"&amp;$C227&amp;"'!$H$23:$H$200")=$E$5)*(INDIRECT("'"&amp;$C227&amp;"'!$O$23:$O$200")&gt;=0.5)*(INDIRECT("'"&amp;$C227&amp;"'!$O$23:$O$200")&lt;=2)*((INDIRECT("'"&amp;$C227&amp;"'!$J$23:$J$200")-INDIRECT("'"&amp;$C227&amp;"'!$K$23:$K$200"))&gt;-1),1,0)))</f>
        <v/>
      </c>
      <c r="F230" s="601" t="str">
        <f t="shared" ca="1" si="211"/>
        <v/>
      </c>
      <c r="G230" s="418" t="str">
        <f t="array" aca="1" ref="G230" ca="1">IF($C230="N","",SUM(IF((INDIRECT("'"&amp;$C227&amp;"'!$I$23:$I$200")=$D$5)*(INDIRECT("'"&amp;$C227&amp;"'!$H$23:$H$200")=$E$5)*(INDIRECT("'"&amp;$C227&amp;"'!$O$23:$O$200")&gt;=0.5)*(INDIRECT("'"&amp;$C227&amp;"'!$O$23:$O$200")&lt;=2)*((INDIRECT("'"&amp;$C227&amp;"'!$J$23:$J$200")-INDIRECT("'"&amp;$C227&amp;"'!$K$23:$K$200"))=-1),1,0)))</f>
        <v/>
      </c>
      <c r="H230" s="601" t="str">
        <f t="shared" ca="1" si="212"/>
        <v/>
      </c>
      <c r="I230" s="418" t="str">
        <f t="array" aca="1" ref="I230" ca="1">IF($C230="N","",SUM(IF((INDIRECT("'"&amp;$C227&amp;"'!$I$23:$I$200")=$D$5)*(INDIRECT("'"&amp;$C227&amp;"'!$H$23:$H$200")=$E$5)*(INDIRECT("'"&amp;$C227&amp;"'!$O$23:$O$200")&gt;=0.5)*(INDIRECT("'"&amp;$C227&amp;"'!$O$23:$O$200")&lt;=2)*((INDIRECT("'"&amp;$C227&amp;"'!$J$23:$J$200")-INDIRECT("'"&amp;$C227&amp;"'!$K$23:$K$200"))&lt;-1),1,0)))</f>
        <v/>
      </c>
      <c r="J230" s="601" t="str">
        <f t="shared" ca="1" si="213"/>
        <v/>
      </c>
      <c r="K230" s="522" t="str">
        <f>IF($C230="N","",E230+G230+I230)</f>
        <v/>
      </c>
      <c r="L230" s="655" t="str">
        <f t="array" aca="1" ref="L230" ca="1">IF($C230="N","",SUM(IF((INDIRECT("'"&amp;$C227&amp;"'!$I$23:$I$200")=$D$5)*(INDIRECT("'"&amp;$C227&amp;"'!$H$23:$H$200")=$L$5)*(INDIRECT("'"&amp;$C227&amp;"'!$O$23:$O$200")&gt;=0.5)*(INDIRECT("'"&amp;$C227&amp;"'!$O$23:$O$200")&lt;=2)*((INDIRECT("'"&amp;$C227&amp;"'!$J$23:$J$200")-INDIRECT("'"&amp;$C227&amp;"'!$K$23:$K$200"))&gt;-1),1,0)))</f>
        <v/>
      </c>
      <c r="M230" s="601" t="str">
        <f t="shared" ca="1" si="214"/>
        <v/>
      </c>
      <c r="N230" s="418" t="str">
        <f t="array" aca="1" ref="N230" ca="1">IF($C230="N","",SUM(IF((INDIRECT("'"&amp;$C227&amp;"'!$I$23:$I$200")=$D$5)*(INDIRECT("'"&amp;$C227&amp;"'!$H$23:$H$200")=$L$5)*(INDIRECT("'"&amp;$C227&amp;"'!$O$23:$O$200")&gt;=0.5)*(INDIRECT("'"&amp;$C227&amp;"'!$O$23:$O$200")&lt;=2)*((INDIRECT("'"&amp;$C227&amp;"'!$J$23:$J$200")-INDIRECT("'"&amp;$C227&amp;"'!$K$23:$K$200"))=-1),1,0)))</f>
        <v/>
      </c>
      <c r="O230" s="601" t="str">
        <f t="shared" ca="1" si="215"/>
        <v/>
      </c>
      <c r="P230" s="418" t="str">
        <f t="array" aca="1" ref="P230" ca="1">IF($C230="N","",SUM(IF((INDIRECT("'"&amp;$C227&amp;"'!$I$23:$I$200")=$D$5)*(INDIRECT("'"&amp;$C227&amp;"'!$H$23:$H$200")=$L$5)*(INDIRECT("'"&amp;$C227&amp;"'!$O$23:$O$200")&gt;=0.5)*(INDIRECT("'"&amp;$C227&amp;"'!$O$23:$O$200")&lt;=2)*((INDIRECT("'"&amp;$C227&amp;"'!$J$23:$J$200")-INDIRECT("'"&amp;$C227&amp;"'!$K$23:$K$200"))&lt;-1),1,0)))</f>
        <v/>
      </c>
      <c r="Q230" s="601" t="str">
        <f t="shared" ca="1" si="216"/>
        <v/>
      </c>
      <c r="R230" s="522" t="str">
        <f>IF($C230="N","",L230+N230+P230)</f>
        <v/>
      </c>
      <c r="S230" s="655" t="str">
        <f>IF($C230="N","",L230+E230)</f>
        <v/>
      </c>
      <c r="T230" s="601" t="str">
        <f t="shared" si="217"/>
        <v/>
      </c>
      <c r="U230" s="418" t="str">
        <f>IF($C230="N","",N230+G230)</f>
        <v/>
      </c>
      <c r="V230" s="601" t="str">
        <f t="shared" si="218"/>
        <v/>
      </c>
      <c r="W230" s="418" t="str">
        <f>IF($C230="N","",P230+I230)</f>
        <v/>
      </c>
      <c r="X230" s="601" t="str">
        <f t="shared" si="219"/>
        <v/>
      </c>
      <c r="Y230" s="602" t="str">
        <f>IF($C230="N","",R230+K230)</f>
        <v/>
      </c>
      <c r="Z230" s="355"/>
    </row>
    <row r="231" spans="2:26" ht="13.5" thickBot="1">
      <c r="B231" s="568"/>
      <c r="C231" s="357" t="str">
        <f>C230</f>
        <v>N</v>
      </c>
      <c r="D231" s="654">
        <v>2</v>
      </c>
      <c r="E231" s="657" t="str">
        <f t="array" aca="1" ref="E231" ca="1">IF($C231="N","",SUM(IF((INDIRECT("'"&amp;$C227&amp;"'!$I$23:$I$200")=$D$5)*(INDIRECT("'"&amp;$C227&amp;"'!$H$23:$H$200")=$E$5)*(INDIRECT("'"&amp;$C227&amp;"'!$O$23:$O$200")&gt;=2.25)*((INDIRECT("'"&amp;$C227&amp;"'!$J$23:$J$200")-INDIRECT("'"&amp;$C227&amp;"'!$K$23:$K$200"))&gt;-2),1,0)))</f>
        <v/>
      </c>
      <c r="F231" s="605" t="str">
        <f t="shared" ca="1" si="211"/>
        <v/>
      </c>
      <c r="G231" s="658" t="str">
        <f t="array" aca="1" ref="G231" ca="1">IF($C231="N","",SUM(IF((INDIRECT("'"&amp;$C227&amp;"'!$I$23:$I$200")=$D$5)*(INDIRECT("'"&amp;$C227&amp;"'!$H$23:$H$200")=$E$5)*(INDIRECT("'"&amp;$C227&amp;"'!$O$23:$O$200")&gt;=2.25)*((INDIRECT("'"&amp;$C227&amp;"'!$J$23:$J$200")-INDIRECT("'"&amp;$C227&amp;"'!$K$23:$K$200"))=-2),1,0)))</f>
        <v/>
      </c>
      <c r="H231" s="605" t="str">
        <f t="shared" ca="1" si="212"/>
        <v/>
      </c>
      <c r="I231" s="658" t="str">
        <f t="array" aca="1" ref="I231" ca="1">IF($C231="N","",SUM(IF((INDIRECT("'"&amp;$C227&amp;"'!$I$23:$I$200")=$D$5)*(INDIRECT("'"&amp;$C227&amp;"'!$H$23:$H$200")=$E$5)*(INDIRECT("'"&amp;$C227&amp;"'!$O$23:$O$200")&gt;=2.25)*((INDIRECT("'"&amp;$C227&amp;"'!$J$23:$J$200")-INDIRECT("'"&amp;$C227&amp;"'!$K$23:$K$200"))&lt;-2),1,0)))</f>
        <v/>
      </c>
      <c r="J231" s="605" t="str">
        <f t="shared" ca="1" si="213"/>
        <v/>
      </c>
      <c r="K231" s="659" t="str">
        <f>IF($C231="N","",E231+G231+I231)</f>
        <v/>
      </c>
      <c r="L231" s="657" t="str">
        <f t="array" aca="1" ref="L231" ca="1">IF($C231="N","",SUM(IF((INDIRECT("'"&amp;$C227&amp;"'!$I$23:$I$200")=$D$5)*(INDIRECT("'"&amp;$C227&amp;"'!$H$23:$H$200")=$L$5)*(INDIRECT("'"&amp;$C227&amp;"'!$O$23:$O$200")&gt;=2.25)*((INDIRECT("'"&amp;$C227&amp;"'!$J$23:$J$200")-INDIRECT("'"&amp;$C227&amp;"'!$K$23:$K$200"))&gt;-2),1,0)))</f>
        <v/>
      </c>
      <c r="M231" s="605" t="str">
        <f t="shared" ca="1" si="214"/>
        <v/>
      </c>
      <c r="N231" s="658" t="str">
        <f t="array" aca="1" ref="N231" ca="1">IF($C231="N","",SUM(IF((INDIRECT("'"&amp;$C227&amp;"'!$I$23:$I$200")=$D$5)*(INDIRECT("'"&amp;$C227&amp;"'!$H$23:$H$200")=$L$5)*(INDIRECT("'"&amp;$C227&amp;"'!$O$23:$O$200")&gt;=2.25)*((INDIRECT("'"&amp;$C227&amp;"'!$J$23:$J$200")-INDIRECT("'"&amp;$C227&amp;"'!$K$23:$K$200"))=-2),1,0)))</f>
        <v/>
      </c>
      <c r="O231" s="605" t="str">
        <f t="shared" ca="1" si="215"/>
        <v/>
      </c>
      <c r="P231" s="658" t="str">
        <f t="array" aca="1" ref="P231" ca="1">IF($C231="N","",SUM(IF((INDIRECT("'"&amp;$C227&amp;"'!$I$23:$I$200")=$D$5)*(INDIRECT("'"&amp;$C227&amp;"'!$H$23:$H$200")=$L$5)*(INDIRECT("'"&amp;$C227&amp;"'!$O$23:$O$200")&gt;=2.25)*((INDIRECT("'"&amp;$C227&amp;"'!$J$23:$J$200")-INDIRECT("'"&amp;$C227&amp;"'!$K$23:$K$200"))&lt;-2),1,0)))</f>
        <v/>
      </c>
      <c r="Q231" s="605" t="str">
        <f t="shared" ca="1" si="216"/>
        <v/>
      </c>
      <c r="R231" s="659" t="str">
        <f>IF($C231="N","",L231+N231+P231)</f>
        <v/>
      </c>
      <c r="S231" s="657" t="str">
        <f>IF($C231="N","",L231+E231)</f>
        <v/>
      </c>
      <c r="T231" s="605" t="str">
        <f t="shared" si="217"/>
        <v/>
      </c>
      <c r="U231" s="658" t="str">
        <f>IF($C231="N","",N231+G231)</f>
        <v/>
      </c>
      <c r="V231" s="605" t="str">
        <f t="shared" si="218"/>
        <v/>
      </c>
      <c r="W231" s="658" t="str">
        <f>IF($C231="N","",P231+I231)</f>
        <v/>
      </c>
      <c r="X231" s="605" t="str">
        <f t="shared" si="219"/>
        <v/>
      </c>
      <c r="Y231" s="608" t="str">
        <f>IF($C231="N","",R231+K231)</f>
        <v/>
      </c>
      <c r="Z231" s="355"/>
    </row>
    <row r="232" spans="2:26" ht="13.5" thickBot="1">
      <c r="B232" s="568">
        <f>D225</f>
        <v>0</v>
      </c>
      <c r="D232" s="661" t="s">
        <v>115</v>
      </c>
      <c r="E232" s="481">
        <f ca="1">SUM(E227:E231)</f>
        <v>0</v>
      </c>
      <c r="F232" s="435" t="str">
        <f t="shared" ca="1" si="211"/>
        <v>-</v>
      </c>
      <c r="G232" s="438">
        <f ca="1">SUM(G227:G231)</f>
        <v>0</v>
      </c>
      <c r="H232" s="435" t="str">
        <f t="shared" ca="1" si="212"/>
        <v>-</v>
      </c>
      <c r="I232" s="438">
        <f ca="1">SUM(I227:I231)</f>
        <v>0</v>
      </c>
      <c r="J232" s="435" t="str">
        <f t="shared" ca="1" si="213"/>
        <v>-</v>
      </c>
      <c r="K232" s="479">
        <f>SUM(K227:K231)</f>
        <v>0</v>
      </c>
      <c r="L232" s="662">
        <f ca="1">SUM(L227:L231)</f>
        <v>0</v>
      </c>
      <c r="M232" s="435" t="str">
        <f t="shared" ca="1" si="214"/>
        <v>-</v>
      </c>
      <c r="N232" s="438">
        <f ca="1">SUM(N227:N231)</f>
        <v>0</v>
      </c>
      <c r="O232" s="435" t="str">
        <f t="shared" ca="1" si="215"/>
        <v>-</v>
      </c>
      <c r="P232" s="438">
        <f ca="1">SUM(P227:P231)</f>
        <v>0</v>
      </c>
      <c r="Q232" s="435" t="str">
        <f t="shared" ca="1" si="216"/>
        <v>-</v>
      </c>
      <c r="R232" s="480">
        <f>SUM(R227:R231)</f>
        <v>0</v>
      </c>
      <c r="S232" s="481">
        <f>SUM(S227:S231)</f>
        <v>0</v>
      </c>
      <c r="T232" s="435" t="str">
        <f t="shared" si="217"/>
        <v>-</v>
      </c>
      <c r="U232" s="438">
        <f>SUM(U227:U231)</f>
        <v>0</v>
      </c>
      <c r="V232" s="435" t="str">
        <f t="shared" si="218"/>
        <v>-</v>
      </c>
      <c r="W232" s="438">
        <f>SUM(W227:W231)</f>
        <v>0</v>
      </c>
      <c r="X232" s="435" t="str">
        <f t="shared" si="219"/>
        <v>-</v>
      </c>
      <c r="Y232" s="479">
        <f>SUM(Y227:Y231)</f>
        <v>0</v>
      </c>
    </row>
    <row r="233" spans="2:26" ht="13.5" thickBot="1">
      <c r="B233" s="568"/>
    </row>
    <row r="234" spans="2:26">
      <c r="D234" s="562">
        <f>M2</f>
        <v>0</v>
      </c>
      <c r="E234" s="582" t="s">
        <v>162</v>
      </c>
      <c r="F234" s="583"/>
      <c r="G234" s="584"/>
      <c r="H234" s="583"/>
      <c r="I234" s="585"/>
      <c r="J234" s="584"/>
      <c r="K234" s="586"/>
      <c r="L234" s="641" t="s">
        <v>163</v>
      </c>
      <c r="M234" s="583"/>
      <c r="N234" s="584"/>
      <c r="O234" s="583"/>
      <c r="P234" s="585"/>
      <c r="Q234" s="583"/>
      <c r="R234" s="584"/>
      <c r="S234" s="582" t="s">
        <v>164</v>
      </c>
      <c r="T234" s="583"/>
      <c r="U234" s="584"/>
      <c r="V234" s="583"/>
      <c r="W234" s="587"/>
      <c r="X234" s="588"/>
      <c r="Y234" s="589"/>
    </row>
    <row r="235" spans="2:26" ht="13.5" thickBot="1">
      <c r="D235" s="644" t="s">
        <v>165</v>
      </c>
      <c r="E235" s="590" t="s">
        <v>63</v>
      </c>
      <c r="F235" s="591"/>
      <c r="G235" s="645" t="s">
        <v>64</v>
      </c>
      <c r="H235" s="591"/>
      <c r="I235" s="645" t="s">
        <v>65</v>
      </c>
      <c r="J235" s="645"/>
      <c r="K235" s="646" t="s">
        <v>171</v>
      </c>
      <c r="L235" s="647" t="s">
        <v>63</v>
      </c>
      <c r="M235" s="591"/>
      <c r="N235" s="645" t="s">
        <v>64</v>
      </c>
      <c r="O235" s="591"/>
      <c r="P235" s="645" t="s">
        <v>65</v>
      </c>
      <c r="Q235" s="591"/>
      <c r="R235" s="646" t="s">
        <v>172</v>
      </c>
      <c r="S235" s="590" t="s">
        <v>63</v>
      </c>
      <c r="T235" s="591"/>
      <c r="U235" s="645" t="s">
        <v>64</v>
      </c>
      <c r="V235" s="648"/>
      <c r="W235" s="645" t="s">
        <v>65</v>
      </c>
      <c r="X235" s="591"/>
      <c r="Y235" s="646" t="s">
        <v>168</v>
      </c>
      <c r="Z235" s="355"/>
    </row>
    <row r="236" spans="2:26">
      <c r="B236" s="568"/>
      <c r="C236" s="357" t="str">
        <f>IF(D234=0,"N",D234)</f>
        <v>N</v>
      </c>
      <c r="D236" s="651">
        <v>-2</v>
      </c>
      <c r="E236" s="599" t="str">
        <f t="array" aca="1" ref="E236" ca="1">IF($C236="N","",SUM(IF((INDIRECT("'"&amp;$C236&amp;"'!$I$23:$I$200")=$D$5)*(INDIRECT("'"&amp;$C236&amp;"'!$H$23:$H$200")=$E$5)*(INDIRECT("'"&amp;$C236&amp;"'!$O$23:$O$200")&lt;=-2.25)*((INDIRECT("'"&amp;$C236&amp;"'!$J$23:$J$200")-INDIRECT("'"&amp;$C236&amp;"'!$K$23:$K$200"))&gt;2),1,0)))</f>
        <v/>
      </c>
      <c r="F236" s="406" t="str">
        <f t="shared" ref="F236:F241" ca="1" si="220">IF(E236="","",IF(E236=0,"-",E236/$K236))</f>
        <v/>
      </c>
      <c r="G236" s="408" t="str">
        <f t="array" aca="1" ref="G236" ca="1">IF($C236="N","",SUM(IF((INDIRECT("'"&amp;$C236&amp;"'!$I$23:$I$200")=$D$5)*(INDIRECT("'"&amp;$C236&amp;"'!$H$23:$H$200")=$E$5)*(INDIRECT("'"&amp;$C236&amp;"'!$O$23:$O$200")&lt;=-2.25)*((INDIRECT("'"&amp;$C236&amp;"'!$J$23:$J$200")-INDIRECT("'"&amp;$C236&amp;"'!$K$23:$K$200"))=2),1,0)))</f>
        <v/>
      </c>
      <c r="H236" s="406" t="str">
        <f t="shared" ref="H236:H241" ca="1" si="221">IF(G236="","",IF(G236=0,"-",G236/$K236))</f>
        <v/>
      </c>
      <c r="I236" s="408" t="str">
        <f t="array" aca="1" ref="I236" ca="1">IF($C236="N","",SUM(IF((INDIRECT("'"&amp;$C236&amp;"'!$I$23:$I$200")=$D$5)*(INDIRECT("'"&amp;$C236&amp;"'!$H$23:$H$200")=$E$5)*(INDIRECT("'"&amp;$C236&amp;"'!$O$23:$O$200")&lt;=-2.25)*((INDIRECT("'"&amp;$C236&amp;"'!$K$23:$K$200")-INDIRECT("'"&amp;$C236&amp;"'!$J$23:$J$200"))&gt;-2),1,0)))</f>
        <v/>
      </c>
      <c r="J236" s="406" t="str">
        <f t="shared" ref="J236:J241" ca="1" si="222">IF(I236="","",IF(I236=0,"-",I236/$K236))</f>
        <v/>
      </c>
      <c r="K236" s="602" t="str">
        <f>IF($C236="N","",E236+G236+I236)</f>
        <v/>
      </c>
      <c r="L236" s="599" t="str">
        <f t="array" aca="1" ref="L236" ca="1">IF($C236="N","",SUM(IF((INDIRECT("'"&amp;$C236&amp;"'!$I$23:$I$200")=$D$5)*(INDIRECT("'"&amp;$C236&amp;"'!$H$23:$H$200")=$L$5)*(INDIRECT("'"&amp;$C236&amp;"'!$O$23:$O$200")&lt;=-2.25)*((INDIRECT("'"&amp;$C236&amp;"'!$J$23:$J$200")-INDIRECT("'"&amp;$C236&amp;"'!$K$23:$K$200"))&gt;2),1,0)))</f>
        <v/>
      </c>
      <c r="M236" s="406" t="str">
        <f t="shared" ref="M236:M241" ca="1" si="223">IF(L236="","",IF(L236=0,"-",L236/$R236))</f>
        <v/>
      </c>
      <c r="N236" s="408" t="str">
        <f t="array" aca="1" ref="N236" ca="1">IF($C236="N","",SUM(IF((INDIRECT("'"&amp;$C236&amp;"'!$I$23:$I$200")=$D$5)*(INDIRECT("'"&amp;$C236&amp;"'!$H$23:$H$200")=$L$5)*(INDIRECT("'"&amp;$C236&amp;"'!$O$23:$O$200")&lt;=-2.25)*((INDIRECT("'"&amp;$C236&amp;"'!$J$23:$J$200")-INDIRECT("'"&amp;$C236&amp;"'!$K$23:$K$200"))=2),1,0)))</f>
        <v/>
      </c>
      <c r="O236" s="406" t="str">
        <f t="shared" ref="O236:O241" ca="1" si="224">IF(N236="","",IF(N236=0,"-",N236/$R236))</f>
        <v/>
      </c>
      <c r="P236" s="408" t="str">
        <f t="array" aca="1" ref="P236" ca="1">IF($C236="N","",SUM(IF((INDIRECT("'"&amp;$C236&amp;"'!$I$23:$I$200")=$D$5)*(INDIRECT("'"&amp;$C236&amp;"'!$H$23:$H$200")=$L$5)*(INDIRECT("'"&amp;$C236&amp;"'!$O$23:$O$200")&lt;=-2.25)*((INDIRECT("'"&amp;$C236&amp;"'!$K$23:$K$200")-INDIRECT("'"&amp;$C236&amp;"'!$J$23:$J$200"))&gt;-2),1,0)))</f>
        <v/>
      </c>
      <c r="Q236" s="406" t="str">
        <f t="shared" ref="Q236:Q241" ca="1" si="225">IF(P236="","",IF(P236=0,"-",P236/$R236))</f>
        <v/>
      </c>
      <c r="R236" s="602" t="str">
        <f>IF($C236="N","",L236+N236+P236)</f>
        <v/>
      </c>
      <c r="S236" s="599" t="str">
        <f>IF($C236="N","",L236+E236)</f>
        <v/>
      </c>
      <c r="T236" s="406" t="str">
        <f t="shared" ref="T236:T241" si="226">IF(S236="","",IF(S236=0,"-",S236/$Y236))</f>
        <v/>
      </c>
      <c r="U236" s="408" t="str">
        <f>IF($C236="N","",N236+G236)</f>
        <v/>
      </c>
      <c r="V236" s="406" t="str">
        <f t="shared" ref="V236:V241" si="227">IF(U236="","",IF(U236=0,"-",U236/$Y236))</f>
        <v/>
      </c>
      <c r="W236" s="408" t="str">
        <f>IF($C236="N","",P236+I236)</f>
        <v/>
      </c>
      <c r="X236" s="406" t="str">
        <f t="shared" ref="X236:X241" si="228">IF(W236="","",IF(W236=0,"-",W236/$Y236))</f>
        <v/>
      </c>
      <c r="Y236" s="602" t="str">
        <f>IF($C236="N","",R236+K236)</f>
        <v/>
      </c>
      <c r="Z236" s="355"/>
    </row>
    <row r="237" spans="2:26">
      <c r="B237" s="568"/>
      <c r="C237" s="357" t="str">
        <f>C236</f>
        <v>N</v>
      </c>
      <c r="D237" s="654">
        <v>-1</v>
      </c>
      <c r="E237" s="655" t="str">
        <f t="array" aca="1" ref="E237" ca="1">IF($C237="N","",SUM(IF((INDIRECT("'"&amp;$C236&amp;"'!$I$23:$I$200")=$D$5)*(INDIRECT("'"&amp;$C236&amp;"'!$H$23:$H$200")=$E$5)*(INDIRECT("'"&amp;$C236&amp;"'!$O$23:$O$200")&lt;=-0.5)*(INDIRECT("'"&amp;$C236&amp;"'!$O$23:$O$200")&gt;=-2)*((INDIRECT("'"&amp;$C236&amp;"'!$J$23:$J$200")-INDIRECT("'"&amp;$C236&amp;"'!$K$23:$K$200"))&gt;1),1,0)))</f>
        <v/>
      </c>
      <c r="F237" s="601" t="str">
        <f t="shared" ca="1" si="220"/>
        <v/>
      </c>
      <c r="G237" s="418" t="str">
        <f t="array" aca="1" ref="G237" ca="1">IF($C237="N","",SUM(IF((INDIRECT("'"&amp;$C236&amp;"'!$I$23:$I$200")=$D$5)*(INDIRECT("'"&amp;$C236&amp;"'!$H$23:$H$200")=$E$5)*(INDIRECT("'"&amp;$C236&amp;"'!$O$23:$O$200")&lt;=-0.5)*(INDIRECT("'"&amp;$C236&amp;"'!$O$23:$O$200")&gt;=-2)*((INDIRECT("'"&amp;$C236&amp;"'!$J$23:$J$200")-INDIRECT("'"&amp;$C236&amp;"'!$K$23:$K$200"))=1),1,0)))</f>
        <v/>
      </c>
      <c r="H237" s="601" t="str">
        <f t="shared" ca="1" si="221"/>
        <v/>
      </c>
      <c r="I237" s="418" t="str">
        <f t="array" aca="1" ref="I237" ca="1">IF($C237="N","",SUM(IF((INDIRECT("'"&amp;$C236&amp;"'!$I$23:$I$200")=$D$5)*(INDIRECT("'"&amp;$C236&amp;"'!$H$23:$H$200")=$E$5)*(INDIRECT("'"&amp;$C236&amp;"'!$O$23:$O$200")&lt;=-0.5)*(INDIRECT("'"&amp;$C236&amp;"'!$O$23:$O$200")&gt;=-2)*((INDIRECT("'"&amp;$C236&amp;"'!$K$23:$K$200")-INDIRECT("'"&amp;$C236&amp;"'!$J$23:$J$200"))&gt;-1),1,0)))</f>
        <v/>
      </c>
      <c r="J237" s="601" t="str">
        <f t="shared" ca="1" si="222"/>
        <v/>
      </c>
      <c r="K237" s="522" t="str">
        <f>IF($C237="N","",E237+G237+I237)</f>
        <v/>
      </c>
      <c r="L237" s="655" t="str">
        <f t="array" aca="1" ref="L237" ca="1">IF($C237="N","",SUM(IF((INDIRECT("'"&amp;$C236&amp;"'!$I$23:$I$200")=$D$5)*(INDIRECT("'"&amp;$C236&amp;"'!$H$23:$H$200")=$L$5)*(INDIRECT("'"&amp;$C236&amp;"'!$O$23:$O$200")&lt;=-0.5)*(INDIRECT("'"&amp;$C236&amp;"'!$O$23:$O$200")&gt;=-2)*((INDIRECT("'"&amp;$C236&amp;"'!$J$23:$J$200")-INDIRECT("'"&amp;$C236&amp;"'!$K$23:$K$200"))&gt;1),1,0)))</f>
        <v/>
      </c>
      <c r="M237" s="601" t="str">
        <f t="shared" ca="1" si="223"/>
        <v/>
      </c>
      <c r="N237" s="418" t="str">
        <f t="array" aca="1" ref="N237" ca="1">IF($C237="N","",SUM(IF((INDIRECT("'"&amp;$C236&amp;"'!$I$23:$I$200")=$D$5)*(INDIRECT("'"&amp;$C236&amp;"'!$H$23:$H$200")=$L$5)*(INDIRECT("'"&amp;$C236&amp;"'!$O$23:$O$200")&lt;=-0.5)*(INDIRECT("'"&amp;$C236&amp;"'!$O$23:$O$200")&gt;=-2)*((INDIRECT("'"&amp;$C236&amp;"'!$J$23:$J$200")-INDIRECT("'"&amp;$C236&amp;"'!$K$23:$K$200"))=1),1,0)))</f>
        <v/>
      </c>
      <c r="O237" s="601" t="str">
        <f t="shared" ca="1" si="224"/>
        <v/>
      </c>
      <c r="P237" s="418" t="str">
        <f t="array" aca="1" ref="P237" ca="1">IF($C237="N","",SUM(IF((INDIRECT("'"&amp;$C236&amp;"'!$I$23:$I$200")=$D$5)*(INDIRECT("'"&amp;$C236&amp;"'!$H$23:$H$200")=$L$5)*(INDIRECT("'"&amp;$C236&amp;"'!$O$23:$O$200")&lt;=-0.5)*(INDIRECT("'"&amp;$C236&amp;"'!$O$23:$O$200")&gt;=-2)*((INDIRECT("'"&amp;$C236&amp;"'!$K$23:$K$200")-INDIRECT("'"&amp;$C236&amp;"'!$J$23:$J$200"))&gt;-1),1,0)))</f>
        <v/>
      </c>
      <c r="Q237" s="601" t="str">
        <f t="shared" ca="1" si="225"/>
        <v/>
      </c>
      <c r="R237" s="522" t="str">
        <f>IF($C237="N","",L237+N237+P237)</f>
        <v/>
      </c>
      <c r="S237" s="655" t="str">
        <f>IF($C237="N","",L237+E237)</f>
        <v/>
      </c>
      <c r="T237" s="601" t="str">
        <f t="shared" si="226"/>
        <v/>
      </c>
      <c r="U237" s="418" t="str">
        <f>IF($C237="N","",N237+G237)</f>
        <v/>
      </c>
      <c r="V237" s="601" t="str">
        <f t="shared" si="227"/>
        <v/>
      </c>
      <c r="W237" s="418" t="str">
        <f>IF($C237="N","",P237+I237)</f>
        <v/>
      </c>
      <c r="X237" s="601" t="str">
        <f t="shared" si="228"/>
        <v/>
      </c>
      <c r="Y237" s="602" t="str">
        <f>IF($C237="N","",R237+K237)</f>
        <v/>
      </c>
      <c r="Z237" s="355"/>
    </row>
    <row r="238" spans="2:26">
      <c r="B238" s="568"/>
      <c r="C238" s="357" t="str">
        <f>C237</f>
        <v>N</v>
      </c>
      <c r="D238" s="654">
        <v>0</v>
      </c>
      <c r="E238" s="655" t="str">
        <f t="array" aca="1" ref="E238" ca="1">IF($C238="N","",SUM(IF((INDIRECT("'"&amp;$C236&amp;"'!$I$23:$I$200")=$D$5)*(INDIRECT("'"&amp;$C236&amp;"'!$H$23:$H$200")=$E$5)*(INDIRECT("'"&amp;$C236&amp;"'!$O$23:$O$200")&gt;=-0.25)*(INDIRECT("'"&amp;$C236&amp;"'!$O$23:$O$200")&lt;=0.25)*(INDIRECT("'"&amp;$C236&amp;"'!$O$23:$O$200")&lt;&gt;"")*((INDIRECT("'"&amp;$C236&amp;"'!$J$23:$J$200")-INDIRECT("'"&amp;$C236&amp;"'!$K$23:$K$200"))&gt;0),1,0)))</f>
        <v/>
      </c>
      <c r="F238" s="601" t="str">
        <f t="shared" ca="1" si="220"/>
        <v/>
      </c>
      <c r="G238" s="418" t="str">
        <f t="array" aca="1" ref="G238" ca="1">IF($C238="N","",SUM(IF((INDIRECT("'"&amp;$C236&amp;"'!$I$23:$I$200")=$D$5)*(INDIRECT("'"&amp;$C236&amp;"'!$H$23:$H$200")=$E$5)*(INDIRECT("'"&amp;$C236&amp;"'!$O$23:$O$200")&gt;=-0.25)*(INDIRECT("'"&amp;$C236&amp;"'!$O$23:$O$200")&lt;=0.25)*(INDIRECT("'"&amp;$C236&amp;"'!$O$23:$O$200")&lt;&gt;"")*((INDIRECT("'"&amp;$C236&amp;"'!$J$23:$J$200")-INDIRECT("'"&amp;$C236&amp;"'!$K$23:$K$200"))=0),1,0)))</f>
        <v/>
      </c>
      <c r="H238" s="601" t="str">
        <f t="shared" ca="1" si="221"/>
        <v/>
      </c>
      <c r="I238" s="418" t="str">
        <f t="array" aca="1" ref="I238" ca="1">IF($C238="N","",SUM(IF((INDIRECT("'"&amp;$C236&amp;"'!$I$23:$I$200")=$D$5)*(INDIRECT("'"&amp;$C236&amp;"'!$H$23:$H$200")=$E$5)*(INDIRECT("'"&amp;$C236&amp;"'!$O$23:$O$200")&gt;=-0.25)*(INDIRECT("'"&amp;$C236&amp;"'!$O$23:$O$200")&lt;=0.25)*(INDIRECT("'"&amp;$C236&amp;"'!$O$23:$O$200")&lt;&gt;"")*((INDIRECT("'"&amp;$C236&amp;"'!$J$23:$J$200")-INDIRECT("'"&amp;$C236&amp;"'!$K$23:$K$200"))&lt;0),1,0)))</f>
        <v/>
      </c>
      <c r="J238" s="601" t="str">
        <f t="shared" ca="1" si="222"/>
        <v/>
      </c>
      <c r="K238" s="522" t="str">
        <f>IF($C238="N","",E238+G238+I238)</f>
        <v/>
      </c>
      <c r="L238" s="655" t="str">
        <f t="array" aca="1" ref="L238" ca="1">IF($C238="N","",SUM(IF((INDIRECT("'"&amp;$C236&amp;"'!$I$23:$I$200")=$D$5)*(INDIRECT("'"&amp;$C236&amp;"'!$H$23:$H$200")=$L$5)*(INDIRECT("'"&amp;$C236&amp;"'!$O$23:$O$200")&gt;=-0.25)*(INDIRECT("'"&amp;$C236&amp;"'!$O$23:$O$200")&lt;=0.25)*(INDIRECT("'"&amp;$C236&amp;"'!$O$23:$O$200")&lt;&gt;"")*((INDIRECT("'"&amp;$C236&amp;"'!$J$23:$J$200")-INDIRECT("'"&amp;$C236&amp;"'!$K$23:$K$200"))&gt;0),1,0)))</f>
        <v/>
      </c>
      <c r="M238" s="601" t="str">
        <f t="shared" ca="1" si="223"/>
        <v/>
      </c>
      <c r="N238" s="418" t="str">
        <f t="array" aca="1" ref="N238" ca="1">IF($C238="N","",SUM(IF((INDIRECT("'"&amp;$C236&amp;"'!$I$23:$I$200")=$D$5)*(INDIRECT("'"&amp;$C236&amp;"'!$H$23:$H$200")=$L$5)*(INDIRECT("'"&amp;$C236&amp;"'!$O$23:$O$200")&gt;=-0.25)*(INDIRECT("'"&amp;$C236&amp;"'!$O$23:$O$200")&lt;=0.25)*(INDIRECT("'"&amp;$C236&amp;"'!$O$23:$O$200")&lt;&gt;"")*((INDIRECT("'"&amp;$C236&amp;"'!$J$23:$J$200")-INDIRECT("'"&amp;$C236&amp;"'!$K$23:$K$200"))=0),1,0)))</f>
        <v/>
      </c>
      <c r="O238" s="601" t="str">
        <f t="shared" ca="1" si="224"/>
        <v/>
      </c>
      <c r="P238" s="418" t="str">
        <f t="array" aca="1" ref="P238" ca="1">IF($C238="N","",SUM(IF((INDIRECT("'"&amp;$C236&amp;"'!$I$23:$I$200")=$D$5)*(INDIRECT("'"&amp;$C236&amp;"'!$H$23:$H$200")=$L$5)*(INDIRECT("'"&amp;$C236&amp;"'!$O$23:$O$200")&gt;=-0.25)*(INDIRECT("'"&amp;$C236&amp;"'!$O$23:$O$200")&lt;=0.25)*(INDIRECT("'"&amp;$C236&amp;"'!$O$23:$O$200")&lt;&gt;"")*((INDIRECT("'"&amp;$C236&amp;"'!$J$23:$J$200")-INDIRECT("'"&amp;$C236&amp;"'!$K$23:$K$200"))&lt;0),1,0)))</f>
        <v/>
      </c>
      <c r="Q238" s="601" t="str">
        <f t="shared" ca="1" si="225"/>
        <v/>
      </c>
      <c r="R238" s="522" t="str">
        <f>IF($C238="N","",L238+N238+P238)</f>
        <v/>
      </c>
      <c r="S238" s="655" t="str">
        <f>IF($C238="N","",L238+E238)</f>
        <v/>
      </c>
      <c r="T238" s="601" t="str">
        <f t="shared" si="226"/>
        <v/>
      </c>
      <c r="U238" s="418" t="str">
        <f>IF($C238="N","",N238+G238)</f>
        <v/>
      </c>
      <c r="V238" s="601" t="str">
        <f t="shared" si="227"/>
        <v/>
      </c>
      <c r="W238" s="418" t="str">
        <f>IF($C238="N","",P238+I238)</f>
        <v/>
      </c>
      <c r="X238" s="601" t="str">
        <f t="shared" si="228"/>
        <v/>
      </c>
      <c r="Y238" s="602" t="str">
        <f>IF($C238="N","",R238+K238)</f>
        <v/>
      </c>
      <c r="Z238" s="355"/>
    </row>
    <row r="239" spans="2:26">
      <c r="B239" s="568"/>
      <c r="C239" s="357" t="str">
        <f>C238</f>
        <v>N</v>
      </c>
      <c r="D239" s="654">
        <v>1</v>
      </c>
      <c r="E239" s="655" t="str">
        <f t="array" aca="1" ref="E239" ca="1">IF($C239="N","",SUM(IF((INDIRECT("'"&amp;$C236&amp;"'!$I$23:$I$200")=$D$5)*(INDIRECT("'"&amp;$C236&amp;"'!$H$23:$H$200")=$E$5)*(INDIRECT("'"&amp;$C236&amp;"'!$O$23:$O$200")&gt;=0.5)*(INDIRECT("'"&amp;$C236&amp;"'!$O$23:$O$200")&lt;=2)*((INDIRECT("'"&amp;$C236&amp;"'!$J$23:$J$200")-INDIRECT("'"&amp;$C236&amp;"'!$K$23:$K$200"))&gt;-1),1,0)))</f>
        <v/>
      </c>
      <c r="F239" s="601" t="str">
        <f t="shared" ca="1" si="220"/>
        <v/>
      </c>
      <c r="G239" s="418" t="str">
        <f t="array" aca="1" ref="G239" ca="1">IF($C239="N","",SUM(IF((INDIRECT("'"&amp;$C236&amp;"'!$I$23:$I$200")=$D$5)*(INDIRECT("'"&amp;$C236&amp;"'!$H$23:$H$200")=$E$5)*(INDIRECT("'"&amp;$C236&amp;"'!$O$23:$O$200")&gt;=0.5)*(INDIRECT("'"&amp;$C236&amp;"'!$O$23:$O$200")&lt;=2)*((INDIRECT("'"&amp;$C236&amp;"'!$J$23:$J$200")-INDIRECT("'"&amp;$C236&amp;"'!$K$23:$K$200"))=-1),1,0)))</f>
        <v/>
      </c>
      <c r="H239" s="601" t="str">
        <f t="shared" ca="1" si="221"/>
        <v/>
      </c>
      <c r="I239" s="418" t="str">
        <f t="array" aca="1" ref="I239" ca="1">IF($C239="N","",SUM(IF((INDIRECT("'"&amp;$C236&amp;"'!$I$23:$I$200")=$D$5)*(INDIRECT("'"&amp;$C236&amp;"'!$H$23:$H$200")=$E$5)*(INDIRECT("'"&amp;$C236&amp;"'!$O$23:$O$200")&gt;=0.5)*(INDIRECT("'"&amp;$C236&amp;"'!$O$23:$O$200")&lt;=2)*((INDIRECT("'"&amp;$C236&amp;"'!$J$23:$J$200")-INDIRECT("'"&amp;$C236&amp;"'!$K$23:$K$200"))&lt;-1),1,0)))</f>
        <v/>
      </c>
      <c r="J239" s="601" t="str">
        <f t="shared" ca="1" si="222"/>
        <v/>
      </c>
      <c r="K239" s="522" t="str">
        <f>IF($C239="N","",E239+G239+I239)</f>
        <v/>
      </c>
      <c r="L239" s="655" t="str">
        <f t="array" aca="1" ref="L239" ca="1">IF($C239="N","",SUM(IF((INDIRECT("'"&amp;$C236&amp;"'!$I$23:$I$200")=$D$5)*(INDIRECT("'"&amp;$C236&amp;"'!$H$23:$H$200")=$L$5)*(INDIRECT("'"&amp;$C236&amp;"'!$O$23:$O$200")&gt;=0.5)*(INDIRECT("'"&amp;$C236&amp;"'!$O$23:$O$200")&lt;=2)*((INDIRECT("'"&amp;$C236&amp;"'!$J$23:$J$200")-INDIRECT("'"&amp;$C236&amp;"'!$K$23:$K$200"))&gt;-1),1,0)))</f>
        <v/>
      </c>
      <c r="M239" s="601" t="str">
        <f t="shared" ca="1" si="223"/>
        <v/>
      </c>
      <c r="N239" s="418" t="str">
        <f t="array" aca="1" ref="N239" ca="1">IF($C239="N","",SUM(IF((INDIRECT("'"&amp;$C236&amp;"'!$I$23:$I$200")=$D$5)*(INDIRECT("'"&amp;$C236&amp;"'!$H$23:$H$200")=$L$5)*(INDIRECT("'"&amp;$C236&amp;"'!$O$23:$O$200")&gt;=0.5)*(INDIRECT("'"&amp;$C236&amp;"'!$O$23:$O$200")&lt;=2)*((INDIRECT("'"&amp;$C236&amp;"'!$J$23:$J$200")-INDIRECT("'"&amp;$C236&amp;"'!$K$23:$K$200"))=-1),1,0)))</f>
        <v/>
      </c>
      <c r="O239" s="601" t="str">
        <f t="shared" ca="1" si="224"/>
        <v/>
      </c>
      <c r="P239" s="418" t="str">
        <f t="array" aca="1" ref="P239" ca="1">IF($C239="N","",SUM(IF((INDIRECT("'"&amp;$C236&amp;"'!$I$23:$I$200")=$D$5)*(INDIRECT("'"&amp;$C236&amp;"'!$H$23:$H$200")=$L$5)*(INDIRECT("'"&amp;$C236&amp;"'!$O$23:$O$200")&gt;=0.5)*(INDIRECT("'"&amp;$C236&amp;"'!$O$23:$O$200")&lt;=2)*((INDIRECT("'"&amp;$C236&amp;"'!$J$23:$J$200")-INDIRECT("'"&amp;$C236&amp;"'!$K$23:$K$200"))&lt;-1),1,0)))</f>
        <v/>
      </c>
      <c r="Q239" s="601" t="str">
        <f t="shared" ca="1" si="225"/>
        <v/>
      </c>
      <c r="R239" s="522" t="str">
        <f>IF($C239="N","",L239+N239+P239)</f>
        <v/>
      </c>
      <c r="S239" s="655" t="str">
        <f>IF($C239="N","",L239+E239)</f>
        <v/>
      </c>
      <c r="T239" s="601" t="str">
        <f t="shared" si="226"/>
        <v/>
      </c>
      <c r="U239" s="418" t="str">
        <f>IF($C239="N","",N239+G239)</f>
        <v/>
      </c>
      <c r="V239" s="601" t="str">
        <f t="shared" si="227"/>
        <v/>
      </c>
      <c r="W239" s="418" t="str">
        <f>IF($C239="N","",P239+I239)</f>
        <v/>
      </c>
      <c r="X239" s="601" t="str">
        <f t="shared" si="228"/>
        <v/>
      </c>
      <c r="Y239" s="602" t="str">
        <f>IF($C239="N","",R239+K239)</f>
        <v/>
      </c>
      <c r="Z239" s="355"/>
    </row>
    <row r="240" spans="2:26" ht="13.5" thickBot="1">
      <c r="B240" s="568"/>
      <c r="C240" s="357" t="str">
        <f>C239</f>
        <v>N</v>
      </c>
      <c r="D240" s="654">
        <v>2</v>
      </c>
      <c r="E240" s="657" t="str">
        <f t="array" aca="1" ref="E240" ca="1">IF($C240="N","",SUM(IF((INDIRECT("'"&amp;$C236&amp;"'!$I$23:$I$200")=$D$5)*(INDIRECT("'"&amp;$C236&amp;"'!$H$23:$H$200")=$E$5)*(INDIRECT("'"&amp;$C236&amp;"'!$O$23:$O$200")&gt;=2.25)*((INDIRECT("'"&amp;$C236&amp;"'!$J$23:$J$200")-INDIRECT("'"&amp;$C236&amp;"'!$K$23:$K$200"))&gt;-2),1,0)))</f>
        <v/>
      </c>
      <c r="F240" s="605" t="str">
        <f t="shared" ca="1" si="220"/>
        <v/>
      </c>
      <c r="G240" s="658" t="str">
        <f t="array" aca="1" ref="G240" ca="1">IF($C240="N","",SUM(IF((INDIRECT("'"&amp;$C236&amp;"'!$I$23:$I$200")=$D$5)*(INDIRECT("'"&amp;$C236&amp;"'!$H$23:$H$200")=$E$5)*(INDIRECT("'"&amp;$C236&amp;"'!$O$23:$O$200")&gt;=2.25)*((INDIRECT("'"&amp;$C236&amp;"'!$J$23:$J$200")-INDIRECT("'"&amp;$C236&amp;"'!$K$23:$K$200"))=-2),1,0)))</f>
        <v/>
      </c>
      <c r="H240" s="605" t="str">
        <f t="shared" ca="1" si="221"/>
        <v/>
      </c>
      <c r="I240" s="658" t="str">
        <f t="array" aca="1" ref="I240" ca="1">IF($C240="N","",SUM(IF((INDIRECT("'"&amp;$C236&amp;"'!$I$23:$I$200")=$D$5)*(INDIRECT("'"&amp;$C236&amp;"'!$H$23:$H$200")=$E$5)*(INDIRECT("'"&amp;$C236&amp;"'!$O$23:$O$200")&gt;=2.25)*((INDIRECT("'"&amp;$C236&amp;"'!$J$23:$J$200")-INDIRECT("'"&amp;$C236&amp;"'!$K$23:$K$200"))&lt;-2),1,0)))</f>
        <v/>
      </c>
      <c r="J240" s="605" t="str">
        <f t="shared" ca="1" si="222"/>
        <v/>
      </c>
      <c r="K240" s="659" t="str">
        <f>IF($C240="N","",E240+G240+I240)</f>
        <v/>
      </c>
      <c r="L240" s="657" t="str">
        <f t="array" aca="1" ref="L240" ca="1">IF($C240="N","",SUM(IF((INDIRECT("'"&amp;$C236&amp;"'!$I$23:$I$200")=$D$5)*(INDIRECT("'"&amp;$C236&amp;"'!$H$23:$H$200")=$L$5)*(INDIRECT("'"&amp;$C236&amp;"'!$O$23:$O$200")&gt;=2.25)*((INDIRECT("'"&amp;$C236&amp;"'!$J$23:$J$200")-INDIRECT("'"&amp;$C236&amp;"'!$K$23:$K$200"))&gt;-2),1,0)))</f>
        <v/>
      </c>
      <c r="M240" s="605" t="str">
        <f t="shared" ca="1" si="223"/>
        <v/>
      </c>
      <c r="N240" s="658" t="str">
        <f t="array" aca="1" ref="N240" ca="1">IF($C240="N","",SUM(IF((INDIRECT("'"&amp;$C236&amp;"'!$I$23:$I$200")=$D$5)*(INDIRECT("'"&amp;$C236&amp;"'!$H$23:$H$200")=$L$5)*(INDIRECT("'"&amp;$C236&amp;"'!$O$23:$O$200")&gt;=2.25)*((INDIRECT("'"&amp;$C236&amp;"'!$J$23:$J$200")-INDIRECT("'"&amp;$C236&amp;"'!$K$23:$K$200"))=-2),1,0)))</f>
        <v/>
      </c>
      <c r="O240" s="605" t="str">
        <f t="shared" ca="1" si="224"/>
        <v/>
      </c>
      <c r="P240" s="658" t="str">
        <f t="array" aca="1" ref="P240" ca="1">IF($C240="N","",SUM(IF((INDIRECT("'"&amp;$C236&amp;"'!$I$23:$I$200")=$D$5)*(INDIRECT("'"&amp;$C236&amp;"'!$H$23:$H$200")=$L$5)*(INDIRECT("'"&amp;$C236&amp;"'!$O$23:$O$200")&gt;=2.25)*((INDIRECT("'"&amp;$C236&amp;"'!$J$23:$J$200")-INDIRECT("'"&amp;$C236&amp;"'!$K$23:$K$200"))&lt;-2),1,0)))</f>
        <v/>
      </c>
      <c r="Q240" s="605" t="str">
        <f t="shared" ca="1" si="225"/>
        <v/>
      </c>
      <c r="R240" s="659" t="str">
        <f>IF($C240="N","",L240+N240+P240)</f>
        <v/>
      </c>
      <c r="S240" s="657" t="str">
        <f>IF($C240="N","",L240+E240)</f>
        <v/>
      </c>
      <c r="T240" s="605" t="str">
        <f t="shared" si="226"/>
        <v/>
      </c>
      <c r="U240" s="658" t="str">
        <f>IF($C240="N","",N240+G240)</f>
        <v/>
      </c>
      <c r="V240" s="605" t="str">
        <f t="shared" si="227"/>
        <v/>
      </c>
      <c r="W240" s="658" t="str">
        <f>IF($C240="N","",P240+I240)</f>
        <v/>
      </c>
      <c r="X240" s="605" t="str">
        <f t="shared" si="228"/>
        <v/>
      </c>
      <c r="Y240" s="608" t="str">
        <f>IF($C240="N","",R240+K240)</f>
        <v/>
      </c>
      <c r="Z240" s="355"/>
    </row>
    <row r="241" spans="2:26" ht="13.5" thickBot="1">
      <c r="B241" s="568">
        <f>D234</f>
        <v>0</v>
      </c>
      <c r="D241" s="661" t="s">
        <v>115</v>
      </c>
      <c r="E241" s="481">
        <f ca="1">SUM(E236:E240)</f>
        <v>0</v>
      </c>
      <c r="F241" s="435" t="str">
        <f t="shared" ca="1" si="220"/>
        <v>-</v>
      </c>
      <c r="G241" s="438">
        <f ca="1">SUM(G236:G240)</f>
        <v>0</v>
      </c>
      <c r="H241" s="435" t="str">
        <f t="shared" ca="1" si="221"/>
        <v>-</v>
      </c>
      <c r="I241" s="438">
        <f ca="1">SUM(I236:I240)</f>
        <v>0</v>
      </c>
      <c r="J241" s="435" t="str">
        <f t="shared" ca="1" si="222"/>
        <v>-</v>
      </c>
      <c r="K241" s="479">
        <f>SUM(K236:K240)</f>
        <v>0</v>
      </c>
      <c r="L241" s="662">
        <f ca="1">SUM(L236:L240)</f>
        <v>0</v>
      </c>
      <c r="M241" s="435" t="str">
        <f t="shared" ca="1" si="223"/>
        <v>-</v>
      </c>
      <c r="N241" s="438">
        <f ca="1">SUM(N236:N240)</f>
        <v>0</v>
      </c>
      <c r="O241" s="435" t="str">
        <f t="shared" ca="1" si="224"/>
        <v>-</v>
      </c>
      <c r="P241" s="438">
        <f ca="1">SUM(P236:P240)</f>
        <v>0</v>
      </c>
      <c r="Q241" s="435" t="str">
        <f t="shared" ca="1" si="225"/>
        <v>-</v>
      </c>
      <c r="R241" s="480">
        <f>SUM(R236:R240)</f>
        <v>0</v>
      </c>
      <c r="S241" s="481">
        <f>SUM(S236:S240)</f>
        <v>0</v>
      </c>
      <c r="T241" s="435" t="str">
        <f t="shared" si="226"/>
        <v>-</v>
      </c>
      <c r="U241" s="438">
        <f>SUM(U236:U240)</f>
        <v>0</v>
      </c>
      <c r="V241" s="435" t="str">
        <f t="shared" si="227"/>
        <v>-</v>
      </c>
      <c r="W241" s="438">
        <f>SUM(W236:W240)</f>
        <v>0</v>
      </c>
      <c r="X241" s="435" t="str">
        <f t="shared" si="228"/>
        <v>-</v>
      </c>
      <c r="Y241" s="479">
        <f>SUM(Y236:Y240)</f>
        <v>0</v>
      </c>
    </row>
    <row r="242" spans="2:26" ht="13.5" thickBot="1">
      <c r="B242" s="568"/>
    </row>
    <row r="243" spans="2:26">
      <c r="D243" s="562">
        <f>N2</f>
        <v>0</v>
      </c>
      <c r="E243" s="582" t="s">
        <v>162</v>
      </c>
      <c r="F243" s="583"/>
      <c r="G243" s="584"/>
      <c r="H243" s="583"/>
      <c r="I243" s="585"/>
      <c r="J243" s="584"/>
      <c r="K243" s="586"/>
      <c r="L243" s="641" t="s">
        <v>163</v>
      </c>
      <c r="M243" s="583"/>
      <c r="N243" s="584"/>
      <c r="O243" s="583"/>
      <c r="P243" s="585"/>
      <c r="Q243" s="583"/>
      <c r="R243" s="584"/>
      <c r="S243" s="582" t="s">
        <v>164</v>
      </c>
      <c r="T243" s="583"/>
      <c r="U243" s="584"/>
      <c r="V243" s="583"/>
      <c r="W243" s="587"/>
      <c r="X243" s="588"/>
      <c r="Y243" s="589"/>
    </row>
    <row r="244" spans="2:26" ht="13.5" thickBot="1">
      <c r="D244" s="644" t="s">
        <v>165</v>
      </c>
      <c r="E244" s="590" t="s">
        <v>63</v>
      </c>
      <c r="F244" s="591"/>
      <c r="G244" s="645" t="s">
        <v>64</v>
      </c>
      <c r="H244" s="591"/>
      <c r="I244" s="645" t="s">
        <v>65</v>
      </c>
      <c r="J244" s="645"/>
      <c r="K244" s="646" t="s">
        <v>171</v>
      </c>
      <c r="L244" s="647" t="s">
        <v>63</v>
      </c>
      <c r="M244" s="591"/>
      <c r="N244" s="645" t="s">
        <v>64</v>
      </c>
      <c r="O244" s="591"/>
      <c r="P244" s="645" t="s">
        <v>65</v>
      </c>
      <c r="Q244" s="591"/>
      <c r="R244" s="646" t="s">
        <v>172</v>
      </c>
      <c r="S244" s="590" t="s">
        <v>63</v>
      </c>
      <c r="T244" s="591"/>
      <c r="U244" s="645" t="s">
        <v>64</v>
      </c>
      <c r="V244" s="648"/>
      <c r="W244" s="645" t="s">
        <v>65</v>
      </c>
      <c r="X244" s="591"/>
      <c r="Y244" s="646" t="s">
        <v>168</v>
      </c>
      <c r="Z244" s="355"/>
    </row>
    <row r="245" spans="2:26">
      <c r="B245" s="568"/>
      <c r="C245" s="357" t="str">
        <f>IF(D243=0,"N",D243)</f>
        <v>N</v>
      </c>
      <c r="D245" s="651">
        <v>-2</v>
      </c>
      <c r="E245" s="599" t="str">
        <f t="array" aca="1" ref="E245" ca="1">IF($C245="N","",SUM(IF((INDIRECT("'"&amp;$C245&amp;"'!$I$23:$I$200")=$D$5)*(INDIRECT("'"&amp;$C245&amp;"'!$H$23:$H$200")=$E$5)*(INDIRECT("'"&amp;$C245&amp;"'!$O$23:$O$200")&lt;=-2.25)*((INDIRECT("'"&amp;$C245&amp;"'!$J$23:$J$200")-INDIRECT("'"&amp;$C245&amp;"'!$K$23:$K$200"))&gt;2),1,0)))</f>
        <v/>
      </c>
      <c r="F245" s="406" t="str">
        <f t="shared" ref="F245:F250" ca="1" si="229">IF(E245="","",IF(E245=0,"-",E245/$K245))</f>
        <v/>
      </c>
      <c r="G245" s="408" t="str">
        <f t="array" aca="1" ref="G245" ca="1">IF($C245="N","",SUM(IF((INDIRECT("'"&amp;$C245&amp;"'!$I$23:$I$200")=$D$5)*(INDIRECT("'"&amp;$C245&amp;"'!$H$23:$H$200")=$E$5)*(INDIRECT("'"&amp;$C245&amp;"'!$O$23:$O$200")&lt;=-2.25)*((INDIRECT("'"&amp;$C245&amp;"'!$J$23:$J$200")-INDIRECT("'"&amp;$C245&amp;"'!$K$23:$K$200"))=2),1,0)))</f>
        <v/>
      </c>
      <c r="H245" s="406" t="str">
        <f t="shared" ref="H245:H250" ca="1" si="230">IF(G245="","",IF(G245=0,"-",G245/$K245))</f>
        <v/>
      </c>
      <c r="I245" s="408" t="str">
        <f t="array" aca="1" ref="I245" ca="1">IF($C245="N","",SUM(IF((INDIRECT("'"&amp;$C245&amp;"'!$I$23:$I$200")=$D$5)*(INDIRECT("'"&amp;$C245&amp;"'!$H$23:$H$200")=$E$5)*(INDIRECT("'"&amp;$C245&amp;"'!$O$23:$O$200")&lt;=-2.25)*((INDIRECT("'"&amp;$C245&amp;"'!$K$23:$K$200")-INDIRECT("'"&amp;$C245&amp;"'!$J$23:$J$200"))&gt;-2),1,0)))</f>
        <v/>
      </c>
      <c r="J245" s="406" t="str">
        <f t="shared" ref="J245:J250" ca="1" si="231">IF(I245="","",IF(I245=0,"-",I245/$K245))</f>
        <v/>
      </c>
      <c r="K245" s="602" t="str">
        <f>IF($C245="N","",E245+G245+I245)</f>
        <v/>
      </c>
      <c r="L245" s="599" t="str">
        <f t="array" aca="1" ref="L245" ca="1">IF($C245="N","",SUM(IF((INDIRECT("'"&amp;$C245&amp;"'!$I$23:$I$200")=$D$5)*(INDIRECT("'"&amp;$C245&amp;"'!$H$23:$H$200")=$L$5)*(INDIRECT("'"&amp;$C245&amp;"'!$O$23:$O$200")&lt;=-2.25)*((INDIRECT("'"&amp;$C245&amp;"'!$J$23:$J$200")-INDIRECT("'"&amp;$C245&amp;"'!$K$23:$K$200"))&gt;2),1,0)))</f>
        <v/>
      </c>
      <c r="M245" s="406" t="str">
        <f t="shared" ref="M245:M250" ca="1" si="232">IF(L245="","",IF(L245=0,"-",L245/$R245))</f>
        <v/>
      </c>
      <c r="N245" s="408" t="str">
        <f t="array" aca="1" ref="N245" ca="1">IF($C245="N","",SUM(IF((INDIRECT("'"&amp;$C245&amp;"'!$I$23:$I$200")=$D$5)*(INDIRECT("'"&amp;$C245&amp;"'!$H$23:$H$200")=$L$5)*(INDIRECT("'"&amp;$C245&amp;"'!$O$23:$O$200")&lt;=-2.25)*((INDIRECT("'"&amp;$C245&amp;"'!$J$23:$J$200")-INDIRECT("'"&amp;$C245&amp;"'!$K$23:$K$200"))=2),1,0)))</f>
        <v/>
      </c>
      <c r="O245" s="406" t="str">
        <f t="shared" ref="O245:O250" ca="1" si="233">IF(N245="","",IF(N245=0,"-",N245/$R245))</f>
        <v/>
      </c>
      <c r="P245" s="408" t="str">
        <f t="array" aca="1" ref="P245" ca="1">IF($C245="N","",SUM(IF((INDIRECT("'"&amp;$C245&amp;"'!$I$23:$I$200")=$D$5)*(INDIRECT("'"&amp;$C245&amp;"'!$H$23:$H$200")=$L$5)*(INDIRECT("'"&amp;$C245&amp;"'!$O$23:$O$200")&lt;=-2.25)*((INDIRECT("'"&amp;$C245&amp;"'!$K$23:$K$200")-INDIRECT("'"&amp;$C245&amp;"'!$J$23:$J$200"))&gt;-2),1,0)))</f>
        <v/>
      </c>
      <c r="Q245" s="406" t="str">
        <f t="shared" ref="Q245:Q250" ca="1" si="234">IF(P245="","",IF(P245=0,"-",P245/$R245))</f>
        <v/>
      </c>
      <c r="R245" s="602" t="str">
        <f>IF($C245="N","",L245+N245+P245)</f>
        <v/>
      </c>
      <c r="S245" s="599" t="str">
        <f>IF($C245="N","",L245+E245)</f>
        <v/>
      </c>
      <c r="T245" s="406" t="str">
        <f t="shared" ref="T245:T250" si="235">IF(S245="","",IF(S245=0,"-",S245/$Y245))</f>
        <v/>
      </c>
      <c r="U245" s="408" t="str">
        <f>IF($C245="N","",N245+G245)</f>
        <v/>
      </c>
      <c r="V245" s="406" t="str">
        <f t="shared" ref="V245:V250" si="236">IF(U245="","",IF(U245=0,"-",U245/$Y245))</f>
        <v/>
      </c>
      <c r="W245" s="408" t="str">
        <f>IF($C245="N","",P245+I245)</f>
        <v/>
      </c>
      <c r="X245" s="406" t="str">
        <f t="shared" ref="X245:X250" si="237">IF(W245="","",IF(W245=0,"-",W245/$Y245))</f>
        <v/>
      </c>
      <c r="Y245" s="602" t="str">
        <f>IF($C245="N","",R245+K245)</f>
        <v/>
      </c>
      <c r="Z245" s="355"/>
    </row>
    <row r="246" spans="2:26">
      <c r="B246" s="568"/>
      <c r="C246" s="357" t="str">
        <f>C245</f>
        <v>N</v>
      </c>
      <c r="D246" s="654">
        <v>-1</v>
      </c>
      <c r="E246" s="655" t="str">
        <f t="array" aca="1" ref="E246" ca="1">IF($C246="N","",SUM(IF((INDIRECT("'"&amp;$C245&amp;"'!$I$23:$I$200")=$D$5)*(INDIRECT("'"&amp;$C245&amp;"'!$H$23:$H$200")=$E$5)*(INDIRECT("'"&amp;$C245&amp;"'!$O$23:$O$200")&lt;=-0.5)*(INDIRECT("'"&amp;$C245&amp;"'!$O$23:$O$200")&gt;=-2)*((INDIRECT("'"&amp;$C245&amp;"'!$J$23:$J$200")-INDIRECT("'"&amp;$C245&amp;"'!$K$23:$K$200"))&gt;1),1,0)))</f>
        <v/>
      </c>
      <c r="F246" s="601" t="str">
        <f t="shared" ca="1" si="229"/>
        <v/>
      </c>
      <c r="G246" s="418" t="str">
        <f t="array" aca="1" ref="G246" ca="1">IF($C246="N","",SUM(IF((INDIRECT("'"&amp;$C245&amp;"'!$I$23:$I$200")=$D$5)*(INDIRECT("'"&amp;$C245&amp;"'!$H$23:$H$200")=$E$5)*(INDIRECT("'"&amp;$C245&amp;"'!$O$23:$O$200")&lt;=-0.5)*(INDIRECT("'"&amp;$C245&amp;"'!$O$23:$O$200")&gt;=-2)*((INDIRECT("'"&amp;$C245&amp;"'!$J$23:$J$200")-INDIRECT("'"&amp;$C245&amp;"'!$K$23:$K$200"))=1),1,0)))</f>
        <v/>
      </c>
      <c r="H246" s="601" t="str">
        <f t="shared" ca="1" si="230"/>
        <v/>
      </c>
      <c r="I246" s="418" t="str">
        <f t="array" aca="1" ref="I246" ca="1">IF($C246="N","",SUM(IF((INDIRECT("'"&amp;$C245&amp;"'!$I$23:$I$200")=$D$5)*(INDIRECT("'"&amp;$C245&amp;"'!$H$23:$H$200")=$E$5)*(INDIRECT("'"&amp;$C245&amp;"'!$O$23:$O$200")&lt;=-0.5)*(INDIRECT("'"&amp;$C245&amp;"'!$O$23:$O$200")&gt;=-2)*((INDIRECT("'"&amp;$C245&amp;"'!$K$23:$K$200")-INDIRECT("'"&amp;$C245&amp;"'!$J$23:$J$200"))&gt;-1),1,0)))</f>
        <v/>
      </c>
      <c r="J246" s="601" t="str">
        <f t="shared" ca="1" si="231"/>
        <v/>
      </c>
      <c r="K246" s="522" t="str">
        <f>IF($C246="N","",E246+G246+I246)</f>
        <v/>
      </c>
      <c r="L246" s="655" t="str">
        <f t="array" aca="1" ref="L246" ca="1">IF($C246="N","",SUM(IF((INDIRECT("'"&amp;$C245&amp;"'!$I$23:$I$200")=$D$5)*(INDIRECT("'"&amp;$C245&amp;"'!$H$23:$H$200")=$L$5)*(INDIRECT("'"&amp;$C245&amp;"'!$O$23:$O$200")&lt;=-0.5)*(INDIRECT("'"&amp;$C245&amp;"'!$O$23:$O$200")&gt;=-2)*((INDIRECT("'"&amp;$C245&amp;"'!$J$23:$J$200")-INDIRECT("'"&amp;$C245&amp;"'!$K$23:$K$200"))&gt;1),1,0)))</f>
        <v/>
      </c>
      <c r="M246" s="601" t="str">
        <f t="shared" ca="1" si="232"/>
        <v/>
      </c>
      <c r="N246" s="418" t="str">
        <f t="array" aca="1" ref="N246" ca="1">IF($C246="N","",SUM(IF((INDIRECT("'"&amp;$C245&amp;"'!$I$23:$I$200")=$D$5)*(INDIRECT("'"&amp;$C245&amp;"'!$H$23:$H$200")=$L$5)*(INDIRECT("'"&amp;$C245&amp;"'!$O$23:$O$200")&lt;=-0.5)*(INDIRECT("'"&amp;$C245&amp;"'!$O$23:$O$200")&gt;=-2)*((INDIRECT("'"&amp;$C245&amp;"'!$J$23:$J$200")-INDIRECT("'"&amp;$C245&amp;"'!$K$23:$K$200"))=1),1,0)))</f>
        <v/>
      </c>
      <c r="O246" s="601" t="str">
        <f t="shared" ca="1" si="233"/>
        <v/>
      </c>
      <c r="P246" s="418" t="str">
        <f t="array" aca="1" ref="P246" ca="1">IF($C246="N","",SUM(IF((INDIRECT("'"&amp;$C245&amp;"'!$I$23:$I$200")=$D$5)*(INDIRECT("'"&amp;$C245&amp;"'!$H$23:$H$200")=$L$5)*(INDIRECT("'"&amp;$C245&amp;"'!$O$23:$O$200")&lt;=-0.5)*(INDIRECT("'"&amp;$C245&amp;"'!$O$23:$O$200")&gt;=-2)*((INDIRECT("'"&amp;$C245&amp;"'!$K$23:$K$200")-INDIRECT("'"&amp;$C245&amp;"'!$J$23:$J$200"))&gt;-1),1,0)))</f>
        <v/>
      </c>
      <c r="Q246" s="601" t="str">
        <f t="shared" ca="1" si="234"/>
        <v/>
      </c>
      <c r="R246" s="522" t="str">
        <f>IF($C246="N","",L246+N246+P246)</f>
        <v/>
      </c>
      <c r="S246" s="655" t="str">
        <f>IF($C246="N","",L246+E246)</f>
        <v/>
      </c>
      <c r="T246" s="601" t="str">
        <f t="shared" si="235"/>
        <v/>
      </c>
      <c r="U246" s="418" t="str">
        <f>IF($C246="N","",N246+G246)</f>
        <v/>
      </c>
      <c r="V246" s="601" t="str">
        <f t="shared" si="236"/>
        <v/>
      </c>
      <c r="W246" s="418" t="str">
        <f>IF($C246="N","",P246+I246)</f>
        <v/>
      </c>
      <c r="X246" s="601" t="str">
        <f t="shared" si="237"/>
        <v/>
      </c>
      <c r="Y246" s="602" t="str">
        <f>IF($C246="N","",R246+K246)</f>
        <v/>
      </c>
      <c r="Z246" s="355"/>
    </row>
    <row r="247" spans="2:26">
      <c r="B247" s="568"/>
      <c r="C247" s="357" t="str">
        <f>C246</f>
        <v>N</v>
      </c>
      <c r="D247" s="654">
        <v>0</v>
      </c>
      <c r="E247" s="655" t="str">
        <f t="array" aca="1" ref="E247" ca="1">IF($C247="N","",SUM(IF((INDIRECT("'"&amp;$C245&amp;"'!$I$23:$I$200")=$D$5)*(INDIRECT("'"&amp;$C245&amp;"'!$H$23:$H$200")=$E$5)*(INDIRECT("'"&amp;$C245&amp;"'!$O$23:$O$200")&gt;=-0.25)*(INDIRECT("'"&amp;$C245&amp;"'!$O$23:$O$200")&lt;=0.25)*(INDIRECT("'"&amp;$C245&amp;"'!$O$23:$O$200")&lt;&gt;"")*((INDIRECT("'"&amp;$C245&amp;"'!$J$23:$J$200")-INDIRECT("'"&amp;$C245&amp;"'!$K$23:$K$200"))&gt;0),1,0)))</f>
        <v/>
      </c>
      <c r="F247" s="601" t="str">
        <f t="shared" ca="1" si="229"/>
        <v/>
      </c>
      <c r="G247" s="418" t="str">
        <f t="array" aca="1" ref="G247" ca="1">IF($C247="N","",SUM(IF((INDIRECT("'"&amp;$C245&amp;"'!$I$23:$I$200")=$D$5)*(INDIRECT("'"&amp;$C245&amp;"'!$H$23:$H$200")=$E$5)*(INDIRECT("'"&amp;$C245&amp;"'!$O$23:$O$200")&gt;=-0.25)*(INDIRECT("'"&amp;$C245&amp;"'!$O$23:$O$200")&lt;=0.25)*(INDIRECT("'"&amp;$C245&amp;"'!$O$23:$O$200")&lt;&gt;"")*((INDIRECT("'"&amp;$C245&amp;"'!$J$23:$J$200")-INDIRECT("'"&amp;$C245&amp;"'!$K$23:$K$200"))=0),1,0)))</f>
        <v/>
      </c>
      <c r="H247" s="601" t="str">
        <f t="shared" ca="1" si="230"/>
        <v/>
      </c>
      <c r="I247" s="418" t="str">
        <f t="array" aca="1" ref="I247" ca="1">IF($C247="N","",SUM(IF((INDIRECT("'"&amp;$C245&amp;"'!$I$23:$I$200")=$D$5)*(INDIRECT("'"&amp;$C245&amp;"'!$H$23:$H$200")=$E$5)*(INDIRECT("'"&amp;$C245&amp;"'!$O$23:$O$200")&gt;=-0.25)*(INDIRECT("'"&amp;$C245&amp;"'!$O$23:$O$200")&lt;=0.25)*(INDIRECT("'"&amp;$C245&amp;"'!$O$23:$O$200")&lt;&gt;"")*((INDIRECT("'"&amp;$C245&amp;"'!$J$23:$J$200")-INDIRECT("'"&amp;$C245&amp;"'!$K$23:$K$200"))&lt;0),1,0)))</f>
        <v/>
      </c>
      <c r="J247" s="601" t="str">
        <f t="shared" ca="1" si="231"/>
        <v/>
      </c>
      <c r="K247" s="522" t="str">
        <f>IF($C247="N","",E247+G247+I247)</f>
        <v/>
      </c>
      <c r="L247" s="655" t="str">
        <f t="array" aca="1" ref="L247" ca="1">IF($C247="N","",SUM(IF((INDIRECT("'"&amp;$C245&amp;"'!$I$23:$I$200")=$D$5)*(INDIRECT("'"&amp;$C245&amp;"'!$H$23:$H$200")=$L$5)*(INDIRECT("'"&amp;$C245&amp;"'!$O$23:$O$200")&gt;=-0.25)*(INDIRECT("'"&amp;$C245&amp;"'!$O$23:$O$200")&lt;=0.25)*(INDIRECT("'"&amp;$C245&amp;"'!$O$23:$O$200")&lt;&gt;"")*((INDIRECT("'"&amp;$C245&amp;"'!$J$23:$J$200")-INDIRECT("'"&amp;$C245&amp;"'!$K$23:$K$200"))&gt;0),1,0)))</f>
        <v/>
      </c>
      <c r="M247" s="601" t="str">
        <f t="shared" ca="1" si="232"/>
        <v/>
      </c>
      <c r="N247" s="418" t="str">
        <f t="array" aca="1" ref="N247" ca="1">IF($C247="N","",SUM(IF((INDIRECT("'"&amp;$C245&amp;"'!$I$23:$I$200")=$D$5)*(INDIRECT("'"&amp;$C245&amp;"'!$H$23:$H$200")=$L$5)*(INDIRECT("'"&amp;$C245&amp;"'!$O$23:$O$200")&gt;=-0.25)*(INDIRECT("'"&amp;$C245&amp;"'!$O$23:$O$200")&lt;=0.25)*(INDIRECT("'"&amp;$C245&amp;"'!$O$23:$O$200")&lt;&gt;"")*((INDIRECT("'"&amp;$C245&amp;"'!$J$23:$J$200")-INDIRECT("'"&amp;$C245&amp;"'!$K$23:$K$200"))=0),1,0)))</f>
        <v/>
      </c>
      <c r="O247" s="601" t="str">
        <f t="shared" ca="1" si="233"/>
        <v/>
      </c>
      <c r="P247" s="418" t="str">
        <f t="array" aca="1" ref="P247" ca="1">IF($C247="N","",SUM(IF((INDIRECT("'"&amp;$C245&amp;"'!$I$23:$I$200")=$D$5)*(INDIRECT("'"&amp;$C245&amp;"'!$H$23:$H$200")=$L$5)*(INDIRECT("'"&amp;$C245&amp;"'!$O$23:$O$200")&gt;=-0.25)*(INDIRECT("'"&amp;$C245&amp;"'!$O$23:$O$200")&lt;=0.25)*(INDIRECT("'"&amp;$C245&amp;"'!$O$23:$O$200")&lt;&gt;"")*((INDIRECT("'"&amp;$C245&amp;"'!$J$23:$J$200")-INDIRECT("'"&amp;$C245&amp;"'!$K$23:$K$200"))&lt;0),1,0)))</f>
        <v/>
      </c>
      <c r="Q247" s="601" t="str">
        <f t="shared" ca="1" si="234"/>
        <v/>
      </c>
      <c r="R247" s="522" t="str">
        <f>IF($C247="N","",L247+N247+P247)</f>
        <v/>
      </c>
      <c r="S247" s="655" t="str">
        <f>IF($C247="N","",L247+E247)</f>
        <v/>
      </c>
      <c r="T247" s="601" t="str">
        <f t="shared" si="235"/>
        <v/>
      </c>
      <c r="U247" s="418" t="str">
        <f>IF($C247="N","",N247+G247)</f>
        <v/>
      </c>
      <c r="V247" s="601" t="str">
        <f t="shared" si="236"/>
        <v/>
      </c>
      <c r="W247" s="418" t="str">
        <f>IF($C247="N","",P247+I247)</f>
        <v/>
      </c>
      <c r="X247" s="601" t="str">
        <f t="shared" si="237"/>
        <v/>
      </c>
      <c r="Y247" s="602" t="str">
        <f>IF($C247="N","",R247+K247)</f>
        <v/>
      </c>
      <c r="Z247" s="355"/>
    </row>
    <row r="248" spans="2:26">
      <c r="B248" s="568"/>
      <c r="C248" s="357" t="str">
        <f>C247</f>
        <v>N</v>
      </c>
      <c r="D248" s="654">
        <v>1</v>
      </c>
      <c r="E248" s="655" t="str">
        <f t="array" aca="1" ref="E248" ca="1">IF($C248="N","",SUM(IF((INDIRECT("'"&amp;$C245&amp;"'!$I$23:$I$200")=$D$5)*(INDIRECT("'"&amp;$C245&amp;"'!$H$23:$H$200")=$E$5)*(INDIRECT("'"&amp;$C245&amp;"'!$O$23:$O$200")&gt;=0.5)*(INDIRECT("'"&amp;$C245&amp;"'!$O$23:$O$200")&lt;=2)*((INDIRECT("'"&amp;$C245&amp;"'!$J$23:$J$200")-INDIRECT("'"&amp;$C245&amp;"'!$K$23:$K$200"))&gt;-1),1,0)))</f>
        <v/>
      </c>
      <c r="F248" s="601" t="str">
        <f t="shared" ca="1" si="229"/>
        <v/>
      </c>
      <c r="G248" s="418" t="str">
        <f t="array" aca="1" ref="G248" ca="1">IF($C248="N","",SUM(IF((INDIRECT("'"&amp;$C245&amp;"'!$I$23:$I$200")=$D$5)*(INDIRECT("'"&amp;$C245&amp;"'!$H$23:$H$200")=$E$5)*(INDIRECT("'"&amp;$C245&amp;"'!$O$23:$O$200")&gt;=0.5)*(INDIRECT("'"&amp;$C245&amp;"'!$O$23:$O$200")&lt;=2)*((INDIRECT("'"&amp;$C245&amp;"'!$J$23:$J$200")-INDIRECT("'"&amp;$C245&amp;"'!$K$23:$K$200"))=-1),1,0)))</f>
        <v/>
      </c>
      <c r="H248" s="601" t="str">
        <f t="shared" ca="1" si="230"/>
        <v/>
      </c>
      <c r="I248" s="418" t="str">
        <f t="array" aca="1" ref="I248" ca="1">IF($C248="N","",SUM(IF((INDIRECT("'"&amp;$C245&amp;"'!$I$23:$I$200")=$D$5)*(INDIRECT("'"&amp;$C245&amp;"'!$H$23:$H$200")=$E$5)*(INDIRECT("'"&amp;$C245&amp;"'!$O$23:$O$200")&gt;=0.5)*(INDIRECT("'"&amp;$C245&amp;"'!$O$23:$O$200")&lt;=2)*((INDIRECT("'"&amp;$C245&amp;"'!$J$23:$J$200")-INDIRECT("'"&amp;$C245&amp;"'!$K$23:$K$200"))&lt;-1),1,0)))</f>
        <v/>
      </c>
      <c r="J248" s="601" t="str">
        <f t="shared" ca="1" si="231"/>
        <v/>
      </c>
      <c r="K248" s="522" t="str">
        <f>IF($C248="N","",E248+G248+I248)</f>
        <v/>
      </c>
      <c r="L248" s="655" t="str">
        <f t="array" aca="1" ref="L248" ca="1">IF($C248="N","",SUM(IF((INDIRECT("'"&amp;$C245&amp;"'!$I$23:$I$200")=$D$5)*(INDIRECT("'"&amp;$C245&amp;"'!$H$23:$H$200")=$L$5)*(INDIRECT("'"&amp;$C245&amp;"'!$O$23:$O$200")&gt;=0.5)*(INDIRECT("'"&amp;$C245&amp;"'!$O$23:$O$200")&lt;=2)*((INDIRECT("'"&amp;$C245&amp;"'!$J$23:$J$200")-INDIRECT("'"&amp;$C245&amp;"'!$K$23:$K$200"))&gt;-1),1,0)))</f>
        <v/>
      </c>
      <c r="M248" s="601" t="str">
        <f t="shared" ca="1" si="232"/>
        <v/>
      </c>
      <c r="N248" s="418" t="str">
        <f t="array" aca="1" ref="N248" ca="1">IF($C248="N","",SUM(IF((INDIRECT("'"&amp;$C245&amp;"'!$I$23:$I$200")=$D$5)*(INDIRECT("'"&amp;$C245&amp;"'!$H$23:$H$200")=$L$5)*(INDIRECT("'"&amp;$C245&amp;"'!$O$23:$O$200")&gt;=0.5)*(INDIRECT("'"&amp;$C245&amp;"'!$O$23:$O$200")&lt;=2)*((INDIRECT("'"&amp;$C245&amp;"'!$J$23:$J$200")-INDIRECT("'"&amp;$C245&amp;"'!$K$23:$K$200"))=-1),1,0)))</f>
        <v/>
      </c>
      <c r="O248" s="601" t="str">
        <f t="shared" ca="1" si="233"/>
        <v/>
      </c>
      <c r="P248" s="418" t="str">
        <f t="array" aca="1" ref="P248" ca="1">IF($C248="N","",SUM(IF((INDIRECT("'"&amp;$C245&amp;"'!$I$23:$I$200")=$D$5)*(INDIRECT("'"&amp;$C245&amp;"'!$H$23:$H$200")=$L$5)*(INDIRECT("'"&amp;$C245&amp;"'!$O$23:$O$200")&gt;=0.5)*(INDIRECT("'"&amp;$C245&amp;"'!$O$23:$O$200")&lt;=2)*((INDIRECT("'"&amp;$C245&amp;"'!$J$23:$J$200")-INDIRECT("'"&amp;$C245&amp;"'!$K$23:$K$200"))&lt;-1),1,0)))</f>
        <v/>
      </c>
      <c r="Q248" s="601" t="str">
        <f t="shared" ca="1" si="234"/>
        <v/>
      </c>
      <c r="R248" s="522" t="str">
        <f>IF($C248="N","",L248+N248+P248)</f>
        <v/>
      </c>
      <c r="S248" s="655" t="str">
        <f>IF($C248="N","",L248+E248)</f>
        <v/>
      </c>
      <c r="T248" s="601" t="str">
        <f t="shared" si="235"/>
        <v/>
      </c>
      <c r="U248" s="418" t="str">
        <f>IF($C248="N","",N248+G248)</f>
        <v/>
      </c>
      <c r="V248" s="601" t="str">
        <f t="shared" si="236"/>
        <v/>
      </c>
      <c r="W248" s="418" t="str">
        <f>IF($C248="N","",P248+I248)</f>
        <v/>
      </c>
      <c r="X248" s="601" t="str">
        <f t="shared" si="237"/>
        <v/>
      </c>
      <c r="Y248" s="602" t="str">
        <f>IF($C248="N","",R248+K248)</f>
        <v/>
      </c>
      <c r="Z248" s="355"/>
    </row>
    <row r="249" spans="2:26" ht="13.5" thickBot="1">
      <c r="B249" s="568"/>
      <c r="C249" s="357" t="str">
        <f>C248</f>
        <v>N</v>
      </c>
      <c r="D249" s="654">
        <v>2</v>
      </c>
      <c r="E249" s="657" t="str">
        <f t="array" aca="1" ref="E249" ca="1">IF($C249="N","",SUM(IF((INDIRECT("'"&amp;$C245&amp;"'!$I$23:$I$200")=$D$5)*(INDIRECT("'"&amp;$C245&amp;"'!$H$23:$H$200")=$E$5)*(INDIRECT("'"&amp;$C245&amp;"'!$O$23:$O$200")&gt;=2.25)*((INDIRECT("'"&amp;$C245&amp;"'!$J$23:$J$200")-INDIRECT("'"&amp;$C245&amp;"'!$K$23:$K$200"))&gt;-2),1,0)))</f>
        <v/>
      </c>
      <c r="F249" s="605" t="str">
        <f t="shared" ca="1" si="229"/>
        <v/>
      </c>
      <c r="G249" s="658" t="str">
        <f t="array" aca="1" ref="G249" ca="1">IF($C249="N","",SUM(IF((INDIRECT("'"&amp;$C245&amp;"'!$I$23:$I$200")=$D$5)*(INDIRECT("'"&amp;$C245&amp;"'!$H$23:$H$200")=$E$5)*(INDIRECT("'"&amp;$C245&amp;"'!$O$23:$O$200")&gt;=2.25)*((INDIRECT("'"&amp;$C245&amp;"'!$J$23:$J$200")-INDIRECT("'"&amp;$C245&amp;"'!$K$23:$K$200"))=-2),1,0)))</f>
        <v/>
      </c>
      <c r="H249" s="605" t="str">
        <f t="shared" ca="1" si="230"/>
        <v/>
      </c>
      <c r="I249" s="658" t="str">
        <f t="array" aca="1" ref="I249" ca="1">IF($C249="N","",SUM(IF((INDIRECT("'"&amp;$C245&amp;"'!$I$23:$I$200")=$D$5)*(INDIRECT("'"&amp;$C245&amp;"'!$H$23:$H$200")=$E$5)*(INDIRECT("'"&amp;$C245&amp;"'!$O$23:$O$200")&gt;=2.25)*((INDIRECT("'"&amp;$C245&amp;"'!$J$23:$J$200")-INDIRECT("'"&amp;$C245&amp;"'!$K$23:$K$200"))&lt;-2),1,0)))</f>
        <v/>
      </c>
      <c r="J249" s="605" t="str">
        <f t="shared" ca="1" si="231"/>
        <v/>
      </c>
      <c r="K249" s="659" t="str">
        <f>IF($C249="N","",E249+G249+I249)</f>
        <v/>
      </c>
      <c r="L249" s="657" t="str">
        <f t="array" aca="1" ref="L249" ca="1">IF($C249="N","",SUM(IF((INDIRECT("'"&amp;$C245&amp;"'!$I$23:$I$200")=$D$5)*(INDIRECT("'"&amp;$C245&amp;"'!$H$23:$H$200")=$L$5)*(INDIRECT("'"&amp;$C245&amp;"'!$O$23:$O$200")&gt;=2.25)*((INDIRECT("'"&amp;$C245&amp;"'!$J$23:$J$200")-INDIRECT("'"&amp;$C245&amp;"'!$K$23:$K$200"))&gt;-2),1,0)))</f>
        <v/>
      </c>
      <c r="M249" s="605" t="str">
        <f t="shared" ca="1" si="232"/>
        <v/>
      </c>
      <c r="N249" s="658" t="str">
        <f t="array" aca="1" ref="N249" ca="1">IF($C249="N","",SUM(IF((INDIRECT("'"&amp;$C245&amp;"'!$I$23:$I$200")=$D$5)*(INDIRECT("'"&amp;$C245&amp;"'!$H$23:$H$200")=$L$5)*(INDIRECT("'"&amp;$C245&amp;"'!$O$23:$O$200")&gt;=2.25)*((INDIRECT("'"&amp;$C245&amp;"'!$J$23:$J$200")-INDIRECT("'"&amp;$C245&amp;"'!$K$23:$K$200"))=-2),1,0)))</f>
        <v/>
      </c>
      <c r="O249" s="605" t="str">
        <f t="shared" ca="1" si="233"/>
        <v/>
      </c>
      <c r="P249" s="658" t="str">
        <f t="array" aca="1" ref="P249" ca="1">IF($C249="N","",SUM(IF((INDIRECT("'"&amp;$C245&amp;"'!$I$23:$I$200")=$D$5)*(INDIRECT("'"&amp;$C245&amp;"'!$H$23:$H$200")=$L$5)*(INDIRECT("'"&amp;$C245&amp;"'!$O$23:$O$200")&gt;=2.25)*((INDIRECT("'"&amp;$C245&amp;"'!$J$23:$J$200")-INDIRECT("'"&amp;$C245&amp;"'!$K$23:$K$200"))&lt;-2),1,0)))</f>
        <v/>
      </c>
      <c r="Q249" s="605" t="str">
        <f t="shared" ca="1" si="234"/>
        <v/>
      </c>
      <c r="R249" s="659" t="str">
        <f>IF($C249="N","",L249+N249+P249)</f>
        <v/>
      </c>
      <c r="S249" s="657" t="str">
        <f>IF($C249="N","",L249+E249)</f>
        <v/>
      </c>
      <c r="T249" s="605" t="str">
        <f t="shared" si="235"/>
        <v/>
      </c>
      <c r="U249" s="658" t="str">
        <f>IF($C249="N","",N249+G249)</f>
        <v/>
      </c>
      <c r="V249" s="605" t="str">
        <f t="shared" si="236"/>
        <v/>
      </c>
      <c r="W249" s="658" t="str">
        <f>IF($C249="N","",P249+I249)</f>
        <v/>
      </c>
      <c r="X249" s="605" t="str">
        <f t="shared" si="237"/>
        <v/>
      </c>
      <c r="Y249" s="608" t="str">
        <f>IF($C249="N","",R249+K249)</f>
        <v/>
      </c>
      <c r="Z249" s="355"/>
    </row>
    <row r="250" spans="2:26" ht="13.5" thickBot="1">
      <c r="B250" s="568">
        <f>D243</f>
        <v>0</v>
      </c>
      <c r="D250" s="661" t="s">
        <v>115</v>
      </c>
      <c r="E250" s="481">
        <f ca="1">SUM(E245:E249)</f>
        <v>0</v>
      </c>
      <c r="F250" s="435" t="str">
        <f t="shared" ca="1" si="229"/>
        <v>-</v>
      </c>
      <c r="G250" s="438">
        <f ca="1">SUM(G245:G249)</f>
        <v>0</v>
      </c>
      <c r="H250" s="435" t="str">
        <f t="shared" ca="1" si="230"/>
        <v>-</v>
      </c>
      <c r="I250" s="438">
        <f ca="1">SUM(I245:I249)</f>
        <v>0</v>
      </c>
      <c r="J250" s="435" t="str">
        <f t="shared" ca="1" si="231"/>
        <v>-</v>
      </c>
      <c r="K250" s="479">
        <f>SUM(K245:K249)</f>
        <v>0</v>
      </c>
      <c r="L250" s="662">
        <f ca="1">SUM(L245:L249)</f>
        <v>0</v>
      </c>
      <c r="M250" s="435" t="str">
        <f t="shared" ca="1" si="232"/>
        <v>-</v>
      </c>
      <c r="N250" s="438">
        <f ca="1">SUM(N245:N249)</f>
        <v>0</v>
      </c>
      <c r="O250" s="435" t="str">
        <f t="shared" ca="1" si="233"/>
        <v>-</v>
      </c>
      <c r="P250" s="438">
        <f ca="1">SUM(P245:P249)</f>
        <v>0</v>
      </c>
      <c r="Q250" s="435" t="str">
        <f t="shared" ca="1" si="234"/>
        <v>-</v>
      </c>
      <c r="R250" s="480">
        <f>SUM(R245:R249)</f>
        <v>0</v>
      </c>
      <c r="S250" s="481">
        <f>SUM(S245:S249)</f>
        <v>0</v>
      </c>
      <c r="T250" s="435" t="str">
        <f t="shared" si="235"/>
        <v>-</v>
      </c>
      <c r="U250" s="438">
        <f>SUM(U245:U249)</f>
        <v>0</v>
      </c>
      <c r="V250" s="435" t="str">
        <f t="shared" si="236"/>
        <v>-</v>
      </c>
      <c r="W250" s="438">
        <f>SUM(W245:W249)</f>
        <v>0</v>
      </c>
      <c r="X250" s="435" t="str">
        <f t="shared" si="237"/>
        <v>-</v>
      </c>
      <c r="Y250" s="479">
        <f>SUM(Y245:Y249)</f>
        <v>0</v>
      </c>
    </row>
    <row r="251" spans="2:26" ht="13.5" thickBot="1">
      <c r="B251" s="568"/>
    </row>
    <row r="252" spans="2:26">
      <c r="D252" s="562">
        <f>O2</f>
        <v>0</v>
      </c>
      <c r="E252" s="582" t="s">
        <v>162</v>
      </c>
      <c r="F252" s="583"/>
      <c r="G252" s="584"/>
      <c r="H252" s="583"/>
      <c r="I252" s="585"/>
      <c r="J252" s="584"/>
      <c r="K252" s="586"/>
      <c r="L252" s="641" t="s">
        <v>163</v>
      </c>
      <c r="M252" s="583"/>
      <c r="N252" s="584"/>
      <c r="O252" s="583"/>
      <c r="P252" s="585"/>
      <c r="Q252" s="583"/>
      <c r="R252" s="584"/>
      <c r="S252" s="582" t="s">
        <v>164</v>
      </c>
      <c r="T252" s="583"/>
      <c r="U252" s="584"/>
      <c r="V252" s="583"/>
      <c r="W252" s="587"/>
      <c r="X252" s="588"/>
      <c r="Y252" s="589"/>
    </row>
    <row r="253" spans="2:26" ht="13.5" thickBot="1">
      <c r="D253" s="644" t="s">
        <v>165</v>
      </c>
      <c r="E253" s="590" t="s">
        <v>63</v>
      </c>
      <c r="F253" s="591"/>
      <c r="G253" s="645" t="s">
        <v>64</v>
      </c>
      <c r="H253" s="591"/>
      <c r="I253" s="645" t="s">
        <v>65</v>
      </c>
      <c r="J253" s="645"/>
      <c r="K253" s="646" t="s">
        <v>171</v>
      </c>
      <c r="L253" s="647" t="s">
        <v>63</v>
      </c>
      <c r="M253" s="591"/>
      <c r="N253" s="645" t="s">
        <v>64</v>
      </c>
      <c r="O253" s="591"/>
      <c r="P253" s="645" t="s">
        <v>65</v>
      </c>
      <c r="Q253" s="591"/>
      <c r="R253" s="646" t="s">
        <v>172</v>
      </c>
      <c r="S253" s="590" t="s">
        <v>63</v>
      </c>
      <c r="T253" s="591"/>
      <c r="U253" s="645" t="s">
        <v>64</v>
      </c>
      <c r="V253" s="648"/>
      <c r="W253" s="645" t="s">
        <v>65</v>
      </c>
      <c r="X253" s="591"/>
      <c r="Y253" s="646" t="s">
        <v>168</v>
      </c>
      <c r="Z253" s="355"/>
    </row>
    <row r="254" spans="2:26">
      <c r="B254" s="568"/>
      <c r="C254" s="357" t="str">
        <f>IF(D252=0,"N",D252)</f>
        <v>N</v>
      </c>
      <c r="D254" s="651">
        <v>-2</v>
      </c>
      <c r="E254" s="599" t="str">
        <f t="array" aca="1" ref="E254" ca="1">IF($C254="N","",SUM(IF((INDIRECT("'"&amp;$C254&amp;"'!$I$23:$I$200")=$D$5)*(INDIRECT("'"&amp;$C254&amp;"'!$H$23:$H$200")=$E$5)*(INDIRECT("'"&amp;$C254&amp;"'!$O$23:$O$200")&lt;=-2.25)*((INDIRECT("'"&amp;$C254&amp;"'!$J$23:$J$200")-INDIRECT("'"&amp;$C254&amp;"'!$K$23:$K$200"))&gt;2),1,0)))</f>
        <v/>
      </c>
      <c r="F254" s="406" t="str">
        <f t="shared" ref="F254:F259" ca="1" si="238">IF(E254="","",IF(E254=0,"-",E254/$K254))</f>
        <v/>
      </c>
      <c r="G254" s="408" t="str">
        <f t="array" aca="1" ref="G254" ca="1">IF($C254="N","",SUM(IF((INDIRECT("'"&amp;$C254&amp;"'!$I$23:$I$200")=$D$5)*(INDIRECT("'"&amp;$C254&amp;"'!$H$23:$H$200")=$E$5)*(INDIRECT("'"&amp;$C254&amp;"'!$O$23:$O$200")&lt;=-2.25)*((INDIRECT("'"&amp;$C254&amp;"'!$J$23:$J$200")-INDIRECT("'"&amp;$C254&amp;"'!$K$23:$K$200"))=2),1,0)))</f>
        <v/>
      </c>
      <c r="H254" s="406" t="str">
        <f t="shared" ref="H254:H259" ca="1" si="239">IF(G254="","",IF(G254=0,"-",G254/$K254))</f>
        <v/>
      </c>
      <c r="I254" s="408" t="str">
        <f t="array" aca="1" ref="I254" ca="1">IF($C254="N","",SUM(IF((INDIRECT("'"&amp;$C254&amp;"'!$I$23:$I$200")=$D$5)*(INDIRECT("'"&amp;$C254&amp;"'!$H$23:$H$200")=$E$5)*(INDIRECT("'"&amp;$C254&amp;"'!$O$23:$O$200")&lt;=-2.25)*((INDIRECT("'"&amp;$C254&amp;"'!$K$23:$K$200")-INDIRECT("'"&amp;$C254&amp;"'!$J$23:$J$200"))&gt;-2),1,0)))</f>
        <v/>
      </c>
      <c r="J254" s="406" t="str">
        <f t="shared" ref="J254:J259" ca="1" si="240">IF(I254="","",IF(I254=0,"-",I254/$K254))</f>
        <v/>
      </c>
      <c r="K254" s="602" t="str">
        <f>IF($C254="N","",E254+G254+I254)</f>
        <v/>
      </c>
      <c r="L254" s="599" t="str">
        <f t="array" aca="1" ref="L254" ca="1">IF($C254="N","",SUM(IF((INDIRECT("'"&amp;$C254&amp;"'!$I$23:$I$200")=$D$5)*(INDIRECT("'"&amp;$C254&amp;"'!$H$23:$H$200")=$L$5)*(INDIRECT("'"&amp;$C254&amp;"'!$O$23:$O$200")&lt;=-2.25)*((INDIRECT("'"&amp;$C254&amp;"'!$J$23:$J$200")-INDIRECT("'"&amp;$C254&amp;"'!$K$23:$K$200"))&gt;2),1,0)))</f>
        <v/>
      </c>
      <c r="M254" s="406" t="str">
        <f t="shared" ref="M254:M259" ca="1" si="241">IF(L254="","",IF(L254=0,"-",L254/$R254))</f>
        <v/>
      </c>
      <c r="N254" s="408" t="str">
        <f t="array" aca="1" ref="N254" ca="1">IF($C254="N","",SUM(IF((INDIRECT("'"&amp;$C254&amp;"'!$I$23:$I$200")=$D$5)*(INDIRECT("'"&amp;$C254&amp;"'!$H$23:$H$200")=$L$5)*(INDIRECT("'"&amp;$C254&amp;"'!$O$23:$O$200")&lt;=-2.25)*((INDIRECT("'"&amp;$C254&amp;"'!$J$23:$J$200")-INDIRECT("'"&amp;$C254&amp;"'!$K$23:$K$200"))=2),1,0)))</f>
        <v/>
      </c>
      <c r="O254" s="406" t="str">
        <f t="shared" ref="O254:O259" ca="1" si="242">IF(N254="","",IF(N254=0,"-",N254/$R254))</f>
        <v/>
      </c>
      <c r="P254" s="408" t="str">
        <f t="array" aca="1" ref="P254" ca="1">IF($C254="N","",SUM(IF((INDIRECT("'"&amp;$C254&amp;"'!$I$23:$I$200")=$D$5)*(INDIRECT("'"&amp;$C254&amp;"'!$H$23:$H$200")=$L$5)*(INDIRECT("'"&amp;$C254&amp;"'!$O$23:$O$200")&lt;=-2.25)*((INDIRECT("'"&amp;$C254&amp;"'!$K$23:$K$200")-INDIRECT("'"&amp;$C254&amp;"'!$J$23:$J$200"))&gt;-2),1,0)))</f>
        <v/>
      </c>
      <c r="Q254" s="406" t="str">
        <f t="shared" ref="Q254:Q259" ca="1" si="243">IF(P254="","",IF(P254=0,"-",P254/$R254))</f>
        <v/>
      </c>
      <c r="R254" s="602" t="str">
        <f>IF($C254="N","",L254+N254+P254)</f>
        <v/>
      </c>
      <c r="S254" s="599" t="str">
        <f>IF($C254="N","",L254+E254)</f>
        <v/>
      </c>
      <c r="T254" s="406" t="str">
        <f t="shared" ref="T254:T259" si="244">IF(S254="","",IF(S254=0,"-",S254/$Y254))</f>
        <v/>
      </c>
      <c r="U254" s="408" t="str">
        <f>IF($C254="N","",N254+G254)</f>
        <v/>
      </c>
      <c r="V254" s="406" t="str">
        <f t="shared" ref="V254:V259" si="245">IF(U254="","",IF(U254=0,"-",U254/$Y254))</f>
        <v/>
      </c>
      <c r="W254" s="408" t="str">
        <f>IF($C254="N","",P254+I254)</f>
        <v/>
      </c>
      <c r="X254" s="406" t="str">
        <f t="shared" ref="X254:X259" si="246">IF(W254="","",IF(W254=0,"-",W254/$Y254))</f>
        <v/>
      </c>
      <c r="Y254" s="602" t="str">
        <f>IF($C254="N","",R254+K254)</f>
        <v/>
      </c>
      <c r="Z254" s="355"/>
    </row>
    <row r="255" spans="2:26">
      <c r="B255" s="568"/>
      <c r="C255" s="357" t="str">
        <f>C254</f>
        <v>N</v>
      </c>
      <c r="D255" s="654">
        <v>-1</v>
      </c>
      <c r="E255" s="655" t="str">
        <f t="array" aca="1" ref="E255" ca="1">IF($C255="N","",SUM(IF((INDIRECT("'"&amp;$C254&amp;"'!$I$23:$I$200")=$D$5)*(INDIRECT("'"&amp;$C254&amp;"'!$H$23:$H$200")=$E$5)*(INDIRECT("'"&amp;$C254&amp;"'!$O$23:$O$200")&lt;=-0.5)*(INDIRECT("'"&amp;$C254&amp;"'!$O$23:$O$200")&gt;=-2)*((INDIRECT("'"&amp;$C254&amp;"'!$J$23:$J$200")-INDIRECT("'"&amp;$C254&amp;"'!$K$23:$K$200"))&gt;1),1,0)))</f>
        <v/>
      </c>
      <c r="F255" s="601" t="str">
        <f t="shared" ca="1" si="238"/>
        <v/>
      </c>
      <c r="G255" s="418" t="str">
        <f t="array" aca="1" ref="G255" ca="1">IF($C255="N","",SUM(IF((INDIRECT("'"&amp;$C254&amp;"'!$I$23:$I$200")=$D$5)*(INDIRECT("'"&amp;$C254&amp;"'!$H$23:$H$200")=$E$5)*(INDIRECT("'"&amp;$C254&amp;"'!$O$23:$O$200")&lt;=-0.5)*(INDIRECT("'"&amp;$C254&amp;"'!$O$23:$O$200")&gt;=-2)*((INDIRECT("'"&amp;$C254&amp;"'!$J$23:$J$200")-INDIRECT("'"&amp;$C254&amp;"'!$K$23:$K$200"))=1),1,0)))</f>
        <v/>
      </c>
      <c r="H255" s="601" t="str">
        <f t="shared" ca="1" si="239"/>
        <v/>
      </c>
      <c r="I255" s="418" t="str">
        <f t="array" aca="1" ref="I255" ca="1">IF($C255="N","",SUM(IF((INDIRECT("'"&amp;$C254&amp;"'!$I$23:$I$200")=$D$5)*(INDIRECT("'"&amp;$C254&amp;"'!$H$23:$H$200")=$E$5)*(INDIRECT("'"&amp;$C254&amp;"'!$O$23:$O$200")&lt;=-0.5)*(INDIRECT("'"&amp;$C254&amp;"'!$O$23:$O$200")&gt;=-2)*((INDIRECT("'"&amp;$C254&amp;"'!$K$23:$K$200")-INDIRECT("'"&amp;$C254&amp;"'!$J$23:$J$200"))&gt;-1),1,0)))</f>
        <v/>
      </c>
      <c r="J255" s="601" t="str">
        <f t="shared" ca="1" si="240"/>
        <v/>
      </c>
      <c r="K255" s="522" t="str">
        <f>IF($C255="N","",E255+G255+I255)</f>
        <v/>
      </c>
      <c r="L255" s="655" t="str">
        <f t="array" aca="1" ref="L255" ca="1">IF($C255="N","",SUM(IF((INDIRECT("'"&amp;$C254&amp;"'!$I$23:$I$200")=$D$5)*(INDIRECT("'"&amp;$C254&amp;"'!$H$23:$H$200")=$L$5)*(INDIRECT("'"&amp;$C254&amp;"'!$O$23:$O$200")&lt;=-0.5)*(INDIRECT("'"&amp;$C254&amp;"'!$O$23:$O$200")&gt;=-2)*((INDIRECT("'"&amp;$C254&amp;"'!$J$23:$J$200")-INDIRECT("'"&amp;$C254&amp;"'!$K$23:$K$200"))&gt;1),1,0)))</f>
        <v/>
      </c>
      <c r="M255" s="601" t="str">
        <f t="shared" ca="1" si="241"/>
        <v/>
      </c>
      <c r="N255" s="418" t="str">
        <f t="array" aca="1" ref="N255" ca="1">IF($C255="N","",SUM(IF((INDIRECT("'"&amp;$C254&amp;"'!$I$23:$I$200")=$D$5)*(INDIRECT("'"&amp;$C254&amp;"'!$H$23:$H$200")=$L$5)*(INDIRECT("'"&amp;$C254&amp;"'!$O$23:$O$200")&lt;=-0.5)*(INDIRECT("'"&amp;$C254&amp;"'!$O$23:$O$200")&gt;=-2)*((INDIRECT("'"&amp;$C254&amp;"'!$J$23:$J$200")-INDIRECT("'"&amp;$C254&amp;"'!$K$23:$K$200"))=1),1,0)))</f>
        <v/>
      </c>
      <c r="O255" s="601" t="str">
        <f t="shared" ca="1" si="242"/>
        <v/>
      </c>
      <c r="P255" s="418" t="str">
        <f t="array" aca="1" ref="P255" ca="1">IF($C255="N","",SUM(IF((INDIRECT("'"&amp;$C254&amp;"'!$I$23:$I$200")=$D$5)*(INDIRECT("'"&amp;$C254&amp;"'!$H$23:$H$200")=$L$5)*(INDIRECT("'"&amp;$C254&amp;"'!$O$23:$O$200")&lt;=-0.5)*(INDIRECT("'"&amp;$C254&amp;"'!$O$23:$O$200")&gt;=-2)*((INDIRECT("'"&amp;$C254&amp;"'!$K$23:$K$200")-INDIRECT("'"&amp;$C254&amp;"'!$J$23:$J$200"))&gt;-1),1,0)))</f>
        <v/>
      </c>
      <c r="Q255" s="601" t="str">
        <f t="shared" ca="1" si="243"/>
        <v/>
      </c>
      <c r="R255" s="522" t="str">
        <f>IF($C255="N","",L255+N255+P255)</f>
        <v/>
      </c>
      <c r="S255" s="655" t="str">
        <f>IF($C255="N","",L255+E255)</f>
        <v/>
      </c>
      <c r="T255" s="601" t="str">
        <f t="shared" si="244"/>
        <v/>
      </c>
      <c r="U255" s="418" t="str">
        <f>IF($C255="N","",N255+G255)</f>
        <v/>
      </c>
      <c r="V255" s="601" t="str">
        <f t="shared" si="245"/>
        <v/>
      </c>
      <c r="W255" s="418" t="str">
        <f>IF($C255="N","",P255+I255)</f>
        <v/>
      </c>
      <c r="X255" s="601" t="str">
        <f t="shared" si="246"/>
        <v/>
      </c>
      <c r="Y255" s="602" t="str">
        <f>IF($C255="N","",R255+K255)</f>
        <v/>
      </c>
      <c r="Z255" s="355"/>
    </row>
    <row r="256" spans="2:26">
      <c r="B256" s="568"/>
      <c r="C256" s="357" t="str">
        <f>C255</f>
        <v>N</v>
      </c>
      <c r="D256" s="654">
        <v>0</v>
      </c>
      <c r="E256" s="655" t="str">
        <f t="array" aca="1" ref="E256" ca="1">IF($C256="N","",SUM(IF((INDIRECT("'"&amp;$C254&amp;"'!$I$23:$I$200")=$D$5)*(INDIRECT("'"&amp;$C254&amp;"'!$H$23:$H$200")=$E$5)*(INDIRECT("'"&amp;$C254&amp;"'!$O$23:$O$200")&gt;=-0.25)*(INDIRECT("'"&amp;$C254&amp;"'!$O$23:$O$200")&lt;=0.25)*(INDIRECT("'"&amp;$C254&amp;"'!$O$23:$O$200")&lt;&gt;"")*((INDIRECT("'"&amp;$C254&amp;"'!$J$23:$J$200")-INDIRECT("'"&amp;$C254&amp;"'!$K$23:$K$200"))&gt;0),1,0)))</f>
        <v/>
      </c>
      <c r="F256" s="601" t="str">
        <f t="shared" ca="1" si="238"/>
        <v/>
      </c>
      <c r="G256" s="418" t="str">
        <f t="array" aca="1" ref="G256" ca="1">IF($C256="N","",SUM(IF((INDIRECT("'"&amp;$C254&amp;"'!$I$23:$I$200")=$D$5)*(INDIRECT("'"&amp;$C254&amp;"'!$H$23:$H$200")=$E$5)*(INDIRECT("'"&amp;$C254&amp;"'!$O$23:$O$200")&gt;=-0.25)*(INDIRECT("'"&amp;$C254&amp;"'!$O$23:$O$200")&lt;=0.25)*(INDIRECT("'"&amp;$C254&amp;"'!$O$23:$O$200")&lt;&gt;"")*((INDIRECT("'"&amp;$C254&amp;"'!$J$23:$J$200")-INDIRECT("'"&amp;$C254&amp;"'!$K$23:$K$200"))=0),1,0)))</f>
        <v/>
      </c>
      <c r="H256" s="601" t="str">
        <f t="shared" ca="1" si="239"/>
        <v/>
      </c>
      <c r="I256" s="418" t="str">
        <f t="array" aca="1" ref="I256" ca="1">IF($C256="N","",SUM(IF((INDIRECT("'"&amp;$C254&amp;"'!$I$23:$I$200")=$D$5)*(INDIRECT("'"&amp;$C254&amp;"'!$H$23:$H$200")=$E$5)*(INDIRECT("'"&amp;$C254&amp;"'!$O$23:$O$200")&gt;=-0.25)*(INDIRECT("'"&amp;$C254&amp;"'!$O$23:$O$200")&lt;=0.25)*(INDIRECT("'"&amp;$C254&amp;"'!$O$23:$O$200")&lt;&gt;"")*((INDIRECT("'"&amp;$C254&amp;"'!$J$23:$J$200")-INDIRECT("'"&amp;$C254&amp;"'!$K$23:$K$200"))&lt;0),1,0)))</f>
        <v/>
      </c>
      <c r="J256" s="601" t="str">
        <f t="shared" ca="1" si="240"/>
        <v/>
      </c>
      <c r="K256" s="522" t="str">
        <f>IF($C256="N","",E256+G256+I256)</f>
        <v/>
      </c>
      <c r="L256" s="655" t="str">
        <f t="array" aca="1" ref="L256" ca="1">IF($C256="N","",SUM(IF((INDIRECT("'"&amp;$C254&amp;"'!$I$23:$I$200")=$D$5)*(INDIRECT("'"&amp;$C254&amp;"'!$H$23:$H$200")=$L$5)*(INDIRECT("'"&amp;$C254&amp;"'!$O$23:$O$200")&gt;=-0.25)*(INDIRECT("'"&amp;$C254&amp;"'!$O$23:$O$200")&lt;=0.25)*(INDIRECT("'"&amp;$C254&amp;"'!$O$23:$O$200")&lt;&gt;"")*((INDIRECT("'"&amp;$C254&amp;"'!$J$23:$J$200")-INDIRECT("'"&amp;$C254&amp;"'!$K$23:$K$200"))&gt;0),1,0)))</f>
        <v/>
      </c>
      <c r="M256" s="601" t="str">
        <f t="shared" ca="1" si="241"/>
        <v/>
      </c>
      <c r="N256" s="418" t="str">
        <f t="array" aca="1" ref="N256" ca="1">IF($C256="N","",SUM(IF((INDIRECT("'"&amp;$C254&amp;"'!$I$23:$I$200")=$D$5)*(INDIRECT("'"&amp;$C254&amp;"'!$H$23:$H$200")=$L$5)*(INDIRECT("'"&amp;$C254&amp;"'!$O$23:$O$200")&gt;=-0.25)*(INDIRECT("'"&amp;$C254&amp;"'!$O$23:$O$200")&lt;=0.25)*(INDIRECT("'"&amp;$C254&amp;"'!$O$23:$O$200")&lt;&gt;"")*((INDIRECT("'"&amp;$C254&amp;"'!$J$23:$J$200")-INDIRECT("'"&amp;$C254&amp;"'!$K$23:$K$200"))=0),1,0)))</f>
        <v/>
      </c>
      <c r="O256" s="601" t="str">
        <f t="shared" ca="1" si="242"/>
        <v/>
      </c>
      <c r="P256" s="418" t="str">
        <f t="array" aca="1" ref="P256" ca="1">IF($C256="N","",SUM(IF((INDIRECT("'"&amp;$C254&amp;"'!$I$23:$I$200")=$D$5)*(INDIRECT("'"&amp;$C254&amp;"'!$H$23:$H$200")=$L$5)*(INDIRECT("'"&amp;$C254&amp;"'!$O$23:$O$200")&gt;=-0.25)*(INDIRECT("'"&amp;$C254&amp;"'!$O$23:$O$200")&lt;=0.25)*(INDIRECT("'"&amp;$C254&amp;"'!$O$23:$O$200")&lt;&gt;"")*((INDIRECT("'"&amp;$C254&amp;"'!$J$23:$J$200")-INDIRECT("'"&amp;$C254&amp;"'!$K$23:$K$200"))&lt;0),1,0)))</f>
        <v/>
      </c>
      <c r="Q256" s="601" t="str">
        <f t="shared" ca="1" si="243"/>
        <v/>
      </c>
      <c r="R256" s="522" t="str">
        <f>IF($C256="N","",L256+N256+P256)</f>
        <v/>
      </c>
      <c r="S256" s="655" t="str">
        <f>IF($C256="N","",L256+E256)</f>
        <v/>
      </c>
      <c r="T256" s="601" t="str">
        <f t="shared" si="244"/>
        <v/>
      </c>
      <c r="U256" s="418" t="str">
        <f>IF($C256="N","",N256+G256)</f>
        <v/>
      </c>
      <c r="V256" s="601" t="str">
        <f t="shared" si="245"/>
        <v/>
      </c>
      <c r="W256" s="418" t="str">
        <f>IF($C256="N","",P256+I256)</f>
        <v/>
      </c>
      <c r="X256" s="601" t="str">
        <f t="shared" si="246"/>
        <v/>
      </c>
      <c r="Y256" s="602" t="str">
        <f>IF($C256="N","",R256+K256)</f>
        <v/>
      </c>
      <c r="Z256" s="355"/>
    </row>
    <row r="257" spans="2:26">
      <c r="B257" s="568"/>
      <c r="C257" s="357" t="str">
        <f>C256</f>
        <v>N</v>
      </c>
      <c r="D257" s="654">
        <v>1</v>
      </c>
      <c r="E257" s="655" t="str">
        <f t="array" aca="1" ref="E257" ca="1">IF($C257="N","",SUM(IF((INDIRECT("'"&amp;$C254&amp;"'!$I$23:$I$200")=$D$5)*(INDIRECT("'"&amp;$C254&amp;"'!$H$23:$H$200")=$E$5)*(INDIRECT("'"&amp;$C254&amp;"'!$O$23:$O$200")&gt;=0.5)*(INDIRECT("'"&amp;$C254&amp;"'!$O$23:$O$200")&lt;=2)*((INDIRECT("'"&amp;$C254&amp;"'!$J$23:$J$200")-INDIRECT("'"&amp;$C254&amp;"'!$K$23:$K$200"))&gt;-1),1,0)))</f>
        <v/>
      </c>
      <c r="F257" s="601" t="str">
        <f t="shared" ca="1" si="238"/>
        <v/>
      </c>
      <c r="G257" s="418" t="str">
        <f t="array" aca="1" ref="G257" ca="1">IF($C257="N","",SUM(IF((INDIRECT("'"&amp;$C254&amp;"'!$I$23:$I$200")=$D$5)*(INDIRECT("'"&amp;$C254&amp;"'!$H$23:$H$200")=$E$5)*(INDIRECT("'"&amp;$C254&amp;"'!$O$23:$O$200")&gt;=0.5)*(INDIRECT("'"&amp;$C254&amp;"'!$O$23:$O$200")&lt;=2)*((INDIRECT("'"&amp;$C254&amp;"'!$J$23:$J$200")-INDIRECT("'"&amp;$C254&amp;"'!$K$23:$K$200"))=-1),1,0)))</f>
        <v/>
      </c>
      <c r="H257" s="601" t="str">
        <f t="shared" ca="1" si="239"/>
        <v/>
      </c>
      <c r="I257" s="418" t="str">
        <f t="array" aca="1" ref="I257" ca="1">IF($C257="N","",SUM(IF((INDIRECT("'"&amp;$C254&amp;"'!$I$23:$I$200")=$D$5)*(INDIRECT("'"&amp;$C254&amp;"'!$H$23:$H$200")=$E$5)*(INDIRECT("'"&amp;$C254&amp;"'!$O$23:$O$200")&gt;=0.5)*(INDIRECT("'"&amp;$C254&amp;"'!$O$23:$O$200")&lt;=2)*((INDIRECT("'"&amp;$C254&amp;"'!$J$23:$J$200")-INDIRECT("'"&amp;$C254&amp;"'!$K$23:$K$200"))&lt;-1),1,0)))</f>
        <v/>
      </c>
      <c r="J257" s="601" t="str">
        <f t="shared" ca="1" si="240"/>
        <v/>
      </c>
      <c r="K257" s="522" t="str">
        <f>IF($C257="N","",E257+G257+I257)</f>
        <v/>
      </c>
      <c r="L257" s="655" t="str">
        <f t="array" aca="1" ref="L257" ca="1">IF($C257="N","",SUM(IF((INDIRECT("'"&amp;$C254&amp;"'!$I$23:$I$200")=$D$5)*(INDIRECT("'"&amp;$C254&amp;"'!$H$23:$H$200")=$L$5)*(INDIRECT("'"&amp;$C254&amp;"'!$O$23:$O$200")&gt;=0.5)*(INDIRECT("'"&amp;$C254&amp;"'!$O$23:$O$200")&lt;=2)*((INDIRECT("'"&amp;$C254&amp;"'!$J$23:$J$200")-INDIRECT("'"&amp;$C254&amp;"'!$K$23:$K$200"))&gt;-1),1,0)))</f>
        <v/>
      </c>
      <c r="M257" s="601" t="str">
        <f t="shared" ca="1" si="241"/>
        <v/>
      </c>
      <c r="N257" s="418" t="str">
        <f t="array" aca="1" ref="N257" ca="1">IF($C257="N","",SUM(IF((INDIRECT("'"&amp;$C254&amp;"'!$I$23:$I$200")=$D$5)*(INDIRECT("'"&amp;$C254&amp;"'!$H$23:$H$200")=$L$5)*(INDIRECT("'"&amp;$C254&amp;"'!$O$23:$O$200")&gt;=0.5)*(INDIRECT("'"&amp;$C254&amp;"'!$O$23:$O$200")&lt;=2)*((INDIRECT("'"&amp;$C254&amp;"'!$J$23:$J$200")-INDIRECT("'"&amp;$C254&amp;"'!$K$23:$K$200"))=-1),1,0)))</f>
        <v/>
      </c>
      <c r="O257" s="601" t="str">
        <f t="shared" ca="1" si="242"/>
        <v/>
      </c>
      <c r="P257" s="418" t="str">
        <f t="array" aca="1" ref="P257" ca="1">IF($C257="N","",SUM(IF((INDIRECT("'"&amp;$C254&amp;"'!$I$23:$I$200")=$D$5)*(INDIRECT("'"&amp;$C254&amp;"'!$H$23:$H$200")=$L$5)*(INDIRECT("'"&amp;$C254&amp;"'!$O$23:$O$200")&gt;=0.5)*(INDIRECT("'"&amp;$C254&amp;"'!$O$23:$O$200")&lt;=2)*((INDIRECT("'"&amp;$C254&amp;"'!$J$23:$J$200")-INDIRECT("'"&amp;$C254&amp;"'!$K$23:$K$200"))&lt;-1),1,0)))</f>
        <v/>
      </c>
      <c r="Q257" s="601" t="str">
        <f t="shared" ca="1" si="243"/>
        <v/>
      </c>
      <c r="R257" s="522" t="str">
        <f>IF($C257="N","",L257+N257+P257)</f>
        <v/>
      </c>
      <c r="S257" s="655" t="str">
        <f>IF($C257="N","",L257+E257)</f>
        <v/>
      </c>
      <c r="T257" s="601" t="str">
        <f t="shared" si="244"/>
        <v/>
      </c>
      <c r="U257" s="418" t="str">
        <f>IF($C257="N","",N257+G257)</f>
        <v/>
      </c>
      <c r="V257" s="601" t="str">
        <f t="shared" si="245"/>
        <v/>
      </c>
      <c r="W257" s="418" t="str">
        <f>IF($C257="N","",P257+I257)</f>
        <v/>
      </c>
      <c r="X257" s="601" t="str">
        <f t="shared" si="246"/>
        <v/>
      </c>
      <c r="Y257" s="602" t="str">
        <f>IF($C257="N","",R257+K257)</f>
        <v/>
      </c>
      <c r="Z257" s="355"/>
    </row>
    <row r="258" spans="2:26" ht="13.5" thickBot="1">
      <c r="B258" s="568"/>
      <c r="C258" s="357" t="str">
        <f>C257</f>
        <v>N</v>
      </c>
      <c r="D258" s="654">
        <v>2</v>
      </c>
      <c r="E258" s="657" t="str">
        <f t="array" aca="1" ref="E258" ca="1">IF($C258="N","",SUM(IF((INDIRECT("'"&amp;$C254&amp;"'!$I$23:$I$200")=$D$5)*(INDIRECT("'"&amp;$C254&amp;"'!$H$23:$H$200")=$E$5)*(INDIRECT("'"&amp;$C254&amp;"'!$O$23:$O$200")&gt;=2.25)*((INDIRECT("'"&amp;$C254&amp;"'!$J$23:$J$200")-INDIRECT("'"&amp;$C254&amp;"'!$K$23:$K$200"))&gt;-2),1,0)))</f>
        <v/>
      </c>
      <c r="F258" s="605" t="str">
        <f t="shared" ca="1" si="238"/>
        <v/>
      </c>
      <c r="G258" s="658" t="str">
        <f t="array" aca="1" ref="G258" ca="1">IF($C258="N","",SUM(IF((INDIRECT("'"&amp;$C254&amp;"'!$I$23:$I$200")=$D$5)*(INDIRECT("'"&amp;$C254&amp;"'!$H$23:$H$200")=$E$5)*(INDIRECT("'"&amp;$C254&amp;"'!$O$23:$O$200")&gt;=2.25)*((INDIRECT("'"&amp;$C254&amp;"'!$J$23:$J$200")-INDIRECT("'"&amp;$C254&amp;"'!$K$23:$K$200"))=-2),1,0)))</f>
        <v/>
      </c>
      <c r="H258" s="605" t="str">
        <f t="shared" ca="1" si="239"/>
        <v/>
      </c>
      <c r="I258" s="658" t="str">
        <f t="array" aca="1" ref="I258" ca="1">IF($C258="N","",SUM(IF((INDIRECT("'"&amp;$C254&amp;"'!$I$23:$I$200")=$D$5)*(INDIRECT("'"&amp;$C254&amp;"'!$H$23:$H$200")=$E$5)*(INDIRECT("'"&amp;$C254&amp;"'!$O$23:$O$200")&gt;=2.25)*((INDIRECT("'"&amp;$C254&amp;"'!$J$23:$J$200")-INDIRECT("'"&amp;$C254&amp;"'!$K$23:$K$200"))&lt;-2),1,0)))</f>
        <v/>
      </c>
      <c r="J258" s="605" t="str">
        <f t="shared" ca="1" si="240"/>
        <v/>
      </c>
      <c r="K258" s="659" t="str">
        <f>IF($C258="N","",E258+G258+I258)</f>
        <v/>
      </c>
      <c r="L258" s="657" t="str">
        <f t="array" aca="1" ref="L258" ca="1">IF($C258="N","",SUM(IF((INDIRECT("'"&amp;$C254&amp;"'!$I$23:$I$200")=$D$5)*(INDIRECT("'"&amp;$C254&amp;"'!$H$23:$H$200")=$L$5)*(INDIRECT("'"&amp;$C254&amp;"'!$O$23:$O$200")&gt;=2.25)*((INDIRECT("'"&amp;$C254&amp;"'!$J$23:$J$200")-INDIRECT("'"&amp;$C254&amp;"'!$K$23:$K$200"))&gt;-2),1,0)))</f>
        <v/>
      </c>
      <c r="M258" s="605" t="str">
        <f t="shared" ca="1" si="241"/>
        <v/>
      </c>
      <c r="N258" s="658" t="str">
        <f t="array" aca="1" ref="N258" ca="1">IF($C258="N","",SUM(IF((INDIRECT("'"&amp;$C254&amp;"'!$I$23:$I$200")=$D$5)*(INDIRECT("'"&amp;$C254&amp;"'!$H$23:$H$200")=$L$5)*(INDIRECT("'"&amp;$C254&amp;"'!$O$23:$O$200")&gt;=2.25)*((INDIRECT("'"&amp;$C254&amp;"'!$J$23:$J$200")-INDIRECT("'"&amp;$C254&amp;"'!$K$23:$K$200"))=-2),1,0)))</f>
        <v/>
      </c>
      <c r="O258" s="605" t="str">
        <f t="shared" ca="1" si="242"/>
        <v/>
      </c>
      <c r="P258" s="658" t="str">
        <f t="array" aca="1" ref="P258" ca="1">IF($C258="N","",SUM(IF((INDIRECT("'"&amp;$C254&amp;"'!$I$23:$I$200")=$D$5)*(INDIRECT("'"&amp;$C254&amp;"'!$H$23:$H$200")=$L$5)*(INDIRECT("'"&amp;$C254&amp;"'!$O$23:$O$200")&gt;=2.25)*((INDIRECT("'"&amp;$C254&amp;"'!$J$23:$J$200")-INDIRECT("'"&amp;$C254&amp;"'!$K$23:$K$200"))&lt;-2),1,0)))</f>
        <v/>
      </c>
      <c r="Q258" s="605" t="str">
        <f t="shared" ca="1" si="243"/>
        <v/>
      </c>
      <c r="R258" s="659" t="str">
        <f>IF($C258="N","",L258+N258+P258)</f>
        <v/>
      </c>
      <c r="S258" s="657" t="str">
        <f>IF($C258="N","",L258+E258)</f>
        <v/>
      </c>
      <c r="T258" s="605" t="str">
        <f t="shared" si="244"/>
        <v/>
      </c>
      <c r="U258" s="658" t="str">
        <f>IF($C258="N","",N258+G258)</f>
        <v/>
      </c>
      <c r="V258" s="605" t="str">
        <f t="shared" si="245"/>
        <v/>
      </c>
      <c r="W258" s="658" t="str">
        <f>IF($C258="N","",P258+I258)</f>
        <v/>
      </c>
      <c r="X258" s="605" t="str">
        <f t="shared" si="246"/>
        <v/>
      </c>
      <c r="Y258" s="608" t="str">
        <f>IF($C258="N","",R258+K258)</f>
        <v/>
      </c>
      <c r="Z258" s="355"/>
    </row>
    <row r="259" spans="2:26" ht="13.5" thickBot="1">
      <c r="B259" s="568">
        <f>D252</f>
        <v>0</v>
      </c>
      <c r="D259" s="661" t="s">
        <v>115</v>
      </c>
      <c r="E259" s="481">
        <f ca="1">SUM(E254:E258)</f>
        <v>0</v>
      </c>
      <c r="F259" s="435" t="str">
        <f t="shared" ca="1" si="238"/>
        <v>-</v>
      </c>
      <c r="G259" s="438">
        <f ca="1">SUM(G254:G258)</f>
        <v>0</v>
      </c>
      <c r="H259" s="435" t="str">
        <f t="shared" ca="1" si="239"/>
        <v>-</v>
      </c>
      <c r="I259" s="438">
        <f ca="1">SUM(I254:I258)</f>
        <v>0</v>
      </c>
      <c r="J259" s="435" t="str">
        <f t="shared" ca="1" si="240"/>
        <v>-</v>
      </c>
      <c r="K259" s="479">
        <f>SUM(K254:K258)</f>
        <v>0</v>
      </c>
      <c r="L259" s="662">
        <f ca="1">SUM(L254:L258)</f>
        <v>0</v>
      </c>
      <c r="M259" s="435" t="str">
        <f t="shared" ca="1" si="241"/>
        <v>-</v>
      </c>
      <c r="N259" s="438">
        <f ca="1">SUM(N254:N258)</f>
        <v>0</v>
      </c>
      <c r="O259" s="435" t="str">
        <f t="shared" ca="1" si="242"/>
        <v>-</v>
      </c>
      <c r="P259" s="438">
        <f ca="1">SUM(P254:P258)</f>
        <v>0</v>
      </c>
      <c r="Q259" s="435" t="str">
        <f t="shared" ca="1" si="243"/>
        <v>-</v>
      </c>
      <c r="R259" s="480">
        <f>SUM(R254:R258)</f>
        <v>0</v>
      </c>
      <c r="S259" s="481">
        <f>SUM(S254:S258)</f>
        <v>0</v>
      </c>
      <c r="T259" s="435" t="str">
        <f t="shared" si="244"/>
        <v>-</v>
      </c>
      <c r="U259" s="438">
        <f>SUM(U254:U258)</f>
        <v>0</v>
      </c>
      <c r="V259" s="435" t="str">
        <f t="shared" si="245"/>
        <v>-</v>
      </c>
      <c r="W259" s="438">
        <f>SUM(W254:W258)</f>
        <v>0</v>
      </c>
      <c r="X259" s="435" t="str">
        <f t="shared" si="246"/>
        <v>-</v>
      </c>
      <c r="Y259" s="479">
        <f>SUM(Y254:Y258)</f>
        <v>0</v>
      </c>
    </row>
    <row r="260" spans="2:26">
      <c r="B260" s="568"/>
    </row>
    <row r="261" spans="2:26">
      <c r="C261" s="576"/>
    </row>
    <row r="262" spans="2:26">
      <c r="C262" s="576"/>
    </row>
    <row r="263" spans="2:26">
      <c r="C263" s="576"/>
    </row>
    <row r="264" spans="2:26">
      <c r="C264" s="576"/>
    </row>
    <row r="265" spans="2:26">
      <c r="C265" s="576"/>
    </row>
    <row r="266" spans="2:26">
      <c r="C266" s="576"/>
    </row>
    <row r="267" spans="2:26">
      <c r="C267" s="576"/>
    </row>
    <row r="268" spans="2:26">
      <c r="C268" s="576"/>
    </row>
    <row r="269" spans="2:26">
      <c r="C269" s="576"/>
    </row>
    <row r="270" spans="2:26">
      <c r="C270" s="576"/>
    </row>
    <row r="271" spans="2:26">
      <c r="C271" s="576"/>
    </row>
    <row r="272" spans="2:26">
      <c r="C272" s="576"/>
    </row>
    <row r="273" spans="3:3">
      <c r="C273" s="576"/>
    </row>
    <row r="274" spans="3:3">
      <c r="C274" s="576"/>
    </row>
    <row r="275" spans="3:3">
      <c r="C275" s="576"/>
    </row>
    <row r="276" spans="3:3">
      <c r="C276" s="576"/>
    </row>
    <row r="277" spans="3:3">
      <c r="C277" s="576"/>
    </row>
    <row r="278" spans="3:3">
      <c r="C278" s="576"/>
    </row>
    <row r="279" spans="3:3">
      <c r="C279" s="576"/>
    </row>
    <row r="280" spans="3:3">
      <c r="C280" s="576"/>
    </row>
    <row r="281" spans="3:3">
      <c r="C281" s="576"/>
    </row>
    <row r="282" spans="3:3">
      <c r="C282" s="576"/>
    </row>
    <row r="283" spans="3:3">
      <c r="C283" s="576"/>
    </row>
    <row r="284" spans="3:3">
      <c r="C284" s="576"/>
    </row>
    <row r="285" spans="3:3">
      <c r="C285" s="576"/>
    </row>
    <row r="286" spans="3:3">
      <c r="C286" s="576"/>
    </row>
    <row r="287" spans="3:3">
      <c r="C287" s="576"/>
    </row>
    <row r="288" spans="3:3">
      <c r="C288" s="576"/>
    </row>
    <row r="289" spans="3:3">
      <c r="C289" s="576"/>
    </row>
    <row r="290" spans="3:3">
      <c r="C290" s="576"/>
    </row>
    <row r="291" spans="3:3">
      <c r="C291" s="576"/>
    </row>
    <row r="292" spans="3:3">
      <c r="C292" s="576"/>
    </row>
    <row r="293" spans="3:3">
      <c r="C293" s="576"/>
    </row>
    <row r="294" spans="3:3">
      <c r="C294" s="576"/>
    </row>
    <row r="295" spans="3:3">
      <c r="C295" s="576"/>
    </row>
    <row r="296" spans="3:3">
      <c r="C296" s="576"/>
    </row>
    <row r="297" spans="3:3">
      <c r="C297" s="576"/>
    </row>
    <row r="298" spans="3:3">
      <c r="C298" s="576"/>
    </row>
    <row r="299" spans="3:3">
      <c r="C299" s="576"/>
    </row>
    <row r="300" spans="3:3">
      <c r="C300" s="576"/>
    </row>
    <row r="301" spans="3:3">
      <c r="C301" s="576"/>
    </row>
    <row r="302" spans="3:3">
      <c r="C302" s="576"/>
    </row>
    <row r="303" spans="3:3">
      <c r="C303" s="576"/>
    </row>
    <row r="304" spans="3:3">
      <c r="C304" s="576"/>
    </row>
    <row r="305" spans="3:3">
      <c r="C305" s="576"/>
    </row>
    <row r="306" spans="3:3">
      <c r="C306" s="576"/>
    </row>
    <row r="307" spans="3:3">
      <c r="C307" s="576"/>
    </row>
    <row r="308" spans="3:3">
      <c r="C308" s="576"/>
    </row>
    <row r="309" spans="3:3">
      <c r="C309" s="576"/>
    </row>
    <row r="310" spans="3:3">
      <c r="C310" s="576"/>
    </row>
    <row r="311" spans="3:3">
      <c r="C311" s="576"/>
    </row>
    <row r="312" spans="3:3">
      <c r="C312" s="576"/>
    </row>
    <row r="313" spans="3:3">
      <c r="C313" s="576"/>
    </row>
    <row r="314" spans="3:3">
      <c r="C314" s="576"/>
    </row>
    <row r="315" spans="3:3">
      <c r="C315" s="576"/>
    </row>
    <row r="316" spans="3:3">
      <c r="C316" s="576"/>
    </row>
    <row r="317" spans="3:3">
      <c r="C317" s="576"/>
    </row>
    <row r="318" spans="3:3">
      <c r="C318" s="576"/>
    </row>
    <row r="319" spans="3:3">
      <c r="C319" s="576"/>
    </row>
    <row r="320" spans="3:3">
      <c r="C320" s="576"/>
    </row>
    <row r="321" spans="3:3">
      <c r="C321" s="576"/>
    </row>
    <row r="322" spans="3:3">
      <c r="C322" s="576"/>
    </row>
    <row r="323" spans="3:3">
      <c r="C323" s="576"/>
    </row>
    <row r="324" spans="3:3">
      <c r="C324" s="576"/>
    </row>
    <row r="325" spans="3:3">
      <c r="C325" s="576"/>
    </row>
    <row r="326" spans="3:3">
      <c r="C326" s="576"/>
    </row>
    <row r="327" spans="3:3">
      <c r="C327" s="576"/>
    </row>
    <row r="328" spans="3:3">
      <c r="C328" s="576"/>
    </row>
    <row r="329" spans="3:3">
      <c r="C329" s="576"/>
    </row>
    <row r="330" spans="3:3">
      <c r="C330" s="576"/>
    </row>
    <row r="331" spans="3:3">
      <c r="C331" s="576"/>
    </row>
    <row r="332" spans="3:3">
      <c r="C332" s="576"/>
    </row>
    <row r="333" spans="3:3">
      <c r="C333" s="576"/>
    </row>
    <row r="334" spans="3:3">
      <c r="C334" s="576"/>
    </row>
    <row r="335" spans="3:3">
      <c r="C335" s="576"/>
    </row>
    <row r="336" spans="3:3">
      <c r="C336" s="576"/>
    </row>
    <row r="337" spans="3:3">
      <c r="C337" s="576"/>
    </row>
    <row r="338" spans="3:3">
      <c r="C338" s="576"/>
    </row>
    <row r="339" spans="3:3">
      <c r="C339" s="576"/>
    </row>
    <row r="340" spans="3:3">
      <c r="C340" s="576"/>
    </row>
    <row r="341" spans="3:3">
      <c r="C341" s="576"/>
    </row>
    <row r="342" spans="3:3">
      <c r="C342" s="576"/>
    </row>
    <row r="343" spans="3:3">
      <c r="C343" s="576"/>
    </row>
    <row r="344" spans="3:3">
      <c r="C344" s="576"/>
    </row>
    <row r="345" spans="3:3">
      <c r="C345" s="576"/>
    </row>
    <row r="346" spans="3:3">
      <c r="C346" s="576"/>
    </row>
    <row r="347" spans="3:3">
      <c r="C347" s="576"/>
    </row>
    <row r="348" spans="3:3">
      <c r="C348" s="576"/>
    </row>
    <row r="349" spans="3:3">
      <c r="C349" s="576"/>
    </row>
    <row r="350" spans="3:3">
      <c r="C350" s="576"/>
    </row>
    <row r="351" spans="3:3">
      <c r="C351" s="576"/>
    </row>
    <row r="352" spans="3:3">
      <c r="C352" s="576"/>
    </row>
    <row r="353" spans="3:3">
      <c r="C353" s="576"/>
    </row>
    <row r="354" spans="3:3">
      <c r="C354" s="576"/>
    </row>
    <row r="355" spans="3:3">
      <c r="C355" s="576"/>
    </row>
    <row r="356" spans="3:3">
      <c r="C356" s="576"/>
    </row>
    <row r="357" spans="3:3">
      <c r="C357" s="576"/>
    </row>
    <row r="358" spans="3:3">
      <c r="C358" s="576"/>
    </row>
    <row r="359" spans="3:3">
      <c r="C359" s="576"/>
    </row>
    <row r="360" spans="3:3">
      <c r="C360" s="576"/>
    </row>
    <row r="361" spans="3:3">
      <c r="C361" s="576"/>
    </row>
    <row r="362" spans="3:3">
      <c r="C362" s="576"/>
    </row>
    <row r="363" spans="3:3">
      <c r="C363" s="576"/>
    </row>
    <row r="364" spans="3:3">
      <c r="C364" s="576"/>
    </row>
    <row r="365" spans="3:3">
      <c r="C365" s="576"/>
    </row>
    <row r="366" spans="3:3">
      <c r="C366" s="576"/>
    </row>
    <row r="367" spans="3:3">
      <c r="C367" s="576"/>
    </row>
    <row r="368" spans="3:3">
      <c r="C368" s="576"/>
    </row>
    <row r="369" spans="3:3">
      <c r="C369" s="576"/>
    </row>
    <row r="370" spans="3:3">
      <c r="C370" s="576"/>
    </row>
    <row r="371" spans="3:3">
      <c r="C371" s="576"/>
    </row>
    <row r="372" spans="3:3">
      <c r="C372" s="576"/>
    </row>
    <row r="373" spans="3:3">
      <c r="C373" s="576"/>
    </row>
    <row r="374" spans="3:3">
      <c r="C374" s="576"/>
    </row>
    <row r="375" spans="3:3">
      <c r="C375" s="576"/>
    </row>
    <row r="376" spans="3:3">
      <c r="C376" s="576"/>
    </row>
    <row r="377" spans="3:3">
      <c r="C377" s="576"/>
    </row>
    <row r="378" spans="3:3">
      <c r="C378" s="576"/>
    </row>
    <row r="379" spans="3:3">
      <c r="C379" s="576"/>
    </row>
    <row r="380" spans="3:3">
      <c r="C380" s="576"/>
    </row>
    <row r="381" spans="3:3">
      <c r="C381" s="576"/>
    </row>
    <row r="382" spans="3:3">
      <c r="C382" s="576"/>
    </row>
    <row r="383" spans="3:3">
      <c r="C383" s="576"/>
    </row>
    <row r="384" spans="3:3">
      <c r="C384" s="576"/>
    </row>
    <row r="385" spans="3:3">
      <c r="C385" s="576"/>
    </row>
    <row r="386" spans="3:3">
      <c r="C386" s="576"/>
    </row>
    <row r="387" spans="3:3">
      <c r="C387" s="576"/>
    </row>
    <row r="388" spans="3:3">
      <c r="C388" s="576"/>
    </row>
    <row r="389" spans="3:3">
      <c r="C389" s="576"/>
    </row>
    <row r="390" spans="3:3">
      <c r="C390" s="576"/>
    </row>
    <row r="391" spans="3:3">
      <c r="C391" s="576"/>
    </row>
    <row r="392" spans="3:3">
      <c r="C392" s="576"/>
    </row>
    <row r="393" spans="3:3">
      <c r="C393" s="576"/>
    </row>
    <row r="394" spans="3:3">
      <c r="C394" s="576"/>
    </row>
    <row r="395" spans="3:3">
      <c r="C395" s="576"/>
    </row>
    <row r="396" spans="3:3">
      <c r="C396" s="576"/>
    </row>
    <row r="397" spans="3:3">
      <c r="C397" s="576"/>
    </row>
    <row r="398" spans="3:3">
      <c r="C398" s="576"/>
    </row>
    <row r="399" spans="3:3">
      <c r="C399" s="576"/>
    </row>
    <row r="400" spans="3:3">
      <c r="C400" s="576"/>
    </row>
    <row r="401" spans="3:3">
      <c r="C401" s="576"/>
    </row>
    <row r="402" spans="3:3">
      <c r="C402" s="576"/>
    </row>
    <row r="403" spans="3:3">
      <c r="C403" s="576"/>
    </row>
    <row r="404" spans="3:3">
      <c r="C404" s="576"/>
    </row>
    <row r="405" spans="3:3">
      <c r="C405" s="576"/>
    </row>
    <row r="406" spans="3:3">
      <c r="C406" s="576"/>
    </row>
    <row r="407" spans="3:3">
      <c r="C407" s="576"/>
    </row>
    <row r="408" spans="3:3">
      <c r="C408" s="576"/>
    </row>
    <row r="409" spans="3:3">
      <c r="C409" s="576"/>
    </row>
    <row r="410" spans="3:3">
      <c r="C410" s="576"/>
    </row>
    <row r="411" spans="3:3">
      <c r="C411" s="576"/>
    </row>
    <row r="412" spans="3:3">
      <c r="C412" s="576"/>
    </row>
    <row r="413" spans="3:3">
      <c r="C413" s="576"/>
    </row>
    <row r="414" spans="3:3">
      <c r="C414" s="576"/>
    </row>
    <row r="415" spans="3:3">
      <c r="C415" s="576"/>
    </row>
    <row r="416" spans="3:3">
      <c r="C416" s="576"/>
    </row>
    <row r="417" spans="3:3">
      <c r="C417" s="576"/>
    </row>
    <row r="418" spans="3:3">
      <c r="C418" s="576"/>
    </row>
    <row r="419" spans="3:3">
      <c r="C419" s="576"/>
    </row>
    <row r="420" spans="3:3">
      <c r="C420" s="576"/>
    </row>
    <row r="421" spans="3:3">
      <c r="C421" s="576"/>
    </row>
    <row r="422" spans="3:3">
      <c r="C422" s="576"/>
    </row>
    <row r="423" spans="3:3">
      <c r="C423" s="576"/>
    </row>
    <row r="424" spans="3:3">
      <c r="C424" s="576"/>
    </row>
    <row r="425" spans="3:3">
      <c r="C425" s="576"/>
    </row>
    <row r="426" spans="3:3">
      <c r="C426" s="576"/>
    </row>
    <row r="427" spans="3:3">
      <c r="C427" s="576"/>
    </row>
    <row r="428" spans="3:3">
      <c r="C428" s="576"/>
    </row>
    <row r="429" spans="3:3">
      <c r="C429" s="576"/>
    </row>
    <row r="430" spans="3:3">
      <c r="C430" s="576"/>
    </row>
    <row r="431" spans="3:3">
      <c r="C431" s="576"/>
    </row>
    <row r="432" spans="3:3">
      <c r="C432" s="576"/>
    </row>
    <row r="433" spans="3:3">
      <c r="C433" s="576"/>
    </row>
    <row r="434" spans="3:3">
      <c r="C434" s="576"/>
    </row>
    <row r="435" spans="3:3">
      <c r="C435" s="576"/>
    </row>
    <row r="436" spans="3:3">
      <c r="C436" s="576"/>
    </row>
    <row r="437" spans="3:3">
      <c r="C437" s="576"/>
    </row>
    <row r="438" spans="3:3">
      <c r="C438" s="576"/>
    </row>
    <row r="439" spans="3:3">
      <c r="C439" s="576"/>
    </row>
    <row r="440" spans="3:3">
      <c r="C440" s="576"/>
    </row>
    <row r="441" spans="3:3">
      <c r="C441" s="576"/>
    </row>
    <row r="442" spans="3:3">
      <c r="C442" s="576"/>
    </row>
    <row r="443" spans="3:3">
      <c r="C443" s="576"/>
    </row>
    <row r="444" spans="3:3">
      <c r="C444" s="576"/>
    </row>
    <row r="445" spans="3:3">
      <c r="C445" s="576"/>
    </row>
    <row r="446" spans="3:3">
      <c r="C446" s="576"/>
    </row>
    <row r="447" spans="3:3">
      <c r="C447" s="576"/>
    </row>
    <row r="448" spans="3:3">
      <c r="C448" s="576"/>
    </row>
    <row r="449" spans="3:3">
      <c r="C449" s="576"/>
    </row>
    <row r="450" spans="3:3">
      <c r="C450" s="576"/>
    </row>
    <row r="451" spans="3:3">
      <c r="C451" s="576"/>
    </row>
    <row r="452" spans="3:3">
      <c r="C452" s="576"/>
    </row>
    <row r="453" spans="3:3">
      <c r="C453" s="576"/>
    </row>
    <row r="454" spans="3:3">
      <c r="C454" s="576"/>
    </row>
    <row r="455" spans="3:3">
      <c r="C455" s="576"/>
    </row>
    <row r="456" spans="3:3">
      <c r="C456" s="576"/>
    </row>
    <row r="457" spans="3:3">
      <c r="C457" s="576"/>
    </row>
    <row r="458" spans="3:3">
      <c r="C458" s="576"/>
    </row>
    <row r="459" spans="3:3">
      <c r="C459" s="576"/>
    </row>
    <row r="460" spans="3:3">
      <c r="C460" s="576"/>
    </row>
    <row r="461" spans="3:3">
      <c r="C461" s="576"/>
    </row>
    <row r="462" spans="3:3">
      <c r="C462" s="576"/>
    </row>
    <row r="463" spans="3:3">
      <c r="C463" s="576"/>
    </row>
    <row r="464" spans="3:3">
      <c r="C464" s="576"/>
    </row>
    <row r="465" spans="3:3">
      <c r="C465" s="576"/>
    </row>
    <row r="466" spans="3:3">
      <c r="C466" s="576"/>
    </row>
    <row r="467" spans="3:3">
      <c r="C467" s="576"/>
    </row>
    <row r="468" spans="3:3">
      <c r="C468" s="576"/>
    </row>
    <row r="469" spans="3:3">
      <c r="C469" s="576"/>
    </row>
    <row r="470" spans="3:3">
      <c r="C470" s="576"/>
    </row>
    <row r="471" spans="3:3">
      <c r="C471" s="576"/>
    </row>
    <row r="472" spans="3:3">
      <c r="C472" s="576"/>
    </row>
    <row r="473" spans="3:3">
      <c r="C473" s="576"/>
    </row>
    <row r="474" spans="3:3">
      <c r="C474" s="576"/>
    </row>
    <row r="475" spans="3:3">
      <c r="C475" s="576"/>
    </row>
    <row r="476" spans="3:3">
      <c r="C476" s="576"/>
    </row>
    <row r="477" spans="3:3">
      <c r="C477" s="576"/>
    </row>
    <row r="478" spans="3:3">
      <c r="C478" s="576"/>
    </row>
    <row r="479" spans="3:3">
      <c r="C479" s="576"/>
    </row>
    <row r="480" spans="3:3">
      <c r="C480" s="576"/>
    </row>
    <row r="481" spans="3:3">
      <c r="C481" s="576"/>
    </row>
    <row r="482" spans="3:3">
      <c r="C482" s="576"/>
    </row>
    <row r="483" spans="3:3">
      <c r="C483" s="576"/>
    </row>
    <row r="484" spans="3:3">
      <c r="C484" s="576"/>
    </row>
    <row r="485" spans="3:3">
      <c r="C485" s="576"/>
    </row>
    <row r="486" spans="3:3">
      <c r="C486" s="576"/>
    </row>
    <row r="487" spans="3:3">
      <c r="C487" s="576"/>
    </row>
    <row r="488" spans="3:3">
      <c r="C488" s="576"/>
    </row>
    <row r="489" spans="3:3">
      <c r="C489" s="576"/>
    </row>
    <row r="490" spans="3:3">
      <c r="C490" s="576"/>
    </row>
    <row r="491" spans="3:3">
      <c r="C491" s="576"/>
    </row>
    <row r="492" spans="3:3">
      <c r="C492" s="576"/>
    </row>
    <row r="493" spans="3:3">
      <c r="C493" s="576"/>
    </row>
    <row r="494" spans="3:3">
      <c r="C494" s="576"/>
    </row>
    <row r="495" spans="3:3">
      <c r="C495" s="576"/>
    </row>
    <row r="496" spans="3:3">
      <c r="C496" s="576"/>
    </row>
    <row r="497" spans="3:3">
      <c r="C497" s="576"/>
    </row>
    <row r="498" spans="3:3">
      <c r="C498" s="576"/>
    </row>
    <row r="499" spans="3:3">
      <c r="C499" s="576"/>
    </row>
    <row r="500" spans="3:3">
      <c r="C500" s="576"/>
    </row>
    <row r="501" spans="3:3">
      <c r="C501" s="576"/>
    </row>
    <row r="502" spans="3:3">
      <c r="C502" s="576"/>
    </row>
    <row r="503" spans="3:3">
      <c r="C503" s="576"/>
    </row>
    <row r="504" spans="3:3">
      <c r="C504" s="576"/>
    </row>
    <row r="505" spans="3:3">
      <c r="C505" s="576"/>
    </row>
    <row r="506" spans="3:3">
      <c r="C506" s="576"/>
    </row>
    <row r="507" spans="3:3">
      <c r="C507" s="576"/>
    </row>
    <row r="508" spans="3:3">
      <c r="C508" s="576"/>
    </row>
    <row r="509" spans="3:3">
      <c r="C509" s="576"/>
    </row>
    <row r="510" spans="3:3">
      <c r="C510" s="576"/>
    </row>
    <row r="511" spans="3:3">
      <c r="C511" s="576"/>
    </row>
    <row r="512" spans="3:3">
      <c r="C512" s="576"/>
    </row>
    <row r="513" spans="3:3">
      <c r="C513" s="576"/>
    </row>
    <row r="514" spans="3:3">
      <c r="C514" s="576"/>
    </row>
    <row r="515" spans="3:3">
      <c r="C515" s="576"/>
    </row>
    <row r="516" spans="3:3">
      <c r="C516" s="576"/>
    </row>
    <row r="517" spans="3:3">
      <c r="C517" s="576"/>
    </row>
    <row r="518" spans="3:3">
      <c r="C518" s="576"/>
    </row>
    <row r="519" spans="3:3">
      <c r="C519" s="576"/>
    </row>
    <row r="520" spans="3:3">
      <c r="C520" s="576"/>
    </row>
    <row r="521" spans="3:3">
      <c r="C521" s="576"/>
    </row>
    <row r="522" spans="3:3">
      <c r="C522" s="576"/>
    </row>
    <row r="523" spans="3:3">
      <c r="C523" s="576"/>
    </row>
    <row r="524" spans="3:3">
      <c r="C524" s="576"/>
    </row>
    <row r="525" spans="3:3">
      <c r="C525" s="576"/>
    </row>
    <row r="526" spans="3:3">
      <c r="C526" s="576"/>
    </row>
    <row r="527" spans="3:3">
      <c r="C527" s="576"/>
    </row>
    <row r="528" spans="3:3">
      <c r="C528" s="576"/>
    </row>
    <row r="529" spans="3:3">
      <c r="C529" s="576"/>
    </row>
    <row r="530" spans="3:3">
      <c r="C530" s="576"/>
    </row>
    <row r="531" spans="3:3">
      <c r="C531" s="576"/>
    </row>
    <row r="532" spans="3:3">
      <c r="C532" s="576"/>
    </row>
    <row r="533" spans="3:3">
      <c r="C533" s="576"/>
    </row>
    <row r="534" spans="3:3">
      <c r="C534" s="576"/>
    </row>
    <row r="535" spans="3:3">
      <c r="C535" s="576"/>
    </row>
    <row r="536" spans="3:3">
      <c r="C536" s="576"/>
    </row>
    <row r="537" spans="3:3">
      <c r="C537" s="576"/>
    </row>
    <row r="538" spans="3:3">
      <c r="C538" s="576"/>
    </row>
    <row r="539" spans="3:3">
      <c r="C539" s="576"/>
    </row>
    <row r="540" spans="3:3">
      <c r="C540" s="576"/>
    </row>
    <row r="541" spans="3:3">
      <c r="C541" s="576"/>
    </row>
    <row r="542" spans="3:3">
      <c r="C542" s="576"/>
    </row>
    <row r="543" spans="3:3">
      <c r="C543" s="576"/>
    </row>
    <row r="544" spans="3:3">
      <c r="C544" s="576"/>
    </row>
    <row r="545" spans="3:3">
      <c r="C545" s="576"/>
    </row>
    <row r="546" spans="3:3">
      <c r="C546" s="576"/>
    </row>
    <row r="547" spans="3:3">
      <c r="C547" s="576"/>
    </row>
    <row r="548" spans="3:3">
      <c r="C548" s="576"/>
    </row>
    <row r="549" spans="3:3">
      <c r="C549" s="576"/>
    </row>
    <row r="550" spans="3:3">
      <c r="C550" s="576"/>
    </row>
    <row r="551" spans="3:3">
      <c r="C551" s="576"/>
    </row>
    <row r="552" spans="3:3">
      <c r="C552" s="576"/>
    </row>
    <row r="553" spans="3:3">
      <c r="C553" s="576"/>
    </row>
    <row r="554" spans="3:3">
      <c r="C554" s="576"/>
    </row>
    <row r="555" spans="3:3">
      <c r="C555" s="576"/>
    </row>
    <row r="556" spans="3:3">
      <c r="C556" s="576"/>
    </row>
    <row r="557" spans="3:3">
      <c r="C557" s="576"/>
    </row>
    <row r="558" spans="3:3">
      <c r="C558" s="576"/>
    </row>
    <row r="559" spans="3:3">
      <c r="C559" s="576"/>
    </row>
    <row r="560" spans="3:3">
      <c r="C560" s="576"/>
    </row>
    <row r="561" spans="3:3">
      <c r="C561" s="576"/>
    </row>
    <row r="562" spans="3:3">
      <c r="C562" s="576"/>
    </row>
    <row r="563" spans="3:3">
      <c r="C563" s="576"/>
    </row>
    <row r="564" spans="3:3">
      <c r="C564" s="576"/>
    </row>
    <row r="565" spans="3:3">
      <c r="C565" s="576"/>
    </row>
    <row r="566" spans="3:3">
      <c r="C566" s="576"/>
    </row>
    <row r="567" spans="3:3">
      <c r="C567" s="576"/>
    </row>
    <row r="568" spans="3:3">
      <c r="C568" s="576"/>
    </row>
    <row r="569" spans="3:3">
      <c r="C569" s="576"/>
    </row>
    <row r="570" spans="3:3">
      <c r="C570" s="576"/>
    </row>
    <row r="571" spans="3:3">
      <c r="C571" s="576"/>
    </row>
    <row r="572" spans="3:3">
      <c r="C572" s="576"/>
    </row>
    <row r="573" spans="3:3">
      <c r="C573" s="576"/>
    </row>
    <row r="574" spans="3:3">
      <c r="C574" s="576"/>
    </row>
    <row r="575" spans="3:3">
      <c r="C575" s="576"/>
    </row>
    <row r="576" spans="3:3">
      <c r="C576" s="576"/>
    </row>
    <row r="577" spans="3:3">
      <c r="C577" s="576"/>
    </row>
    <row r="578" spans="3:3">
      <c r="C578" s="576"/>
    </row>
    <row r="579" spans="3:3">
      <c r="C579" s="576"/>
    </row>
    <row r="580" spans="3:3">
      <c r="C580" s="576"/>
    </row>
    <row r="581" spans="3:3">
      <c r="C581" s="576"/>
    </row>
    <row r="582" spans="3:3">
      <c r="C582" s="576"/>
    </row>
    <row r="583" spans="3:3">
      <c r="C583" s="576"/>
    </row>
    <row r="584" spans="3:3">
      <c r="C584" s="576"/>
    </row>
    <row r="585" spans="3:3">
      <c r="C585" s="576"/>
    </row>
    <row r="586" spans="3:3">
      <c r="C586" s="576"/>
    </row>
    <row r="587" spans="3:3">
      <c r="C587" s="576"/>
    </row>
    <row r="588" spans="3:3">
      <c r="C588" s="576"/>
    </row>
    <row r="589" spans="3:3">
      <c r="C589" s="576"/>
    </row>
    <row r="590" spans="3:3">
      <c r="C590" s="576"/>
    </row>
    <row r="591" spans="3:3">
      <c r="C591" s="576"/>
    </row>
    <row r="592" spans="3:3">
      <c r="C592" s="576"/>
    </row>
    <row r="593" spans="3:3">
      <c r="C593" s="576"/>
    </row>
    <row r="594" spans="3:3">
      <c r="C594" s="576"/>
    </row>
    <row r="595" spans="3:3">
      <c r="C595" s="576"/>
    </row>
    <row r="596" spans="3:3">
      <c r="C596" s="576"/>
    </row>
    <row r="597" spans="3:3">
      <c r="C597" s="576"/>
    </row>
    <row r="598" spans="3:3">
      <c r="C598" s="576"/>
    </row>
    <row r="599" spans="3:3">
      <c r="C599" s="576"/>
    </row>
    <row r="600" spans="3:3">
      <c r="C600" s="576"/>
    </row>
    <row r="601" spans="3:3">
      <c r="C601" s="576"/>
    </row>
    <row r="602" spans="3:3">
      <c r="C602" s="576"/>
    </row>
    <row r="603" spans="3:3">
      <c r="C603" s="576"/>
    </row>
    <row r="604" spans="3:3">
      <c r="C604" s="576"/>
    </row>
    <row r="605" spans="3:3">
      <c r="C605" s="576"/>
    </row>
    <row r="606" spans="3:3">
      <c r="C606" s="576"/>
    </row>
    <row r="607" spans="3:3">
      <c r="C607" s="576"/>
    </row>
    <row r="608" spans="3:3">
      <c r="C608" s="576"/>
    </row>
    <row r="609" spans="3:3">
      <c r="C609" s="576"/>
    </row>
    <row r="610" spans="3:3">
      <c r="C610" s="576"/>
    </row>
    <row r="611" spans="3:3">
      <c r="C611" s="576"/>
    </row>
    <row r="612" spans="3:3">
      <c r="C612" s="576"/>
    </row>
    <row r="613" spans="3:3">
      <c r="C613" s="576"/>
    </row>
    <row r="614" spans="3:3">
      <c r="C614" s="576"/>
    </row>
    <row r="615" spans="3:3">
      <c r="C615" s="576"/>
    </row>
    <row r="616" spans="3:3">
      <c r="C616" s="576"/>
    </row>
    <row r="617" spans="3:3">
      <c r="C617" s="576"/>
    </row>
    <row r="618" spans="3:3">
      <c r="C618" s="576"/>
    </row>
    <row r="619" spans="3:3">
      <c r="C619" s="576"/>
    </row>
    <row r="620" spans="3:3">
      <c r="C620" s="576"/>
    </row>
    <row r="621" spans="3:3">
      <c r="C621" s="576"/>
    </row>
    <row r="622" spans="3:3">
      <c r="C622" s="576"/>
    </row>
    <row r="623" spans="3:3">
      <c r="C623" s="576"/>
    </row>
    <row r="624" spans="3:3">
      <c r="C624" s="576"/>
    </row>
    <row r="625" spans="3:3">
      <c r="C625" s="576"/>
    </row>
    <row r="626" spans="3:3">
      <c r="C626" s="576"/>
    </row>
    <row r="627" spans="3:3">
      <c r="C627" s="576"/>
    </row>
    <row r="628" spans="3:3">
      <c r="C628" s="576"/>
    </row>
    <row r="629" spans="3:3">
      <c r="C629" s="576"/>
    </row>
    <row r="630" spans="3:3">
      <c r="C630" s="576"/>
    </row>
    <row r="631" spans="3:3">
      <c r="C631" s="576"/>
    </row>
    <row r="632" spans="3:3">
      <c r="C632" s="576"/>
    </row>
    <row r="633" spans="3:3">
      <c r="C633" s="576"/>
    </row>
    <row r="634" spans="3:3">
      <c r="C634" s="576"/>
    </row>
    <row r="635" spans="3:3">
      <c r="C635" s="576"/>
    </row>
    <row r="636" spans="3:3">
      <c r="C636" s="576"/>
    </row>
    <row r="637" spans="3:3">
      <c r="C637" s="576"/>
    </row>
    <row r="638" spans="3:3">
      <c r="C638" s="576"/>
    </row>
    <row r="639" spans="3:3">
      <c r="C639" s="576"/>
    </row>
    <row r="640" spans="3:3">
      <c r="C640" s="576"/>
    </row>
    <row r="641" spans="3:3">
      <c r="C641" s="576"/>
    </row>
    <row r="642" spans="3:3">
      <c r="C642" s="576"/>
    </row>
    <row r="643" spans="3:3">
      <c r="C643" s="576"/>
    </row>
    <row r="644" spans="3:3">
      <c r="C644" s="576"/>
    </row>
    <row r="645" spans="3:3">
      <c r="C645" s="576"/>
    </row>
    <row r="646" spans="3:3">
      <c r="C646" s="576"/>
    </row>
    <row r="647" spans="3:3">
      <c r="C647" s="576"/>
    </row>
    <row r="648" spans="3:3">
      <c r="C648" s="576"/>
    </row>
    <row r="649" spans="3:3">
      <c r="C649" s="576"/>
    </row>
    <row r="650" spans="3:3">
      <c r="C650" s="576"/>
    </row>
    <row r="651" spans="3:3">
      <c r="C651" s="576"/>
    </row>
    <row r="652" spans="3:3">
      <c r="C652" s="576"/>
    </row>
    <row r="653" spans="3:3">
      <c r="C653" s="576"/>
    </row>
    <row r="654" spans="3:3">
      <c r="C654" s="576"/>
    </row>
    <row r="655" spans="3:3">
      <c r="C655" s="576"/>
    </row>
    <row r="656" spans="3:3">
      <c r="C656" s="576"/>
    </row>
    <row r="657" spans="3:3">
      <c r="C657" s="576"/>
    </row>
    <row r="658" spans="3:3">
      <c r="C658" s="576"/>
    </row>
    <row r="659" spans="3:3">
      <c r="C659" s="576"/>
    </row>
    <row r="660" spans="3:3">
      <c r="C660" s="576"/>
    </row>
    <row r="661" spans="3:3">
      <c r="C661" s="576"/>
    </row>
    <row r="662" spans="3:3">
      <c r="C662" s="576"/>
    </row>
    <row r="663" spans="3:3">
      <c r="C663" s="576"/>
    </row>
    <row r="664" spans="3:3">
      <c r="C664" s="576"/>
    </row>
    <row r="665" spans="3:3">
      <c r="C665" s="576"/>
    </row>
    <row r="666" spans="3:3">
      <c r="C666" s="576"/>
    </row>
    <row r="667" spans="3:3">
      <c r="C667" s="576"/>
    </row>
    <row r="668" spans="3:3">
      <c r="C668" s="576"/>
    </row>
    <row r="669" spans="3:3">
      <c r="C669" s="576"/>
    </row>
    <row r="670" spans="3:3">
      <c r="C670" s="576"/>
    </row>
    <row r="671" spans="3:3">
      <c r="C671" s="576"/>
    </row>
    <row r="672" spans="3:3">
      <c r="C672" s="576"/>
    </row>
    <row r="673" spans="3:3">
      <c r="C673" s="576"/>
    </row>
    <row r="674" spans="3:3">
      <c r="C674" s="576"/>
    </row>
    <row r="675" spans="3:3">
      <c r="C675" s="576"/>
    </row>
    <row r="676" spans="3:3">
      <c r="C676" s="576"/>
    </row>
    <row r="677" spans="3:3">
      <c r="C677" s="576"/>
    </row>
    <row r="678" spans="3:3">
      <c r="C678" s="576"/>
    </row>
    <row r="679" spans="3:3">
      <c r="C679" s="576"/>
    </row>
    <row r="680" spans="3:3">
      <c r="C680" s="576"/>
    </row>
    <row r="681" spans="3:3">
      <c r="C681" s="576"/>
    </row>
    <row r="682" spans="3:3">
      <c r="C682" s="576"/>
    </row>
    <row r="683" spans="3:3">
      <c r="C683" s="576"/>
    </row>
    <row r="684" spans="3:3">
      <c r="C684" s="576"/>
    </row>
    <row r="685" spans="3:3">
      <c r="C685" s="576"/>
    </row>
    <row r="686" spans="3:3">
      <c r="C686" s="576"/>
    </row>
    <row r="687" spans="3:3">
      <c r="C687" s="576"/>
    </row>
    <row r="688" spans="3:3">
      <c r="C688" s="576"/>
    </row>
    <row r="689" spans="3:3">
      <c r="C689" s="576"/>
    </row>
    <row r="690" spans="3:3">
      <c r="C690" s="576"/>
    </row>
    <row r="691" spans="3:3">
      <c r="C691" s="576"/>
    </row>
    <row r="692" spans="3:3">
      <c r="C692" s="576"/>
    </row>
    <row r="693" spans="3:3">
      <c r="C693" s="576"/>
    </row>
    <row r="694" spans="3:3">
      <c r="C694" s="576"/>
    </row>
    <row r="695" spans="3:3">
      <c r="C695" s="576"/>
    </row>
    <row r="696" spans="3:3">
      <c r="C696" s="576"/>
    </row>
    <row r="697" spans="3:3">
      <c r="C697" s="576"/>
    </row>
    <row r="698" spans="3:3">
      <c r="C698" s="576"/>
    </row>
    <row r="699" spans="3:3">
      <c r="C699" s="576"/>
    </row>
    <row r="700" spans="3:3">
      <c r="C700" s="576"/>
    </row>
    <row r="701" spans="3:3">
      <c r="C701" s="576"/>
    </row>
    <row r="702" spans="3:3">
      <c r="C702" s="576"/>
    </row>
    <row r="703" spans="3:3">
      <c r="C703" s="576"/>
    </row>
    <row r="704" spans="3:3">
      <c r="C704" s="576"/>
    </row>
    <row r="705" spans="3:3">
      <c r="C705" s="576"/>
    </row>
    <row r="706" spans="3:3">
      <c r="C706" s="576"/>
    </row>
    <row r="707" spans="3:3">
      <c r="C707" s="576"/>
    </row>
    <row r="708" spans="3:3">
      <c r="C708" s="576"/>
    </row>
    <row r="709" spans="3:3">
      <c r="C709" s="576"/>
    </row>
    <row r="710" spans="3:3">
      <c r="C710" s="576"/>
    </row>
    <row r="711" spans="3:3">
      <c r="C711" s="576"/>
    </row>
    <row r="712" spans="3:3">
      <c r="C712" s="576"/>
    </row>
    <row r="713" spans="3:3">
      <c r="C713" s="576"/>
    </row>
    <row r="714" spans="3:3">
      <c r="C714" s="576"/>
    </row>
    <row r="715" spans="3:3">
      <c r="C715" s="576"/>
    </row>
    <row r="716" spans="3:3">
      <c r="C716" s="576"/>
    </row>
    <row r="717" spans="3:3">
      <c r="C717" s="576"/>
    </row>
    <row r="718" spans="3:3">
      <c r="C718" s="576"/>
    </row>
    <row r="719" spans="3:3">
      <c r="C719" s="576"/>
    </row>
    <row r="720" spans="3:3">
      <c r="C720" s="576"/>
    </row>
    <row r="721" spans="3:3">
      <c r="C721" s="576"/>
    </row>
    <row r="722" spans="3:3">
      <c r="C722" s="576"/>
    </row>
    <row r="723" spans="3:3">
      <c r="C723" s="576"/>
    </row>
    <row r="724" spans="3:3">
      <c r="C724" s="576"/>
    </row>
    <row r="725" spans="3:3">
      <c r="C725" s="576"/>
    </row>
    <row r="726" spans="3:3">
      <c r="C726" s="576"/>
    </row>
    <row r="727" spans="3:3">
      <c r="C727" s="576"/>
    </row>
    <row r="728" spans="3:3">
      <c r="C728" s="576"/>
    </row>
    <row r="729" spans="3:3">
      <c r="C729" s="576"/>
    </row>
    <row r="730" spans="3:3">
      <c r="C730" s="576"/>
    </row>
    <row r="731" spans="3:3">
      <c r="C731" s="576"/>
    </row>
    <row r="732" spans="3:3">
      <c r="C732" s="576"/>
    </row>
    <row r="733" spans="3:3">
      <c r="C733" s="576"/>
    </row>
    <row r="734" spans="3:3">
      <c r="C734" s="576"/>
    </row>
    <row r="735" spans="3:3">
      <c r="C735" s="576"/>
    </row>
    <row r="736" spans="3:3">
      <c r="C736" s="576"/>
    </row>
    <row r="737" spans="3:3">
      <c r="C737" s="576"/>
    </row>
    <row r="738" spans="3:3">
      <c r="C738" s="576"/>
    </row>
    <row r="739" spans="3:3">
      <c r="C739" s="576"/>
    </row>
    <row r="740" spans="3:3">
      <c r="C740" s="576"/>
    </row>
    <row r="741" spans="3:3">
      <c r="C741" s="576"/>
    </row>
    <row r="742" spans="3:3">
      <c r="C742" s="576"/>
    </row>
    <row r="743" spans="3:3">
      <c r="C743" s="576"/>
    </row>
    <row r="744" spans="3:3">
      <c r="C744" s="576"/>
    </row>
    <row r="745" spans="3:3">
      <c r="C745" s="576"/>
    </row>
    <row r="746" spans="3:3">
      <c r="C746" s="576"/>
    </row>
    <row r="747" spans="3:3">
      <c r="C747" s="576"/>
    </row>
    <row r="748" spans="3:3">
      <c r="C748" s="576"/>
    </row>
    <row r="749" spans="3:3">
      <c r="C749" s="576"/>
    </row>
    <row r="750" spans="3:3">
      <c r="C750" s="576"/>
    </row>
    <row r="751" spans="3:3">
      <c r="C751" s="576"/>
    </row>
    <row r="752" spans="3:3">
      <c r="C752" s="576"/>
    </row>
    <row r="753" spans="3:3">
      <c r="C753" s="576"/>
    </row>
    <row r="754" spans="3:3">
      <c r="C754" s="576"/>
    </row>
    <row r="755" spans="3:3">
      <c r="C755" s="576"/>
    </row>
    <row r="756" spans="3:3">
      <c r="C756" s="576"/>
    </row>
    <row r="757" spans="3:3">
      <c r="C757" s="576"/>
    </row>
    <row r="758" spans="3:3">
      <c r="C758" s="576"/>
    </row>
    <row r="759" spans="3:3">
      <c r="C759" s="576"/>
    </row>
    <row r="760" spans="3:3">
      <c r="C760" s="576"/>
    </row>
    <row r="761" spans="3:3">
      <c r="C761" s="576"/>
    </row>
    <row r="762" spans="3:3">
      <c r="C762" s="576"/>
    </row>
    <row r="763" spans="3:3">
      <c r="C763" s="576"/>
    </row>
    <row r="764" spans="3:3">
      <c r="C764" s="576"/>
    </row>
    <row r="765" spans="3:3">
      <c r="C765" s="576"/>
    </row>
    <row r="766" spans="3:3">
      <c r="C766" s="576"/>
    </row>
    <row r="767" spans="3:3">
      <c r="C767" s="576"/>
    </row>
    <row r="768" spans="3:3">
      <c r="C768" s="576"/>
    </row>
    <row r="769" spans="3:3">
      <c r="C769" s="576"/>
    </row>
    <row r="770" spans="3:3">
      <c r="C770" s="576"/>
    </row>
    <row r="771" spans="3:3">
      <c r="C771" s="576"/>
    </row>
    <row r="772" spans="3:3">
      <c r="C772" s="576"/>
    </row>
    <row r="773" spans="3:3">
      <c r="C773" s="576"/>
    </row>
    <row r="774" spans="3:3">
      <c r="C774" s="576"/>
    </row>
    <row r="775" spans="3:3">
      <c r="C775" s="576"/>
    </row>
    <row r="776" spans="3:3">
      <c r="C776" s="576"/>
    </row>
    <row r="777" spans="3:3">
      <c r="C777" s="576"/>
    </row>
    <row r="778" spans="3:3">
      <c r="C778" s="576"/>
    </row>
    <row r="779" spans="3:3">
      <c r="C779" s="576"/>
    </row>
    <row r="780" spans="3:3">
      <c r="C780" s="576"/>
    </row>
    <row r="781" spans="3:3">
      <c r="C781" s="576"/>
    </row>
    <row r="782" spans="3:3">
      <c r="C782" s="576"/>
    </row>
    <row r="783" spans="3:3">
      <c r="C783" s="576"/>
    </row>
    <row r="784" spans="3:3">
      <c r="C784" s="576"/>
    </row>
    <row r="785" spans="3:3">
      <c r="C785" s="576"/>
    </row>
    <row r="786" spans="3:3">
      <c r="C786" s="576"/>
    </row>
    <row r="787" spans="3:3">
      <c r="C787" s="576"/>
    </row>
    <row r="788" spans="3:3">
      <c r="C788" s="576"/>
    </row>
    <row r="789" spans="3:3">
      <c r="C789" s="576"/>
    </row>
    <row r="790" spans="3:3">
      <c r="C790" s="576"/>
    </row>
    <row r="791" spans="3:3">
      <c r="C791" s="576"/>
    </row>
    <row r="792" spans="3:3">
      <c r="C792" s="576"/>
    </row>
    <row r="793" spans="3:3">
      <c r="C793" s="576"/>
    </row>
    <row r="794" spans="3:3">
      <c r="C794" s="576"/>
    </row>
    <row r="795" spans="3:3">
      <c r="C795" s="576"/>
    </row>
    <row r="796" spans="3:3">
      <c r="C796" s="576"/>
    </row>
    <row r="797" spans="3:3">
      <c r="C797" s="576"/>
    </row>
    <row r="798" spans="3:3">
      <c r="C798" s="576"/>
    </row>
    <row r="799" spans="3:3">
      <c r="C799" s="576"/>
    </row>
    <row r="800" spans="3:3">
      <c r="C800" s="576"/>
    </row>
    <row r="801" spans="3:3">
      <c r="C801" s="576"/>
    </row>
    <row r="802" spans="3:3">
      <c r="C802" s="576"/>
    </row>
    <row r="803" spans="3:3">
      <c r="C803" s="576"/>
    </row>
    <row r="804" spans="3:3">
      <c r="C804" s="576"/>
    </row>
    <row r="805" spans="3:3">
      <c r="C805" s="576"/>
    </row>
    <row r="806" spans="3:3">
      <c r="C806" s="576"/>
    </row>
    <row r="807" spans="3:3">
      <c r="C807" s="576"/>
    </row>
    <row r="808" spans="3:3">
      <c r="C808" s="576"/>
    </row>
    <row r="809" spans="3:3">
      <c r="C809" s="576"/>
    </row>
    <row r="810" spans="3:3">
      <c r="C810" s="576"/>
    </row>
    <row r="811" spans="3:3">
      <c r="C811" s="576"/>
    </row>
    <row r="812" spans="3:3">
      <c r="C812" s="576"/>
    </row>
    <row r="813" spans="3:3">
      <c r="C813" s="576"/>
    </row>
    <row r="814" spans="3:3">
      <c r="C814" s="576"/>
    </row>
    <row r="815" spans="3:3">
      <c r="C815" s="576"/>
    </row>
    <row r="816" spans="3:3">
      <c r="C816" s="576"/>
    </row>
    <row r="817" spans="3:3">
      <c r="C817" s="576"/>
    </row>
    <row r="818" spans="3:3">
      <c r="C818" s="576"/>
    </row>
    <row r="819" spans="3:3">
      <c r="C819" s="576"/>
    </row>
    <row r="820" spans="3:3">
      <c r="C820" s="576"/>
    </row>
    <row r="821" spans="3:3">
      <c r="C821" s="576"/>
    </row>
    <row r="822" spans="3:3">
      <c r="C822" s="576"/>
    </row>
    <row r="823" spans="3:3">
      <c r="C823" s="576"/>
    </row>
    <row r="824" spans="3:3">
      <c r="C824" s="576"/>
    </row>
    <row r="825" spans="3:3">
      <c r="C825" s="576"/>
    </row>
    <row r="826" spans="3:3">
      <c r="C826" s="576"/>
    </row>
    <row r="827" spans="3:3">
      <c r="C827" s="576"/>
    </row>
    <row r="828" spans="3:3">
      <c r="C828" s="576"/>
    </row>
    <row r="829" spans="3:3">
      <c r="C829" s="576"/>
    </row>
    <row r="830" spans="3:3">
      <c r="C830" s="576"/>
    </row>
    <row r="831" spans="3:3">
      <c r="C831" s="576"/>
    </row>
    <row r="832" spans="3:3">
      <c r="C832" s="576"/>
    </row>
    <row r="833" spans="3:3">
      <c r="C833" s="576"/>
    </row>
    <row r="834" spans="3:3">
      <c r="C834" s="576"/>
    </row>
    <row r="835" spans="3:3">
      <c r="C835" s="576"/>
    </row>
    <row r="836" spans="3:3">
      <c r="C836" s="576"/>
    </row>
    <row r="837" spans="3:3">
      <c r="C837" s="576"/>
    </row>
    <row r="838" spans="3:3">
      <c r="C838" s="576"/>
    </row>
    <row r="839" spans="3:3">
      <c r="C839" s="576"/>
    </row>
    <row r="840" spans="3:3">
      <c r="C840" s="576"/>
    </row>
    <row r="841" spans="3:3">
      <c r="C841" s="576"/>
    </row>
    <row r="842" spans="3:3">
      <c r="C842" s="576"/>
    </row>
    <row r="843" spans="3:3">
      <c r="C843" s="576"/>
    </row>
    <row r="844" spans="3:3">
      <c r="C844" s="576"/>
    </row>
    <row r="845" spans="3:3">
      <c r="C845" s="576"/>
    </row>
    <row r="846" spans="3:3">
      <c r="C846" s="576"/>
    </row>
    <row r="847" spans="3:3">
      <c r="C847" s="576"/>
    </row>
    <row r="848" spans="3:3">
      <c r="C848" s="576"/>
    </row>
    <row r="849" spans="3:3">
      <c r="C849" s="576"/>
    </row>
    <row r="850" spans="3:3">
      <c r="C850" s="576"/>
    </row>
    <row r="851" spans="3:3">
      <c r="C851" s="576"/>
    </row>
    <row r="852" spans="3:3">
      <c r="C852" s="576"/>
    </row>
    <row r="853" spans="3:3">
      <c r="C853" s="576"/>
    </row>
    <row r="854" spans="3:3">
      <c r="C854" s="576"/>
    </row>
    <row r="855" spans="3:3">
      <c r="C855" s="576"/>
    </row>
    <row r="856" spans="3:3">
      <c r="C856" s="576"/>
    </row>
    <row r="857" spans="3:3">
      <c r="C857" s="576"/>
    </row>
    <row r="858" spans="3:3">
      <c r="C858" s="576"/>
    </row>
    <row r="859" spans="3:3">
      <c r="C859" s="576"/>
    </row>
    <row r="860" spans="3:3">
      <c r="C860" s="576"/>
    </row>
    <row r="861" spans="3:3">
      <c r="C861" s="576"/>
    </row>
    <row r="862" spans="3:3">
      <c r="C862" s="576"/>
    </row>
    <row r="863" spans="3:3">
      <c r="C863" s="576"/>
    </row>
    <row r="864" spans="3:3">
      <c r="C864" s="576"/>
    </row>
    <row r="865" spans="3:3">
      <c r="C865" s="576"/>
    </row>
    <row r="866" spans="3:3">
      <c r="C866" s="576"/>
    </row>
    <row r="867" spans="3:3">
      <c r="C867" s="576"/>
    </row>
    <row r="868" spans="3:3">
      <c r="C868" s="576"/>
    </row>
    <row r="869" spans="3:3">
      <c r="C869" s="576"/>
    </row>
    <row r="870" spans="3:3">
      <c r="C870" s="576"/>
    </row>
    <row r="871" spans="3:3">
      <c r="C871" s="576"/>
    </row>
    <row r="872" spans="3:3">
      <c r="C872" s="576"/>
    </row>
    <row r="873" spans="3:3">
      <c r="C873" s="576"/>
    </row>
    <row r="874" spans="3:3">
      <c r="C874" s="576"/>
    </row>
    <row r="875" spans="3:3">
      <c r="C875" s="576"/>
    </row>
    <row r="876" spans="3:3">
      <c r="C876" s="576"/>
    </row>
    <row r="877" spans="3:3">
      <c r="C877" s="576"/>
    </row>
    <row r="878" spans="3:3">
      <c r="C878" s="576"/>
    </row>
    <row r="879" spans="3:3">
      <c r="C879" s="576"/>
    </row>
    <row r="880" spans="3:3">
      <c r="C880" s="576"/>
    </row>
    <row r="881" spans="3:3">
      <c r="C881" s="576"/>
    </row>
    <row r="882" spans="3:3">
      <c r="C882" s="576"/>
    </row>
    <row r="883" spans="3:3">
      <c r="C883" s="576"/>
    </row>
    <row r="884" spans="3:3">
      <c r="C884" s="576"/>
    </row>
    <row r="885" spans="3:3">
      <c r="C885" s="576"/>
    </row>
    <row r="886" spans="3:3">
      <c r="C886" s="576"/>
    </row>
    <row r="887" spans="3:3">
      <c r="C887" s="576"/>
    </row>
    <row r="888" spans="3:3">
      <c r="C888" s="576"/>
    </row>
    <row r="889" spans="3:3">
      <c r="C889" s="576"/>
    </row>
    <row r="890" spans="3:3">
      <c r="C890" s="576"/>
    </row>
    <row r="891" spans="3:3">
      <c r="C891" s="576"/>
    </row>
    <row r="892" spans="3:3">
      <c r="C892" s="576"/>
    </row>
    <row r="893" spans="3:3">
      <c r="C893" s="576"/>
    </row>
    <row r="894" spans="3:3">
      <c r="C894" s="576"/>
    </row>
    <row r="895" spans="3:3">
      <c r="C895" s="576"/>
    </row>
    <row r="896" spans="3:3">
      <c r="C896" s="576"/>
    </row>
    <row r="897" spans="3:3">
      <c r="C897" s="576"/>
    </row>
    <row r="898" spans="3:3">
      <c r="C898" s="576"/>
    </row>
    <row r="899" spans="3:3">
      <c r="C899" s="576"/>
    </row>
    <row r="900" spans="3:3">
      <c r="C900" s="576"/>
    </row>
    <row r="901" spans="3:3">
      <c r="C901" s="576"/>
    </row>
    <row r="902" spans="3:3">
      <c r="C902" s="576"/>
    </row>
    <row r="903" spans="3:3">
      <c r="C903" s="576"/>
    </row>
    <row r="904" spans="3:3">
      <c r="C904" s="576"/>
    </row>
    <row r="905" spans="3:3">
      <c r="C905" s="576"/>
    </row>
    <row r="906" spans="3:3">
      <c r="C906" s="576"/>
    </row>
    <row r="907" spans="3:3">
      <c r="C907" s="576"/>
    </row>
    <row r="908" spans="3:3">
      <c r="C908" s="576"/>
    </row>
    <row r="909" spans="3:3">
      <c r="C909" s="576"/>
    </row>
    <row r="910" spans="3:3">
      <c r="C910" s="576"/>
    </row>
    <row r="911" spans="3:3">
      <c r="C911" s="576"/>
    </row>
    <row r="912" spans="3:3">
      <c r="C912" s="576"/>
    </row>
    <row r="913" spans="3:3">
      <c r="C913" s="576"/>
    </row>
    <row r="914" spans="3:3">
      <c r="C914" s="576"/>
    </row>
    <row r="915" spans="3:3">
      <c r="C915" s="576"/>
    </row>
    <row r="916" spans="3:3">
      <c r="C916" s="576"/>
    </row>
    <row r="917" spans="3:3">
      <c r="C917" s="576"/>
    </row>
    <row r="918" spans="3:3">
      <c r="C918" s="576"/>
    </row>
    <row r="919" spans="3:3">
      <c r="C919" s="576"/>
    </row>
    <row r="920" spans="3:3">
      <c r="C920" s="576"/>
    </row>
    <row r="921" spans="3:3">
      <c r="C921" s="576"/>
    </row>
    <row r="922" spans="3:3">
      <c r="C922" s="576"/>
    </row>
    <row r="923" spans="3:3">
      <c r="C923" s="576"/>
    </row>
    <row r="924" spans="3:3">
      <c r="C924" s="576"/>
    </row>
    <row r="925" spans="3:3">
      <c r="C925" s="576"/>
    </row>
    <row r="926" spans="3:3">
      <c r="C926" s="576"/>
    </row>
    <row r="927" spans="3:3">
      <c r="C927" s="576"/>
    </row>
    <row r="928" spans="3:3">
      <c r="C928" s="576"/>
    </row>
    <row r="929" spans="3:3">
      <c r="C929" s="576"/>
    </row>
    <row r="930" spans="3:3">
      <c r="C930" s="576"/>
    </row>
    <row r="931" spans="3:3">
      <c r="C931" s="576"/>
    </row>
    <row r="932" spans="3:3">
      <c r="C932" s="576"/>
    </row>
    <row r="933" spans="3:3">
      <c r="C933" s="576"/>
    </row>
    <row r="934" spans="3:3">
      <c r="C934" s="576"/>
    </row>
    <row r="935" spans="3:3">
      <c r="C935" s="576"/>
    </row>
    <row r="936" spans="3:3">
      <c r="C936" s="576"/>
    </row>
    <row r="937" spans="3:3">
      <c r="C937" s="576"/>
    </row>
    <row r="938" spans="3:3">
      <c r="C938" s="576"/>
    </row>
    <row r="939" spans="3:3">
      <c r="C939" s="576"/>
    </row>
    <row r="940" spans="3:3">
      <c r="C940" s="576"/>
    </row>
    <row r="941" spans="3:3">
      <c r="C941" s="576"/>
    </row>
    <row r="942" spans="3:3">
      <c r="C942" s="576"/>
    </row>
    <row r="943" spans="3:3">
      <c r="C943" s="576"/>
    </row>
    <row r="944" spans="3:3">
      <c r="C944" s="576"/>
    </row>
    <row r="945" spans="3:3">
      <c r="C945" s="576"/>
    </row>
    <row r="946" spans="3:3">
      <c r="C946" s="576"/>
    </row>
    <row r="947" spans="3:3">
      <c r="C947" s="576"/>
    </row>
    <row r="948" spans="3:3">
      <c r="C948" s="576"/>
    </row>
    <row r="949" spans="3:3">
      <c r="C949" s="576"/>
    </row>
    <row r="950" spans="3:3">
      <c r="C950" s="576"/>
    </row>
    <row r="951" spans="3:3">
      <c r="C951" s="576"/>
    </row>
    <row r="952" spans="3:3">
      <c r="C952" s="576"/>
    </row>
    <row r="953" spans="3:3">
      <c r="C953" s="576"/>
    </row>
    <row r="954" spans="3:3">
      <c r="C954" s="576"/>
    </row>
    <row r="955" spans="3:3">
      <c r="C955" s="576"/>
    </row>
    <row r="956" spans="3:3">
      <c r="C956" s="576"/>
    </row>
    <row r="957" spans="3:3">
      <c r="C957" s="576"/>
    </row>
    <row r="958" spans="3:3">
      <c r="C958" s="576"/>
    </row>
    <row r="959" spans="3:3">
      <c r="C959" s="576"/>
    </row>
    <row r="960" spans="3:3">
      <c r="C960" s="576"/>
    </row>
    <row r="961" spans="3:3">
      <c r="C961" s="576"/>
    </row>
    <row r="962" spans="3:3">
      <c r="C962" s="576"/>
    </row>
    <row r="963" spans="3:3">
      <c r="C963" s="576"/>
    </row>
    <row r="964" spans="3:3">
      <c r="C964" s="576"/>
    </row>
    <row r="965" spans="3:3">
      <c r="C965" s="576"/>
    </row>
    <row r="966" spans="3:3">
      <c r="C966" s="576"/>
    </row>
    <row r="967" spans="3:3">
      <c r="C967" s="576"/>
    </row>
    <row r="968" spans="3:3">
      <c r="C968" s="576"/>
    </row>
    <row r="969" spans="3:3">
      <c r="C969" s="576"/>
    </row>
    <row r="970" spans="3:3">
      <c r="C970" s="576"/>
    </row>
    <row r="971" spans="3:3">
      <c r="C971" s="576"/>
    </row>
    <row r="972" spans="3:3">
      <c r="C972" s="576"/>
    </row>
    <row r="973" spans="3:3">
      <c r="C973" s="576"/>
    </row>
    <row r="974" spans="3:3">
      <c r="C974" s="576"/>
    </row>
    <row r="975" spans="3:3">
      <c r="C975" s="576"/>
    </row>
    <row r="976" spans="3:3">
      <c r="C976" s="576"/>
    </row>
    <row r="977" spans="3:3">
      <c r="C977" s="576"/>
    </row>
    <row r="978" spans="3:3">
      <c r="C978" s="576"/>
    </row>
    <row r="979" spans="3:3">
      <c r="C979" s="576"/>
    </row>
    <row r="980" spans="3:3">
      <c r="C980" s="576"/>
    </row>
    <row r="981" spans="3:3">
      <c r="C981" s="576"/>
    </row>
    <row r="982" spans="3:3">
      <c r="C982" s="576"/>
    </row>
    <row r="983" spans="3:3">
      <c r="C983" s="576"/>
    </row>
    <row r="984" spans="3:3">
      <c r="C984" s="576"/>
    </row>
    <row r="985" spans="3:3">
      <c r="C985" s="576"/>
    </row>
    <row r="986" spans="3:3">
      <c r="C986" s="576"/>
    </row>
    <row r="987" spans="3:3">
      <c r="C987" s="576"/>
    </row>
    <row r="988" spans="3:3">
      <c r="C988" s="576"/>
    </row>
    <row r="989" spans="3:3">
      <c r="C989" s="576"/>
    </row>
    <row r="990" spans="3:3">
      <c r="C990" s="576"/>
    </row>
    <row r="991" spans="3:3">
      <c r="C991" s="576"/>
    </row>
    <row r="992" spans="3:3">
      <c r="C992" s="576"/>
    </row>
    <row r="993" spans="3:3">
      <c r="C993" s="576"/>
    </row>
    <row r="994" spans="3:3">
      <c r="C994" s="576"/>
    </row>
    <row r="995" spans="3:3">
      <c r="C995" s="576"/>
    </row>
    <row r="996" spans="3:3">
      <c r="C996" s="576"/>
    </row>
    <row r="997" spans="3:3">
      <c r="C997" s="576"/>
    </row>
    <row r="998" spans="3:3">
      <c r="C998" s="576"/>
    </row>
    <row r="999" spans="3:3">
      <c r="C999" s="576"/>
    </row>
    <row r="1000" spans="3:3">
      <c r="C1000" s="576"/>
    </row>
    <row r="1001" spans="3:3">
      <c r="C1001" s="576"/>
    </row>
    <row r="1002" spans="3:3">
      <c r="C1002" s="576"/>
    </row>
    <row r="1003" spans="3:3">
      <c r="C1003" s="576"/>
    </row>
    <row r="1004" spans="3:3">
      <c r="C1004" s="576"/>
    </row>
    <row r="1005" spans="3:3">
      <c r="C1005" s="576"/>
    </row>
    <row r="1006" spans="3:3">
      <c r="C1006" s="576"/>
    </row>
    <row r="1007" spans="3:3">
      <c r="C1007" s="576"/>
    </row>
    <row r="1008" spans="3:3">
      <c r="C1008" s="576"/>
    </row>
    <row r="1009" spans="3:3">
      <c r="C1009" s="576"/>
    </row>
    <row r="1010" spans="3:3">
      <c r="C1010" s="576"/>
    </row>
    <row r="1011" spans="3:3">
      <c r="C1011" s="576"/>
    </row>
    <row r="1012" spans="3:3">
      <c r="C1012" s="576"/>
    </row>
    <row r="1013" spans="3:3">
      <c r="C1013" s="576"/>
    </row>
    <row r="1014" spans="3:3">
      <c r="C1014" s="576"/>
    </row>
    <row r="1015" spans="3:3">
      <c r="C1015" s="576"/>
    </row>
    <row r="1016" spans="3:3">
      <c r="C1016" s="576"/>
    </row>
    <row r="1017" spans="3:3">
      <c r="C1017" s="576"/>
    </row>
    <row r="1018" spans="3:3">
      <c r="C1018" s="576"/>
    </row>
    <row r="1019" spans="3:3">
      <c r="C1019" s="576"/>
    </row>
    <row r="1020" spans="3:3">
      <c r="C1020" s="576"/>
    </row>
    <row r="1021" spans="3:3">
      <c r="C1021" s="576"/>
    </row>
    <row r="1022" spans="3:3">
      <c r="C1022" s="576"/>
    </row>
    <row r="1023" spans="3:3">
      <c r="C1023" s="576"/>
    </row>
    <row r="1024" spans="3:3">
      <c r="C1024" s="576"/>
    </row>
    <row r="1025" spans="3:3">
      <c r="C1025" s="576"/>
    </row>
    <row r="1026" spans="3:3">
      <c r="C1026" s="576"/>
    </row>
    <row r="1027" spans="3:3">
      <c r="C1027" s="576"/>
    </row>
    <row r="1028" spans="3:3">
      <c r="C1028" s="576"/>
    </row>
    <row r="1029" spans="3:3">
      <c r="C1029" s="576"/>
    </row>
    <row r="1030" spans="3:3">
      <c r="C1030" s="576"/>
    </row>
    <row r="1031" spans="3:3">
      <c r="C1031" s="576"/>
    </row>
    <row r="1032" spans="3:3">
      <c r="C1032" s="576"/>
    </row>
    <row r="1033" spans="3:3">
      <c r="C1033" s="576"/>
    </row>
    <row r="1034" spans="3:3">
      <c r="C1034" s="576"/>
    </row>
    <row r="1035" spans="3:3">
      <c r="C1035" s="576"/>
    </row>
    <row r="1036" spans="3:3">
      <c r="C1036" s="576"/>
    </row>
    <row r="1037" spans="3:3">
      <c r="C1037" s="576"/>
    </row>
    <row r="1038" spans="3:3">
      <c r="C1038" s="576"/>
    </row>
    <row r="1039" spans="3:3">
      <c r="C1039" s="576"/>
    </row>
    <row r="1040" spans="3:3">
      <c r="C1040" s="576"/>
    </row>
    <row r="1041" spans="3:3">
      <c r="C1041" s="576"/>
    </row>
    <row r="1042" spans="3:3">
      <c r="C1042" s="576"/>
    </row>
    <row r="1043" spans="3:3">
      <c r="C1043" s="576"/>
    </row>
    <row r="1044" spans="3:3">
      <c r="C1044" s="576"/>
    </row>
    <row r="1045" spans="3:3">
      <c r="C1045" s="576"/>
    </row>
    <row r="1046" spans="3:3">
      <c r="C1046" s="576"/>
    </row>
    <row r="1047" spans="3:3">
      <c r="C1047" s="576"/>
    </row>
    <row r="1048" spans="3:3">
      <c r="C1048" s="576"/>
    </row>
    <row r="1049" spans="3:3">
      <c r="C1049" s="576"/>
    </row>
    <row r="1050" spans="3:3">
      <c r="C1050" s="576"/>
    </row>
    <row r="1051" spans="3:3">
      <c r="C1051" s="576"/>
    </row>
    <row r="1052" spans="3:3">
      <c r="C1052" s="576"/>
    </row>
    <row r="1053" spans="3:3">
      <c r="C1053" s="576"/>
    </row>
    <row r="1054" spans="3:3">
      <c r="C1054" s="576"/>
    </row>
    <row r="1055" spans="3:3">
      <c r="C1055" s="576"/>
    </row>
    <row r="1056" spans="3:3">
      <c r="C1056" s="576"/>
    </row>
    <row r="1057" spans="3:3">
      <c r="C1057" s="576"/>
    </row>
    <row r="1058" spans="3:3">
      <c r="C1058" s="576"/>
    </row>
    <row r="1059" spans="3:3">
      <c r="C1059" s="576"/>
    </row>
    <row r="1060" spans="3:3">
      <c r="C1060" s="576"/>
    </row>
    <row r="1061" spans="3:3">
      <c r="C1061" s="576"/>
    </row>
    <row r="1062" spans="3:3">
      <c r="C1062" s="576"/>
    </row>
    <row r="1063" spans="3:3">
      <c r="C1063" s="576"/>
    </row>
    <row r="1064" spans="3:3">
      <c r="C1064" s="576"/>
    </row>
    <row r="1065" spans="3:3">
      <c r="C1065" s="576"/>
    </row>
    <row r="1066" spans="3:3">
      <c r="C1066" s="576"/>
    </row>
    <row r="1067" spans="3:3">
      <c r="C1067" s="576"/>
    </row>
    <row r="1068" spans="3:3">
      <c r="C1068" s="576"/>
    </row>
    <row r="1069" spans="3:3">
      <c r="C1069" s="576"/>
    </row>
    <row r="1070" spans="3:3">
      <c r="C1070" s="576"/>
    </row>
    <row r="1071" spans="3:3">
      <c r="C1071" s="576"/>
    </row>
    <row r="1072" spans="3:3">
      <c r="C1072" s="576"/>
    </row>
    <row r="1073" spans="3:3">
      <c r="C1073" s="576"/>
    </row>
    <row r="1074" spans="3:3">
      <c r="C1074" s="576"/>
    </row>
    <row r="1075" spans="3:3">
      <c r="C1075" s="576"/>
    </row>
    <row r="1076" spans="3:3">
      <c r="C1076" s="576"/>
    </row>
    <row r="1077" spans="3:3">
      <c r="C1077" s="576"/>
    </row>
    <row r="1078" spans="3:3">
      <c r="C1078" s="576"/>
    </row>
    <row r="1079" spans="3:3">
      <c r="C1079" s="576"/>
    </row>
    <row r="1080" spans="3:3">
      <c r="C1080" s="576"/>
    </row>
    <row r="1081" spans="3:3">
      <c r="C1081" s="576"/>
    </row>
    <row r="1082" spans="3:3">
      <c r="C1082" s="576"/>
    </row>
    <row r="1083" spans="3:3">
      <c r="C1083" s="576"/>
    </row>
    <row r="1084" spans="3:3">
      <c r="C1084" s="576"/>
    </row>
    <row r="1085" spans="3:3">
      <c r="C1085" s="576"/>
    </row>
    <row r="1086" spans="3:3">
      <c r="C1086" s="576"/>
    </row>
    <row r="1087" spans="3:3">
      <c r="C1087" s="576"/>
    </row>
    <row r="1088" spans="3:3">
      <c r="C1088" s="576"/>
    </row>
    <row r="1089" spans="3:3">
      <c r="C1089" s="576"/>
    </row>
    <row r="1090" spans="3:3">
      <c r="C1090" s="576"/>
    </row>
    <row r="1091" spans="3:3">
      <c r="C1091" s="576"/>
    </row>
    <row r="1092" spans="3:3">
      <c r="C1092" s="576"/>
    </row>
    <row r="1093" spans="3:3">
      <c r="C1093" s="576"/>
    </row>
    <row r="1094" spans="3:3">
      <c r="C1094" s="576"/>
    </row>
    <row r="1095" spans="3:3">
      <c r="C1095" s="576"/>
    </row>
    <row r="1096" spans="3:3">
      <c r="C1096" s="576"/>
    </row>
    <row r="1097" spans="3:3">
      <c r="C1097" s="576"/>
    </row>
    <row r="1098" spans="3:3">
      <c r="C1098" s="576"/>
    </row>
    <row r="1099" spans="3:3">
      <c r="C1099" s="576"/>
    </row>
    <row r="1100" spans="3:3">
      <c r="C1100" s="576"/>
    </row>
    <row r="1101" spans="3:3">
      <c r="C1101" s="576"/>
    </row>
    <row r="1102" spans="3:3">
      <c r="C1102" s="576"/>
    </row>
    <row r="1103" spans="3:3">
      <c r="C1103" s="576"/>
    </row>
    <row r="1104" spans="3:3">
      <c r="C1104" s="576"/>
    </row>
    <row r="1105" spans="3:3">
      <c r="C1105" s="576"/>
    </row>
    <row r="1106" spans="3:3">
      <c r="C1106" s="576"/>
    </row>
    <row r="1107" spans="3:3">
      <c r="C1107" s="576"/>
    </row>
    <row r="1108" spans="3:3">
      <c r="C1108" s="576"/>
    </row>
    <row r="1109" spans="3:3">
      <c r="C1109" s="576"/>
    </row>
    <row r="1110" spans="3:3">
      <c r="C1110" s="576"/>
    </row>
    <row r="1111" spans="3:3">
      <c r="C1111" s="576"/>
    </row>
    <row r="1112" spans="3:3">
      <c r="C1112" s="576"/>
    </row>
    <row r="1113" spans="3:3">
      <c r="C1113" s="576"/>
    </row>
    <row r="1114" spans="3:3">
      <c r="C1114" s="576"/>
    </row>
    <row r="1115" spans="3:3">
      <c r="C1115" s="576"/>
    </row>
    <row r="1116" spans="3:3">
      <c r="C1116" s="576"/>
    </row>
    <row r="1117" spans="3:3">
      <c r="C1117" s="576"/>
    </row>
    <row r="1118" spans="3:3">
      <c r="C1118" s="576"/>
    </row>
    <row r="1119" spans="3:3">
      <c r="C1119" s="576"/>
    </row>
    <row r="1120" spans="3:3">
      <c r="C1120" s="576"/>
    </row>
    <row r="1121" spans="3:3">
      <c r="C1121" s="576"/>
    </row>
    <row r="1122" spans="3:3">
      <c r="C1122" s="576"/>
    </row>
    <row r="1123" spans="3:3">
      <c r="C1123" s="576"/>
    </row>
    <row r="1124" spans="3:3">
      <c r="C1124" s="576"/>
    </row>
    <row r="1125" spans="3:3">
      <c r="C1125" s="576"/>
    </row>
    <row r="1126" spans="3:3">
      <c r="C1126" s="576"/>
    </row>
    <row r="1127" spans="3:3">
      <c r="C1127" s="576"/>
    </row>
    <row r="1128" spans="3:3">
      <c r="C1128" s="576"/>
    </row>
    <row r="1129" spans="3:3">
      <c r="C1129" s="576"/>
    </row>
    <row r="1130" spans="3:3">
      <c r="C1130" s="576"/>
    </row>
    <row r="1131" spans="3:3">
      <c r="C1131" s="576"/>
    </row>
    <row r="1132" spans="3:3">
      <c r="C1132" s="576"/>
    </row>
    <row r="1133" spans="3:3">
      <c r="C1133" s="576"/>
    </row>
    <row r="1134" spans="3:3">
      <c r="C1134" s="576"/>
    </row>
    <row r="1135" spans="3:3">
      <c r="C1135" s="576"/>
    </row>
    <row r="1136" spans="3:3">
      <c r="C1136" s="576"/>
    </row>
    <row r="1137" spans="3:3">
      <c r="C1137" s="576"/>
    </row>
    <row r="1138" spans="3:3">
      <c r="C1138" s="576"/>
    </row>
    <row r="1139" spans="3:3">
      <c r="C1139" s="576"/>
    </row>
    <row r="1140" spans="3:3">
      <c r="C1140" s="576"/>
    </row>
    <row r="1141" spans="3:3">
      <c r="C1141" s="576"/>
    </row>
    <row r="1142" spans="3:3">
      <c r="C1142" s="576"/>
    </row>
    <row r="1143" spans="3:3">
      <c r="C1143" s="576"/>
    </row>
    <row r="1144" spans="3:3">
      <c r="C1144" s="576"/>
    </row>
    <row r="1145" spans="3:3">
      <c r="C1145" s="576"/>
    </row>
    <row r="1146" spans="3:3">
      <c r="C1146" s="576"/>
    </row>
    <row r="1147" spans="3:3">
      <c r="C1147" s="576"/>
    </row>
    <row r="1148" spans="3:3">
      <c r="C1148" s="576"/>
    </row>
    <row r="1149" spans="3:3">
      <c r="C1149" s="576"/>
    </row>
    <row r="1150" spans="3:3">
      <c r="C1150" s="576"/>
    </row>
    <row r="1151" spans="3:3">
      <c r="C1151" s="576"/>
    </row>
    <row r="1152" spans="3:3">
      <c r="C1152" s="576"/>
    </row>
    <row r="1153" spans="3:3">
      <c r="C1153" s="576"/>
    </row>
    <row r="1154" spans="3:3">
      <c r="C1154" s="576"/>
    </row>
    <row r="1155" spans="3:3">
      <c r="C1155" s="576"/>
    </row>
    <row r="1156" spans="3:3">
      <c r="C1156" s="576"/>
    </row>
    <row r="1157" spans="3:3">
      <c r="C1157" s="576"/>
    </row>
    <row r="1158" spans="3:3">
      <c r="C1158" s="576"/>
    </row>
    <row r="1159" spans="3:3">
      <c r="C1159" s="576"/>
    </row>
    <row r="1160" spans="3:3">
      <c r="C1160" s="576"/>
    </row>
    <row r="1161" spans="3:3">
      <c r="C1161" s="576"/>
    </row>
    <row r="1162" spans="3:3">
      <c r="C1162" s="576"/>
    </row>
    <row r="1163" spans="3:3">
      <c r="C1163" s="576"/>
    </row>
    <row r="1164" spans="3:3">
      <c r="C1164" s="576"/>
    </row>
    <row r="1165" spans="3:3">
      <c r="C1165" s="576"/>
    </row>
    <row r="1166" spans="3:3">
      <c r="C1166" s="576"/>
    </row>
    <row r="1167" spans="3:3">
      <c r="C1167" s="576"/>
    </row>
    <row r="1168" spans="3:3">
      <c r="C1168" s="576"/>
    </row>
    <row r="1169" spans="3:3">
      <c r="C1169" s="576"/>
    </row>
    <row r="1170" spans="3:3">
      <c r="C1170" s="576"/>
    </row>
    <row r="1171" spans="3:3">
      <c r="C1171" s="576"/>
    </row>
    <row r="1172" spans="3:3">
      <c r="C1172" s="576"/>
    </row>
    <row r="1173" spans="3:3">
      <c r="C1173" s="576"/>
    </row>
    <row r="1174" spans="3:3">
      <c r="C1174" s="576"/>
    </row>
    <row r="1175" spans="3:3">
      <c r="C1175" s="576"/>
    </row>
    <row r="1176" spans="3:3">
      <c r="C1176" s="576"/>
    </row>
    <row r="1177" spans="3:3">
      <c r="C1177" s="576"/>
    </row>
    <row r="1178" spans="3:3">
      <c r="C1178" s="576"/>
    </row>
    <row r="1179" spans="3:3">
      <c r="C1179" s="576"/>
    </row>
    <row r="1180" spans="3:3">
      <c r="C1180" s="576"/>
    </row>
    <row r="1181" spans="3:3">
      <c r="C1181" s="576"/>
    </row>
    <row r="1182" spans="3:3">
      <c r="C1182" s="576"/>
    </row>
    <row r="1183" spans="3:3">
      <c r="C1183" s="576"/>
    </row>
    <row r="1184" spans="3:3">
      <c r="C1184" s="576"/>
    </row>
    <row r="1185" spans="3:3">
      <c r="C1185" s="576"/>
    </row>
    <row r="1186" spans="3:3">
      <c r="C1186" s="576"/>
    </row>
    <row r="1187" spans="3:3">
      <c r="C1187" s="576"/>
    </row>
    <row r="1188" spans="3:3">
      <c r="C1188" s="576"/>
    </row>
    <row r="1189" spans="3:3">
      <c r="C1189" s="576"/>
    </row>
    <row r="1190" spans="3:3">
      <c r="C1190" s="576"/>
    </row>
    <row r="1191" spans="3:3">
      <c r="C1191" s="576"/>
    </row>
    <row r="1192" spans="3:3">
      <c r="C1192" s="576"/>
    </row>
    <row r="1193" spans="3:3">
      <c r="C1193" s="576"/>
    </row>
    <row r="1194" spans="3:3">
      <c r="C1194" s="576"/>
    </row>
    <row r="1195" spans="3:3">
      <c r="C1195" s="576"/>
    </row>
    <row r="1196" spans="3:3">
      <c r="C1196" s="576"/>
    </row>
    <row r="1197" spans="3:3">
      <c r="C1197" s="576"/>
    </row>
    <row r="1198" spans="3:3">
      <c r="C1198" s="576"/>
    </row>
    <row r="1199" spans="3:3">
      <c r="C1199" s="576"/>
    </row>
    <row r="1200" spans="3:3">
      <c r="C1200" s="576"/>
    </row>
    <row r="1201" spans="3:3">
      <c r="C1201" s="576"/>
    </row>
    <row r="1202" spans="3:3">
      <c r="C1202" s="576"/>
    </row>
    <row r="1203" spans="3:3">
      <c r="C1203" s="576"/>
    </row>
    <row r="1204" spans="3:3">
      <c r="C1204" s="576"/>
    </row>
    <row r="1205" spans="3:3">
      <c r="C1205" s="576"/>
    </row>
    <row r="1206" spans="3:3">
      <c r="C1206" s="576"/>
    </row>
    <row r="1207" spans="3:3">
      <c r="C1207" s="576"/>
    </row>
    <row r="1208" spans="3:3">
      <c r="C1208" s="576"/>
    </row>
    <row r="1209" spans="3:3">
      <c r="C1209" s="576"/>
    </row>
    <row r="1210" spans="3:3">
      <c r="C1210" s="576"/>
    </row>
    <row r="1211" spans="3:3">
      <c r="C1211" s="576"/>
    </row>
    <row r="1212" spans="3:3">
      <c r="C1212" s="576"/>
    </row>
    <row r="1213" spans="3:3">
      <c r="C1213" s="576"/>
    </row>
    <row r="1214" spans="3:3">
      <c r="C1214" s="576"/>
    </row>
    <row r="1215" spans="3:3">
      <c r="C1215" s="576"/>
    </row>
    <row r="1216" spans="3:3">
      <c r="C1216" s="576"/>
    </row>
    <row r="1217" spans="3:3">
      <c r="C1217" s="576"/>
    </row>
    <row r="1218" spans="3:3">
      <c r="C1218" s="576"/>
    </row>
    <row r="1219" spans="3:3">
      <c r="C1219" s="576"/>
    </row>
    <row r="1220" spans="3:3">
      <c r="C1220" s="576"/>
    </row>
    <row r="1221" spans="3:3">
      <c r="C1221" s="576"/>
    </row>
    <row r="1222" spans="3:3">
      <c r="C1222" s="576"/>
    </row>
    <row r="1223" spans="3:3">
      <c r="C1223" s="576"/>
    </row>
    <row r="1224" spans="3:3">
      <c r="C1224" s="576"/>
    </row>
    <row r="1225" spans="3:3">
      <c r="C1225" s="576"/>
    </row>
    <row r="1226" spans="3:3">
      <c r="C1226" s="576"/>
    </row>
    <row r="1227" spans="3:3">
      <c r="C1227" s="576"/>
    </row>
    <row r="1228" spans="3:3">
      <c r="C1228" s="576"/>
    </row>
    <row r="1229" spans="3:3">
      <c r="C1229" s="576"/>
    </row>
    <row r="1230" spans="3:3">
      <c r="C1230" s="576"/>
    </row>
    <row r="1231" spans="3:3">
      <c r="C1231" s="576"/>
    </row>
    <row r="1232" spans="3:3">
      <c r="C1232" s="576"/>
    </row>
    <row r="1233" spans="3:3">
      <c r="C1233" s="576"/>
    </row>
    <row r="1234" spans="3:3">
      <c r="C1234" s="576"/>
    </row>
    <row r="1235" spans="3:3">
      <c r="C1235" s="576"/>
    </row>
    <row r="1236" spans="3:3">
      <c r="C1236" s="576"/>
    </row>
    <row r="1237" spans="3:3">
      <c r="C1237" s="576"/>
    </row>
    <row r="1238" spans="3:3">
      <c r="C1238" s="576"/>
    </row>
    <row r="1239" spans="3:3">
      <c r="C1239" s="576"/>
    </row>
    <row r="1240" spans="3:3">
      <c r="C1240" s="576"/>
    </row>
    <row r="1241" spans="3:3">
      <c r="C1241" s="576"/>
    </row>
    <row r="1242" spans="3:3">
      <c r="C1242" s="576"/>
    </row>
    <row r="1243" spans="3:3">
      <c r="C1243" s="576"/>
    </row>
    <row r="1244" spans="3:3">
      <c r="C1244" s="576"/>
    </row>
    <row r="1245" spans="3:3">
      <c r="C1245" s="576"/>
    </row>
    <row r="1246" spans="3:3">
      <c r="C1246" s="576"/>
    </row>
    <row r="1247" spans="3:3">
      <c r="C1247" s="576"/>
    </row>
    <row r="1248" spans="3:3">
      <c r="C1248" s="576"/>
    </row>
    <row r="1249" spans="3:3">
      <c r="C1249" s="576"/>
    </row>
    <row r="1250" spans="3:3">
      <c r="C1250" s="576"/>
    </row>
    <row r="1251" spans="3:3">
      <c r="C1251" s="576"/>
    </row>
    <row r="1252" spans="3:3">
      <c r="C1252" s="576"/>
    </row>
    <row r="1253" spans="3:3">
      <c r="C1253" s="576"/>
    </row>
    <row r="1254" spans="3:3">
      <c r="C1254" s="576"/>
    </row>
    <row r="1255" spans="3:3">
      <c r="C1255" s="576"/>
    </row>
    <row r="1256" spans="3:3">
      <c r="C1256" s="576"/>
    </row>
    <row r="1257" spans="3:3">
      <c r="C1257" s="576"/>
    </row>
    <row r="1258" spans="3:3">
      <c r="C1258" s="576"/>
    </row>
    <row r="1259" spans="3:3">
      <c r="C1259" s="576"/>
    </row>
    <row r="1260" spans="3:3">
      <c r="C1260" s="576"/>
    </row>
    <row r="1261" spans="3:3">
      <c r="C1261" s="576"/>
    </row>
    <row r="1262" spans="3:3">
      <c r="C1262" s="576"/>
    </row>
    <row r="1263" spans="3:3">
      <c r="C1263" s="576"/>
    </row>
    <row r="1264" spans="3:3">
      <c r="C1264" s="576"/>
    </row>
    <row r="1265" spans="3:3">
      <c r="C1265" s="576"/>
    </row>
    <row r="1266" spans="3:3">
      <c r="C1266" s="576"/>
    </row>
    <row r="1267" spans="3:3">
      <c r="C1267" s="576"/>
    </row>
    <row r="1268" spans="3:3">
      <c r="C1268" s="576"/>
    </row>
    <row r="1269" spans="3:3">
      <c r="C1269" s="576"/>
    </row>
    <row r="1270" spans="3:3">
      <c r="C1270" s="576"/>
    </row>
    <row r="1271" spans="3:3">
      <c r="C1271" s="576"/>
    </row>
    <row r="1272" spans="3:3">
      <c r="C1272" s="576"/>
    </row>
    <row r="1273" spans="3:3">
      <c r="C1273" s="576"/>
    </row>
    <row r="1274" spans="3:3">
      <c r="C1274" s="576"/>
    </row>
    <row r="1275" spans="3:3">
      <c r="C1275" s="576"/>
    </row>
    <row r="1276" spans="3:3">
      <c r="C1276" s="576"/>
    </row>
    <row r="1277" spans="3:3">
      <c r="C1277" s="576"/>
    </row>
    <row r="1278" spans="3:3">
      <c r="C1278" s="576"/>
    </row>
    <row r="1279" spans="3:3">
      <c r="C1279" s="576"/>
    </row>
    <row r="1280" spans="3:3">
      <c r="C1280" s="576"/>
    </row>
    <row r="1281" spans="3:3">
      <c r="C1281" s="576"/>
    </row>
    <row r="1282" spans="3:3">
      <c r="C1282" s="576"/>
    </row>
    <row r="1283" spans="3:3">
      <c r="C1283" s="576"/>
    </row>
    <row r="1284" spans="3:3">
      <c r="C1284" s="576"/>
    </row>
    <row r="1285" spans="3:3">
      <c r="C1285" s="576"/>
    </row>
    <row r="1286" spans="3:3">
      <c r="C1286" s="576"/>
    </row>
    <row r="1287" spans="3:3">
      <c r="C1287" s="576"/>
    </row>
    <row r="1288" spans="3:3">
      <c r="C1288" s="576"/>
    </row>
    <row r="1289" spans="3:3">
      <c r="C1289" s="576"/>
    </row>
    <row r="1290" spans="3:3">
      <c r="C1290" s="576"/>
    </row>
    <row r="1291" spans="3:3">
      <c r="C1291" s="576"/>
    </row>
    <row r="1292" spans="3:3">
      <c r="C1292" s="576"/>
    </row>
    <row r="1293" spans="3:3">
      <c r="C1293" s="576"/>
    </row>
    <row r="1294" spans="3:3">
      <c r="C1294" s="576"/>
    </row>
    <row r="1295" spans="3:3">
      <c r="C1295" s="576"/>
    </row>
    <row r="1296" spans="3:3">
      <c r="C1296" s="576"/>
    </row>
    <row r="1297" spans="3:3">
      <c r="C1297" s="576"/>
    </row>
    <row r="1298" spans="3:3">
      <c r="C1298" s="576"/>
    </row>
    <row r="1299" spans="3:3">
      <c r="C1299" s="576"/>
    </row>
    <row r="1300" spans="3:3">
      <c r="C1300" s="576"/>
    </row>
    <row r="1301" spans="3:3">
      <c r="C1301" s="576"/>
    </row>
    <row r="1302" spans="3:3">
      <c r="C1302" s="576"/>
    </row>
    <row r="1303" spans="3:3">
      <c r="C1303" s="576"/>
    </row>
    <row r="1304" spans="3:3">
      <c r="C1304" s="576"/>
    </row>
    <row r="1305" spans="3:3">
      <c r="C1305" s="576"/>
    </row>
    <row r="1306" spans="3:3">
      <c r="C1306" s="576"/>
    </row>
    <row r="1307" spans="3:3">
      <c r="C1307" s="576"/>
    </row>
    <row r="1308" spans="3:3">
      <c r="C1308" s="576"/>
    </row>
    <row r="1309" spans="3:3">
      <c r="C1309" s="576"/>
    </row>
    <row r="1310" spans="3:3">
      <c r="C1310" s="576"/>
    </row>
    <row r="1311" spans="3:3">
      <c r="C1311" s="576"/>
    </row>
    <row r="1312" spans="3:3">
      <c r="C1312" s="576"/>
    </row>
    <row r="1313" spans="3:3">
      <c r="C1313" s="576"/>
    </row>
    <row r="1314" spans="3:3">
      <c r="C1314" s="576"/>
    </row>
    <row r="1315" spans="3:3">
      <c r="C1315" s="576"/>
    </row>
    <row r="1316" spans="3:3">
      <c r="C1316" s="576"/>
    </row>
    <row r="1317" spans="3:3">
      <c r="C1317" s="576"/>
    </row>
    <row r="1318" spans="3:3">
      <c r="C1318" s="576"/>
    </row>
    <row r="1319" spans="3:3">
      <c r="C1319" s="576"/>
    </row>
    <row r="1320" spans="3:3">
      <c r="C1320" s="576"/>
    </row>
    <row r="1321" spans="3:3">
      <c r="C1321" s="576"/>
    </row>
    <row r="1322" spans="3:3">
      <c r="C1322" s="576"/>
    </row>
    <row r="1323" spans="3:3">
      <c r="C1323" s="576"/>
    </row>
    <row r="1324" spans="3:3">
      <c r="C1324" s="576"/>
    </row>
    <row r="1325" spans="3:3">
      <c r="C1325" s="576"/>
    </row>
    <row r="1326" spans="3:3">
      <c r="C1326" s="576"/>
    </row>
    <row r="1327" spans="3:3">
      <c r="C1327" s="576"/>
    </row>
    <row r="1328" spans="3:3">
      <c r="C1328" s="576"/>
    </row>
    <row r="1329" spans="3:3">
      <c r="C1329" s="576"/>
    </row>
    <row r="1330" spans="3:3">
      <c r="C1330" s="576"/>
    </row>
    <row r="1331" spans="3:3">
      <c r="C1331" s="576"/>
    </row>
    <row r="1332" spans="3:3">
      <c r="C1332" s="576"/>
    </row>
    <row r="1333" spans="3:3">
      <c r="C1333" s="576"/>
    </row>
    <row r="1334" spans="3:3">
      <c r="C1334" s="576"/>
    </row>
    <row r="1335" spans="3:3">
      <c r="C1335" s="576"/>
    </row>
    <row r="1336" spans="3:3">
      <c r="C1336" s="576"/>
    </row>
    <row r="1337" spans="3:3">
      <c r="C1337" s="576"/>
    </row>
    <row r="1338" spans="3:3">
      <c r="C1338" s="576"/>
    </row>
    <row r="1339" spans="3:3">
      <c r="C1339" s="576"/>
    </row>
    <row r="1340" spans="3:3">
      <c r="C1340" s="576"/>
    </row>
    <row r="1341" spans="3:3">
      <c r="C1341" s="576"/>
    </row>
    <row r="1342" spans="3:3">
      <c r="C1342" s="576"/>
    </row>
    <row r="1343" spans="3:3">
      <c r="C1343" s="576"/>
    </row>
    <row r="1344" spans="3:3">
      <c r="C1344" s="576"/>
    </row>
    <row r="1345" spans="3:3">
      <c r="C1345" s="576"/>
    </row>
    <row r="1346" spans="3:3">
      <c r="C1346" s="576"/>
    </row>
    <row r="1347" spans="3:3">
      <c r="C1347" s="576"/>
    </row>
    <row r="1348" spans="3:3">
      <c r="C1348" s="576"/>
    </row>
    <row r="1349" spans="3:3">
      <c r="C1349" s="576"/>
    </row>
    <row r="1350" spans="3:3">
      <c r="C1350" s="576"/>
    </row>
    <row r="1351" spans="3:3">
      <c r="C1351" s="576"/>
    </row>
    <row r="1352" spans="3:3">
      <c r="C1352" s="576"/>
    </row>
    <row r="1353" spans="3:3">
      <c r="C1353" s="576"/>
    </row>
    <row r="1354" spans="3:3">
      <c r="C1354" s="576"/>
    </row>
    <row r="1355" spans="3:3">
      <c r="C1355" s="576"/>
    </row>
    <row r="1356" spans="3:3">
      <c r="C1356" s="576"/>
    </row>
    <row r="1357" spans="3:3">
      <c r="C1357" s="576"/>
    </row>
    <row r="1358" spans="3:3">
      <c r="C1358" s="576"/>
    </row>
    <row r="1359" spans="3:3">
      <c r="C1359" s="576"/>
    </row>
    <row r="1360" spans="3:3">
      <c r="C1360" s="576"/>
    </row>
    <row r="1361" spans="3:3">
      <c r="C1361" s="576"/>
    </row>
    <row r="1362" spans="3:3">
      <c r="C1362" s="576"/>
    </row>
    <row r="1363" spans="3:3">
      <c r="C1363" s="576"/>
    </row>
    <row r="1364" spans="3:3">
      <c r="C1364" s="576"/>
    </row>
    <row r="1365" spans="3:3">
      <c r="C1365" s="576"/>
    </row>
    <row r="1366" spans="3:3">
      <c r="C1366" s="576"/>
    </row>
    <row r="1367" spans="3:3">
      <c r="C1367" s="576"/>
    </row>
    <row r="1368" spans="3:3">
      <c r="C1368" s="576"/>
    </row>
    <row r="1369" spans="3:3">
      <c r="C1369" s="576"/>
    </row>
    <row r="1370" spans="3:3">
      <c r="C1370" s="576"/>
    </row>
    <row r="1371" spans="3:3">
      <c r="C1371" s="576"/>
    </row>
    <row r="1372" spans="3:3">
      <c r="C1372" s="576"/>
    </row>
    <row r="1373" spans="3:3">
      <c r="C1373" s="576"/>
    </row>
    <row r="1374" spans="3:3">
      <c r="C1374" s="576"/>
    </row>
    <row r="1375" spans="3:3">
      <c r="C1375" s="576"/>
    </row>
    <row r="1376" spans="3:3">
      <c r="C1376" s="576"/>
    </row>
    <row r="1377" spans="3:3">
      <c r="C1377" s="576"/>
    </row>
    <row r="1378" spans="3:3">
      <c r="C1378" s="576"/>
    </row>
    <row r="1379" spans="3:3">
      <c r="C1379" s="576"/>
    </row>
    <row r="1380" spans="3:3">
      <c r="C1380" s="576"/>
    </row>
    <row r="1381" spans="3:3">
      <c r="C1381" s="576"/>
    </row>
    <row r="1382" spans="3:3">
      <c r="C1382" s="576"/>
    </row>
    <row r="1383" spans="3:3">
      <c r="C1383" s="576"/>
    </row>
    <row r="1384" spans="3:3">
      <c r="C1384" s="576"/>
    </row>
    <row r="1385" spans="3:3">
      <c r="C1385" s="576"/>
    </row>
    <row r="1386" spans="3:3">
      <c r="C1386" s="576"/>
    </row>
    <row r="1387" spans="3:3">
      <c r="C1387" s="576"/>
    </row>
    <row r="1388" spans="3:3">
      <c r="C1388" s="576"/>
    </row>
    <row r="1389" spans="3:3">
      <c r="C1389" s="576"/>
    </row>
    <row r="1390" spans="3:3">
      <c r="C1390" s="576"/>
    </row>
    <row r="1391" spans="3:3">
      <c r="C1391" s="576"/>
    </row>
    <row r="1392" spans="3:3">
      <c r="C1392" s="576"/>
    </row>
    <row r="1393" spans="3:3">
      <c r="C1393" s="576"/>
    </row>
    <row r="1394" spans="3:3">
      <c r="C1394" s="576"/>
    </row>
    <row r="1395" spans="3:3">
      <c r="C1395" s="576"/>
    </row>
    <row r="1396" spans="3:3">
      <c r="C1396" s="576"/>
    </row>
    <row r="1397" spans="3:3">
      <c r="C1397" s="576"/>
    </row>
    <row r="1398" spans="3:3">
      <c r="C1398" s="576"/>
    </row>
    <row r="1399" spans="3:3">
      <c r="C1399" s="576"/>
    </row>
    <row r="1400" spans="3:3">
      <c r="C1400" s="576"/>
    </row>
    <row r="1401" spans="3:3">
      <c r="C1401" s="576"/>
    </row>
    <row r="1402" spans="3:3">
      <c r="C1402" s="576"/>
    </row>
    <row r="1403" spans="3:3">
      <c r="C1403" s="576"/>
    </row>
    <row r="1404" spans="3:3">
      <c r="C1404" s="576"/>
    </row>
    <row r="1405" spans="3:3">
      <c r="C1405" s="576"/>
    </row>
    <row r="1406" spans="3:3">
      <c r="C1406" s="576"/>
    </row>
    <row r="1407" spans="3:3">
      <c r="C1407" s="576"/>
    </row>
    <row r="1408" spans="3:3">
      <c r="C1408" s="576"/>
    </row>
    <row r="1409" spans="3:3">
      <c r="C1409" s="576"/>
    </row>
    <row r="1410" spans="3:3">
      <c r="C1410" s="576"/>
    </row>
    <row r="1411" spans="3:3">
      <c r="C1411" s="576"/>
    </row>
    <row r="1412" spans="3:3">
      <c r="C1412" s="576"/>
    </row>
    <row r="1413" spans="3:3">
      <c r="C1413" s="576"/>
    </row>
    <row r="1414" spans="3:3">
      <c r="C1414" s="576"/>
    </row>
    <row r="1415" spans="3:3">
      <c r="C1415" s="576"/>
    </row>
    <row r="1416" spans="3:3">
      <c r="C1416" s="576"/>
    </row>
    <row r="1417" spans="3:3">
      <c r="C1417" s="576"/>
    </row>
    <row r="1418" spans="3:3">
      <c r="C1418" s="576"/>
    </row>
    <row r="1419" spans="3:3">
      <c r="C1419" s="576"/>
    </row>
    <row r="1420" spans="3:3">
      <c r="C1420" s="576"/>
    </row>
    <row r="1421" spans="3:3">
      <c r="C1421" s="576"/>
    </row>
    <row r="1422" spans="3:3">
      <c r="C1422" s="576"/>
    </row>
    <row r="1423" spans="3:3">
      <c r="C1423" s="576"/>
    </row>
    <row r="1424" spans="3:3">
      <c r="C1424" s="576"/>
    </row>
    <row r="1425" spans="3:3">
      <c r="C1425" s="576"/>
    </row>
    <row r="1426" spans="3:3">
      <c r="C1426" s="576"/>
    </row>
    <row r="1427" spans="3:3">
      <c r="C1427" s="576"/>
    </row>
    <row r="1428" spans="3:3">
      <c r="C1428" s="576"/>
    </row>
    <row r="1429" spans="3:3">
      <c r="C1429" s="576"/>
    </row>
    <row r="1430" spans="3:3">
      <c r="C1430" s="576"/>
    </row>
    <row r="1431" spans="3:3">
      <c r="C1431" s="576"/>
    </row>
    <row r="1432" spans="3:3">
      <c r="C1432" s="576"/>
    </row>
    <row r="1433" spans="3:3">
      <c r="C1433" s="576"/>
    </row>
    <row r="1434" spans="3:3">
      <c r="C1434" s="576"/>
    </row>
    <row r="1435" spans="3:3">
      <c r="C1435" s="576"/>
    </row>
    <row r="1436" spans="3:3">
      <c r="C1436" s="576"/>
    </row>
    <row r="1437" spans="3:3">
      <c r="C1437" s="576"/>
    </row>
    <row r="1438" spans="3:3">
      <c r="C1438" s="576"/>
    </row>
    <row r="1439" spans="3:3">
      <c r="C1439" s="576"/>
    </row>
    <row r="1440" spans="3:3">
      <c r="C1440" s="576"/>
    </row>
    <row r="1441" spans="3:3">
      <c r="C1441" s="576"/>
    </row>
    <row r="1442" spans="3:3">
      <c r="C1442" s="576"/>
    </row>
    <row r="1443" spans="3:3">
      <c r="C1443" s="576"/>
    </row>
    <row r="1444" spans="3:3">
      <c r="C1444" s="576"/>
    </row>
    <row r="1445" spans="3:3">
      <c r="C1445" s="576"/>
    </row>
    <row r="1446" spans="3:3">
      <c r="C1446" s="576"/>
    </row>
    <row r="1447" spans="3:3">
      <c r="C1447" s="576"/>
    </row>
    <row r="1448" spans="3:3">
      <c r="C1448" s="576"/>
    </row>
    <row r="1449" spans="3:3">
      <c r="C1449" s="576"/>
    </row>
    <row r="1450" spans="3:3">
      <c r="C1450" s="576"/>
    </row>
    <row r="1451" spans="3:3">
      <c r="C1451" s="576"/>
    </row>
    <row r="1452" spans="3:3">
      <c r="C1452" s="576"/>
    </row>
    <row r="1453" spans="3:3">
      <c r="C1453" s="576"/>
    </row>
    <row r="1454" spans="3:3">
      <c r="C1454" s="576"/>
    </row>
    <row r="1455" spans="3:3">
      <c r="C1455" s="576"/>
    </row>
    <row r="1456" spans="3:3">
      <c r="C1456" s="576"/>
    </row>
    <row r="1457" spans="3:3">
      <c r="C1457" s="576"/>
    </row>
    <row r="1458" spans="3:3">
      <c r="C1458" s="576"/>
    </row>
    <row r="1459" spans="3:3">
      <c r="C1459" s="576"/>
    </row>
    <row r="1460" spans="3:3">
      <c r="C1460" s="576"/>
    </row>
    <row r="1461" spans="3:3">
      <c r="C1461" s="576"/>
    </row>
    <row r="1462" spans="3:3">
      <c r="C1462" s="576"/>
    </row>
    <row r="1463" spans="3:3">
      <c r="C1463" s="576"/>
    </row>
    <row r="1464" spans="3:3">
      <c r="C1464" s="576"/>
    </row>
    <row r="1465" spans="3:3">
      <c r="C1465" s="576"/>
    </row>
    <row r="1466" spans="3:3">
      <c r="C1466" s="576"/>
    </row>
    <row r="1467" spans="3:3">
      <c r="C1467" s="576"/>
    </row>
    <row r="1468" spans="3:3">
      <c r="C1468" s="576"/>
    </row>
    <row r="1469" spans="3:3">
      <c r="C1469" s="576"/>
    </row>
    <row r="1470" spans="3:3">
      <c r="C1470" s="576"/>
    </row>
    <row r="1471" spans="3:3">
      <c r="C1471" s="576"/>
    </row>
    <row r="1472" spans="3:3">
      <c r="C1472" s="576"/>
    </row>
    <row r="1473" spans="3:3">
      <c r="C1473" s="576"/>
    </row>
    <row r="1474" spans="3:3">
      <c r="C1474" s="576"/>
    </row>
    <row r="1475" spans="3:3">
      <c r="C1475" s="576"/>
    </row>
    <row r="1476" spans="3:3">
      <c r="C1476" s="576"/>
    </row>
    <row r="1477" spans="3:3">
      <c r="C1477" s="576"/>
    </row>
    <row r="1478" spans="3:3">
      <c r="C1478" s="576"/>
    </row>
    <row r="1479" spans="3:3">
      <c r="C1479" s="576"/>
    </row>
    <row r="1480" spans="3:3">
      <c r="C1480" s="576"/>
    </row>
    <row r="1481" spans="3:3">
      <c r="C1481" s="576"/>
    </row>
    <row r="1482" spans="3:3">
      <c r="C1482" s="576"/>
    </row>
    <row r="1483" spans="3:3">
      <c r="C1483" s="576"/>
    </row>
    <row r="1484" spans="3:3">
      <c r="C1484" s="576"/>
    </row>
    <row r="1485" spans="3:3">
      <c r="C1485" s="576"/>
    </row>
    <row r="1486" spans="3:3">
      <c r="C1486" s="576"/>
    </row>
    <row r="1487" spans="3:3">
      <c r="C1487" s="576"/>
    </row>
    <row r="1488" spans="3:3">
      <c r="C1488" s="576"/>
    </row>
    <row r="1489" spans="3:3">
      <c r="C1489" s="576"/>
    </row>
    <row r="1490" spans="3:3">
      <c r="C1490" s="576"/>
    </row>
    <row r="1491" spans="3:3">
      <c r="C1491" s="576"/>
    </row>
    <row r="1492" spans="3:3">
      <c r="C1492" s="576"/>
    </row>
    <row r="1493" spans="3:3">
      <c r="C1493" s="576"/>
    </row>
    <row r="1494" spans="3:3">
      <c r="C1494" s="576"/>
    </row>
    <row r="1495" spans="3:3">
      <c r="C1495" s="576"/>
    </row>
    <row r="1496" spans="3:3">
      <c r="C1496" s="576"/>
    </row>
    <row r="1497" spans="3:3">
      <c r="C1497" s="576"/>
    </row>
    <row r="1498" spans="3:3">
      <c r="C1498" s="576"/>
    </row>
    <row r="1499" spans="3:3">
      <c r="C1499" s="576"/>
    </row>
    <row r="1500" spans="3:3">
      <c r="C1500" s="576"/>
    </row>
    <row r="1501" spans="3:3">
      <c r="C1501" s="576"/>
    </row>
    <row r="1502" spans="3:3">
      <c r="C1502" s="576"/>
    </row>
    <row r="1503" spans="3:3">
      <c r="C1503" s="576"/>
    </row>
    <row r="1504" spans="3:3">
      <c r="C1504" s="576"/>
    </row>
    <row r="1505" spans="3:3">
      <c r="C1505" s="576"/>
    </row>
    <row r="1506" spans="3:3">
      <c r="C1506" s="576"/>
    </row>
    <row r="1507" spans="3:3">
      <c r="C1507" s="576"/>
    </row>
    <row r="1508" spans="3:3">
      <c r="C1508" s="576"/>
    </row>
    <row r="1509" spans="3:3">
      <c r="C1509" s="576"/>
    </row>
    <row r="1510" spans="3:3">
      <c r="C1510" s="576"/>
    </row>
    <row r="1511" spans="3:3">
      <c r="C1511" s="576"/>
    </row>
    <row r="1512" spans="3:3">
      <c r="C1512" s="576"/>
    </row>
    <row r="1513" spans="3:3">
      <c r="C1513" s="576"/>
    </row>
    <row r="1514" spans="3:3">
      <c r="C1514" s="576"/>
    </row>
    <row r="1515" spans="3:3">
      <c r="C1515" s="576"/>
    </row>
    <row r="1516" spans="3:3">
      <c r="C1516" s="576"/>
    </row>
    <row r="1517" spans="3:3">
      <c r="C1517" s="576"/>
    </row>
    <row r="1518" spans="3:3">
      <c r="C1518" s="576"/>
    </row>
    <row r="1519" spans="3:3">
      <c r="C1519" s="576"/>
    </row>
    <row r="1520" spans="3:3">
      <c r="C1520" s="576"/>
    </row>
    <row r="1521" spans="3:3">
      <c r="C1521" s="576"/>
    </row>
    <row r="1522" spans="3:3">
      <c r="C1522" s="576"/>
    </row>
    <row r="1523" spans="3:3">
      <c r="C1523" s="576"/>
    </row>
    <row r="1524" spans="3:3">
      <c r="C1524" s="576"/>
    </row>
    <row r="1525" spans="3:3">
      <c r="C1525" s="576"/>
    </row>
    <row r="1526" spans="3:3">
      <c r="C1526" s="576"/>
    </row>
    <row r="1527" spans="3:3">
      <c r="C1527" s="576"/>
    </row>
    <row r="1528" spans="3:3">
      <c r="C1528" s="576"/>
    </row>
    <row r="1529" spans="3:3">
      <c r="C1529" s="576"/>
    </row>
    <row r="1530" spans="3:3">
      <c r="C1530" s="576"/>
    </row>
    <row r="1531" spans="3:3">
      <c r="C1531" s="576"/>
    </row>
    <row r="1532" spans="3:3">
      <c r="C1532" s="576"/>
    </row>
    <row r="1533" spans="3:3">
      <c r="C1533" s="576"/>
    </row>
    <row r="1534" spans="3:3">
      <c r="C1534" s="576"/>
    </row>
    <row r="1535" spans="3:3">
      <c r="C1535" s="576"/>
    </row>
    <row r="1536" spans="3:3">
      <c r="C1536" s="576"/>
    </row>
    <row r="1537" spans="3:3">
      <c r="C1537" s="576"/>
    </row>
    <row r="1538" spans="3:3">
      <c r="C1538" s="576"/>
    </row>
    <row r="1539" spans="3:3">
      <c r="C1539" s="576"/>
    </row>
    <row r="1540" spans="3:3">
      <c r="C1540" s="576"/>
    </row>
    <row r="1541" spans="3:3">
      <c r="C1541" s="576"/>
    </row>
    <row r="1542" spans="3:3">
      <c r="C1542" s="576"/>
    </row>
    <row r="1543" spans="3:3">
      <c r="C1543" s="576"/>
    </row>
    <row r="1544" spans="3:3">
      <c r="C1544" s="576"/>
    </row>
    <row r="1545" spans="3:3">
      <c r="C1545" s="576"/>
    </row>
    <row r="1546" spans="3:3">
      <c r="C1546" s="576"/>
    </row>
    <row r="1547" spans="3:3">
      <c r="C1547" s="576"/>
    </row>
    <row r="1548" spans="3:3">
      <c r="C1548" s="576"/>
    </row>
    <row r="1549" spans="3:3">
      <c r="C1549" s="576"/>
    </row>
    <row r="1550" spans="3:3">
      <c r="C1550" s="576"/>
    </row>
    <row r="1551" spans="3:3">
      <c r="C1551" s="576"/>
    </row>
    <row r="1552" spans="3:3">
      <c r="C1552" s="576"/>
    </row>
    <row r="1553" spans="3:3">
      <c r="C1553" s="576"/>
    </row>
    <row r="1554" spans="3:3">
      <c r="C1554" s="576"/>
    </row>
    <row r="1555" spans="3:3">
      <c r="C1555" s="576"/>
    </row>
    <row r="1556" spans="3:3">
      <c r="C1556" s="576"/>
    </row>
    <row r="1557" spans="3:3">
      <c r="C1557" s="576"/>
    </row>
    <row r="1558" spans="3:3">
      <c r="C1558" s="576"/>
    </row>
    <row r="1559" spans="3:3">
      <c r="C1559" s="576"/>
    </row>
    <row r="1560" spans="3:3">
      <c r="C1560" s="576"/>
    </row>
    <row r="1561" spans="3:3">
      <c r="C1561" s="576"/>
    </row>
    <row r="1562" spans="3:3">
      <c r="C1562" s="576"/>
    </row>
    <row r="1563" spans="3:3">
      <c r="C1563" s="576"/>
    </row>
    <row r="1564" spans="3:3">
      <c r="C1564" s="576"/>
    </row>
    <row r="1565" spans="3:3">
      <c r="C1565" s="576"/>
    </row>
    <row r="1566" spans="3:3">
      <c r="C1566" s="576"/>
    </row>
    <row r="1567" spans="3:3">
      <c r="C1567" s="576"/>
    </row>
    <row r="1568" spans="3:3">
      <c r="C1568" s="576"/>
    </row>
    <row r="1569" spans="3:3">
      <c r="C1569" s="576"/>
    </row>
    <row r="1570" spans="3:3">
      <c r="C1570" s="576"/>
    </row>
    <row r="1571" spans="3:3">
      <c r="C1571" s="576"/>
    </row>
    <row r="1572" spans="3:3">
      <c r="C1572" s="576"/>
    </row>
    <row r="1573" spans="3:3">
      <c r="C1573" s="576"/>
    </row>
    <row r="1574" spans="3:3">
      <c r="C1574" s="576"/>
    </row>
    <row r="1575" spans="3:3">
      <c r="C1575" s="576"/>
    </row>
    <row r="1576" spans="3:3">
      <c r="C1576" s="576"/>
    </row>
    <row r="1577" spans="3:3">
      <c r="C1577" s="576"/>
    </row>
    <row r="1578" spans="3:3">
      <c r="C1578" s="576"/>
    </row>
    <row r="1579" spans="3:3">
      <c r="C1579" s="576"/>
    </row>
    <row r="1580" spans="3:3">
      <c r="C1580" s="576"/>
    </row>
    <row r="1581" spans="3:3">
      <c r="C1581" s="576"/>
    </row>
    <row r="1582" spans="3:3">
      <c r="C1582" s="576"/>
    </row>
    <row r="1583" spans="3:3">
      <c r="C1583" s="576"/>
    </row>
    <row r="1584" spans="3:3">
      <c r="C1584" s="576"/>
    </row>
    <row r="1585" spans="3:3">
      <c r="C1585" s="576"/>
    </row>
    <row r="1586" spans="3:3">
      <c r="C1586" s="576"/>
    </row>
    <row r="1587" spans="3:3">
      <c r="C1587" s="576"/>
    </row>
    <row r="1588" spans="3:3">
      <c r="C1588" s="576"/>
    </row>
    <row r="1589" spans="3:3">
      <c r="C1589" s="576"/>
    </row>
    <row r="1590" spans="3:3">
      <c r="C1590" s="576"/>
    </row>
    <row r="1591" spans="3:3">
      <c r="C1591" s="576"/>
    </row>
    <row r="1592" spans="3:3">
      <c r="C1592" s="576"/>
    </row>
    <row r="1593" spans="3:3">
      <c r="C1593" s="576"/>
    </row>
    <row r="1594" spans="3:3">
      <c r="C1594" s="576"/>
    </row>
    <row r="1595" spans="3:3">
      <c r="C1595" s="576"/>
    </row>
    <row r="1596" spans="3:3">
      <c r="C1596" s="576"/>
    </row>
    <row r="1597" spans="3:3">
      <c r="C1597" s="576"/>
    </row>
    <row r="1598" spans="3:3">
      <c r="C1598" s="576"/>
    </row>
    <row r="1599" spans="3:3">
      <c r="C1599" s="576"/>
    </row>
    <row r="1600" spans="3:3">
      <c r="C1600" s="576"/>
    </row>
    <row r="1601" spans="3:3">
      <c r="C1601" s="576"/>
    </row>
    <row r="1602" spans="3:3">
      <c r="C1602" s="576"/>
    </row>
    <row r="1603" spans="3:3">
      <c r="C1603" s="576"/>
    </row>
    <row r="1604" spans="3:3">
      <c r="C1604" s="576"/>
    </row>
    <row r="1605" spans="3:3">
      <c r="C1605" s="576"/>
    </row>
    <row r="1606" spans="3:3">
      <c r="C1606" s="576"/>
    </row>
    <row r="1607" spans="3:3">
      <c r="C1607" s="576"/>
    </row>
    <row r="1608" spans="3:3">
      <c r="C1608" s="576"/>
    </row>
    <row r="1609" spans="3:3">
      <c r="C1609" s="576"/>
    </row>
    <row r="1610" spans="3:3">
      <c r="C1610" s="576"/>
    </row>
    <row r="1611" spans="3:3">
      <c r="C1611" s="576"/>
    </row>
    <row r="1612" spans="3:3">
      <c r="C1612" s="576"/>
    </row>
    <row r="1613" spans="3:3">
      <c r="C1613" s="576"/>
    </row>
    <row r="1614" spans="3:3">
      <c r="C1614" s="576"/>
    </row>
    <row r="1615" spans="3:3">
      <c r="C1615" s="576"/>
    </row>
    <row r="1616" spans="3:3">
      <c r="C1616" s="576"/>
    </row>
    <row r="1617" spans="3:3">
      <c r="C1617" s="576"/>
    </row>
    <row r="1618" spans="3:3">
      <c r="C1618" s="576"/>
    </row>
    <row r="1619" spans="3:3">
      <c r="C1619" s="576"/>
    </row>
    <row r="1620" spans="3:3">
      <c r="C1620" s="576"/>
    </row>
    <row r="1621" spans="3:3">
      <c r="C1621" s="576"/>
    </row>
    <row r="1622" spans="3:3">
      <c r="C1622" s="576"/>
    </row>
    <row r="1623" spans="3:3">
      <c r="C1623" s="576"/>
    </row>
    <row r="1624" spans="3:3">
      <c r="C1624" s="576"/>
    </row>
    <row r="1625" spans="3:3">
      <c r="C1625" s="576"/>
    </row>
    <row r="1626" spans="3:3">
      <c r="C1626" s="576"/>
    </row>
    <row r="1627" spans="3:3">
      <c r="C1627" s="576"/>
    </row>
    <row r="1628" spans="3:3">
      <c r="C1628" s="576"/>
    </row>
    <row r="1629" spans="3:3">
      <c r="C1629" s="576"/>
    </row>
    <row r="1630" spans="3:3">
      <c r="C1630" s="576"/>
    </row>
    <row r="1631" spans="3:3">
      <c r="C1631" s="576"/>
    </row>
    <row r="1632" spans="3:3">
      <c r="C1632" s="576"/>
    </row>
    <row r="1633" spans="3:3">
      <c r="C1633" s="576"/>
    </row>
    <row r="1634" spans="3:3">
      <c r="C1634" s="576"/>
    </row>
    <row r="1635" spans="3:3">
      <c r="C1635" s="576"/>
    </row>
  </sheetData>
  <phoneticPr fontId="21" type="noConversion"/>
  <conditionalFormatting sqref="Y53">
    <cfRule type="cellIs" dxfId="353" priority="33" stopIfTrue="1" operator="equal">
      <formula>"U"</formula>
    </cfRule>
    <cfRule type="cellIs" dxfId="352" priority="34" stopIfTrue="1" operator="equal">
      <formula>"O"</formula>
    </cfRule>
  </conditionalFormatting>
  <conditionalFormatting sqref="Y47:Y52 Y56:Y61 Y65:Y70 Y74:Y79 Y83:Y88 Y92:Y97 Y101:Y106 Y110:Y115 Y119:Y124 Y128:Y133 Y137:Y142 Y146:Y151 Y155:Y160 Y164:Y169 Y173:Y178 Y182:Y187 Y191:Y196 Y200:Y205 Y209:Y214 Y218:Y223 Y227:Y232 Y236:Y241 Y245:Y250 Y254:Y259">
    <cfRule type="cellIs" dxfId="351" priority="32" stopIfTrue="1" operator="notEqual">
      <formula>W47+U47+S47</formula>
    </cfRule>
  </conditionalFormatting>
  <conditionalFormatting sqref="R12 N9 N12 R9 R41 N41">
    <cfRule type="cellIs" dxfId="350" priority="31" stopIfTrue="1" operator="notEqual">
      <formula>G9</formula>
    </cfRule>
  </conditionalFormatting>
  <conditionalFormatting sqref="P12 P9 P41">
    <cfRule type="cellIs" dxfId="349" priority="30" stopIfTrue="1" operator="notEqual">
      <formula>E9</formula>
    </cfRule>
  </conditionalFormatting>
  <conditionalFormatting sqref="L12 L9 L41">
    <cfRule type="cellIs" dxfId="348" priority="29" stopIfTrue="1" operator="notEqual">
      <formula>I9</formula>
    </cfRule>
  </conditionalFormatting>
  <conditionalFormatting sqref="S7:S12 U7:U12 W7:W12 Y7:Y12 S41 U41 W41 Y17:Y41">
    <cfRule type="cellIs" dxfId="347" priority="28" stopIfTrue="1" operator="notEqual">
      <formula>E7+L7</formula>
    </cfRule>
  </conditionalFormatting>
  <conditionalFormatting sqref="E7">
    <cfRule type="cellIs" dxfId="346" priority="27" stopIfTrue="1" operator="notEqual">
      <formula>P11</formula>
    </cfRule>
  </conditionalFormatting>
  <conditionalFormatting sqref="E8">
    <cfRule type="cellIs" dxfId="345" priority="26" stopIfTrue="1" operator="notEqual">
      <formula>P10</formula>
    </cfRule>
  </conditionalFormatting>
  <conditionalFormatting sqref="E9 E12 E41">
    <cfRule type="cellIs" dxfId="344" priority="25" stopIfTrue="1" operator="notEqual">
      <formula>P9</formula>
    </cfRule>
  </conditionalFormatting>
  <conditionalFormatting sqref="E10">
    <cfRule type="cellIs" dxfId="343" priority="24" stopIfTrue="1" operator="notEqual">
      <formula>P8</formula>
    </cfRule>
  </conditionalFormatting>
  <conditionalFormatting sqref="E11">
    <cfRule type="cellIs" dxfId="342" priority="23" stopIfTrue="1" operator="notEqual">
      <formula>P7</formula>
    </cfRule>
  </conditionalFormatting>
  <conditionalFormatting sqref="G7 K7">
    <cfRule type="cellIs" dxfId="341" priority="22" stopIfTrue="1" operator="notEqual">
      <formula>N11</formula>
    </cfRule>
  </conditionalFormatting>
  <conditionalFormatting sqref="G8 K8">
    <cfRule type="cellIs" dxfId="340" priority="21" stopIfTrue="1" operator="notEqual">
      <formula>N10</formula>
    </cfRule>
  </conditionalFormatting>
  <conditionalFormatting sqref="G9 G12 K9 K12 G41 K41">
    <cfRule type="cellIs" dxfId="339" priority="20" stopIfTrue="1" operator="notEqual">
      <formula>N9</formula>
    </cfRule>
  </conditionalFormatting>
  <conditionalFormatting sqref="G10 K10">
    <cfRule type="cellIs" dxfId="338" priority="19" stopIfTrue="1" operator="notEqual">
      <formula>N8</formula>
    </cfRule>
  </conditionalFormatting>
  <conditionalFormatting sqref="G11 K11">
    <cfRule type="cellIs" dxfId="337" priority="18" stopIfTrue="1" operator="notEqual">
      <formula>N7</formula>
    </cfRule>
  </conditionalFormatting>
  <conditionalFormatting sqref="I7">
    <cfRule type="cellIs" dxfId="336" priority="17" stopIfTrue="1" operator="notEqual">
      <formula>L11</formula>
    </cfRule>
  </conditionalFormatting>
  <conditionalFormatting sqref="I8">
    <cfRule type="cellIs" dxfId="335" priority="16" stopIfTrue="1" operator="notEqual">
      <formula>L10</formula>
    </cfRule>
  </conditionalFormatting>
  <conditionalFormatting sqref="I9 I12 I41">
    <cfRule type="cellIs" dxfId="334" priority="15" stopIfTrue="1" operator="notEqual">
      <formula>L9</formula>
    </cfRule>
  </conditionalFormatting>
  <conditionalFormatting sqref="I10">
    <cfRule type="cellIs" dxfId="333" priority="14" stopIfTrue="1" operator="notEqual">
      <formula>L8</formula>
    </cfRule>
  </conditionalFormatting>
  <conditionalFormatting sqref="I11">
    <cfRule type="cellIs" dxfId="332" priority="13" stopIfTrue="1" operator="notEqual">
      <formula>L7</formula>
    </cfRule>
  </conditionalFormatting>
  <conditionalFormatting sqref="L7">
    <cfRule type="cellIs" dxfId="331" priority="12" stopIfTrue="1" operator="notEqual">
      <formula>I11</formula>
    </cfRule>
  </conditionalFormatting>
  <conditionalFormatting sqref="L8">
    <cfRule type="cellIs" dxfId="330" priority="11" stopIfTrue="1" operator="notEqual">
      <formula>I10</formula>
    </cfRule>
  </conditionalFormatting>
  <conditionalFormatting sqref="L10">
    <cfRule type="cellIs" dxfId="329" priority="10" stopIfTrue="1" operator="notEqual">
      <formula>I8</formula>
    </cfRule>
  </conditionalFormatting>
  <conditionalFormatting sqref="L11">
    <cfRule type="cellIs" dxfId="328" priority="9" stopIfTrue="1" operator="notEqual">
      <formula>I7</formula>
    </cfRule>
  </conditionalFormatting>
  <conditionalFormatting sqref="N7 R7">
    <cfRule type="cellIs" dxfId="327" priority="8" stopIfTrue="1" operator="notEqual">
      <formula>G11</formula>
    </cfRule>
  </conditionalFormatting>
  <conditionalFormatting sqref="N8 R8">
    <cfRule type="cellIs" dxfId="326" priority="7" stopIfTrue="1" operator="notEqual">
      <formula>G10</formula>
    </cfRule>
  </conditionalFormatting>
  <conditionalFormatting sqref="N10 R10">
    <cfRule type="cellIs" dxfId="325" priority="6" stopIfTrue="1" operator="notEqual">
      <formula>G8</formula>
    </cfRule>
  </conditionalFormatting>
  <conditionalFormatting sqref="N11 R11">
    <cfRule type="cellIs" dxfId="324" priority="5" stopIfTrue="1" operator="notEqual">
      <formula>G7</formula>
    </cfRule>
  </conditionalFormatting>
  <conditionalFormatting sqref="P7">
    <cfRule type="cellIs" dxfId="323" priority="4" stopIfTrue="1" operator="notEqual">
      <formula>E11</formula>
    </cfRule>
  </conditionalFormatting>
  <conditionalFormatting sqref="P8">
    <cfRule type="cellIs" dxfId="322" priority="3" stopIfTrue="1" operator="notEqual">
      <formula>E10</formula>
    </cfRule>
  </conditionalFormatting>
  <conditionalFormatting sqref="P10">
    <cfRule type="cellIs" dxfId="321" priority="2" stopIfTrue="1" operator="notEqual">
      <formula>E8</formula>
    </cfRule>
  </conditionalFormatting>
  <conditionalFormatting sqref="P11">
    <cfRule type="cellIs" dxfId="320" priority="1" stopIfTrue="1" operator="notEqual">
      <formula>E7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BG2057"/>
  <sheetViews>
    <sheetView topLeftCell="C64" zoomScale="90" zoomScaleNormal="90" workbookViewId="0">
      <selection activeCell="M37" sqref="M37"/>
    </sheetView>
  </sheetViews>
  <sheetFormatPr defaultColWidth="9.125" defaultRowHeight="14.25"/>
  <cols>
    <col min="1" max="3" width="10.75" style="215" customWidth="1"/>
    <col min="4" max="4" width="10.75" style="334" customWidth="1"/>
    <col min="5" max="5" width="9" style="357" customWidth="1"/>
    <col min="6" max="6" width="9.125" style="215"/>
    <col min="7" max="7" width="8.75" style="357" customWidth="1"/>
    <col min="8" max="8" width="9.625" style="215" customWidth="1"/>
    <col min="9" max="9" width="9.125" style="215"/>
    <col min="10" max="10" width="9.25" style="215" customWidth="1"/>
    <col min="11" max="11" width="9.375" style="215" customWidth="1"/>
    <col min="12" max="12" width="9.625" style="215" customWidth="1"/>
    <col min="13" max="13" width="10" style="215" customWidth="1"/>
    <col min="14" max="14" width="9.625" style="215" customWidth="1"/>
    <col min="15" max="15" width="9" style="215" customWidth="1"/>
    <col min="16" max="16" width="8.875" style="215" customWidth="1"/>
    <col min="17" max="17" width="8.375" style="215" customWidth="1"/>
    <col min="18" max="18" width="8.75" style="215" customWidth="1"/>
    <col min="19" max="19" width="9.125" style="215"/>
    <col min="20" max="20" width="1.375" style="215" customWidth="1"/>
    <col min="21" max="21" width="11.625" style="215" bestFit="1" customWidth="1"/>
    <col min="22" max="22" width="7.125" style="215" customWidth="1"/>
    <col min="23" max="27" width="6.25" style="215" customWidth="1"/>
    <col min="28" max="28" width="7.75" style="215" customWidth="1"/>
    <col min="29" max="16384" width="9.125" style="215"/>
  </cols>
  <sheetData>
    <row r="1" spans="1:27" s="412" customFormat="1">
      <c r="A1" s="484" t="s">
        <v>127</v>
      </c>
      <c r="B1" s="412" t="s">
        <v>117</v>
      </c>
      <c r="C1" s="416">
        <f>Table!C3</f>
        <v>22</v>
      </c>
      <c r="D1" s="359" t="str">
        <f>Table!$C38</f>
        <v>Avispa Fukuoka</v>
      </c>
      <c r="E1" s="359" t="str">
        <f>Table!$C39</f>
        <v>Oita Trinita</v>
      </c>
      <c r="F1" s="359" t="str">
        <f>Table!$C40</f>
        <v>Ehime</v>
      </c>
      <c r="G1" s="359" t="str">
        <f>Table!$C41</f>
        <v>Fagiano Okayama</v>
      </c>
      <c r="H1" s="359" t="str">
        <f>Table!$C42</f>
        <v>Gifu</v>
      </c>
      <c r="I1" s="359" t="str">
        <f>Table!$C43</f>
        <v>Shonan Bellmare</v>
      </c>
      <c r="J1" s="359" t="str">
        <f>Table!$C44</f>
        <v>JEF United</v>
      </c>
      <c r="K1" s="359" t="str">
        <f>Table!$C45</f>
        <v>Kamatamare Sanuki</v>
      </c>
      <c r="L1" s="359" t="str">
        <f>Table!$C46</f>
        <v>Kyoto Sanga</v>
      </c>
      <c r="M1" s="359" t="str">
        <f>Table!$C47</f>
        <v>Machida Zelvia</v>
      </c>
      <c r="N1" s="359" t="str">
        <f>Table!$C48</f>
        <v>Matsumoto Yamaga</v>
      </c>
      <c r="O1" s="359" t="str">
        <f>Table!$C49</f>
        <v>Mito Hollyhock</v>
      </c>
      <c r="Q1" s="485"/>
    </row>
    <row r="2" spans="1:27" s="412" customFormat="1">
      <c r="A2" s="359" t="str">
        <f>Table!C1</f>
        <v>J2L</v>
      </c>
      <c r="B2" s="486"/>
      <c r="C2" s="486"/>
      <c r="D2" s="359" t="str">
        <f>Table!$C50</f>
        <v>Montedio Yamagata</v>
      </c>
      <c r="E2" s="359" t="str">
        <f>Table!$C51</f>
        <v>Renofa Yamaguchi</v>
      </c>
      <c r="F2" s="359" t="str">
        <f>Table!$C52</f>
        <v>Roasso Kumamoto</v>
      </c>
      <c r="G2" s="359" t="str">
        <f>Table!$C53</f>
        <v>Nagoya Grampus</v>
      </c>
      <c r="H2" s="359" t="str">
        <f>Table!$C54</f>
        <v>ThespaKusatsu Gunma</v>
      </c>
      <c r="I2" s="359" t="str">
        <f>Table!$C55</f>
        <v>Tokushima Vortis</v>
      </c>
      <c r="J2" s="359" t="str">
        <f>Table!$C56</f>
        <v>Tokyo Verdy</v>
      </c>
      <c r="K2" s="359" t="str">
        <f>Table!$C57</f>
        <v>V-Varen Nagasaki</v>
      </c>
      <c r="L2" s="359">
        <v>0</v>
      </c>
      <c r="M2" s="359">
        <v>0</v>
      </c>
      <c r="N2" s="359">
        <v>0</v>
      </c>
      <c r="O2" s="359">
        <v>0</v>
      </c>
      <c r="P2" s="485"/>
      <c r="Q2" s="485"/>
    </row>
    <row r="3" spans="1:27">
      <c r="A3" s="487"/>
      <c r="B3" s="357"/>
      <c r="C3" s="359"/>
      <c r="D3" s="215"/>
      <c r="F3" s="357"/>
      <c r="H3" s="357"/>
      <c r="I3" s="357"/>
      <c r="J3" s="357"/>
      <c r="K3" s="357"/>
      <c r="L3" s="357"/>
      <c r="M3" s="357"/>
      <c r="N3" s="357"/>
      <c r="O3" s="357"/>
    </row>
    <row r="4" spans="1:27" ht="15" thickBot="1">
      <c r="A4" s="487"/>
      <c r="B4" s="357"/>
      <c r="C4" s="357"/>
      <c r="D4" s="354" t="s">
        <v>118</v>
      </c>
    </row>
    <row r="5" spans="1:27">
      <c r="A5" s="488" t="s">
        <v>119</v>
      </c>
      <c r="B5" s="357"/>
      <c r="C5" s="357"/>
      <c r="D5" s="361" t="s">
        <v>60</v>
      </c>
      <c r="E5" s="368" t="s">
        <v>80</v>
      </c>
      <c r="F5" s="365"/>
      <c r="G5" s="368" t="s">
        <v>81</v>
      </c>
      <c r="H5" s="365"/>
      <c r="I5" s="368" t="s">
        <v>82</v>
      </c>
      <c r="J5" s="369"/>
      <c r="M5" s="489" t="s">
        <v>120</v>
      </c>
      <c r="N5" s="490" t="s">
        <v>22</v>
      </c>
      <c r="O5" s="491"/>
      <c r="P5" s="490" t="s">
        <v>18</v>
      </c>
      <c r="Q5" s="491"/>
      <c r="R5" s="490" t="s">
        <v>121</v>
      </c>
      <c r="S5" s="492"/>
      <c r="U5" s="493" t="s">
        <v>122</v>
      </c>
      <c r="V5" s="490" t="s">
        <v>22</v>
      </c>
      <c r="W5" s="491"/>
      <c r="X5" s="490" t="s">
        <v>18</v>
      </c>
      <c r="Y5" s="491"/>
      <c r="Z5" s="490" t="s">
        <v>121</v>
      </c>
      <c r="AA5" s="492"/>
    </row>
    <row r="6" spans="1:27" ht="15" thickBot="1">
      <c r="A6" s="494"/>
      <c r="B6" s="357"/>
      <c r="C6" s="357"/>
      <c r="D6" s="376"/>
      <c r="E6" s="495" t="s">
        <v>123</v>
      </c>
      <c r="F6" s="496" t="s">
        <v>124</v>
      </c>
      <c r="G6" s="495" t="s">
        <v>123</v>
      </c>
      <c r="H6" s="496" t="s">
        <v>124</v>
      </c>
      <c r="I6" s="497" t="s">
        <v>123</v>
      </c>
      <c r="J6" s="498" t="s">
        <v>124</v>
      </c>
      <c r="M6" s="499"/>
      <c r="N6" s="500" t="s">
        <v>125</v>
      </c>
      <c r="O6" s="498" t="s">
        <v>126</v>
      </c>
      <c r="P6" s="497" t="s">
        <v>125</v>
      </c>
      <c r="Q6" s="498" t="s">
        <v>126</v>
      </c>
      <c r="R6" s="501" t="s">
        <v>125</v>
      </c>
      <c r="S6" s="498" t="s">
        <v>126</v>
      </c>
      <c r="U6" s="502">
        <v>0.5</v>
      </c>
      <c r="V6" s="500" t="s">
        <v>125</v>
      </c>
      <c r="W6" s="498" t="s">
        <v>126</v>
      </c>
      <c r="X6" s="497" t="s">
        <v>125</v>
      </c>
      <c r="Y6" s="498" t="s">
        <v>126</v>
      </c>
      <c r="Z6" s="501" t="s">
        <v>125</v>
      </c>
      <c r="AA6" s="498" t="s">
        <v>126</v>
      </c>
    </row>
    <row r="7" spans="1:27" ht="15" thickBot="1">
      <c r="A7" s="503">
        <v>1</v>
      </c>
      <c r="B7" s="357" t="str">
        <f ca="1">IF(A7&gt;$C$1,"",VLOOKUP($A7,Table!$A$9:$C$30,3,FALSE))</f>
        <v>Shonan Bellmare</v>
      </c>
      <c r="C7" s="357"/>
      <c r="D7" s="504" t="str">
        <f ca="1">IF(A7&gt;$C$1,"",VLOOKUP($A7,Table!$A$9:$C$30,2,FALSE))</f>
        <v>Shonan Bellmare</v>
      </c>
      <c r="E7" s="505">
        <f t="shared" ref="E7:E17" ca="1" si="0">IF(D7="","",VLOOKUP($B7,$C:$J,3,FALSE))</f>
        <v>21</v>
      </c>
      <c r="F7" s="506">
        <f t="shared" ref="F7:F30" ca="1" si="1">IF(D7="","",VLOOKUP($B7,$C:$J,4,FALSE))</f>
        <v>1</v>
      </c>
      <c r="G7" s="507">
        <f t="shared" ref="G7:G30" ca="1" si="2">IF(D7="","",VLOOKUP($B7,$C:$J,5,FALSE))</f>
        <v>21</v>
      </c>
      <c r="H7" s="508">
        <f t="shared" ref="H7:H30" ca="1" si="3">IF(D7="","",VLOOKUP($B7,$C:$J,6,FALSE))</f>
        <v>5</v>
      </c>
      <c r="I7" s="509">
        <f t="shared" ref="I7:I30" ca="1" si="4">IF(D7="","",VLOOKUP($B7,$C:$J,7,FALSE))</f>
        <v>42</v>
      </c>
      <c r="J7" s="510">
        <f t="shared" ref="J7:J30" ca="1" si="5">IF(D7="","",VLOOKUP($B7,$C:$J,8,FALSE))</f>
        <v>6</v>
      </c>
      <c r="M7" s="511">
        <v>-2.75</v>
      </c>
      <c r="N7" s="512">
        <f ca="1">SUMIF($D:$D,$M7,E:E)</f>
        <v>0</v>
      </c>
      <c r="O7" s="513">
        <f t="shared" ref="O7:S7" ca="1" si="6">SUMIF($D:$D,$M7,F:F)</f>
        <v>0</v>
      </c>
      <c r="P7" s="512">
        <f t="shared" ca="1" si="6"/>
        <v>0</v>
      </c>
      <c r="Q7" s="514">
        <f t="shared" ca="1" si="6"/>
        <v>0</v>
      </c>
      <c r="R7" s="515">
        <f t="shared" ca="1" si="6"/>
        <v>0</v>
      </c>
      <c r="S7" s="513">
        <f t="shared" ca="1" si="6"/>
        <v>0</v>
      </c>
      <c r="U7" s="516" t="str">
        <f ca="1">B7</f>
        <v>Shonan Bellmare</v>
      </c>
      <c r="V7" s="505">
        <f t="array" aca="1" ref="V7" ca="1">SUM(IF((($B$30:$B$1000)=$B7)*(($D$30:$D$1000)=$U$6),(E$30:E$1000),0))</f>
        <v>0</v>
      </c>
      <c r="W7" s="517">
        <f t="array" aca="1" ref="W7" ca="1">SUM(IF((($B$30:$B$1000)=$B7)*(($D$30:$D$1000)=$U$6),(F$30:F$1000),0))</f>
        <v>0</v>
      </c>
      <c r="X7" s="505">
        <f t="array" aca="1" ref="X7" ca="1">SUM(IF((($B$30:$B$1000)=$B7)*(($D$30:$D$1000)=$U$6),(G$30:G$1000),0))</f>
        <v>0</v>
      </c>
      <c r="Y7" s="518">
        <f t="array" aca="1" ref="Y7" ca="1">SUM(IF((($B$30:$B$1000)=$B7)*(($D$30:$D$1000)=$U$6),(H$30:H$1000),0))</f>
        <v>0</v>
      </c>
      <c r="Z7" s="507">
        <f t="array" aca="1" ref="Z7" ca="1">SUM(IF((($B$30:$B$1000)=$B7)*(($D$30:$D$1000)=$U$6),(I$30:I$1000),0))</f>
        <v>0</v>
      </c>
      <c r="AA7" s="518">
        <f t="array" aca="1" ref="AA7" ca="1">SUM(IF((($B$30:$B$1000)=$B7)*(($D$30:$D$1000)=$U$6),(J$30:J$1000),0))</f>
        <v>0</v>
      </c>
    </row>
    <row r="8" spans="1:27" ht="15" thickBot="1">
      <c r="A8" s="519">
        <v>2</v>
      </c>
      <c r="B8" s="357" t="str">
        <f ca="1">IF(A8&gt;$C$1,"",VLOOKUP($A8,Table!$A$9:$C$30,3,FALSE))</f>
        <v>V-Varen Nagasaki</v>
      </c>
      <c r="C8" s="357"/>
      <c r="D8" s="504" t="str">
        <f ca="1">IF(A8&gt;$C$1,"",VLOOKUP($A8,Table!$A$9:$C$30,2,FALSE))</f>
        <v>V-Varen Nagasaki</v>
      </c>
      <c r="E8" s="505">
        <f t="shared" ca="1" si="0"/>
        <v>21</v>
      </c>
      <c r="F8" s="506">
        <f t="shared" ca="1" si="1"/>
        <v>12.5</v>
      </c>
      <c r="G8" s="507">
        <f t="shared" ca="1" si="2"/>
        <v>21</v>
      </c>
      <c r="H8" s="508">
        <f t="shared" ca="1" si="3"/>
        <v>2.5</v>
      </c>
      <c r="I8" s="509">
        <f t="shared" ca="1" si="4"/>
        <v>42</v>
      </c>
      <c r="J8" s="510">
        <f t="shared" ca="1" si="5"/>
        <v>15</v>
      </c>
      <c r="M8" s="520">
        <v>-2.5</v>
      </c>
      <c r="N8" s="512">
        <f t="shared" ref="N8:S29" ca="1" si="7">SUMIF($D:$D,$M8,E:E)</f>
        <v>0</v>
      </c>
      <c r="O8" s="513">
        <f t="shared" ca="1" si="7"/>
        <v>0</v>
      </c>
      <c r="P8" s="512">
        <f t="shared" ca="1" si="7"/>
        <v>0</v>
      </c>
      <c r="Q8" s="513">
        <f t="shared" ca="1" si="7"/>
        <v>0</v>
      </c>
      <c r="R8" s="515">
        <f t="shared" ca="1" si="7"/>
        <v>0</v>
      </c>
      <c r="S8" s="513">
        <f t="shared" ca="1" si="7"/>
        <v>0</v>
      </c>
      <c r="U8" s="413" t="str">
        <f t="shared" ref="U8:U26" ca="1" si="8">D8</f>
        <v>V-Varen Nagasaki</v>
      </c>
      <c r="V8" s="521">
        <f t="array" aca="1" ref="V8" ca="1">SUM(IF((($B$30:$B$1000)=$B8)*(($D$30:$D$1000)=$U$6),(E$30:E$1000),0))</f>
        <v>0</v>
      </c>
      <c r="W8" s="420">
        <f t="array" aca="1" ref="W8" ca="1">SUM(IF((($B$30:$B$1000)=$B8)*(($D$30:$D$1000)=$U$6),(F$30:F$1000),0))</f>
        <v>0</v>
      </c>
      <c r="X8" s="521">
        <f t="array" aca="1" ref="X8" ca="1">SUM(IF((($B$30:$B$1000)=$B8)*(($D$30:$D$1000)=$U$6),(G$30:G$1000),0))</f>
        <v>3</v>
      </c>
      <c r="Y8" s="522">
        <f t="array" aca="1" ref="Y8" ca="1">SUM(IF((($B$30:$B$1000)=$B8)*(($D$30:$D$1000)=$U$6),(H$30:H$1000),0))</f>
        <v>1</v>
      </c>
      <c r="Z8" s="523">
        <f t="array" aca="1" ref="Z8" ca="1">SUM(IF((($B$30:$B$1000)=$B8)*(($D$30:$D$1000)=$U$6),(I$30:I$1000),0))</f>
        <v>3</v>
      </c>
      <c r="AA8" s="522">
        <f t="array" aca="1" ref="AA8" ca="1">SUM(IF((($B$30:$B$1000)=$B8)*(($D$30:$D$1000)=$U$6),(J$30:J$1000),0))</f>
        <v>1</v>
      </c>
    </row>
    <row r="9" spans="1:27" ht="15" thickBot="1">
      <c r="A9" s="524">
        <v>3</v>
      </c>
      <c r="B9" s="357" t="str">
        <f ca="1">IF(A9&gt;$C$1,"",VLOOKUP($A9,Table!$A$9:$C$30,3,FALSE))</f>
        <v>Nagoya Grampus</v>
      </c>
      <c r="C9" s="357"/>
      <c r="D9" s="504" t="str">
        <f ca="1">IF(A9&gt;$C$1,"",VLOOKUP($A9,Table!$A$9:$C$30,2,FALSE))</f>
        <v>Nagoya Grampus</v>
      </c>
      <c r="E9" s="505">
        <f t="shared" ca="1" si="0"/>
        <v>22</v>
      </c>
      <c r="F9" s="506">
        <f t="shared" ca="1" si="1"/>
        <v>6</v>
      </c>
      <c r="G9" s="507">
        <f t="shared" ca="1" si="2"/>
        <v>21</v>
      </c>
      <c r="H9" s="508">
        <f t="shared" ca="1" si="3"/>
        <v>3</v>
      </c>
      <c r="I9" s="509">
        <f t="shared" ca="1" si="4"/>
        <v>43</v>
      </c>
      <c r="J9" s="510">
        <f t="shared" ca="1" si="5"/>
        <v>9</v>
      </c>
      <c r="M9" s="520">
        <v>-2.25</v>
      </c>
      <c r="N9" s="512">
        <f t="shared" ca="1" si="7"/>
        <v>0</v>
      </c>
      <c r="O9" s="513">
        <f t="shared" ca="1" si="7"/>
        <v>0</v>
      </c>
      <c r="P9" s="512">
        <f t="shared" ca="1" si="7"/>
        <v>0</v>
      </c>
      <c r="Q9" s="513">
        <f t="shared" ca="1" si="7"/>
        <v>0</v>
      </c>
      <c r="R9" s="515">
        <f t="shared" ca="1" si="7"/>
        <v>0</v>
      </c>
      <c r="S9" s="513">
        <f t="shared" ca="1" si="7"/>
        <v>0</v>
      </c>
      <c r="U9" s="413" t="str">
        <f t="shared" ca="1" si="8"/>
        <v>Nagoya Grampus</v>
      </c>
      <c r="V9" s="521">
        <f t="array" aca="1" ref="V9" ca="1">SUM(IF((($B$30:$B$1000)=$B9)*(($D$30:$D$1000)=$U$6),(E$30:E$1000),0))</f>
        <v>0</v>
      </c>
      <c r="W9" s="420">
        <f t="array" aca="1" ref="W9" ca="1">SUM(IF((($B$30:$B$1000)=$B9)*(($D$30:$D$1000)=$U$6),(F$30:F$1000),0))</f>
        <v>0</v>
      </c>
      <c r="X9" s="521">
        <f t="array" aca="1" ref="X9" ca="1">SUM(IF((($B$30:$B$1000)=$B9)*(($D$30:$D$1000)=$U$6),(G$30:G$1000),0))</f>
        <v>0</v>
      </c>
      <c r="Y9" s="522">
        <f t="array" aca="1" ref="Y9" ca="1">SUM(IF((($B$30:$B$1000)=$B9)*(($D$30:$D$1000)=$U$6),(H$30:H$1000),0))</f>
        <v>0</v>
      </c>
      <c r="Z9" s="523">
        <f t="array" aca="1" ref="Z9" ca="1">SUM(IF((($B$30:$B$1000)=$B9)*(($D$30:$D$1000)=$U$6),(I$30:I$1000),0))</f>
        <v>0</v>
      </c>
      <c r="AA9" s="522">
        <f t="array" aca="1" ref="AA9" ca="1">SUM(IF((($B$30:$B$1000)=$B9)*(($D$30:$D$1000)=$U$6),(J$30:J$1000),0))</f>
        <v>0</v>
      </c>
    </row>
    <row r="10" spans="1:27" ht="15" thickBot="1">
      <c r="A10" s="524">
        <v>4</v>
      </c>
      <c r="B10" s="357" t="str">
        <f ca="1">IF(A10&gt;$C$1,"",VLOOKUP($A10,Table!$A$9:$C$30,3,FALSE))</f>
        <v>Avispa Fukuoka</v>
      </c>
      <c r="C10" s="357"/>
      <c r="D10" s="504" t="str">
        <f ca="1">IF(A10&gt;$C$1,"",VLOOKUP($A10,Table!$A$9:$C$30,2,FALSE))</f>
        <v>Avispa Fukuoka</v>
      </c>
      <c r="E10" s="505">
        <f t="shared" ca="1" si="0"/>
        <v>21</v>
      </c>
      <c r="F10" s="506">
        <f t="shared" ca="1" si="1"/>
        <v>-2</v>
      </c>
      <c r="G10" s="507">
        <f t="shared" ca="1" si="2"/>
        <v>21</v>
      </c>
      <c r="H10" s="508">
        <f t="shared" ca="1" si="3"/>
        <v>5.5</v>
      </c>
      <c r="I10" s="509">
        <f t="shared" ca="1" si="4"/>
        <v>42</v>
      </c>
      <c r="J10" s="510">
        <f t="shared" ca="1" si="5"/>
        <v>3.5</v>
      </c>
      <c r="M10" s="520">
        <v>-2</v>
      </c>
      <c r="N10" s="512">
        <f t="shared" ca="1" si="7"/>
        <v>0</v>
      </c>
      <c r="O10" s="513">
        <f t="shared" ca="1" si="7"/>
        <v>0</v>
      </c>
      <c r="P10" s="512">
        <f t="shared" ca="1" si="7"/>
        <v>0</v>
      </c>
      <c r="Q10" s="513">
        <f t="shared" ca="1" si="7"/>
        <v>0</v>
      </c>
      <c r="R10" s="515">
        <f t="shared" ca="1" si="7"/>
        <v>0</v>
      </c>
      <c r="S10" s="513">
        <f t="shared" ca="1" si="7"/>
        <v>0</v>
      </c>
      <c r="U10" s="413" t="str">
        <f t="shared" ca="1" si="8"/>
        <v>Avispa Fukuoka</v>
      </c>
      <c r="V10" s="521">
        <f t="array" aca="1" ref="V10" ca="1">SUM(IF((($B$30:$B$1000)=$B10)*(($D$30:$D$1000)=$U$6),(E$30:E$1000),0))</f>
        <v>0</v>
      </c>
      <c r="W10" s="420">
        <f t="array" aca="1" ref="W10" ca="1">SUM(IF((($B$30:$B$1000)=$B10)*(($D$30:$D$1000)=$U$6),(F$30:F$1000),0))</f>
        <v>0</v>
      </c>
      <c r="X10" s="521">
        <f t="array" aca="1" ref="X10" ca="1">SUM(IF((($B$30:$B$1000)=$B10)*(($D$30:$D$1000)=$U$6),(G$30:G$1000),0))</f>
        <v>0</v>
      </c>
      <c r="Y10" s="522">
        <f t="array" aca="1" ref="Y10" ca="1">SUM(IF((($B$30:$B$1000)=$B10)*(($D$30:$D$1000)=$U$6),(H$30:H$1000),0))</f>
        <v>0</v>
      </c>
      <c r="Z10" s="523">
        <f t="array" aca="1" ref="Z10" ca="1">SUM(IF((($B$30:$B$1000)=$B10)*(($D$30:$D$1000)=$U$6),(I$30:I$1000),0))</f>
        <v>0</v>
      </c>
      <c r="AA10" s="522">
        <f t="array" aca="1" ref="AA10" ca="1">SUM(IF((($B$30:$B$1000)=$B10)*(($D$30:$D$1000)=$U$6),(J$30:J$1000),0))</f>
        <v>0</v>
      </c>
    </row>
    <row r="11" spans="1:27" ht="15" thickBot="1">
      <c r="A11" s="519">
        <v>5</v>
      </c>
      <c r="B11" s="357" t="str">
        <f ca="1">IF(A11&gt;$C$1,"",VLOOKUP($A11,Table!$A$9:$C$30,3,FALSE))</f>
        <v>Tokyo Verdy</v>
      </c>
      <c r="C11" s="357"/>
      <c r="D11" s="504" t="str">
        <f ca="1">IF(A11&gt;$C$1,"",VLOOKUP($A11,Table!$A$9:$C$30,2,FALSE))</f>
        <v>Tokyo Verdy</v>
      </c>
      <c r="E11" s="505">
        <f t="shared" ca="1" si="0"/>
        <v>21</v>
      </c>
      <c r="F11" s="506">
        <f t="shared" ca="1" si="1"/>
        <v>5.5</v>
      </c>
      <c r="G11" s="507">
        <f t="shared" ca="1" si="2"/>
        <v>21</v>
      </c>
      <c r="H11" s="508">
        <f t="shared" ca="1" si="3"/>
        <v>-1.5</v>
      </c>
      <c r="I11" s="509">
        <f t="shared" ca="1" si="4"/>
        <v>42</v>
      </c>
      <c r="J11" s="510">
        <f t="shared" ca="1" si="5"/>
        <v>4</v>
      </c>
      <c r="M11" s="520">
        <v>-1.75</v>
      </c>
      <c r="N11" s="512">
        <f t="shared" ca="1" si="7"/>
        <v>1</v>
      </c>
      <c r="O11" s="513">
        <f t="shared" ca="1" si="7"/>
        <v>0.5</v>
      </c>
      <c r="P11" s="512">
        <f t="shared" ca="1" si="7"/>
        <v>0</v>
      </c>
      <c r="Q11" s="513">
        <f t="shared" ca="1" si="7"/>
        <v>0</v>
      </c>
      <c r="R11" s="515">
        <f t="shared" ca="1" si="7"/>
        <v>1</v>
      </c>
      <c r="S11" s="513">
        <f t="shared" ca="1" si="7"/>
        <v>0.5</v>
      </c>
      <c r="U11" s="413" t="str">
        <f t="shared" ca="1" si="8"/>
        <v>Tokyo Verdy</v>
      </c>
      <c r="V11" s="521">
        <f t="array" aca="1" ref="V11" ca="1">SUM(IF((($B$30:$B$1000)=$B11)*(($D$30:$D$1000)=$U$6),(E$30:E$1000),0))</f>
        <v>0</v>
      </c>
      <c r="W11" s="420">
        <f t="array" aca="1" ref="W11" ca="1">SUM(IF((($B$30:$B$1000)=$B11)*(($D$30:$D$1000)=$U$6),(F$30:F$1000),0))</f>
        <v>0</v>
      </c>
      <c r="X11" s="521">
        <f t="array" aca="1" ref="X11" ca="1">SUM(IF((($B$30:$B$1000)=$B11)*(($D$30:$D$1000)=$U$6),(G$30:G$1000),0))</f>
        <v>0</v>
      </c>
      <c r="Y11" s="522">
        <f t="array" aca="1" ref="Y11" ca="1">SUM(IF((($B$30:$B$1000)=$B11)*(($D$30:$D$1000)=$U$6),(H$30:H$1000),0))</f>
        <v>0</v>
      </c>
      <c r="Z11" s="523">
        <f t="array" aca="1" ref="Z11" ca="1">SUM(IF((($B$30:$B$1000)=$B11)*(($D$30:$D$1000)=$U$6),(I$30:I$1000),0))</f>
        <v>0</v>
      </c>
      <c r="AA11" s="522">
        <f t="array" aca="1" ref="AA11" ca="1">SUM(IF((($B$30:$B$1000)=$B11)*(($D$30:$D$1000)=$U$6),(J$30:J$1000),0))</f>
        <v>0</v>
      </c>
    </row>
    <row r="12" spans="1:27" ht="15" thickBot="1">
      <c r="A12" s="519">
        <v>6</v>
      </c>
      <c r="B12" s="357" t="str">
        <f ca="1">IF(A12&gt;$C$1,"",VLOOKUP($A12,Table!$A$9:$C$30,3,FALSE))</f>
        <v>JEF United</v>
      </c>
      <c r="C12" s="357"/>
      <c r="D12" s="504" t="str">
        <f ca="1">IF(A12&gt;$C$1,"",VLOOKUP($A12,Table!$A$9:$C$30,2,FALSE))</f>
        <v>JEF United</v>
      </c>
      <c r="E12" s="505">
        <f t="shared" ca="1" si="0"/>
        <v>21</v>
      </c>
      <c r="F12" s="506">
        <f t="shared" ca="1" si="1"/>
        <v>4.5</v>
      </c>
      <c r="G12" s="507">
        <f t="shared" ca="1" si="2"/>
        <v>22</v>
      </c>
      <c r="H12" s="508">
        <f t="shared" ca="1" si="3"/>
        <v>-7.5</v>
      </c>
      <c r="I12" s="509">
        <f t="shared" ca="1" si="4"/>
        <v>43</v>
      </c>
      <c r="J12" s="510">
        <f t="shared" ca="1" si="5"/>
        <v>-3</v>
      </c>
      <c r="M12" s="511">
        <v>-1.5</v>
      </c>
      <c r="N12" s="512">
        <f t="shared" ca="1" si="7"/>
        <v>0</v>
      </c>
      <c r="O12" s="513">
        <f t="shared" ca="1" si="7"/>
        <v>0</v>
      </c>
      <c r="P12" s="512">
        <f t="shared" ca="1" si="7"/>
        <v>0</v>
      </c>
      <c r="Q12" s="513">
        <f t="shared" ca="1" si="7"/>
        <v>0</v>
      </c>
      <c r="R12" s="515">
        <f t="shared" ca="1" si="7"/>
        <v>0</v>
      </c>
      <c r="S12" s="513">
        <f t="shared" ca="1" si="7"/>
        <v>0</v>
      </c>
      <c r="U12" s="413" t="str">
        <f t="shared" ca="1" si="8"/>
        <v>JEF United</v>
      </c>
      <c r="V12" s="521">
        <f t="array" aca="1" ref="V12" ca="1">SUM(IF((($B$30:$B$1000)=$B12)*(($D$30:$D$1000)=$U$6),(E$30:E$1000),0))</f>
        <v>0</v>
      </c>
      <c r="W12" s="420">
        <f t="array" aca="1" ref="W12" ca="1">SUM(IF((($B$30:$B$1000)=$B12)*(($D$30:$D$1000)=$U$6),(F$30:F$1000),0))</f>
        <v>0</v>
      </c>
      <c r="X12" s="521">
        <f t="array" aca="1" ref="X12" ca="1">SUM(IF((($B$30:$B$1000)=$B12)*(($D$30:$D$1000)=$U$6),(G$30:G$1000),0))</f>
        <v>2</v>
      </c>
      <c r="Y12" s="522">
        <f t="array" aca="1" ref="Y12" ca="1">SUM(IF((($B$30:$B$1000)=$B12)*(($D$30:$D$1000)=$U$6),(H$30:H$1000),0))</f>
        <v>0</v>
      </c>
      <c r="Z12" s="523">
        <f t="array" aca="1" ref="Z12" ca="1">SUM(IF((($B$30:$B$1000)=$B12)*(($D$30:$D$1000)=$U$6),(I$30:I$1000),0))</f>
        <v>2</v>
      </c>
      <c r="AA12" s="522">
        <f t="array" aca="1" ref="AA12" ca="1">SUM(IF((($B$30:$B$1000)=$B12)*(($D$30:$D$1000)=$U$6),(J$30:J$1000),0))</f>
        <v>0</v>
      </c>
    </row>
    <row r="13" spans="1:27" ht="15" thickBot="1">
      <c r="A13" s="524">
        <v>7</v>
      </c>
      <c r="B13" s="357" t="str">
        <f ca="1">IF(A13&gt;$C$1,"",VLOOKUP($A13,Table!$A$9:$C$30,3,FALSE))</f>
        <v>Tokushima Vortis</v>
      </c>
      <c r="C13" s="357"/>
      <c r="D13" s="504" t="str">
        <f ca="1">IF(A13&gt;$C$1,"",VLOOKUP($A13,Table!$A$9:$C$30,2,FALSE))</f>
        <v>Tokushima Vortis</v>
      </c>
      <c r="E13" s="505">
        <f t="shared" ca="1" si="0"/>
        <v>21</v>
      </c>
      <c r="F13" s="506">
        <f t="shared" ca="1" si="1"/>
        <v>-3</v>
      </c>
      <c r="G13" s="507">
        <f t="shared" ca="1" si="2"/>
        <v>21</v>
      </c>
      <c r="H13" s="508">
        <f t="shared" ca="1" si="3"/>
        <v>0.5</v>
      </c>
      <c r="I13" s="509">
        <f t="shared" ca="1" si="4"/>
        <v>42</v>
      </c>
      <c r="J13" s="510">
        <f t="shared" ca="1" si="5"/>
        <v>-2.5</v>
      </c>
      <c r="M13" s="511">
        <v>-1.25</v>
      </c>
      <c r="N13" s="512">
        <f t="shared" ca="1" si="7"/>
        <v>3</v>
      </c>
      <c r="O13" s="513">
        <f t="shared" ca="1" si="7"/>
        <v>3</v>
      </c>
      <c r="P13" s="512">
        <f t="shared" ca="1" si="7"/>
        <v>0</v>
      </c>
      <c r="Q13" s="513">
        <f t="shared" ca="1" si="7"/>
        <v>0</v>
      </c>
      <c r="R13" s="515">
        <f t="shared" ca="1" si="7"/>
        <v>3</v>
      </c>
      <c r="S13" s="513">
        <f t="shared" ca="1" si="7"/>
        <v>3</v>
      </c>
      <c r="U13" s="413" t="str">
        <f t="shared" ca="1" si="8"/>
        <v>Tokushima Vortis</v>
      </c>
      <c r="V13" s="521">
        <f t="array" aca="1" ref="V13" ca="1">SUM(IF((($B$30:$B$1000)=$B13)*(($D$30:$D$1000)=$U$6),(E$30:E$1000),0))</f>
        <v>0</v>
      </c>
      <c r="W13" s="420">
        <f t="array" aca="1" ref="W13" ca="1">SUM(IF((($B$30:$B$1000)=$B13)*(($D$30:$D$1000)=$U$6),(F$30:F$1000),0))</f>
        <v>0</v>
      </c>
      <c r="X13" s="521">
        <f t="array" aca="1" ref="X13" ca="1">SUM(IF((($B$30:$B$1000)=$B13)*(($D$30:$D$1000)=$U$6),(G$30:G$1000),0))</f>
        <v>0</v>
      </c>
      <c r="Y13" s="522">
        <f t="array" aca="1" ref="Y13" ca="1">SUM(IF((($B$30:$B$1000)=$B13)*(($D$30:$D$1000)=$U$6),(H$30:H$1000),0))</f>
        <v>0</v>
      </c>
      <c r="Z13" s="523">
        <f t="array" aca="1" ref="Z13" ca="1">SUM(IF((($B$30:$B$1000)=$B13)*(($D$30:$D$1000)=$U$6),(I$30:I$1000),0))</f>
        <v>0</v>
      </c>
      <c r="AA13" s="522">
        <f t="array" aca="1" ref="AA13" ca="1">SUM(IF((($B$30:$B$1000)=$B13)*(($D$30:$D$1000)=$U$6),(J$30:J$1000),0))</f>
        <v>0</v>
      </c>
    </row>
    <row r="14" spans="1:27" ht="15" thickBot="1">
      <c r="A14" s="524">
        <v>8</v>
      </c>
      <c r="B14" s="357" t="str">
        <f ca="1">IF(A14&gt;$C$1,"",VLOOKUP($A14,Table!$A$9:$C$30,3,FALSE))</f>
        <v>Matsumoto Yamaga</v>
      </c>
      <c r="C14" s="357"/>
      <c r="D14" s="504" t="str">
        <f ca="1">IF(A14&gt;$C$1,"",VLOOKUP($A14,Table!$A$9:$C$30,2,FALSE))</f>
        <v>Matsumoto Yamaga</v>
      </c>
      <c r="E14" s="505">
        <f t="shared" ca="1" si="0"/>
        <v>21</v>
      </c>
      <c r="F14" s="506">
        <f t="shared" ca="1" si="1"/>
        <v>-0.5</v>
      </c>
      <c r="G14" s="507">
        <f t="shared" ca="1" si="2"/>
        <v>21</v>
      </c>
      <c r="H14" s="508">
        <f t="shared" ca="1" si="3"/>
        <v>-1.5</v>
      </c>
      <c r="I14" s="509">
        <f t="shared" ca="1" si="4"/>
        <v>42</v>
      </c>
      <c r="J14" s="510">
        <f t="shared" ca="1" si="5"/>
        <v>-2</v>
      </c>
      <c r="M14" s="511">
        <v>-1</v>
      </c>
      <c r="N14" s="512">
        <f t="shared" ca="1" si="7"/>
        <v>11</v>
      </c>
      <c r="O14" s="513">
        <f t="shared" ca="1" si="7"/>
        <v>0</v>
      </c>
      <c r="P14" s="512">
        <f t="shared" ca="1" si="7"/>
        <v>2</v>
      </c>
      <c r="Q14" s="513">
        <f t="shared" ca="1" si="7"/>
        <v>-1</v>
      </c>
      <c r="R14" s="515">
        <f t="shared" ca="1" si="7"/>
        <v>13</v>
      </c>
      <c r="S14" s="513">
        <f t="shared" ca="1" si="7"/>
        <v>-1</v>
      </c>
      <c r="U14" s="413" t="str">
        <f t="shared" ca="1" si="8"/>
        <v>Matsumoto Yamaga</v>
      </c>
      <c r="V14" s="521">
        <f t="array" aca="1" ref="V14" ca="1">SUM(IF((($B$30:$B$1000)=$B14)*(($D$30:$D$1000)=$U$6),(E$30:E$1000),0))</f>
        <v>0</v>
      </c>
      <c r="W14" s="420">
        <f t="array" aca="1" ref="W14" ca="1">SUM(IF((($B$30:$B$1000)=$B14)*(($D$30:$D$1000)=$U$6),(F$30:F$1000),0))</f>
        <v>0</v>
      </c>
      <c r="X14" s="521">
        <f t="array" aca="1" ref="X14" ca="1">SUM(IF((($B$30:$B$1000)=$B14)*(($D$30:$D$1000)=$U$6),(G$30:G$1000),0))</f>
        <v>0</v>
      </c>
      <c r="Y14" s="522">
        <f t="array" aca="1" ref="Y14" ca="1">SUM(IF((($B$30:$B$1000)=$B14)*(($D$30:$D$1000)=$U$6),(H$30:H$1000),0))</f>
        <v>0</v>
      </c>
      <c r="Z14" s="523">
        <f t="array" aca="1" ref="Z14" ca="1">SUM(IF((($B$30:$B$1000)=$B14)*(($D$30:$D$1000)=$U$6),(I$30:I$1000),0))</f>
        <v>0</v>
      </c>
      <c r="AA14" s="522">
        <f t="array" aca="1" ref="AA14" ca="1">SUM(IF((($B$30:$B$1000)=$B14)*(($D$30:$D$1000)=$U$6),(J$30:J$1000),0))</f>
        <v>0</v>
      </c>
    </row>
    <row r="15" spans="1:27" ht="15" thickBot="1">
      <c r="A15" s="519">
        <v>9</v>
      </c>
      <c r="B15" s="357" t="str">
        <f ca="1">IF(A15&gt;$C$1,"",VLOOKUP($A15,Table!$A$9:$C$30,3,FALSE))</f>
        <v>Oita Trinita</v>
      </c>
      <c r="C15" s="357"/>
      <c r="D15" s="504" t="str">
        <f ca="1">IF(A15&gt;$C$1,"",VLOOKUP($A15,Table!$A$9:$C$30,2,FALSE))</f>
        <v>Oita Trinita</v>
      </c>
      <c r="E15" s="505">
        <f t="shared" ca="1" si="0"/>
        <v>21</v>
      </c>
      <c r="F15" s="506">
        <f t="shared" ca="1" si="1"/>
        <v>-1.5</v>
      </c>
      <c r="G15" s="507">
        <f t="shared" ca="1" si="2"/>
        <v>21</v>
      </c>
      <c r="H15" s="508">
        <f t="shared" ca="1" si="3"/>
        <v>4.5</v>
      </c>
      <c r="I15" s="509">
        <f t="shared" ca="1" si="4"/>
        <v>42</v>
      </c>
      <c r="J15" s="510">
        <f t="shared" ca="1" si="5"/>
        <v>3</v>
      </c>
      <c r="M15" s="511">
        <v>-0.75</v>
      </c>
      <c r="N15" s="512">
        <f t="shared" ca="1" si="7"/>
        <v>38</v>
      </c>
      <c r="O15" s="513">
        <f t="shared" ca="1" si="7"/>
        <v>-1</v>
      </c>
      <c r="P15" s="512">
        <f t="shared" ca="1" si="7"/>
        <v>13</v>
      </c>
      <c r="Q15" s="513">
        <f t="shared" ca="1" si="7"/>
        <v>1</v>
      </c>
      <c r="R15" s="515">
        <f t="shared" ca="1" si="7"/>
        <v>51</v>
      </c>
      <c r="S15" s="513">
        <f t="shared" ca="1" si="7"/>
        <v>0</v>
      </c>
      <c r="U15" s="413" t="str">
        <f t="shared" ca="1" si="8"/>
        <v>Oita Trinita</v>
      </c>
      <c r="V15" s="521">
        <f t="array" aca="1" ref="V15" ca="1">SUM(IF((($B$30:$B$1000)=$B15)*(($D$30:$D$1000)=$U$6),(E$30:E$1000),0))</f>
        <v>0</v>
      </c>
      <c r="W15" s="420">
        <f t="array" aca="1" ref="W15" ca="1">SUM(IF((($B$30:$B$1000)=$B15)*(($D$30:$D$1000)=$U$6),(F$30:F$1000),0))</f>
        <v>0</v>
      </c>
      <c r="X15" s="521">
        <f t="array" aca="1" ref="X15" ca="1">SUM(IF((($B$30:$B$1000)=$B15)*(($D$30:$D$1000)=$U$6),(G$30:G$1000),0))</f>
        <v>3</v>
      </c>
      <c r="Y15" s="522">
        <f t="array" aca="1" ref="Y15" ca="1">SUM(IF((($B$30:$B$1000)=$B15)*(($D$30:$D$1000)=$U$6),(H$30:H$1000),0))</f>
        <v>1</v>
      </c>
      <c r="Z15" s="523">
        <f t="array" aca="1" ref="Z15" ca="1">SUM(IF((($B$30:$B$1000)=$B15)*(($D$30:$D$1000)=$U$6),(I$30:I$1000),0))</f>
        <v>3</v>
      </c>
      <c r="AA15" s="522">
        <f t="array" aca="1" ref="AA15" ca="1">SUM(IF((($B$30:$B$1000)=$B15)*(($D$30:$D$1000)=$U$6),(J$30:J$1000),0))</f>
        <v>1</v>
      </c>
    </row>
    <row r="16" spans="1:27" ht="15" thickBot="1">
      <c r="A16" s="519">
        <v>10</v>
      </c>
      <c r="B16" s="357" t="str">
        <f ca="1">IF(A16&gt;$C$1,"",VLOOKUP($A16,Table!$A$9:$C$30,3,FALSE))</f>
        <v>Yokohama</v>
      </c>
      <c r="C16" s="357"/>
      <c r="D16" s="504" t="str">
        <f ca="1">IF(A16&gt;$C$1,"",VLOOKUP($A16,Table!$A$9:$C$30,2,FALSE))</f>
        <v>Yokohama</v>
      </c>
      <c r="E16" s="505" t="e">
        <f t="shared" ca="1" si="0"/>
        <v>#N/A</v>
      </c>
      <c r="F16" s="506" t="e">
        <f t="shared" ca="1" si="1"/>
        <v>#N/A</v>
      </c>
      <c r="G16" s="507" t="e">
        <f t="shared" ca="1" si="2"/>
        <v>#N/A</v>
      </c>
      <c r="H16" s="508" t="e">
        <f t="shared" ca="1" si="3"/>
        <v>#N/A</v>
      </c>
      <c r="I16" s="509" t="e">
        <f t="shared" ca="1" si="4"/>
        <v>#N/A</v>
      </c>
      <c r="J16" s="510" t="e">
        <f t="shared" ca="1" si="5"/>
        <v>#N/A</v>
      </c>
      <c r="M16" s="511">
        <v>-0.5</v>
      </c>
      <c r="N16" s="512">
        <f t="shared" ca="1" si="7"/>
        <v>50</v>
      </c>
      <c r="O16" s="513">
        <f t="shared" ca="1" si="7"/>
        <v>-2</v>
      </c>
      <c r="P16" s="512">
        <f t="shared" ca="1" si="7"/>
        <v>29</v>
      </c>
      <c r="Q16" s="513">
        <f t="shared" ca="1" si="7"/>
        <v>5</v>
      </c>
      <c r="R16" s="515">
        <f t="shared" ca="1" si="7"/>
        <v>79</v>
      </c>
      <c r="S16" s="513">
        <f t="shared" ca="1" si="7"/>
        <v>3</v>
      </c>
      <c r="U16" s="413" t="str">
        <f t="shared" ca="1" si="8"/>
        <v>Yokohama</v>
      </c>
      <c r="V16" s="521">
        <f t="array" aca="1" ref="V16" ca="1">SUM(IF((($B$30:$B$1000)=$B16)*(($D$30:$D$1000)=$U$6),(E$30:E$1000),0))</f>
        <v>0</v>
      </c>
      <c r="W16" s="420">
        <f t="array" aca="1" ref="W16" ca="1">SUM(IF((($B$30:$B$1000)=$B16)*(($D$30:$D$1000)=$U$6),(F$30:F$1000),0))</f>
        <v>0</v>
      </c>
      <c r="X16" s="521">
        <f t="array" aca="1" ref="X16" ca="1">SUM(IF((($B$30:$B$1000)=$B16)*(($D$30:$D$1000)=$U$6),(G$30:G$1000),0))</f>
        <v>0</v>
      </c>
      <c r="Y16" s="522">
        <f t="array" aca="1" ref="Y16" ca="1">SUM(IF((($B$30:$B$1000)=$B16)*(($D$30:$D$1000)=$U$6),(H$30:H$1000),0))</f>
        <v>0</v>
      </c>
      <c r="Z16" s="523">
        <f t="array" aca="1" ref="Z16" ca="1">SUM(IF((($B$30:$B$1000)=$B16)*(($D$30:$D$1000)=$U$6),(I$30:I$1000),0))</f>
        <v>0</v>
      </c>
      <c r="AA16" s="522">
        <f t="array" aca="1" ref="AA16" ca="1">SUM(IF((($B$30:$B$1000)=$B16)*(($D$30:$D$1000)=$U$6),(J$30:J$1000),0))</f>
        <v>0</v>
      </c>
    </row>
    <row r="17" spans="1:59" ht="15" thickBot="1">
      <c r="A17" s="524">
        <v>11</v>
      </c>
      <c r="B17" s="357" t="str">
        <f ca="1">IF(A17&gt;$C$1,"",VLOOKUP($A17,Table!$A$9:$C$30,3,FALSE))</f>
        <v>Montedio Yamagata</v>
      </c>
      <c r="C17" s="357"/>
      <c r="D17" s="504" t="str">
        <f ca="1">IF(A17&gt;$C$1,"",VLOOKUP($A17,Table!$A$9:$C$30,2,FALSE))</f>
        <v>Montedio Yamagata</v>
      </c>
      <c r="E17" s="505">
        <f t="shared" ca="1" si="0"/>
        <v>21</v>
      </c>
      <c r="F17" s="506">
        <f t="shared" ca="1" si="1"/>
        <v>3</v>
      </c>
      <c r="G17" s="507">
        <f t="shared" ca="1" si="2"/>
        <v>21</v>
      </c>
      <c r="H17" s="508">
        <f t="shared" ca="1" si="3"/>
        <v>-1.5</v>
      </c>
      <c r="I17" s="509">
        <f t="shared" ca="1" si="4"/>
        <v>42</v>
      </c>
      <c r="J17" s="510">
        <f t="shared" ca="1" si="5"/>
        <v>1.5</v>
      </c>
      <c r="M17" s="511">
        <v>-0.25</v>
      </c>
      <c r="N17" s="512">
        <f t="shared" ca="1" si="7"/>
        <v>115</v>
      </c>
      <c r="O17" s="513">
        <f t="shared" ca="1" si="7"/>
        <v>12.5</v>
      </c>
      <c r="P17" s="512">
        <f t="shared" ca="1" si="7"/>
        <v>70</v>
      </c>
      <c r="Q17" s="513">
        <f t="shared" ca="1" si="7"/>
        <v>12.5</v>
      </c>
      <c r="R17" s="515">
        <f t="shared" ca="1" si="7"/>
        <v>185</v>
      </c>
      <c r="S17" s="513">
        <f t="shared" ca="1" si="7"/>
        <v>25</v>
      </c>
      <c r="U17" s="413" t="str">
        <f t="shared" ca="1" si="8"/>
        <v>Montedio Yamagata</v>
      </c>
      <c r="V17" s="521">
        <f t="array" aca="1" ref="V17" ca="1">SUM(IF((($B$30:$B$1000)=$B17)*(($D$30:$D$1000)=$U$6),(E$30:E$1000),0))</f>
        <v>0</v>
      </c>
      <c r="W17" s="420">
        <f t="array" aca="1" ref="W17" ca="1">SUM(IF((($B$30:$B$1000)=$B17)*(($D$30:$D$1000)=$U$6),(F$30:F$1000),0))</f>
        <v>0</v>
      </c>
      <c r="X17" s="521">
        <f t="array" aca="1" ref="X17" ca="1">SUM(IF((($B$30:$B$1000)=$B17)*(($D$30:$D$1000)=$U$6),(G$30:G$1000),0))</f>
        <v>2</v>
      </c>
      <c r="Y17" s="522">
        <f t="array" aca="1" ref="Y17" ca="1">SUM(IF((($B$30:$B$1000)=$B17)*(($D$30:$D$1000)=$U$6),(H$30:H$1000),0))</f>
        <v>0</v>
      </c>
      <c r="Z17" s="523">
        <f t="array" aca="1" ref="Z17" ca="1">SUM(IF((($B$30:$B$1000)=$B17)*(($D$30:$D$1000)=$U$6),(I$30:I$1000),0))</f>
        <v>2</v>
      </c>
      <c r="AA17" s="522">
        <f t="array" aca="1" ref="AA17" ca="1">SUM(IF((($B$30:$B$1000)=$B17)*(($D$30:$D$1000)=$U$6),(J$30:J$1000),0))</f>
        <v>0</v>
      </c>
    </row>
    <row r="18" spans="1:59" ht="15" thickBot="1">
      <c r="A18" s="524">
        <v>12</v>
      </c>
      <c r="B18" s="357" t="str">
        <f ca="1">IF(A18&gt;$C$1,"",VLOOKUP($A18,Table!$A$9:$C$30,3,FALSE))</f>
        <v>Kyoto Sanga</v>
      </c>
      <c r="C18" s="357"/>
      <c r="D18" s="504" t="str">
        <f ca="1">IF(A18&gt;$C$1,"",VLOOKUP($A18,Table!$A$9:$C$30,2,FALSE))</f>
        <v>Kyoto Sanga</v>
      </c>
      <c r="E18" s="505">
        <f ca="1">IF(D18="","",VLOOKUP($B18,$C:$J,3,FALSE))</f>
        <v>21</v>
      </c>
      <c r="F18" s="506">
        <f t="shared" ca="1" si="1"/>
        <v>-1.5</v>
      </c>
      <c r="G18" s="507">
        <f t="shared" ca="1" si="2"/>
        <v>21</v>
      </c>
      <c r="H18" s="508">
        <f t="shared" ca="1" si="3"/>
        <v>1.5</v>
      </c>
      <c r="I18" s="509">
        <f t="shared" ca="1" si="4"/>
        <v>42</v>
      </c>
      <c r="J18" s="510">
        <f t="shared" ca="1" si="5"/>
        <v>0</v>
      </c>
      <c r="M18" s="511">
        <v>0</v>
      </c>
      <c r="N18" s="512">
        <f t="shared" ca="1" si="7"/>
        <v>99</v>
      </c>
      <c r="O18" s="513">
        <f t="shared" ca="1" si="7"/>
        <v>1</v>
      </c>
      <c r="P18" s="512">
        <f t="shared" ca="1" si="7"/>
        <v>100</v>
      </c>
      <c r="Q18" s="513">
        <f t="shared" ca="1" si="7"/>
        <v>-4</v>
      </c>
      <c r="R18" s="515">
        <f t="shared" ca="1" si="7"/>
        <v>199</v>
      </c>
      <c r="S18" s="513">
        <f t="shared" ca="1" si="7"/>
        <v>-3</v>
      </c>
      <c r="U18" s="413" t="str">
        <f t="shared" ca="1" si="8"/>
        <v>Kyoto Sanga</v>
      </c>
      <c r="V18" s="521">
        <f t="array" aca="1" ref="V18" ca="1">SUM(IF((($B$30:$B$1000)=$B18)*(($D$30:$D$1000)=$U$6),(E$30:E$1000),0))</f>
        <v>2</v>
      </c>
      <c r="W18" s="420">
        <f t="array" aca="1" ref="W18" ca="1">SUM(IF((($B$30:$B$1000)=$B18)*(($D$30:$D$1000)=$U$6),(F$30:F$1000),0))</f>
        <v>-2</v>
      </c>
      <c r="X18" s="521">
        <f t="array" aca="1" ref="X18" ca="1">SUM(IF((($B$30:$B$1000)=$B18)*(($D$30:$D$1000)=$U$6),(G$30:G$1000),0))</f>
        <v>2</v>
      </c>
      <c r="Y18" s="522">
        <f t="array" aca="1" ref="Y18" ca="1">SUM(IF((($B$30:$B$1000)=$B18)*(($D$30:$D$1000)=$U$6),(H$30:H$1000),0))</f>
        <v>2</v>
      </c>
      <c r="Z18" s="523">
        <f t="array" aca="1" ref="Z18" ca="1">SUM(IF((($B$30:$B$1000)=$B18)*(($D$30:$D$1000)=$U$6),(I$30:I$1000),0))</f>
        <v>4</v>
      </c>
      <c r="AA18" s="522">
        <f t="array" aca="1" ref="AA18" ca="1">SUM(IF((($B$30:$B$1000)=$B18)*(($D$30:$D$1000)=$U$6),(J$30:J$1000),0))</f>
        <v>0</v>
      </c>
    </row>
    <row r="19" spans="1:59" ht="15" thickBot="1">
      <c r="A19" s="519">
        <v>13</v>
      </c>
      <c r="B19" s="357" t="str">
        <f ca="1">IF(A19&gt;$C$1,"",VLOOKUP($A19,Table!$A$9:$C$30,3,FALSE))</f>
        <v>Fagiano Okayama</v>
      </c>
      <c r="C19" s="357"/>
      <c r="D19" s="504" t="str">
        <f ca="1">IF(A19&gt;$C$1,"",VLOOKUP($A19,Table!$A$9:$C$30,2,FALSE))</f>
        <v>Fagiano Okayama</v>
      </c>
      <c r="E19" s="505">
        <f t="shared" ref="E19" ca="1" si="9">IF(D19="","",VLOOKUP($B19,$C:$J,3,FALSE))</f>
        <v>21</v>
      </c>
      <c r="F19" s="506">
        <f t="shared" ca="1" si="1"/>
        <v>2</v>
      </c>
      <c r="G19" s="507">
        <f t="shared" ca="1" si="2"/>
        <v>21</v>
      </c>
      <c r="H19" s="508">
        <f t="shared" ca="1" si="3"/>
        <v>3.5</v>
      </c>
      <c r="I19" s="509">
        <f t="shared" ca="1" si="4"/>
        <v>42</v>
      </c>
      <c r="J19" s="510">
        <f t="shared" ca="1" si="5"/>
        <v>5.5</v>
      </c>
      <c r="M19" s="511">
        <v>0.25</v>
      </c>
      <c r="N19" s="512">
        <f t="shared" ca="1" si="7"/>
        <v>66</v>
      </c>
      <c r="O19" s="513">
        <f t="shared" ca="1" si="7"/>
        <v>-9.5</v>
      </c>
      <c r="P19" s="512">
        <f t="shared" ca="1" si="7"/>
        <v>111</v>
      </c>
      <c r="Q19" s="513">
        <f t="shared" ca="1" si="7"/>
        <v>-8.5</v>
      </c>
      <c r="R19" s="515">
        <f t="shared" ca="1" si="7"/>
        <v>177</v>
      </c>
      <c r="S19" s="513">
        <f t="shared" ca="1" si="7"/>
        <v>-18</v>
      </c>
      <c r="U19" s="413" t="str">
        <f t="shared" ca="1" si="8"/>
        <v>Fagiano Okayama</v>
      </c>
      <c r="V19" s="521">
        <f t="array" aca="1" ref="V19" ca="1">SUM(IF((($B$30:$B$1000)=$B19)*(($D$30:$D$1000)=$U$6),(E$30:E$1000),0))</f>
        <v>2</v>
      </c>
      <c r="W19" s="420">
        <f t="array" aca="1" ref="W19" ca="1">SUM(IF((($B$30:$B$1000)=$B19)*(($D$30:$D$1000)=$U$6),(F$30:F$1000),0))</f>
        <v>0</v>
      </c>
      <c r="X19" s="521">
        <f t="array" aca="1" ref="X19" ca="1">SUM(IF((($B$30:$B$1000)=$B19)*(($D$30:$D$1000)=$U$6),(G$30:G$1000),0))</f>
        <v>4</v>
      </c>
      <c r="Y19" s="522">
        <f t="array" aca="1" ref="Y19" ca="1">SUM(IF((($B$30:$B$1000)=$B19)*(($D$30:$D$1000)=$U$6),(H$30:H$1000),0))</f>
        <v>0</v>
      </c>
      <c r="Z19" s="523">
        <f t="array" aca="1" ref="Z19" ca="1">SUM(IF((($B$30:$B$1000)=$B19)*(($D$30:$D$1000)=$U$6),(I$30:I$1000),0))</f>
        <v>6</v>
      </c>
      <c r="AA19" s="522">
        <f t="array" aca="1" ref="AA19" ca="1">SUM(IF((($B$30:$B$1000)=$B19)*(($D$30:$D$1000)=$U$6),(J$30:J$1000),0))</f>
        <v>0</v>
      </c>
    </row>
    <row r="20" spans="1:59" ht="15" thickBot="1">
      <c r="A20" s="519">
        <v>14</v>
      </c>
      <c r="B20" s="357" t="str">
        <f ca="1">IF(A20&gt;$C$1,"",VLOOKUP($A20,Table!$A$9:$C$30,3,FALSE))</f>
        <v>Mito Hollyhock</v>
      </c>
      <c r="C20" s="357"/>
      <c r="D20" s="504" t="str">
        <f ca="1">IF(A20&gt;$C$1,"",VLOOKUP($A20,Table!$A$9:$C$30,2,FALSE))</f>
        <v>Mito Hollyhock</v>
      </c>
      <c r="E20" s="505">
        <f ca="1">IF(D20="","",VLOOKUP($B20,$C:$J,3,FALSE))</f>
        <v>21</v>
      </c>
      <c r="F20" s="506">
        <f t="shared" ca="1" si="1"/>
        <v>3.5</v>
      </c>
      <c r="G20" s="507">
        <f t="shared" ca="1" si="2"/>
        <v>21</v>
      </c>
      <c r="H20" s="508">
        <f t="shared" ca="1" si="3"/>
        <v>-3.5</v>
      </c>
      <c r="I20" s="509">
        <f t="shared" ca="1" si="4"/>
        <v>42</v>
      </c>
      <c r="J20" s="510">
        <f t="shared" ca="1" si="5"/>
        <v>0</v>
      </c>
      <c r="M20" s="511">
        <v>0.5</v>
      </c>
      <c r="N20" s="512">
        <f t="shared" ca="1" si="7"/>
        <v>24</v>
      </c>
      <c r="O20" s="513">
        <f t="shared" ca="1" si="7"/>
        <v>-6</v>
      </c>
      <c r="P20" s="512">
        <f t="shared" ca="1" si="7"/>
        <v>48</v>
      </c>
      <c r="Q20" s="513">
        <f t="shared" ca="1" si="7"/>
        <v>-4</v>
      </c>
      <c r="R20" s="515">
        <f t="shared" ca="1" si="7"/>
        <v>72</v>
      </c>
      <c r="S20" s="513">
        <f t="shared" ca="1" si="7"/>
        <v>-10</v>
      </c>
      <c r="U20" s="413" t="str">
        <f t="shared" ca="1" si="8"/>
        <v>Mito Hollyhock</v>
      </c>
      <c r="V20" s="521">
        <f t="array" aca="1" ref="V20" ca="1">SUM(IF((($B$30:$B$1000)=$B20)*(($D$30:$D$1000)=$U$6),(E$30:E$1000),0))</f>
        <v>0</v>
      </c>
      <c r="W20" s="420">
        <f t="array" aca="1" ref="W20" ca="1">SUM(IF((($B$30:$B$1000)=$B20)*(($D$30:$D$1000)=$U$6),(F$30:F$1000),0))</f>
        <v>0</v>
      </c>
      <c r="X20" s="521">
        <f t="array" aca="1" ref="X20" ca="1">SUM(IF((($B$30:$B$1000)=$B20)*(($D$30:$D$1000)=$U$6),(G$30:G$1000),0))</f>
        <v>5</v>
      </c>
      <c r="Y20" s="522">
        <f t="array" aca="1" ref="Y20" ca="1">SUM(IF((($B$30:$B$1000)=$B20)*(($D$30:$D$1000)=$U$6),(H$30:H$1000),0))</f>
        <v>-1</v>
      </c>
      <c r="Z20" s="523">
        <f t="array" aca="1" ref="Z20" ca="1">SUM(IF((($B$30:$B$1000)=$B20)*(($D$30:$D$1000)=$U$6),(I$30:I$1000),0))</f>
        <v>5</v>
      </c>
      <c r="AA20" s="522">
        <f t="array" aca="1" ref="AA20" ca="1">SUM(IF((($B$30:$B$1000)=$B20)*(($D$30:$D$1000)=$U$6),(J$30:J$1000),0))</f>
        <v>-1</v>
      </c>
    </row>
    <row r="21" spans="1:59" ht="15" thickBot="1">
      <c r="A21" s="524">
        <v>15</v>
      </c>
      <c r="B21" s="357" t="str">
        <f ca="1">IF(A21&gt;$C$1,"",VLOOKUP($A21,Table!$A$9:$C$30,3,FALSE))</f>
        <v>Ehime</v>
      </c>
      <c r="C21" s="357"/>
      <c r="D21" s="504" t="str">
        <f ca="1">IF(A21&gt;$C$1,"",VLOOKUP($A21,Table!$A$9:$C$30,2,FALSE))</f>
        <v>Ehime</v>
      </c>
      <c r="E21" s="505">
        <f t="shared" ref="E21:E30" ca="1" si="10">IF(D21="","",VLOOKUP($B21,$C:$J,3,FALSE))</f>
        <v>21</v>
      </c>
      <c r="F21" s="506">
        <f t="shared" ca="1" si="1"/>
        <v>3</v>
      </c>
      <c r="G21" s="507">
        <f t="shared" ca="1" si="2"/>
        <v>21</v>
      </c>
      <c r="H21" s="508">
        <f t="shared" ca="1" si="3"/>
        <v>-5</v>
      </c>
      <c r="I21" s="509">
        <f t="shared" ca="1" si="4"/>
        <v>42</v>
      </c>
      <c r="J21" s="510">
        <f t="shared" ca="1" si="5"/>
        <v>-2</v>
      </c>
      <c r="M21" s="511">
        <v>0.75</v>
      </c>
      <c r="N21" s="512">
        <f t="shared" ca="1" si="7"/>
        <v>12</v>
      </c>
      <c r="O21" s="513">
        <f t="shared" ca="1" si="7"/>
        <v>0</v>
      </c>
      <c r="P21" s="512">
        <f t="shared" ca="1" si="7"/>
        <v>35</v>
      </c>
      <c r="Q21" s="513">
        <f t="shared" ca="1" si="7"/>
        <v>0</v>
      </c>
      <c r="R21" s="515">
        <f t="shared" ca="1" si="7"/>
        <v>47</v>
      </c>
      <c r="S21" s="513">
        <f t="shared" ca="1" si="7"/>
        <v>0</v>
      </c>
      <c r="U21" s="413" t="str">
        <f t="shared" ca="1" si="8"/>
        <v>Ehime</v>
      </c>
      <c r="V21" s="521">
        <f t="array" aca="1" ref="V21" ca="1">SUM(IF((($B$30:$B$1000)=$B21)*(($D$30:$D$1000)=$U$6),(E$30:E$1000),0))</f>
        <v>1</v>
      </c>
      <c r="W21" s="420">
        <f t="array" aca="1" ref="W21" ca="1">SUM(IF((($B$30:$B$1000)=$B21)*(($D$30:$D$1000)=$U$6),(F$30:F$1000),0))</f>
        <v>-1</v>
      </c>
      <c r="X21" s="521">
        <f t="array" aca="1" ref="X21" ca="1">SUM(IF((($B$30:$B$1000)=$B21)*(($D$30:$D$1000)=$U$6),(G$30:G$1000),0))</f>
        <v>4</v>
      </c>
      <c r="Y21" s="522">
        <f t="array" aca="1" ref="Y21" ca="1">SUM(IF((($B$30:$B$1000)=$B21)*(($D$30:$D$1000)=$U$6),(H$30:H$1000),0))</f>
        <v>0</v>
      </c>
      <c r="Z21" s="523">
        <f t="array" aca="1" ref="Z21" ca="1">SUM(IF((($B$30:$B$1000)=$B21)*(($D$30:$D$1000)=$U$6),(I$30:I$1000),0))</f>
        <v>5</v>
      </c>
      <c r="AA21" s="522">
        <f t="array" aca="1" ref="AA21" ca="1">SUM(IF((($B$30:$B$1000)=$B21)*(($D$30:$D$1000)=$U$6),(J$30:J$1000),0))</f>
        <v>-1</v>
      </c>
    </row>
    <row r="22" spans="1:59" ht="15" thickBot="1">
      <c r="A22" s="524">
        <v>16</v>
      </c>
      <c r="B22" s="357" t="str">
        <f ca="1">IF(A22&gt;$C$1,"",VLOOKUP($A22,Table!$A$9:$C$30,3,FALSE))</f>
        <v>Machida Zelvia</v>
      </c>
      <c r="C22" s="357"/>
      <c r="D22" s="504" t="str">
        <f ca="1">IF(A22&gt;$C$1,"",VLOOKUP($A22,Table!$A$9:$C$30,2,FALSE))</f>
        <v>Machida Zelvia</v>
      </c>
      <c r="E22" s="505">
        <f t="shared" ca="1" si="10"/>
        <v>21</v>
      </c>
      <c r="F22" s="506">
        <f t="shared" ca="1" si="1"/>
        <v>-6.5</v>
      </c>
      <c r="G22" s="507">
        <f t="shared" ca="1" si="2"/>
        <v>21</v>
      </c>
      <c r="H22" s="508">
        <f t="shared" ca="1" si="3"/>
        <v>6.5</v>
      </c>
      <c r="I22" s="509">
        <f t="shared" ca="1" si="4"/>
        <v>42</v>
      </c>
      <c r="J22" s="510">
        <f t="shared" ca="1" si="5"/>
        <v>0</v>
      </c>
      <c r="M22" s="511">
        <v>1</v>
      </c>
      <c r="N22" s="512">
        <f t="shared" ca="1" si="7"/>
        <v>2</v>
      </c>
      <c r="O22" s="513">
        <f t="shared" ca="1" si="7"/>
        <v>1</v>
      </c>
      <c r="P22" s="512">
        <f t="shared" ca="1" si="7"/>
        <v>9</v>
      </c>
      <c r="Q22" s="513">
        <f t="shared" ca="1" si="7"/>
        <v>0</v>
      </c>
      <c r="R22" s="515">
        <f t="shared" ca="1" si="7"/>
        <v>11</v>
      </c>
      <c r="S22" s="513">
        <f t="shared" ca="1" si="7"/>
        <v>1</v>
      </c>
      <c r="U22" s="413" t="str">
        <f t="shared" ca="1" si="8"/>
        <v>Machida Zelvia</v>
      </c>
      <c r="V22" s="521">
        <f t="array" aca="1" ref="V22" ca="1">SUM(IF((($B$30:$B$1000)=$B22)*(($D$30:$D$1000)=$U$6),(E$30:E$1000),0))</f>
        <v>0</v>
      </c>
      <c r="W22" s="420">
        <f t="array" aca="1" ref="W22" ca="1">SUM(IF((($B$30:$B$1000)=$B22)*(($D$30:$D$1000)=$U$6),(F$30:F$1000),0))</f>
        <v>0</v>
      </c>
      <c r="X22" s="521">
        <f t="array" aca="1" ref="X22" ca="1">SUM(IF((($B$30:$B$1000)=$B22)*(($D$30:$D$1000)=$U$6),(G$30:G$1000),0))</f>
        <v>3</v>
      </c>
      <c r="Y22" s="522">
        <f t="array" aca="1" ref="Y22" ca="1">SUM(IF((($B$30:$B$1000)=$B22)*(($D$30:$D$1000)=$U$6),(H$30:H$1000),0))</f>
        <v>1</v>
      </c>
      <c r="Z22" s="523">
        <f t="array" aca="1" ref="Z22" ca="1">SUM(IF((($B$30:$B$1000)=$B22)*(($D$30:$D$1000)=$U$6),(I$30:I$1000),0))</f>
        <v>3</v>
      </c>
      <c r="AA22" s="522">
        <f t="array" aca="1" ref="AA22" ca="1">SUM(IF((($B$30:$B$1000)=$B22)*(($D$30:$D$1000)=$U$6),(J$30:J$1000),0))</f>
        <v>1</v>
      </c>
    </row>
    <row r="23" spans="1:59" ht="15" thickBot="1">
      <c r="A23" s="519">
        <v>17</v>
      </c>
      <c r="B23" s="357" t="str">
        <f ca="1">IF(A23&gt;$C$1,"",VLOOKUP($A23,Table!$A$9:$C$30,3,FALSE))</f>
        <v>Zweigen Kanazawa</v>
      </c>
      <c r="C23" s="357"/>
      <c r="D23" s="504" t="str">
        <f ca="1">IF(A23&gt;$C$1,"",VLOOKUP($A23,Table!$A$9:$C$30,2,FALSE))</f>
        <v>Zweigen Kanazawa</v>
      </c>
      <c r="E23" s="505" t="e">
        <f t="shared" ca="1" si="10"/>
        <v>#N/A</v>
      </c>
      <c r="F23" s="506" t="e">
        <f t="shared" ca="1" si="1"/>
        <v>#N/A</v>
      </c>
      <c r="G23" s="507" t="e">
        <f t="shared" ca="1" si="2"/>
        <v>#N/A</v>
      </c>
      <c r="H23" s="508" t="e">
        <f t="shared" ca="1" si="3"/>
        <v>#N/A</v>
      </c>
      <c r="I23" s="509" t="e">
        <f t="shared" ca="1" si="4"/>
        <v>#N/A</v>
      </c>
      <c r="J23" s="510" t="e">
        <f t="shared" ca="1" si="5"/>
        <v>#N/A</v>
      </c>
      <c r="M23" s="511">
        <v>1.25</v>
      </c>
      <c r="N23" s="512">
        <f t="shared" ca="1" si="7"/>
        <v>0</v>
      </c>
      <c r="O23" s="513">
        <f t="shared" ca="1" si="7"/>
        <v>0</v>
      </c>
      <c r="P23" s="512">
        <f t="shared" ca="1" si="7"/>
        <v>3</v>
      </c>
      <c r="Q23" s="513">
        <f t="shared" ca="1" si="7"/>
        <v>-3</v>
      </c>
      <c r="R23" s="515">
        <f t="shared" ca="1" si="7"/>
        <v>3</v>
      </c>
      <c r="S23" s="513">
        <f t="shared" ca="1" si="7"/>
        <v>-3</v>
      </c>
      <c r="U23" s="413" t="str">
        <f t="shared" ca="1" si="8"/>
        <v>Zweigen Kanazawa</v>
      </c>
      <c r="V23" s="521">
        <f t="array" aca="1" ref="V23" ca="1">SUM(IF((($B$30:$B$1000)=$B23)*(($D$30:$D$1000)=$U$6),(E$30:E$1000),0))</f>
        <v>0</v>
      </c>
      <c r="W23" s="420">
        <f t="array" aca="1" ref="W23" ca="1">SUM(IF((($B$30:$B$1000)=$B23)*(($D$30:$D$1000)=$U$6),(F$30:F$1000),0))</f>
        <v>0</v>
      </c>
      <c r="X23" s="525">
        <f t="array" aca="1" ref="X23" ca="1">SUM(IF((($B$30:$B$1000)=$B23)*(($D$30:$D$1000)=$U$6),(G$30:G$1000),0))</f>
        <v>0</v>
      </c>
      <c r="Y23" s="526">
        <f t="array" aca="1" ref="Y23" ca="1">SUM(IF((($B$30:$B$1000)=$B23)*(($D$30:$D$1000)=$U$6),(H$30:H$1000),0))</f>
        <v>0</v>
      </c>
      <c r="Z23" s="527">
        <f t="array" aca="1" ref="Z23" ca="1">SUM(IF((($B$30:$B$1000)=$B23)*(($D$30:$D$1000)=$U$6),(I$30:I$1000),0))</f>
        <v>0</v>
      </c>
      <c r="AA23" s="526">
        <f t="array" aca="1" ref="AA23" ca="1">SUM(IF((($B$30:$B$1000)=$B23)*(($D$30:$D$1000)=$U$6),(J$30:J$1000),0))</f>
        <v>0</v>
      </c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 ht="15" thickBot="1">
      <c r="A24" s="519">
        <v>18</v>
      </c>
      <c r="B24" s="357" t="str">
        <f ca="1">IF(A24&gt;$C$1,"",VLOOKUP($A24,Table!$A$9:$C$30,3,FALSE))</f>
        <v>Gifu</v>
      </c>
      <c r="C24" s="357"/>
      <c r="D24" s="504" t="str">
        <f ca="1">IF(A24&gt;$C$1,"",VLOOKUP($A24,Table!$A$9:$C$30,2,FALSE))</f>
        <v>Gifu</v>
      </c>
      <c r="E24" s="505">
        <f t="shared" ca="1" si="10"/>
        <v>21</v>
      </c>
      <c r="F24" s="506">
        <f t="shared" ca="1" si="1"/>
        <v>-5</v>
      </c>
      <c r="G24" s="507">
        <f t="shared" ca="1" si="2"/>
        <v>21</v>
      </c>
      <c r="H24" s="508">
        <f t="shared" ca="1" si="3"/>
        <v>3</v>
      </c>
      <c r="I24" s="509">
        <f t="shared" ca="1" si="4"/>
        <v>42</v>
      </c>
      <c r="J24" s="510">
        <f t="shared" ca="1" si="5"/>
        <v>-2</v>
      </c>
      <c r="M24" s="511">
        <v>1.5</v>
      </c>
      <c r="N24" s="512">
        <f t="shared" ca="1" si="7"/>
        <v>0</v>
      </c>
      <c r="O24" s="513">
        <f t="shared" ca="1" si="7"/>
        <v>0</v>
      </c>
      <c r="P24" s="512">
        <f t="shared" ca="1" si="7"/>
        <v>0</v>
      </c>
      <c r="Q24" s="513">
        <f t="shared" ca="1" si="7"/>
        <v>0</v>
      </c>
      <c r="R24" s="515">
        <f t="shared" ca="1" si="7"/>
        <v>0</v>
      </c>
      <c r="S24" s="513">
        <f t="shared" ca="1" si="7"/>
        <v>0</v>
      </c>
      <c r="U24" s="413" t="str">
        <f t="shared" ca="1" si="8"/>
        <v>Gifu</v>
      </c>
      <c r="V24" s="521">
        <f t="array" aca="1" ref="V24" ca="1">SUM(IF((($B$30:$B$1000)=$B24)*(($D$30:$D$1000)=$U$6),(E$30:E$1000),0))</f>
        <v>2</v>
      </c>
      <c r="W24" s="420">
        <f t="array" aca="1" ref="W24" ca="1">SUM(IF((($B$30:$B$1000)=$B24)*(($D$30:$D$1000)=$U$6),(F$30:F$1000),0))</f>
        <v>0</v>
      </c>
      <c r="X24" s="525">
        <f t="array" aca="1" ref="X24" ca="1">SUM(IF((($B$30:$B$1000)=$B24)*(($D$30:$D$1000)=$U$6),(G$30:G$1000),0))</f>
        <v>3</v>
      </c>
      <c r="Y24" s="526">
        <f t="array" aca="1" ref="Y24" ca="1">SUM(IF((($B$30:$B$1000)=$B24)*(($D$30:$D$1000)=$U$6),(H$30:H$1000),0))</f>
        <v>1</v>
      </c>
      <c r="Z24" s="527">
        <f t="array" aca="1" ref="Z24" ca="1">SUM(IF((($B$30:$B$1000)=$B24)*(($D$30:$D$1000)=$U$6),(I$30:I$1000),0))</f>
        <v>5</v>
      </c>
      <c r="AA24" s="526">
        <f t="array" aca="1" ref="AA24" ca="1">SUM(IF((($B$30:$B$1000)=$B24)*(($D$30:$D$1000)=$U$6),(J$30:J$1000),0))</f>
        <v>1</v>
      </c>
      <c r="AB24" s="230"/>
      <c r="AC24" s="230"/>
      <c r="AD24" s="230"/>
      <c r="AE24" s="230"/>
      <c r="AF24" s="230"/>
      <c r="AG24" s="230"/>
      <c r="AH24" s="230"/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 ht="15" thickBot="1">
      <c r="A25" s="524">
        <v>19</v>
      </c>
      <c r="B25" s="357" t="str">
        <f ca="1">IF(A25&gt;$C$1,"",VLOOKUP($A25,Table!$A$9:$C$30,3,FALSE))</f>
        <v>Kamatamare Sanuki</v>
      </c>
      <c r="C25" s="357"/>
      <c r="D25" s="504" t="str">
        <f ca="1">IF(A25&gt;$C$1,"",VLOOKUP($A25,Table!$A$9:$C$30,2,FALSE))</f>
        <v>Kamatamare Sanuki</v>
      </c>
      <c r="E25" s="505">
        <f t="shared" ca="1" si="10"/>
        <v>21</v>
      </c>
      <c r="F25" s="506">
        <f t="shared" ca="1" si="1"/>
        <v>2</v>
      </c>
      <c r="G25" s="507">
        <f t="shared" ca="1" si="2"/>
        <v>21</v>
      </c>
      <c r="H25" s="508">
        <f t="shared" ca="1" si="3"/>
        <v>-3</v>
      </c>
      <c r="I25" s="509">
        <f t="shared" ca="1" si="4"/>
        <v>42</v>
      </c>
      <c r="J25" s="510">
        <f t="shared" ca="1" si="5"/>
        <v>-1</v>
      </c>
      <c r="M25" s="528">
        <v>1.75</v>
      </c>
      <c r="N25" s="512">
        <f t="shared" ca="1" si="7"/>
        <v>0</v>
      </c>
      <c r="O25" s="513">
        <f t="shared" ca="1" si="7"/>
        <v>0</v>
      </c>
      <c r="P25" s="512">
        <f t="shared" ca="1" si="7"/>
        <v>1</v>
      </c>
      <c r="Q25" s="513">
        <f t="shared" ca="1" si="7"/>
        <v>-0.5</v>
      </c>
      <c r="R25" s="515">
        <f t="shared" ca="1" si="7"/>
        <v>1</v>
      </c>
      <c r="S25" s="513">
        <f t="shared" ca="1" si="7"/>
        <v>-0.5</v>
      </c>
      <c r="U25" s="413" t="str">
        <f t="shared" ca="1" si="8"/>
        <v>Kamatamare Sanuki</v>
      </c>
      <c r="V25" s="521">
        <f t="array" aca="1" ref="V25" ca="1">SUM(IF((($B$30:$B$1000)=$B25)*(($D$30:$D$1000)=$U$6),(E$30:E$1000),0))</f>
        <v>3</v>
      </c>
      <c r="W25" s="420">
        <f t="array" aca="1" ref="W25" ca="1">SUM(IF((($B$30:$B$1000)=$B25)*(($D$30:$D$1000)=$U$6),(F$30:F$1000),0))</f>
        <v>3</v>
      </c>
      <c r="X25" s="525">
        <f t="array" aca="1" ref="X25" ca="1">SUM(IF((($B$30:$B$1000)=$B25)*(($D$30:$D$1000)=$U$6),(G$30:G$1000),0))</f>
        <v>2</v>
      </c>
      <c r="Y25" s="526">
        <f t="array" aca="1" ref="Y25" ca="1">SUM(IF((($B$30:$B$1000)=$B25)*(($D$30:$D$1000)=$U$6),(H$30:H$1000),0))</f>
        <v>-2</v>
      </c>
      <c r="Z25" s="527">
        <f t="array" aca="1" ref="Z25" ca="1">SUM(IF((($B$30:$B$1000)=$B25)*(($D$30:$D$1000)=$U$6),(I$30:I$1000),0))</f>
        <v>5</v>
      </c>
      <c r="AA25" s="526">
        <f t="array" aca="1" ref="AA25" ca="1">SUM(IF((($B$30:$B$1000)=$B25)*(($D$30:$D$1000)=$U$6),(J$30:J$1000),0))</f>
        <v>1</v>
      </c>
      <c r="AB25" s="230"/>
      <c r="AC25" s="230"/>
      <c r="AD25" s="230"/>
      <c r="AE25" s="230"/>
      <c r="AF25" s="230"/>
      <c r="AG25" s="230"/>
      <c r="AH25" s="230"/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 ht="15" thickBot="1">
      <c r="A26" s="524">
        <v>20</v>
      </c>
      <c r="B26" s="357" t="str">
        <f ca="1">IF(A26&gt;$C$1,"",VLOOKUP($A26,Table!$A$9:$C$30,3,FALSE))</f>
        <v>Renofa Yamaguchi</v>
      </c>
      <c r="C26" s="357"/>
      <c r="D26" s="504" t="str">
        <f ca="1">IF(A26&gt;$C$1,"",VLOOKUP($A26,Table!$A$9:$C$30,2,FALSE))</f>
        <v>Renofa Yamaguchi</v>
      </c>
      <c r="E26" s="505">
        <f t="shared" ca="1" si="10"/>
        <v>21</v>
      </c>
      <c r="F26" s="506">
        <f t="shared" ca="1" si="1"/>
        <v>-10</v>
      </c>
      <c r="G26" s="507">
        <f t="shared" ca="1" si="2"/>
        <v>21</v>
      </c>
      <c r="H26" s="508">
        <f t="shared" ca="1" si="3"/>
        <v>-3.5</v>
      </c>
      <c r="I26" s="509">
        <f t="shared" ca="1" si="4"/>
        <v>42</v>
      </c>
      <c r="J26" s="510">
        <f t="shared" ca="1" si="5"/>
        <v>-13.5</v>
      </c>
      <c r="M26" s="528">
        <v>2</v>
      </c>
      <c r="N26" s="512">
        <f t="shared" ca="1" si="7"/>
        <v>0</v>
      </c>
      <c r="O26" s="513">
        <f t="shared" ca="1" si="7"/>
        <v>0</v>
      </c>
      <c r="P26" s="512">
        <f t="shared" ca="1" si="7"/>
        <v>0</v>
      </c>
      <c r="Q26" s="513">
        <f t="shared" ca="1" si="7"/>
        <v>0</v>
      </c>
      <c r="R26" s="515">
        <f t="shared" ca="1" si="7"/>
        <v>0</v>
      </c>
      <c r="S26" s="513">
        <f t="shared" ca="1" si="7"/>
        <v>0</v>
      </c>
      <c r="U26" s="478" t="str">
        <f t="shared" ca="1" si="8"/>
        <v>Renofa Yamaguchi</v>
      </c>
      <c r="V26" s="497">
        <f t="array" aca="1" ref="V26" ca="1">SUM(IF((($B$30:$B$1000)=$B26)*(($D$30:$D$1000)=$U$6),(E$30:E$1000),0))</f>
        <v>2</v>
      </c>
      <c r="W26" s="529">
        <f t="array" aca="1" ref="W26" ca="1">SUM(IF((($B$30:$B$1000)=$B26)*(($D$30:$D$1000)=$U$6),(F$30:F$1000),0))</f>
        <v>-2</v>
      </c>
      <c r="X26" s="530">
        <f t="array" aca="1" ref="X26" ca="1">SUM(IF((($B$30:$B$1000)=$B26)*(($D$30:$D$1000)=$U$6),(G$30:G$1000),0))</f>
        <v>2</v>
      </c>
      <c r="Y26" s="531">
        <f t="array" aca="1" ref="Y26" ca="1">SUM(IF((($B$30:$B$1000)=$B26)*(($D$30:$D$1000)=$U$6),(H$30:H$1000),0))</f>
        <v>0</v>
      </c>
      <c r="Z26" s="532">
        <f t="array" aca="1" ref="Z26" ca="1">SUM(IF((($B$30:$B$1000)=$B26)*(($D$30:$D$1000)=$U$6),(I$30:I$1000),0))</f>
        <v>4</v>
      </c>
      <c r="AA26" s="531">
        <f t="array" aca="1" ref="AA26" ca="1">SUM(IF((($B$30:$B$1000)=$B26)*(($D$30:$D$1000)=$U$6),(J$30:J$1000),0))</f>
        <v>-2</v>
      </c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 ht="15" thickBot="1">
      <c r="A27" s="533">
        <v>21</v>
      </c>
      <c r="B27" s="357" t="s">
        <v>32</v>
      </c>
      <c r="C27" s="357"/>
      <c r="D27" s="534" t="s">
        <v>32</v>
      </c>
      <c r="E27" s="535" t="str">
        <f t="shared" si="10"/>
        <v/>
      </c>
      <c r="F27" s="536" t="str">
        <f t="shared" si="1"/>
        <v/>
      </c>
      <c r="G27" s="537" t="str">
        <f t="shared" si="2"/>
        <v/>
      </c>
      <c r="H27" s="538" t="str">
        <f t="shared" si="3"/>
        <v/>
      </c>
      <c r="I27" s="509" t="str">
        <f t="shared" si="4"/>
        <v/>
      </c>
      <c r="J27" s="510" t="str">
        <f t="shared" si="5"/>
        <v/>
      </c>
      <c r="M27" s="528">
        <v>2.25</v>
      </c>
      <c r="N27" s="512">
        <f t="shared" ca="1" si="7"/>
        <v>0</v>
      </c>
      <c r="O27" s="513">
        <f t="shared" ca="1" si="7"/>
        <v>0</v>
      </c>
      <c r="P27" s="512">
        <f t="shared" ca="1" si="7"/>
        <v>0</v>
      </c>
      <c r="Q27" s="513">
        <f t="shared" ca="1" si="7"/>
        <v>0</v>
      </c>
      <c r="R27" s="515">
        <f t="shared" ca="1" si="7"/>
        <v>0</v>
      </c>
      <c r="S27" s="513">
        <f t="shared" ca="1" si="7"/>
        <v>0</v>
      </c>
      <c r="U27" s="539" t="s">
        <v>115</v>
      </c>
      <c r="V27" s="540">
        <f t="shared" ref="V27:AA27" ca="1" si="11">SUM(V7:V26)</f>
        <v>12</v>
      </c>
      <c r="W27" s="541">
        <f t="shared" ca="1" si="11"/>
        <v>-2</v>
      </c>
      <c r="X27" s="542">
        <f t="shared" ca="1" si="11"/>
        <v>35</v>
      </c>
      <c r="Y27" s="543">
        <f t="shared" ca="1" si="11"/>
        <v>3</v>
      </c>
      <c r="Z27" s="542">
        <f t="shared" ca="1" si="11"/>
        <v>47</v>
      </c>
      <c r="AA27" s="543">
        <f t="shared" ca="1" si="11"/>
        <v>1</v>
      </c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>
      <c r="A28" s="519">
        <v>22</v>
      </c>
      <c r="B28" s="357" t="s">
        <v>32</v>
      </c>
      <c r="C28" s="357"/>
      <c r="D28" s="544" t="s">
        <v>32</v>
      </c>
      <c r="E28" s="521" t="str">
        <f t="shared" si="10"/>
        <v/>
      </c>
      <c r="F28" s="545" t="str">
        <f t="shared" si="1"/>
        <v/>
      </c>
      <c r="G28" s="523" t="str">
        <f t="shared" si="2"/>
        <v/>
      </c>
      <c r="H28" s="546" t="str">
        <f t="shared" si="3"/>
        <v/>
      </c>
      <c r="I28" s="515" t="str">
        <f t="shared" si="4"/>
        <v/>
      </c>
      <c r="J28" s="547" t="str">
        <f t="shared" si="5"/>
        <v/>
      </c>
      <c r="M28" s="528">
        <v>2.5</v>
      </c>
      <c r="N28" s="512">
        <f t="shared" ca="1" si="7"/>
        <v>0</v>
      </c>
      <c r="O28" s="513">
        <f t="shared" ca="1" si="7"/>
        <v>0</v>
      </c>
      <c r="P28" s="512">
        <f t="shared" ca="1" si="7"/>
        <v>0</v>
      </c>
      <c r="Q28" s="513">
        <f t="shared" ca="1" si="7"/>
        <v>0</v>
      </c>
      <c r="R28" s="515">
        <f t="shared" ca="1" si="7"/>
        <v>0</v>
      </c>
      <c r="S28" s="513">
        <f t="shared" ca="1" si="7"/>
        <v>0</v>
      </c>
      <c r="X28" s="230"/>
      <c r="Y28" s="230"/>
      <c r="Z28" s="230"/>
      <c r="AA28" s="230"/>
      <c r="AB28" s="230"/>
      <c r="AC28" s="230"/>
      <c r="AD28" s="230"/>
      <c r="AE28" s="230"/>
      <c r="AF28" s="230"/>
      <c r="AG28" s="230"/>
      <c r="AH28" s="230"/>
      <c r="AI28" s="230"/>
      <c r="AJ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 ht="15" thickBot="1">
      <c r="A29" s="524">
        <v>23</v>
      </c>
      <c r="B29" s="357" t="s">
        <v>32</v>
      </c>
      <c r="C29" s="357"/>
      <c r="D29" s="504" t="s">
        <v>32</v>
      </c>
      <c r="E29" s="548" t="str">
        <f t="shared" si="10"/>
        <v/>
      </c>
      <c r="F29" s="513" t="str">
        <f t="shared" si="1"/>
        <v/>
      </c>
      <c r="G29" s="549" t="str">
        <f t="shared" si="2"/>
        <v/>
      </c>
      <c r="H29" s="550" t="str">
        <f t="shared" si="3"/>
        <v/>
      </c>
      <c r="I29" s="551" t="str">
        <f t="shared" si="4"/>
        <v/>
      </c>
      <c r="J29" s="513" t="str">
        <f t="shared" si="5"/>
        <v/>
      </c>
      <c r="M29" s="511">
        <v>2.75</v>
      </c>
      <c r="N29" s="512">
        <f t="shared" ca="1" si="7"/>
        <v>0</v>
      </c>
      <c r="O29" s="552">
        <f t="shared" ca="1" si="7"/>
        <v>0</v>
      </c>
      <c r="P29" s="512">
        <f t="shared" ca="1" si="7"/>
        <v>0</v>
      </c>
      <c r="Q29" s="552">
        <f t="shared" ca="1" si="7"/>
        <v>0</v>
      </c>
      <c r="R29" s="553">
        <f t="shared" ca="1" si="7"/>
        <v>0</v>
      </c>
      <c r="S29" s="552">
        <f t="shared" ca="1" si="7"/>
        <v>0</v>
      </c>
      <c r="X29" s="230"/>
      <c r="Y29" s="230"/>
      <c r="Z29" s="230"/>
      <c r="AA29" s="230"/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0"/>
      <c r="AP29" s="230"/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 ht="15" thickBot="1">
      <c r="A30" s="554">
        <v>24</v>
      </c>
      <c r="B30" s="357" t="s">
        <v>32</v>
      </c>
      <c r="C30" s="357"/>
      <c r="D30" s="555" t="s">
        <v>32</v>
      </c>
      <c r="E30" s="556" t="str">
        <f t="shared" si="10"/>
        <v/>
      </c>
      <c r="F30" s="552" t="str">
        <f t="shared" si="1"/>
        <v/>
      </c>
      <c r="G30" s="557" t="str">
        <f t="shared" si="2"/>
        <v/>
      </c>
      <c r="H30" s="558" t="str">
        <f t="shared" si="3"/>
        <v/>
      </c>
      <c r="I30" s="559" t="str">
        <f t="shared" si="4"/>
        <v/>
      </c>
      <c r="J30" s="552" t="str">
        <f t="shared" si="5"/>
        <v/>
      </c>
      <c r="M30" s="539" t="s">
        <v>115</v>
      </c>
      <c r="N30" s="560">
        <f ca="1">SUM(N7:N29)</f>
        <v>421</v>
      </c>
      <c r="O30" s="561">
        <f ca="1">SUM(O7:O29)</f>
        <v>-0.5</v>
      </c>
      <c r="P30" s="560">
        <f ca="1">SUM(P7:P29)</f>
        <v>421</v>
      </c>
      <c r="Q30" s="561">
        <f ca="1">SUM(Q7:Q29)</f>
        <v>-2.5</v>
      </c>
      <c r="X30" s="230"/>
      <c r="Y30" s="230"/>
      <c r="Z30" s="230"/>
      <c r="AA30" s="230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 ht="15" thickBot="1">
      <c r="A31" s="487"/>
      <c r="B31" s="357"/>
      <c r="C31" s="357"/>
      <c r="D31" s="539" t="s">
        <v>115</v>
      </c>
      <c r="E31" s="560" t="e">
        <f ca="1">SUM(E7:E30)</f>
        <v>#N/A</v>
      </c>
      <c r="F31" s="561" t="e">
        <f ca="1">SUM(F7:F30)</f>
        <v>#N/A</v>
      </c>
      <c r="G31" s="560" t="e">
        <f ca="1">SUM(G7:G30)</f>
        <v>#N/A</v>
      </c>
      <c r="H31" s="561" t="e">
        <f ca="1">SUM(H7:H30)</f>
        <v>#N/A</v>
      </c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0"/>
      <c r="AN31" s="230"/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>
      <c r="A32" s="487"/>
      <c r="B32" s="357"/>
      <c r="C32" s="357"/>
      <c r="D32" s="215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1:59">
      <c r="A33" s="487"/>
      <c r="B33" s="357"/>
      <c r="C33" s="357"/>
      <c r="D33" s="215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:59" ht="15" thickBot="1">
      <c r="A34" s="487"/>
      <c r="B34" s="357"/>
      <c r="C34" s="357"/>
      <c r="D34" s="215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1:59">
      <c r="B35" s="357"/>
      <c r="C35" s="357"/>
      <c r="D35" s="562" t="str">
        <f>D1</f>
        <v>Avispa Fukuoka</v>
      </c>
      <c r="E35" s="490" t="s">
        <v>80</v>
      </c>
      <c r="F35" s="491"/>
      <c r="G35" s="490" t="s">
        <v>81</v>
      </c>
      <c r="H35" s="491"/>
      <c r="I35" s="490" t="s">
        <v>82</v>
      </c>
      <c r="J35" s="492"/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:59" ht="15" thickBot="1">
      <c r="B36" s="357"/>
      <c r="C36" s="357"/>
      <c r="D36" s="499" t="s">
        <v>120</v>
      </c>
      <c r="E36" s="497" t="s">
        <v>123</v>
      </c>
      <c r="F36" s="552" t="s">
        <v>124</v>
      </c>
      <c r="G36" s="497" t="s">
        <v>123</v>
      </c>
      <c r="H36" s="552" t="s">
        <v>124</v>
      </c>
      <c r="I36" s="501" t="s">
        <v>123</v>
      </c>
      <c r="J36" s="552" t="s">
        <v>124</v>
      </c>
      <c r="K36" s="355"/>
      <c r="L36" s="355"/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:59">
      <c r="B37" s="563" t="str">
        <f>IF(D35=0,"N",D35)</f>
        <v>Avispa Fukuoka</v>
      </c>
      <c r="D37" s="511">
        <v>-2.75</v>
      </c>
      <c r="E37" s="564">
        <f ca="1">IF($B37="N","",SUM(IF((INDIRECT("'"&amp;$B37&amp;"'!I23:I200")=$A$2)*(INDIRECT("'"&amp;$B37&amp;"'!O23:O200")=$D37)*(INDIRECT("'"&amp;$B37&amp;"'!O23:O200")&lt;&gt;"")*(INDIRECT("'"&amp;$B37&amp;"'!H23:H200")=$E$5),1,0)))</f>
        <v>0</v>
      </c>
      <c r="F37" s="565">
        <f t="array" aca="1" ref="F37" ca="1">IF($B37="N","",SUM(IF((INDIRECT("'"&amp;$B37&amp;"'!I23:I200")=$A$2)*(INDIRECT("'"&amp;$B37&amp;"'!O23:O200")=$D37)*(INDIRECT("'"&amp;$B37&amp;"'!O23:O200")&lt;&gt;"")*(INDIRECT("'"&amp;$B37&amp;"'!H23:H200")=$E$5),INDIRECT("'"&amp;$B37&amp;"'!p23:p200"),0)))</f>
        <v>0</v>
      </c>
      <c r="G37" s="564">
        <f t="array" aca="1" ref="G37" ca="1">IF($B37="N","",SUM(IF((INDIRECT("'"&amp;$B37&amp;"'!I23:I200")=$A$2)*(INDIRECT("'"&amp;$B37&amp;"'!O23:O200")=$D37)*(INDIRECT("'"&amp;$B37&amp;"'!O23:O200")&lt;&gt;"")*(INDIRECT("'"&amp;$B37&amp;"'!H23:H200")=$G$5),1,0)))</f>
        <v>0</v>
      </c>
      <c r="H37" s="565">
        <f t="array" aca="1" ref="H37" ca="1">IF($B37="N","",SUM(IF((INDIRECT("'"&amp;$B37&amp;"'!I23:I200")=$A$2)*(INDIRECT("'"&amp;$B37&amp;"'!O23:O200")=$D37)*(INDIRECT("'"&amp;$B37&amp;"'!O23:O200")&lt;&gt;"")*(INDIRECT("'"&amp;$B37&amp;"'!H23:H200")=$G$5),INDIRECT("'"&amp;$B37&amp;"'!p23:p200"),0)))</f>
        <v>0</v>
      </c>
      <c r="I37" s="515">
        <f t="shared" ref="I37:I59" ca="1" si="12">IF(B37="N","",G37+E37)</f>
        <v>0</v>
      </c>
      <c r="J37" s="513">
        <f ca="1">IF(I37="","",F37+H37)</f>
        <v>0</v>
      </c>
      <c r="K37" s="355"/>
      <c r="L37" s="566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:59">
      <c r="B38" s="563" t="str">
        <f>B37</f>
        <v>Avispa Fukuoka</v>
      </c>
      <c r="D38" s="520">
        <v>-2.5</v>
      </c>
      <c r="E38" s="564">
        <f t="array" aca="1" ref="E38" ca="1">IF($B38="N","",SUM(IF((INDIRECT("'"&amp;$B38&amp;"'!I23:I200")=$A$2)*(INDIRECT("'"&amp;$B38&amp;"'!O23:O200")=$D38)*(INDIRECT("'"&amp;$B38&amp;"'!O23:O200")&lt;&gt;"")*(INDIRECT("'"&amp;$B38&amp;"'!H23:H200")=$E$5),1,0)))</f>
        <v>0</v>
      </c>
      <c r="F38" s="565">
        <f t="array" aca="1" ref="F38" ca="1">IF($B38="N","",SUM(IF((INDIRECT("'"&amp;$B38&amp;"'!I23:I200")=$A$2)*(INDIRECT("'"&amp;$B38&amp;"'!O23:O200")=$D38)*(INDIRECT("'"&amp;$B38&amp;"'!O23:O200")&lt;&gt;"")*(INDIRECT("'"&amp;$B38&amp;"'!H23:H200")=$E$5),INDIRECT("'"&amp;$B38&amp;"'!p23:p200"),0)))</f>
        <v>0</v>
      </c>
      <c r="G38" s="564">
        <f t="array" aca="1" ref="G38" ca="1">IF($B38="N","",SUM(IF((INDIRECT("'"&amp;$B38&amp;"'!I23:I200")=$A$2)*(INDIRECT("'"&amp;$B38&amp;"'!O23:O200")=$D38)*(INDIRECT("'"&amp;$B38&amp;"'!O23:O200")&lt;&gt;"")*(INDIRECT("'"&amp;$B38&amp;"'!H23:H200")=$G$5),1,0)))</f>
        <v>0</v>
      </c>
      <c r="H38" s="565">
        <f t="array" aca="1" ref="H38" ca="1">IF($B38="N","",SUM(IF((INDIRECT("'"&amp;$B38&amp;"'!I23:I200")=$A$2)*(INDIRECT("'"&amp;$B38&amp;"'!O23:O200")=$D38)*(INDIRECT("'"&amp;$B38&amp;"'!O23:O200")&lt;&gt;"")*(INDIRECT("'"&amp;$B38&amp;"'!H23:H200")=$G$5),INDIRECT("'"&amp;$B38&amp;"'!p23:p200"),0)))</f>
        <v>0</v>
      </c>
      <c r="I38" s="515">
        <f t="shared" ca="1" si="12"/>
        <v>0</v>
      </c>
      <c r="J38" s="513">
        <f t="shared" ref="J38:J59" ca="1" si="13">IF(I38="","",F38+H38)</f>
        <v>0</v>
      </c>
      <c r="K38" s="355"/>
      <c r="L38" s="566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1:59">
      <c r="B39" s="563" t="str">
        <f t="shared" ref="B39:B59" si="14">B38</f>
        <v>Avispa Fukuoka</v>
      </c>
      <c r="D39" s="520">
        <v>-2.25</v>
      </c>
      <c r="E39" s="564">
        <f t="array" aca="1" ref="E39" ca="1">IF($B39="N","",SUM(IF((INDIRECT("'"&amp;$B39&amp;"'!I23:I200")=$A$2)*(INDIRECT("'"&amp;$B39&amp;"'!O23:O200")=$D39)*(INDIRECT("'"&amp;$B39&amp;"'!O23:O200")&lt;&gt;"")*(INDIRECT("'"&amp;$B39&amp;"'!H23:H200")=$E$5),1,0)))</f>
        <v>0</v>
      </c>
      <c r="F39" s="565">
        <f t="array" aca="1" ref="F39" ca="1">IF($B39="N","",SUM(IF((INDIRECT("'"&amp;$B39&amp;"'!I23:I200")=$A$2)*(INDIRECT("'"&amp;$B39&amp;"'!O23:O200")=$D39)*(INDIRECT("'"&amp;$B39&amp;"'!O23:O200")&lt;&gt;"")*(INDIRECT("'"&amp;$B39&amp;"'!H23:H200")=$E$5),INDIRECT("'"&amp;$B39&amp;"'!p23:p200"),0)))</f>
        <v>0</v>
      </c>
      <c r="G39" s="564">
        <f t="array" aca="1" ref="G39" ca="1">IF($B39="N","",SUM(IF((INDIRECT("'"&amp;$B39&amp;"'!I23:I200")=$A$2)*(INDIRECT("'"&amp;$B39&amp;"'!O23:O200")=$D39)*(INDIRECT("'"&amp;$B39&amp;"'!O23:O200")&lt;&gt;"")*(INDIRECT("'"&amp;$B39&amp;"'!H23:H200")=$G$5),1,0)))</f>
        <v>0</v>
      </c>
      <c r="H39" s="565">
        <f t="array" aca="1" ref="H39" ca="1">IF($B39="N","",SUM(IF((INDIRECT("'"&amp;$B39&amp;"'!I23:I200")=$A$2)*(INDIRECT("'"&amp;$B39&amp;"'!O23:O200")=$D39)*(INDIRECT("'"&amp;$B39&amp;"'!O23:O200")&lt;&gt;"")*(INDIRECT("'"&amp;$B39&amp;"'!H23:H200")=$G$5),INDIRECT("'"&amp;$B39&amp;"'!p23:p200"),0)))</f>
        <v>0</v>
      </c>
      <c r="I39" s="515">
        <f t="shared" ca="1" si="12"/>
        <v>0</v>
      </c>
      <c r="J39" s="513">
        <f t="shared" ca="1" si="13"/>
        <v>0</v>
      </c>
      <c r="K39" s="355"/>
      <c r="L39" s="355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1:59">
      <c r="B40" s="563" t="str">
        <f t="shared" si="14"/>
        <v>Avispa Fukuoka</v>
      </c>
      <c r="D40" s="520">
        <v>-2</v>
      </c>
      <c r="E40" s="564">
        <f t="array" aca="1" ref="E40" ca="1">IF($B40="N","",SUM(IF((INDIRECT("'"&amp;$B40&amp;"'!I23:I200")=$A$2)*(INDIRECT("'"&amp;$B40&amp;"'!O23:O200")=$D40)*(INDIRECT("'"&amp;$B40&amp;"'!O23:O200")&lt;&gt;"")*(INDIRECT("'"&amp;$B40&amp;"'!H23:H200")=$E$5),1,0)))</f>
        <v>0</v>
      </c>
      <c r="F40" s="565">
        <f t="array" aca="1" ref="F40" ca="1">IF($B40="N","",SUM(IF((INDIRECT("'"&amp;$B40&amp;"'!I23:I200")=$A$2)*(INDIRECT("'"&amp;$B40&amp;"'!O23:O200")=$D40)*(INDIRECT("'"&amp;$B40&amp;"'!O23:O200")&lt;&gt;"")*(INDIRECT("'"&amp;$B40&amp;"'!H23:H200")=$E$5),INDIRECT("'"&amp;$B40&amp;"'!p23:p200"),0)))</f>
        <v>0</v>
      </c>
      <c r="G40" s="564">
        <f t="array" aca="1" ref="G40" ca="1">IF($B40="N","",SUM(IF((INDIRECT("'"&amp;$B40&amp;"'!I23:I200")=$A$2)*(INDIRECT("'"&amp;$B40&amp;"'!O23:O200")=$D40)*(INDIRECT("'"&amp;$B40&amp;"'!O23:O200")&lt;&gt;"")*(INDIRECT("'"&amp;$B40&amp;"'!H23:H200")=$G$5),1,0)))</f>
        <v>0</v>
      </c>
      <c r="H40" s="565">
        <f t="array" aca="1" ref="H40" ca="1">IF($B40="N","",SUM(IF((INDIRECT("'"&amp;$B40&amp;"'!I23:I200")=$A$2)*(INDIRECT("'"&amp;$B40&amp;"'!O23:O200")=$D40)*(INDIRECT("'"&amp;$B40&amp;"'!O23:O200")&lt;&gt;"")*(INDIRECT("'"&amp;$B40&amp;"'!H23:H200")=$G$5),INDIRECT("'"&amp;$B40&amp;"'!p23:p200"),0)))</f>
        <v>0</v>
      </c>
      <c r="I40" s="515">
        <f t="shared" ca="1" si="12"/>
        <v>0</v>
      </c>
      <c r="J40" s="513">
        <f t="shared" ca="1" si="13"/>
        <v>0</v>
      </c>
      <c r="K40" s="355"/>
      <c r="L40" s="355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1:59">
      <c r="B41" s="563" t="str">
        <f t="shared" si="14"/>
        <v>Avispa Fukuoka</v>
      </c>
      <c r="D41" s="520">
        <v>-1.75</v>
      </c>
      <c r="E41" s="564">
        <f t="array" aca="1" ref="E41" ca="1">IF($B41="N","",SUM(IF((INDIRECT("'"&amp;$B41&amp;"'!I23:I200")=$A$2)*(INDIRECT("'"&amp;$B41&amp;"'!O23:O200")=$D41)*(INDIRECT("'"&amp;$B41&amp;"'!O23:O200")&lt;&gt;"")*(INDIRECT("'"&amp;$B41&amp;"'!H23:H200")=$E$5),1,0)))</f>
        <v>0</v>
      </c>
      <c r="F41" s="565">
        <f t="array" aca="1" ref="F41" ca="1">IF($B41="N","",SUM(IF((INDIRECT("'"&amp;$B41&amp;"'!I23:I200")=$A$2)*(INDIRECT("'"&amp;$B41&amp;"'!O23:O200")=$D41)*(INDIRECT("'"&amp;$B41&amp;"'!O23:O200")&lt;&gt;"")*(INDIRECT("'"&amp;$B41&amp;"'!H23:H200")=$E$5),INDIRECT("'"&amp;$B41&amp;"'!p23:p200"),0)))</f>
        <v>0</v>
      </c>
      <c r="G41" s="564">
        <f t="array" aca="1" ref="G41" ca="1">IF($B41="N","",SUM(IF((INDIRECT("'"&amp;$B41&amp;"'!I23:I200")=$A$2)*(INDIRECT("'"&amp;$B41&amp;"'!O23:O200")=$D41)*(INDIRECT("'"&amp;$B41&amp;"'!O23:O200")&lt;&gt;"")*(INDIRECT("'"&amp;$B41&amp;"'!H23:H200")=$G$5),1,0)))</f>
        <v>0</v>
      </c>
      <c r="H41" s="565">
        <f t="array" aca="1" ref="H41" ca="1">IF($B41="N","",SUM(IF((INDIRECT("'"&amp;$B41&amp;"'!I23:I200")=$A$2)*(INDIRECT("'"&amp;$B41&amp;"'!O23:O200")=$D41)*(INDIRECT("'"&amp;$B41&amp;"'!O23:O200")&lt;&gt;"")*(INDIRECT("'"&amp;$B41&amp;"'!H23:H200")=$G$5),INDIRECT("'"&amp;$B41&amp;"'!p23:p200"),0)))</f>
        <v>0</v>
      </c>
      <c r="I41" s="515">
        <f t="shared" ca="1" si="12"/>
        <v>0</v>
      </c>
      <c r="J41" s="513">
        <f t="shared" ca="1" si="13"/>
        <v>0</v>
      </c>
      <c r="K41" s="355"/>
      <c r="L41" s="355"/>
      <c r="M41" s="355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  <c r="AP41" s="230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1:59">
      <c r="B42" s="563" t="str">
        <f t="shared" si="14"/>
        <v>Avispa Fukuoka</v>
      </c>
      <c r="D42" s="511">
        <v>-1.5</v>
      </c>
      <c r="E42" s="564">
        <f t="array" aca="1" ref="E42" ca="1">IF($B42="N","",SUM(IF((INDIRECT("'"&amp;$B42&amp;"'!I23:I200")=$A$2)*(INDIRECT("'"&amp;$B42&amp;"'!O23:O200")=$D42)*(INDIRECT("'"&amp;$B42&amp;"'!O23:O200")&lt;&gt;"")*(INDIRECT("'"&amp;$B42&amp;"'!H23:H200")=$E$5),1,0)))</f>
        <v>0</v>
      </c>
      <c r="F42" s="565">
        <f t="array" aca="1" ref="F42" ca="1">IF($B42="N","",SUM(IF((INDIRECT("'"&amp;$B42&amp;"'!I23:I200")=$A$2)*(INDIRECT("'"&amp;$B42&amp;"'!O23:O200")=$D42)*(INDIRECT("'"&amp;$B42&amp;"'!O23:O200")&lt;&gt;"")*(INDIRECT("'"&amp;$B42&amp;"'!H23:H200")=$E$5),INDIRECT("'"&amp;$B42&amp;"'!p23:p200"),0)))</f>
        <v>0</v>
      </c>
      <c r="G42" s="564">
        <f t="array" aca="1" ref="G42" ca="1">IF($B42="N","",SUM(IF((INDIRECT("'"&amp;$B42&amp;"'!I23:I200")=$A$2)*(INDIRECT("'"&amp;$B42&amp;"'!O23:O200")=$D42)*(INDIRECT("'"&amp;$B42&amp;"'!O23:O200")&lt;&gt;"")*(INDIRECT("'"&amp;$B42&amp;"'!H23:H200")=$G$5),1,0)))</f>
        <v>0</v>
      </c>
      <c r="H42" s="565">
        <f t="array" aca="1" ref="H42" ca="1">IF($B42="N","",SUM(IF((INDIRECT("'"&amp;$B42&amp;"'!I23:I200")=$A$2)*(INDIRECT("'"&amp;$B42&amp;"'!O23:O200")=$D42)*(INDIRECT("'"&amp;$B42&amp;"'!O23:O200")&lt;&gt;"")*(INDIRECT("'"&amp;$B42&amp;"'!H23:H200")=$G$5),INDIRECT("'"&amp;$B42&amp;"'!p23:p200"),0)))</f>
        <v>0</v>
      </c>
      <c r="I42" s="515">
        <f t="shared" ca="1" si="12"/>
        <v>0</v>
      </c>
      <c r="J42" s="513">
        <f t="shared" ca="1" si="13"/>
        <v>0</v>
      </c>
      <c r="K42" s="355"/>
      <c r="L42" s="355"/>
      <c r="M42" s="355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1:59">
      <c r="B43" s="563" t="str">
        <f t="shared" si="14"/>
        <v>Avispa Fukuoka</v>
      </c>
      <c r="D43" s="511">
        <v>-1.25</v>
      </c>
      <c r="E43" s="564">
        <f t="array" aca="1" ref="E43" ca="1">IF($B43="N","",SUM(IF((INDIRECT("'"&amp;$B43&amp;"'!I23:I200")=$A$2)*(INDIRECT("'"&amp;$B43&amp;"'!O23:O200")=$D43)*(INDIRECT("'"&amp;$B43&amp;"'!O23:O200")&lt;&gt;"")*(INDIRECT("'"&amp;$B43&amp;"'!H23:H200")=$E$5),1,0)))</f>
        <v>1</v>
      </c>
      <c r="F43" s="565">
        <f t="array" aca="1" ref="F43" ca="1">IF($B43="N","",SUM(IF((INDIRECT("'"&amp;$B43&amp;"'!I23:I200")=$A$2)*(INDIRECT("'"&amp;$B43&amp;"'!O23:O200")=$D43)*(INDIRECT("'"&amp;$B43&amp;"'!O23:O200")&lt;&gt;"")*(INDIRECT("'"&amp;$B43&amp;"'!H23:H200")=$E$5),INDIRECT("'"&amp;$B43&amp;"'!p23:p200"),0)))</f>
        <v>1</v>
      </c>
      <c r="G43" s="564">
        <f t="array" aca="1" ref="G43" ca="1">IF($B43="N","",SUM(IF((INDIRECT("'"&amp;$B43&amp;"'!I23:I200")=$A$2)*(INDIRECT("'"&amp;$B43&amp;"'!O23:O200")=$D43)*(INDIRECT("'"&amp;$B43&amp;"'!O23:O200")&lt;&gt;"")*(INDIRECT("'"&amp;$B43&amp;"'!H23:H200")=$G$5),1,0)))</f>
        <v>0</v>
      </c>
      <c r="H43" s="565">
        <f t="array" aca="1" ref="H43" ca="1">IF($B43="N","",SUM(IF((INDIRECT("'"&amp;$B43&amp;"'!I23:I200")=$A$2)*(INDIRECT("'"&amp;$B43&amp;"'!O23:O200")=$D43)*(INDIRECT("'"&amp;$B43&amp;"'!O23:O200")&lt;&gt;"")*(INDIRECT("'"&amp;$B43&amp;"'!H23:H200")=$G$5),INDIRECT("'"&amp;$B43&amp;"'!p23:p200"),0)))</f>
        <v>0</v>
      </c>
      <c r="I43" s="515">
        <f t="shared" ca="1" si="12"/>
        <v>1</v>
      </c>
      <c r="J43" s="513">
        <f t="shared" ca="1" si="13"/>
        <v>1</v>
      </c>
      <c r="K43" s="355"/>
      <c r="L43" s="355"/>
      <c r="M43" s="355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1:59">
      <c r="B44" s="563" t="str">
        <f t="shared" si="14"/>
        <v>Avispa Fukuoka</v>
      </c>
      <c r="D44" s="511">
        <v>-1</v>
      </c>
      <c r="E44" s="564">
        <f t="array" aca="1" ref="E44" ca="1">IF($B44="N","",SUM(IF((INDIRECT("'"&amp;$B44&amp;"'!I23:I200")=$A$2)*(INDIRECT("'"&amp;$B44&amp;"'!O23:O200")=$D44)*(INDIRECT("'"&amp;$B44&amp;"'!O23:O200")&lt;&gt;"")*(INDIRECT("'"&amp;$B44&amp;"'!H23:H200")=$E$5),1,0)))</f>
        <v>2</v>
      </c>
      <c r="F44" s="565">
        <f t="array" aca="1" ref="F44" ca="1">IF($B44="N","",SUM(IF((INDIRECT("'"&amp;$B44&amp;"'!I23:I200")=$A$2)*(INDIRECT("'"&amp;$B44&amp;"'!O23:O200")=$D44)*(INDIRECT("'"&amp;$B44&amp;"'!O23:O200")&lt;&gt;"")*(INDIRECT("'"&amp;$B44&amp;"'!H23:H200")=$E$5),INDIRECT("'"&amp;$B44&amp;"'!p23:p200"),0)))</f>
        <v>-2</v>
      </c>
      <c r="G44" s="564">
        <f t="array" aca="1" ref="G44" ca="1">IF($B44="N","",SUM(IF((INDIRECT("'"&amp;$B44&amp;"'!I23:I200")=$A$2)*(INDIRECT("'"&amp;$B44&amp;"'!O23:O200")=$D44)*(INDIRECT("'"&amp;$B44&amp;"'!O23:O200")&lt;&gt;"")*(INDIRECT("'"&amp;$B44&amp;"'!H23:H200")=$G$5),1,0)))</f>
        <v>0</v>
      </c>
      <c r="H44" s="565">
        <f t="array" aca="1" ref="H44" ca="1">IF($B44="N","",SUM(IF((INDIRECT("'"&amp;$B44&amp;"'!I23:I200")=$A$2)*(INDIRECT("'"&amp;$B44&amp;"'!O23:O200")=$D44)*(INDIRECT("'"&amp;$B44&amp;"'!O23:O200")&lt;&gt;"")*(INDIRECT("'"&amp;$B44&amp;"'!H23:H200")=$G$5),INDIRECT("'"&amp;$B44&amp;"'!p23:p200"),0)))</f>
        <v>0</v>
      </c>
      <c r="I44" s="515">
        <f t="shared" ca="1" si="12"/>
        <v>2</v>
      </c>
      <c r="J44" s="513">
        <f t="shared" ca="1" si="13"/>
        <v>-2</v>
      </c>
      <c r="K44" s="355"/>
      <c r="L44" s="355"/>
      <c r="M44" s="355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1:59">
      <c r="B45" s="563" t="str">
        <f t="shared" si="14"/>
        <v>Avispa Fukuoka</v>
      </c>
      <c r="D45" s="511">
        <v>-0.75</v>
      </c>
      <c r="E45" s="564">
        <f t="array" aca="1" ref="E45" ca="1">IF($B45="N","",SUM(IF((INDIRECT("'"&amp;$B45&amp;"'!I23:I200")=$A$2)*(INDIRECT("'"&amp;$B45&amp;"'!O23:O200")=$D45)*(INDIRECT("'"&amp;$B45&amp;"'!O23:O200")&lt;&gt;"")*(INDIRECT("'"&amp;$B45&amp;"'!H23:H200")=$E$5),1,0)))</f>
        <v>4</v>
      </c>
      <c r="F45" s="565">
        <f t="array" aca="1" ref="F45" ca="1">IF($B45="N","",SUM(IF((INDIRECT("'"&amp;$B45&amp;"'!I23:I200")=$A$2)*(INDIRECT("'"&amp;$B45&amp;"'!O23:O200")=$D45)*(INDIRECT("'"&amp;$B45&amp;"'!O23:O200")&lt;&gt;"")*(INDIRECT("'"&amp;$B45&amp;"'!H23:H200")=$E$5),INDIRECT("'"&amp;$B45&amp;"'!p23:p200"),0)))</f>
        <v>0.5</v>
      </c>
      <c r="G45" s="564">
        <f t="array" aca="1" ref="G45" ca="1">IF($B45="N","",SUM(IF((INDIRECT("'"&amp;$B45&amp;"'!I23:I200")=$A$2)*(INDIRECT("'"&amp;$B45&amp;"'!O23:O200")=$D45)*(INDIRECT("'"&amp;$B45&amp;"'!O23:O200")&lt;&gt;"")*(INDIRECT("'"&amp;$B45&amp;"'!H23:H200")=$G$5),1,0)))</f>
        <v>2</v>
      </c>
      <c r="H45" s="565">
        <f t="array" aca="1" ref="H45" ca="1">IF($B45="N","",SUM(IF((INDIRECT("'"&amp;$B45&amp;"'!I23:I200")=$A$2)*(INDIRECT("'"&amp;$B45&amp;"'!O23:O200")=$D45)*(INDIRECT("'"&amp;$B45&amp;"'!O23:O200")&lt;&gt;"")*(INDIRECT("'"&amp;$B45&amp;"'!H23:H200")=$G$5),INDIRECT("'"&amp;$B45&amp;"'!p23:p200"),0)))</f>
        <v>0</v>
      </c>
      <c r="I45" s="515">
        <f t="shared" ca="1" si="12"/>
        <v>6</v>
      </c>
      <c r="J45" s="513">
        <f t="shared" ca="1" si="13"/>
        <v>0.5</v>
      </c>
      <c r="K45" s="355"/>
      <c r="L45" s="355"/>
      <c r="M45" s="355"/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1:59">
      <c r="B46" s="563" t="str">
        <f t="shared" si="14"/>
        <v>Avispa Fukuoka</v>
      </c>
      <c r="D46" s="511">
        <v>-0.5</v>
      </c>
      <c r="E46" s="564">
        <f t="array" aca="1" ref="E46" ca="1">IF($B46="N","",SUM(IF((INDIRECT("'"&amp;$B46&amp;"'!I23:I200")=$A$2)*(INDIRECT("'"&amp;$B46&amp;"'!O23:O200")=$D46)*(INDIRECT("'"&amp;$B46&amp;"'!O23:O200")&lt;&gt;"")*(INDIRECT("'"&amp;$B46&amp;"'!H23:H200")=$E$5),1,0)))</f>
        <v>5</v>
      </c>
      <c r="F46" s="565">
        <f t="array" aca="1" ref="F46" ca="1">IF($B46="N","",SUM(IF((INDIRECT("'"&amp;$B46&amp;"'!I23:I200")=$A$2)*(INDIRECT("'"&amp;$B46&amp;"'!O23:O200")=$D46)*(INDIRECT("'"&amp;$B46&amp;"'!O23:O200")&lt;&gt;"")*(INDIRECT("'"&amp;$B46&amp;"'!H23:H200")=$E$5),INDIRECT("'"&amp;$B46&amp;"'!p23:p200"),0)))</f>
        <v>-1</v>
      </c>
      <c r="G46" s="564">
        <f t="array" aca="1" ref="G46" ca="1">IF($B46="N","",SUM(IF((INDIRECT("'"&amp;$B46&amp;"'!I23:I200")=$A$2)*(INDIRECT("'"&amp;$B46&amp;"'!O23:O200")=$D46)*(INDIRECT("'"&amp;$B46&amp;"'!O23:O200")&lt;&gt;"")*(INDIRECT("'"&amp;$B46&amp;"'!H23:H200")=$G$5),1,0)))</f>
        <v>4</v>
      </c>
      <c r="H46" s="565">
        <f t="array" aca="1" ref="H46" ca="1">IF($B46="N","",SUM(IF((INDIRECT("'"&amp;$B46&amp;"'!I23:I200")=$A$2)*(INDIRECT("'"&amp;$B46&amp;"'!O23:O200")=$D46)*(INDIRECT("'"&amp;$B46&amp;"'!O23:O200")&lt;&gt;"")*(INDIRECT("'"&amp;$B46&amp;"'!H23:H200")=$G$5),INDIRECT("'"&amp;$B46&amp;"'!p23:p200"),0)))</f>
        <v>0</v>
      </c>
      <c r="I46" s="515">
        <f t="shared" ca="1" si="12"/>
        <v>9</v>
      </c>
      <c r="J46" s="513">
        <f t="shared" ca="1" si="13"/>
        <v>-1</v>
      </c>
      <c r="K46" s="355"/>
      <c r="L46" s="355"/>
      <c r="M46" s="355"/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1:59">
      <c r="B47" s="563" t="str">
        <f t="shared" si="14"/>
        <v>Avispa Fukuoka</v>
      </c>
      <c r="D47" s="511">
        <v>-0.25</v>
      </c>
      <c r="E47" s="564">
        <f t="array" aca="1" ref="E47" ca="1">IF($B47="N","",SUM(IF((INDIRECT("'"&amp;$B47&amp;"'!I23:I200")=$A$2)*(INDIRECT("'"&amp;$B47&amp;"'!O23:O200")=$D47)*(INDIRECT("'"&amp;$B47&amp;"'!O23:O200")&lt;&gt;"")*(INDIRECT("'"&amp;$B47&amp;"'!H23:H200")=$E$5),1,0)))</f>
        <v>9</v>
      </c>
      <c r="F47" s="565">
        <f t="array" aca="1" ref="F47" ca="1">IF($B47="N","",SUM(IF((INDIRECT("'"&amp;$B47&amp;"'!I23:I200")=$A$2)*(INDIRECT("'"&amp;$B47&amp;"'!O23:O200")=$D47)*(INDIRECT("'"&amp;$B47&amp;"'!O23:O200")&lt;&gt;"")*(INDIRECT("'"&amp;$B47&amp;"'!H23:H200")=$E$5),INDIRECT("'"&amp;$B47&amp;"'!p23:p200"),0)))</f>
        <v>-0.5</v>
      </c>
      <c r="G47" s="564">
        <f t="array" aca="1" ref="G47" ca="1">IF($B47="N","",SUM(IF((INDIRECT("'"&amp;$B47&amp;"'!I23:I200")=$A$2)*(INDIRECT("'"&amp;$B47&amp;"'!O23:O200")=$D47)*(INDIRECT("'"&amp;$B47&amp;"'!O23:O200")&lt;&gt;"")*(INDIRECT("'"&amp;$B47&amp;"'!H23:H200")=$G$5),1,0)))</f>
        <v>6</v>
      </c>
      <c r="H47" s="565">
        <f t="array" aca="1" ref="H47" ca="1">IF($B47="N","",SUM(IF((INDIRECT("'"&amp;$B47&amp;"'!I23:I200")=$A$2)*(INDIRECT("'"&amp;$B47&amp;"'!O23:O200")=$D47)*(INDIRECT("'"&amp;$B47&amp;"'!O23:O200")&lt;&gt;"")*(INDIRECT("'"&amp;$B47&amp;"'!H23:H200")=$G$5),INDIRECT("'"&amp;$B47&amp;"'!p23:p200"),0)))</f>
        <v>4.5</v>
      </c>
      <c r="I47" s="515">
        <f t="shared" ca="1" si="12"/>
        <v>15</v>
      </c>
      <c r="J47" s="513">
        <f t="shared" ca="1" si="13"/>
        <v>4</v>
      </c>
      <c r="K47" s="355"/>
      <c r="L47" s="355"/>
      <c r="M47" s="355"/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1:59">
      <c r="B48" s="563" t="str">
        <f t="shared" si="14"/>
        <v>Avispa Fukuoka</v>
      </c>
      <c r="D48" s="511">
        <v>0</v>
      </c>
      <c r="E48" s="564">
        <f t="array" aca="1" ref="E48" ca="1">IF($B48="N","",SUM(IF((INDIRECT("'"&amp;$B48&amp;"'!I23:I200")=$A$2)*(INDIRECT("'"&amp;$B48&amp;"'!O23:O200")=$D48)*(INDIRECT("'"&amp;$B48&amp;"'!O23:O200")&lt;&gt;"")*(INDIRECT("'"&amp;$B48&amp;"'!H23:H200")=$E$5),1,0)))</f>
        <v>0</v>
      </c>
      <c r="F48" s="565">
        <f t="array" aca="1" ref="F48" ca="1">IF($B48="N","",SUM(IF((INDIRECT("'"&amp;$B48&amp;"'!I23:I200")=$A$2)*(INDIRECT("'"&amp;$B48&amp;"'!O23:O200")=$D48)*(INDIRECT("'"&amp;$B48&amp;"'!O23:O200")&lt;&gt;"")*(INDIRECT("'"&amp;$B48&amp;"'!H23:H200")=$E$5),INDIRECT("'"&amp;$B48&amp;"'!p23:p200"),0)))</f>
        <v>0</v>
      </c>
      <c r="G48" s="564">
        <f t="array" aca="1" ref="G48" ca="1">IF($B48="N","",SUM(IF((INDIRECT("'"&amp;$B48&amp;"'!I23:I200")=$A$2)*(INDIRECT("'"&amp;$B48&amp;"'!O23:O200")=$D48)*(INDIRECT("'"&amp;$B48&amp;"'!O23:O200")&lt;&gt;"")*(INDIRECT("'"&amp;$B48&amp;"'!H23:H200")=$G$5),1,0)))</f>
        <v>6</v>
      </c>
      <c r="H48" s="565">
        <f t="array" aca="1" ref="H48" ca="1">IF($B48="N","",SUM(IF((INDIRECT("'"&amp;$B48&amp;"'!I23:I200")=$A$2)*(INDIRECT("'"&amp;$B48&amp;"'!O23:O200")=$D48)*(INDIRECT("'"&amp;$B48&amp;"'!O23:O200")&lt;&gt;"")*(INDIRECT("'"&amp;$B48&amp;"'!H23:H200")=$G$5),INDIRECT("'"&amp;$B48&amp;"'!p23:p200"),0)))</f>
        <v>0</v>
      </c>
      <c r="I48" s="515">
        <f t="shared" ca="1" si="12"/>
        <v>6</v>
      </c>
      <c r="J48" s="513">
        <f t="shared" ca="1" si="13"/>
        <v>0</v>
      </c>
      <c r="K48" s="355"/>
      <c r="L48" s="355"/>
      <c r="M48" s="355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1:59">
      <c r="B49" s="563" t="str">
        <f t="shared" si="14"/>
        <v>Avispa Fukuoka</v>
      </c>
      <c r="D49" s="511">
        <v>0.25</v>
      </c>
      <c r="E49" s="564">
        <f t="array" aca="1" ref="E49" ca="1">IF($B49="N","",SUM(IF((INDIRECT("'"&amp;$B49&amp;"'!I23:I200")=$A$2)*(INDIRECT("'"&amp;$B49&amp;"'!O23:O200")=$D49)*(INDIRECT("'"&amp;$B49&amp;"'!O23:O200")&lt;&gt;"")*(INDIRECT("'"&amp;$B49&amp;"'!H23:H200")=$E$5),1,0)))</f>
        <v>0</v>
      </c>
      <c r="F49" s="565">
        <f t="array" aca="1" ref="F49" ca="1">IF($B49="N","",SUM(IF((INDIRECT("'"&amp;$B49&amp;"'!I23:I200")=$A$2)*(INDIRECT("'"&amp;$B49&amp;"'!O23:O200")=$D49)*(INDIRECT("'"&amp;$B49&amp;"'!O23:O200")&lt;&gt;"")*(INDIRECT("'"&amp;$B49&amp;"'!H23:H200")=$E$5),INDIRECT("'"&amp;$B49&amp;"'!p23:p200"),0)))</f>
        <v>0</v>
      </c>
      <c r="G49" s="564">
        <f t="array" aca="1" ref="G49" ca="1">IF($B49="N","",SUM(IF((INDIRECT("'"&amp;$B49&amp;"'!I23:I200")=$A$2)*(INDIRECT("'"&amp;$B49&amp;"'!O23:O200")=$D49)*(INDIRECT("'"&amp;$B49&amp;"'!O23:O200")&lt;&gt;"")*(INDIRECT("'"&amp;$B49&amp;"'!H23:H200")=$G$5),1,0)))</f>
        <v>3</v>
      </c>
      <c r="H49" s="565">
        <f t="array" aca="1" ref="H49" ca="1">IF($B49="N","",SUM(IF((INDIRECT("'"&amp;$B49&amp;"'!I23:I200")=$A$2)*(INDIRECT("'"&amp;$B49&amp;"'!O23:O200")=$D49)*(INDIRECT("'"&amp;$B49&amp;"'!O23:O200")&lt;&gt;"")*(INDIRECT("'"&amp;$B49&amp;"'!H23:H200")=$G$5),INDIRECT("'"&amp;$B49&amp;"'!p23:p200"),0)))</f>
        <v>1</v>
      </c>
      <c r="I49" s="515">
        <f t="shared" ca="1" si="12"/>
        <v>3</v>
      </c>
      <c r="J49" s="513">
        <f t="shared" ca="1" si="13"/>
        <v>1</v>
      </c>
      <c r="K49" s="355"/>
      <c r="L49" s="355"/>
      <c r="M49" s="355"/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1:59">
      <c r="B50" s="563" t="str">
        <f t="shared" si="14"/>
        <v>Avispa Fukuoka</v>
      </c>
      <c r="D50" s="511">
        <v>0.5</v>
      </c>
      <c r="E50" s="564">
        <f t="array" aca="1" ref="E50" ca="1">IF($B50="N","",SUM(IF((INDIRECT("'"&amp;$B50&amp;"'!I23:I200")=$A$2)*(INDIRECT("'"&amp;$B50&amp;"'!O23:O200")=$D50)*(INDIRECT("'"&amp;$B50&amp;"'!O23:O200")&lt;&gt;"")*(INDIRECT("'"&amp;$B50&amp;"'!H23:H200")=$E$5),1,0)))</f>
        <v>0</v>
      </c>
      <c r="F50" s="565">
        <f t="array" aca="1" ref="F50" ca="1">IF($B50="N","",SUM(IF((INDIRECT("'"&amp;$B50&amp;"'!I23:I200")=$A$2)*(INDIRECT("'"&amp;$B50&amp;"'!O23:O200")=$D50)*(INDIRECT("'"&amp;$B50&amp;"'!O23:O200")&lt;&gt;"")*(INDIRECT("'"&amp;$B50&amp;"'!H23:H200")=$E$5),INDIRECT("'"&amp;$B50&amp;"'!p23:p200"),0)))</f>
        <v>0</v>
      </c>
      <c r="G50" s="564">
        <f t="array" aca="1" ref="G50" ca="1">IF($B50="N","",SUM(IF((INDIRECT("'"&amp;$B50&amp;"'!I23:I200")=$A$2)*(INDIRECT("'"&amp;$B50&amp;"'!O23:O200")=$D50)*(INDIRECT("'"&amp;$B50&amp;"'!O23:O200")&lt;&gt;"")*(INDIRECT("'"&amp;$B50&amp;"'!H23:H200")=$G$5),1,0)))</f>
        <v>0</v>
      </c>
      <c r="H50" s="565">
        <f t="array" aca="1" ref="H50" ca="1">IF($B50="N","",SUM(IF((INDIRECT("'"&amp;$B50&amp;"'!I23:I200")=$A$2)*(INDIRECT("'"&amp;$B50&amp;"'!O23:O200")=$D50)*(INDIRECT("'"&amp;$B50&amp;"'!O23:O200")&lt;&gt;"")*(INDIRECT("'"&amp;$B50&amp;"'!H23:H200")=$G$5),INDIRECT("'"&amp;$B50&amp;"'!p23:p200"),0)))</f>
        <v>0</v>
      </c>
      <c r="I50" s="515">
        <f t="shared" ca="1" si="12"/>
        <v>0</v>
      </c>
      <c r="J50" s="513">
        <f t="shared" ca="1" si="13"/>
        <v>0</v>
      </c>
      <c r="K50" s="355"/>
      <c r="L50" s="355"/>
      <c r="M50" s="355"/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1:59">
      <c r="B51" s="563" t="str">
        <f t="shared" si="14"/>
        <v>Avispa Fukuoka</v>
      </c>
      <c r="D51" s="511">
        <v>0.75</v>
      </c>
      <c r="E51" s="564">
        <f t="array" aca="1" ref="E51" ca="1">IF($B51="N","",SUM(IF((INDIRECT("'"&amp;$B51&amp;"'!I23:I200")=$A$2)*(INDIRECT("'"&amp;$B51&amp;"'!O23:O200")=$D51)*(INDIRECT("'"&amp;$B51&amp;"'!O23:O200")&lt;&gt;"")*(INDIRECT("'"&amp;$B51&amp;"'!H23:H200")=$E$5),1,0)))</f>
        <v>0</v>
      </c>
      <c r="F51" s="565">
        <f t="array" aca="1" ref="F51" ca="1">IF($B51="N","",SUM(IF((INDIRECT("'"&amp;$B51&amp;"'!I23:I200")=$A$2)*(INDIRECT("'"&amp;$B51&amp;"'!O23:O200")=$D51)*(INDIRECT("'"&amp;$B51&amp;"'!O23:O200")&lt;&gt;"")*(INDIRECT("'"&amp;$B51&amp;"'!H23:H200")=$E$5),INDIRECT("'"&amp;$B51&amp;"'!p23:p200"),0)))</f>
        <v>0</v>
      </c>
      <c r="G51" s="564">
        <f t="array" aca="1" ref="G51" ca="1">IF($B51="N","",SUM(IF((INDIRECT("'"&amp;$B51&amp;"'!I23:I200")=$A$2)*(INDIRECT("'"&amp;$B51&amp;"'!O23:O200")=$D51)*(INDIRECT("'"&amp;$B51&amp;"'!O23:O200")&lt;&gt;"")*(INDIRECT("'"&amp;$B51&amp;"'!H23:H200")=$G$5),1,0)))</f>
        <v>0</v>
      </c>
      <c r="H51" s="565">
        <f t="array" aca="1" ref="H51" ca="1">IF($B51="N","",SUM(IF((INDIRECT("'"&amp;$B51&amp;"'!I23:I200")=$A$2)*(INDIRECT("'"&amp;$B51&amp;"'!O23:O200")=$D51)*(INDIRECT("'"&amp;$B51&amp;"'!O23:O200")&lt;&gt;"")*(INDIRECT("'"&amp;$B51&amp;"'!H23:H200")=$G$5),INDIRECT("'"&amp;$B51&amp;"'!p23:p200"),0)))</f>
        <v>0</v>
      </c>
      <c r="I51" s="515">
        <f t="shared" ca="1" si="12"/>
        <v>0</v>
      </c>
      <c r="J51" s="513">
        <f t="shared" ca="1" si="13"/>
        <v>0</v>
      </c>
      <c r="K51" s="355"/>
      <c r="L51" s="355"/>
      <c r="M51" s="355"/>
      <c r="X51" s="230"/>
      <c r="Y51" s="230"/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1:59">
      <c r="B52" s="563" t="str">
        <f t="shared" si="14"/>
        <v>Avispa Fukuoka</v>
      </c>
      <c r="D52" s="511">
        <v>1</v>
      </c>
      <c r="E52" s="564">
        <f t="array" aca="1" ref="E52" ca="1">IF($B52="N","",SUM(IF((INDIRECT("'"&amp;$B52&amp;"'!I23:I200")=$A$2)*(INDIRECT("'"&amp;$B52&amp;"'!O23:O200")=$D52)*(INDIRECT("'"&amp;$B52&amp;"'!O23:O200")&lt;&gt;"")*(INDIRECT("'"&amp;$B52&amp;"'!H23:H200")=$E$5),1,0)))</f>
        <v>0</v>
      </c>
      <c r="F52" s="565">
        <f t="array" aca="1" ref="F52" ca="1">IF($B52="N","",SUM(IF((INDIRECT("'"&amp;$B52&amp;"'!I23:I200")=$A$2)*(INDIRECT("'"&amp;$B52&amp;"'!O23:O200")=$D52)*(INDIRECT("'"&amp;$B52&amp;"'!O23:O200")&lt;&gt;"")*(INDIRECT("'"&amp;$B52&amp;"'!H23:H200")=$E$5),INDIRECT("'"&amp;$B52&amp;"'!p23:p200"),0)))</f>
        <v>0</v>
      </c>
      <c r="G52" s="564">
        <f t="array" aca="1" ref="G52" ca="1">IF($B52="N","",SUM(IF((INDIRECT("'"&amp;$B52&amp;"'!I23:I200")=$A$2)*(INDIRECT("'"&amp;$B52&amp;"'!O23:O200")=$D52)*(INDIRECT("'"&amp;$B52&amp;"'!O23:O200")&lt;&gt;"")*(INDIRECT("'"&amp;$B52&amp;"'!H23:H200")=$G$5),1,0)))</f>
        <v>0</v>
      </c>
      <c r="H52" s="565">
        <f t="array" aca="1" ref="H52" ca="1">IF($B52="N","",SUM(IF((INDIRECT("'"&amp;$B52&amp;"'!I23:I200")=$A$2)*(INDIRECT("'"&amp;$B52&amp;"'!O23:O200")=$D52)*(INDIRECT("'"&amp;$B52&amp;"'!O23:O200")&lt;&gt;"")*(INDIRECT("'"&amp;$B52&amp;"'!H23:H200")=$G$5),INDIRECT("'"&amp;$B52&amp;"'!p23:p200"),0)))</f>
        <v>0</v>
      </c>
      <c r="I52" s="515">
        <f t="shared" ca="1" si="12"/>
        <v>0</v>
      </c>
      <c r="J52" s="513">
        <f t="shared" ca="1" si="13"/>
        <v>0</v>
      </c>
      <c r="K52" s="355"/>
      <c r="L52" s="355"/>
      <c r="M52" s="355"/>
      <c r="X52" s="230"/>
      <c r="Y52" s="230"/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1:59">
      <c r="B53" s="563" t="str">
        <f t="shared" si="14"/>
        <v>Avispa Fukuoka</v>
      </c>
      <c r="D53" s="511">
        <v>1.25</v>
      </c>
      <c r="E53" s="564">
        <f t="array" aca="1" ref="E53" ca="1">IF($B53="N","",SUM(IF((INDIRECT("'"&amp;$B53&amp;"'!I23:I200")=$A$2)*(INDIRECT("'"&amp;$B53&amp;"'!O23:O200")=$D53)*(INDIRECT("'"&amp;$B53&amp;"'!O23:O200")&lt;&gt;"")*(INDIRECT("'"&amp;$B53&amp;"'!H23:H200")=$E$5),1,0)))</f>
        <v>0</v>
      </c>
      <c r="F53" s="565">
        <f t="array" aca="1" ref="F53" ca="1">IF($B53="N","",SUM(IF((INDIRECT("'"&amp;$B53&amp;"'!I23:I200")=$A$2)*(INDIRECT("'"&amp;$B53&amp;"'!O23:O200")=$D53)*(INDIRECT("'"&amp;$B53&amp;"'!O23:O200")&lt;&gt;"")*(INDIRECT("'"&amp;$B53&amp;"'!H23:H200")=$E$5),INDIRECT("'"&amp;$B53&amp;"'!p23:p200"),0)))</f>
        <v>0</v>
      </c>
      <c r="G53" s="564">
        <f t="array" aca="1" ref="G53" ca="1">IF($B53="N","",SUM(IF((INDIRECT("'"&amp;$B53&amp;"'!I23:I200")=$A$2)*(INDIRECT("'"&amp;$B53&amp;"'!O23:O200")=$D53)*(INDIRECT("'"&amp;$B53&amp;"'!O23:O200")&lt;&gt;"")*(INDIRECT("'"&amp;$B53&amp;"'!H23:H200")=$G$5),1,0)))</f>
        <v>0</v>
      </c>
      <c r="H53" s="565">
        <f t="array" aca="1" ref="H53" ca="1">IF($B53="N","",SUM(IF((INDIRECT("'"&amp;$B53&amp;"'!I23:I200")=$A$2)*(INDIRECT("'"&amp;$B53&amp;"'!O23:O200")=$D53)*(INDIRECT("'"&amp;$B53&amp;"'!O23:O200")&lt;&gt;"")*(INDIRECT("'"&amp;$B53&amp;"'!H23:H200")=$G$5),INDIRECT("'"&amp;$B53&amp;"'!p23:p200"),0)))</f>
        <v>0</v>
      </c>
      <c r="I53" s="515">
        <f t="shared" ca="1" si="12"/>
        <v>0</v>
      </c>
      <c r="J53" s="513">
        <f t="shared" ca="1" si="13"/>
        <v>0</v>
      </c>
      <c r="K53" s="355"/>
      <c r="L53" s="355"/>
      <c r="M53" s="355"/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1:59">
      <c r="B54" s="563" t="str">
        <f t="shared" si="14"/>
        <v>Avispa Fukuoka</v>
      </c>
      <c r="D54" s="511">
        <v>1.5</v>
      </c>
      <c r="E54" s="564">
        <f t="array" aca="1" ref="E54" ca="1">IF($B54="N","",SUM(IF((INDIRECT("'"&amp;$B54&amp;"'!I23:I200")=$A$2)*(INDIRECT("'"&amp;$B54&amp;"'!O23:O200")=$D54)*(INDIRECT("'"&amp;$B54&amp;"'!O23:O200")&lt;&gt;"")*(INDIRECT("'"&amp;$B54&amp;"'!H23:H200")=$E$5),1,0)))</f>
        <v>0</v>
      </c>
      <c r="F54" s="565">
        <f t="array" aca="1" ref="F54" ca="1">IF($B54="N","",SUM(IF((INDIRECT("'"&amp;$B54&amp;"'!I23:I200")=$A$2)*(INDIRECT("'"&amp;$B54&amp;"'!O23:O200")=$D54)*(INDIRECT("'"&amp;$B54&amp;"'!O23:O200")&lt;&gt;"")*(INDIRECT("'"&amp;$B54&amp;"'!H23:H200")=$E$5),INDIRECT("'"&amp;$B54&amp;"'!p23:p200"),0)))</f>
        <v>0</v>
      </c>
      <c r="G54" s="564">
        <f t="array" aca="1" ref="G54" ca="1">IF($B54="N","",SUM(IF((INDIRECT("'"&amp;$B54&amp;"'!I23:I200")=$A$2)*(INDIRECT("'"&amp;$B54&amp;"'!O23:O200")=$D54)*(INDIRECT("'"&amp;$B54&amp;"'!O23:O200")&lt;&gt;"")*(INDIRECT("'"&amp;$B54&amp;"'!H23:H200")=$G$5),1,0)))</f>
        <v>0</v>
      </c>
      <c r="H54" s="565">
        <f t="array" aca="1" ref="H54" ca="1">IF($B54="N","",SUM(IF((INDIRECT("'"&amp;$B54&amp;"'!I23:I200")=$A$2)*(INDIRECT("'"&amp;$B54&amp;"'!O23:O200")=$D54)*(INDIRECT("'"&amp;$B54&amp;"'!O23:O200")&lt;&gt;"")*(INDIRECT("'"&amp;$B54&amp;"'!H23:H200")=$G$5),INDIRECT("'"&amp;$B54&amp;"'!p23:p200"),0)))</f>
        <v>0</v>
      </c>
      <c r="I54" s="515">
        <f t="shared" ca="1" si="12"/>
        <v>0</v>
      </c>
      <c r="J54" s="513">
        <f t="shared" ca="1" si="13"/>
        <v>0</v>
      </c>
      <c r="K54" s="355"/>
      <c r="L54" s="355"/>
      <c r="M54" s="355"/>
      <c r="X54" s="230"/>
      <c r="Y54" s="230"/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1:59">
      <c r="B55" s="563" t="str">
        <f t="shared" si="14"/>
        <v>Avispa Fukuoka</v>
      </c>
      <c r="D55" s="528">
        <v>1.75</v>
      </c>
      <c r="E55" s="564">
        <f t="array" aca="1" ref="E55" ca="1">IF($B55="N","",SUM(IF((INDIRECT("'"&amp;$B55&amp;"'!I23:I200")=$A$2)*(INDIRECT("'"&amp;$B55&amp;"'!O23:O200")=$D55)*(INDIRECT("'"&amp;$B55&amp;"'!O23:O200")&lt;&gt;"")*(INDIRECT("'"&amp;$B55&amp;"'!H23:H200")=$E$5),1,0)))</f>
        <v>0</v>
      </c>
      <c r="F55" s="565">
        <f t="array" aca="1" ref="F55" ca="1">IF($B55="N","",SUM(IF((INDIRECT("'"&amp;$B55&amp;"'!I23:I200")=$A$2)*(INDIRECT("'"&amp;$B55&amp;"'!O23:O200")=$D55)*(INDIRECT("'"&amp;$B55&amp;"'!O23:O200")&lt;&gt;"")*(INDIRECT("'"&amp;$B55&amp;"'!H23:H200")=$E$5),INDIRECT("'"&amp;$B55&amp;"'!p23:p200"),0)))</f>
        <v>0</v>
      </c>
      <c r="G55" s="564">
        <f t="array" aca="1" ref="G55" ca="1">IF($B55="N","",SUM(IF((INDIRECT("'"&amp;$B55&amp;"'!I23:I200")=$A$2)*(INDIRECT("'"&amp;$B55&amp;"'!O23:O200")=$D55)*(INDIRECT("'"&amp;$B55&amp;"'!O23:O200")&lt;&gt;"")*(INDIRECT("'"&amp;$B55&amp;"'!H23:H200")=$G$5),1,0)))</f>
        <v>0</v>
      </c>
      <c r="H55" s="565">
        <f t="array" aca="1" ref="H55" ca="1">IF($B55="N","",SUM(IF((INDIRECT("'"&amp;$B55&amp;"'!I23:I200")=$A$2)*(INDIRECT("'"&amp;$B55&amp;"'!O23:O200")=$D55)*(INDIRECT("'"&amp;$B55&amp;"'!O23:O200")&lt;&gt;"")*(INDIRECT("'"&amp;$B55&amp;"'!H23:H200")=$G$5),INDIRECT("'"&amp;$B55&amp;"'!p23:p200"),0)))</f>
        <v>0</v>
      </c>
      <c r="I55" s="515">
        <f t="shared" ca="1" si="12"/>
        <v>0</v>
      </c>
      <c r="J55" s="513">
        <f t="shared" ca="1" si="13"/>
        <v>0</v>
      </c>
      <c r="K55" s="355"/>
      <c r="L55" s="355"/>
      <c r="M55" s="355"/>
      <c r="X55" s="230"/>
      <c r="Y55" s="230"/>
      <c r="Z55" s="230"/>
      <c r="AA55" s="230"/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1:59">
      <c r="B56" s="563" t="str">
        <f t="shared" si="14"/>
        <v>Avispa Fukuoka</v>
      </c>
      <c r="D56" s="528">
        <v>2</v>
      </c>
      <c r="E56" s="564">
        <f t="array" aca="1" ref="E56" ca="1">IF($B56="N","",SUM(IF((INDIRECT("'"&amp;$B56&amp;"'!I23:I200")=$A$2)*(INDIRECT("'"&amp;$B56&amp;"'!O23:O200")=$D56)*(INDIRECT("'"&amp;$B56&amp;"'!O23:O200")&lt;&gt;"")*(INDIRECT("'"&amp;$B56&amp;"'!H23:H200")=$E$5),1,0)))</f>
        <v>0</v>
      </c>
      <c r="F56" s="565">
        <f t="array" aca="1" ref="F56" ca="1">IF($B56="N","",SUM(IF((INDIRECT("'"&amp;$B56&amp;"'!I23:I200")=$A$2)*(INDIRECT("'"&amp;$B56&amp;"'!O23:O200")=$D56)*(INDIRECT("'"&amp;$B56&amp;"'!O23:O200")&lt;&gt;"")*(INDIRECT("'"&amp;$B56&amp;"'!H23:H200")=$E$5),INDIRECT("'"&amp;$B56&amp;"'!p23:p200"),0)))</f>
        <v>0</v>
      </c>
      <c r="G56" s="564">
        <f t="array" aca="1" ref="G56" ca="1">IF($B56="N","",SUM(IF((INDIRECT("'"&amp;$B56&amp;"'!I23:I200")=$A$2)*(INDIRECT("'"&amp;$B56&amp;"'!O23:O200")=$D56)*(INDIRECT("'"&amp;$B56&amp;"'!O23:O200")&lt;&gt;"")*(INDIRECT("'"&amp;$B56&amp;"'!H23:H200")=$G$5),1,0)))</f>
        <v>0</v>
      </c>
      <c r="H56" s="565">
        <f t="array" aca="1" ref="H56" ca="1">IF($B56="N","",SUM(IF((INDIRECT("'"&amp;$B56&amp;"'!I23:I200")=$A$2)*(INDIRECT("'"&amp;$B56&amp;"'!O23:O200")=$D56)*(INDIRECT("'"&amp;$B56&amp;"'!O23:O200")&lt;&gt;"")*(INDIRECT("'"&amp;$B56&amp;"'!H23:H200")=$G$5),INDIRECT("'"&amp;$B56&amp;"'!p23:p200"),0)))</f>
        <v>0</v>
      </c>
      <c r="I56" s="515">
        <f t="shared" ca="1" si="12"/>
        <v>0</v>
      </c>
      <c r="J56" s="513">
        <f t="shared" ca="1" si="13"/>
        <v>0</v>
      </c>
      <c r="K56" s="355"/>
      <c r="L56" s="355"/>
      <c r="M56" s="355"/>
      <c r="X56" s="230"/>
      <c r="Y56" s="230"/>
      <c r="Z56" s="230"/>
      <c r="AA56" s="230"/>
      <c r="AB56" s="230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1:59">
      <c r="B57" s="563" t="str">
        <f t="shared" si="14"/>
        <v>Avispa Fukuoka</v>
      </c>
      <c r="D57" s="528">
        <v>2.25</v>
      </c>
      <c r="E57" s="564">
        <f t="array" aca="1" ref="E57" ca="1">IF($B57="N","",SUM(IF((INDIRECT("'"&amp;$B57&amp;"'!I23:I200")=$A$2)*(INDIRECT("'"&amp;$B57&amp;"'!O23:O200")=$D57)*(INDIRECT("'"&amp;$B57&amp;"'!O23:O200")&lt;&gt;"")*(INDIRECT("'"&amp;$B57&amp;"'!H23:H200")=$E$5),1,0)))</f>
        <v>0</v>
      </c>
      <c r="F57" s="565">
        <f t="array" aca="1" ref="F57" ca="1">IF($B57="N","",SUM(IF((INDIRECT("'"&amp;$B57&amp;"'!I23:I200")=$A$2)*(INDIRECT("'"&amp;$B57&amp;"'!O23:O200")=$D57)*(INDIRECT("'"&amp;$B57&amp;"'!O23:O200")&lt;&gt;"")*(INDIRECT("'"&amp;$B57&amp;"'!H23:H200")=$E$5),INDIRECT("'"&amp;$B57&amp;"'!p23:p200"),0)))</f>
        <v>0</v>
      </c>
      <c r="G57" s="564">
        <f t="array" aca="1" ref="G57" ca="1">IF($B57="N","",SUM(IF((INDIRECT("'"&amp;$B57&amp;"'!I23:I200")=$A$2)*(INDIRECT("'"&amp;$B57&amp;"'!O23:O200")=$D57)*(INDIRECT("'"&amp;$B57&amp;"'!O23:O200")&lt;&gt;"")*(INDIRECT("'"&amp;$B57&amp;"'!H23:H200")=$G$5),1,0)))</f>
        <v>0</v>
      </c>
      <c r="H57" s="565">
        <f t="array" aca="1" ref="H57" ca="1">IF($B57="N","",SUM(IF((INDIRECT("'"&amp;$B57&amp;"'!I23:I200")=$A$2)*(INDIRECT("'"&amp;$B57&amp;"'!O23:O200")=$D57)*(INDIRECT("'"&amp;$B57&amp;"'!O23:O200")&lt;&gt;"")*(INDIRECT("'"&amp;$B57&amp;"'!H23:H200")=$G$5),INDIRECT("'"&amp;$B57&amp;"'!p23:p200"),0)))</f>
        <v>0</v>
      </c>
      <c r="I57" s="515">
        <f t="shared" ca="1" si="12"/>
        <v>0</v>
      </c>
      <c r="J57" s="513">
        <f t="shared" ca="1" si="13"/>
        <v>0</v>
      </c>
      <c r="K57" s="355"/>
      <c r="L57" s="355"/>
      <c r="M57" s="355"/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1:59">
      <c r="B58" s="563" t="str">
        <f t="shared" si="14"/>
        <v>Avispa Fukuoka</v>
      </c>
      <c r="D58" s="528">
        <v>2.5</v>
      </c>
      <c r="E58" s="564">
        <f t="array" aca="1" ref="E58" ca="1">IF($B58="N","",SUM(IF((INDIRECT("'"&amp;$B58&amp;"'!I23:I200")=$A$2)*(INDIRECT("'"&amp;$B58&amp;"'!O23:O200")=$D58)*(INDIRECT("'"&amp;$B58&amp;"'!O23:O200")&lt;&gt;"")*(INDIRECT("'"&amp;$B58&amp;"'!H23:H200")=$E$5),1,0)))</f>
        <v>0</v>
      </c>
      <c r="F58" s="565">
        <f t="array" aca="1" ref="F58" ca="1">IF($B58="N","",SUM(IF((INDIRECT("'"&amp;$B58&amp;"'!I23:I200")=$A$2)*(INDIRECT("'"&amp;$B58&amp;"'!O23:O200")=$D58)*(INDIRECT("'"&amp;$B58&amp;"'!O23:O200")&lt;&gt;"")*(INDIRECT("'"&amp;$B58&amp;"'!H23:H200")=$E$5),INDIRECT("'"&amp;$B58&amp;"'!p23:p200"),0)))</f>
        <v>0</v>
      </c>
      <c r="G58" s="564">
        <f t="array" aca="1" ref="G58" ca="1">IF($B58="N","",SUM(IF((INDIRECT("'"&amp;$B58&amp;"'!I23:I200")=$A$2)*(INDIRECT("'"&amp;$B58&amp;"'!O23:O200")=$D58)*(INDIRECT("'"&amp;$B58&amp;"'!O23:O200")&lt;&gt;"")*(INDIRECT("'"&amp;$B58&amp;"'!H23:H200")=$G$5),1,0)))</f>
        <v>0</v>
      </c>
      <c r="H58" s="565">
        <f t="array" aca="1" ref="H58" ca="1">IF($B58="N","",SUM(IF((INDIRECT("'"&amp;$B58&amp;"'!I23:I200")=$A$2)*(INDIRECT("'"&amp;$B58&amp;"'!O23:O200")=$D58)*(INDIRECT("'"&amp;$B58&amp;"'!O23:O200")&lt;&gt;"")*(INDIRECT("'"&amp;$B58&amp;"'!H23:H200")=$G$5),INDIRECT("'"&amp;$B58&amp;"'!p23:p200"),0)))</f>
        <v>0</v>
      </c>
      <c r="I58" s="515">
        <f t="shared" ca="1" si="12"/>
        <v>0</v>
      </c>
      <c r="J58" s="513">
        <f t="shared" ca="1" si="13"/>
        <v>0</v>
      </c>
      <c r="K58" s="355"/>
      <c r="L58" s="355"/>
      <c r="M58" s="355"/>
      <c r="X58" s="230"/>
      <c r="Y58" s="230"/>
      <c r="Z58" s="230"/>
      <c r="AA58" s="230"/>
      <c r="AB58" s="230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1:59" ht="15" thickBot="1">
      <c r="B59" s="563" t="str">
        <f t="shared" si="14"/>
        <v>Avispa Fukuoka</v>
      </c>
      <c r="D59" s="511">
        <v>2.75</v>
      </c>
      <c r="E59" s="564">
        <f t="array" aca="1" ref="E59" ca="1">IF($B59="N","",SUM(IF((INDIRECT("'"&amp;$B59&amp;"'!I23:I200")=$A$2)*(INDIRECT("'"&amp;$B59&amp;"'!O23:O200")=$D59)*(INDIRECT("'"&amp;$B59&amp;"'!O23:O200")&lt;&gt;"")*(INDIRECT("'"&amp;$B59&amp;"'!H23:H200")=$E$5),1,0)))</f>
        <v>0</v>
      </c>
      <c r="F59" s="565">
        <f t="array" aca="1" ref="F59" ca="1">IF($B59="N","",SUM(IF((INDIRECT("'"&amp;$B59&amp;"'!I23:I200")=$A$2)*(INDIRECT("'"&amp;$B59&amp;"'!O23:O200")=$D59)*(INDIRECT("'"&amp;$B59&amp;"'!O23:O200")&lt;&gt;"")*(INDIRECT("'"&amp;$B59&amp;"'!H23:H200")=$E$5),INDIRECT("'"&amp;$B59&amp;"'!p23:p200"),0)))</f>
        <v>0</v>
      </c>
      <c r="G59" s="564">
        <f t="array" aca="1" ref="G59" ca="1">IF($B59="N","",SUM(IF((INDIRECT("'"&amp;$B59&amp;"'!I23:I200")=$A$2)*(INDIRECT("'"&amp;$B59&amp;"'!O23:O200")=$D59)*(INDIRECT("'"&amp;$B59&amp;"'!O23:O200")&lt;&gt;"")*(INDIRECT("'"&amp;$B59&amp;"'!H23:H200")=$G$5),1,0)))</f>
        <v>0</v>
      </c>
      <c r="H59" s="565">
        <f t="array" aca="1" ref="H59" ca="1">IF($B59="N","",SUM(IF((INDIRECT("'"&amp;$B59&amp;"'!I23:I200")=$A$2)*(INDIRECT("'"&amp;$B59&amp;"'!O23:O200")=$D59)*(INDIRECT("'"&amp;$B59&amp;"'!O23:O200")&lt;&gt;"")*(INDIRECT("'"&amp;$B59&amp;"'!H23:H200")=$G$5),INDIRECT("'"&amp;$B59&amp;"'!p23:p200"),0)))</f>
        <v>0</v>
      </c>
      <c r="I59" s="515">
        <f t="shared" ca="1" si="12"/>
        <v>0</v>
      </c>
      <c r="J59" s="513">
        <f t="shared" ca="1" si="13"/>
        <v>0</v>
      </c>
      <c r="K59" s="355"/>
      <c r="L59" s="355"/>
      <c r="M59" s="355"/>
      <c r="X59" s="230"/>
      <c r="Y59" s="230"/>
      <c r="Z59" s="230"/>
      <c r="AA59" s="230"/>
      <c r="AB59" s="230"/>
      <c r="AC59" s="230"/>
      <c r="AD59" s="230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1:59" ht="15" thickBot="1">
      <c r="A60" s="567"/>
      <c r="B60" s="568"/>
      <c r="C60" s="569" t="str">
        <f>D35</f>
        <v>Avispa Fukuoka</v>
      </c>
      <c r="D60" s="570" t="s">
        <v>115</v>
      </c>
      <c r="E60" s="571">
        <f t="shared" ref="E60:J60" ca="1" si="15">SUM(E37:E59)</f>
        <v>21</v>
      </c>
      <c r="F60" s="572">
        <f t="shared" ca="1" si="15"/>
        <v>-2</v>
      </c>
      <c r="G60" s="571">
        <f t="shared" ca="1" si="15"/>
        <v>21</v>
      </c>
      <c r="H60" s="572">
        <f t="shared" ca="1" si="15"/>
        <v>5.5</v>
      </c>
      <c r="I60" s="573">
        <f t="shared" ca="1" si="15"/>
        <v>42</v>
      </c>
      <c r="J60" s="572">
        <f t="shared" ca="1" si="15"/>
        <v>3.5</v>
      </c>
      <c r="K60" s="355"/>
      <c r="L60" s="355"/>
      <c r="M60" s="355"/>
      <c r="X60" s="230"/>
      <c r="Y60" s="230"/>
      <c r="Z60" s="230"/>
      <c r="AA60" s="230"/>
      <c r="AB60" s="230"/>
      <c r="AC60" s="230"/>
      <c r="AD60" s="230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1:59" ht="15" thickBot="1">
      <c r="A61" s="567"/>
      <c r="B61" s="568"/>
      <c r="C61" s="569"/>
      <c r="D61" s="574"/>
      <c r="E61" s="575"/>
      <c r="F61" s="574"/>
      <c r="G61" s="575"/>
      <c r="H61" s="574"/>
      <c r="I61" s="574"/>
      <c r="J61" s="574"/>
      <c r="K61" s="355"/>
      <c r="L61" s="355"/>
      <c r="M61" s="355"/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1:59">
      <c r="A62" s="567"/>
      <c r="B62" s="357"/>
      <c r="C62" s="569"/>
      <c r="D62" s="562" t="str">
        <f>E1</f>
        <v>Oita Trinita</v>
      </c>
      <c r="E62" s="490" t="s">
        <v>80</v>
      </c>
      <c r="F62" s="491"/>
      <c r="G62" s="490" t="s">
        <v>81</v>
      </c>
      <c r="H62" s="491"/>
      <c r="I62" s="490" t="s">
        <v>82</v>
      </c>
      <c r="J62" s="492"/>
      <c r="K62" s="355"/>
      <c r="L62" s="355"/>
      <c r="M62" s="355"/>
      <c r="X62" s="230"/>
      <c r="Y62" s="230"/>
      <c r="Z62" s="230"/>
      <c r="AA62" s="230"/>
      <c r="AB62" s="230"/>
      <c r="AC62" s="230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1:59" ht="15" thickBot="1">
      <c r="B63" s="357"/>
      <c r="C63" s="357"/>
      <c r="D63" s="499" t="s">
        <v>120</v>
      </c>
      <c r="E63" s="497" t="s">
        <v>123</v>
      </c>
      <c r="F63" s="552" t="s">
        <v>124</v>
      </c>
      <c r="G63" s="497" t="s">
        <v>123</v>
      </c>
      <c r="H63" s="552" t="s">
        <v>124</v>
      </c>
      <c r="I63" s="501" t="s">
        <v>123</v>
      </c>
      <c r="J63" s="552" t="s">
        <v>124</v>
      </c>
      <c r="K63" s="355"/>
      <c r="L63" s="355"/>
      <c r="M63" s="355"/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1:59">
      <c r="B64" s="563" t="str">
        <f>IF(D62=0,"N",D62)</f>
        <v>Oita Trinita</v>
      </c>
      <c r="D64" s="511">
        <v>-2.75</v>
      </c>
      <c r="E64" s="564">
        <f t="array" aca="1" ref="E64" ca="1">IF($B64="N","",SUM(IF((INDIRECT("'"&amp;$B64&amp;"'!I23:I200")=$A$2)*(INDIRECT("'"&amp;$B64&amp;"'!O23:O200")=$D64)*(INDIRECT("'"&amp;$B64&amp;"'!O23:O200")&lt;&gt;"")*(INDIRECT("'"&amp;$B64&amp;"'!H23:H200")=$E$5),1,0)))</f>
        <v>0</v>
      </c>
      <c r="F64" s="565">
        <f t="array" aca="1" ref="F64" ca="1">IF($B64="N","",SUM(IF((INDIRECT("'"&amp;$B64&amp;"'!I23:I200")=$A$2)*(INDIRECT("'"&amp;$B64&amp;"'!O23:O200")=$D64)*(INDIRECT("'"&amp;$B64&amp;"'!O23:O200")&lt;&gt;"")*(INDIRECT("'"&amp;$B64&amp;"'!H23:H200")=$E$5),INDIRECT("'"&amp;$B64&amp;"'!p23:p200"),0)))</f>
        <v>0</v>
      </c>
      <c r="G64" s="564">
        <f t="array" aca="1" ref="G64" ca="1">IF($B64="N","",SUM(IF((INDIRECT("'"&amp;$B64&amp;"'!I23:I200")=$A$2)*(INDIRECT("'"&amp;$B64&amp;"'!O23:O200")=$D64)*(INDIRECT("'"&amp;$B64&amp;"'!O23:O200")&lt;&gt;"")*(INDIRECT("'"&amp;$B64&amp;"'!H23:H200")=$G$5),1,0)))</f>
        <v>0</v>
      </c>
      <c r="H64" s="565">
        <f t="array" aca="1" ref="H64" ca="1">IF($B64="N","",SUM(IF((INDIRECT("'"&amp;$B64&amp;"'!I23:I200")=$A$2)*(INDIRECT("'"&amp;$B64&amp;"'!O23:O200")=$D64)*(INDIRECT("'"&amp;$B64&amp;"'!O23:O200")&lt;&gt;"")*(INDIRECT("'"&amp;$B64&amp;"'!H23:H200")=$G$5),INDIRECT("'"&amp;$B64&amp;"'!p23:p200"),0)))</f>
        <v>0</v>
      </c>
      <c r="I64" s="515">
        <f t="shared" ref="I64:I86" ca="1" si="16">IF(B64="N","",G64+E64)</f>
        <v>0</v>
      </c>
      <c r="J64" s="513">
        <f t="shared" ref="J64:J86" ca="1" si="17">IF(I64="","",F64+H64)</f>
        <v>0</v>
      </c>
      <c r="K64" s="355"/>
      <c r="L64" s="355"/>
      <c r="X64" s="230"/>
      <c r="Y64" s="230"/>
      <c r="Z64" s="230"/>
      <c r="AA64" s="230"/>
      <c r="AB64" s="230"/>
      <c r="AC64" s="230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2:59">
      <c r="B65" s="563" t="str">
        <f>B64</f>
        <v>Oita Trinita</v>
      </c>
      <c r="D65" s="520">
        <v>-2.5</v>
      </c>
      <c r="E65" s="564">
        <f t="array" aca="1" ref="E65" ca="1">IF($B65="N","",SUM(IF((INDIRECT("'"&amp;$B65&amp;"'!I23:I200")=$A$2)*(INDIRECT("'"&amp;$B65&amp;"'!O23:O200")=$D65)*(INDIRECT("'"&amp;$B65&amp;"'!O23:O200")&lt;&gt;"")*(INDIRECT("'"&amp;$B65&amp;"'!H23:H200")=$E$5),1,0)))</f>
        <v>0</v>
      </c>
      <c r="F65" s="565">
        <f t="array" aca="1" ref="F65" ca="1">IF($B65="N","",SUM(IF((INDIRECT("'"&amp;$B65&amp;"'!I23:I200")=$A$2)*(INDIRECT("'"&amp;$B65&amp;"'!O23:O200")=$D65)*(INDIRECT("'"&amp;$B65&amp;"'!O23:O200")&lt;&gt;"")*(INDIRECT("'"&amp;$B65&amp;"'!H23:H200")=$E$5),INDIRECT("'"&amp;$B65&amp;"'!p23:p200"),0)))</f>
        <v>0</v>
      </c>
      <c r="G65" s="564">
        <f t="array" aca="1" ref="G65" ca="1">IF($B65="N","",SUM(IF((INDIRECT("'"&amp;$B65&amp;"'!I23:I200")=$A$2)*(INDIRECT("'"&amp;$B65&amp;"'!O23:O200")=$D65)*(INDIRECT("'"&amp;$B65&amp;"'!O23:O200")&lt;&gt;"")*(INDIRECT("'"&amp;$B65&amp;"'!H23:H200")=$G$5),1,0)))</f>
        <v>0</v>
      </c>
      <c r="H65" s="565">
        <f t="array" aca="1" ref="H65" ca="1">IF($B65="N","",SUM(IF((INDIRECT("'"&amp;$B65&amp;"'!I23:I200")=$A$2)*(INDIRECT("'"&amp;$B65&amp;"'!O23:O200")=$D65)*(INDIRECT("'"&amp;$B65&amp;"'!O23:O200")&lt;&gt;"")*(INDIRECT("'"&amp;$B65&amp;"'!H23:H200")=$G$5),INDIRECT("'"&amp;$B65&amp;"'!p23:p200"),0)))</f>
        <v>0</v>
      </c>
      <c r="I65" s="515">
        <f t="shared" ca="1" si="16"/>
        <v>0</v>
      </c>
      <c r="J65" s="513">
        <f t="shared" ca="1" si="17"/>
        <v>0</v>
      </c>
      <c r="K65" s="355"/>
      <c r="L65" s="355"/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2:59">
      <c r="B66" s="563" t="str">
        <f t="shared" ref="B66:B86" si="18">B65</f>
        <v>Oita Trinita</v>
      </c>
      <c r="D66" s="520">
        <v>-2.25</v>
      </c>
      <c r="E66" s="564">
        <f t="array" aca="1" ref="E66" ca="1">IF($B66="N","",SUM(IF((INDIRECT("'"&amp;$B66&amp;"'!I23:I200")=$A$2)*(INDIRECT("'"&amp;$B66&amp;"'!O23:O200")=$D66)*(INDIRECT("'"&amp;$B66&amp;"'!O23:O200")&lt;&gt;"")*(INDIRECT("'"&amp;$B66&amp;"'!H23:H200")=$E$5),1,0)))</f>
        <v>0</v>
      </c>
      <c r="F66" s="565">
        <f t="array" aca="1" ref="F66" ca="1">IF($B66="N","",SUM(IF((INDIRECT("'"&amp;$B66&amp;"'!I23:I200")=$A$2)*(INDIRECT("'"&amp;$B66&amp;"'!O23:O200")=$D66)*(INDIRECT("'"&amp;$B66&amp;"'!O23:O200")&lt;&gt;"")*(INDIRECT("'"&amp;$B66&amp;"'!H23:H200")=$E$5),INDIRECT("'"&amp;$B66&amp;"'!p23:p200"),0)))</f>
        <v>0</v>
      </c>
      <c r="G66" s="564">
        <f t="array" aca="1" ref="G66" ca="1">IF($B66="N","",SUM(IF((INDIRECT("'"&amp;$B66&amp;"'!I23:I200")=$A$2)*(INDIRECT("'"&amp;$B66&amp;"'!O23:O200")=$D66)*(INDIRECT("'"&amp;$B66&amp;"'!O23:O200")&lt;&gt;"")*(INDIRECT("'"&amp;$B66&amp;"'!H23:H200")=$G$5),1,0)))</f>
        <v>0</v>
      </c>
      <c r="H66" s="565">
        <f t="array" aca="1" ref="H66" ca="1">IF($B66="N","",SUM(IF((INDIRECT("'"&amp;$B66&amp;"'!I23:I200")=$A$2)*(INDIRECT("'"&amp;$B66&amp;"'!O23:O200")=$D66)*(INDIRECT("'"&amp;$B66&amp;"'!O23:O200")&lt;&gt;"")*(INDIRECT("'"&amp;$B66&amp;"'!H23:H200")=$G$5),INDIRECT("'"&amp;$B66&amp;"'!p23:p200"),0)))</f>
        <v>0</v>
      </c>
      <c r="I66" s="515">
        <f t="shared" ca="1" si="16"/>
        <v>0</v>
      </c>
      <c r="J66" s="513">
        <f t="shared" ca="1" si="17"/>
        <v>0</v>
      </c>
      <c r="K66" s="355"/>
      <c r="L66" s="355"/>
      <c r="X66" s="230"/>
      <c r="Y66" s="230"/>
      <c r="Z66" s="230"/>
      <c r="AA66" s="230"/>
      <c r="AB66" s="230"/>
      <c r="AC66" s="230"/>
      <c r="AD66" s="230"/>
      <c r="AE66" s="230"/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2:59">
      <c r="B67" s="563" t="str">
        <f t="shared" si="18"/>
        <v>Oita Trinita</v>
      </c>
      <c r="D67" s="520">
        <v>-2</v>
      </c>
      <c r="E67" s="564">
        <f t="array" aca="1" ref="E67" ca="1">IF($B67="N","",SUM(IF((INDIRECT("'"&amp;$B67&amp;"'!I23:I200")=$A$2)*(INDIRECT("'"&amp;$B67&amp;"'!O23:O200")=$D67)*(INDIRECT("'"&amp;$B67&amp;"'!O23:O200")&lt;&gt;"")*(INDIRECT("'"&amp;$B67&amp;"'!H23:H200")=$E$5),1,0)))</f>
        <v>0</v>
      </c>
      <c r="F67" s="565">
        <f t="array" aca="1" ref="F67" ca="1">IF($B67="N","",SUM(IF((INDIRECT("'"&amp;$B67&amp;"'!I23:I200")=$A$2)*(INDIRECT("'"&amp;$B67&amp;"'!O23:O200")=$D67)*(INDIRECT("'"&amp;$B67&amp;"'!O23:O200")&lt;&gt;"")*(INDIRECT("'"&amp;$B67&amp;"'!H23:H200")=$E$5),INDIRECT("'"&amp;$B67&amp;"'!p23:p200"),0)))</f>
        <v>0</v>
      </c>
      <c r="G67" s="564">
        <f t="array" aca="1" ref="G67" ca="1">IF($B67="N","",SUM(IF((INDIRECT("'"&amp;$B67&amp;"'!I23:I200")=$A$2)*(INDIRECT("'"&amp;$B67&amp;"'!O23:O200")=$D67)*(INDIRECT("'"&amp;$B67&amp;"'!O23:O200")&lt;&gt;"")*(INDIRECT("'"&amp;$B67&amp;"'!H23:H200")=$G$5),1,0)))</f>
        <v>0</v>
      </c>
      <c r="H67" s="565">
        <f t="array" aca="1" ref="H67" ca="1">IF($B67="N","",SUM(IF((INDIRECT("'"&amp;$B67&amp;"'!I23:I200")=$A$2)*(INDIRECT("'"&amp;$B67&amp;"'!O23:O200")=$D67)*(INDIRECT("'"&amp;$B67&amp;"'!O23:O200")&lt;&gt;"")*(INDIRECT("'"&amp;$B67&amp;"'!H23:H200")=$G$5),INDIRECT("'"&amp;$B67&amp;"'!p23:p200"),0)))</f>
        <v>0</v>
      </c>
      <c r="I67" s="515">
        <f t="shared" ca="1" si="16"/>
        <v>0</v>
      </c>
      <c r="J67" s="513">
        <f t="shared" ca="1" si="17"/>
        <v>0</v>
      </c>
      <c r="K67" s="355"/>
      <c r="L67" s="355"/>
      <c r="X67" s="230"/>
      <c r="Y67" s="230"/>
      <c r="Z67" s="230"/>
      <c r="AA67" s="230"/>
      <c r="AB67" s="230"/>
      <c r="AC67" s="230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2:59">
      <c r="B68" s="563" t="str">
        <f t="shared" si="18"/>
        <v>Oita Trinita</v>
      </c>
      <c r="D68" s="520">
        <v>-1.75</v>
      </c>
      <c r="E68" s="564">
        <f t="array" aca="1" ref="E68" ca="1">IF($B68="N","",SUM(IF((INDIRECT("'"&amp;$B68&amp;"'!I23:I200")=$A$2)*(INDIRECT("'"&amp;$B68&amp;"'!O23:O200")=$D68)*(INDIRECT("'"&amp;$B68&amp;"'!O23:O200")&lt;&gt;"")*(INDIRECT("'"&amp;$B68&amp;"'!H23:H200")=$E$5),1,0)))</f>
        <v>0</v>
      </c>
      <c r="F68" s="565">
        <f t="array" aca="1" ref="F68" ca="1">IF($B68="N","",SUM(IF((INDIRECT("'"&amp;$B68&amp;"'!I23:I200")=$A$2)*(INDIRECT("'"&amp;$B68&amp;"'!O23:O200")=$D68)*(INDIRECT("'"&amp;$B68&amp;"'!O23:O200")&lt;&gt;"")*(INDIRECT("'"&amp;$B68&amp;"'!H23:H200")=$E$5),INDIRECT("'"&amp;$B68&amp;"'!p23:p200"),0)))</f>
        <v>0</v>
      </c>
      <c r="G68" s="564">
        <f t="array" aca="1" ref="G68" ca="1">IF($B68="N","",SUM(IF((INDIRECT("'"&amp;$B68&amp;"'!I23:I200")=$A$2)*(INDIRECT("'"&amp;$B68&amp;"'!O23:O200")=$D68)*(INDIRECT("'"&amp;$B68&amp;"'!O23:O200")&lt;&gt;"")*(INDIRECT("'"&amp;$B68&amp;"'!H23:H200")=$G$5),1,0)))</f>
        <v>0</v>
      </c>
      <c r="H68" s="565">
        <f t="array" aca="1" ref="H68" ca="1">IF($B68="N","",SUM(IF((INDIRECT("'"&amp;$B68&amp;"'!I23:I200")=$A$2)*(INDIRECT("'"&amp;$B68&amp;"'!O23:O200")=$D68)*(INDIRECT("'"&amp;$B68&amp;"'!O23:O200")&lt;&gt;"")*(INDIRECT("'"&amp;$B68&amp;"'!H23:H200")=$G$5),INDIRECT("'"&amp;$B68&amp;"'!p23:p200"),0)))</f>
        <v>0</v>
      </c>
      <c r="I68" s="515">
        <f t="shared" ca="1" si="16"/>
        <v>0</v>
      </c>
      <c r="J68" s="513">
        <f t="shared" ca="1" si="17"/>
        <v>0</v>
      </c>
      <c r="K68" s="355"/>
      <c r="L68" s="355"/>
      <c r="M68" s="355"/>
      <c r="X68" s="230"/>
      <c r="Y68" s="230"/>
      <c r="Z68" s="230"/>
      <c r="AA68" s="230"/>
      <c r="AB68" s="230"/>
      <c r="AC68" s="230"/>
      <c r="AD68" s="230"/>
      <c r="AE68" s="230"/>
      <c r="AF68" s="230"/>
      <c r="AG68" s="230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2:59">
      <c r="B69" s="563" t="str">
        <f t="shared" si="18"/>
        <v>Oita Trinita</v>
      </c>
      <c r="D69" s="511">
        <v>-1.5</v>
      </c>
      <c r="E69" s="564">
        <f t="array" aca="1" ref="E69" ca="1">IF($B69="N","",SUM(IF((INDIRECT("'"&amp;$B69&amp;"'!I23:I200")=$A$2)*(INDIRECT("'"&amp;$B69&amp;"'!O23:O200")=$D69)*(INDIRECT("'"&amp;$B69&amp;"'!O23:O200")&lt;&gt;"")*(INDIRECT("'"&amp;$B69&amp;"'!H23:H200")=$E$5),1,0)))</f>
        <v>0</v>
      </c>
      <c r="F69" s="565">
        <f t="array" aca="1" ref="F69" ca="1">IF($B69="N","",SUM(IF((INDIRECT("'"&amp;$B69&amp;"'!I23:I200")=$A$2)*(INDIRECT("'"&amp;$B69&amp;"'!O23:O200")=$D69)*(INDIRECT("'"&amp;$B69&amp;"'!O23:O200")&lt;&gt;"")*(INDIRECT("'"&amp;$B69&amp;"'!H23:H200")=$E$5),INDIRECT("'"&amp;$B69&amp;"'!p23:p200"),0)))</f>
        <v>0</v>
      </c>
      <c r="G69" s="564">
        <f t="array" aca="1" ref="G69" ca="1">IF($B69="N","",SUM(IF((INDIRECT("'"&amp;$B69&amp;"'!I23:I200")=$A$2)*(INDIRECT("'"&amp;$B69&amp;"'!O23:O200")=$D69)*(INDIRECT("'"&amp;$B69&amp;"'!O23:O200")&lt;&gt;"")*(INDIRECT("'"&amp;$B69&amp;"'!H23:H200")=$G$5),1,0)))</f>
        <v>0</v>
      </c>
      <c r="H69" s="565">
        <f t="array" aca="1" ref="H69" ca="1">IF($B69="N","",SUM(IF((INDIRECT("'"&amp;$B69&amp;"'!I23:I200")=$A$2)*(INDIRECT("'"&amp;$B69&amp;"'!O23:O200")=$D69)*(INDIRECT("'"&amp;$B69&amp;"'!O23:O200")&lt;&gt;"")*(INDIRECT("'"&amp;$B69&amp;"'!H23:H200")=$G$5),INDIRECT("'"&amp;$B69&amp;"'!p23:p200"),0)))</f>
        <v>0</v>
      </c>
      <c r="I69" s="515">
        <f t="shared" ca="1" si="16"/>
        <v>0</v>
      </c>
      <c r="J69" s="513">
        <f t="shared" ca="1" si="17"/>
        <v>0</v>
      </c>
      <c r="K69" s="355"/>
      <c r="L69" s="355"/>
      <c r="M69" s="355"/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2:59">
      <c r="B70" s="563" t="str">
        <f t="shared" si="18"/>
        <v>Oita Trinita</v>
      </c>
      <c r="D70" s="511">
        <v>-1.25</v>
      </c>
      <c r="E70" s="564">
        <f t="array" aca="1" ref="E70" ca="1">IF($B70="N","",SUM(IF((INDIRECT("'"&amp;$B70&amp;"'!I23:I200")=$A$2)*(INDIRECT("'"&amp;$B70&amp;"'!O23:O200")=$D70)*(INDIRECT("'"&amp;$B70&amp;"'!O23:O200")&lt;&gt;"")*(INDIRECT("'"&amp;$B70&amp;"'!H23:H200")=$E$5),1,0)))</f>
        <v>0</v>
      </c>
      <c r="F70" s="565">
        <f t="array" aca="1" ref="F70" ca="1">IF($B70="N","",SUM(IF((INDIRECT("'"&amp;$B70&amp;"'!I23:I200")=$A$2)*(INDIRECT("'"&amp;$B70&amp;"'!O23:O200")=$D70)*(INDIRECT("'"&amp;$B70&amp;"'!O23:O200")&lt;&gt;"")*(INDIRECT("'"&amp;$B70&amp;"'!H23:H200")=$E$5),INDIRECT("'"&amp;$B70&amp;"'!p23:p200"),0)))</f>
        <v>0</v>
      </c>
      <c r="G70" s="564">
        <f t="array" aca="1" ref="G70" ca="1">IF($B70="N","",SUM(IF((INDIRECT("'"&amp;$B70&amp;"'!I23:I200")=$A$2)*(INDIRECT("'"&amp;$B70&amp;"'!O23:O200")=$D70)*(INDIRECT("'"&amp;$B70&amp;"'!O23:O200")&lt;&gt;"")*(INDIRECT("'"&amp;$B70&amp;"'!H23:H200")=$G$5),1,0)))</f>
        <v>0</v>
      </c>
      <c r="H70" s="565">
        <f t="array" aca="1" ref="H70" ca="1">IF($B70="N","",SUM(IF((INDIRECT("'"&amp;$B70&amp;"'!I23:I200")=$A$2)*(INDIRECT("'"&amp;$B70&amp;"'!O23:O200")=$D70)*(INDIRECT("'"&amp;$B70&amp;"'!O23:O200")&lt;&gt;"")*(INDIRECT("'"&amp;$B70&amp;"'!H23:H200")=$G$5),INDIRECT("'"&amp;$B70&amp;"'!p23:p200"),0)))</f>
        <v>0</v>
      </c>
      <c r="I70" s="515">
        <f t="shared" ca="1" si="16"/>
        <v>0</v>
      </c>
      <c r="J70" s="513">
        <f t="shared" ca="1" si="17"/>
        <v>0</v>
      </c>
      <c r="K70" s="355"/>
      <c r="L70" s="355"/>
      <c r="M70" s="355"/>
      <c r="X70" s="230"/>
      <c r="Y70" s="230"/>
      <c r="Z70" s="230"/>
      <c r="AA70" s="230"/>
      <c r="AB70" s="230"/>
      <c r="AC70" s="230"/>
      <c r="AD70" s="230"/>
      <c r="AE70" s="230"/>
      <c r="AF70" s="230"/>
      <c r="AG70" s="230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2:59">
      <c r="B71" s="563" t="str">
        <f t="shared" si="18"/>
        <v>Oita Trinita</v>
      </c>
      <c r="D71" s="511">
        <v>-1</v>
      </c>
      <c r="E71" s="564">
        <f t="array" aca="1" ref="E71" ca="1">IF($B71="N","",SUM(IF((INDIRECT("'"&amp;$B71&amp;"'!I23:I200")=$A$2)*(INDIRECT("'"&amp;$B71&amp;"'!O23:O200")=$D71)*(INDIRECT("'"&amp;$B71&amp;"'!O23:O200")&lt;&gt;"")*(INDIRECT("'"&amp;$B71&amp;"'!H23:H200")=$E$5),1,0)))</f>
        <v>0</v>
      </c>
      <c r="F71" s="565">
        <f t="array" aca="1" ref="F71" ca="1">IF($B71="N","",SUM(IF((INDIRECT("'"&amp;$B71&amp;"'!I23:I200")=$A$2)*(INDIRECT("'"&amp;$B71&amp;"'!O23:O200")=$D71)*(INDIRECT("'"&amp;$B71&amp;"'!O23:O200")&lt;&gt;"")*(INDIRECT("'"&amp;$B71&amp;"'!H23:H200")=$E$5),INDIRECT("'"&amp;$B71&amp;"'!p23:p200"),0)))</f>
        <v>0</v>
      </c>
      <c r="G71" s="564">
        <f t="array" aca="1" ref="G71" ca="1">IF($B71="N","",SUM(IF((INDIRECT("'"&amp;$B71&amp;"'!I23:I200")=$A$2)*(INDIRECT("'"&amp;$B71&amp;"'!O23:O200")=$D71)*(INDIRECT("'"&amp;$B71&amp;"'!O23:O200")&lt;&gt;"")*(INDIRECT("'"&amp;$B71&amp;"'!H23:H200")=$G$5),1,0)))</f>
        <v>0</v>
      </c>
      <c r="H71" s="565">
        <f t="array" aca="1" ref="H71" ca="1">IF($B71="N","",SUM(IF((INDIRECT("'"&amp;$B71&amp;"'!I23:I200")=$A$2)*(INDIRECT("'"&amp;$B71&amp;"'!O23:O200")=$D71)*(INDIRECT("'"&amp;$B71&amp;"'!O23:O200")&lt;&gt;"")*(INDIRECT("'"&amp;$B71&amp;"'!H23:H200")=$G$5),INDIRECT("'"&amp;$B71&amp;"'!p23:p200"),0)))</f>
        <v>0</v>
      </c>
      <c r="I71" s="515">
        <f t="shared" ca="1" si="16"/>
        <v>0</v>
      </c>
      <c r="J71" s="513">
        <f t="shared" ca="1" si="17"/>
        <v>0</v>
      </c>
      <c r="K71" s="355"/>
      <c r="L71" s="355"/>
      <c r="M71" s="355"/>
      <c r="X71" s="230"/>
      <c r="Y71" s="230"/>
      <c r="Z71" s="230"/>
      <c r="AA71" s="230"/>
      <c r="AB71" s="230"/>
      <c r="AC71" s="230"/>
      <c r="AD71" s="230"/>
      <c r="AE71" s="230"/>
      <c r="AF71" s="230"/>
      <c r="AG71" s="230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2:59">
      <c r="B72" s="563" t="str">
        <f t="shared" si="18"/>
        <v>Oita Trinita</v>
      </c>
      <c r="D72" s="511">
        <v>-0.75</v>
      </c>
      <c r="E72" s="564">
        <f t="array" aca="1" ref="E72" ca="1">IF($B72="N","",SUM(IF((INDIRECT("'"&amp;$B72&amp;"'!I23:I200")=$A$2)*(INDIRECT("'"&amp;$B72&amp;"'!O23:O200")=$D72)*(INDIRECT("'"&amp;$B72&amp;"'!O23:O200")&lt;&gt;"")*(INDIRECT("'"&amp;$B72&amp;"'!H23:H200")=$E$5),1,0)))</f>
        <v>1</v>
      </c>
      <c r="F72" s="565">
        <f t="array" aca="1" ref="F72" ca="1">IF($B72="N","",SUM(IF((INDIRECT("'"&amp;$B72&amp;"'!I23:I200")=$A$2)*(INDIRECT("'"&amp;$B72&amp;"'!O23:O200")=$D72)*(INDIRECT("'"&amp;$B72&amp;"'!O23:O200")&lt;&gt;"")*(INDIRECT("'"&amp;$B72&amp;"'!H23:H200")=$E$5),INDIRECT("'"&amp;$B72&amp;"'!p23:p200"),0)))</f>
        <v>0.5</v>
      </c>
      <c r="G72" s="564">
        <f t="array" aca="1" ref="G72" ca="1">IF($B72="N","",SUM(IF((INDIRECT("'"&amp;$B72&amp;"'!I23:I200")=$A$2)*(INDIRECT("'"&amp;$B72&amp;"'!O23:O200")=$D72)*(INDIRECT("'"&amp;$B72&amp;"'!O23:O200")&lt;&gt;"")*(INDIRECT("'"&amp;$B72&amp;"'!H23:H200")=$G$5),1,0)))</f>
        <v>0</v>
      </c>
      <c r="H72" s="565">
        <f t="array" aca="1" ref="H72" ca="1">IF($B72="N","",SUM(IF((INDIRECT("'"&amp;$B72&amp;"'!I23:I200")=$A$2)*(INDIRECT("'"&amp;$B72&amp;"'!O23:O200")=$D72)*(INDIRECT("'"&amp;$B72&amp;"'!O23:O200")&lt;&gt;"")*(INDIRECT("'"&amp;$B72&amp;"'!H23:H200")=$G$5),INDIRECT("'"&amp;$B72&amp;"'!p23:p200"),0)))</f>
        <v>0</v>
      </c>
      <c r="I72" s="515">
        <f t="shared" ca="1" si="16"/>
        <v>1</v>
      </c>
      <c r="J72" s="513">
        <f t="shared" ca="1" si="17"/>
        <v>0.5</v>
      </c>
      <c r="K72" s="355"/>
      <c r="L72" s="355"/>
      <c r="M72" s="355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2:59">
      <c r="B73" s="563" t="str">
        <f t="shared" si="18"/>
        <v>Oita Trinita</v>
      </c>
      <c r="D73" s="511">
        <v>-0.5</v>
      </c>
      <c r="E73" s="564">
        <f t="array" aca="1" ref="E73" ca="1">IF($B73="N","",SUM(IF((INDIRECT("'"&amp;$B73&amp;"'!I23:I200")=$A$2)*(INDIRECT("'"&amp;$B73&amp;"'!O23:O200")=$D73)*(INDIRECT("'"&amp;$B73&amp;"'!O23:O200")&lt;&gt;"")*(INDIRECT("'"&amp;$B73&amp;"'!H23:H200")=$E$5),1,0)))</f>
        <v>2</v>
      </c>
      <c r="F73" s="565">
        <f t="array" aca="1" ref="F73" ca="1">IF($B73="N","",SUM(IF((INDIRECT("'"&amp;$B73&amp;"'!I23:I200")=$A$2)*(INDIRECT("'"&amp;$B73&amp;"'!O23:O200")=$D73)*(INDIRECT("'"&amp;$B73&amp;"'!O23:O200")&lt;&gt;"")*(INDIRECT("'"&amp;$B73&amp;"'!H23:H200")=$E$5),INDIRECT("'"&amp;$B73&amp;"'!p23:p200"),0)))</f>
        <v>2</v>
      </c>
      <c r="G73" s="564">
        <f t="array" aca="1" ref="G73" ca="1">IF($B73="N","",SUM(IF((INDIRECT("'"&amp;$B73&amp;"'!I23:I200")=$A$2)*(INDIRECT("'"&amp;$B73&amp;"'!O23:O200")=$D73)*(INDIRECT("'"&amp;$B73&amp;"'!O23:O200")&lt;&gt;"")*(INDIRECT("'"&amp;$B73&amp;"'!H23:H200")=$G$5),1,0)))</f>
        <v>1</v>
      </c>
      <c r="H73" s="565">
        <f t="array" aca="1" ref="H73" ca="1">IF($B73="N","",SUM(IF((INDIRECT("'"&amp;$B73&amp;"'!I23:I200")=$A$2)*(INDIRECT("'"&amp;$B73&amp;"'!O23:O200")=$D73)*(INDIRECT("'"&amp;$B73&amp;"'!O23:O200")&lt;&gt;"")*(INDIRECT("'"&amp;$B73&amp;"'!H23:H200")=$G$5),INDIRECT("'"&amp;$B73&amp;"'!p23:p200"),0)))</f>
        <v>1</v>
      </c>
      <c r="I73" s="515">
        <f t="shared" ca="1" si="16"/>
        <v>3</v>
      </c>
      <c r="J73" s="513">
        <f t="shared" ca="1" si="17"/>
        <v>3</v>
      </c>
      <c r="K73" s="355"/>
      <c r="L73" s="355"/>
      <c r="M73" s="355"/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2:59">
      <c r="B74" s="563" t="str">
        <f t="shared" si="18"/>
        <v>Oita Trinita</v>
      </c>
      <c r="D74" s="511">
        <v>-0.25</v>
      </c>
      <c r="E74" s="564">
        <f t="array" aca="1" ref="E74" ca="1">IF($B74="N","",SUM(IF((INDIRECT("'"&amp;$B74&amp;"'!I23:I200")=$A$2)*(INDIRECT("'"&amp;$B74&amp;"'!O23:O200")=$D74)*(INDIRECT("'"&amp;$B74&amp;"'!O23:O200")&lt;&gt;"")*(INDIRECT("'"&amp;$B74&amp;"'!H23:H200")=$E$5),1,0)))</f>
        <v>9</v>
      </c>
      <c r="F74" s="565">
        <f t="array" aca="1" ref="F74" ca="1">IF($B74="N","",SUM(IF((INDIRECT("'"&amp;$B74&amp;"'!I23:I200")=$A$2)*(INDIRECT("'"&amp;$B74&amp;"'!O23:O200")=$D74)*(INDIRECT("'"&amp;$B74&amp;"'!O23:O200")&lt;&gt;"")*(INDIRECT("'"&amp;$B74&amp;"'!H23:H200")=$E$5),INDIRECT("'"&amp;$B74&amp;"'!p23:p200"),0)))</f>
        <v>-3</v>
      </c>
      <c r="G74" s="564">
        <f t="array" aca="1" ref="G74" ca="1">IF($B74="N","",SUM(IF((INDIRECT("'"&amp;$B74&amp;"'!I23:I200")=$A$2)*(INDIRECT("'"&amp;$B74&amp;"'!O23:O200")=$D74)*(INDIRECT("'"&amp;$B74&amp;"'!O23:O200")&lt;&gt;"")*(INDIRECT("'"&amp;$B74&amp;"'!H23:H200")=$G$5),1,0)))</f>
        <v>5</v>
      </c>
      <c r="H74" s="565">
        <f t="array" aca="1" ref="H74" ca="1">IF($B74="N","",SUM(IF((INDIRECT("'"&amp;$B74&amp;"'!I23:I200")=$A$2)*(INDIRECT("'"&amp;$B74&amp;"'!O23:O200")=$D74)*(INDIRECT("'"&amp;$B74&amp;"'!O23:O200")&lt;&gt;"")*(INDIRECT("'"&amp;$B74&amp;"'!H23:H200")=$G$5),INDIRECT("'"&amp;$B74&amp;"'!p23:p200"),0)))</f>
        <v>-0.5</v>
      </c>
      <c r="I74" s="515">
        <f t="shared" ca="1" si="16"/>
        <v>14</v>
      </c>
      <c r="J74" s="513">
        <f t="shared" ca="1" si="17"/>
        <v>-3.5</v>
      </c>
      <c r="K74" s="355"/>
      <c r="L74" s="355"/>
      <c r="M74" s="355"/>
      <c r="X74" s="230"/>
      <c r="Y74" s="230"/>
      <c r="Z74" s="230"/>
      <c r="AA74" s="230"/>
      <c r="AB74" s="230"/>
      <c r="AC74" s="230"/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2:59">
      <c r="B75" s="563" t="str">
        <f t="shared" si="18"/>
        <v>Oita Trinita</v>
      </c>
      <c r="D75" s="511">
        <v>0</v>
      </c>
      <c r="E75" s="564">
        <f t="array" aca="1" ref="E75" ca="1">IF($B75="N","",SUM(IF((INDIRECT("'"&amp;$B75&amp;"'!I23:I200")=$A$2)*(INDIRECT("'"&amp;$B75&amp;"'!O23:O200")=$D75)*(INDIRECT("'"&amp;$B75&amp;"'!O23:O200")&lt;&gt;"")*(INDIRECT("'"&amp;$B75&amp;"'!H23:H200")=$E$5),1,0)))</f>
        <v>7</v>
      </c>
      <c r="F75" s="565">
        <f t="array" aca="1" ref="F75" ca="1">IF($B75="N","",SUM(IF((INDIRECT("'"&amp;$B75&amp;"'!I23:I200")=$A$2)*(INDIRECT("'"&amp;$B75&amp;"'!O23:O200")=$D75)*(INDIRECT("'"&amp;$B75&amp;"'!O23:O200")&lt;&gt;"")*(INDIRECT("'"&amp;$B75&amp;"'!H23:H200")=$E$5),INDIRECT("'"&amp;$B75&amp;"'!p23:p200"),0)))</f>
        <v>-2</v>
      </c>
      <c r="G75" s="564">
        <f t="array" aca="1" ref="G75" ca="1">IF($B75="N","",SUM(IF((INDIRECT("'"&amp;$B75&amp;"'!I23:I200")=$A$2)*(INDIRECT("'"&amp;$B75&amp;"'!O23:O200")=$D75)*(INDIRECT("'"&amp;$B75&amp;"'!O23:O200")&lt;&gt;"")*(INDIRECT("'"&amp;$B75&amp;"'!H23:H200")=$G$5),1,0)))</f>
        <v>6</v>
      </c>
      <c r="H75" s="565">
        <f t="array" aca="1" ref="H75" ca="1">IF($B75="N","",SUM(IF((INDIRECT("'"&amp;$B75&amp;"'!I23:I200")=$A$2)*(INDIRECT("'"&amp;$B75&amp;"'!O23:O200")=$D75)*(INDIRECT("'"&amp;$B75&amp;"'!O23:O200")&lt;&gt;"")*(INDIRECT("'"&amp;$B75&amp;"'!H23:H200")=$G$5),INDIRECT("'"&amp;$B75&amp;"'!p23:p200"),0)))</f>
        <v>1</v>
      </c>
      <c r="I75" s="515">
        <f t="shared" ca="1" si="16"/>
        <v>13</v>
      </c>
      <c r="J75" s="513">
        <f t="shared" ca="1" si="17"/>
        <v>-1</v>
      </c>
      <c r="K75" s="355"/>
      <c r="L75" s="355"/>
      <c r="M75" s="355"/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2:59">
      <c r="B76" s="563" t="str">
        <f t="shared" si="18"/>
        <v>Oita Trinita</v>
      </c>
      <c r="D76" s="511">
        <v>0.25</v>
      </c>
      <c r="E76" s="564">
        <f t="array" aca="1" ref="E76" ca="1">IF($B76="N","",SUM(IF((INDIRECT("'"&amp;$B76&amp;"'!I23:I200")=$A$2)*(INDIRECT("'"&amp;$B76&amp;"'!O23:O200")=$D76)*(INDIRECT("'"&amp;$B76&amp;"'!O23:O200")&lt;&gt;"")*(INDIRECT("'"&amp;$B76&amp;"'!H23:H200")=$E$5),1,0)))</f>
        <v>2</v>
      </c>
      <c r="F76" s="565">
        <f t="array" aca="1" ref="F76" ca="1">IF($B76="N","",SUM(IF((INDIRECT("'"&amp;$B76&amp;"'!I23:I200")=$A$2)*(INDIRECT("'"&amp;$B76&amp;"'!O23:O200")=$D76)*(INDIRECT("'"&amp;$B76&amp;"'!O23:O200")&lt;&gt;"")*(INDIRECT("'"&amp;$B76&amp;"'!H23:H200")=$E$5),INDIRECT("'"&amp;$B76&amp;"'!p23:p200"),0)))</f>
        <v>1</v>
      </c>
      <c r="G76" s="564">
        <f t="array" aca="1" ref="G76" ca="1">IF($B76="N","",SUM(IF((INDIRECT("'"&amp;$B76&amp;"'!I23:I200")=$A$2)*(INDIRECT("'"&amp;$B76&amp;"'!O23:O200")=$D76)*(INDIRECT("'"&amp;$B76&amp;"'!O23:O200")&lt;&gt;"")*(INDIRECT("'"&amp;$B76&amp;"'!H23:H200")=$G$5),1,0)))</f>
        <v>6</v>
      </c>
      <c r="H76" s="565">
        <f t="array" aca="1" ref="H76" ca="1">IF($B76="N","",SUM(IF((INDIRECT("'"&amp;$B76&amp;"'!I23:I200")=$A$2)*(INDIRECT("'"&amp;$B76&amp;"'!O23:O200")=$D76)*(INDIRECT("'"&amp;$B76&amp;"'!O23:O200")&lt;&gt;"")*(INDIRECT("'"&amp;$B76&amp;"'!H23:H200")=$G$5),INDIRECT("'"&amp;$B76&amp;"'!p23:p200"),0)))</f>
        <v>2</v>
      </c>
      <c r="I76" s="515">
        <f t="shared" ca="1" si="16"/>
        <v>8</v>
      </c>
      <c r="J76" s="513">
        <f t="shared" ca="1" si="17"/>
        <v>3</v>
      </c>
      <c r="K76" s="355"/>
      <c r="L76" s="355"/>
      <c r="M76" s="355"/>
      <c r="X76" s="230"/>
      <c r="Y76" s="230"/>
      <c r="Z76" s="230"/>
      <c r="AA76" s="230"/>
      <c r="AB76" s="230"/>
      <c r="AC76" s="230"/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2:59">
      <c r="B77" s="563" t="str">
        <f t="shared" si="18"/>
        <v>Oita Trinita</v>
      </c>
      <c r="D77" s="511">
        <v>0.5</v>
      </c>
      <c r="E77" s="564">
        <f t="array" aca="1" ref="E77" ca="1">IF($B77="N","",SUM(IF((INDIRECT("'"&amp;$B77&amp;"'!I23:I200")=$A$2)*(INDIRECT("'"&amp;$B77&amp;"'!O23:O200")=$D77)*(INDIRECT("'"&amp;$B77&amp;"'!O23:O200")&lt;&gt;"")*(INDIRECT("'"&amp;$B77&amp;"'!H23:H200")=$E$5),1,0)))</f>
        <v>0</v>
      </c>
      <c r="F77" s="565">
        <f t="array" aca="1" ref="F77" ca="1">IF($B77="N","",SUM(IF((INDIRECT("'"&amp;$B77&amp;"'!I23:I200")=$A$2)*(INDIRECT("'"&amp;$B77&amp;"'!O23:O200")=$D77)*(INDIRECT("'"&amp;$B77&amp;"'!O23:O200")&lt;&gt;"")*(INDIRECT("'"&amp;$B77&amp;"'!H23:H200")=$E$5),INDIRECT("'"&amp;$B77&amp;"'!p23:p200"),0)))</f>
        <v>0</v>
      </c>
      <c r="G77" s="564">
        <f t="array" aca="1" ref="G77" ca="1">IF($B77="N","",SUM(IF((INDIRECT("'"&amp;$B77&amp;"'!I23:I200")=$A$2)*(INDIRECT("'"&amp;$B77&amp;"'!O23:O200")=$D77)*(INDIRECT("'"&amp;$B77&amp;"'!O23:O200")&lt;&gt;"")*(INDIRECT("'"&amp;$B77&amp;"'!H23:H200")=$G$5),1,0)))</f>
        <v>3</v>
      </c>
      <c r="H77" s="565">
        <f t="array" aca="1" ref="H77" ca="1">IF($B77="N","",SUM(IF((INDIRECT("'"&amp;$B77&amp;"'!I23:I200")=$A$2)*(INDIRECT("'"&amp;$B77&amp;"'!O23:O200")=$D77)*(INDIRECT("'"&amp;$B77&amp;"'!O23:O200")&lt;&gt;"")*(INDIRECT("'"&amp;$B77&amp;"'!H23:H200")=$G$5),INDIRECT("'"&amp;$B77&amp;"'!p23:p200"),0)))</f>
        <v>1</v>
      </c>
      <c r="I77" s="515">
        <f t="shared" ca="1" si="16"/>
        <v>3</v>
      </c>
      <c r="J77" s="513">
        <f t="shared" ca="1" si="17"/>
        <v>1</v>
      </c>
      <c r="K77" s="355"/>
      <c r="L77" s="355"/>
      <c r="M77" s="355"/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2:59">
      <c r="B78" s="563" t="str">
        <f t="shared" si="18"/>
        <v>Oita Trinita</v>
      </c>
      <c r="D78" s="511">
        <v>0.75</v>
      </c>
      <c r="E78" s="564">
        <f t="array" aca="1" ref="E78" ca="1">IF($B78="N","",SUM(IF((INDIRECT("'"&amp;$B78&amp;"'!I23:I200")=$A$2)*(INDIRECT("'"&amp;$B78&amp;"'!O23:O200")=$D78)*(INDIRECT("'"&amp;$B78&amp;"'!O23:O200")&lt;&gt;"")*(INDIRECT("'"&amp;$B78&amp;"'!H23:H200")=$E$5),1,0)))</f>
        <v>0</v>
      </c>
      <c r="F78" s="565">
        <f t="array" aca="1" ref="F78" ca="1">IF($B78="N","",SUM(IF((INDIRECT("'"&amp;$B78&amp;"'!I23:I200")=$A$2)*(INDIRECT("'"&amp;$B78&amp;"'!O23:O200")=$D78)*(INDIRECT("'"&amp;$B78&amp;"'!O23:O200")&lt;&gt;"")*(INDIRECT("'"&amp;$B78&amp;"'!H23:H200")=$E$5),INDIRECT("'"&amp;$B78&amp;"'!p23:p200"),0)))</f>
        <v>0</v>
      </c>
      <c r="G78" s="564">
        <f t="array" aca="1" ref="G78" ca="1">IF($B78="N","",SUM(IF((INDIRECT("'"&amp;$B78&amp;"'!I23:I200")=$A$2)*(INDIRECT("'"&amp;$B78&amp;"'!O23:O200")=$D78)*(INDIRECT("'"&amp;$B78&amp;"'!O23:O200")&lt;&gt;"")*(INDIRECT("'"&amp;$B78&amp;"'!H23:H200")=$G$5),1,0)))</f>
        <v>0</v>
      </c>
      <c r="H78" s="565">
        <f t="array" aca="1" ref="H78" ca="1">IF($B78="N","",SUM(IF((INDIRECT("'"&amp;$B78&amp;"'!I23:I200")=$A$2)*(INDIRECT("'"&amp;$B78&amp;"'!O23:O200")=$D78)*(INDIRECT("'"&amp;$B78&amp;"'!O23:O200")&lt;&gt;"")*(INDIRECT("'"&amp;$B78&amp;"'!H23:H200")=$G$5),INDIRECT("'"&amp;$B78&amp;"'!p23:p200"),0)))</f>
        <v>0</v>
      </c>
      <c r="I78" s="515">
        <f t="shared" ca="1" si="16"/>
        <v>0</v>
      </c>
      <c r="J78" s="513">
        <f t="shared" ca="1" si="17"/>
        <v>0</v>
      </c>
      <c r="K78" s="355"/>
      <c r="L78" s="355"/>
      <c r="M78" s="355"/>
      <c r="X78" s="230"/>
      <c r="Y78" s="230"/>
      <c r="Z78" s="230"/>
      <c r="AA78" s="230"/>
      <c r="AB78" s="230"/>
      <c r="AC78" s="230"/>
      <c r="AD78" s="230"/>
      <c r="AE78" s="230"/>
      <c r="AF78" s="230"/>
      <c r="AG78" s="230"/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2:59">
      <c r="B79" s="563" t="str">
        <f t="shared" si="18"/>
        <v>Oita Trinita</v>
      </c>
      <c r="D79" s="511">
        <v>1</v>
      </c>
      <c r="E79" s="564">
        <f t="array" aca="1" ref="E79" ca="1">IF($B79="N","",SUM(IF((INDIRECT("'"&amp;$B79&amp;"'!I23:I200")=$A$2)*(INDIRECT("'"&amp;$B79&amp;"'!O23:O200")=$D79)*(INDIRECT("'"&amp;$B79&amp;"'!O23:O200")&lt;&gt;"")*(INDIRECT("'"&amp;$B79&amp;"'!H23:H200")=$E$5),1,0)))</f>
        <v>0</v>
      </c>
      <c r="F79" s="565">
        <f t="array" aca="1" ref="F79" ca="1">IF($B79="N","",SUM(IF((INDIRECT("'"&amp;$B79&amp;"'!I23:I200")=$A$2)*(INDIRECT("'"&amp;$B79&amp;"'!O23:O200")=$D79)*(INDIRECT("'"&amp;$B79&amp;"'!O23:O200")&lt;&gt;"")*(INDIRECT("'"&amp;$B79&amp;"'!H23:H200")=$E$5),INDIRECT("'"&amp;$B79&amp;"'!p23:p200"),0)))</f>
        <v>0</v>
      </c>
      <c r="G79" s="564">
        <f t="array" aca="1" ref="G79" ca="1">IF($B79="N","",SUM(IF((INDIRECT("'"&amp;$B79&amp;"'!I23:I200")=$A$2)*(INDIRECT("'"&amp;$B79&amp;"'!O23:O200")=$D79)*(INDIRECT("'"&amp;$B79&amp;"'!O23:O200")&lt;&gt;"")*(INDIRECT("'"&amp;$B79&amp;"'!H23:H200")=$G$5),1,0)))</f>
        <v>0</v>
      </c>
      <c r="H79" s="565">
        <f t="array" aca="1" ref="H79" ca="1">IF($B79="N","",SUM(IF((INDIRECT("'"&amp;$B79&amp;"'!I23:I200")=$A$2)*(INDIRECT("'"&amp;$B79&amp;"'!O23:O200")=$D79)*(INDIRECT("'"&amp;$B79&amp;"'!O23:O200")&lt;&gt;"")*(INDIRECT("'"&amp;$B79&amp;"'!H23:H200")=$G$5),INDIRECT("'"&amp;$B79&amp;"'!p23:p200"),0)))</f>
        <v>0</v>
      </c>
      <c r="I79" s="515">
        <f t="shared" ca="1" si="16"/>
        <v>0</v>
      </c>
      <c r="J79" s="513">
        <f t="shared" ca="1" si="17"/>
        <v>0</v>
      </c>
      <c r="K79" s="355"/>
      <c r="L79" s="355"/>
      <c r="M79" s="355"/>
      <c r="X79" s="230"/>
      <c r="Y79" s="230"/>
      <c r="Z79" s="230"/>
      <c r="AA79" s="230"/>
      <c r="AB79" s="230"/>
      <c r="AC79" s="230"/>
      <c r="AD79" s="230"/>
      <c r="AE79" s="230"/>
      <c r="AF79" s="230"/>
      <c r="AG79" s="230"/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2:59">
      <c r="B80" s="563" t="str">
        <f t="shared" si="18"/>
        <v>Oita Trinita</v>
      </c>
      <c r="D80" s="511">
        <v>1.25</v>
      </c>
      <c r="E80" s="564">
        <f t="array" aca="1" ref="E80" ca="1">IF($B80="N","",SUM(IF((INDIRECT("'"&amp;$B80&amp;"'!I23:I200")=$A$2)*(INDIRECT("'"&amp;$B80&amp;"'!O23:O200")=$D80)*(INDIRECT("'"&amp;$B80&amp;"'!O23:O200")&lt;&gt;"")*(INDIRECT("'"&amp;$B80&amp;"'!H23:H200")=$E$5),1,0)))</f>
        <v>0</v>
      </c>
      <c r="F80" s="565">
        <f t="array" aca="1" ref="F80" ca="1">IF($B80="N","",SUM(IF((INDIRECT("'"&amp;$B80&amp;"'!I23:I200")=$A$2)*(INDIRECT("'"&amp;$B80&amp;"'!O23:O200")=$D80)*(INDIRECT("'"&amp;$B80&amp;"'!O23:O200")&lt;&gt;"")*(INDIRECT("'"&amp;$B80&amp;"'!H23:H200")=$E$5),INDIRECT("'"&amp;$B80&amp;"'!p23:p200"),0)))</f>
        <v>0</v>
      </c>
      <c r="G80" s="564">
        <f t="array" aca="1" ref="G80" ca="1">IF($B80="N","",SUM(IF((INDIRECT("'"&amp;$B80&amp;"'!I23:I200")=$A$2)*(INDIRECT("'"&amp;$B80&amp;"'!O23:O200")=$D80)*(INDIRECT("'"&amp;$B80&amp;"'!O23:O200")&lt;&gt;"")*(INDIRECT("'"&amp;$B80&amp;"'!H23:H200")=$G$5),1,0)))</f>
        <v>0</v>
      </c>
      <c r="H80" s="565">
        <f t="array" aca="1" ref="H80" ca="1">IF($B80="N","",SUM(IF((INDIRECT("'"&amp;$B80&amp;"'!I23:I200")=$A$2)*(INDIRECT("'"&amp;$B80&amp;"'!O23:O200")=$D80)*(INDIRECT("'"&amp;$B80&amp;"'!O23:O200")&lt;&gt;"")*(INDIRECT("'"&amp;$B80&amp;"'!H23:H200")=$G$5),INDIRECT("'"&amp;$B80&amp;"'!p23:p200"),0)))</f>
        <v>0</v>
      </c>
      <c r="I80" s="515">
        <f t="shared" ca="1" si="16"/>
        <v>0</v>
      </c>
      <c r="J80" s="513">
        <f t="shared" ca="1" si="17"/>
        <v>0</v>
      </c>
      <c r="K80" s="355"/>
      <c r="L80" s="355"/>
      <c r="M80" s="355"/>
      <c r="X80" s="230"/>
      <c r="Y80" s="230"/>
      <c r="Z80" s="230"/>
      <c r="AA80" s="230"/>
      <c r="AB80" s="230"/>
      <c r="AC80" s="230"/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1:59">
      <c r="B81" s="563" t="str">
        <f t="shared" si="18"/>
        <v>Oita Trinita</v>
      </c>
      <c r="D81" s="511">
        <v>1.5</v>
      </c>
      <c r="E81" s="564">
        <f t="array" aca="1" ref="E81" ca="1">IF($B81="N","",SUM(IF((INDIRECT("'"&amp;$B81&amp;"'!I23:I200")=$A$2)*(INDIRECT("'"&amp;$B81&amp;"'!O23:O200")=$D81)*(INDIRECT("'"&amp;$B81&amp;"'!O23:O200")&lt;&gt;"")*(INDIRECT("'"&amp;$B81&amp;"'!H23:H200")=$E$5),1,0)))</f>
        <v>0</v>
      </c>
      <c r="F81" s="565">
        <f t="array" aca="1" ref="F81" ca="1">IF($B81="N","",SUM(IF((INDIRECT("'"&amp;$B81&amp;"'!I23:I200")=$A$2)*(INDIRECT("'"&amp;$B81&amp;"'!O23:O200")=$D81)*(INDIRECT("'"&amp;$B81&amp;"'!O23:O200")&lt;&gt;"")*(INDIRECT("'"&amp;$B81&amp;"'!H23:H200")=$E$5),INDIRECT("'"&amp;$B81&amp;"'!p23:p200"),0)))</f>
        <v>0</v>
      </c>
      <c r="G81" s="564">
        <f t="array" aca="1" ref="G81" ca="1">IF($B81="N","",SUM(IF((INDIRECT("'"&amp;$B81&amp;"'!I23:I200")=$A$2)*(INDIRECT("'"&amp;$B81&amp;"'!O23:O200")=$D81)*(INDIRECT("'"&amp;$B81&amp;"'!O23:O200")&lt;&gt;"")*(INDIRECT("'"&amp;$B81&amp;"'!H23:H200")=$G$5),1,0)))</f>
        <v>0</v>
      </c>
      <c r="H81" s="565">
        <f t="array" aca="1" ref="H81" ca="1">IF($B81="N","",SUM(IF((INDIRECT("'"&amp;$B81&amp;"'!I23:I200")=$A$2)*(INDIRECT("'"&amp;$B81&amp;"'!O23:O200")=$D81)*(INDIRECT("'"&amp;$B81&amp;"'!O23:O200")&lt;&gt;"")*(INDIRECT("'"&amp;$B81&amp;"'!H23:H200")=$G$5),INDIRECT("'"&amp;$B81&amp;"'!p23:p200"),0)))</f>
        <v>0</v>
      </c>
      <c r="I81" s="515">
        <f t="shared" ca="1" si="16"/>
        <v>0</v>
      </c>
      <c r="J81" s="513">
        <f t="shared" ca="1" si="17"/>
        <v>0</v>
      </c>
      <c r="K81" s="355"/>
      <c r="L81" s="355"/>
      <c r="M81" s="355"/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1:59">
      <c r="B82" s="563" t="str">
        <f t="shared" si="18"/>
        <v>Oita Trinita</v>
      </c>
      <c r="D82" s="528">
        <v>1.75</v>
      </c>
      <c r="E82" s="564">
        <f t="array" aca="1" ref="E82" ca="1">IF($B82="N","",SUM(IF((INDIRECT("'"&amp;$B82&amp;"'!I23:I200")=$A$2)*(INDIRECT("'"&amp;$B82&amp;"'!O23:O200")=$D82)*(INDIRECT("'"&amp;$B82&amp;"'!O23:O200")&lt;&gt;"")*(INDIRECT("'"&amp;$B82&amp;"'!H23:H200")=$E$5),1,0)))</f>
        <v>0</v>
      </c>
      <c r="F82" s="565">
        <f t="array" aca="1" ref="F82" ca="1">IF($B82="N","",SUM(IF((INDIRECT("'"&amp;$B82&amp;"'!I23:I200")=$A$2)*(INDIRECT("'"&amp;$B82&amp;"'!O23:O200")=$D82)*(INDIRECT("'"&amp;$B82&amp;"'!O23:O200")&lt;&gt;"")*(INDIRECT("'"&amp;$B82&amp;"'!H23:H200")=$E$5),INDIRECT("'"&amp;$B82&amp;"'!p23:p200"),0)))</f>
        <v>0</v>
      </c>
      <c r="G82" s="564">
        <f t="array" aca="1" ref="G82" ca="1">IF($B82="N","",SUM(IF((INDIRECT("'"&amp;$B82&amp;"'!I23:I200")=$A$2)*(INDIRECT("'"&amp;$B82&amp;"'!O23:O200")=$D82)*(INDIRECT("'"&amp;$B82&amp;"'!O23:O200")&lt;&gt;"")*(INDIRECT("'"&amp;$B82&amp;"'!H23:H200")=$G$5),1,0)))</f>
        <v>0</v>
      </c>
      <c r="H82" s="565">
        <f t="array" aca="1" ref="H82" ca="1">IF($B82="N","",SUM(IF((INDIRECT("'"&amp;$B82&amp;"'!I23:I200")=$A$2)*(INDIRECT("'"&amp;$B82&amp;"'!O23:O200")=$D82)*(INDIRECT("'"&amp;$B82&amp;"'!O23:O200")&lt;&gt;"")*(INDIRECT("'"&amp;$B82&amp;"'!H23:H200")=$G$5),INDIRECT("'"&amp;$B82&amp;"'!p23:p200"),0)))</f>
        <v>0</v>
      </c>
      <c r="I82" s="515">
        <f t="shared" ca="1" si="16"/>
        <v>0</v>
      </c>
      <c r="J82" s="513">
        <f t="shared" ca="1" si="17"/>
        <v>0</v>
      </c>
      <c r="K82" s="355"/>
      <c r="L82" s="355"/>
      <c r="M82" s="355"/>
      <c r="X82" s="230"/>
      <c r="Y82" s="230"/>
      <c r="Z82" s="230"/>
      <c r="AA82" s="230"/>
      <c r="AB82" s="230"/>
      <c r="AC82" s="230"/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1:59">
      <c r="B83" s="563" t="str">
        <f t="shared" si="18"/>
        <v>Oita Trinita</v>
      </c>
      <c r="D83" s="528">
        <v>2</v>
      </c>
      <c r="E83" s="564">
        <f t="array" aca="1" ref="E83" ca="1">IF($B83="N","",SUM(IF((INDIRECT("'"&amp;$B83&amp;"'!I23:I200")=$A$2)*(INDIRECT("'"&amp;$B83&amp;"'!O23:O200")=$D83)*(INDIRECT("'"&amp;$B83&amp;"'!O23:O200")&lt;&gt;"")*(INDIRECT("'"&amp;$B83&amp;"'!H23:H200")=$E$5),1,0)))</f>
        <v>0</v>
      </c>
      <c r="F83" s="565">
        <f t="array" aca="1" ref="F83" ca="1">IF($B83="N","",SUM(IF((INDIRECT("'"&amp;$B83&amp;"'!I23:I200")=$A$2)*(INDIRECT("'"&amp;$B83&amp;"'!O23:O200")=$D83)*(INDIRECT("'"&amp;$B83&amp;"'!O23:O200")&lt;&gt;"")*(INDIRECT("'"&amp;$B83&amp;"'!H23:H200")=$E$5),INDIRECT("'"&amp;$B83&amp;"'!p23:p200"),0)))</f>
        <v>0</v>
      </c>
      <c r="G83" s="564">
        <f t="array" aca="1" ref="G83" ca="1">IF($B83="N","",SUM(IF((INDIRECT("'"&amp;$B83&amp;"'!I23:I200")=$A$2)*(INDIRECT("'"&amp;$B83&amp;"'!O23:O200")=$D83)*(INDIRECT("'"&amp;$B83&amp;"'!O23:O200")&lt;&gt;"")*(INDIRECT("'"&amp;$B83&amp;"'!H23:H200")=$G$5),1,0)))</f>
        <v>0</v>
      </c>
      <c r="H83" s="565">
        <f t="array" aca="1" ref="H83" ca="1">IF($B83="N","",SUM(IF((INDIRECT("'"&amp;$B83&amp;"'!I23:I200")=$A$2)*(INDIRECT("'"&amp;$B83&amp;"'!O23:O200")=$D83)*(INDIRECT("'"&amp;$B83&amp;"'!O23:O200")&lt;&gt;"")*(INDIRECT("'"&amp;$B83&amp;"'!H23:H200")=$G$5),INDIRECT("'"&amp;$B83&amp;"'!p23:p200"),0)))</f>
        <v>0</v>
      </c>
      <c r="I83" s="515">
        <f t="shared" ca="1" si="16"/>
        <v>0</v>
      </c>
      <c r="J83" s="513">
        <f t="shared" ca="1" si="17"/>
        <v>0</v>
      </c>
      <c r="K83" s="355"/>
      <c r="L83" s="355"/>
      <c r="M83" s="355"/>
      <c r="X83" s="230"/>
      <c r="Y83" s="230"/>
      <c r="Z83" s="230"/>
      <c r="AA83" s="230"/>
      <c r="AB83" s="230"/>
      <c r="AC83" s="230"/>
      <c r="AD83" s="230"/>
      <c r="AE83" s="230"/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1:59">
      <c r="B84" s="563" t="str">
        <f t="shared" si="18"/>
        <v>Oita Trinita</v>
      </c>
      <c r="D84" s="528">
        <v>2.25</v>
      </c>
      <c r="E84" s="564">
        <f t="array" aca="1" ref="E84" ca="1">IF($B84="N","",SUM(IF((INDIRECT("'"&amp;$B84&amp;"'!I23:I200")=$A$2)*(INDIRECT("'"&amp;$B84&amp;"'!O23:O200")=$D84)*(INDIRECT("'"&amp;$B84&amp;"'!O23:O200")&lt;&gt;"")*(INDIRECT("'"&amp;$B84&amp;"'!H23:H200")=$E$5),1,0)))</f>
        <v>0</v>
      </c>
      <c r="F84" s="565">
        <f t="array" aca="1" ref="F84" ca="1">IF($B84="N","",SUM(IF((INDIRECT("'"&amp;$B84&amp;"'!I23:I200")=$A$2)*(INDIRECT("'"&amp;$B84&amp;"'!O23:O200")=$D84)*(INDIRECT("'"&amp;$B84&amp;"'!O23:O200")&lt;&gt;"")*(INDIRECT("'"&amp;$B84&amp;"'!H23:H200")=$E$5),INDIRECT("'"&amp;$B84&amp;"'!p23:p200"),0)))</f>
        <v>0</v>
      </c>
      <c r="G84" s="564">
        <f t="array" aca="1" ref="G84" ca="1">IF($B84="N","",SUM(IF((INDIRECT("'"&amp;$B84&amp;"'!I23:I200")=$A$2)*(INDIRECT("'"&amp;$B84&amp;"'!O23:O200")=$D84)*(INDIRECT("'"&amp;$B84&amp;"'!O23:O200")&lt;&gt;"")*(INDIRECT("'"&amp;$B84&amp;"'!H23:H200")=$G$5),1,0)))</f>
        <v>0</v>
      </c>
      <c r="H84" s="565">
        <f t="array" aca="1" ref="H84" ca="1">IF($B84="N","",SUM(IF((INDIRECT("'"&amp;$B84&amp;"'!I23:I200")=$A$2)*(INDIRECT("'"&amp;$B84&amp;"'!O23:O200")=$D84)*(INDIRECT("'"&amp;$B84&amp;"'!O23:O200")&lt;&gt;"")*(INDIRECT("'"&amp;$B84&amp;"'!H23:H200")=$G$5),INDIRECT("'"&amp;$B84&amp;"'!p23:p200"),0)))</f>
        <v>0</v>
      </c>
      <c r="I84" s="515">
        <f t="shared" ca="1" si="16"/>
        <v>0</v>
      </c>
      <c r="J84" s="513">
        <f t="shared" ca="1" si="17"/>
        <v>0</v>
      </c>
      <c r="K84" s="355"/>
      <c r="L84" s="355"/>
      <c r="M84" s="355"/>
      <c r="X84" s="230"/>
      <c r="Y84" s="230"/>
      <c r="Z84" s="230"/>
      <c r="AA84" s="230"/>
      <c r="AB84" s="230"/>
      <c r="AC84" s="230"/>
      <c r="AD84" s="230"/>
      <c r="AE84" s="230"/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1:59">
      <c r="B85" s="563" t="str">
        <f t="shared" si="18"/>
        <v>Oita Trinita</v>
      </c>
      <c r="D85" s="528">
        <v>2.5</v>
      </c>
      <c r="E85" s="564">
        <f t="array" aca="1" ref="E85" ca="1">IF($B85="N","",SUM(IF((INDIRECT("'"&amp;$B85&amp;"'!I23:I200")=$A$2)*(INDIRECT("'"&amp;$B85&amp;"'!O23:O200")=$D85)*(INDIRECT("'"&amp;$B85&amp;"'!O23:O200")&lt;&gt;"")*(INDIRECT("'"&amp;$B85&amp;"'!H23:H200")=$E$5),1,0)))</f>
        <v>0</v>
      </c>
      <c r="F85" s="565">
        <f t="array" aca="1" ref="F85" ca="1">IF($B85="N","",SUM(IF((INDIRECT("'"&amp;$B85&amp;"'!I23:I200")=$A$2)*(INDIRECT("'"&amp;$B85&amp;"'!O23:O200")=$D85)*(INDIRECT("'"&amp;$B85&amp;"'!O23:O200")&lt;&gt;"")*(INDIRECT("'"&amp;$B85&amp;"'!H23:H200")=$E$5),INDIRECT("'"&amp;$B85&amp;"'!p23:p200"),0)))</f>
        <v>0</v>
      </c>
      <c r="G85" s="564">
        <f t="array" aca="1" ref="G85" ca="1">IF($B85="N","",SUM(IF((INDIRECT("'"&amp;$B85&amp;"'!I23:I200")=$A$2)*(INDIRECT("'"&amp;$B85&amp;"'!O23:O200")=$D85)*(INDIRECT("'"&amp;$B85&amp;"'!O23:O200")&lt;&gt;"")*(INDIRECT("'"&amp;$B85&amp;"'!H23:H200")=$G$5),1,0)))</f>
        <v>0</v>
      </c>
      <c r="H85" s="565">
        <f t="array" aca="1" ref="H85" ca="1">IF($B85="N","",SUM(IF((INDIRECT("'"&amp;$B85&amp;"'!I23:I200")=$A$2)*(INDIRECT("'"&amp;$B85&amp;"'!O23:O200")=$D85)*(INDIRECT("'"&amp;$B85&amp;"'!O23:O200")&lt;&gt;"")*(INDIRECT("'"&amp;$B85&amp;"'!H23:H200")=$G$5),INDIRECT("'"&amp;$B85&amp;"'!p23:p200"),0)))</f>
        <v>0</v>
      </c>
      <c r="I85" s="515">
        <f t="shared" ca="1" si="16"/>
        <v>0</v>
      </c>
      <c r="J85" s="513">
        <f t="shared" ca="1" si="17"/>
        <v>0</v>
      </c>
      <c r="K85" s="355"/>
      <c r="L85" s="355"/>
      <c r="M85" s="355"/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1:59" ht="15" thickBot="1">
      <c r="B86" s="563" t="str">
        <f t="shared" si="18"/>
        <v>Oita Trinita</v>
      </c>
      <c r="D86" s="511">
        <v>2.75</v>
      </c>
      <c r="E86" s="564">
        <f t="array" aca="1" ref="E86" ca="1">IF($B86="N","",SUM(IF((INDIRECT("'"&amp;$B86&amp;"'!I23:I200")=$A$2)*(INDIRECT("'"&amp;$B86&amp;"'!O23:O200")=$D86)*(INDIRECT("'"&amp;$B86&amp;"'!O23:O200")&lt;&gt;"")*(INDIRECT("'"&amp;$B86&amp;"'!H23:H200")=$E$5),1,0)))</f>
        <v>0</v>
      </c>
      <c r="F86" s="565">
        <f t="array" aca="1" ref="F86" ca="1">IF($B86="N","",SUM(IF((INDIRECT("'"&amp;$B86&amp;"'!I23:I200")=$A$2)*(INDIRECT("'"&amp;$B86&amp;"'!O23:O200")=$D86)*(INDIRECT("'"&amp;$B86&amp;"'!O23:O200")&lt;&gt;"")*(INDIRECT("'"&amp;$B86&amp;"'!H23:H200")=$E$5),INDIRECT("'"&amp;$B86&amp;"'!p23:p200"),0)))</f>
        <v>0</v>
      </c>
      <c r="G86" s="564">
        <f t="array" aca="1" ref="G86" ca="1">IF($B86="N","",SUM(IF((INDIRECT("'"&amp;$B86&amp;"'!I23:I200")=$A$2)*(INDIRECT("'"&amp;$B86&amp;"'!O23:O200")=$D86)*(INDIRECT("'"&amp;$B86&amp;"'!O23:O200")&lt;&gt;"")*(INDIRECT("'"&amp;$B86&amp;"'!H23:H200")=$G$5),1,0)))</f>
        <v>0</v>
      </c>
      <c r="H86" s="565">
        <f t="array" aca="1" ref="H86" ca="1">IF($B86="N","",SUM(IF((INDIRECT("'"&amp;$B86&amp;"'!I23:I200")=$A$2)*(INDIRECT("'"&amp;$B86&amp;"'!O23:O200")=$D86)*(INDIRECT("'"&amp;$B86&amp;"'!O23:O200")&lt;&gt;"")*(INDIRECT("'"&amp;$B86&amp;"'!H23:H200")=$G$5),INDIRECT("'"&amp;$B86&amp;"'!p23:p200"),0)))</f>
        <v>0</v>
      </c>
      <c r="I86" s="515">
        <f t="shared" ca="1" si="16"/>
        <v>0</v>
      </c>
      <c r="J86" s="513">
        <f t="shared" ca="1" si="17"/>
        <v>0</v>
      </c>
      <c r="K86" s="355"/>
      <c r="L86" s="355"/>
      <c r="M86" s="355"/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1:59" ht="15" thickBot="1">
      <c r="A87" s="567"/>
      <c r="B87" s="568"/>
      <c r="C87" s="569" t="str">
        <f>D62</f>
        <v>Oita Trinita</v>
      </c>
      <c r="D87" s="570" t="s">
        <v>115</v>
      </c>
      <c r="E87" s="571">
        <f t="shared" ref="E87:J87" ca="1" si="19">SUM(E64:E86)</f>
        <v>21</v>
      </c>
      <c r="F87" s="572">
        <f t="shared" ca="1" si="19"/>
        <v>-1.5</v>
      </c>
      <c r="G87" s="571">
        <f t="shared" ca="1" si="19"/>
        <v>21</v>
      </c>
      <c r="H87" s="572">
        <f t="shared" ca="1" si="19"/>
        <v>4.5</v>
      </c>
      <c r="I87" s="573">
        <f t="shared" ca="1" si="19"/>
        <v>42</v>
      </c>
      <c r="J87" s="572">
        <f t="shared" ca="1" si="19"/>
        <v>3</v>
      </c>
      <c r="M87" s="355"/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1:59" ht="15" thickBot="1">
      <c r="A88" s="567"/>
      <c r="C88" s="576"/>
      <c r="M88" s="355"/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1:59">
      <c r="A89" s="567"/>
      <c r="C89" s="576"/>
      <c r="D89" s="562" t="str">
        <f>F1</f>
        <v>Ehime</v>
      </c>
      <c r="E89" s="490" t="s">
        <v>80</v>
      </c>
      <c r="F89" s="491"/>
      <c r="G89" s="490" t="s">
        <v>81</v>
      </c>
      <c r="H89" s="491"/>
      <c r="I89" s="490" t="s">
        <v>82</v>
      </c>
      <c r="J89" s="492"/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  <c r="AI89" s="230"/>
      <c r="AJ89" s="230"/>
      <c r="AK89" s="230"/>
      <c r="AL89" s="230"/>
      <c r="AM89" s="230"/>
      <c r="AN89" s="230"/>
      <c r="AO89" s="230"/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1:59" ht="15" thickBot="1">
      <c r="B90" s="357"/>
      <c r="C90" s="357"/>
      <c r="D90" s="499" t="s">
        <v>120</v>
      </c>
      <c r="E90" s="497" t="s">
        <v>123</v>
      </c>
      <c r="F90" s="552" t="s">
        <v>124</v>
      </c>
      <c r="G90" s="497" t="s">
        <v>123</v>
      </c>
      <c r="H90" s="552" t="s">
        <v>124</v>
      </c>
      <c r="I90" s="501" t="s">
        <v>123</v>
      </c>
      <c r="J90" s="552" t="s">
        <v>124</v>
      </c>
      <c r="X90" s="230"/>
      <c r="Y90" s="230"/>
      <c r="Z90" s="230"/>
      <c r="AA90" s="230"/>
      <c r="AB90" s="230"/>
      <c r="AC90" s="230"/>
      <c r="AD90" s="230"/>
      <c r="AE90" s="230"/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1:59">
      <c r="B91" s="563" t="str">
        <f>IF(D89=0,"N",D89)</f>
        <v>Ehime</v>
      </c>
      <c r="D91" s="511">
        <v>-2.75</v>
      </c>
      <c r="E91" s="564">
        <f t="array" aca="1" ref="E91" ca="1">IF($B91="N","",SUM(IF((INDIRECT("'"&amp;$B91&amp;"'!I23:I200")=$A$2)*(INDIRECT("'"&amp;$B91&amp;"'!O23:O200")=$D91)*(INDIRECT("'"&amp;$B91&amp;"'!O23:O200")&lt;&gt;"")*(INDIRECT("'"&amp;$B91&amp;"'!H23:H200")=$E$5),1,0)))</f>
        <v>0</v>
      </c>
      <c r="F91" s="565">
        <f t="array" aca="1" ref="F91" ca="1">IF($B91="N","",SUM(IF((INDIRECT("'"&amp;$B91&amp;"'!I23:I200")=$A$2)*(INDIRECT("'"&amp;$B91&amp;"'!O23:O200")=$D91)*(INDIRECT("'"&amp;$B91&amp;"'!O23:O200")&lt;&gt;"")*(INDIRECT("'"&amp;$B91&amp;"'!H23:H200")=$E$5),INDIRECT("'"&amp;$B91&amp;"'!p23:p200"),0)))</f>
        <v>0</v>
      </c>
      <c r="G91" s="564">
        <f t="array" aca="1" ref="G91" ca="1">IF($B91="N","",SUM(IF((INDIRECT("'"&amp;$B91&amp;"'!I23:I200")=$A$2)*(INDIRECT("'"&amp;$B91&amp;"'!O23:O200")=$D91)*(INDIRECT("'"&amp;$B91&amp;"'!O23:O200")&lt;&gt;"")*(INDIRECT("'"&amp;$B91&amp;"'!H23:H200")=$G$5),1,0)))</f>
        <v>0</v>
      </c>
      <c r="H91" s="565">
        <f t="array" aca="1" ref="H91" ca="1">IF($B91="N","",SUM(IF((INDIRECT("'"&amp;$B91&amp;"'!I23:I200")=$A$2)*(INDIRECT("'"&amp;$B91&amp;"'!O23:O200")=$D91)*(INDIRECT("'"&amp;$B91&amp;"'!O23:O200")&lt;&gt;"")*(INDIRECT("'"&amp;$B91&amp;"'!H23:H200")=$G$5),INDIRECT("'"&amp;$B91&amp;"'!p23:p200"),0)))</f>
        <v>0</v>
      </c>
      <c r="I91" s="515">
        <f t="shared" ref="I91:I113" ca="1" si="20">IF(B91="N","",G91+E91)</f>
        <v>0</v>
      </c>
      <c r="J91" s="513">
        <f t="shared" ref="J91:J113" ca="1" si="21">IF(I91="","",F91+H91)</f>
        <v>0</v>
      </c>
      <c r="X91" s="230"/>
      <c r="Y91" s="230"/>
      <c r="Z91" s="230"/>
      <c r="AA91" s="230"/>
      <c r="AB91" s="230"/>
      <c r="AC91" s="230"/>
      <c r="AD91" s="230"/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1:59">
      <c r="B92" s="563" t="str">
        <f>B91</f>
        <v>Ehime</v>
      </c>
      <c r="D92" s="520">
        <v>-2.5</v>
      </c>
      <c r="E92" s="564">
        <f t="array" aca="1" ref="E92" ca="1">IF($B92="N","",SUM(IF((INDIRECT("'"&amp;$B92&amp;"'!I23:I200")=$A$2)*(INDIRECT("'"&amp;$B92&amp;"'!O23:O200")=$D92)*(INDIRECT("'"&amp;$B92&amp;"'!O23:O200")&lt;&gt;"")*(INDIRECT("'"&amp;$B92&amp;"'!H23:H200")=$E$5),1,0)))</f>
        <v>0</v>
      </c>
      <c r="F92" s="565">
        <f t="array" aca="1" ref="F92" ca="1">IF($B92="N","",SUM(IF((INDIRECT("'"&amp;$B92&amp;"'!I23:I200")=$A$2)*(INDIRECT("'"&amp;$B92&amp;"'!O23:O200")=$D92)*(INDIRECT("'"&amp;$B92&amp;"'!O23:O200")&lt;&gt;"")*(INDIRECT("'"&amp;$B92&amp;"'!H23:H200")=$E$5),INDIRECT("'"&amp;$B92&amp;"'!p23:p200"),0)))</f>
        <v>0</v>
      </c>
      <c r="G92" s="564">
        <f t="array" aca="1" ref="G92" ca="1">IF($B92="N","",SUM(IF((INDIRECT("'"&amp;$B92&amp;"'!I23:I200")=$A$2)*(INDIRECT("'"&amp;$B92&amp;"'!O23:O200")=$D92)*(INDIRECT("'"&amp;$B92&amp;"'!O23:O200")&lt;&gt;"")*(INDIRECT("'"&amp;$B92&amp;"'!H23:H200")=$G$5),1,0)))</f>
        <v>0</v>
      </c>
      <c r="H92" s="565">
        <f t="array" aca="1" ref="H92" ca="1">IF($B92="N","",SUM(IF((INDIRECT("'"&amp;$B92&amp;"'!I23:I200")=$A$2)*(INDIRECT("'"&amp;$B92&amp;"'!O23:O200")=$D92)*(INDIRECT("'"&amp;$B92&amp;"'!O23:O200")&lt;&gt;"")*(INDIRECT("'"&amp;$B92&amp;"'!H23:H200")=$G$5),INDIRECT("'"&amp;$B92&amp;"'!p23:p200"),0)))</f>
        <v>0</v>
      </c>
      <c r="I92" s="515">
        <f t="shared" ca="1" si="20"/>
        <v>0</v>
      </c>
      <c r="J92" s="513">
        <f t="shared" ca="1" si="21"/>
        <v>0</v>
      </c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1:59">
      <c r="B93" s="563" t="str">
        <f t="shared" ref="B93:B113" si="22">B92</f>
        <v>Ehime</v>
      </c>
      <c r="D93" s="520">
        <v>-2.25</v>
      </c>
      <c r="E93" s="564">
        <f t="array" aca="1" ref="E93" ca="1">IF($B93="N","",SUM(IF((INDIRECT("'"&amp;$B93&amp;"'!I23:I200")=$A$2)*(INDIRECT("'"&amp;$B93&amp;"'!O23:O200")=$D93)*(INDIRECT("'"&amp;$B93&amp;"'!O23:O200")&lt;&gt;"")*(INDIRECT("'"&amp;$B93&amp;"'!H23:H200")=$E$5),1,0)))</f>
        <v>0</v>
      </c>
      <c r="F93" s="565">
        <f t="array" aca="1" ref="F93" ca="1">IF($B93="N","",SUM(IF((INDIRECT("'"&amp;$B93&amp;"'!I23:I200")=$A$2)*(INDIRECT("'"&amp;$B93&amp;"'!O23:O200")=$D93)*(INDIRECT("'"&amp;$B93&amp;"'!O23:O200")&lt;&gt;"")*(INDIRECT("'"&amp;$B93&amp;"'!H23:H200")=$E$5),INDIRECT("'"&amp;$B93&amp;"'!p23:p200"),0)))</f>
        <v>0</v>
      </c>
      <c r="G93" s="564">
        <f t="array" aca="1" ref="G93" ca="1">IF($B93="N","",SUM(IF((INDIRECT("'"&amp;$B93&amp;"'!I23:I200")=$A$2)*(INDIRECT("'"&amp;$B93&amp;"'!O23:O200")=$D93)*(INDIRECT("'"&amp;$B93&amp;"'!O23:O200")&lt;&gt;"")*(INDIRECT("'"&amp;$B93&amp;"'!H23:H200")=$G$5),1,0)))</f>
        <v>0</v>
      </c>
      <c r="H93" s="565">
        <f t="array" aca="1" ref="H93" ca="1">IF($B93="N","",SUM(IF((INDIRECT("'"&amp;$B93&amp;"'!I23:I200")=$A$2)*(INDIRECT("'"&amp;$B93&amp;"'!O23:O200")=$D93)*(INDIRECT("'"&amp;$B93&amp;"'!O23:O200")&lt;&gt;"")*(INDIRECT("'"&amp;$B93&amp;"'!H23:H200")=$G$5),INDIRECT("'"&amp;$B93&amp;"'!p23:p200"),0)))</f>
        <v>0</v>
      </c>
      <c r="I93" s="515">
        <f t="shared" ca="1" si="20"/>
        <v>0</v>
      </c>
      <c r="J93" s="513">
        <f t="shared" ca="1" si="21"/>
        <v>0</v>
      </c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1:59">
      <c r="B94" s="563" t="str">
        <f t="shared" si="22"/>
        <v>Ehime</v>
      </c>
      <c r="D94" s="520">
        <v>-2</v>
      </c>
      <c r="E94" s="564">
        <f t="array" aca="1" ref="E94" ca="1">IF($B94="N","",SUM(IF((INDIRECT("'"&amp;$B94&amp;"'!I23:I200")=$A$2)*(INDIRECT("'"&amp;$B94&amp;"'!O23:O200")=$D94)*(INDIRECT("'"&amp;$B94&amp;"'!O23:O200")&lt;&gt;"")*(INDIRECT("'"&amp;$B94&amp;"'!H23:H200")=$E$5),1,0)))</f>
        <v>0</v>
      </c>
      <c r="F94" s="565">
        <f t="array" aca="1" ref="F94" ca="1">IF($B94="N","",SUM(IF((INDIRECT("'"&amp;$B94&amp;"'!I23:I200")=$A$2)*(INDIRECT("'"&amp;$B94&amp;"'!O23:O200")=$D94)*(INDIRECT("'"&amp;$B94&amp;"'!O23:O200")&lt;&gt;"")*(INDIRECT("'"&amp;$B94&amp;"'!H23:H200")=$E$5),INDIRECT("'"&amp;$B94&amp;"'!p23:p200"),0)))</f>
        <v>0</v>
      </c>
      <c r="G94" s="564">
        <f t="array" aca="1" ref="G94" ca="1">IF($B94="N","",SUM(IF((INDIRECT("'"&amp;$B94&amp;"'!I23:I200")=$A$2)*(INDIRECT("'"&amp;$B94&amp;"'!O23:O200")=$D94)*(INDIRECT("'"&amp;$B94&amp;"'!O23:O200")&lt;&gt;"")*(INDIRECT("'"&amp;$B94&amp;"'!H23:H200")=$G$5),1,0)))</f>
        <v>0</v>
      </c>
      <c r="H94" s="565">
        <f t="array" aca="1" ref="H94" ca="1">IF($B94="N","",SUM(IF((INDIRECT("'"&amp;$B94&amp;"'!I23:I200")=$A$2)*(INDIRECT("'"&amp;$B94&amp;"'!O23:O200")=$D94)*(INDIRECT("'"&amp;$B94&amp;"'!O23:O200")&lt;&gt;"")*(INDIRECT("'"&amp;$B94&amp;"'!H23:H200")=$G$5),INDIRECT("'"&amp;$B94&amp;"'!p23:p200"),0)))</f>
        <v>0</v>
      </c>
      <c r="I94" s="515">
        <f t="shared" ca="1" si="20"/>
        <v>0</v>
      </c>
      <c r="J94" s="513">
        <f t="shared" ca="1" si="21"/>
        <v>0</v>
      </c>
      <c r="X94" s="230"/>
      <c r="Y94" s="230"/>
      <c r="Z94" s="230"/>
      <c r="AA94" s="230"/>
      <c r="AB94" s="230"/>
      <c r="AC94" s="230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1:59">
      <c r="B95" s="563" t="str">
        <f t="shared" si="22"/>
        <v>Ehime</v>
      </c>
      <c r="D95" s="520">
        <v>-1.75</v>
      </c>
      <c r="E95" s="564">
        <f t="array" aca="1" ref="E95" ca="1">IF($B95="N","",SUM(IF((INDIRECT("'"&amp;$B95&amp;"'!I23:I200")=$A$2)*(INDIRECT("'"&amp;$B95&amp;"'!O23:O200")=$D95)*(INDIRECT("'"&amp;$B95&amp;"'!O23:O200")&lt;&gt;"")*(INDIRECT("'"&amp;$B95&amp;"'!H23:H200")=$E$5),1,0)))</f>
        <v>0</v>
      </c>
      <c r="F95" s="565">
        <f t="array" aca="1" ref="F95" ca="1">IF($B95="N","",SUM(IF((INDIRECT("'"&amp;$B95&amp;"'!I23:I200")=$A$2)*(INDIRECT("'"&amp;$B95&amp;"'!O23:O200")=$D95)*(INDIRECT("'"&amp;$B95&amp;"'!O23:O200")&lt;&gt;"")*(INDIRECT("'"&amp;$B95&amp;"'!H23:H200")=$E$5),INDIRECT("'"&amp;$B95&amp;"'!p23:p200"),0)))</f>
        <v>0</v>
      </c>
      <c r="G95" s="564">
        <f t="array" aca="1" ref="G95" ca="1">IF($B95="N","",SUM(IF((INDIRECT("'"&amp;$B95&amp;"'!I23:I200")=$A$2)*(INDIRECT("'"&amp;$B95&amp;"'!O23:O200")=$D95)*(INDIRECT("'"&amp;$B95&amp;"'!O23:O200")&lt;&gt;"")*(INDIRECT("'"&amp;$B95&amp;"'!H23:H200")=$G$5),1,0)))</f>
        <v>0</v>
      </c>
      <c r="H95" s="565">
        <f t="array" aca="1" ref="H95" ca="1">IF($B95="N","",SUM(IF((INDIRECT("'"&amp;$B95&amp;"'!I23:I200")=$A$2)*(INDIRECT("'"&amp;$B95&amp;"'!O23:O200")=$D95)*(INDIRECT("'"&amp;$B95&amp;"'!O23:O200")&lt;&gt;"")*(INDIRECT("'"&amp;$B95&amp;"'!H23:H200")=$G$5),INDIRECT("'"&amp;$B95&amp;"'!p23:p200"),0)))</f>
        <v>0</v>
      </c>
      <c r="I95" s="515">
        <f t="shared" ca="1" si="20"/>
        <v>0</v>
      </c>
      <c r="J95" s="513">
        <f t="shared" ca="1" si="21"/>
        <v>0</v>
      </c>
      <c r="X95" s="230"/>
      <c r="Y95" s="230"/>
      <c r="Z95" s="230"/>
      <c r="AA95" s="230"/>
      <c r="AB95" s="230"/>
      <c r="AC95" s="230"/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1:59">
      <c r="B96" s="563" t="str">
        <f t="shared" si="22"/>
        <v>Ehime</v>
      </c>
      <c r="D96" s="511">
        <v>-1.5</v>
      </c>
      <c r="E96" s="564">
        <f t="array" aca="1" ref="E96" ca="1">IF($B96="N","",SUM(IF((INDIRECT("'"&amp;$B96&amp;"'!I23:I200")=$A$2)*(INDIRECT("'"&amp;$B96&amp;"'!O23:O200")=$D96)*(INDIRECT("'"&amp;$B96&amp;"'!O23:O200")&lt;&gt;"")*(INDIRECT("'"&amp;$B96&amp;"'!H23:H200")=$E$5),1,0)))</f>
        <v>0</v>
      </c>
      <c r="F96" s="565">
        <f t="array" aca="1" ref="F96" ca="1">IF($B96="N","",SUM(IF((INDIRECT("'"&amp;$B96&amp;"'!I23:I200")=$A$2)*(INDIRECT("'"&amp;$B96&amp;"'!O23:O200")=$D96)*(INDIRECT("'"&amp;$B96&amp;"'!O23:O200")&lt;&gt;"")*(INDIRECT("'"&amp;$B96&amp;"'!H23:H200")=$E$5),INDIRECT("'"&amp;$B96&amp;"'!p23:p200"),0)))</f>
        <v>0</v>
      </c>
      <c r="G96" s="564">
        <f t="array" aca="1" ref="G96" ca="1">IF($B96="N","",SUM(IF((INDIRECT("'"&amp;$B96&amp;"'!I23:I200")=$A$2)*(INDIRECT("'"&amp;$B96&amp;"'!O23:O200")=$D96)*(INDIRECT("'"&amp;$B96&amp;"'!O23:O200")&lt;&gt;"")*(INDIRECT("'"&amp;$B96&amp;"'!H23:H200")=$G$5),1,0)))</f>
        <v>0</v>
      </c>
      <c r="H96" s="565">
        <f t="array" aca="1" ref="H96" ca="1">IF($B96="N","",SUM(IF((INDIRECT("'"&amp;$B96&amp;"'!I23:I200")=$A$2)*(INDIRECT("'"&amp;$B96&amp;"'!O23:O200")=$D96)*(INDIRECT("'"&amp;$B96&amp;"'!O23:O200")&lt;&gt;"")*(INDIRECT("'"&amp;$B96&amp;"'!H23:H200")=$G$5),INDIRECT("'"&amp;$B96&amp;"'!p23:p200"),0)))</f>
        <v>0</v>
      </c>
      <c r="I96" s="515">
        <f t="shared" ca="1" si="20"/>
        <v>0</v>
      </c>
      <c r="J96" s="513">
        <f t="shared" ca="1" si="21"/>
        <v>0</v>
      </c>
      <c r="X96" s="230"/>
      <c r="Y96" s="230"/>
      <c r="Z96" s="230"/>
      <c r="AA96" s="230"/>
      <c r="AB96" s="230"/>
      <c r="AC96" s="230"/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:59">
      <c r="B97" s="563" t="str">
        <f t="shared" si="22"/>
        <v>Ehime</v>
      </c>
      <c r="D97" s="511">
        <v>-1.25</v>
      </c>
      <c r="E97" s="564">
        <f t="array" aca="1" ref="E97" ca="1">IF($B97="N","",SUM(IF((INDIRECT("'"&amp;$B97&amp;"'!I23:I200")=$A$2)*(INDIRECT("'"&amp;$B97&amp;"'!O23:O200")=$D97)*(INDIRECT("'"&amp;$B97&amp;"'!O23:O200")&lt;&gt;"")*(INDIRECT("'"&amp;$B97&amp;"'!H23:H200")=$E$5),1,0)))</f>
        <v>0</v>
      </c>
      <c r="F97" s="565">
        <f t="array" aca="1" ref="F97" ca="1">IF($B97="N","",SUM(IF((INDIRECT("'"&amp;$B97&amp;"'!I23:I200")=$A$2)*(INDIRECT("'"&amp;$B97&amp;"'!O23:O200")=$D97)*(INDIRECT("'"&amp;$B97&amp;"'!O23:O200")&lt;&gt;"")*(INDIRECT("'"&amp;$B97&amp;"'!H23:H200")=$E$5),INDIRECT("'"&amp;$B97&amp;"'!p23:p200"),0)))</f>
        <v>0</v>
      </c>
      <c r="G97" s="564">
        <f t="array" aca="1" ref="G97" ca="1">IF($B97="N","",SUM(IF((INDIRECT("'"&amp;$B97&amp;"'!I23:I200")=$A$2)*(INDIRECT("'"&amp;$B97&amp;"'!O23:O200")=$D97)*(INDIRECT("'"&amp;$B97&amp;"'!O23:O200")&lt;&gt;"")*(INDIRECT("'"&amp;$B97&amp;"'!H23:H200")=$G$5),1,0)))</f>
        <v>0</v>
      </c>
      <c r="H97" s="565">
        <f t="array" aca="1" ref="H97" ca="1">IF($B97="N","",SUM(IF((INDIRECT("'"&amp;$B97&amp;"'!I23:I200")=$A$2)*(INDIRECT("'"&amp;$B97&amp;"'!O23:O200")=$D97)*(INDIRECT("'"&amp;$B97&amp;"'!O23:O200")&lt;&gt;"")*(INDIRECT("'"&amp;$B97&amp;"'!H23:H200")=$G$5),INDIRECT("'"&amp;$B97&amp;"'!p23:p200"),0)))</f>
        <v>0</v>
      </c>
      <c r="I97" s="515">
        <f t="shared" ca="1" si="20"/>
        <v>0</v>
      </c>
      <c r="J97" s="513">
        <f t="shared" ca="1" si="21"/>
        <v>0</v>
      </c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:59">
      <c r="B98" s="563" t="str">
        <f t="shared" si="22"/>
        <v>Ehime</v>
      </c>
      <c r="D98" s="511">
        <v>-1</v>
      </c>
      <c r="E98" s="564">
        <f t="array" aca="1" ref="E98" ca="1">IF($B98="N","",SUM(IF((INDIRECT("'"&amp;$B98&amp;"'!I23:I200")=$A$2)*(INDIRECT("'"&amp;$B98&amp;"'!O23:O200")=$D98)*(INDIRECT("'"&amp;$B98&amp;"'!O23:O200")&lt;&gt;"")*(INDIRECT("'"&amp;$B98&amp;"'!H23:H200")=$E$5),1,0)))</f>
        <v>0</v>
      </c>
      <c r="F98" s="565">
        <f t="array" aca="1" ref="F98" ca="1">IF($B98="N","",SUM(IF((INDIRECT("'"&amp;$B98&amp;"'!I23:I200")=$A$2)*(INDIRECT("'"&amp;$B98&amp;"'!O23:O200")=$D98)*(INDIRECT("'"&amp;$B98&amp;"'!O23:O200")&lt;&gt;"")*(INDIRECT("'"&amp;$B98&amp;"'!H23:H200")=$E$5),INDIRECT("'"&amp;$B98&amp;"'!p23:p200"),0)))</f>
        <v>0</v>
      </c>
      <c r="G98" s="564">
        <f t="array" aca="1" ref="G98" ca="1">IF($B98="N","",SUM(IF((INDIRECT("'"&amp;$B98&amp;"'!I23:I200")=$A$2)*(INDIRECT("'"&amp;$B98&amp;"'!O23:O200")=$D98)*(INDIRECT("'"&amp;$B98&amp;"'!O23:O200")&lt;&gt;"")*(INDIRECT("'"&amp;$B98&amp;"'!H23:H200")=$G$5),1,0)))</f>
        <v>0</v>
      </c>
      <c r="H98" s="565">
        <f t="array" aca="1" ref="H98" ca="1">IF($B98="N","",SUM(IF((INDIRECT("'"&amp;$B98&amp;"'!I23:I200")=$A$2)*(INDIRECT("'"&amp;$B98&amp;"'!O23:O200")=$D98)*(INDIRECT("'"&amp;$B98&amp;"'!O23:O200")&lt;&gt;"")*(INDIRECT("'"&amp;$B98&amp;"'!H23:H200")=$G$5),INDIRECT("'"&amp;$B98&amp;"'!p23:p200"),0)))</f>
        <v>0</v>
      </c>
      <c r="I98" s="515">
        <f t="shared" ca="1" si="20"/>
        <v>0</v>
      </c>
      <c r="J98" s="513">
        <f t="shared" ca="1" si="21"/>
        <v>0</v>
      </c>
      <c r="X98" s="230"/>
      <c r="Y98" s="230"/>
      <c r="Z98" s="230"/>
      <c r="AA98" s="230"/>
      <c r="AB98" s="230"/>
      <c r="AC98" s="230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:59">
      <c r="B99" s="563" t="str">
        <f t="shared" si="22"/>
        <v>Ehime</v>
      </c>
      <c r="D99" s="511">
        <v>-0.75</v>
      </c>
      <c r="E99" s="564">
        <f t="array" aca="1" ref="E99" ca="1">IF($B99="N","",SUM(IF((INDIRECT("'"&amp;$B99&amp;"'!I23:I200")=$A$2)*(INDIRECT("'"&amp;$B99&amp;"'!O23:O200")=$D99)*(INDIRECT("'"&amp;$B99&amp;"'!O23:O200")&lt;&gt;"")*(INDIRECT("'"&amp;$B99&amp;"'!H23:H200")=$E$5),1,0)))</f>
        <v>0</v>
      </c>
      <c r="F99" s="565">
        <f t="array" aca="1" ref="F99" ca="1">IF($B99="N","",SUM(IF((INDIRECT("'"&amp;$B99&amp;"'!I23:I200")=$A$2)*(INDIRECT("'"&amp;$B99&amp;"'!O23:O200")=$D99)*(INDIRECT("'"&amp;$B99&amp;"'!O23:O200")&lt;&gt;"")*(INDIRECT("'"&amp;$B99&amp;"'!H23:H200")=$E$5),INDIRECT("'"&amp;$B99&amp;"'!p23:p200"),0)))</f>
        <v>0</v>
      </c>
      <c r="G99" s="564">
        <f t="array" aca="1" ref="G99" ca="1">IF($B99="N","",SUM(IF((INDIRECT("'"&amp;$B99&amp;"'!I23:I200")=$A$2)*(INDIRECT("'"&amp;$B99&amp;"'!O23:O200")=$D99)*(INDIRECT("'"&amp;$B99&amp;"'!O23:O200")&lt;&gt;"")*(INDIRECT("'"&amp;$B99&amp;"'!H23:H200")=$G$5),1,0)))</f>
        <v>0</v>
      </c>
      <c r="H99" s="565">
        <f t="array" aca="1" ref="H99" ca="1">IF($B99="N","",SUM(IF((INDIRECT("'"&amp;$B99&amp;"'!I23:I200")=$A$2)*(INDIRECT("'"&amp;$B99&amp;"'!O23:O200")=$D99)*(INDIRECT("'"&amp;$B99&amp;"'!O23:O200")&lt;&gt;"")*(INDIRECT("'"&amp;$B99&amp;"'!H23:H200")=$G$5),INDIRECT("'"&amp;$B99&amp;"'!p23:p200"),0)))</f>
        <v>0</v>
      </c>
      <c r="I99" s="515">
        <f t="shared" ca="1" si="20"/>
        <v>0</v>
      </c>
      <c r="J99" s="513">
        <f t="shared" ca="1" si="21"/>
        <v>0</v>
      </c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:59">
      <c r="B100" s="563" t="str">
        <f t="shared" si="22"/>
        <v>Ehime</v>
      </c>
      <c r="D100" s="511">
        <v>-0.5</v>
      </c>
      <c r="E100" s="564">
        <f t="array" aca="1" ref="E100" ca="1">IF($B100="N","",SUM(IF((INDIRECT("'"&amp;$B100&amp;"'!I23:I200")=$A$2)*(INDIRECT("'"&amp;$B100&amp;"'!O23:O200")=$D100)*(INDIRECT("'"&amp;$B100&amp;"'!O23:O200")&lt;&gt;"")*(INDIRECT("'"&amp;$B100&amp;"'!H23:H200")=$E$5),1,0)))</f>
        <v>1</v>
      </c>
      <c r="F100" s="565">
        <f t="array" aca="1" ref="F100" ca="1">IF($B100="N","",SUM(IF((INDIRECT("'"&amp;$B100&amp;"'!I23:I200")=$A$2)*(INDIRECT("'"&amp;$B100&amp;"'!O23:O200")=$D100)*(INDIRECT("'"&amp;$B100&amp;"'!O23:O200")&lt;&gt;"")*(INDIRECT("'"&amp;$B100&amp;"'!H23:H200")=$E$5),INDIRECT("'"&amp;$B100&amp;"'!p23:p200"),0)))</f>
        <v>1</v>
      </c>
      <c r="G100" s="564">
        <f t="array" aca="1" ref="G100" ca="1">IF($B100="N","",SUM(IF((INDIRECT("'"&amp;$B100&amp;"'!I23:I200")=$A$2)*(INDIRECT("'"&amp;$B100&amp;"'!O23:O200")=$D100)*(INDIRECT("'"&amp;$B100&amp;"'!O23:O200")&lt;&gt;"")*(INDIRECT("'"&amp;$B100&amp;"'!H23:H200")=$G$5),1,0)))</f>
        <v>0</v>
      </c>
      <c r="H100" s="565">
        <f t="array" aca="1" ref="H100" ca="1">IF($B100="N","",SUM(IF((INDIRECT("'"&amp;$B100&amp;"'!I23:I200")=$A$2)*(INDIRECT("'"&amp;$B100&amp;"'!O23:O200")=$D100)*(INDIRECT("'"&amp;$B100&amp;"'!O23:O200")&lt;&gt;"")*(INDIRECT("'"&amp;$B100&amp;"'!H23:H200")=$G$5),INDIRECT("'"&amp;$B100&amp;"'!p23:p200"),0)))</f>
        <v>0</v>
      </c>
      <c r="I100" s="515">
        <f t="shared" ca="1" si="20"/>
        <v>1</v>
      </c>
      <c r="J100" s="513">
        <f t="shared" ca="1" si="21"/>
        <v>1</v>
      </c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  <row r="101" spans="2:59">
      <c r="B101" s="563" t="str">
        <f t="shared" si="22"/>
        <v>Ehime</v>
      </c>
      <c r="D101" s="511">
        <v>-0.25</v>
      </c>
      <c r="E101" s="564">
        <f t="array" aca="1" ref="E101" ca="1">IF($B101="N","",SUM(IF((INDIRECT("'"&amp;$B101&amp;"'!I23:I200")=$A$2)*(INDIRECT("'"&amp;$B101&amp;"'!O23:O200")=$D101)*(INDIRECT("'"&amp;$B101&amp;"'!O23:O200")&lt;&gt;"")*(INDIRECT("'"&amp;$B101&amp;"'!H23:H200")=$E$5),1,0)))</f>
        <v>7</v>
      </c>
      <c r="F101" s="565">
        <f t="array" aca="1" ref="F101" ca="1">IF($B101="N","",SUM(IF((INDIRECT("'"&amp;$B101&amp;"'!I23:I200")=$A$2)*(INDIRECT("'"&amp;$B101&amp;"'!O23:O200")=$D101)*(INDIRECT("'"&amp;$B101&amp;"'!O23:O200")&lt;&gt;"")*(INDIRECT("'"&amp;$B101&amp;"'!H23:H200")=$E$5),INDIRECT("'"&amp;$B101&amp;"'!p23:p200"),0)))</f>
        <v>5.5</v>
      </c>
      <c r="G101" s="564">
        <f t="array" aca="1" ref="G101" ca="1">IF($B101="N","",SUM(IF((INDIRECT("'"&amp;$B101&amp;"'!I23:I200")=$A$2)*(INDIRECT("'"&amp;$B101&amp;"'!O23:O200")=$D101)*(INDIRECT("'"&amp;$B101&amp;"'!O23:O200")&lt;&gt;"")*(INDIRECT("'"&amp;$B101&amp;"'!H23:H200")=$G$5),1,0)))</f>
        <v>3</v>
      </c>
      <c r="H101" s="565">
        <f t="array" aca="1" ref="H101" ca="1">IF($B101="N","",SUM(IF((INDIRECT("'"&amp;$B101&amp;"'!I23:I200")=$A$2)*(INDIRECT("'"&amp;$B101&amp;"'!O23:O200")=$D101)*(INDIRECT("'"&amp;$B101&amp;"'!O23:O200")&lt;&gt;"")*(INDIRECT("'"&amp;$B101&amp;"'!H23:H200")=$G$5),INDIRECT("'"&amp;$B101&amp;"'!p23:p200"),0)))</f>
        <v>-0.5</v>
      </c>
      <c r="I101" s="515">
        <f t="shared" ca="1" si="20"/>
        <v>10</v>
      </c>
      <c r="J101" s="513">
        <f t="shared" ca="1" si="21"/>
        <v>5</v>
      </c>
    </row>
    <row r="102" spans="2:59">
      <c r="B102" s="563" t="str">
        <f t="shared" si="22"/>
        <v>Ehime</v>
      </c>
      <c r="D102" s="511">
        <v>0</v>
      </c>
      <c r="E102" s="564">
        <f t="array" aca="1" ref="E102" ca="1">IF($B102="N","",SUM(IF((INDIRECT("'"&amp;$B102&amp;"'!I23:I200")=$A$2)*(INDIRECT("'"&amp;$B102&amp;"'!O23:O200")=$D102)*(INDIRECT("'"&amp;$B102&amp;"'!O23:O200")&lt;&gt;"")*(INDIRECT("'"&amp;$B102&amp;"'!H23:H200")=$E$5),1,0)))</f>
        <v>5</v>
      </c>
      <c r="F102" s="565">
        <f t="array" aca="1" ref="F102" ca="1">IF($B102="N","",SUM(IF((INDIRECT("'"&amp;$B102&amp;"'!I23:I200")=$A$2)*(INDIRECT("'"&amp;$B102&amp;"'!O23:O200")=$D102)*(INDIRECT("'"&amp;$B102&amp;"'!O23:O200")&lt;&gt;"")*(INDIRECT("'"&amp;$B102&amp;"'!H23:H200")=$E$5),INDIRECT("'"&amp;$B102&amp;"'!p23:p200"),0)))</f>
        <v>-1</v>
      </c>
      <c r="G102" s="564">
        <f t="array" aca="1" ref="G102" ca="1">IF($B102="N","",SUM(IF((INDIRECT("'"&amp;$B102&amp;"'!I23:I200")=$A$2)*(INDIRECT("'"&amp;$B102&amp;"'!O23:O200")=$D102)*(INDIRECT("'"&amp;$B102&amp;"'!O23:O200")&lt;&gt;"")*(INDIRECT("'"&amp;$B102&amp;"'!H23:H200")=$G$5),1,0)))</f>
        <v>3</v>
      </c>
      <c r="H102" s="565">
        <f t="array" aca="1" ref="H102" ca="1">IF($B102="N","",SUM(IF((INDIRECT("'"&amp;$B102&amp;"'!I23:I200")=$A$2)*(INDIRECT("'"&amp;$B102&amp;"'!O23:O200")=$D102)*(INDIRECT("'"&amp;$B102&amp;"'!O23:O200")&lt;&gt;"")*(INDIRECT("'"&amp;$B102&amp;"'!H23:H200")=$G$5),INDIRECT("'"&amp;$B102&amp;"'!p23:p200"),0)))</f>
        <v>-2</v>
      </c>
      <c r="I102" s="515">
        <f t="shared" ca="1" si="20"/>
        <v>8</v>
      </c>
      <c r="J102" s="513">
        <f t="shared" ca="1" si="21"/>
        <v>-3</v>
      </c>
    </row>
    <row r="103" spans="2:59">
      <c r="B103" s="563" t="str">
        <f t="shared" si="22"/>
        <v>Ehime</v>
      </c>
      <c r="D103" s="511">
        <v>0.25</v>
      </c>
      <c r="E103" s="564">
        <f t="array" aca="1" ref="E103" ca="1">IF($B103="N","",SUM(IF((INDIRECT("'"&amp;$B103&amp;"'!I23:I200")=$A$2)*(INDIRECT("'"&amp;$B103&amp;"'!O23:O200")=$D103)*(INDIRECT("'"&amp;$B103&amp;"'!O23:O200")&lt;&gt;"")*(INDIRECT("'"&amp;$B103&amp;"'!H23:H200")=$E$5),1,0)))</f>
        <v>6</v>
      </c>
      <c r="F103" s="565">
        <f t="array" aca="1" ref="F103" ca="1">IF($B103="N","",SUM(IF((INDIRECT("'"&amp;$B103&amp;"'!I23:I200")=$A$2)*(INDIRECT("'"&amp;$B103&amp;"'!O23:O200")=$D103)*(INDIRECT("'"&amp;$B103&amp;"'!O23:O200")&lt;&gt;"")*(INDIRECT("'"&amp;$B103&amp;"'!H23:H200")=$E$5),INDIRECT("'"&amp;$B103&amp;"'!p23:p200"),0)))</f>
        <v>-0.5</v>
      </c>
      <c r="G103" s="564">
        <f t="array" aca="1" ref="G103" ca="1">IF($B103="N","",SUM(IF((INDIRECT("'"&amp;$B103&amp;"'!I23:I200")=$A$2)*(INDIRECT("'"&amp;$B103&amp;"'!O23:O200")=$D103)*(INDIRECT("'"&amp;$B103&amp;"'!O23:O200")&lt;&gt;"")*(INDIRECT("'"&amp;$B103&amp;"'!H23:H200")=$G$5),1,0)))</f>
        <v>8</v>
      </c>
      <c r="H103" s="565">
        <f t="array" aca="1" ref="H103" ca="1">IF($B103="N","",SUM(IF((INDIRECT("'"&amp;$B103&amp;"'!I23:I200")=$A$2)*(INDIRECT("'"&amp;$B103&amp;"'!O23:O200")=$D103)*(INDIRECT("'"&amp;$B103&amp;"'!O23:O200")&lt;&gt;"")*(INDIRECT("'"&amp;$B103&amp;"'!H23:H200")=$G$5),INDIRECT("'"&amp;$B103&amp;"'!p23:p200"),0)))</f>
        <v>-3</v>
      </c>
      <c r="I103" s="515">
        <f t="shared" ca="1" si="20"/>
        <v>14</v>
      </c>
      <c r="J103" s="513">
        <f t="shared" ca="1" si="21"/>
        <v>-3.5</v>
      </c>
    </row>
    <row r="104" spans="2:59">
      <c r="B104" s="563" t="str">
        <f t="shared" si="22"/>
        <v>Ehime</v>
      </c>
      <c r="D104" s="511">
        <v>0.5</v>
      </c>
      <c r="E104" s="564">
        <f t="array" aca="1" ref="E104" ca="1">IF($B104="N","",SUM(IF((INDIRECT("'"&amp;$B104&amp;"'!I23:I200")=$A$2)*(INDIRECT("'"&amp;$B104&amp;"'!O23:O200")=$D104)*(INDIRECT("'"&amp;$B104&amp;"'!O23:O200")&lt;&gt;"")*(INDIRECT("'"&amp;$B104&amp;"'!H23:H200")=$E$5),1,0)))</f>
        <v>1</v>
      </c>
      <c r="F104" s="565">
        <f t="array" aca="1" ref="F104" ca="1">IF($B104="N","",SUM(IF((INDIRECT("'"&amp;$B104&amp;"'!I23:I200")=$A$2)*(INDIRECT("'"&amp;$B104&amp;"'!O23:O200")=$D104)*(INDIRECT("'"&amp;$B104&amp;"'!O23:O200")&lt;&gt;"")*(INDIRECT("'"&amp;$B104&amp;"'!H23:H200")=$E$5),INDIRECT("'"&amp;$B104&amp;"'!p23:p200"),0)))</f>
        <v>-1</v>
      </c>
      <c r="G104" s="564">
        <f t="array" aca="1" ref="G104" ca="1">IF($B104="N","",SUM(IF((INDIRECT("'"&amp;$B104&amp;"'!I23:I200")=$A$2)*(INDIRECT("'"&amp;$B104&amp;"'!O23:O200")=$D104)*(INDIRECT("'"&amp;$B104&amp;"'!O23:O200")&lt;&gt;"")*(INDIRECT("'"&amp;$B104&amp;"'!H23:H200")=$G$5),1,0)))</f>
        <v>4</v>
      </c>
      <c r="H104" s="565">
        <f t="array" aca="1" ref="H104" ca="1">IF($B104="N","",SUM(IF((INDIRECT("'"&amp;$B104&amp;"'!I23:I200")=$A$2)*(INDIRECT("'"&amp;$B104&amp;"'!O23:O200")=$D104)*(INDIRECT("'"&amp;$B104&amp;"'!O23:O200")&lt;&gt;"")*(INDIRECT("'"&amp;$B104&amp;"'!H23:H200")=$G$5),INDIRECT("'"&amp;$B104&amp;"'!p23:p200"),0)))</f>
        <v>0</v>
      </c>
      <c r="I104" s="515">
        <f t="shared" ca="1" si="20"/>
        <v>5</v>
      </c>
      <c r="J104" s="513">
        <f t="shared" ca="1" si="21"/>
        <v>-1</v>
      </c>
    </row>
    <row r="105" spans="2:59">
      <c r="B105" s="563" t="str">
        <f t="shared" si="22"/>
        <v>Ehime</v>
      </c>
      <c r="D105" s="511">
        <v>0.75</v>
      </c>
      <c r="E105" s="564">
        <f t="array" aca="1" ref="E105" ca="1">IF($B105="N","",SUM(IF((INDIRECT("'"&amp;$B105&amp;"'!I23:I200")=$A$2)*(INDIRECT("'"&amp;$B105&amp;"'!O23:O200")=$D105)*(INDIRECT("'"&amp;$B105&amp;"'!O23:O200")&lt;&gt;"")*(INDIRECT("'"&amp;$B105&amp;"'!H23:H200")=$E$5),1,0)))</f>
        <v>1</v>
      </c>
      <c r="F105" s="565">
        <f t="array" aca="1" ref="F105" ca="1">IF($B105="N","",SUM(IF((INDIRECT("'"&amp;$B105&amp;"'!I23:I200")=$A$2)*(INDIRECT("'"&amp;$B105&amp;"'!O23:O200")=$D105)*(INDIRECT("'"&amp;$B105&amp;"'!O23:O200")&lt;&gt;"")*(INDIRECT("'"&amp;$B105&amp;"'!H23:H200")=$E$5),INDIRECT("'"&amp;$B105&amp;"'!p23:p200"),0)))</f>
        <v>-1</v>
      </c>
      <c r="G105" s="564">
        <f t="array" aca="1" ref="G105" ca="1">IF($B105="N","",SUM(IF((INDIRECT("'"&amp;$B105&amp;"'!I23:I200")=$A$2)*(INDIRECT("'"&amp;$B105&amp;"'!O23:O200")=$D105)*(INDIRECT("'"&amp;$B105&amp;"'!O23:O200")&lt;&gt;"")*(INDIRECT("'"&amp;$B105&amp;"'!H23:H200")=$G$5),1,0)))</f>
        <v>2</v>
      </c>
      <c r="H105" s="565">
        <f t="array" aca="1" ref="H105" ca="1">IF($B105="N","",SUM(IF((INDIRECT("'"&amp;$B105&amp;"'!I23:I200")=$A$2)*(INDIRECT("'"&amp;$B105&amp;"'!O23:O200")=$D105)*(INDIRECT("'"&amp;$B105&amp;"'!O23:O200")&lt;&gt;"")*(INDIRECT("'"&amp;$B105&amp;"'!H23:H200")=$G$5),INDIRECT("'"&amp;$B105&amp;"'!p23:p200"),0)))</f>
        <v>0.5</v>
      </c>
      <c r="I105" s="515">
        <f t="shared" ca="1" si="20"/>
        <v>3</v>
      </c>
      <c r="J105" s="513">
        <f t="shared" ca="1" si="21"/>
        <v>-0.5</v>
      </c>
    </row>
    <row r="106" spans="2:59">
      <c r="B106" s="563" t="str">
        <f t="shared" si="22"/>
        <v>Ehime</v>
      </c>
      <c r="D106" s="511">
        <v>1</v>
      </c>
      <c r="E106" s="564">
        <f t="array" aca="1" ref="E106" ca="1">IF($B106="N","",SUM(IF((INDIRECT("'"&amp;$B106&amp;"'!I23:I200")=$A$2)*(INDIRECT("'"&amp;$B106&amp;"'!O23:O200")=$D106)*(INDIRECT("'"&amp;$B106&amp;"'!O23:O200")&lt;&gt;"")*(INDIRECT("'"&amp;$B106&amp;"'!H23:H200")=$E$5),1,0)))</f>
        <v>0</v>
      </c>
      <c r="F106" s="565">
        <f t="array" aca="1" ref="F106" ca="1">IF($B106="N","",SUM(IF((INDIRECT("'"&amp;$B106&amp;"'!I23:I200")=$A$2)*(INDIRECT("'"&amp;$B106&amp;"'!O23:O200")=$D106)*(INDIRECT("'"&amp;$B106&amp;"'!O23:O200")&lt;&gt;"")*(INDIRECT("'"&amp;$B106&amp;"'!H23:H200")=$E$5),INDIRECT("'"&amp;$B106&amp;"'!p23:p200"),0)))</f>
        <v>0</v>
      </c>
      <c r="G106" s="564">
        <f t="array" aca="1" ref="G106" ca="1">IF($B106="N","",SUM(IF((INDIRECT("'"&amp;$B106&amp;"'!I23:I200")=$A$2)*(INDIRECT("'"&amp;$B106&amp;"'!O23:O200")=$D106)*(INDIRECT("'"&amp;$B106&amp;"'!O23:O200")&lt;&gt;"")*(INDIRECT("'"&amp;$B106&amp;"'!H23:H200")=$G$5),1,0)))</f>
        <v>1</v>
      </c>
      <c r="H106" s="565">
        <f t="array" aca="1" ref="H106" ca="1">IF($B106="N","",SUM(IF((INDIRECT("'"&amp;$B106&amp;"'!I23:I200")=$A$2)*(INDIRECT("'"&amp;$B106&amp;"'!O23:O200")=$D106)*(INDIRECT("'"&amp;$B106&amp;"'!O23:O200")&lt;&gt;"")*(INDIRECT("'"&amp;$B106&amp;"'!H23:H200")=$G$5),INDIRECT("'"&amp;$B106&amp;"'!p23:p200"),0)))</f>
        <v>0</v>
      </c>
      <c r="I106" s="515">
        <f t="shared" ca="1" si="20"/>
        <v>1</v>
      </c>
      <c r="J106" s="513">
        <f t="shared" ca="1" si="21"/>
        <v>0</v>
      </c>
    </row>
    <row r="107" spans="2:59">
      <c r="B107" s="563" t="str">
        <f t="shared" si="22"/>
        <v>Ehime</v>
      </c>
      <c r="D107" s="511">
        <v>1.25</v>
      </c>
      <c r="E107" s="564">
        <f t="array" aca="1" ref="E107" ca="1">IF($B107="N","",SUM(IF((INDIRECT("'"&amp;$B107&amp;"'!I23:I200")=$A$2)*(INDIRECT("'"&amp;$B107&amp;"'!O23:O200")=$D107)*(INDIRECT("'"&amp;$B107&amp;"'!O23:O200")&lt;&gt;"")*(INDIRECT("'"&amp;$B107&amp;"'!H23:H200")=$E$5),1,0)))</f>
        <v>0</v>
      </c>
      <c r="F107" s="565">
        <f t="array" aca="1" ref="F107" ca="1">IF($B107="N","",SUM(IF((INDIRECT("'"&amp;$B107&amp;"'!I23:I200")=$A$2)*(INDIRECT("'"&amp;$B107&amp;"'!O23:O200")=$D107)*(INDIRECT("'"&amp;$B107&amp;"'!O23:O200")&lt;&gt;"")*(INDIRECT("'"&amp;$B107&amp;"'!H23:H200")=$E$5),INDIRECT("'"&amp;$B107&amp;"'!p23:p200"),0)))</f>
        <v>0</v>
      </c>
      <c r="G107" s="564">
        <f t="array" aca="1" ref="G107" ca="1">IF($B107="N","",SUM(IF((INDIRECT("'"&amp;$B107&amp;"'!I23:I200")=$A$2)*(INDIRECT("'"&amp;$B107&amp;"'!O23:O200")=$D107)*(INDIRECT("'"&amp;$B107&amp;"'!O23:O200")&lt;&gt;"")*(INDIRECT("'"&amp;$B107&amp;"'!H23:H200")=$G$5),1,0)))</f>
        <v>0</v>
      </c>
      <c r="H107" s="565">
        <f t="array" aca="1" ref="H107" ca="1">IF($B107="N","",SUM(IF((INDIRECT("'"&amp;$B107&amp;"'!I23:I200")=$A$2)*(INDIRECT("'"&amp;$B107&amp;"'!O23:O200")=$D107)*(INDIRECT("'"&amp;$B107&amp;"'!O23:O200")&lt;&gt;"")*(INDIRECT("'"&amp;$B107&amp;"'!H23:H200")=$G$5),INDIRECT("'"&amp;$B107&amp;"'!p23:p200"),0)))</f>
        <v>0</v>
      </c>
      <c r="I107" s="515">
        <f t="shared" ca="1" si="20"/>
        <v>0</v>
      </c>
      <c r="J107" s="513">
        <f t="shared" ca="1" si="21"/>
        <v>0</v>
      </c>
    </row>
    <row r="108" spans="2:59">
      <c r="B108" s="563" t="str">
        <f t="shared" si="22"/>
        <v>Ehime</v>
      </c>
      <c r="D108" s="511">
        <v>1.5</v>
      </c>
      <c r="E108" s="564">
        <f t="array" aca="1" ref="E108" ca="1">IF($B108="N","",SUM(IF((INDIRECT("'"&amp;$B108&amp;"'!I23:I200")=$A$2)*(INDIRECT("'"&amp;$B108&amp;"'!O23:O200")=$D108)*(INDIRECT("'"&amp;$B108&amp;"'!O23:O200")&lt;&gt;"")*(INDIRECT("'"&amp;$B108&amp;"'!H23:H200")=$E$5),1,0)))</f>
        <v>0</v>
      </c>
      <c r="F108" s="565">
        <f t="array" aca="1" ref="F108" ca="1">IF($B108="N","",SUM(IF((INDIRECT("'"&amp;$B108&amp;"'!I23:I200")=$A$2)*(INDIRECT("'"&amp;$B108&amp;"'!O23:O200")=$D108)*(INDIRECT("'"&amp;$B108&amp;"'!O23:O200")&lt;&gt;"")*(INDIRECT("'"&amp;$B108&amp;"'!H23:H200")=$E$5),INDIRECT("'"&amp;$B108&amp;"'!p23:p200"),0)))</f>
        <v>0</v>
      </c>
      <c r="G108" s="564">
        <f t="array" aca="1" ref="G108" ca="1">IF($B108="N","",SUM(IF((INDIRECT("'"&amp;$B108&amp;"'!I23:I200")=$A$2)*(INDIRECT("'"&amp;$B108&amp;"'!O23:O200")=$D108)*(INDIRECT("'"&amp;$B108&amp;"'!O23:O200")&lt;&gt;"")*(INDIRECT("'"&amp;$B108&amp;"'!H23:H200")=$G$5),1,0)))</f>
        <v>0</v>
      </c>
      <c r="H108" s="565">
        <f t="array" aca="1" ref="H108" ca="1">IF($B108="N","",SUM(IF((INDIRECT("'"&amp;$B108&amp;"'!I23:I200")=$A$2)*(INDIRECT("'"&amp;$B108&amp;"'!O23:O200")=$D108)*(INDIRECT("'"&amp;$B108&amp;"'!O23:O200")&lt;&gt;"")*(INDIRECT("'"&amp;$B108&amp;"'!H23:H200")=$G$5),INDIRECT("'"&amp;$B108&amp;"'!p23:p200"),0)))</f>
        <v>0</v>
      </c>
      <c r="I108" s="515">
        <f t="shared" ca="1" si="20"/>
        <v>0</v>
      </c>
      <c r="J108" s="513">
        <f t="shared" ca="1" si="21"/>
        <v>0</v>
      </c>
    </row>
    <row r="109" spans="2:59">
      <c r="B109" s="563" t="str">
        <f t="shared" si="22"/>
        <v>Ehime</v>
      </c>
      <c r="D109" s="528">
        <v>1.75</v>
      </c>
      <c r="E109" s="564">
        <f t="array" aca="1" ref="E109" ca="1">IF($B109="N","",SUM(IF((INDIRECT("'"&amp;$B109&amp;"'!I23:I200")=$A$2)*(INDIRECT("'"&amp;$B109&amp;"'!O23:O200")=$D109)*(INDIRECT("'"&amp;$B109&amp;"'!O23:O200")&lt;&gt;"")*(INDIRECT("'"&amp;$B109&amp;"'!H23:H200")=$E$5),1,0)))</f>
        <v>0</v>
      </c>
      <c r="F109" s="565">
        <f t="array" aca="1" ref="F109" ca="1">IF($B109="N","",SUM(IF((INDIRECT("'"&amp;$B109&amp;"'!I23:I200")=$A$2)*(INDIRECT("'"&amp;$B109&amp;"'!O23:O200")=$D109)*(INDIRECT("'"&amp;$B109&amp;"'!O23:O200")&lt;&gt;"")*(INDIRECT("'"&amp;$B109&amp;"'!H23:H200")=$E$5),INDIRECT("'"&amp;$B109&amp;"'!p23:p200"),0)))</f>
        <v>0</v>
      </c>
      <c r="G109" s="564">
        <f t="array" aca="1" ref="G109" ca="1">IF($B109="N","",SUM(IF((INDIRECT("'"&amp;$B109&amp;"'!I23:I200")=$A$2)*(INDIRECT("'"&amp;$B109&amp;"'!O23:O200")=$D109)*(INDIRECT("'"&amp;$B109&amp;"'!O23:O200")&lt;&gt;"")*(INDIRECT("'"&amp;$B109&amp;"'!H23:H200")=$G$5),1,0)))</f>
        <v>0</v>
      </c>
      <c r="H109" s="565">
        <f t="array" aca="1" ref="H109" ca="1">IF($B109="N","",SUM(IF((INDIRECT("'"&amp;$B109&amp;"'!I23:I200")=$A$2)*(INDIRECT("'"&amp;$B109&amp;"'!O23:O200")=$D109)*(INDIRECT("'"&amp;$B109&amp;"'!O23:O200")&lt;&gt;"")*(INDIRECT("'"&amp;$B109&amp;"'!H23:H200")=$G$5),INDIRECT("'"&amp;$B109&amp;"'!p23:p200"),0)))</f>
        <v>0</v>
      </c>
      <c r="I109" s="515">
        <f t="shared" ca="1" si="20"/>
        <v>0</v>
      </c>
      <c r="J109" s="513">
        <f t="shared" ca="1" si="21"/>
        <v>0</v>
      </c>
    </row>
    <row r="110" spans="2:59">
      <c r="B110" s="563" t="str">
        <f t="shared" si="22"/>
        <v>Ehime</v>
      </c>
      <c r="D110" s="528">
        <v>2</v>
      </c>
      <c r="E110" s="564">
        <f t="array" aca="1" ref="E110" ca="1">IF($B110="N","",SUM(IF((INDIRECT("'"&amp;$B110&amp;"'!I23:I200")=$A$2)*(INDIRECT("'"&amp;$B110&amp;"'!O23:O200")=$D110)*(INDIRECT("'"&amp;$B110&amp;"'!O23:O200")&lt;&gt;"")*(INDIRECT("'"&amp;$B110&amp;"'!H23:H200")=$E$5),1,0)))</f>
        <v>0</v>
      </c>
      <c r="F110" s="565">
        <f t="array" aca="1" ref="F110" ca="1">IF($B110="N","",SUM(IF((INDIRECT("'"&amp;$B110&amp;"'!I23:I200")=$A$2)*(INDIRECT("'"&amp;$B110&amp;"'!O23:O200")=$D110)*(INDIRECT("'"&amp;$B110&amp;"'!O23:O200")&lt;&gt;"")*(INDIRECT("'"&amp;$B110&amp;"'!H23:H200")=$E$5),INDIRECT("'"&amp;$B110&amp;"'!p23:p200"),0)))</f>
        <v>0</v>
      </c>
      <c r="G110" s="564">
        <f t="array" aca="1" ref="G110" ca="1">IF($B110="N","",SUM(IF((INDIRECT("'"&amp;$B110&amp;"'!I23:I200")=$A$2)*(INDIRECT("'"&amp;$B110&amp;"'!O23:O200")=$D110)*(INDIRECT("'"&amp;$B110&amp;"'!O23:O200")&lt;&gt;"")*(INDIRECT("'"&amp;$B110&amp;"'!H23:H200")=$G$5),1,0)))</f>
        <v>0</v>
      </c>
      <c r="H110" s="565">
        <f t="array" aca="1" ref="H110" ca="1">IF($B110="N","",SUM(IF((INDIRECT("'"&amp;$B110&amp;"'!I23:I200")=$A$2)*(INDIRECT("'"&amp;$B110&amp;"'!O23:O200")=$D110)*(INDIRECT("'"&amp;$B110&amp;"'!O23:O200")&lt;&gt;"")*(INDIRECT("'"&amp;$B110&amp;"'!H23:H200")=$G$5),INDIRECT("'"&amp;$B110&amp;"'!p23:p200"),0)))</f>
        <v>0</v>
      </c>
      <c r="I110" s="515">
        <f t="shared" ca="1" si="20"/>
        <v>0</v>
      </c>
      <c r="J110" s="513">
        <f t="shared" ca="1" si="21"/>
        <v>0</v>
      </c>
    </row>
    <row r="111" spans="2:59">
      <c r="B111" s="563" t="str">
        <f t="shared" si="22"/>
        <v>Ehime</v>
      </c>
      <c r="D111" s="528">
        <v>2.25</v>
      </c>
      <c r="E111" s="564">
        <f t="array" aca="1" ref="E111" ca="1">IF($B111="N","",SUM(IF((INDIRECT("'"&amp;$B111&amp;"'!I23:I200")=$A$2)*(INDIRECT("'"&amp;$B111&amp;"'!O23:O200")=$D111)*(INDIRECT("'"&amp;$B111&amp;"'!O23:O200")&lt;&gt;"")*(INDIRECT("'"&amp;$B111&amp;"'!H23:H200")=$E$5),1,0)))</f>
        <v>0</v>
      </c>
      <c r="F111" s="565">
        <f t="array" aca="1" ref="F111" ca="1">IF($B111="N","",SUM(IF((INDIRECT("'"&amp;$B111&amp;"'!I23:I200")=$A$2)*(INDIRECT("'"&amp;$B111&amp;"'!O23:O200")=$D111)*(INDIRECT("'"&amp;$B111&amp;"'!O23:O200")&lt;&gt;"")*(INDIRECT("'"&amp;$B111&amp;"'!H23:H200")=$E$5),INDIRECT("'"&amp;$B111&amp;"'!p23:p200"),0)))</f>
        <v>0</v>
      </c>
      <c r="G111" s="564">
        <f t="array" aca="1" ref="G111" ca="1">IF($B111="N","",SUM(IF((INDIRECT("'"&amp;$B111&amp;"'!I23:I200")=$A$2)*(INDIRECT("'"&amp;$B111&amp;"'!O23:O200")=$D111)*(INDIRECT("'"&amp;$B111&amp;"'!O23:O200")&lt;&gt;"")*(INDIRECT("'"&amp;$B111&amp;"'!H23:H200")=$G$5),1,0)))</f>
        <v>0</v>
      </c>
      <c r="H111" s="565">
        <f t="array" aca="1" ref="H111" ca="1">IF($B111="N","",SUM(IF((INDIRECT("'"&amp;$B111&amp;"'!I23:I200")=$A$2)*(INDIRECT("'"&amp;$B111&amp;"'!O23:O200")=$D111)*(INDIRECT("'"&amp;$B111&amp;"'!O23:O200")&lt;&gt;"")*(INDIRECT("'"&amp;$B111&amp;"'!H23:H200")=$G$5),INDIRECT("'"&amp;$B111&amp;"'!p23:p200"),0)))</f>
        <v>0</v>
      </c>
      <c r="I111" s="515">
        <f t="shared" ca="1" si="20"/>
        <v>0</v>
      </c>
      <c r="J111" s="513">
        <f t="shared" ca="1" si="21"/>
        <v>0</v>
      </c>
    </row>
    <row r="112" spans="2:59">
      <c r="B112" s="563" t="str">
        <f t="shared" si="22"/>
        <v>Ehime</v>
      </c>
      <c r="D112" s="528">
        <v>2.5</v>
      </c>
      <c r="E112" s="564">
        <f t="array" aca="1" ref="E112" ca="1">IF($B112="N","",SUM(IF((INDIRECT("'"&amp;$B112&amp;"'!I23:I200")=$A$2)*(INDIRECT("'"&amp;$B112&amp;"'!O23:O200")=$D112)*(INDIRECT("'"&amp;$B112&amp;"'!O23:O200")&lt;&gt;"")*(INDIRECT("'"&amp;$B112&amp;"'!H23:H200")=$E$5),1,0)))</f>
        <v>0</v>
      </c>
      <c r="F112" s="565">
        <f t="array" aca="1" ref="F112" ca="1">IF($B112="N","",SUM(IF((INDIRECT("'"&amp;$B112&amp;"'!I23:I200")=$A$2)*(INDIRECT("'"&amp;$B112&amp;"'!O23:O200")=$D112)*(INDIRECT("'"&amp;$B112&amp;"'!O23:O200")&lt;&gt;"")*(INDIRECT("'"&amp;$B112&amp;"'!H23:H200")=$E$5),INDIRECT("'"&amp;$B112&amp;"'!p23:p200"),0)))</f>
        <v>0</v>
      </c>
      <c r="G112" s="564">
        <f t="array" aca="1" ref="G112" ca="1">IF($B112="N","",SUM(IF((INDIRECT("'"&amp;$B112&amp;"'!I23:I200")=$A$2)*(INDIRECT("'"&amp;$B112&amp;"'!O23:O200")=$D112)*(INDIRECT("'"&amp;$B112&amp;"'!O23:O200")&lt;&gt;"")*(INDIRECT("'"&amp;$B112&amp;"'!H23:H200")=$G$5),1,0)))</f>
        <v>0</v>
      </c>
      <c r="H112" s="565">
        <f t="array" aca="1" ref="H112" ca="1">IF($B112="N","",SUM(IF((INDIRECT("'"&amp;$B112&amp;"'!I23:I200")=$A$2)*(INDIRECT("'"&amp;$B112&amp;"'!O23:O200")=$D112)*(INDIRECT("'"&amp;$B112&amp;"'!O23:O200")&lt;&gt;"")*(INDIRECT("'"&amp;$B112&amp;"'!H23:H200")=$G$5),INDIRECT("'"&amp;$B112&amp;"'!p23:p200"),0)))</f>
        <v>0</v>
      </c>
      <c r="I112" s="515">
        <f t="shared" ca="1" si="20"/>
        <v>0</v>
      </c>
      <c r="J112" s="513">
        <f t="shared" ca="1" si="21"/>
        <v>0</v>
      </c>
    </row>
    <row r="113" spans="1:10" ht="15" thickBot="1">
      <c r="B113" s="563" t="str">
        <f t="shared" si="22"/>
        <v>Ehime</v>
      </c>
      <c r="D113" s="511">
        <v>2.75</v>
      </c>
      <c r="E113" s="564">
        <f t="array" aca="1" ref="E113" ca="1">IF($B113="N","",SUM(IF((INDIRECT("'"&amp;$B113&amp;"'!I23:I200")=$A$2)*(INDIRECT("'"&amp;$B113&amp;"'!O23:O200")=$D113)*(INDIRECT("'"&amp;$B113&amp;"'!O23:O200")&lt;&gt;"")*(INDIRECT("'"&amp;$B113&amp;"'!H23:H200")=$E$5),1,0)))</f>
        <v>0</v>
      </c>
      <c r="F113" s="565">
        <f t="array" aca="1" ref="F113" ca="1">IF($B113="N","",SUM(IF((INDIRECT("'"&amp;$B113&amp;"'!I23:I200")=$A$2)*(INDIRECT("'"&amp;$B113&amp;"'!O23:O200")=$D113)*(INDIRECT("'"&amp;$B113&amp;"'!O23:O200")&lt;&gt;"")*(INDIRECT("'"&amp;$B113&amp;"'!H23:H200")=$E$5),INDIRECT("'"&amp;$B113&amp;"'!p23:p200"),0)))</f>
        <v>0</v>
      </c>
      <c r="G113" s="564">
        <f t="array" aca="1" ref="G113" ca="1">IF($B113="N","",SUM(IF((INDIRECT("'"&amp;$B113&amp;"'!I23:I200")=$A$2)*(INDIRECT("'"&amp;$B113&amp;"'!O23:O200")=$D113)*(INDIRECT("'"&amp;$B113&amp;"'!O23:O200")&lt;&gt;"")*(INDIRECT("'"&amp;$B113&amp;"'!H23:H200")=$G$5),1,0)))</f>
        <v>0</v>
      </c>
      <c r="H113" s="565">
        <f t="array" aca="1" ref="H113" ca="1">IF($B113="N","",SUM(IF((INDIRECT("'"&amp;$B113&amp;"'!I23:I200")=$A$2)*(INDIRECT("'"&amp;$B113&amp;"'!O23:O200")=$D113)*(INDIRECT("'"&amp;$B113&amp;"'!O23:O200")&lt;&gt;"")*(INDIRECT("'"&amp;$B113&amp;"'!H23:H200")=$G$5),INDIRECT("'"&amp;$B113&amp;"'!p23:p200"),0)))</f>
        <v>0</v>
      </c>
      <c r="I113" s="515">
        <f t="shared" ca="1" si="20"/>
        <v>0</v>
      </c>
      <c r="J113" s="513">
        <f t="shared" ca="1" si="21"/>
        <v>0</v>
      </c>
    </row>
    <row r="114" spans="1:10" ht="15" thickBot="1">
      <c r="A114" s="567"/>
      <c r="B114" s="568"/>
      <c r="C114" s="569" t="str">
        <f>D89</f>
        <v>Ehime</v>
      </c>
      <c r="D114" s="570" t="s">
        <v>115</v>
      </c>
      <c r="E114" s="571">
        <f t="shared" ref="E114:J114" ca="1" si="23">SUM(E91:E113)</f>
        <v>21</v>
      </c>
      <c r="F114" s="572">
        <f t="shared" ca="1" si="23"/>
        <v>3</v>
      </c>
      <c r="G114" s="571">
        <f t="shared" ca="1" si="23"/>
        <v>21</v>
      </c>
      <c r="H114" s="572">
        <f t="shared" ca="1" si="23"/>
        <v>-5</v>
      </c>
      <c r="I114" s="573">
        <f t="shared" ca="1" si="23"/>
        <v>42</v>
      </c>
      <c r="J114" s="572">
        <f t="shared" ca="1" si="23"/>
        <v>-2</v>
      </c>
    </row>
    <row r="115" spans="1:10" ht="15" thickBot="1">
      <c r="A115" s="567"/>
      <c r="C115" s="576"/>
    </row>
    <row r="116" spans="1:10">
      <c r="A116" s="567"/>
      <c r="B116" s="357"/>
      <c r="C116" s="569"/>
      <c r="D116" s="562" t="str">
        <f>G1</f>
        <v>Fagiano Okayama</v>
      </c>
      <c r="E116" s="490" t="s">
        <v>80</v>
      </c>
      <c r="F116" s="491"/>
      <c r="G116" s="490" t="s">
        <v>81</v>
      </c>
      <c r="H116" s="491"/>
      <c r="I116" s="490" t="s">
        <v>82</v>
      </c>
      <c r="J116" s="492"/>
    </row>
    <row r="117" spans="1:10" ht="15" thickBot="1">
      <c r="B117" s="357"/>
      <c r="C117" s="357"/>
      <c r="D117" s="499" t="s">
        <v>120</v>
      </c>
      <c r="E117" s="497" t="s">
        <v>123</v>
      </c>
      <c r="F117" s="552" t="s">
        <v>124</v>
      </c>
      <c r="G117" s="497" t="s">
        <v>123</v>
      </c>
      <c r="H117" s="552" t="s">
        <v>124</v>
      </c>
      <c r="I117" s="501" t="s">
        <v>123</v>
      </c>
      <c r="J117" s="552" t="s">
        <v>124</v>
      </c>
    </row>
    <row r="118" spans="1:10">
      <c r="B118" s="563" t="str">
        <f>IF(D116=0,"N",D116)</f>
        <v>Fagiano Okayama</v>
      </c>
      <c r="D118" s="511">
        <v>-2.75</v>
      </c>
      <c r="E118" s="564">
        <f t="array" aca="1" ref="E118" ca="1">IF($B118="N","",SUM(IF((INDIRECT("'"&amp;$B118&amp;"'!I23:I200")=$A$2)*(INDIRECT("'"&amp;$B118&amp;"'!O23:O200")=$D118)*(INDIRECT("'"&amp;$B118&amp;"'!O23:O200")&lt;&gt;"")*(INDIRECT("'"&amp;$B118&amp;"'!H23:H200")=$E$5),1,0)))</f>
        <v>0</v>
      </c>
      <c r="F118" s="565">
        <f t="array" aca="1" ref="F118" ca="1">IF($B118="N","",SUM(IF((INDIRECT("'"&amp;$B118&amp;"'!I23:I200")=$A$2)*(INDIRECT("'"&amp;$B118&amp;"'!O23:O200")=$D118)*(INDIRECT("'"&amp;$B118&amp;"'!O23:O200")&lt;&gt;"")*(INDIRECT("'"&amp;$B118&amp;"'!H23:H200")=$E$5),INDIRECT("'"&amp;$B118&amp;"'!p23:p200"),0)))</f>
        <v>0</v>
      </c>
      <c r="G118" s="564">
        <f t="array" aca="1" ref="G118" ca="1">IF($B118="N","",SUM(IF((INDIRECT("'"&amp;$B118&amp;"'!I23:I200")=$A$2)*(INDIRECT("'"&amp;$B118&amp;"'!O23:O200")=$D118)*(INDIRECT("'"&amp;$B118&amp;"'!O23:O200")&lt;&gt;"")*(INDIRECT("'"&amp;$B118&amp;"'!H23:H200")=$G$5),1,0)))</f>
        <v>0</v>
      </c>
      <c r="H118" s="565">
        <f t="array" aca="1" ref="H118" ca="1">IF($B118="N","",SUM(IF((INDIRECT("'"&amp;$B118&amp;"'!I23:I200")=$A$2)*(INDIRECT("'"&amp;$B118&amp;"'!O23:O200")=$D118)*(INDIRECT("'"&amp;$B118&amp;"'!O23:O200")&lt;&gt;"")*(INDIRECT("'"&amp;$B118&amp;"'!H23:H200")=$G$5),INDIRECT("'"&amp;$B118&amp;"'!p23:p200"),0)))</f>
        <v>0</v>
      </c>
      <c r="I118" s="515">
        <f t="shared" ref="I118:I140" ca="1" si="24">IF(B118="N","",G118+E118)</f>
        <v>0</v>
      </c>
      <c r="J118" s="513">
        <f t="shared" ref="J118:J140" ca="1" si="25">IF(I118="","",F118+H118)</f>
        <v>0</v>
      </c>
    </row>
    <row r="119" spans="1:10">
      <c r="B119" s="563" t="str">
        <f>B118</f>
        <v>Fagiano Okayama</v>
      </c>
      <c r="D119" s="520">
        <v>-2.5</v>
      </c>
      <c r="E119" s="564">
        <f t="array" aca="1" ref="E119" ca="1">IF($B119="N","",SUM(IF((INDIRECT("'"&amp;$B119&amp;"'!I23:I200")=$A$2)*(INDIRECT("'"&amp;$B119&amp;"'!O23:O200")=$D119)*(INDIRECT("'"&amp;$B119&amp;"'!O23:O200")&lt;&gt;"")*(INDIRECT("'"&amp;$B119&amp;"'!H23:H200")=$E$5),1,0)))</f>
        <v>0</v>
      </c>
      <c r="F119" s="565">
        <f t="array" aca="1" ref="F119" ca="1">IF($B119="N","",SUM(IF((INDIRECT("'"&amp;$B119&amp;"'!I23:I200")=$A$2)*(INDIRECT("'"&amp;$B119&amp;"'!O23:O200")=$D119)*(INDIRECT("'"&amp;$B119&amp;"'!O23:O200")&lt;&gt;"")*(INDIRECT("'"&amp;$B119&amp;"'!H23:H200")=$E$5),INDIRECT("'"&amp;$B119&amp;"'!p23:p200"),0)))</f>
        <v>0</v>
      </c>
      <c r="G119" s="564">
        <f t="array" aca="1" ref="G119" ca="1">IF($B119="N","",SUM(IF((INDIRECT("'"&amp;$B119&amp;"'!I23:I200")=$A$2)*(INDIRECT("'"&amp;$B119&amp;"'!O23:O200")=$D119)*(INDIRECT("'"&amp;$B119&amp;"'!O23:O200")&lt;&gt;"")*(INDIRECT("'"&amp;$B119&amp;"'!H23:H200")=$G$5),1,0)))</f>
        <v>0</v>
      </c>
      <c r="H119" s="565">
        <f t="array" aca="1" ref="H119" ca="1">IF($B119="N","",SUM(IF((INDIRECT("'"&amp;$B119&amp;"'!I23:I200")=$A$2)*(INDIRECT("'"&amp;$B119&amp;"'!O23:O200")=$D119)*(INDIRECT("'"&amp;$B119&amp;"'!O23:O200")&lt;&gt;"")*(INDIRECT("'"&amp;$B119&amp;"'!H23:H200")=$G$5),INDIRECT("'"&amp;$B119&amp;"'!p23:p200"),0)))</f>
        <v>0</v>
      </c>
      <c r="I119" s="515">
        <f t="shared" ca="1" si="24"/>
        <v>0</v>
      </c>
      <c r="J119" s="513">
        <f t="shared" ca="1" si="25"/>
        <v>0</v>
      </c>
    </row>
    <row r="120" spans="1:10">
      <c r="B120" s="563" t="str">
        <f t="shared" ref="B120:B140" si="26">B119</f>
        <v>Fagiano Okayama</v>
      </c>
      <c r="D120" s="520">
        <v>-2.25</v>
      </c>
      <c r="E120" s="564">
        <f t="array" aca="1" ref="E120" ca="1">IF($B120="N","",SUM(IF((INDIRECT("'"&amp;$B120&amp;"'!I23:I200")=$A$2)*(INDIRECT("'"&amp;$B120&amp;"'!O23:O200")=$D120)*(INDIRECT("'"&amp;$B120&amp;"'!O23:O200")&lt;&gt;"")*(INDIRECT("'"&amp;$B120&amp;"'!H23:H200")=$E$5),1,0)))</f>
        <v>0</v>
      </c>
      <c r="F120" s="565">
        <f t="array" aca="1" ref="F120" ca="1">IF($B120="N","",SUM(IF((INDIRECT("'"&amp;$B120&amp;"'!I23:I200")=$A$2)*(INDIRECT("'"&amp;$B120&amp;"'!O23:O200")=$D120)*(INDIRECT("'"&amp;$B120&amp;"'!O23:O200")&lt;&gt;"")*(INDIRECT("'"&amp;$B120&amp;"'!H23:H200")=$E$5),INDIRECT("'"&amp;$B120&amp;"'!p23:p200"),0)))</f>
        <v>0</v>
      </c>
      <c r="G120" s="564">
        <f t="array" aca="1" ref="G120" ca="1">IF($B120="N","",SUM(IF((INDIRECT("'"&amp;$B120&amp;"'!I23:I200")=$A$2)*(INDIRECT("'"&amp;$B120&amp;"'!O23:O200")=$D120)*(INDIRECT("'"&amp;$B120&amp;"'!O23:O200")&lt;&gt;"")*(INDIRECT("'"&amp;$B120&amp;"'!H23:H200")=$G$5),1,0)))</f>
        <v>0</v>
      </c>
      <c r="H120" s="565">
        <f t="array" aca="1" ref="H120" ca="1">IF($B120="N","",SUM(IF((INDIRECT("'"&amp;$B120&amp;"'!I23:I200")=$A$2)*(INDIRECT("'"&amp;$B120&amp;"'!O23:O200")=$D120)*(INDIRECT("'"&amp;$B120&amp;"'!O23:O200")&lt;&gt;"")*(INDIRECT("'"&amp;$B120&amp;"'!H23:H200")=$G$5),INDIRECT("'"&amp;$B120&amp;"'!p23:p200"),0)))</f>
        <v>0</v>
      </c>
      <c r="I120" s="515">
        <f t="shared" ca="1" si="24"/>
        <v>0</v>
      </c>
      <c r="J120" s="513">
        <f t="shared" ca="1" si="25"/>
        <v>0</v>
      </c>
    </row>
    <row r="121" spans="1:10">
      <c r="B121" s="563" t="str">
        <f t="shared" si="26"/>
        <v>Fagiano Okayama</v>
      </c>
      <c r="D121" s="520">
        <v>-2</v>
      </c>
      <c r="E121" s="564">
        <f t="array" aca="1" ref="E121" ca="1">IF($B121="N","",SUM(IF((INDIRECT("'"&amp;$B121&amp;"'!I23:I200")=$A$2)*(INDIRECT("'"&amp;$B121&amp;"'!O23:O200")=$D121)*(INDIRECT("'"&amp;$B121&amp;"'!O23:O200")&lt;&gt;"")*(INDIRECT("'"&amp;$B121&amp;"'!H23:H200")=$E$5),1,0)))</f>
        <v>0</v>
      </c>
      <c r="F121" s="565">
        <f t="array" aca="1" ref="F121" ca="1">IF($B121="N","",SUM(IF((INDIRECT("'"&amp;$B121&amp;"'!I23:I200")=$A$2)*(INDIRECT("'"&amp;$B121&amp;"'!O23:O200")=$D121)*(INDIRECT("'"&amp;$B121&amp;"'!O23:O200")&lt;&gt;"")*(INDIRECT("'"&amp;$B121&amp;"'!H23:H200")=$E$5),INDIRECT("'"&amp;$B121&amp;"'!p23:p200"),0)))</f>
        <v>0</v>
      </c>
      <c r="G121" s="564">
        <f t="array" aca="1" ref="G121" ca="1">IF($B121="N","",SUM(IF((INDIRECT("'"&amp;$B121&amp;"'!I23:I200")=$A$2)*(INDIRECT("'"&amp;$B121&amp;"'!O23:O200")=$D121)*(INDIRECT("'"&amp;$B121&amp;"'!O23:O200")&lt;&gt;"")*(INDIRECT("'"&amp;$B121&amp;"'!H23:H200")=$G$5),1,0)))</f>
        <v>0</v>
      </c>
      <c r="H121" s="565">
        <f t="array" aca="1" ref="H121" ca="1">IF($B121="N","",SUM(IF((INDIRECT("'"&amp;$B121&amp;"'!I23:I200")=$A$2)*(INDIRECT("'"&amp;$B121&amp;"'!O23:O200")=$D121)*(INDIRECT("'"&amp;$B121&amp;"'!O23:O200")&lt;&gt;"")*(INDIRECT("'"&amp;$B121&amp;"'!H23:H200")=$G$5),INDIRECT("'"&amp;$B121&amp;"'!p23:p200"),0)))</f>
        <v>0</v>
      </c>
      <c r="I121" s="515">
        <f t="shared" ca="1" si="24"/>
        <v>0</v>
      </c>
      <c r="J121" s="513">
        <f t="shared" ca="1" si="25"/>
        <v>0</v>
      </c>
    </row>
    <row r="122" spans="1:10">
      <c r="B122" s="563" t="str">
        <f t="shared" si="26"/>
        <v>Fagiano Okayama</v>
      </c>
      <c r="D122" s="520">
        <v>-1.75</v>
      </c>
      <c r="E122" s="564">
        <f t="array" aca="1" ref="E122" ca="1">IF($B122="N","",SUM(IF((INDIRECT("'"&amp;$B122&amp;"'!I23:I200")=$A$2)*(INDIRECT("'"&amp;$B122&amp;"'!O23:O200")=$D122)*(INDIRECT("'"&amp;$B122&amp;"'!O23:O200")&lt;&gt;"")*(INDIRECT("'"&amp;$B122&amp;"'!H23:H200")=$E$5),1,0)))</f>
        <v>0</v>
      </c>
      <c r="F122" s="565">
        <f t="array" aca="1" ref="F122" ca="1">IF($B122="N","",SUM(IF((INDIRECT("'"&amp;$B122&amp;"'!I23:I200")=$A$2)*(INDIRECT("'"&amp;$B122&amp;"'!O23:O200")=$D122)*(INDIRECT("'"&amp;$B122&amp;"'!O23:O200")&lt;&gt;"")*(INDIRECT("'"&amp;$B122&amp;"'!H23:H200")=$E$5),INDIRECT("'"&amp;$B122&amp;"'!p23:p200"),0)))</f>
        <v>0</v>
      </c>
      <c r="G122" s="564">
        <f t="array" aca="1" ref="G122" ca="1">IF($B122="N","",SUM(IF((INDIRECT("'"&amp;$B122&amp;"'!I23:I200")=$A$2)*(INDIRECT("'"&amp;$B122&amp;"'!O23:O200")=$D122)*(INDIRECT("'"&amp;$B122&amp;"'!O23:O200")&lt;&gt;"")*(INDIRECT("'"&amp;$B122&amp;"'!H23:H200")=$G$5),1,0)))</f>
        <v>0</v>
      </c>
      <c r="H122" s="565">
        <f t="array" aca="1" ref="H122" ca="1">IF($B122="N","",SUM(IF((INDIRECT("'"&amp;$B122&amp;"'!I23:I200")=$A$2)*(INDIRECT("'"&amp;$B122&amp;"'!O23:O200")=$D122)*(INDIRECT("'"&amp;$B122&amp;"'!O23:O200")&lt;&gt;"")*(INDIRECT("'"&amp;$B122&amp;"'!H23:H200")=$G$5),INDIRECT("'"&amp;$B122&amp;"'!p23:p200"),0)))</f>
        <v>0</v>
      </c>
      <c r="I122" s="515">
        <f t="shared" ca="1" si="24"/>
        <v>0</v>
      </c>
      <c r="J122" s="513">
        <f t="shared" ca="1" si="25"/>
        <v>0</v>
      </c>
    </row>
    <row r="123" spans="1:10">
      <c r="B123" s="563" t="str">
        <f t="shared" si="26"/>
        <v>Fagiano Okayama</v>
      </c>
      <c r="D123" s="511">
        <v>-1.5</v>
      </c>
      <c r="E123" s="564">
        <f t="array" aca="1" ref="E123" ca="1">IF($B123="N","",SUM(IF((INDIRECT("'"&amp;$B123&amp;"'!I23:I200")=$A$2)*(INDIRECT("'"&amp;$B123&amp;"'!O23:O200")=$D123)*(INDIRECT("'"&amp;$B123&amp;"'!O23:O200")&lt;&gt;"")*(INDIRECT("'"&amp;$B123&amp;"'!H23:H200")=$E$5),1,0)))</f>
        <v>0</v>
      </c>
      <c r="F123" s="565">
        <f t="array" aca="1" ref="F123" ca="1">IF($B123="N","",SUM(IF((INDIRECT("'"&amp;$B123&amp;"'!I23:I200")=$A$2)*(INDIRECT("'"&amp;$B123&amp;"'!O23:O200")=$D123)*(INDIRECT("'"&amp;$B123&amp;"'!O23:O200")&lt;&gt;"")*(INDIRECT("'"&amp;$B123&amp;"'!H23:H200")=$E$5),INDIRECT("'"&amp;$B123&amp;"'!p23:p200"),0)))</f>
        <v>0</v>
      </c>
      <c r="G123" s="564">
        <f t="array" aca="1" ref="G123" ca="1">IF($B123="N","",SUM(IF((INDIRECT("'"&amp;$B123&amp;"'!I23:I200")=$A$2)*(INDIRECT("'"&amp;$B123&amp;"'!O23:O200")=$D123)*(INDIRECT("'"&amp;$B123&amp;"'!O23:O200")&lt;&gt;"")*(INDIRECT("'"&amp;$B123&amp;"'!H23:H200")=$G$5),1,0)))</f>
        <v>0</v>
      </c>
      <c r="H123" s="565">
        <f t="array" aca="1" ref="H123" ca="1">IF($B123="N","",SUM(IF((INDIRECT("'"&amp;$B123&amp;"'!I23:I200")=$A$2)*(INDIRECT("'"&amp;$B123&amp;"'!O23:O200")=$D123)*(INDIRECT("'"&amp;$B123&amp;"'!O23:O200")&lt;&gt;"")*(INDIRECT("'"&amp;$B123&amp;"'!H23:H200")=$G$5),INDIRECT("'"&amp;$B123&amp;"'!p23:p200"),0)))</f>
        <v>0</v>
      </c>
      <c r="I123" s="515">
        <f t="shared" ca="1" si="24"/>
        <v>0</v>
      </c>
      <c r="J123" s="513">
        <f t="shared" ca="1" si="25"/>
        <v>0</v>
      </c>
    </row>
    <row r="124" spans="1:10">
      <c r="B124" s="563" t="str">
        <f t="shared" si="26"/>
        <v>Fagiano Okayama</v>
      </c>
      <c r="D124" s="511">
        <v>-1.25</v>
      </c>
      <c r="E124" s="564">
        <f t="array" aca="1" ref="E124" ca="1">IF($B124="N","",SUM(IF((INDIRECT("'"&amp;$B124&amp;"'!I23:I200")=$A$2)*(INDIRECT("'"&amp;$B124&amp;"'!O23:O200")=$D124)*(INDIRECT("'"&amp;$B124&amp;"'!O23:O200")&lt;&gt;"")*(INDIRECT("'"&amp;$B124&amp;"'!H23:H200")=$E$5),1,0)))</f>
        <v>0</v>
      </c>
      <c r="F124" s="565">
        <f t="array" aca="1" ref="F124" ca="1">IF($B124="N","",SUM(IF((INDIRECT("'"&amp;$B124&amp;"'!I23:I200")=$A$2)*(INDIRECT("'"&amp;$B124&amp;"'!O23:O200")=$D124)*(INDIRECT("'"&amp;$B124&amp;"'!O23:O200")&lt;&gt;"")*(INDIRECT("'"&amp;$B124&amp;"'!H23:H200")=$E$5),INDIRECT("'"&amp;$B124&amp;"'!p23:p200"),0)))</f>
        <v>0</v>
      </c>
      <c r="G124" s="564">
        <f t="array" aca="1" ref="G124" ca="1">IF($B124="N","",SUM(IF((INDIRECT("'"&amp;$B124&amp;"'!I23:I200")=$A$2)*(INDIRECT("'"&amp;$B124&amp;"'!O23:O200")=$D124)*(INDIRECT("'"&amp;$B124&amp;"'!O23:O200")&lt;&gt;"")*(INDIRECT("'"&amp;$B124&amp;"'!H23:H200")=$G$5),1,0)))</f>
        <v>0</v>
      </c>
      <c r="H124" s="565">
        <f t="array" aca="1" ref="H124" ca="1">IF($B124="N","",SUM(IF((INDIRECT("'"&amp;$B124&amp;"'!I23:I200")=$A$2)*(INDIRECT("'"&amp;$B124&amp;"'!O23:O200")=$D124)*(INDIRECT("'"&amp;$B124&amp;"'!O23:O200")&lt;&gt;"")*(INDIRECT("'"&amp;$B124&amp;"'!H23:H200")=$G$5),INDIRECT("'"&amp;$B124&amp;"'!p23:p200"),0)))</f>
        <v>0</v>
      </c>
      <c r="I124" s="515">
        <f t="shared" ca="1" si="24"/>
        <v>0</v>
      </c>
      <c r="J124" s="513">
        <f t="shared" ca="1" si="25"/>
        <v>0</v>
      </c>
    </row>
    <row r="125" spans="1:10">
      <c r="B125" s="563" t="str">
        <f t="shared" si="26"/>
        <v>Fagiano Okayama</v>
      </c>
      <c r="D125" s="511">
        <v>-1</v>
      </c>
      <c r="E125" s="564">
        <f t="array" aca="1" ref="E125" ca="1">IF($B125="N","",SUM(IF((INDIRECT("'"&amp;$B125&amp;"'!I23:I200")=$A$2)*(INDIRECT("'"&amp;$B125&amp;"'!O23:O200")=$D125)*(INDIRECT("'"&amp;$B125&amp;"'!O23:O200")&lt;&gt;"")*(INDIRECT("'"&amp;$B125&amp;"'!H23:H200")=$E$5),1,0)))</f>
        <v>0</v>
      </c>
      <c r="F125" s="565">
        <f t="array" aca="1" ref="F125" ca="1">IF($B125="N","",SUM(IF((INDIRECT("'"&amp;$B125&amp;"'!I23:I200")=$A$2)*(INDIRECT("'"&amp;$B125&amp;"'!O23:O200")=$D125)*(INDIRECT("'"&amp;$B125&amp;"'!O23:O200")&lt;&gt;"")*(INDIRECT("'"&amp;$B125&amp;"'!H23:H200")=$E$5),INDIRECT("'"&amp;$B125&amp;"'!p23:p200"),0)))</f>
        <v>0</v>
      </c>
      <c r="G125" s="564">
        <f t="array" aca="1" ref="G125" ca="1">IF($B125="N","",SUM(IF((INDIRECT("'"&amp;$B125&amp;"'!I23:I200")=$A$2)*(INDIRECT("'"&amp;$B125&amp;"'!O23:O200")=$D125)*(INDIRECT("'"&amp;$B125&amp;"'!O23:O200")&lt;&gt;"")*(INDIRECT("'"&amp;$B125&amp;"'!H23:H200")=$G$5),1,0)))</f>
        <v>0</v>
      </c>
      <c r="H125" s="565">
        <f t="array" aca="1" ref="H125" ca="1">IF($B125="N","",SUM(IF((INDIRECT("'"&amp;$B125&amp;"'!I23:I200")=$A$2)*(INDIRECT("'"&amp;$B125&amp;"'!O23:O200")=$D125)*(INDIRECT("'"&amp;$B125&amp;"'!O23:O200")&lt;&gt;"")*(INDIRECT("'"&amp;$B125&amp;"'!H23:H200")=$G$5),INDIRECT("'"&amp;$B125&amp;"'!p23:p200"),0)))</f>
        <v>0</v>
      </c>
      <c r="I125" s="515">
        <f t="shared" ca="1" si="24"/>
        <v>0</v>
      </c>
      <c r="J125" s="513">
        <f t="shared" ca="1" si="25"/>
        <v>0</v>
      </c>
    </row>
    <row r="126" spans="1:10">
      <c r="B126" s="563" t="str">
        <f t="shared" si="26"/>
        <v>Fagiano Okayama</v>
      </c>
      <c r="D126" s="511">
        <v>-0.75</v>
      </c>
      <c r="E126" s="564">
        <f t="array" aca="1" ref="E126" ca="1">IF($B126="N","",SUM(IF((INDIRECT("'"&amp;$B126&amp;"'!I23:I200")=$A$2)*(INDIRECT("'"&amp;$B126&amp;"'!O23:O200")=$D126)*(INDIRECT("'"&amp;$B126&amp;"'!O23:O200")&lt;&gt;"")*(INDIRECT("'"&amp;$B126&amp;"'!H23:H200")=$E$5),1,0)))</f>
        <v>1</v>
      </c>
      <c r="F126" s="565">
        <f t="array" aca="1" ref="F126" ca="1">IF($B126="N","",SUM(IF((INDIRECT("'"&amp;$B126&amp;"'!I23:I200")=$A$2)*(INDIRECT("'"&amp;$B126&amp;"'!O23:O200")=$D126)*(INDIRECT("'"&amp;$B126&amp;"'!O23:O200")&lt;&gt;"")*(INDIRECT("'"&amp;$B126&amp;"'!H23:H200")=$E$5),INDIRECT("'"&amp;$B126&amp;"'!p23:p200"),0)))</f>
        <v>0.5</v>
      </c>
      <c r="G126" s="564">
        <f t="array" aca="1" ref="G126" ca="1">IF($B126="N","",SUM(IF((INDIRECT("'"&amp;$B126&amp;"'!I23:I200")=$A$2)*(INDIRECT("'"&amp;$B126&amp;"'!O23:O200")=$D126)*(INDIRECT("'"&amp;$B126&amp;"'!O23:O200")&lt;&gt;"")*(INDIRECT("'"&amp;$B126&amp;"'!H23:H200")=$G$5),1,0)))</f>
        <v>0</v>
      </c>
      <c r="H126" s="565">
        <f t="array" aca="1" ref="H126" ca="1">IF($B126="N","",SUM(IF((INDIRECT("'"&amp;$B126&amp;"'!I23:I200")=$A$2)*(INDIRECT("'"&amp;$B126&amp;"'!O23:O200")=$D126)*(INDIRECT("'"&amp;$B126&amp;"'!O23:O200")&lt;&gt;"")*(INDIRECT("'"&amp;$B126&amp;"'!H23:H200")=$G$5),INDIRECT("'"&amp;$B126&amp;"'!p23:p200"),0)))</f>
        <v>0</v>
      </c>
      <c r="I126" s="515">
        <f t="shared" ca="1" si="24"/>
        <v>1</v>
      </c>
      <c r="J126" s="513">
        <f t="shared" ca="1" si="25"/>
        <v>0.5</v>
      </c>
    </row>
    <row r="127" spans="1:10">
      <c r="B127" s="563" t="str">
        <f t="shared" si="26"/>
        <v>Fagiano Okayama</v>
      </c>
      <c r="D127" s="511">
        <v>-0.5</v>
      </c>
      <c r="E127" s="564">
        <f t="array" aca="1" ref="E127" ca="1">IF($B127="N","",SUM(IF((INDIRECT("'"&amp;$B127&amp;"'!I23:I200")=$A$2)*(INDIRECT("'"&amp;$B127&amp;"'!O23:O200")=$D127)*(INDIRECT("'"&amp;$B127&amp;"'!O23:O200")&lt;&gt;"")*(INDIRECT("'"&amp;$B127&amp;"'!H23:H200")=$E$5),1,0)))</f>
        <v>1</v>
      </c>
      <c r="F127" s="565">
        <f t="array" aca="1" ref="F127" ca="1">IF($B127="N","",SUM(IF((INDIRECT("'"&amp;$B127&amp;"'!I23:I200")=$A$2)*(INDIRECT("'"&amp;$B127&amp;"'!O23:O200")=$D127)*(INDIRECT("'"&amp;$B127&amp;"'!O23:O200")&lt;&gt;"")*(INDIRECT("'"&amp;$B127&amp;"'!H23:H200")=$E$5),INDIRECT("'"&amp;$B127&amp;"'!p23:p200"),0)))</f>
        <v>-1</v>
      </c>
      <c r="G127" s="564">
        <f t="array" aca="1" ref="G127" ca="1">IF($B127="N","",SUM(IF((INDIRECT("'"&amp;$B127&amp;"'!I23:I200")=$A$2)*(INDIRECT("'"&amp;$B127&amp;"'!O23:O200")=$D127)*(INDIRECT("'"&amp;$B127&amp;"'!O23:O200")&lt;&gt;"")*(INDIRECT("'"&amp;$B127&amp;"'!H23:H200")=$G$5),1,0)))</f>
        <v>0</v>
      </c>
      <c r="H127" s="565">
        <f t="array" aca="1" ref="H127" ca="1">IF($B127="N","",SUM(IF((INDIRECT("'"&amp;$B127&amp;"'!I23:I200")=$A$2)*(INDIRECT("'"&amp;$B127&amp;"'!O23:O200")=$D127)*(INDIRECT("'"&amp;$B127&amp;"'!O23:O200")&lt;&gt;"")*(INDIRECT("'"&amp;$B127&amp;"'!H23:H200")=$G$5),INDIRECT("'"&amp;$B127&amp;"'!p23:p200"),0)))</f>
        <v>0</v>
      </c>
      <c r="I127" s="515">
        <f t="shared" ca="1" si="24"/>
        <v>1</v>
      </c>
      <c r="J127" s="513">
        <f t="shared" ca="1" si="25"/>
        <v>-1</v>
      </c>
    </row>
    <row r="128" spans="1:10">
      <c r="B128" s="563" t="str">
        <f t="shared" si="26"/>
        <v>Fagiano Okayama</v>
      </c>
      <c r="D128" s="511">
        <v>-0.25</v>
      </c>
      <c r="E128" s="564">
        <f t="array" aca="1" ref="E128" ca="1">IF($B128="N","",SUM(IF((INDIRECT("'"&amp;$B128&amp;"'!I23:I200")=$A$2)*(INDIRECT("'"&amp;$B128&amp;"'!O23:O200")=$D128)*(INDIRECT("'"&amp;$B128&amp;"'!O23:O200")&lt;&gt;"")*(INDIRECT("'"&amp;$B128&amp;"'!H23:H200")=$E$5),1,0)))</f>
        <v>5</v>
      </c>
      <c r="F128" s="565">
        <f t="array" aca="1" ref="F128" ca="1">IF($B128="N","",SUM(IF((INDIRECT("'"&amp;$B128&amp;"'!I23:I200")=$A$2)*(INDIRECT("'"&amp;$B128&amp;"'!O23:O200")=$D128)*(INDIRECT("'"&amp;$B128&amp;"'!O23:O200")&lt;&gt;"")*(INDIRECT("'"&amp;$B128&amp;"'!H23:H200")=$E$5),INDIRECT("'"&amp;$B128&amp;"'!p23:p200"),0)))</f>
        <v>0</v>
      </c>
      <c r="G128" s="564">
        <f t="array" aca="1" ref="G128" ca="1">IF($B128="N","",SUM(IF((INDIRECT("'"&amp;$B128&amp;"'!I23:I200")=$A$2)*(INDIRECT("'"&amp;$B128&amp;"'!O23:O200")=$D128)*(INDIRECT("'"&amp;$B128&amp;"'!O23:O200")&lt;&gt;"")*(INDIRECT("'"&amp;$B128&amp;"'!H23:H200")=$G$5),1,0)))</f>
        <v>3</v>
      </c>
      <c r="H128" s="565">
        <f t="array" aca="1" ref="H128" ca="1">IF($B128="N","",SUM(IF((INDIRECT("'"&amp;$B128&amp;"'!I23:I200")=$A$2)*(INDIRECT("'"&amp;$B128&amp;"'!O23:O200")=$D128)*(INDIRECT("'"&amp;$B128&amp;"'!O23:O200")&lt;&gt;"")*(INDIRECT("'"&amp;$B128&amp;"'!H23:H200")=$G$5),INDIRECT("'"&amp;$B128&amp;"'!p23:p200"),0)))</f>
        <v>3</v>
      </c>
      <c r="I128" s="515">
        <f t="shared" ca="1" si="24"/>
        <v>8</v>
      </c>
      <c r="J128" s="513">
        <f t="shared" ca="1" si="25"/>
        <v>3</v>
      </c>
    </row>
    <row r="129" spans="1:10">
      <c r="B129" s="563" t="str">
        <f t="shared" si="26"/>
        <v>Fagiano Okayama</v>
      </c>
      <c r="D129" s="511">
        <v>0</v>
      </c>
      <c r="E129" s="564">
        <f t="array" aca="1" ref="E129" ca="1">IF($B129="N","",SUM(IF((INDIRECT("'"&amp;$B129&amp;"'!I23:I200")=$A$2)*(INDIRECT("'"&amp;$B129&amp;"'!O23:O200")=$D129)*(INDIRECT("'"&amp;$B129&amp;"'!O23:O200")&lt;&gt;"")*(INDIRECT("'"&amp;$B129&amp;"'!H23:H200")=$E$5),1,0)))</f>
        <v>7</v>
      </c>
      <c r="F129" s="565">
        <f t="array" aca="1" ref="F129" ca="1">IF($B129="N","",SUM(IF((INDIRECT("'"&amp;$B129&amp;"'!I23:I200")=$A$2)*(INDIRECT("'"&amp;$B129&amp;"'!O23:O200")=$D129)*(INDIRECT("'"&amp;$B129&amp;"'!O23:O200")&lt;&gt;"")*(INDIRECT("'"&amp;$B129&amp;"'!H23:H200")=$E$5),INDIRECT("'"&amp;$B129&amp;"'!p23:p200"),0)))</f>
        <v>0</v>
      </c>
      <c r="G129" s="564">
        <f t="array" aca="1" ref="G129" ca="1">IF($B129="N","",SUM(IF((INDIRECT("'"&amp;$B129&amp;"'!I23:I200")=$A$2)*(INDIRECT("'"&amp;$B129&amp;"'!O23:O200")=$D129)*(INDIRECT("'"&amp;$B129&amp;"'!O23:O200")&lt;&gt;"")*(INDIRECT("'"&amp;$B129&amp;"'!H23:H200")=$G$5),1,0)))</f>
        <v>5</v>
      </c>
      <c r="H129" s="565">
        <f t="array" aca="1" ref="H129" ca="1">IF($B129="N","",SUM(IF((INDIRECT("'"&amp;$B129&amp;"'!I23:I200")=$A$2)*(INDIRECT("'"&amp;$B129&amp;"'!O23:O200")=$D129)*(INDIRECT("'"&amp;$B129&amp;"'!O23:O200")&lt;&gt;"")*(INDIRECT("'"&amp;$B129&amp;"'!H23:H200")=$G$5),INDIRECT("'"&amp;$B129&amp;"'!p23:p200"),0)))</f>
        <v>0</v>
      </c>
      <c r="I129" s="515">
        <f t="shared" ca="1" si="24"/>
        <v>12</v>
      </c>
      <c r="J129" s="513">
        <f t="shared" ca="1" si="25"/>
        <v>0</v>
      </c>
    </row>
    <row r="130" spans="1:10">
      <c r="B130" s="563" t="str">
        <f t="shared" si="26"/>
        <v>Fagiano Okayama</v>
      </c>
      <c r="D130" s="511">
        <v>0.25</v>
      </c>
      <c r="E130" s="564">
        <f t="array" aca="1" ref="E130" ca="1">IF($B130="N","",SUM(IF((INDIRECT("'"&amp;$B130&amp;"'!I23:I200")=$A$2)*(INDIRECT("'"&amp;$B130&amp;"'!O23:O200")=$D130)*(INDIRECT("'"&amp;$B130&amp;"'!O23:O200")&lt;&gt;"")*(INDIRECT("'"&amp;$B130&amp;"'!H23:H200")=$E$5),1,0)))</f>
        <v>5</v>
      </c>
      <c r="F130" s="565">
        <f t="array" aca="1" ref="F130" ca="1">IF($B130="N","",SUM(IF((INDIRECT("'"&amp;$B130&amp;"'!I23:I200")=$A$2)*(INDIRECT("'"&amp;$B130&amp;"'!O23:O200")=$D130)*(INDIRECT("'"&amp;$B130&amp;"'!O23:O200")&lt;&gt;"")*(INDIRECT("'"&amp;$B130&amp;"'!H23:H200")=$E$5),INDIRECT("'"&amp;$B130&amp;"'!p23:p200"),0)))</f>
        <v>2.5</v>
      </c>
      <c r="G130" s="564">
        <f t="array" aca="1" ref="G130" ca="1">IF($B130="N","",SUM(IF((INDIRECT("'"&amp;$B130&amp;"'!I23:I200")=$A$2)*(INDIRECT("'"&amp;$B130&amp;"'!O23:O200")=$D130)*(INDIRECT("'"&amp;$B130&amp;"'!O23:O200")&lt;&gt;"")*(INDIRECT("'"&amp;$B130&amp;"'!H23:H200")=$G$5),1,0)))</f>
        <v>8</v>
      </c>
      <c r="H130" s="565">
        <f t="array" aca="1" ref="H130" ca="1">IF($B130="N","",SUM(IF((INDIRECT("'"&amp;$B130&amp;"'!I23:I200")=$A$2)*(INDIRECT("'"&amp;$B130&amp;"'!O23:O200")=$D130)*(INDIRECT("'"&amp;$B130&amp;"'!O23:O200")&lt;&gt;"")*(INDIRECT("'"&amp;$B130&amp;"'!H23:H200")=$G$5),INDIRECT("'"&amp;$B130&amp;"'!p23:p200"),0)))</f>
        <v>-0.5</v>
      </c>
      <c r="I130" s="515">
        <f t="shared" ca="1" si="24"/>
        <v>13</v>
      </c>
      <c r="J130" s="513">
        <f t="shared" ca="1" si="25"/>
        <v>2</v>
      </c>
    </row>
    <row r="131" spans="1:10">
      <c r="B131" s="563" t="str">
        <f t="shared" si="26"/>
        <v>Fagiano Okayama</v>
      </c>
      <c r="D131" s="511">
        <v>0.5</v>
      </c>
      <c r="E131" s="564">
        <f t="array" aca="1" ref="E131" ca="1">IF($B131="N","",SUM(IF((INDIRECT("'"&amp;$B131&amp;"'!I23:I200")=$A$2)*(INDIRECT("'"&amp;$B131&amp;"'!O23:O200")=$D131)*(INDIRECT("'"&amp;$B131&amp;"'!O23:O200")&lt;&gt;"")*(INDIRECT("'"&amp;$B131&amp;"'!H23:H200")=$E$5),1,0)))</f>
        <v>2</v>
      </c>
      <c r="F131" s="565">
        <f t="array" aca="1" ref="F131" ca="1">IF($B131="N","",SUM(IF((INDIRECT("'"&amp;$B131&amp;"'!I23:I200")=$A$2)*(INDIRECT("'"&amp;$B131&amp;"'!O23:O200")=$D131)*(INDIRECT("'"&amp;$B131&amp;"'!O23:O200")&lt;&gt;"")*(INDIRECT("'"&amp;$B131&amp;"'!H23:H200")=$E$5),INDIRECT("'"&amp;$B131&amp;"'!p23:p200"),0)))</f>
        <v>0</v>
      </c>
      <c r="G131" s="564">
        <f t="array" aca="1" ref="G131" ca="1">IF($B131="N","",SUM(IF((INDIRECT("'"&amp;$B131&amp;"'!I23:I200")=$A$2)*(INDIRECT("'"&amp;$B131&amp;"'!O23:O200")=$D131)*(INDIRECT("'"&amp;$B131&amp;"'!O23:O200")&lt;&gt;"")*(INDIRECT("'"&amp;$B131&amp;"'!H23:H200")=$G$5),1,0)))</f>
        <v>4</v>
      </c>
      <c r="H131" s="565">
        <f t="array" aca="1" ref="H131" ca="1">IF($B131="N","",SUM(IF((INDIRECT("'"&amp;$B131&amp;"'!I23:I200")=$A$2)*(INDIRECT("'"&amp;$B131&amp;"'!O23:O200")=$D131)*(INDIRECT("'"&amp;$B131&amp;"'!O23:O200")&lt;&gt;"")*(INDIRECT("'"&amp;$B131&amp;"'!H23:H200")=$G$5),INDIRECT("'"&amp;$B131&amp;"'!p23:p200"),0)))</f>
        <v>0</v>
      </c>
      <c r="I131" s="515">
        <f t="shared" ca="1" si="24"/>
        <v>6</v>
      </c>
      <c r="J131" s="513">
        <f t="shared" ca="1" si="25"/>
        <v>0</v>
      </c>
    </row>
    <row r="132" spans="1:10">
      <c r="B132" s="563" t="str">
        <f t="shared" si="26"/>
        <v>Fagiano Okayama</v>
      </c>
      <c r="D132" s="511">
        <v>0.75</v>
      </c>
      <c r="E132" s="564">
        <f t="array" aca="1" ref="E132" ca="1">IF($B132="N","",SUM(IF((INDIRECT("'"&amp;$B132&amp;"'!I23:I200")=$A$2)*(INDIRECT("'"&amp;$B132&amp;"'!O23:O200")=$D132)*(INDIRECT("'"&amp;$B132&amp;"'!O23:O200")&lt;&gt;"")*(INDIRECT("'"&amp;$B132&amp;"'!H23:H200")=$E$5),1,0)))</f>
        <v>0</v>
      </c>
      <c r="F132" s="565">
        <f t="array" aca="1" ref="F132" ca="1">IF($B132="N","",SUM(IF((INDIRECT("'"&amp;$B132&amp;"'!I23:I200")=$A$2)*(INDIRECT("'"&amp;$B132&amp;"'!O23:O200")=$D132)*(INDIRECT("'"&amp;$B132&amp;"'!O23:O200")&lt;&gt;"")*(INDIRECT("'"&amp;$B132&amp;"'!H23:H200")=$E$5),INDIRECT("'"&amp;$B132&amp;"'!p23:p200"),0)))</f>
        <v>0</v>
      </c>
      <c r="G132" s="564">
        <f t="array" aca="1" ref="G132" ca="1">IF($B132="N","",SUM(IF((INDIRECT("'"&amp;$B132&amp;"'!I23:I200")=$A$2)*(INDIRECT("'"&amp;$B132&amp;"'!O23:O200")=$D132)*(INDIRECT("'"&amp;$B132&amp;"'!O23:O200")&lt;&gt;"")*(INDIRECT("'"&amp;$B132&amp;"'!H23:H200")=$G$5),1,0)))</f>
        <v>1</v>
      </c>
      <c r="H132" s="565">
        <f t="array" aca="1" ref="H132" ca="1">IF($B132="N","",SUM(IF((INDIRECT("'"&amp;$B132&amp;"'!I23:I200")=$A$2)*(INDIRECT("'"&amp;$B132&amp;"'!O23:O200")=$D132)*(INDIRECT("'"&amp;$B132&amp;"'!O23:O200")&lt;&gt;"")*(INDIRECT("'"&amp;$B132&amp;"'!H23:H200")=$G$5),INDIRECT("'"&amp;$B132&amp;"'!p23:p200"),0)))</f>
        <v>1</v>
      </c>
      <c r="I132" s="515">
        <f t="shared" ca="1" si="24"/>
        <v>1</v>
      </c>
      <c r="J132" s="513">
        <f t="shared" ca="1" si="25"/>
        <v>1</v>
      </c>
    </row>
    <row r="133" spans="1:10">
      <c r="B133" s="563" t="str">
        <f t="shared" si="26"/>
        <v>Fagiano Okayama</v>
      </c>
      <c r="D133" s="511">
        <v>1</v>
      </c>
      <c r="E133" s="564">
        <f t="array" aca="1" ref="E133" ca="1">IF($B133="N","",SUM(IF((INDIRECT("'"&amp;$B133&amp;"'!I23:I200")=$A$2)*(INDIRECT("'"&amp;$B133&amp;"'!O23:O200")=$D133)*(INDIRECT("'"&amp;$B133&amp;"'!O23:O200")&lt;&gt;"")*(INDIRECT("'"&amp;$B133&amp;"'!H23:H200")=$E$5),1,0)))</f>
        <v>0</v>
      </c>
      <c r="F133" s="565">
        <f t="array" aca="1" ref="F133" ca="1">IF($B133="N","",SUM(IF((INDIRECT("'"&amp;$B133&amp;"'!I23:I200")=$A$2)*(INDIRECT("'"&amp;$B133&amp;"'!O23:O200")=$D133)*(INDIRECT("'"&amp;$B133&amp;"'!O23:O200")&lt;&gt;"")*(INDIRECT("'"&amp;$B133&amp;"'!H23:H200")=$E$5),INDIRECT("'"&amp;$B133&amp;"'!p23:p200"),0)))</f>
        <v>0</v>
      </c>
      <c r="G133" s="564">
        <f t="array" aca="1" ref="G133" ca="1">IF($B133="N","",SUM(IF((INDIRECT("'"&amp;$B133&amp;"'!I23:I200")=$A$2)*(INDIRECT("'"&amp;$B133&amp;"'!O23:O200")=$D133)*(INDIRECT("'"&amp;$B133&amp;"'!O23:O200")&lt;&gt;"")*(INDIRECT("'"&amp;$B133&amp;"'!H23:H200")=$G$5),1,0)))</f>
        <v>0</v>
      </c>
      <c r="H133" s="565">
        <f t="array" aca="1" ref="H133" ca="1">IF($B133="N","",SUM(IF((INDIRECT("'"&amp;$B133&amp;"'!I23:I200")=$A$2)*(INDIRECT("'"&amp;$B133&amp;"'!O23:O200")=$D133)*(INDIRECT("'"&amp;$B133&amp;"'!O23:O200")&lt;&gt;"")*(INDIRECT("'"&amp;$B133&amp;"'!H23:H200")=$G$5),INDIRECT("'"&amp;$B133&amp;"'!p23:p200"),0)))</f>
        <v>0</v>
      </c>
      <c r="I133" s="515">
        <f t="shared" ca="1" si="24"/>
        <v>0</v>
      </c>
      <c r="J133" s="513">
        <f t="shared" ca="1" si="25"/>
        <v>0</v>
      </c>
    </row>
    <row r="134" spans="1:10">
      <c r="B134" s="563" t="str">
        <f t="shared" si="26"/>
        <v>Fagiano Okayama</v>
      </c>
      <c r="D134" s="511">
        <v>1.25</v>
      </c>
      <c r="E134" s="564">
        <f t="array" aca="1" ref="E134" ca="1">IF($B134="N","",SUM(IF((INDIRECT("'"&amp;$B134&amp;"'!I23:I200")=$A$2)*(INDIRECT("'"&amp;$B134&amp;"'!O23:O200")=$D134)*(INDIRECT("'"&amp;$B134&amp;"'!O23:O200")&lt;&gt;"")*(INDIRECT("'"&amp;$B134&amp;"'!H23:H200")=$E$5),1,0)))</f>
        <v>0</v>
      </c>
      <c r="F134" s="565">
        <f t="array" aca="1" ref="F134" ca="1">IF($B134="N","",SUM(IF((INDIRECT("'"&amp;$B134&amp;"'!I23:I200")=$A$2)*(INDIRECT("'"&amp;$B134&amp;"'!O23:O200")=$D134)*(INDIRECT("'"&amp;$B134&amp;"'!O23:O200")&lt;&gt;"")*(INDIRECT("'"&amp;$B134&amp;"'!H23:H200")=$E$5),INDIRECT("'"&amp;$B134&amp;"'!p23:p200"),0)))</f>
        <v>0</v>
      </c>
      <c r="G134" s="564">
        <f t="array" aca="1" ref="G134" ca="1">IF($B134="N","",SUM(IF((INDIRECT("'"&amp;$B134&amp;"'!I23:I200")=$A$2)*(INDIRECT("'"&amp;$B134&amp;"'!O23:O200")=$D134)*(INDIRECT("'"&amp;$B134&amp;"'!O23:O200")&lt;&gt;"")*(INDIRECT("'"&amp;$B134&amp;"'!H23:H200")=$G$5),1,0)))</f>
        <v>0</v>
      </c>
      <c r="H134" s="565">
        <f t="array" aca="1" ref="H134" ca="1">IF($B134="N","",SUM(IF((INDIRECT("'"&amp;$B134&amp;"'!I23:I200")=$A$2)*(INDIRECT("'"&amp;$B134&amp;"'!O23:O200")=$D134)*(INDIRECT("'"&amp;$B134&amp;"'!O23:O200")&lt;&gt;"")*(INDIRECT("'"&amp;$B134&amp;"'!H23:H200")=$G$5),INDIRECT("'"&amp;$B134&amp;"'!p23:p200"),0)))</f>
        <v>0</v>
      </c>
      <c r="I134" s="515">
        <f t="shared" ca="1" si="24"/>
        <v>0</v>
      </c>
      <c r="J134" s="513">
        <f t="shared" ca="1" si="25"/>
        <v>0</v>
      </c>
    </row>
    <row r="135" spans="1:10">
      <c r="B135" s="563" t="str">
        <f t="shared" si="26"/>
        <v>Fagiano Okayama</v>
      </c>
      <c r="D135" s="511">
        <v>1.5</v>
      </c>
      <c r="E135" s="564">
        <f t="array" aca="1" ref="E135" ca="1">IF($B135="N","",SUM(IF((INDIRECT("'"&amp;$B135&amp;"'!I23:I200")=$A$2)*(INDIRECT("'"&amp;$B135&amp;"'!O23:O200")=$D135)*(INDIRECT("'"&amp;$B135&amp;"'!O23:O200")&lt;&gt;"")*(INDIRECT("'"&amp;$B135&amp;"'!H23:H200")=$E$5),1,0)))</f>
        <v>0</v>
      </c>
      <c r="F135" s="565">
        <f t="array" aca="1" ref="F135" ca="1">IF($B135="N","",SUM(IF((INDIRECT("'"&amp;$B135&amp;"'!I23:I200")=$A$2)*(INDIRECT("'"&amp;$B135&amp;"'!O23:O200")=$D135)*(INDIRECT("'"&amp;$B135&amp;"'!O23:O200")&lt;&gt;"")*(INDIRECT("'"&amp;$B135&amp;"'!H23:H200")=$E$5),INDIRECT("'"&amp;$B135&amp;"'!p23:p200"),0)))</f>
        <v>0</v>
      </c>
      <c r="G135" s="564">
        <f t="array" aca="1" ref="G135" ca="1">IF($B135="N","",SUM(IF((INDIRECT("'"&amp;$B135&amp;"'!I23:I200")=$A$2)*(INDIRECT("'"&amp;$B135&amp;"'!O23:O200")=$D135)*(INDIRECT("'"&amp;$B135&amp;"'!O23:O200")&lt;&gt;"")*(INDIRECT("'"&amp;$B135&amp;"'!H23:H200")=$G$5),1,0)))</f>
        <v>0</v>
      </c>
      <c r="H135" s="565">
        <f t="array" aca="1" ref="H135" ca="1">IF($B135="N","",SUM(IF((INDIRECT("'"&amp;$B135&amp;"'!I23:I200")=$A$2)*(INDIRECT("'"&amp;$B135&amp;"'!O23:O200")=$D135)*(INDIRECT("'"&amp;$B135&amp;"'!O23:O200")&lt;&gt;"")*(INDIRECT("'"&amp;$B135&amp;"'!H23:H200")=$G$5),INDIRECT("'"&amp;$B135&amp;"'!p23:p200"),0)))</f>
        <v>0</v>
      </c>
      <c r="I135" s="515">
        <f t="shared" ca="1" si="24"/>
        <v>0</v>
      </c>
      <c r="J135" s="513">
        <f t="shared" ca="1" si="25"/>
        <v>0</v>
      </c>
    </row>
    <row r="136" spans="1:10">
      <c r="B136" s="563" t="str">
        <f t="shared" si="26"/>
        <v>Fagiano Okayama</v>
      </c>
      <c r="D136" s="528">
        <v>1.75</v>
      </c>
      <c r="E136" s="564">
        <f t="array" aca="1" ref="E136" ca="1">IF($B136="N","",SUM(IF((INDIRECT("'"&amp;$B136&amp;"'!I23:I200")=$A$2)*(INDIRECT("'"&amp;$B136&amp;"'!O23:O200")=$D136)*(INDIRECT("'"&amp;$B136&amp;"'!O23:O200")&lt;&gt;"")*(INDIRECT("'"&amp;$B136&amp;"'!H23:H200")=$E$5),1,0)))</f>
        <v>0</v>
      </c>
      <c r="F136" s="565">
        <f t="array" aca="1" ref="F136" ca="1">IF($B136="N","",SUM(IF((INDIRECT("'"&amp;$B136&amp;"'!I23:I200")=$A$2)*(INDIRECT("'"&amp;$B136&amp;"'!O23:O200")=$D136)*(INDIRECT("'"&amp;$B136&amp;"'!O23:O200")&lt;&gt;"")*(INDIRECT("'"&amp;$B136&amp;"'!H23:H200")=$E$5),INDIRECT("'"&amp;$B136&amp;"'!p23:p200"),0)))</f>
        <v>0</v>
      </c>
      <c r="G136" s="564">
        <f t="array" aca="1" ref="G136" ca="1">IF($B136="N","",SUM(IF((INDIRECT("'"&amp;$B136&amp;"'!I23:I200")=$A$2)*(INDIRECT("'"&amp;$B136&amp;"'!O23:O200")=$D136)*(INDIRECT("'"&amp;$B136&amp;"'!O23:O200")&lt;&gt;"")*(INDIRECT("'"&amp;$B136&amp;"'!H23:H200")=$G$5),1,0)))</f>
        <v>0</v>
      </c>
      <c r="H136" s="565">
        <f t="array" aca="1" ref="H136" ca="1">IF($B136="N","",SUM(IF((INDIRECT("'"&amp;$B136&amp;"'!I23:I200")=$A$2)*(INDIRECT("'"&amp;$B136&amp;"'!O23:O200")=$D136)*(INDIRECT("'"&amp;$B136&amp;"'!O23:O200")&lt;&gt;"")*(INDIRECT("'"&amp;$B136&amp;"'!H23:H200")=$G$5),INDIRECT("'"&amp;$B136&amp;"'!p23:p200"),0)))</f>
        <v>0</v>
      </c>
      <c r="I136" s="515">
        <f t="shared" ca="1" si="24"/>
        <v>0</v>
      </c>
      <c r="J136" s="513">
        <f t="shared" ca="1" si="25"/>
        <v>0</v>
      </c>
    </row>
    <row r="137" spans="1:10">
      <c r="B137" s="563" t="str">
        <f t="shared" si="26"/>
        <v>Fagiano Okayama</v>
      </c>
      <c r="D137" s="528">
        <v>2</v>
      </c>
      <c r="E137" s="564">
        <f t="array" aca="1" ref="E137" ca="1">IF($B137="N","",SUM(IF((INDIRECT("'"&amp;$B137&amp;"'!I23:I200")=$A$2)*(INDIRECT("'"&amp;$B137&amp;"'!O23:O200")=$D137)*(INDIRECT("'"&amp;$B137&amp;"'!O23:O200")&lt;&gt;"")*(INDIRECT("'"&amp;$B137&amp;"'!H23:H200")=$E$5),1,0)))</f>
        <v>0</v>
      </c>
      <c r="F137" s="565">
        <f t="array" aca="1" ref="F137" ca="1">IF($B137="N","",SUM(IF((INDIRECT("'"&amp;$B137&amp;"'!I23:I200")=$A$2)*(INDIRECT("'"&amp;$B137&amp;"'!O23:O200")=$D137)*(INDIRECT("'"&amp;$B137&amp;"'!O23:O200")&lt;&gt;"")*(INDIRECT("'"&amp;$B137&amp;"'!H23:H200")=$E$5),INDIRECT("'"&amp;$B137&amp;"'!p23:p200"),0)))</f>
        <v>0</v>
      </c>
      <c r="G137" s="564">
        <f t="array" aca="1" ref="G137" ca="1">IF($B137="N","",SUM(IF((INDIRECT("'"&amp;$B137&amp;"'!I23:I200")=$A$2)*(INDIRECT("'"&amp;$B137&amp;"'!O23:O200")=$D137)*(INDIRECT("'"&amp;$B137&amp;"'!O23:O200")&lt;&gt;"")*(INDIRECT("'"&amp;$B137&amp;"'!H23:H200")=$G$5),1,0)))</f>
        <v>0</v>
      </c>
      <c r="H137" s="565">
        <f t="array" aca="1" ref="H137" ca="1">IF($B137="N","",SUM(IF((INDIRECT("'"&amp;$B137&amp;"'!I23:I200")=$A$2)*(INDIRECT("'"&amp;$B137&amp;"'!O23:O200")=$D137)*(INDIRECT("'"&amp;$B137&amp;"'!O23:O200")&lt;&gt;"")*(INDIRECT("'"&amp;$B137&amp;"'!H23:H200")=$G$5),INDIRECT("'"&amp;$B137&amp;"'!p23:p200"),0)))</f>
        <v>0</v>
      </c>
      <c r="I137" s="515">
        <f t="shared" ca="1" si="24"/>
        <v>0</v>
      </c>
      <c r="J137" s="513">
        <f t="shared" ca="1" si="25"/>
        <v>0</v>
      </c>
    </row>
    <row r="138" spans="1:10">
      <c r="B138" s="563" t="str">
        <f t="shared" si="26"/>
        <v>Fagiano Okayama</v>
      </c>
      <c r="D138" s="528">
        <v>2.25</v>
      </c>
      <c r="E138" s="564">
        <f t="array" aca="1" ref="E138" ca="1">IF($B138="N","",SUM(IF((INDIRECT("'"&amp;$B138&amp;"'!I23:I200")=$A$2)*(INDIRECT("'"&amp;$B138&amp;"'!O23:O200")=$D138)*(INDIRECT("'"&amp;$B138&amp;"'!O23:O200")&lt;&gt;"")*(INDIRECT("'"&amp;$B138&amp;"'!H23:H200")=$E$5),1,0)))</f>
        <v>0</v>
      </c>
      <c r="F138" s="565">
        <f t="array" aca="1" ref="F138" ca="1">IF($B138="N","",SUM(IF((INDIRECT("'"&amp;$B138&amp;"'!I23:I200")=$A$2)*(INDIRECT("'"&amp;$B138&amp;"'!O23:O200")=$D138)*(INDIRECT("'"&amp;$B138&amp;"'!O23:O200")&lt;&gt;"")*(INDIRECT("'"&amp;$B138&amp;"'!H23:H200")=$E$5),INDIRECT("'"&amp;$B138&amp;"'!p23:p200"),0)))</f>
        <v>0</v>
      </c>
      <c r="G138" s="564">
        <f t="array" aca="1" ref="G138" ca="1">IF($B138="N","",SUM(IF((INDIRECT("'"&amp;$B138&amp;"'!I23:I200")=$A$2)*(INDIRECT("'"&amp;$B138&amp;"'!O23:O200")=$D138)*(INDIRECT("'"&amp;$B138&amp;"'!O23:O200")&lt;&gt;"")*(INDIRECT("'"&amp;$B138&amp;"'!H23:H200")=$G$5),1,0)))</f>
        <v>0</v>
      </c>
      <c r="H138" s="565">
        <f t="array" aca="1" ref="H138" ca="1">IF($B138="N","",SUM(IF((INDIRECT("'"&amp;$B138&amp;"'!I23:I200")=$A$2)*(INDIRECT("'"&amp;$B138&amp;"'!O23:O200")=$D138)*(INDIRECT("'"&amp;$B138&amp;"'!O23:O200")&lt;&gt;"")*(INDIRECT("'"&amp;$B138&amp;"'!H23:H200")=$G$5),INDIRECT("'"&amp;$B138&amp;"'!p23:p200"),0)))</f>
        <v>0</v>
      </c>
      <c r="I138" s="515">
        <f t="shared" ca="1" si="24"/>
        <v>0</v>
      </c>
      <c r="J138" s="513">
        <f t="shared" ca="1" si="25"/>
        <v>0</v>
      </c>
    </row>
    <row r="139" spans="1:10">
      <c r="B139" s="563" t="str">
        <f t="shared" si="26"/>
        <v>Fagiano Okayama</v>
      </c>
      <c r="D139" s="528">
        <v>2.5</v>
      </c>
      <c r="E139" s="564">
        <f t="array" aca="1" ref="E139" ca="1">IF($B139="N","",SUM(IF((INDIRECT("'"&amp;$B139&amp;"'!I23:I200")=$A$2)*(INDIRECT("'"&amp;$B139&amp;"'!O23:O200")=$D139)*(INDIRECT("'"&amp;$B139&amp;"'!O23:O200")&lt;&gt;"")*(INDIRECT("'"&amp;$B139&amp;"'!H23:H200")=$E$5),1,0)))</f>
        <v>0</v>
      </c>
      <c r="F139" s="565">
        <f t="array" aca="1" ref="F139" ca="1">IF($B139="N","",SUM(IF((INDIRECT("'"&amp;$B139&amp;"'!I23:I200")=$A$2)*(INDIRECT("'"&amp;$B139&amp;"'!O23:O200")=$D139)*(INDIRECT("'"&amp;$B139&amp;"'!O23:O200")&lt;&gt;"")*(INDIRECT("'"&amp;$B139&amp;"'!H23:H200")=$E$5),INDIRECT("'"&amp;$B139&amp;"'!p23:p200"),0)))</f>
        <v>0</v>
      </c>
      <c r="G139" s="564">
        <f t="array" aca="1" ref="G139" ca="1">IF($B139="N","",SUM(IF((INDIRECT("'"&amp;$B139&amp;"'!I23:I200")=$A$2)*(INDIRECT("'"&amp;$B139&amp;"'!O23:O200")=$D139)*(INDIRECT("'"&amp;$B139&amp;"'!O23:O200")&lt;&gt;"")*(INDIRECT("'"&amp;$B139&amp;"'!H23:H200")=$G$5),1,0)))</f>
        <v>0</v>
      </c>
      <c r="H139" s="565">
        <f t="array" aca="1" ref="H139" ca="1">IF($B139="N","",SUM(IF((INDIRECT("'"&amp;$B139&amp;"'!I23:I200")=$A$2)*(INDIRECT("'"&amp;$B139&amp;"'!O23:O200")=$D139)*(INDIRECT("'"&amp;$B139&amp;"'!O23:O200")&lt;&gt;"")*(INDIRECT("'"&amp;$B139&amp;"'!H23:H200")=$G$5),INDIRECT("'"&amp;$B139&amp;"'!p23:p200"),0)))</f>
        <v>0</v>
      </c>
      <c r="I139" s="515">
        <f t="shared" ca="1" si="24"/>
        <v>0</v>
      </c>
      <c r="J139" s="513">
        <f t="shared" ca="1" si="25"/>
        <v>0</v>
      </c>
    </row>
    <row r="140" spans="1:10" ht="15" thickBot="1">
      <c r="B140" s="563" t="str">
        <f t="shared" si="26"/>
        <v>Fagiano Okayama</v>
      </c>
      <c r="D140" s="511">
        <v>2.75</v>
      </c>
      <c r="E140" s="564">
        <f t="array" aca="1" ref="E140" ca="1">IF($B140="N","",SUM(IF((INDIRECT("'"&amp;$B140&amp;"'!I23:I200")=$A$2)*(INDIRECT("'"&amp;$B140&amp;"'!O23:O200")=$D140)*(INDIRECT("'"&amp;$B140&amp;"'!O23:O200")&lt;&gt;"")*(INDIRECT("'"&amp;$B140&amp;"'!H23:H200")=$E$5),1,0)))</f>
        <v>0</v>
      </c>
      <c r="F140" s="565">
        <f t="array" aca="1" ref="F140" ca="1">IF($B140="N","",SUM(IF((INDIRECT("'"&amp;$B140&amp;"'!I23:I200")=$A$2)*(INDIRECT("'"&amp;$B140&amp;"'!O23:O200")=$D140)*(INDIRECT("'"&amp;$B140&amp;"'!O23:O200")&lt;&gt;"")*(INDIRECT("'"&amp;$B140&amp;"'!H23:H200")=$E$5),INDIRECT("'"&amp;$B140&amp;"'!p23:p200"),0)))</f>
        <v>0</v>
      </c>
      <c r="G140" s="564">
        <f t="array" aca="1" ref="G140" ca="1">IF($B140="N","",SUM(IF((INDIRECT("'"&amp;$B140&amp;"'!I23:I200")=$A$2)*(INDIRECT("'"&amp;$B140&amp;"'!O23:O200")=$D140)*(INDIRECT("'"&amp;$B140&amp;"'!O23:O200")&lt;&gt;"")*(INDIRECT("'"&amp;$B140&amp;"'!H23:H200")=$G$5),1,0)))</f>
        <v>0</v>
      </c>
      <c r="H140" s="565">
        <f t="array" aca="1" ref="H140" ca="1">IF($B140="N","",SUM(IF((INDIRECT("'"&amp;$B140&amp;"'!I23:I200")=$A$2)*(INDIRECT("'"&amp;$B140&amp;"'!O23:O200")=$D140)*(INDIRECT("'"&amp;$B140&amp;"'!O23:O200")&lt;&gt;"")*(INDIRECT("'"&amp;$B140&amp;"'!H23:H200")=$G$5),INDIRECT("'"&amp;$B140&amp;"'!p23:p200"),0)))</f>
        <v>0</v>
      </c>
      <c r="I140" s="515">
        <f t="shared" ca="1" si="24"/>
        <v>0</v>
      </c>
      <c r="J140" s="513">
        <f t="shared" ca="1" si="25"/>
        <v>0</v>
      </c>
    </row>
    <row r="141" spans="1:10" ht="15" thickBot="1">
      <c r="A141" s="567"/>
      <c r="B141" s="568"/>
      <c r="C141" s="569" t="str">
        <f>D116</f>
        <v>Fagiano Okayama</v>
      </c>
      <c r="D141" s="570" t="s">
        <v>115</v>
      </c>
      <c r="E141" s="571">
        <f t="shared" ref="E141:J141" ca="1" si="27">SUM(E118:E140)</f>
        <v>21</v>
      </c>
      <c r="F141" s="572">
        <f t="shared" ca="1" si="27"/>
        <v>2</v>
      </c>
      <c r="G141" s="571">
        <f t="shared" ca="1" si="27"/>
        <v>21</v>
      </c>
      <c r="H141" s="572">
        <f t="shared" ca="1" si="27"/>
        <v>3.5</v>
      </c>
      <c r="I141" s="573">
        <f t="shared" ca="1" si="27"/>
        <v>42</v>
      </c>
      <c r="J141" s="572">
        <f t="shared" ca="1" si="27"/>
        <v>5.5</v>
      </c>
    </row>
    <row r="142" spans="1:10" ht="15" thickBot="1">
      <c r="A142" s="567"/>
      <c r="C142" s="576"/>
    </row>
    <row r="143" spans="1:10">
      <c r="A143" s="567"/>
      <c r="B143" s="357"/>
      <c r="C143" s="569"/>
      <c r="D143" s="562" t="str">
        <f>H1</f>
        <v>Gifu</v>
      </c>
      <c r="E143" s="490" t="s">
        <v>80</v>
      </c>
      <c r="F143" s="491"/>
      <c r="G143" s="490" t="s">
        <v>81</v>
      </c>
      <c r="H143" s="491"/>
      <c r="I143" s="490" t="s">
        <v>82</v>
      </c>
      <c r="J143" s="492"/>
    </row>
    <row r="144" spans="1:10" ht="15" thickBot="1">
      <c r="B144" s="357"/>
      <c r="C144" s="357"/>
      <c r="D144" s="499" t="s">
        <v>120</v>
      </c>
      <c r="E144" s="497" t="s">
        <v>123</v>
      </c>
      <c r="F144" s="552" t="s">
        <v>124</v>
      </c>
      <c r="G144" s="497" t="s">
        <v>123</v>
      </c>
      <c r="H144" s="552" t="s">
        <v>124</v>
      </c>
      <c r="I144" s="501" t="s">
        <v>123</v>
      </c>
      <c r="J144" s="552" t="s">
        <v>124</v>
      </c>
    </row>
    <row r="145" spans="2:10">
      <c r="B145" s="563" t="str">
        <f>IF(D143=0,"N",D143)</f>
        <v>Gifu</v>
      </c>
      <c r="D145" s="511">
        <v>-2.75</v>
      </c>
      <c r="E145" s="564">
        <f t="array" aca="1" ref="E145" ca="1">IF($B145="N","",SUM(IF((INDIRECT("'"&amp;$B145&amp;"'!I23:I200")=$A$2)*(INDIRECT("'"&amp;$B145&amp;"'!O23:O200")=$D145)*(INDIRECT("'"&amp;$B145&amp;"'!O23:O200")&lt;&gt;"")*(INDIRECT("'"&amp;$B145&amp;"'!H23:H200")=$E$5),1,0)))</f>
        <v>0</v>
      </c>
      <c r="F145" s="565">
        <f t="array" aca="1" ref="F145" ca="1">IF($B145="N","",SUM(IF((INDIRECT("'"&amp;$B145&amp;"'!I23:I200")=$A$2)*(INDIRECT("'"&amp;$B145&amp;"'!O23:O200")=$D145)*(INDIRECT("'"&amp;$B145&amp;"'!O23:O200")&lt;&gt;"")*(INDIRECT("'"&amp;$B145&amp;"'!H23:H200")=$E$5),INDIRECT("'"&amp;$B145&amp;"'!p23:p200"),0)))</f>
        <v>0</v>
      </c>
      <c r="G145" s="564">
        <f t="array" aca="1" ref="G145" ca="1">IF($B145="N","",SUM(IF((INDIRECT("'"&amp;$B145&amp;"'!I23:I200")=$A$2)*(INDIRECT("'"&amp;$B145&amp;"'!O23:O200")=$D145)*(INDIRECT("'"&amp;$B145&amp;"'!O23:O200")&lt;&gt;"")*(INDIRECT("'"&amp;$B145&amp;"'!H23:H200")=$G$5),1,0)))</f>
        <v>0</v>
      </c>
      <c r="H145" s="565">
        <f t="array" aca="1" ref="H145" ca="1">IF($B145="N","",SUM(IF((INDIRECT("'"&amp;$B145&amp;"'!I23:I200")=$A$2)*(INDIRECT("'"&amp;$B145&amp;"'!O23:O200")=$D145)*(INDIRECT("'"&amp;$B145&amp;"'!O23:O200")&lt;&gt;"")*(INDIRECT("'"&amp;$B145&amp;"'!H23:H200")=$G$5),INDIRECT("'"&amp;$B145&amp;"'!p23:p200"),0)))</f>
        <v>0</v>
      </c>
      <c r="I145" s="515">
        <f t="shared" ref="I145:I167" ca="1" si="28">IF(B145="N","",G145+E145)</f>
        <v>0</v>
      </c>
      <c r="J145" s="513">
        <f t="shared" ref="J145:J167" ca="1" si="29">IF(I145="","",F145+H145)</f>
        <v>0</v>
      </c>
    </row>
    <row r="146" spans="2:10">
      <c r="B146" s="563" t="str">
        <f>B145</f>
        <v>Gifu</v>
      </c>
      <c r="D146" s="520">
        <v>-2.5</v>
      </c>
      <c r="E146" s="564">
        <f t="array" aca="1" ref="E146" ca="1">IF($B146="N","",SUM(IF((INDIRECT("'"&amp;$B146&amp;"'!I23:I200")=$A$2)*(INDIRECT("'"&amp;$B146&amp;"'!O23:O200")=$D146)*(INDIRECT("'"&amp;$B146&amp;"'!O23:O200")&lt;&gt;"")*(INDIRECT("'"&amp;$B146&amp;"'!H23:H200")=$E$5),1,0)))</f>
        <v>0</v>
      </c>
      <c r="F146" s="565">
        <f t="array" aca="1" ref="F146" ca="1">IF($B146="N","",SUM(IF((INDIRECT("'"&amp;$B146&amp;"'!I23:I200")=$A$2)*(INDIRECT("'"&amp;$B146&amp;"'!O23:O200")=$D146)*(INDIRECT("'"&amp;$B146&amp;"'!O23:O200")&lt;&gt;"")*(INDIRECT("'"&amp;$B146&amp;"'!H23:H200")=$E$5),INDIRECT("'"&amp;$B146&amp;"'!p23:p200"),0)))</f>
        <v>0</v>
      </c>
      <c r="G146" s="564">
        <f t="array" aca="1" ref="G146" ca="1">IF($B146="N","",SUM(IF((INDIRECT("'"&amp;$B146&amp;"'!I23:I200")=$A$2)*(INDIRECT("'"&amp;$B146&amp;"'!O23:O200")=$D146)*(INDIRECT("'"&amp;$B146&amp;"'!O23:O200")&lt;&gt;"")*(INDIRECT("'"&amp;$B146&amp;"'!H23:H200")=$G$5),1,0)))</f>
        <v>0</v>
      </c>
      <c r="H146" s="565">
        <f t="array" aca="1" ref="H146" ca="1">IF($B146="N","",SUM(IF((INDIRECT("'"&amp;$B146&amp;"'!I23:I200")=$A$2)*(INDIRECT("'"&amp;$B146&amp;"'!O23:O200")=$D146)*(INDIRECT("'"&amp;$B146&amp;"'!O23:O200")&lt;&gt;"")*(INDIRECT("'"&amp;$B146&amp;"'!H23:H200")=$G$5),INDIRECT("'"&amp;$B146&amp;"'!p23:p200"),0)))</f>
        <v>0</v>
      </c>
      <c r="I146" s="515">
        <f t="shared" ca="1" si="28"/>
        <v>0</v>
      </c>
      <c r="J146" s="513">
        <f t="shared" ca="1" si="29"/>
        <v>0</v>
      </c>
    </row>
    <row r="147" spans="2:10">
      <c r="B147" s="563" t="str">
        <f t="shared" ref="B147:B167" si="30">B146</f>
        <v>Gifu</v>
      </c>
      <c r="D147" s="520">
        <v>-2.25</v>
      </c>
      <c r="E147" s="564">
        <f t="array" aca="1" ref="E147" ca="1">IF($B147="N","",SUM(IF((INDIRECT("'"&amp;$B147&amp;"'!I23:I200")=$A$2)*(INDIRECT("'"&amp;$B147&amp;"'!O23:O200")=$D147)*(INDIRECT("'"&amp;$B147&amp;"'!O23:O200")&lt;&gt;"")*(INDIRECT("'"&amp;$B147&amp;"'!H23:H200")=$E$5),1,0)))</f>
        <v>0</v>
      </c>
      <c r="F147" s="565">
        <f t="array" aca="1" ref="F147" ca="1">IF($B147="N","",SUM(IF((INDIRECT("'"&amp;$B147&amp;"'!I23:I200")=$A$2)*(INDIRECT("'"&amp;$B147&amp;"'!O23:O200")=$D147)*(INDIRECT("'"&amp;$B147&amp;"'!O23:O200")&lt;&gt;"")*(INDIRECT("'"&amp;$B147&amp;"'!H23:H200")=$E$5),INDIRECT("'"&amp;$B147&amp;"'!p23:p200"),0)))</f>
        <v>0</v>
      </c>
      <c r="G147" s="564">
        <f t="array" aca="1" ref="G147" ca="1">IF($B147="N","",SUM(IF((INDIRECT("'"&amp;$B147&amp;"'!I23:I200")=$A$2)*(INDIRECT("'"&amp;$B147&amp;"'!O23:O200")=$D147)*(INDIRECT("'"&amp;$B147&amp;"'!O23:O200")&lt;&gt;"")*(INDIRECT("'"&amp;$B147&amp;"'!H23:H200")=$G$5),1,0)))</f>
        <v>0</v>
      </c>
      <c r="H147" s="565">
        <f t="array" aca="1" ref="H147" ca="1">IF($B147="N","",SUM(IF((INDIRECT("'"&amp;$B147&amp;"'!I23:I200")=$A$2)*(INDIRECT("'"&amp;$B147&amp;"'!O23:O200")=$D147)*(INDIRECT("'"&amp;$B147&amp;"'!O23:O200")&lt;&gt;"")*(INDIRECT("'"&amp;$B147&amp;"'!H23:H200")=$G$5),INDIRECT("'"&amp;$B147&amp;"'!p23:p200"),0)))</f>
        <v>0</v>
      </c>
      <c r="I147" s="515">
        <f t="shared" ca="1" si="28"/>
        <v>0</v>
      </c>
      <c r="J147" s="513">
        <f t="shared" ca="1" si="29"/>
        <v>0</v>
      </c>
    </row>
    <row r="148" spans="2:10">
      <c r="B148" s="563" t="str">
        <f t="shared" si="30"/>
        <v>Gifu</v>
      </c>
      <c r="D148" s="520">
        <v>-2</v>
      </c>
      <c r="E148" s="564">
        <f t="array" aca="1" ref="E148" ca="1">IF($B148="N","",SUM(IF((INDIRECT("'"&amp;$B148&amp;"'!I23:I200")=$A$2)*(INDIRECT("'"&amp;$B148&amp;"'!O23:O200")=$D148)*(INDIRECT("'"&amp;$B148&amp;"'!O23:O200")&lt;&gt;"")*(INDIRECT("'"&amp;$B148&amp;"'!H23:H200")=$E$5),1,0)))</f>
        <v>0</v>
      </c>
      <c r="F148" s="565">
        <f t="array" aca="1" ref="F148" ca="1">IF($B148="N","",SUM(IF((INDIRECT("'"&amp;$B148&amp;"'!I23:I200")=$A$2)*(INDIRECT("'"&amp;$B148&amp;"'!O23:O200")=$D148)*(INDIRECT("'"&amp;$B148&amp;"'!O23:O200")&lt;&gt;"")*(INDIRECT("'"&amp;$B148&amp;"'!H23:H200")=$E$5),INDIRECT("'"&amp;$B148&amp;"'!p23:p200"),0)))</f>
        <v>0</v>
      </c>
      <c r="G148" s="564">
        <f t="array" aca="1" ref="G148" ca="1">IF($B148="N","",SUM(IF((INDIRECT("'"&amp;$B148&amp;"'!I23:I200")=$A$2)*(INDIRECT("'"&amp;$B148&amp;"'!O23:O200")=$D148)*(INDIRECT("'"&amp;$B148&amp;"'!O23:O200")&lt;&gt;"")*(INDIRECT("'"&amp;$B148&amp;"'!H23:H200")=$G$5),1,0)))</f>
        <v>0</v>
      </c>
      <c r="H148" s="565">
        <f t="array" aca="1" ref="H148" ca="1">IF($B148="N","",SUM(IF((INDIRECT("'"&amp;$B148&amp;"'!I23:I200")=$A$2)*(INDIRECT("'"&amp;$B148&amp;"'!O23:O200")=$D148)*(INDIRECT("'"&amp;$B148&amp;"'!O23:O200")&lt;&gt;"")*(INDIRECT("'"&amp;$B148&amp;"'!H23:H200")=$G$5),INDIRECT("'"&amp;$B148&amp;"'!p23:p200"),0)))</f>
        <v>0</v>
      </c>
      <c r="I148" s="515">
        <f t="shared" ca="1" si="28"/>
        <v>0</v>
      </c>
      <c r="J148" s="513">
        <f t="shared" ca="1" si="29"/>
        <v>0</v>
      </c>
    </row>
    <row r="149" spans="2:10">
      <c r="B149" s="563" t="str">
        <f t="shared" si="30"/>
        <v>Gifu</v>
      </c>
      <c r="D149" s="520">
        <v>-1.75</v>
      </c>
      <c r="E149" s="564">
        <f t="array" aca="1" ref="E149" ca="1">IF($B149="N","",SUM(IF((INDIRECT("'"&amp;$B149&amp;"'!I23:I200")=$A$2)*(INDIRECT("'"&amp;$B149&amp;"'!O23:O200")=$D149)*(INDIRECT("'"&amp;$B149&amp;"'!O23:O200")&lt;&gt;"")*(INDIRECT("'"&amp;$B149&amp;"'!H23:H200")=$E$5),1,0)))</f>
        <v>0</v>
      </c>
      <c r="F149" s="565">
        <f t="array" aca="1" ref="F149" ca="1">IF($B149="N","",SUM(IF((INDIRECT("'"&amp;$B149&amp;"'!I23:I200")=$A$2)*(INDIRECT("'"&amp;$B149&amp;"'!O23:O200")=$D149)*(INDIRECT("'"&amp;$B149&amp;"'!O23:O200")&lt;&gt;"")*(INDIRECT("'"&amp;$B149&amp;"'!H23:H200")=$E$5),INDIRECT("'"&amp;$B149&amp;"'!p23:p200"),0)))</f>
        <v>0</v>
      </c>
      <c r="G149" s="564">
        <f t="array" aca="1" ref="G149" ca="1">IF($B149="N","",SUM(IF((INDIRECT("'"&amp;$B149&amp;"'!I23:I200")=$A$2)*(INDIRECT("'"&amp;$B149&amp;"'!O23:O200")=$D149)*(INDIRECT("'"&amp;$B149&amp;"'!O23:O200")&lt;&gt;"")*(INDIRECT("'"&amp;$B149&amp;"'!H23:H200")=$G$5),1,0)))</f>
        <v>0</v>
      </c>
      <c r="H149" s="565">
        <f t="array" aca="1" ref="H149" ca="1">IF($B149="N","",SUM(IF((INDIRECT("'"&amp;$B149&amp;"'!I23:I200")=$A$2)*(INDIRECT("'"&amp;$B149&amp;"'!O23:O200")=$D149)*(INDIRECT("'"&amp;$B149&amp;"'!O23:O200")&lt;&gt;"")*(INDIRECT("'"&amp;$B149&amp;"'!H23:H200")=$G$5),INDIRECT("'"&amp;$B149&amp;"'!p23:p200"),0)))</f>
        <v>0</v>
      </c>
      <c r="I149" s="515">
        <f t="shared" ca="1" si="28"/>
        <v>0</v>
      </c>
      <c r="J149" s="513">
        <f t="shared" ca="1" si="29"/>
        <v>0</v>
      </c>
    </row>
    <row r="150" spans="2:10">
      <c r="B150" s="563" t="str">
        <f t="shared" si="30"/>
        <v>Gifu</v>
      </c>
      <c r="D150" s="511">
        <v>-1.5</v>
      </c>
      <c r="E150" s="564">
        <f t="array" aca="1" ref="E150" ca="1">IF($B150="N","",SUM(IF((INDIRECT("'"&amp;$B150&amp;"'!I23:I200")=$A$2)*(INDIRECT("'"&amp;$B150&amp;"'!O23:O200")=$D150)*(INDIRECT("'"&amp;$B150&amp;"'!O23:O200")&lt;&gt;"")*(INDIRECT("'"&amp;$B150&amp;"'!H23:H200")=$E$5),1,0)))</f>
        <v>0</v>
      </c>
      <c r="F150" s="565">
        <f t="array" aca="1" ref="F150" ca="1">IF($B150="N","",SUM(IF((INDIRECT("'"&amp;$B150&amp;"'!I23:I200")=$A$2)*(INDIRECT("'"&amp;$B150&amp;"'!O23:O200")=$D150)*(INDIRECT("'"&amp;$B150&amp;"'!O23:O200")&lt;&gt;"")*(INDIRECT("'"&amp;$B150&amp;"'!H23:H200")=$E$5),INDIRECT("'"&amp;$B150&amp;"'!p23:p200"),0)))</f>
        <v>0</v>
      </c>
      <c r="G150" s="564">
        <f t="array" aca="1" ref="G150" ca="1">IF($B150="N","",SUM(IF((INDIRECT("'"&amp;$B150&amp;"'!I23:I200")=$A$2)*(INDIRECT("'"&amp;$B150&amp;"'!O23:O200")=$D150)*(INDIRECT("'"&amp;$B150&amp;"'!O23:O200")&lt;&gt;"")*(INDIRECT("'"&amp;$B150&amp;"'!H23:H200")=$G$5),1,0)))</f>
        <v>0</v>
      </c>
      <c r="H150" s="565">
        <f t="array" aca="1" ref="H150" ca="1">IF($B150="N","",SUM(IF((INDIRECT("'"&amp;$B150&amp;"'!I23:I200")=$A$2)*(INDIRECT("'"&amp;$B150&amp;"'!O23:O200")=$D150)*(INDIRECT("'"&amp;$B150&amp;"'!O23:O200")&lt;&gt;"")*(INDIRECT("'"&amp;$B150&amp;"'!H23:H200")=$G$5),INDIRECT("'"&amp;$B150&amp;"'!p23:p200"),0)))</f>
        <v>0</v>
      </c>
      <c r="I150" s="515">
        <f t="shared" ca="1" si="28"/>
        <v>0</v>
      </c>
      <c r="J150" s="513">
        <f t="shared" ca="1" si="29"/>
        <v>0</v>
      </c>
    </row>
    <row r="151" spans="2:10">
      <c r="B151" s="563" t="str">
        <f t="shared" si="30"/>
        <v>Gifu</v>
      </c>
      <c r="D151" s="511">
        <v>-1.25</v>
      </c>
      <c r="E151" s="564">
        <f t="array" aca="1" ref="E151" ca="1">IF($B151="N","",SUM(IF((INDIRECT("'"&amp;$B151&amp;"'!I23:I200")=$A$2)*(INDIRECT("'"&amp;$B151&amp;"'!O23:O200")=$D151)*(INDIRECT("'"&amp;$B151&amp;"'!O23:O200")&lt;&gt;"")*(INDIRECT("'"&amp;$B151&amp;"'!H23:H200")=$E$5),1,0)))</f>
        <v>0</v>
      </c>
      <c r="F151" s="565">
        <f t="array" aca="1" ref="F151" ca="1">IF($B151="N","",SUM(IF((INDIRECT("'"&amp;$B151&amp;"'!I23:I200")=$A$2)*(INDIRECT("'"&amp;$B151&amp;"'!O23:O200")=$D151)*(INDIRECT("'"&amp;$B151&amp;"'!O23:O200")&lt;&gt;"")*(INDIRECT("'"&amp;$B151&amp;"'!H23:H200")=$E$5),INDIRECT("'"&amp;$B151&amp;"'!p23:p200"),0)))</f>
        <v>0</v>
      </c>
      <c r="G151" s="564">
        <f t="array" aca="1" ref="G151" ca="1">IF($B151="N","",SUM(IF((INDIRECT("'"&amp;$B151&amp;"'!I23:I200")=$A$2)*(INDIRECT("'"&amp;$B151&amp;"'!O23:O200")=$D151)*(INDIRECT("'"&amp;$B151&amp;"'!O23:O200")&lt;&gt;"")*(INDIRECT("'"&amp;$B151&amp;"'!H23:H200")=$G$5),1,0)))</f>
        <v>0</v>
      </c>
      <c r="H151" s="565">
        <f t="array" aca="1" ref="H151" ca="1">IF($B151="N","",SUM(IF((INDIRECT("'"&amp;$B151&amp;"'!I23:I200")=$A$2)*(INDIRECT("'"&amp;$B151&amp;"'!O23:O200")=$D151)*(INDIRECT("'"&amp;$B151&amp;"'!O23:O200")&lt;&gt;"")*(INDIRECT("'"&amp;$B151&amp;"'!H23:H200")=$G$5),INDIRECT("'"&amp;$B151&amp;"'!p23:p200"),0)))</f>
        <v>0</v>
      </c>
      <c r="I151" s="515">
        <f t="shared" ca="1" si="28"/>
        <v>0</v>
      </c>
      <c r="J151" s="513">
        <f t="shared" ca="1" si="29"/>
        <v>0</v>
      </c>
    </row>
    <row r="152" spans="2:10">
      <c r="B152" s="563" t="str">
        <f t="shared" si="30"/>
        <v>Gifu</v>
      </c>
      <c r="D152" s="511">
        <v>-1</v>
      </c>
      <c r="E152" s="564">
        <f t="array" aca="1" ref="E152" ca="1">IF($B152="N","",SUM(IF((INDIRECT("'"&amp;$B152&amp;"'!I23:I200")=$A$2)*(INDIRECT("'"&amp;$B152&amp;"'!O23:O200")=$D152)*(INDIRECT("'"&amp;$B152&amp;"'!O23:O200")&lt;&gt;"")*(INDIRECT("'"&amp;$B152&amp;"'!H23:H200")=$E$5),1,0)))</f>
        <v>0</v>
      </c>
      <c r="F152" s="565">
        <f t="array" aca="1" ref="F152" ca="1">IF($B152="N","",SUM(IF((INDIRECT("'"&amp;$B152&amp;"'!I23:I200")=$A$2)*(INDIRECT("'"&amp;$B152&amp;"'!O23:O200")=$D152)*(INDIRECT("'"&amp;$B152&amp;"'!O23:O200")&lt;&gt;"")*(INDIRECT("'"&amp;$B152&amp;"'!H23:H200")=$E$5),INDIRECT("'"&amp;$B152&amp;"'!p23:p200"),0)))</f>
        <v>0</v>
      </c>
      <c r="G152" s="564">
        <f t="array" aca="1" ref="G152" ca="1">IF($B152="N","",SUM(IF((INDIRECT("'"&amp;$B152&amp;"'!I23:I200")=$A$2)*(INDIRECT("'"&amp;$B152&amp;"'!O23:O200")=$D152)*(INDIRECT("'"&amp;$B152&amp;"'!O23:O200")&lt;&gt;"")*(INDIRECT("'"&amp;$B152&amp;"'!H23:H200")=$G$5),1,0)))</f>
        <v>0</v>
      </c>
      <c r="H152" s="565">
        <f t="array" aca="1" ref="H152" ca="1">IF($B152="N","",SUM(IF((INDIRECT("'"&amp;$B152&amp;"'!I23:I200")=$A$2)*(INDIRECT("'"&amp;$B152&amp;"'!O23:O200")=$D152)*(INDIRECT("'"&amp;$B152&amp;"'!O23:O200")&lt;&gt;"")*(INDIRECT("'"&amp;$B152&amp;"'!H23:H200")=$G$5),INDIRECT("'"&amp;$B152&amp;"'!p23:p200"),0)))</f>
        <v>0</v>
      </c>
      <c r="I152" s="515">
        <f t="shared" ca="1" si="28"/>
        <v>0</v>
      </c>
      <c r="J152" s="513">
        <f t="shared" ca="1" si="29"/>
        <v>0</v>
      </c>
    </row>
    <row r="153" spans="2:10">
      <c r="B153" s="563" t="str">
        <f t="shared" si="30"/>
        <v>Gifu</v>
      </c>
      <c r="D153" s="511">
        <v>-0.75</v>
      </c>
      <c r="E153" s="564">
        <f t="array" aca="1" ref="E153" ca="1">IF($B153="N","",SUM(IF((INDIRECT("'"&amp;$B153&amp;"'!I23:I200")=$A$2)*(INDIRECT("'"&amp;$B153&amp;"'!O23:O200")=$D153)*(INDIRECT("'"&amp;$B153&amp;"'!O23:O200")&lt;&gt;"")*(INDIRECT("'"&amp;$B153&amp;"'!H23:H200")=$E$5),1,0)))</f>
        <v>2</v>
      </c>
      <c r="F153" s="565">
        <f t="array" aca="1" ref="F153" ca="1">IF($B153="N","",SUM(IF((INDIRECT("'"&amp;$B153&amp;"'!I23:I200")=$A$2)*(INDIRECT("'"&amp;$B153&amp;"'!O23:O200")=$D153)*(INDIRECT("'"&amp;$B153&amp;"'!O23:O200")&lt;&gt;"")*(INDIRECT("'"&amp;$B153&amp;"'!H23:H200")=$E$5),INDIRECT("'"&amp;$B153&amp;"'!p23:p200"),0)))</f>
        <v>0</v>
      </c>
      <c r="G153" s="564">
        <f t="array" aca="1" ref="G153" ca="1">IF($B153="N","",SUM(IF((INDIRECT("'"&amp;$B153&amp;"'!I23:I200")=$A$2)*(INDIRECT("'"&amp;$B153&amp;"'!O23:O200")=$D153)*(INDIRECT("'"&amp;$B153&amp;"'!O23:O200")&lt;&gt;"")*(INDIRECT("'"&amp;$B153&amp;"'!H23:H200")=$G$5),1,0)))</f>
        <v>0</v>
      </c>
      <c r="H153" s="565">
        <f t="array" aca="1" ref="H153" ca="1">IF($B153="N","",SUM(IF((INDIRECT("'"&amp;$B153&amp;"'!I23:I200")=$A$2)*(INDIRECT("'"&amp;$B153&amp;"'!O23:O200")=$D153)*(INDIRECT("'"&amp;$B153&amp;"'!O23:O200")&lt;&gt;"")*(INDIRECT("'"&amp;$B153&amp;"'!H23:H200")=$G$5),INDIRECT("'"&amp;$B153&amp;"'!p23:p200"),0)))</f>
        <v>0</v>
      </c>
      <c r="I153" s="515">
        <f t="shared" ca="1" si="28"/>
        <v>2</v>
      </c>
      <c r="J153" s="513">
        <f t="shared" ca="1" si="29"/>
        <v>0</v>
      </c>
    </row>
    <row r="154" spans="2:10">
      <c r="B154" s="563" t="str">
        <f t="shared" si="30"/>
        <v>Gifu</v>
      </c>
      <c r="D154" s="511">
        <v>-0.5</v>
      </c>
      <c r="E154" s="564">
        <f t="array" aca="1" ref="E154" ca="1">IF($B154="N","",SUM(IF((INDIRECT("'"&amp;$B154&amp;"'!I23:I200")=$A$2)*(INDIRECT("'"&amp;$B154&amp;"'!O23:O200")=$D154)*(INDIRECT("'"&amp;$B154&amp;"'!O23:O200")&lt;&gt;"")*(INDIRECT("'"&amp;$B154&amp;"'!H23:H200")=$E$5),1,0)))</f>
        <v>0</v>
      </c>
      <c r="F154" s="565">
        <f t="array" aca="1" ref="F154" ca="1">IF($B154="N","",SUM(IF((INDIRECT("'"&amp;$B154&amp;"'!I23:I200")=$A$2)*(INDIRECT("'"&amp;$B154&amp;"'!O23:O200")=$D154)*(INDIRECT("'"&amp;$B154&amp;"'!O23:O200")&lt;&gt;"")*(INDIRECT("'"&amp;$B154&amp;"'!H23:H200")=$E$5),INDIRECT("'"&amp;$B154&amp;"'!p23:p200"),0)))</f>
        <v>0</v>
      </c>
      <c r="G154" s="564">
        <f t="array" aca="1" ref="G154" ca="1">IF($B154="N","",SUM(IF((INDIRECT("'"&amp;$B154&amp;"'!I23:I200")=$A$2)*(INDIRECT("'"&amp;$B154&amp;"'!O23:O200")=$D154)*(INDIRECT("'"&amp;$B154&amp;"'!O23:O200")&lt;&gt;"")*(INDIRECT("'"&amp;$B154&amp;"'!H23:H200")=$G$5),1,0)))</f>
        <v>1</v>
      </c>
      <c r="H154" s="565">
        <f t="array" aca="1" ref="H154" ca="1">IF($B154="N","",SUM(IF((INDIRECT("'"&amp;$B154&amp;"'!I23:I200")=$A$2)*(INDIRECT("'"&amp;$B154&amp;"'!O23:O200")=$D154)*(INDIRECT("'"&amp;$B154&amp;"'!O23:O200")&lt;&gt;"")*(INDIRECT("'"&amp;$B154&amp;"'!H23:H200")=$G$5),INDIRECT("'"&amp;$B154&amp;"'!p23:p200"),0)))</f>
        <v>-1</v>
      </c>
      <c r="I154" s="515">
        <f t="shared" ca="1" si="28"/>
        <v>1</v>
      </c>
      <c r="J154" s="513">
        <f t="shared" ca="1" si="29"/>
        <v>-1</v>
      </c>
    </row>
    <row r="155" spans="2:10">
      <c r="B155" s="563" t="str">
        <f t="shared" si="30"/>
        <v>Gifu</v>
      </c>
      <c r="D155" s="511">
        <v>-0.25</v>
      </c>
      <c r="E155" s="564">
        <f t="array" aca="1" ref="E155" ca="1">IF($B155="N","",SUM(IF((INDIRECT("'"&amp;$B155&amp;"'!I23:I200")=$A$2)*(INDIRECT("'"&amp;$B155&amp;"'!O23:O200")=$D155)*(INDIRECT("'"&amp;$B155&amp;"'!O23:O200")&lt;&gt;"")*(INDIRECT("'"&amp;$B155&amp;"'!H23:H200")=$E$5),1,0)))</f>
        <v>6</v>
      </c>
      <c r="F155" s="565">
        <f t="array" aca="1" ref="F155" ca="1">IF($B155="N","",SUM(IF((INDIRECT("'"&amp;$B155&amp;"'!I23:I200")=$A$2)*(INDIRECT("'"&amp;$B155&amp;"'!O23:O200")=$D155)*(INDIRECT("'"&amp;$B155&amp;"'!O23:O200")&lt;&gt;"")*(INDIRECT("'"&amp;$B155&amp;"'!H23:H200")=$E$5),INDIRECT("'"&amp;$B155&amp;"'!p23:p200"),0)))</f>
        <v>-1.5</v>
      </c>
      <c r="G155" s="564">
        <f t="array" aca="1" ref="G155" ca="1">IF($B155="N","",SUM(IF((INDIRECT("'"&amp;$B155&amp;"'!I23:I200")=$A$2)*(INDIRECT("'"&amp;$B155&amp;"'!O23:O200")=$D155)*(INDIRECT("'"&amp;$B155&amp;"'!O23:O200")&lt;&gt;"")*(INDIRECT("'"&amp;$B155&amp;"'!H23:H200")=$G$5),1,0)))</f>
        <v>1</v>
      </c>
      <c r="H155" s="565">
        <f t="array" aca="1" ref="H155" ca="1">IF($B155="N","",SUM(IF((INDIRECT("'"&amp;$B155&amp;"'!I23:I200")=$A$2)*(INDIRECT("'"&amp;$B155&amp;"'!O23:O200")=$D155)*(INDIRECT("'"&amp;$B155&amp;"'!O23:O200")&lt;&gt;"")*(INDIRECT("'"&amp;$B155&amp;"'!H23:H200")=$G$5),INDIRECT("'"&amp;$B155&amp;"'!p23:p200"),0)))</f>
        <v>1</v>
      </c>
      <c r="I155" s="515">
        <f t="shared" ca="1" si="28"/>
        <v>7</v>
      </c>
      <c r="J155" s="513">
        <f t="shared" ca="1" si="29"/>
        <v>-0.5</v>
      </c>
    </row>
    <row r="156" spans="2:10">
      <c r="B156" s="563" t="str">
        <f t="shared" si="30"/>
        <v>Gifu</v>
      </c>
      <c r="D156" s="511">
        <v>0</v>
      </c>
      <c r="E156" s="564">
        <f t="array" aca="1" ref="E156" ca="1">IF($B156="N","",SUM(IF((INDIRECT("'"&amp;$B156&amp;"'!I23:I200")=$A$2)*(INDIRECT("'"&amp;$B156&amp;"'!O23:O200")=$D156)*(INDIRECT("'"&amp;$B156&amp;"'!O23:O200")&lt;&gt;"")*(INDIRECT("'"&amp;$B156&amp;"'!H23:H200")=$E$5),1,0)))</f>
        <v>7</v>
      </c>
      <c r="F156" s="565">
        <f t="array" aca="1" ref="F156" ca="1">IF($B156="N","",SUM(IF((INDIRECT("'"&amp;$B156&amp;"'!I23:I200")=$A$2)*(INDIRECT("'"&amp;$B156&amp;"'!O23:O200")=$D156)*(INDIRECT("'"&amp;$B156&amp;"'!O23:O200")&lt;&gt;"")*(INDIRECT("'"&amp;$B156&amp;"'!H23:H200")=$E$5),INDIRECT("'"&amp;$B156&amp;"'!p23:p200"),0)))</f>
        <v>-1</v>
      </c>
      <c r="G156" s="564">
        <f t="array" aca="1" ref="G156" ca="1">IF($B156="N","",SUM(IF((INDIRECT("'"&amp;$B156&amp;"'!I23:I200")=$A$2)*(INDIRECT("'"&amp;$B156&amp;"'!O23:O200")=$D156)*(INDIRECT("'"&amp;$B156&amp;"'!O23:O200")&lt;&gt;"")*(INDIRECT("'"&amp;$B156&amp;"'!H23:H200")=$G$5),1,0)))</f>
        <v>6</v>
      </c>
      <c r="H156" s="565">
        <f t="array" aca="1" ref="H156" ca="1">IF($B156="N","",SUM(IF((INDIRECT("'"&amp;$B156&amp;"'!I23:I200")=$A$2)*(INDIRECT("'"&amp;$B156&amp;"'!O23:O200")=$D156)*(INDIRECT("'"&amp;$B156&amp;"'!O23:O200")&lt;&gt;"")*(INDIRECT("'"&amp;$B156&amp;"'!H23:H200")=$G$5),INDIRECT("'"&amp;$B156&amp;"'!p23:p200"),0)))</f>
        <v>2</v>
      </c>
      <c r="I156" s="515">
        <f t="shared" ca="1" si="28"/>
        <v>13</v>
      </c>
      <c r="J156" s="513">
        <f t="shared" ca="1" si="29"/>
        <v>1</v>
      </c>
    </row>
    <row r="157" spans="2:10">
      <c r="B157" s="563" t="str">
        <f t="shared" si="30"/>
        <v>Gifu</v>
      </c>
      <c r="D157" s="511">
        <v>0.25</v>
      </c>
      <c r="E157" s="564">
        <f t="array" aca="1" ref="E157" ca="1">IF($B157="N","",SUM(IF((INDIRECT("'"&amp;$B157&amp;"'!I23:I200")=$A$2)*(INDIRECT("'"&amp;$B157&amp;"'!O23:O200")=$D157)*(INDIRECT("'"&amp;$B157&amp;"'!O23:O200")&lt;&gt;"")*(INDIRECT("'"&amp;$B157&amp;"'!H23:H200")=$E$5),1,0)))</f>
        <v>4</v>
      </c>
      <c r="F157" s="565">
        <f t="array" aca="1" ref="F157" ca="1">IF($B157="N","",SUM(IF((INDIRECT("'"&amp;$B157&amp;"'!I23:I200")=$A$2)*(INDIRECT("'"&amp;$B157&amp;"'!O23:O200")=$D157)*(INDIRECT("'"&amp;$B157&amp;"'!O23:O200")&lt;&gt;"")*(INDIRECT("'"&amp;$B157&amp;"'!H23:H200")=$E$5),INDIRECT("'"&amp;$B157&amp;"'!p23:p200"),0)))</f>
        <v>-2.5</v>
      </c>
      <c r="G157" s="564">
        <f t="array" aca="1" ref="G157" ca="1">IF($B157="N","",SUM(IF((INDIRECT("'"&amp;$B157&amp;"'!I23:I200")=$A$2)*(INDIRECT("'"&amp;$B157&amp;"'!O23:O200")=$D157)*(INDIRECT("'"&amp;$B157&amp;"'!O23:O200")&lt;&gt;"")*(INDIRECT("'"&amp;$B157&amp;"'!H23:H200")=$G$5),1,0)))</f>
        <v>7</v>
      </c>
      <c r="H157" s="565">
        <f t="array" aca="1" ref="H157" ca="1">IF($B157="N","",SUM(IF((INDIRECT("'"&amp;$B157&amp;"'!I23:I200")=$A$2)*(INDIRECT("'"&amp;$B157&amp;"'!O23:O200")=$D157)*(INDIRECT("'"&amp;$B157&amp;"'!O23:O200")&lt;&gt;"")*(INDIRECT("'"&amp;$B157&amp;"'!H23:H200")=$G$5),INDIRECT("'"&amp;$B157&amp;"'!p23:p200"),0)))</f>
        <v>-0.5</v>
      </c>
      <c r="I157" s="515">
        <f t="shared" ca="1" si="28"/>
        <v>11</v>
      </c>
      <c r="J157" s="513">
        <f t="shared" ca="1" si="29"/>
        <v>-3</v>
      </c>
    </row>
    <row r="158" spans="2:10">
      <c r="B158" s="563" t="str">
        <f t="shared" si="30"/>
        <v>Gifu</v>
      </c>
      <c r="D158" s="511">
        <v>0.5</v>
      </c>
      <c r="E158" s="564">
        <f t="array" aca="1" ref="E158" ca="1">IF($B158="N","",SUM(IF((INDIRECT("'"&amp;$B158&amp;"'!I23:I200")=$A$2)*(INDIRECT("'"&amp;$B158&amp;"'!O23:O200")=$D158)*(INDIRECT("'"&amp;$B158&amp;"'!O23:O200")&lt;&gt;"")*(INDIRECT("'"&amp;$B158&amp;"'!H23:H200")=$E$5),1,0)))</f>
        <v>2</v>
      </c>
      <c r="F158" s="565">
        <f t="array" aca="1" ref="F158" ca="1">IF($B158="N","",SUM(IF((INDIRECT("'"&amp;$B158&amp;"'!I23:I200")=$A$2)*(INDIRECT("'"&amp;$B158&amp;"'!O23:O200")=$D158)*(INDIRECT("'"&amp;$B158&amp;"'!O23:O200")&lt;&gt;"")*(INDIRECT("'"&amp;$B158&amp;"'!H23:H200")=$E$5),INDIRECT("'"&amp;$B158&amp;"'!p23:p200"),0)))</f>
        <v>0</v>
      </c>
      <c r="G158" s="564">
        <f t="array" aca="1" ref="G158" ca="1">IF($B158="N","",SUM(IF((INDIRECT("'"&amp;$B158&amp;"'!I23:I200")=$A$2)*(INDIRECT("'"&amp;$B158&amp;"'!O23:O200")=$D158)*(INDIRECT("'"&amp;$B158&amp;"'!O23:O200")&lt;&gt;"")*(INDIRECT("'"&amp;$B158&amp;"'!H23:H200")=$G$5),1,0)))</f>
        <v>3</v>
      </c>
      <c r="H158" s="565">
        <f t="array" aca="1" ref="H158" ca="1">IF($B158="N","",SUM(IF((INDIRECT("'"&amp;$B158&amp;"'!I23:I200")=$A$2)*(INDIRECT("'"&amp;$B158&amp;"'!O23:O200")=$D158)*(INDIRECT("'"&amp;$B158&amp;"'!O23:O200")&lt;&gt;"")*(INDIRECT("'"&amp;$B158&amp;"'!H23:H200")=$G$5),INDIRECT("'"&amp;$B158&amp;"'!p23:p200"),0)))</f>
        <v>1</v>
      </c>
      <c r="I158" s="515">
        <f t="shared" ca="1" si="28"/>
        <v>5</v>
      </c>
      <c r="J158" s="513">
        <f t="shared" ca="1" si="29"/>
        <v>1</v>
      </c>
    </row>
    <row r="159" spans="2:10">
      <c r="B159" s="563" t="str">
        <f t="shared" si="30"/>
        <v>Gifu</v>
      </c>
      <c r="D159" s="511">
        <v>0.75</v>
      </c>
      <c r="E159" s="564">
        <f t="array" aca="1" ref="E159" ca="1">IF($B159="N","",SUM(IF((INDIRECT("'"&amp;$B159&amp;"'!I23:I200")=$A$2)*(INDIRECT("'"&amp;$B159&amp;"'!O23:O200")=$D159)*(INDIRECT("'"&amp;$B159&amp;"'!O23:O200")&lt;&gt;"")*(INDIRECT("'"&amp;$B159&amp;"'!H23:H200")=$E$5),1,0)))</f>
        <v>0</v>
      </c>
      <c r="F159" s="565">
        <f t="array" aca="1" ref="F159" ca="1">IF($B159="N","",SUM(IF((INDIRECT("'"&amp;$B159&amp;"'!I23:I200")=$A$2)*(INDIRECT("'"&amp;$B159&amp;"'!O23:O200")=$D159)*(INDIRECT("'"&amp;$B159&amp;"'!O23:O200")&lt;&gt;"")*(INDIRECT("'"&amp;$B159&amp;"'!H23:H200")=$E$5),INDIRECT("'"&amp;$B159&amp;"'!p23:p200"),0)))</f>
        <v>0</v>
      </c>
      <c r="G159" s="564">
        <f t="array" aca="1" ref="G159" ca="1">IF($B159="N","",SUM(IF((INDIRECT("'"&amp;$B159&amp;"'!I23:I200")=$A$2)*(INDIRECT("'"&amp;$B159&amp;"'!O23:O200")=$D159)*(INDIRECT("'"&amp;$B159&amp;"'!O23:O200")&lt;&gt;"")*(INDIRECT("'"&amp;$B159&amp;"'!H23:H200")=$G$5),1,0)))</f>
        <v>2</v>
      </c>
      <c r="H159" s="565">
        <f t="array" aca="1" ref="H159" ca="1">IF($B159="N","",SUM(IF((INDIRECT("'"&amp;$B159&amp;"'!I23:I200")=$A$2)*(INDIRECT("'"&amp;$B159&amp;"'!O23:O200")=$D159)*(INDIRECT("'"&amp;$B159&amp;"'!O23:O200")&lt;&gt;"")*(INDIRECT("'"&amp;$B159&amp;"'!H23:H200")=$G$5),INDIRECT("'"&amp;$B159&amp;"'!p23:p200"),0)))</f>
        <v>0.5</v>
      </c>
      <c r="I159" s="515">
        <f t="shared" ca="1" si="28"/>
        <v>2</v>
      </c>
      <c r="J159" s="513">
        <f t="shared" ca="1" si="29"/>
        <v>0.5</v>
      </c>
    </row>
    <row r="160" spans="2:10">
      <c r="B160" s="563" t="str">
        <f t="shared" si="30"/>
        <v>Gifu</v>
      </c>
      <c r="D160" s="511">
        <v>1</v>
      </c>
      <c r="E160" s="564">
        <f t="array" aca="1" ref="E160" ca="1">IF($B160="N","",SUM(IF((INDIRECT("'"&amp;$B160&amp;"'!I23:I200")=$A$2)*(INDIRECT("'"&amp;$B160&amp;"'!O23:O200")=$D160)*(INDIRECT("'"&amp;$B160&amp;"'!O23:O200")&lt;&gt;"")*(INDIRECT("'"&amp;$B160&amp;"'!H23:H200")=$E$5),1,0)))</f>
        <v>0</v>
      </c>
      <c r="F160" s="565">
        <f t="array" aca="1" ref="F160" ca="1">IF($B160="N","",SUM(IF((INDIRECT("'"&amp;$B160&amp;"'!I23:I200")=$A$2)*(INDIRECT("'"&amp;$B160&amp;"'!O23:O200")=$D160)*(INDIRECT("'"&amp;$B160&amp;"'!O23:O200")&lt;&gt;"")*(INDIRECT("'"&amp;$B160&amp;"'!H23:H200")=$E$5),INDIRECT("'"&amp;$B160&amp;"'!p23:p200"),0)))</f>
        <v>0</v>
      </c>
      <c r="G160" s="564">
        <f t="array" aca="1" ref="G160" ca="1">IF($B160="N","",SUM(IF((INDIRECT("'"&amp;$B160&amp;"'!I23:I200")=$A$2)*(INDIRECT("'"&amp;$B160&amp;"'!O23:O200")=$D160)*(INDIRECT("'"&amp;$B160&amp;"'!O23:O200")&lt;&gt;"")*(INDIRECT("'"&amp;$B160&amp;"'!H23:H200")=$G$5),1,0)))</f>
        <v>1</v>
      </c>
      <c r="H160" s="565">
        <f t="array" aca="1" ref="H160" ca="1">IF($B160="N","",SUM(IF((INDIRECT("'"&amp;$B160&amp;"'!I23:I200")=$A$2)*(INDIRECT("'"&amp;$B160&amp;"'!O23:O200")=$D160)*(INDIRECT("'"&amp;$B160&amp;"'!O23:O200")&lt;&gt;"")*(INDIRECT("'"&amp;$B160&amp;"'!H23:H200")=$G$5),INDIRECT("'"&amp;$B160&amp;"'!p23:p200"),0)))</f>
        <v>0</v>
      </c>
      <c r="I160" s="515">
        <f t="shared" ca="1" si="28"/>
        <v>1</v>
      </c>
      <c r="J160" s="513">
        <f t="shared" ca="1" si="29"/>
        <v>0</v>
      </c>
    </row>
    <row r="161" spans="1:10">
      <c r="B161" s="563" t="str">
        <f t="shared" si="30"/>
        <v>Gifu</v>
      </c>
      <c r="D161" s="511">
        <v>1.25</v>
      </c>
      <c r="E161" s="564">
        <f t="array" aca="1" ref="E161" ca="1">IF($B161="N","",SUM(IF((INDIRECT("'"&amp;$B161&amp;"'!I23:I200")=$A$2)*(INDIRECT("'"&amp;$B161&amp;"'!O23:O200")=$D161)*(INDIRECT("'"&amp;$B161&amp;"'!O23:O200")&lt;&gt;"")*(INDIRECT("'"&amp;$B161&amp;"'!H23:H200")=$E$5),1,0)))</f>
        <v>0</v>
      </c>
      <c r="F161" s="565">
        <f t="array" aca="1" ref="F161" ca="1">IF($B161="N","",SUM(IF((INDIRECT("'"&amp;$B161&amp;"'!I23:I200")=$A$2)*(INDIRECT("'"&amp;$B161&amp;"'!O23:O200")=$D161)*(INDIRECT("'"&amp;$B161&amp;"'!O23:O200")&lt;&gt;"")*(INDIRECT("'"&amp;$B161&amp;"'!H23:H200")=$E$5),INDIRECT("'"&amp;$B161&amp;"'!p23:p200"),0)))</f>
        <v>0</v>
      </c>
      <c r="G161" s="564">
        <f t="array" aca="1" ref="G161" ca="1">IF($B161="N","",SUM(IF((INDIRECT("'"&amp;$B161&amp;"'!I23:I200")=$A$2)*(INDIRECT("'"&amp;$B161&amp;"'!O23:O200")=$D161)*(INDIRECT("'"&amp;$B161&amp;"'!O23:O200")&lt;&gt;"")*(INDIRECT("'"&amp;$B161&amp;"'!H23:H200")=$G$5),1,0)))</f>
        <v>0</v>
      </c>
      <c r="H161" s="565">
        <f t="array" aca="1" ref="H161" ca="1">IF($B161="N","",SUM(IF((INDIRECT("'"&amp;$B161&amp;"'!I23:I200")=$A$2)*(INDIRECT("'"&amp;$B161&amp;"'!O23:O200")=$D161)*(INDIRECT("'"&amp;$B161&amp;"'!O23:O200")&lt;&gt;"")*(INDIRECT("'"&amp;$B161&amp;"'!H23:H200")=$G$5),INDIRECT("'"&amp;$B161&amp;"'!p23:p200"),0)))</f>
        <v>0</v>
      </c>
      <c r="I161" s="515">
        <f t="shared" ca="1" si="28"/>
        <v>0</v>
      </c>
      <c r="J161" s="513">
        <f t="shared" ca="1" si="29"/>
        <v>0</v>
      </c>
    </row>
    <row r="162" spans="1:10">
      <c r="B162" s="563" t="str">
        <f t="shared" si="30"/>
        <v>Gifu</v>
      </c>
      <c r="D162" s="511">
        <v>1.5</v>
      </c>
      <c r="E162" s="564">
        <f t="array" aca="1" ref="E162" ca="1">IF($B162="N","",SUM(IF((INDIRECT("'"&amp;$B162&amp;"'!I23:I200")=$A$2)*(INDIRECT("'"&amp;$B162&amp;"'!O23:O200")=$D162)*(INDIRECT("'"&amp;$B162&amp;"'!O23:O200")&lt;&gt;"")*(INDIRECT("'"&amp;$B162&amp;"'!H23:H200")=$E$5),1,0)))</f>
        <v>0</v>
      </c>
      <c r="F162" s="565">
        <f t="array" aca="1" ref="F162" ca="1">IF($B162="N","",SUM(IF((INDIRECT("'"&amp;$B162&amp;"'!I23:I200")=$A$2)*(INDIRECT("'"&amp;$B162&amp;"'!O23:O200")=$D162)*(INDIRECT("'"&amp;$B162&amp;"'!O23:O200")&lt;&gt;"")*(INDIRECT("'"&amp;$B162&amp;"'!H23:H200")=$E$5),INDIRECT("'"&amp;$B162&amp;"'!p23:p200"),0)))</f>
        <v>0</v>
      </c>
      <c r="G162" s="564">
        <f t="array" aca="1" ref="G162" ca="1">IF($B162="N","",SUM(IF((INDIRECT("'"&amp;$B162&amp;"'!I23:I200")=$A$2)*(INDIRECT("'"&amp;$B162&amp;"'!O23:O200")=$D162)*(INDIRECT("'"&amp;$B162&amp;"'!O23:O200")&lt;&gt;"")*(INDIRECT("'"&amp;$B162&amp;"'!H23:H200")=$G$5),1,0)))</f>
        <v>0</v>
      </c>
      <c r="H162" s="565">
        <f t="array" aca="1" ref="H162" ca="1">IF($B162="N","",SUM(IF((INDIRECT("'"&amp;$B162&amp;"'!I23:I200")=$A$2)*(INDIRECT("'"&amp;$B162&amp;"'!O23:O200")=$D162)*(INDIRECT("'"&amp;$B162&amp;"'!O23:O200")&lt;&gt;"")*(INDIRECT("'"&amp;$B162&amp;"'!H23:H200")=$G$5),INDIRECT("'"&amp;$B162&amp;"'!p23:p200"),0)))</f>
        <v>0</v>
      </c>
      <c r="I162" s="515">
        <f t="shared" ca="1" si="28"/>
        <v>0</v>
      </c>
      <c r="J162" s="513">
        <f t="shared" ca="1" si="29"/>
        <v>0</v>
      </c>
    </row>
    <row r="163" spans="1:10">
      <c r="B163" s="563" t="str">
        <f t="shared" si="30"/>
        <v>Gifu</v>
      </c>
      <c r="D163" s="528">
        <v>1.75</v>
      </c>
      <c r="E163" s="564">
        <f t="array" aca="1" ref="E163" ca="1">IF($B163="N","",SUM(IF((INDIRECT("'"&amp;$B163&amp;"'!I23:I200")=$A$2)*(INDIRECT("'"&amp;$B163&amp;"'!O23:O200")=$D163)*(INDIRECT("'"&amp;$B163&amp;"'!O23:O200")&lt;&gt;"")*(INDIRECT("'"&amp;$B163&amp;"'!H23:H200")=$E$5),1,0)))</f>
        <v>0</v>
      </c>
      <c r="F163" s="565">
        <f t="array" aca="1" ref="F163" ca="1">IF($B163="N","",SUM(IF((INDIRECT("'"&amp;$B163&amp;"'!I23:I200")=$A$2)*(INDIRECT("'"&amp;$B163&amp;"'!O23:O200")=$D163)*(INDIRECT("'"&amp;$B163&amp;"'!O23:O200")&lt;&gt;"")*(INDIRECT("'"&amp;$B163&amp;"'!H23:H200")=$E$5),INDIRECT("'"&amp;$B163&amp;"'!p23:p200"),0)))</f>
        <v>0</v>
      </c>
      <c r="G163" s="564">
        <f t="array" aca="1" ref="G163" ca="1">IF($B163="N","",SUM(IF((INDIRECT("'"&amp;$B163&amp;"'!I23:I200")=$A$2)*(INDIRECT("'"&amp;$B163&amp;"'!O23:O200")=$D163)*(INDIRECT("'"&amp;$B163&amp;"'!O23:O200")&lt;&gt;"")*(INDIRECT("'"&amp;$B163&amp;"'!H23:H200")=$G$5),1,0)))</f>
        <v>0</v>
      </c>
      <c r="H163" s="565">
        <f t="array" aca="1" ref="H163" ca="1">IF($B163="N","",SUM(IF((INDIRECT("'"&amp;$B163&amp;"'!I23:I200")=$A$2)*(INDIRECT("'"&amp;$B163&amp;"'!O23:O200")=$D163)*(INDIRECT("'"&amp;$B163&amp;"'!O23:O200")&lt;&gt;"")*(INDIRECT("'"&amp;$B163&amp;"'!H23:H200")=$G$5),INDIRECT("'"&amp;$B163&amp;"'!p23:p200"),0)))</f>
        <v>0</v>
      </c>
      <c r="I163" s="515">
        <f t="shared" ca="1" si="28"/>
        <v>0</v>
      </c>
      <c r="J163" s="513">
        <f t="shared" ca="1" si="29"/>
        <v>0</v>
      </c>
    </row>
    <row r="164" spans="1:10">
      <c r="B164" s="563" t="str">
        <f t="shared" si="30"/>
        <v>Gifu</v>
      </c>
      <c r="D164" s="528">
        <v>2</v>
      </c>
      <c r="E164" s="564">
        <f t="array" aca="1" ref="E164" ca="1">IF($B164="N","",SUM(IF((INDIRECT("'"&amp;$B164&amp;"'!I23:I200")=$A$2)*(INDIRECT("'"&amp;$B164&amp;"'!O23:O200")=$D164)*(INDIRECT("'"&amp;$B164&amp;"'!O23:O200")&lt;&gt;"")*(INDIRECT("'"&amp;$B164&amp;"'!H23:H200")=$E$5),1,0)))</f>
        <v>0</v>
      </c>
      <c r="F164" s="565">
        <f t="array" aca="1" ref="F164" ca="1">IF($B164="N","",SUM(IF((INDIRECT("'"&amp;$B164&amp;"'!I23:I200")=$A$2)*(INDIRECT("'"&amp;$B164&amp;"'!O23:O200")=$D164)*(INDIRECT("'"&amp;$B164&amp;"'!O23:O200")&lt;&gt;"")*(INDIRECT("'"&amp;$B164&amp;"'!H23:H200")=$E$5),INDIRECT("'"&amp;$B164&amp;"'!p23:p200"),0)))</f>
        <v>0</v>
      </c>
      <c r="G164" s="564">
        <f t="array" aca="1" ref="G164" ca="1">IF($B164="N","",SUM(IF((INDIRECT("'"&amp;$B164&amp;"'!I23:I200")=$A$2)*(INDIRECT("'"&amp;$B164&amp;"'!O23:O200")=$D164)*(INDIRECT("'"&amp;$B164&amp;"'!O23:O200")&lt;&gt;"")*(INDIRECT("'"&amp;$B164&amp;"'!H23:H200")=$G$5),1,0)))</f>
        <v>0</v>
      </c>
      <c r="H164" s="565">
        <f t="array" aca="1" ref="H164" ca="1">IF($B164="N","",SUM(IF((INDIRECT("'"&amp;$B164&amp;"'!I23:I200")=$A$2)*(INDIRECT("'"&amp;$B164&amp;"'!O23:O200")=$D164)*(INDIRECT("'"&amp;$B164&amp;"'!O23:O200")&lt;&gt;"")*(INDIRECT("'"&amp;$B164&amp;"'!H23:H200")=$G$5),INDIRECT("'"&amp;$B164&amp;"'!p23:p200"),0)))</f>
        <v>0</v>
      </c>
      <c r="I164" s="515">
        <f t="shared" ca="1" si="28"/>
        <v>0</v>
      </c>
      <c r="J164" s="513">
        <f t="shared" ca="1" si="29"/>
        <v>0</v>
      </c>
    </row>
    <row r="165" spans="1:10">
      <c r="B165" s="563" t="str">
        <f t="shared" si="30"/>
        <v>Gifu</v>
      </c>
      <c r="D165" s="528">
        <v>2.25</v>
      </c>
      <c r="E165" s="564">
        <f t="array" aca="1" ref="E165" ca="1">IF($B165="N","",SUM(IF((INDIRECT("'"&amp;$B165&amp;"'!I23:I200")=$A$2)*(INDIRECT("'"&amp;$B165&amp;"'!O23:O200")=$D165)*(INDIRECT("'"&amp;$B165&amp;"'!O23:O200")&lt;&gt;"")*(INDIRECT("'"&amp;$B165&amp;"'!H23:H200")=$E$5),1,0)))</f>
        <v>0</v>
      </c>
      <c r="F165" s="565">
        <f t="array" aca="1" ref="F165" ca="1">IF($B165="N","",SUM(IF((INDIRECT("'"&amp;$B165&amp;"'!I23:I200")=$A$2)*(INDIRECT("'"&amp;$B165&amp;"'!O23:O200")=$D165)*(INDIRECT("'"&amp;$B165&amp;"'!O23:O200")&lt;&gt;"")*(INDIRECT("'"&amp;$B165&amp;"'!H23:H200")=$E$5),INDIRECT("'"&amp;$B165&amp;"'!p23:p200"),0)))</f>
        <v>0</v>
      </c>
      <c r="G165" s="564">
        <f t="array" aca="1" ref="G165" ca="1">IF($B165="N","",SUM(IF((INDIRECT("'"&amp;$B165&amp;"'!I23:I200")=$A$2)*(INDIRECT("'"&amp;$B165&amp;"'!O23:O200")=$D165)*(INDIRECT("'"&amp;$B165&amp;"'!O23:O200")&lt;&gt;"")*(INDIRECT("'"&amp;$B165&amp;"'!H23:H200")=$G$5),1,0)))</f>
        <v>0</v>
      </c>
      <c r="H165" s="565">
        <f t="array" aca="1" ref="H165" ca="1">IF($B165="N","",SUM(IF((INDIRECT("'"&amp;$B165&amp;"'!I23:I200")=$A$2)*(INDIRECT("'"&amp;$B165&amp;"'!O23:O200")=$D165)*(INDIRECT("'"&amp;$B165&amp;"'!O23:O200")&lt;&gt;"")*(INDIRECT("'"&amp;$B165&amp;"'!H23:H200")=$G$5),INDIRECT("'"&amp;$B165&amp;"'!p23:p200"),0)))</f>
        <v>0</v>
      </c>
      <c r="I165" s="515">
        <f t="shared" ca="1" si="28"/>
        <v>0</v>
      </c>
      <c r="J165" s="513">
        <f t="shared" ca="1" si="29"/>
        <v>0</v>
      </c>
    </row>
    <row r="166" spans="1:10">
      <c r="B166" s="563" t="str">
        <f t="shared" si="30"/>
        <v>Gifu</v>
      </c>
      <c r="D166" s="528">
        <v>2.5</v>
      </c>
      <c r="E166" s="564">
        <f t="array" aca="1" ref="E166" ca="1">IF($B166="N","",SUM(IF((INDIRECT("'"&amp;$B166&amp;"'!I23:I200")=$A$2)*(INDIRECT("'"&amp;$B166&amp;"'!O23:O200")=$D166)*(INDIRECT("'"&amp;$B166&amp;"'!O23:O200")&lt;&gt;"")*(INDIRECT("'"&amp;$B166&amp;"'!H23:H200")=$E$5),1,0)))</f>
        <v>0</v>
      </c>
      <c r="F166" s="565">
        <f t="array" aca="1" ref="F166" ca="1">IF($B166="N","",SUM(IF((INDIRECT("'"&amp;$B166&amp;"'!I23:I200")=$A$2)*(INDIRECT("'"&amp;$B166&amp;"'!O23:O200")=$D166)*(INDIRECT("'"&amp;$B166&amp;"'!O23:O200")&lt;&gt;"")*(INDIRECT("'"&amp;$B166&amp;"'!H23:H200")=$E$5),INDIRECT("'"&amp;$B166&amp;"'!p23:p200"),0)))</f>
        <v>0</v>
      </c>
      <c r="G166" s="564">
        <f t="array" aca="1" ref="G166" ca="1">IF($B166="N","",SUM(IF((INDIRECT("'"&amp;$B166&amp;"'!I23:I200")=$A$2)*(INDIRECT("'"&amp;$B166&amp;"'!O23:O200")=$D166)*(INDIRECT("'"&amp;$B166&amp;"'!O23:O200")&lt;&gt;"")*(INDIRECT("'"&amp;$B166&amp;"'!H23:H200")=$G$5),1,0)))</f>
        <v>0</v>
      </c>
      <c r="H166" s="565">
        <f t="array" aca="1" ref="H166" ca="1">IF($B166="N","",SUM(IF((INDIRECT("'"&amp;$B166&amp;"'!I23:I200")=$A$2)*(INDIRECT("'"&amp;$B166&amp;"'!O23:O200")=$D166)*(INDIRECT("'"&amp;$B166&amp;"'!O23:O200")&lt;&gt;"")*(INDIRECT("'"&amp;$B166&amp;"'!H23:H200")=$G$5),INDIRECT("'"&amp;$B166&amp;"'!p23:p200"),0)))</f>
        <v>0</v>
      </c>
      <c r="I166" s="515">
        <f t="shared" ca="1" si="28"/>
        <v>0</v>
      </c>
      <c r="J166" s="513">
        <f t="shared" ca="1" si="29"/>
        <v>0</v>
      </c>
    </row>
    <row r="167" spans="1:10" ht="15" thickBot="1">
      <c r="B167" s="563" t="str">
        <f t="shared" si="30"/>
        <v>Gifu</v>
      </c>
      <c r="D167" s="511">
        <v>2.75</v>
      </c>
      <c r="E167" s="564">
        <f t="array" aca="1" ref="E167" ca="1">IF($B167="N","",SUM(IF((INDIRECT("'"&amp;$B167&amp;"'!I23:I200")=$A$2)*(INDIRECT("'"&amp;$B167&amp;"'!O23:O200")=$D167)*(INDIRECT("'"&amp;$B167&amp;"'!O23:O200")&lt;&gt;"")*(INDIRECT("'"&amp;$B167&amp;"'!H23:H200")=$E$5),1,0)))</f>
        <v>0</v>
      </c>
      <c r="F167" s="565">
        <f t="array" aca="1" ref="F167" ca="1">IF($B167="N","",SUM(IF((INDIRECT("'"&amp;$B167&amp;"'!I23:I200")=$A$2)*(INDIRECT("'"&amp;$B167&amp;"'!O23:O200")=$D167)*(INDIRECT("'"&amp;$B167&amp;"'!O23:O200")&lt;&gt;"")*(INDIRECT("'"&amp;$B167&amp;"'!H23:H200")=$E$5),INDIRECT("'"&amp;$B167&amp;"'!p23:p200"),0)))</f>
        <v>0</v>
      </c>
      <c r="G167" s="564">
        <f t="array" aca="1" ref="G167" ca="1">IF($B167="N","",SUM(IF((INDIRECT("'"&amp;$B167&amp;"'!I23:I200")=$A$2)*(INDIRECT("'"&amp;$B167&amp;"'!O23:O200")=$D167)*(INDIRECT("'"&amp;$B167&amp;"'!O23:O200")&lt;&gt;"")*(INDIRECT("'"&amp;$B167&amp;"'!H23:H200")=$G$5),1,0)))</f>
        <v>0</v>
      </c>
      <c r="H167" s="565">
        <f t="array" aca="1" ref="H167" ca="1">IF($B167="N","",SUM(IF((INDIRECT("'"&amp;$B167&amp;"'!I23:I200")=$A$2)*(INDIRECT("'"&amp;$B167&amp;"'!O23:O200")=$D167)*(INDIRECT("'"&amp;$B167&amp;"'!O23:O200")&lt;&gt;"")*(INDIRECT("'"&amp;$B167&amp;"'!H23:H200")=$G$5),INDIRECT("'"&amp;$B167&amp;"'!p23:p200"),0)))</f>
        <v>0</v>
      </c>
      <c r="I167" s="515">
        <f t="shared" ca="1" si="28"/>
        <v>0</v>
      </c>
      <c r="J167" s="513">
        <f t="shared" ca="1" si="29"/>
        <v>0</v>
      </c>
    </row>
    <row r="168" spans="1:10" ht="15" thickBot="1">
      <c r="A168" s="567"/>
      <c r="B168" s="568"/>
      <c r="C168" s="569" t="str">
        <f>D143</f>
        <v>Gifu</v>
      </c>
      <c r="D168" s="570" t="s">
        <v>115</v>
      </c>
      <c r="E168" s="571">
        <f t="shared" ref="E168:J168" ca="1" si="31">SUM(E145:E167)</f>
        <v>21</v>
      </c>
      <c r="F168" s="572">
        <f t="shared" ca="1" si="31"/>
        <v>-5</v>
      </c>
      <c r="G168" s="571">
        <f t="shared" ca="1" si="31"/>
        <v>21</v>
      </c>
      <c r="H168" s="572">
        <f t="shared" ca="1" si="31"/>
        <v>3</v>
      </c>
      <c r="I168" s="573">
        <f t="shared" ca="1" si="31"/>
        <v>42</v>
      </c>
      <c r="J168" s="572">
        <f t="shared" ca="1" si="31"/>
        <v>-2</v>
      </c>
    </row>
    <row r="169" spans="1:10" ht="15" thickBot="1">
      <c r="A169" s="567"/>
      <c r="C169" s="576"/>
    </row>
    <row r="170" spans="1:10">
      <c r="A170" s="567"/>
      <c r="B170" s="357"/>
      <c r="C170" s="569"/>
      <c r="D170" s="562" t="str">
        <f>I1</f>
        <v>Shonan Bellmare</v>
      </c>
      <c r="E170" s="490" t="s">
        <v>80</v>
      </c>
      <c r="F170" s="491"/>
      <c r="G170" s="490" t="s">
        <v>81</v>
      </c>
      <c r="H170" s="491"/>
      <c r="I170" s="490" t="s">
        <v>82</v>
      </c>
      <c r="J170" s="492"/>
    </row>
    <row r="171" spans="1:10" ht="15" thickBot="1">
      <c r="B171" s="357"/>
      <c r="C171" s="357"/>
      <c r="D171" s="499" t="s">
        <v>120</v>
      </c>
      <c r="E171" s="497" t="s">
        <v>123</v>
      </c>
      <c r="F171" s="552" t="s">
        <v>124</v>
      </c>
      <c r="G171" s="497" t="s">
        <v>123</v>
      </c>
      <c r="H171" s="552" t="s">
        <v>124</v>
      </c>
      <c r="I171" s="501" t="s">
        <v>123</v>
      </c>
      <c r="J171" s="552" t="s">
        <v>124</v>
      </c>
    </row>
    <row r="172" spans="1:10">
      <c r="B172" s="563" t="str">
        <f>IF(D170=0,"N",D170)</f>
        <v>Shonan Bellmare</v>
      </c>
      <c r="D172" s="511">
        <v>-2.75</v>
      </c>
      <c r="E172" s="564">
        <f t="array" aca="1" ref="E172" ca="1">IF($B172="N","",SUM(IF((INDIRECT("'"&amp;$B172&amp;"'!I23:I200")=$A$2)*(INDIRECT("'"&amp;$B172&amp;"'!O23:O200")=$D172)*(INDIRECT("'"&amp;$B172&amp;"'!O23:O200")&lt;&gt;"")*(INDIRECT("'"&amp;$B172&amp;"'!H23:H200")=$E$5),1,0)))</f>
        <v>0</v>
      </c>
      <c r="F172" s="565">
        <f t="array" aca="1" ref="F172" ca="1">IF($B172="N","",SUM(IF((INDIRECT("'"&amp;$B172&amp;"'!I23:I200")=$A$2)*(INDIRECT("'"&amp;$B172&amp;"'!O23:O200")=$D172)*(INDIRECT("'"&amp;$B172&amp;"'!O23:O200")&lt;&gt;"")*(INDIRECT("'"&amp;$B172&amp;"'!H23:H200")=$E$5),INDIRECT("'"&amp;$B172&amp;"'!p23:p200"),0)))</f>
        <v>0</v>
      </c>
      <c r="G172" s="564">
        <f t="array" aca="1" ref="G172" ca="1">IF($B172="N","",SUM(IF((INDIRECT("'"&amp;$B172&amp;"'!I23:I200")=$A$2)*(INDIRECT("'"&amp;$B172&amp;"'!O23:O200")=$D172)*(INDIRECT("'"&amp;$B172&amp;"'!O23:O200")&lt;&gt;"")*(INDIRECT("'"&amp;$B172&amp;"'!H23:H200")=$G$5),1,0)))</f>
        <v>0</v>
      </c>
      <c r="H172" s="565">
        <f t="array" aca="1" ref="H172" ca="1">IF($B172="N","",SUM(IF((INDIRECT("'"&amp;$B172&amp;"'!I23:I200")=$A$2)*(INDIRECT("'"&amp;$B172&amp;"'!O23:O200")=$D172)*(INDIRECT("'"&amp;$B172&amp;"'!O23:O200")&lt;&gt;"")*(INDIRECT("'"&amp;$B172&amp;"'!H23:H200")=$G$5),INDIRECT("'"&amp;$B172&amp;"'!p23:p200"),0)))</f>
        <v>0</v>
      </c>
      <c r="I172" s="515">
        <f t="shared" ref="I172:I194" ca="1" si="32">IF(B172="N","",G172+E172)</f>
        <v>0</v>
      </c>
      <c r="J172" s="513">
        <f t="shared" ref="J172:J194" ca="1" si="33">IF(I172="","",F172+H172)</f>
        <v>0</v>
      </c>
    </row>
    <row r="173" spans="1:10">
      <c r="B173" s="563" t="str">
        <f>B172</f>
        <v>Shonan Bellmare</v>
      </c>
      <c r="D173" s="520">
        <v>-2.5</v>
      </c>
      <c r="E173" s="564">
        <f t="array" aca="1" ref="E173" ca="1">IF($B173="N","",SUM(IF((INDIRECT("'"&amp;$B173&amp;"'!I23:I200")=$A$2)*(INDIRECT("'"&amp;$B173&amp;"'!O23:O200")=$D173)*(INDIRECT("'"&amp;$B173&amp;"'!O23:O200")&lt;&gt;"")*(INDIRECT("'"&amp;$B173&amp;"'!H23:H200")=$E$5),1,0)))</f>
        <v>0</v>
      </c>
      <c r="F173" s="565">
        <f t="array" aca="1" ref="F173" ca="1">IF($B173="N","",SUM(IF((INDIRECT("'"&amp;$B173&amp;"'!I23:I200")=$A$2)*(INDIRECT("'"&amp;$B173&amp;"'!O23:O200")=$D173)*(INDIRECT("'"&amp;$B173&amp;"'!O23:O200")&lt;&gt;"")*(INDIRECT("'"&amp;$B173&amp;"'!H23:H200")=$E$5),INDIRECT("'"&amp;$B173&amp;"'!p23:p200"),0)))</f>
        <v>0</v>
      </c>
      <c r="G173" s="564">
        <f t="array" aca="1" ref="G173" ca="1">IF($B173="N","",SUM(IF((INDIRECT("'"&amp;$B173&amp;"'!I23:I200")=$A$2)*(INDIRECT("'"&amp;$B173&amp;"'!O23:O200")=$D173)*(INDIRECT("'"&amp;$B173&amp;"'!O23:O200")&lt;&gt;"")*(INDIRECT("'"&amp;$B173&amp;"'!H23:H200")=$G$5),1,0)))</f>
        <v>0</v>
      </c>
      <c r="H173" s="565">
        <f t="array" aca="1" ref="H173" ca="1">IF($B173="N","",SUM(IF((INDIRECT("'"&amp;$B173&amp;"'!I23:I200")=$A$2)*(INDIRECT("'"&amp;$B173&amp;"'!O23:O200")=$D173)*(INDIRECT("'"&amp;$B173&amp;"'!O23:O200")&lt;&gt;"")*(INDIRECT("'"&amp;$B173&amp;"'!H23:H200")=$G$5),INDIRECT("'"&amp;$B173&amp;"'!p23:p200"),0)))</f>
        <v>0</v>
      </c>
      <c r="I173" s="515">
        <f t="shared" ca="1" si="32"/>
        <v>0</v>
      </c>
      <c r="J173" s="513">
        <f t="shared" ca="1" si="33"/>
        <v>0</v>
      </c>
    </row>
    <row r="174" spans="1:10">
      <c r="B174" s="563" t="str">
        <f t="shared" ref="B174:B194" si="34">B173</f>
        <v>Shonan Bellmare</v>
      </c>
      <c r="D174" s="520">
        <v>-2.25</v>
      </c>
      <c r="E174" s="564">
        <f t="array" aca="1" ref="E174" ca="1">IF($B174="N","",SUM(IF((INDIRECT("'"&amp;$B174&amp;"'!I23:I200")=$A$2)*(INDIRECT("'"&amp;$B174&amp;"'!O23:O200")=$D174)*(INDIRECT("'"&amp;$B174&amp;"'!O23:O200")&lt;&gt;"")*(INDIRECT("'"&amp;$B174&amp;"'!H23:H200")=$E$5),1,0)))</f>
        <v>0</v>
      </c>
      <c r="F174" s="565">
        <f t="array" aca="1" ref="F174" ca="1">IF($B174="N","",SUM(IF((INDIRECT("'"&amp;$B174&amp;"'!I23:I200")=$A$2)*(INDIRECT("'"&amp;$B174&amp;"'!O23:O200")=$D174)*(INDIRECT("'"&amp;$B174&amp;"'!O23:O200")&lt;&gt;"")*(INDIRECT("'"&amp;$B174&amp;"'!H23:H200")=$E$5),INDIRECT("'"&amp;$B174&amp;"'!p23:p200"),0)))</f>
        <v>0</v>
      </c>
      <c r="G174" s="564">
        <f t="array" aca="1" ref="G174" ca="1">IF($B174="N","",SUM(IF((INDIRECT("'"&amp;$B174&amp;"'!I23:I200")=$A$2)*(INDIRECT("'"&amp;$B174&amp;"'!O23:O200")=$D174)*(INDIRECT("'"&amp;$B174&amp;"'!O23:O200")&lt;&gt;"")*(INDIRECT("'"&amp;$B174&amp;"'!H23:H200")=$G$5),1,0)))</f>
        <v>0</v>
      </c>
      <c r="H174" s="565">
        <f t="array" aca="1" ref="H174" ca="1">IF($B174="N","",SUM(IF((INDIRECT("'"&amp;$B174&amp;"'!I23:I200")=$A$2)*(INDIRECT("'"&amp;$B174&amp;"'!O23:O200")=$D174)*(INDIRECT("'"&amp;$B174&amp;"'!O23:O200")&lt;&gt;"")*(INDIRECT("'"&amp;$B174&amp;"'!H23:H200")=$G$5),INDIRECT("'"&amp;$B174&amp;"'!p23:p200"),0)))</f>
        <v>0</v>
      </c>
      <c r="I174" s="515">
        <f t="shared" ca="1" si="32"/>
        <v>0</v>
      </c>
      <c r="J174" s="513">
        <f t="shared" ca="1" si="33"/>
        <v>0</v>
      </c>
    </row>
    <row r="175" spans="1:10">
      <c r="B175" s="563" t="str">
        <f t="shared" si="34"/>
        <v>Shonan Bellmare</v>
      </c>
      <c r="D175" s="520">
        <v>-2</v>
      </c>
      <c r="E175" s="564">
        <f t="array" aca="1" ref="E175" ca="1">IF($B175="N","",SUM(IF((INDIRECT("'"&amp;$B175&amp;"'!I23:I200")=$A$2)*(INDIRECT("'"&amp;$B175&amp;"'!O23:O200")=$D175)*(INDIRECT("'"&amp;$B175&amp;"'!O23:O200")&lt;&gt;"")*(INDIRECT("'"&amp;$B175&amp;"'!H23:H200")=$E$5),1,0)))</f>
        <v>0</v>
      </c>
      <c r="F175" s="565">
        <f t="array" aca="1" ref="F175" ca="1">IF($B175="N","",SUM(IF((INDIRECT("'"&amp;$B175&amp;"'!I23:I200")=$A$2)*(INDIRECT("'"&amp;$B175&amp;"'!O23:O200")=$D175)*(INDIRECT("'"&amp;$B175&amp;"'!O23:O200")&lt;&gt;"")*(INDIRECT("'"&amp;$B175&amp;"'!H23:H200")=$E$5),INDIRECT("'"&amp;$B175&amp;"'!p23:p200"),0)))</f>
        <v>0</v>
      </c>
      <c r="G175" s="564">
        <f t="array" aca="1" ref="G175" ca="1">IF($B175="N","",SUM(IF((INDIRECT("'"&amp;$B175&amp;"'!I23:I200")=$A$2)*(INDIRECT("'"&amp;$B175&amp;"'!O23:O200")=$D175)*(INDIRECT("'"&amp;$B175&amp;"'!O23:O200")&lt;&gt;"")*(INDIRECT("'"&amp;$B175&amp;"'!H23:H200")=$G$5),1,0)))</f>
        <v>0</v>
      </c>
      <c r="H175" s="565">
        <f t="array" aca="1" ref="H175" ca="1">IF($B175="N","",SUM(IF((INDIRECT("'"&amp;$B175&amp;"'!I23:I200")=$A$2)*(INDIRECT("'"&amp;$B175&amp;"'!O23:O200")=$D175)*(INDIRECT("'"&amp;$B175&amp;"'!O23:O200")&lt;&gt;"")*(INDIRECT("'"&amp;$B175&amp;"'!H23:H200")=$G$5),INDIRECT("'"&amp;$B175&amp;"'!p23:p200"),0)))</f>
        <v>0</v>
      </c>
      <c r="I175" s="515">
        <f t="shared" ca="1" si="32"/>
        <v>0</v>
      </c>
      <c r="J175" s="513">
        <f t="shared" ca="1" si="33"/>
        <v>0</v>
      </c>
    </row>
    <row r="176" spans="1:10">
      <c r="B176" s="563" t="str">
        <f t="shared" si="34"/>
        <v>Shonan Bellmare</v>
      </c>
      <c r="D176" s="520">
        <v>-1.75</v>
      </c>
      <c r="E176" s="564">
        <f t="array" aca="1" ref="E176" ca="1">IF($B176="N","",SUM(IF((INDIRECT("'"&amp;$B176&amp;"'!I23:I200")=$A$2)*(INDIRECT("'"&amp;$B176&amp;"'!O23:O200")=$D176)*(INDIRECT("'"&amp;$B176&amp;"'!O23:O200")&lt;&gt;"")*(INDIRECT("'"&amp;$B176&amp;"'!H23:H200")=$E$5),1,0)))</f>
        <v>0</v>
      </c>
      <c r="F176" s="565">
        <f t="array" aca="1" ref="F176" ca="1">IF($B176="N","",SUM(IF((INDIRECT("'"&amp;$B176&amp;"'!I23:I200")=$A$2)*(INDIRECT("'"&amp;$B176&amp;"'!O23:O200")=$D176)*(INDIRECT("'"&amp;$B176&amp;"'!O23:O200")&lt;&gt;"")*(INDIRECT("'"&amp;$B176&amp;"'!H23:H200")=$E$5),INDIRECT("'"&amp;$B176&amp;"'!p23:p200"),0)))</f>
        <v>0</v>
      </c>
      <c r="G176" s="564">
        <f t="array" aca="1" ref="G176" ca="1">IF($B176="N","",SUM(IF((INDIRECT("'"&amp;$B176&amp;"'!I23:I200")=$A$2)*(INDIRECT("'"&amp;$B176&amp;"'!O23:O200")=$D176)*(INDIRECT("'"&amp;$B176&amp;"'!O23:O200")&lt;&gt;"")*(INDIRECT("'"&amp;$B176&amp;"'!H23:H200")=$G$5),1,0)))</f>
        <v>0</v>
      </c>
      <c r="H176" s="565">
        <f t="array" aca="1" ref="H176" ca="1">IF($B176="N","",SUM(IF((INDIRECT("'"&amp;$B176&amp;"'!I23:I200")=$A$2)*(INDIRECT("'"&amp;$B176&amp;"'!O23:O200")=$D176)*(INDIRECT("'"&amp;$B176&amp;"'!O23:O200")&lt;&gt;"")*(INDIRECT("'"&amp;$B176&amp;"'!H23:H200")=$G$5),INDIRECT("'"&amp;$B176&amp;"'!p23:p200"),0)))</f>
        <v>0</v>
      </c>
      <c r="I176" s="515">
        <f t="shared" ca="1" si="32"/>
        <v>0</v>
      </c>
      <c r="J176" s="513">
        <f t="shared" ca="1" si="33"/>
        <v>0</v>
      </c>
    </row>
    <row r="177" spans="2:10">
      <c r="B177" s="563" t="str">
        <f t="shared" si="34"/>
        <v>Shonan Bellmare</v>
      </c>
      <c r="D177" s="511">
        <v>-1.5</v>
      </c>
      <c r="E177" s="564">
        <f t="array" aca="1" ref="E177" ca="1">IF($B177="N","",SUM(IF((INDIRECT("'"&amp;$B177&amp;"'!I23:I200")=$A$2)*(INDIRECT("'"&amp;$B177&amp;"'!O23:O200")=$D177)*(INDIRECT("'"&amp;$B177&amp;"'!O23:O200")&lt;&gt;"")*(INDIRECT("'"&amp;$B177&amp;"'!H23:H200")=$E$5),1,0)))</f>
        <v>0</v>
      </c>
      <c r="F177" s="565">
        <f t="array" aca="1" ref="F177" ca="1">IF($B177="N","",SUM(IF((INDIRECT("'"&amp;$B177&amp;"'!I23:I200")=$A$2)*(INDIRECT("'"&amp;$B177&amp;"'!O23:O200")=$D177)*(INDIRECT("'"&amp;$B177&amp;"'!O23:O200")&lt;&gt;"")*(INDIRECT("'"&amp;$B177&amp;"'!H23:H200")=$E$5),INDIRECT("'"&amp;$B177&amp;"'!p23:p200"),0)))</f>
        <v>0</v>
      </c>
      <c r="G177" s="564">
        <f t="array" aca="1" ref="G177" ca="1">IF($B177="N","",SUM(IF((INDIRECT("'"&amp;$B177&amp;"'!I23:I200")=$A$2)*(INDIRECT("'"&amp;$B177&amp;"'!O23:O200")=$D177)*(INDIRECT("'"&amp;$B177&amp;"'!O23:O200")&lt;&gt;"")*(INDIRECT("'"&amp;$B177&amp;"'!H23:H200")=$G$5),1,0)))</f>
        <v>0</v>
      </c>
      <c r="H177" s="565">
        <f t="array" aca="1" ref="H177" ca="1">IF($B177="N","",SUM(IF((INDIRECT("'"&amp;$B177&amp;"'!I23:I200")=$A$2)*(INDIRECT("'"&amp;$B177&amp;"'!O23:O200")=$D177)*(INDIRECT("'"&amp;$B177&amp;"'!O23:O200")&lt;&gt;"")*(INDIRECT("'"&amp;$B177&amp;"'!H23:H200")=$G$5),INDIRECT("'"&amp;$B177&amp;"'!p23:p200"),0)))</f>
        <v>0</v>
      </c>
      <c r="I177" s="515">
        <f t="shared" ca="1" si="32"/>
        <v>0</v>
      </c>
      <c r="J177" s="513">
        <f t="shared" ca="1" si="33"/>
        <v>0</v>
      </c>
    </row>
    <row r="178" spans="2:10">
      <c r="B178" s="563" t="str">
        <f t="shared" si="34"/>
        <v>Shonan Bellmare</v>
      </c>
      <c r="D178" s="511">
        <v>-1.25</v>
      </c>
      <c r="E178" s="564">
        <f t="array" aca="1" ref="E178" ca="1">IF($B178="N","",SUM(IF((INDIRECT("'"&amp;$B178&amp;"'!I23:I200")=$A$2)*(INDIRECT("'"&amp;$B178&amp;"'!O23:O200")=$D178)*(INDIRECT("'"&amp;$B178&amp;"'!O23:O200")&lt;&gt;"")*(INDIRECT("'"&amp;$B178&amp;"'!H23:H200")=$E$5),1,0)))</f>
        <v>0</v>
      </c>
      <c r="F178" s="565">
        <f t="array" aca="1" ref="F178" ca="1">IF($B178="N","",SUM(IF((INDIRECT("'"&amp;$B178&amp;"'!I23:I200")=$A$2)*(INDIRECT("'"&amp;$B178&amp;"'!O23:O200")=$D178)*(INDIRECT("'"&amp;$B178&amp;"'!O23:O200")&lt;&gt;"")*(INDIRECT("'"&amp;$B178&amp;"'!H23:H200")=$E$5),INDIRECT("'"&amp;$B178&amp;"'!p23:p200"),0)))</f>
        <v>0</v>
      </c>
      <c r="G178" s="564">
        <f t="array" aca="1" ref="G178" ca="1">IF($B178="N","",SUM(IF((INDIRECT("'"&amp;$B178&amp;"'!I23:I200")=$A$2)*(INDIRECT("'"&amp;$B178&amp;"'!O23:O200")=$D178)*(INDIRECT("'"&amp;$B178&amp;"'!O23:O200")&lt;&gt;"")*(INDIRECT("'"&amp;$B178&amp;"'!H23:H200")=$G$5),1,0)))</f>
        <v>0</v>
      </c>
      <c r="H178" s="565">
        <f t="array" aca="1" ref="H178" ca="1">IF($B178="N","",SUM(IF((INDIRECT("'"&amp;$B178&amp;"'!I23:I200")=$A$2)*(INDIRECT("'"&amp;$B178&amp;"'!O23:O200")=$D178)*(INDIRECT("'"&amp;$B178&amp;"'!O23:O200")&lt;&gt;"")*(INDIRECT("'"&amp;$B178&amp;"'!H23:H200")=$G$5),INDIRECT("'"&amp;$B178&amp;"'!p23:p200"),0)))</f>
        <v>0</v>
      </c>
      <c r="I178" s="515">
        <f t="shared" ca="1" si="32"/>
        <v>0</v>
      </c>
      <c r="J178" s="513">
        <f t="shared" ca="1" si="33"/>
        <v>0</v>
      </c>
    </row>
    <row r="179" spans="2:10">
      <c r="B179" s="563" t="str">
        <f t="shared" si="34"/>
        <v>Shonan Bellmare</v>
      </c>
      <c r="D179" s="511">
        <v>-1</v>
      </c>
      <c r="E179" s="564">
        <f t="array" aca="1" ref="E179" ca="1">IF($B179="N","",SUM(IF((INDIRECT("'"&amp;$B179&amp;"'!I23:I200")=$A$2)*(INDIRECT("'"&amp;$B179&amp;"'!O23:O200")=$D179)*(INDIRECT("'"&amp;$B179&amp;"'!O23:O200")&lt;&gt;"")*(INDIRECT("'"&amp;$B179&amp;"'!H23:H200")=$E$5),1,0)))</f>
        <v>3</v>
      </c>
      <c r="F179" s="565">
        <f t="array" aca="1" ref="F179" ca="1">IF($B179="N","",SUM(IF((INDIRECT("'"&amp;$B179&amp;"'!I23:I200")=$A$2)*(INDIRECT("'"&amp;$B179&amp;"'!O23:O200")=$D179)*(INDIRECT("'"&amp;$B179&amp;"'!O23:O200")&lt;&gt;"")*(INDIRECT("'"&amp;$B179&amp;"'!H23:H200")=$E$5),INDIRECT("'"&amp;$B179&amp;"'!p23:p200"),0)))</f>
        <v>0</v>
      </c>
      <c r="G179" s="564">
        <f t="array" aca="1" ref="G179" ca="1">IF($B179="N","",SUM(IF((INDIRECT("'"&amp;$B179&amp;"'!I23:I200")=$A$2)*(INDIRECT("'"&amp;$B179&amp;"'!O23:O200")=$D179)*(INDIRECT("'"&amp;$B179&amp;"'!O23:O200")&lt;&gt;"")*(INDIRECT("'"&amp;$B179&amp;"'!H23:H200")=$G$5),1,0)))</f>
        <v>1</v>
      </c>
      <c r="H179" s="565">
        <f t="array" aca="1" ref="H179" ca="1">IF($B179="N","",SUM(IF((INDIRECT("'"&amp;$B179&amp;"'!I23:I200")=$A$2)*(INDIRECT("'"&amp;$B179&amp;"'!O23:O200")=$D179)*(INDIRECT("'"&amp;$B179&amp;"'!O23:O200")&lt;&gt;"")*(INDIRECT("'"&amp;$B179&amp;"'!H23:H200")=$G$5),INDIRECT("'"&amp;$B179&amp;"'!p23:p200"),0)))</f>
        <v>-1</v>
      </c>
      <c r="I179" s="515">
        <f t="shared" ca="1" si="32"/>
        <v>4</v>
      </c>
      <c r="J179" s="513">
        <f t="shared" ca="1" si="33"/>
        <v>-1</v>
      </c>
    </row>
    <row r="180" spans="2:10">
      <c r="B180" s="563" t="str">
        <f t="shared" si="34"/>
        <v>Shonan Bellmare</v>
      </c>
      <c r="D180" s="511">
        <v>-0.75</v>
      </c>
      <c r="E180" s="564">
        <f t="array" aca="1" ref="E180" ca="1">IF($B180="N","",SUM(IF((INDIRECT("'"&amp;$B180&amp;"'!I23:I200")=$A$2)*(INDIRECT("'"&amp;$B180&amp;"'!O23:O200")=$D180)*(INDIRECT("'"&amp;$B180&amp;"'!O23:O200")&lt;&gt;"")*(INDIRECT("'"&amp;$B180&amp;"'!H23:H200")=$E$5),1,0)))</f>
        <v>4</v>
      </c>
      <c r="F180" s="565">
        <f t="array" aca="1" ref="F180" ca="1">IF($B180="N","",SUM(IF((INDIRECT("'"&amp;$B180&amp;"'!I23:I200")=$A$2)*(INDIRECT("'"&amp;$B180&amp;"'!O23:O200")=$D180)*(INDIRECT("'"&amp;$B180&amp;"'!O23:O200")&lt;&gt;"")*(INDIRECT("'"&amp;$B180&amp;"'!H23:H200")=$E$5),INDIRECT("'"&amp;$B180&amp;"'!p23:p200"),0)))</f>
        <v>1</v>
      </c>
      <c r="G180" s="564">
        <f t="array" aca="1" ref="G180" ca="1">IF($B180="N","",SUM(IF((INDIRECT("'"&amp;$B180&amp;"'!I23:I200")=$A$2)*(INDIRECT("'"&amp;$B180&amp;"'!O23:O200")=$D180)*(INDIRECT("'"&amp;$B180&amp;"'!O23:O200")&lt;&gt;"")*(INDIRECT("'"&amp;$B180&amp;"'!H23:H200")=$G$5),1,0)))</f>
        <v>2</v>
      </c>
      <c r="H180" s="565">
        <f t="array" aca="1" ref="H180" ca="1">IF($B180="N","",SUM(IF((INDIRECT("'"&amp;$B180&amp;"'!I23:I200")=$A$2)*(INDIRECT("'"&amp;$B180&amp;"'!O23:O200")=$D180)*(INDIRECT("'"&amp;$B180&amp;"'!O23:O200")&lt;&gt;"")*(INDIRECT("'"&amp;$B180&amp;"'!H23:H200")=$G$5),INDIRECT("'"&amp;$B180&amp;"'!p23:p200"),0)))</f>
        <v>0</v>
      </c>
      <c r="I180" s="515">
        <f t="shared" ca="1" si="32"/>
        <v>6</v>
      </c>
      <c r="J180" s="513">
        <f t="shared" ca="1" si="33"/>
        <v>1</v>
      </c>
    </row>
    <row r="181" spans="2:10">
      <c r="B181" s="563" t="str">
        <f t="shared" si="34"/>
        <v>Shonan Bellmare</v>
      </c>
      <c r="D181" s="511">
        <v>-0.5</v>
      </c>
      <c r="E181" s="564">
        <f t="array" aca="1" ref="E181" ca="1">IF($B181="N","",SUM(IF((INDIRECT("'"&amp;$B181&amp;"'!I23:I200")=$A$2)*(INDIRECT("'"&amp;$B181&amp;"'!O23:O200")=$D181)*(INDIRECT("'"&amp;$B181&amp;"'!O23:O200")&lt;&gt;"")*(INDIRECT("'"&amp;$B181&amp;"'!H23:H200")=$E$5),1,0)))</f>
        <v>7</v>
      </c>
      <c r="F181" s="565">
        <f t="array" aca="1" ref="F181" ca="1">IF($B181="N","",SUM(IF((INDIRECT("'"&amp;$B181&amp;"'!I23:I200")=$A$2)*(INDIRECT("'"&amp;$B181&amp;"'!O23:O200")=$D181)*(INDIRECT("'"&amp;$B181&amp;"'!O23:O200")&lt;&gt;"")*(INDIRECT("'"&amp;$B181&amp;"'!H23:H200")=$E$5),INDIRECT("'"&amp;$B181&amp;"'!p23:p200"),0)))</f>
        <v>-3</v>
      </c>
      <c r="G181" s="564">
        <f t="array" aca="1" ref="G181" ca="1">IF($B181="N","",SUM(IF((INDIRECT("'"&amp;$B181&amp;"'!I23:I200")=$A$2)*(INDIRECT("'"&amp;$B181&amp;"'!O23:O200")=$D181)*(INDIRECT("'"&amp;$B181&amp;"'!O23:O200")&lt;&gt;"")*(INDIRECT("'"&amp;$B181&amp;"'!H23:H200")=$G$5),1,0)))</f>
        <v>4</v>
      </c>
      <c r="H181" s="565">
        <f t="array" aca="1" ref="H181" ca="1">IF($B181="N","",SUM(IF((INDIRECT("'"&amp;$B181&amp;"'!I23:I200")=$A$2)*(INDIRECT("'"&amp;$B181&amp;"'!O23:O200")=$D181)*(INDIRECT("'"&amp;$B181&amp;"'!O23:O200")&lt;&gt;"")*(INDIRECT("'"&amp;$B181&amp;"'!H23:H200")=$G$5),INDIRECT("'"&amp;$B181&amp;"'!p23:p200"),0)))</f>
        <v>2</v>
      </c>
      <c r="I181" s="515">
        <f t="shared" ca="1" si="32"/>
        <v>11</v>
      </c>
      <c r="J181" s="513">
        <f t="shared" ca="1" si="33"/>
        <v>-1</v>
      </c>
    </row>
    <row r="182" spans="2:10">
      <c r="B182" s="563" t="str">
        <f t="shared" si="34"/>
        <v>Shonan Bellmare</v>
      </c>
      <c r="D182" s="511">
        <v>-0.25</v>
      </c>
      <c r="E182" s="564">
        <f t="array" aca="1" ref="E182" ca="1">IF($B182="N","",SUM(IF((INDIRECT("'"&amp;$B182&amp;"'!I23:I200")=$A$2)*(INDIRECT("'"&amp;$B182&amp;"'!O23:O200")=$D182)*(INDIRECT("'"&amp;$B182&amp;"'!O23:O200")&lt;&gt;"")*(INDIRECT("'"&amp;$B182&amp;"'!H23:H200")=$E$5),1,0)))</f>
        <v>5</v>
      </c>
      <c r="F182" s="565">
        <f t="array" aca="1" ref="F182" ca="1">IF($B182="N","",SUM(IF((INDIRECT("'"&amp;$B182&amp;"'!I23:I200")=$A$2)*(INDIRECT("'"&amp;$B182&amp;"'!O23:O200")=$D182)*(INDIRECT("'"&amp;$B182&amp;"'!O23:O200")&lt;&gt;"")*(INDIRECT("'"&amp;$B182&amp;"'!H23:H200")=$E$5),INDIRECT("'"&amp;$B182&amp;"'!p23:p200"),0)))</f>
        <v>1</v>
      </c>
      <c r="G182" s="564">
        <f t="array" aca="1" ref="G182" ca="1">IF($B182="N","",SUM(IF((INDIRECT("'"&amp;$B182&amp;"'!I23:I200")=$A$2)*(INDIRECT("'"&amp;$B182&amp;"'!O23:O200")=$D182)*(INDIRECT("'"&amp;$B182&amp;"'!O23:O200")&lt;&gt;"")*(INDIRECT("'"&amp;$B182&amp;"'!H23:H200")=$G$5),1,0)))</f>
        <v>8</v>
      </c>
      <c r="H182" s="565">
        <f t="array" aca="1" ref="H182" ca="1">IF($B182="N","",SUM(IF((INDIRECT("'"&amp;$B182&amp;"'!I23:I200")=$A$2)*(INDIRECT("'"&amp;$B182&amp;"'!O23:O200")=$D182)*(INDIRECT("'"&amp;$B182&amp;"'!O23:O200")&lt;&gt;"")*(INDIRECT("'"&amp;$B182&amp;"'!H23:H200")=$G$5),INDIRECT("'"&amp;$B182&amp;"'!p23:p200"),0)))</f>
        <v>3</v>
      </c>
      <c r="I182" s="515">
        <f t="shared" ca="1" si="32"/>
        <v>13</v>
      </c>
      <c r="J182" s="513">
        <f t="shared" ca="1" si="33"/>
        <v>4</v>
      </c>
    </row>
    <row r="183" spans="2:10">
      <c r="B183" s="563" t="str">
        <f t="shared" si="34"/>
        <v>Shonan Bellmare</v>
      </c>
      <c r="D183" s="511">
        <v>0</v>
      </c>
      <c r="E183" s="564">
        <f t="array" aca="1" ref="E183" ca="1">IF($B183="N","",SUM(IF((INDIRECT("'"&amp;$B183&amp;"'!I23:I200")=$A$2)*(INDIRECT("'"&amp;$B183&amp;"'!O23:O200")=$D183)*(INDIRECT("'"&amp;$B183&amp;"'!O23:O200")&lt;&gt;"")*(INDIRECT("'"&amp;$B183&amp;"'!H23:H200")=$E$5),1,0)))</f>
        <v>2</v>
      </c>
      <c r="F183" s="565">
        <f t="array" aca="1" ref="F183" ca="1">IF($B183="N","",SUM(IF((INDIRECT("'"&amp;$B183&amp;"'!I23:I200")=$A$2)*(INDIRECT("'"&amp;$B183&amp;"'!O23:O200")=$D183)*(INDIRECT("'"&amp;$B183&amp;"'!O23:O200")&lt;&gt;"")*(INDIRECT("'"&amp;$B183&amp;"'!H23:H200")=$E$5),INDIRECT("'"&amp;$B183&amp;"'!p23:p200"),0)))</f>
        <v>2</v>
      </c>
      <c r="G183" s="564">
        <f t="array" aca="1" ref="G183" ca="1">IF($B183="N","",SUM(IF((INDIRECT("'"&amp;$B183&amp;"'!I23:I200")=$A$2)*(INDIRECT("'"&amp;$B183&amp;"'!O23:O200")=$D183)*(INDIRECT("'"&amp;$B183&amp;"'!O23:O200")&lt;&gt;"")*(INDIRECT("'"&amp;$B183&amp;"'!H23:H200")=$G$5),1,0)))</f>
        <v>5</v>
      </c>
      <c r="H183" s="565">
        <f t="array" aca="1" ref="H183" ca="1">IF($B183="N","",SUM(IF((INDIRECT("'"&amp;$B183&amp;"'!I23:I200")=$A$2)*(INDIRECT("'"&amp;$B183&amp;"'!O23:O200")=$D183)*(INDIRECT("'"&amp;$B183&amp;"'!O23:O200")&lt;&gt;"")*(INDIRECT("'"&amp;$B183&amp;"'!H23:H200")=$G$5),INDIRECT("'"&amp;$B183&amp;"'!p23:p200"),0)))</f>
        <v>2</v>
      </c>
      <c r="I183" s="515">
        <f t="shared" ca="1" si="32"/>
        <v>7</v>
      </c>
      <c r="J183" s="513">
        <f t="shared" ca="1" si="33"/>
        <v>4</v>
      </c>
    </row>
    <row r="184" spans="2:10">
      <c r="B184" s="563" t="str">
        <f t="shared" si="34"/>
        <v>Shonan Bellmare</v>
      </c>
      <c r="D184" s="511">
        <v>0.25</v>
      </c>
      <c r="E184" s="564">
        <f t="array" aca="1" ref="E184" ca="1">IF($B184="N","",SUM(IF((INDIRECT("'"&amp;$B184&amp;"'!I23:I200")=$A$2)*(INDIRECT("'"&amp;$B184&amp;"'!O23:O200")=$D184)*(INDIRECT("'"&amp;$B184&amp;"'!O23:O200")&lt;&gt;"")*(INDIRECT("'"&amp;$B184&amp;"'!H23:H200")=$E$5),1,0)))</f>
        <v>0</v>
      </c>
      <c r="F184" s="565">
        <f t="array" aca="1" ref="F184" ca="1">IF($B184="N","",SUM(IF((INDIRECT("'"&amp;$B184&amp;"'!I23:I200")=$A$2)*(INDIRECT("'"&amp;$B184&amp;"'!O23:O200")=$D184)*(INDIRECT("'"&amp;$B184&amp;"'!O23:O200")&lt;&gt;"")*(INDIRECT("'"&amp;$B184&amp;"'!H23:H200")=$E$5),INDIRECT("'"&amp;$B184&amp;"'!p23:p200"),0)))</f>
        <v>0</v>
      </c>
      <c r="G184" s="564">
        <f t="array" aca="1" ref="G184" ca="1">IF($B184="N","",SUM(IF((INDIRECT("'"&amp;$B184&amp;"'!I23:I200")=$A$2)*(INDIRECT("'"&amp;$B184&amp;"'!O23:O200")=$D184)*(INDIRECT("'"&amp;$B184&amp;"'!O23:O200")&lt;&gt;"")*(INDIRECT("'"&amp;$B184&amp;"'!H23:H200")=$G$5),1,0)))</f>
        <v>1</v>
      </c>
      <c r="H184" s="565">
        <f t="array" aca="1" ref="H184" ca="1">IF($B184="N","",SUM(IF((INDIRECT("'"&amp;$B184&amp;"'!I23:I200")=$A$2)*(INDIRECT("'"&amp;$B184&amp;"'!O23:O200")=$D184)*(INDIRECT("'"&amp;$B184&amp;"'!O23:O200")&lt;&gt;"")*(INDIRECT("'"&amp;$B184&amp;"'!H23:H200")=$G$5),INDIRECT("'"&amp;$B184&amp;"'!p23:p200"),0)))</f>
        <v>-1</v>
      </c>
      <c r="I184" s="515">
        <f t="shared" ca="1" si="32"/>
        <v>1</v>
      </c>
      <c r="J184" s="513">
        <f t="shared" ca="1" si="33"/>
        <v>-1</v>
      </c>
    </row>
    <row r="185" spans="2:10">
      <c r="B185" s="563" t="str">
        <f t="shared" si="34"/>
        <v>Shonan Bellmare</v>
      </c>
      <c r="D185" s="511">
        <v>0.5</v>
      </c>
      <c r="E185" s="564">
        <f t="array" aca="1" ref="E185" ca="1">IF($B185="N","",SUM(IF((INDIRECT("'"&amp;$B185&amp;"'!I23:I200")=$A$2)*(INDIRECT("'"&amp;$B185&amp;"'!O23:O200")=$D185)*(INDIRECT("'"&amp;$B185&amp;"'!O23:O200")&lt;&gt;"")*(INDIRECT("'"&amp;$B185&amp;"'!H23:H200")=$E$5),1,0)))</f>
        <v>0</v>
      </c>
      <c r="F185" s="565">
        <f t="array" aca="1" ref="F185" ca="1">IF($B185="N","",SUM(IF((INDIRECT("'"&amp;$B185&amp;"'!I23:I200")=$A$2)*(INDIRECT("'"&amp;$B185&amp;"'!O23:O200")=$D185)*(INDIRECT("'"&amp;$B185&amp;"'!O23:O200")&lt;&gt;"")*(INDIRECT("'"&amp;$B185&amp;"'!H23:H200")=$E$5),INDIRECT("'"&amp;$B185&amp;"'!p23:p200"),0)))</f>
        <v>0</v>
      </c>
      <c r="G185" s="564">
        <f t="array" aca="1" ref="G185" ca="1">IF($B185="N","",SUM(IF((INDIRECT("'"&amp;$B185&amp;"'!I23:I200")=$A$2)*(INDIRECT("'"&amp;$B185&amp;"'!O23:O200")=$D185)*(INDIRECT("'"&amp;$B185&amp;"'!O23:O200")&lt;&gt;"")*(INDIRECT("'"&amp;$B185&amp;"'!H23:H200")=$G$5),1,0)))</f>
        <v>0</v>
      </c>
      <c r="H185" s="565">
        <f t="array" aca="1" ref="H185" ca="1">IF($B185="N","",SUM(IF((INDIRECT("'"&amp;$B185&amp;"'!I23:I200")=$A$2)*(INDIRECT("'"&amp;$B185&amp;"'!O23:O200")=$D185)*(INDIRECT("'"&amp;$B185&amp;"'!O23:O200")&lt;&gt;"")*(INDIRECT("'"&amp;$B185&amp;"'!H23:H200")=$G$5),INDIRECT("'"&amp;$B185&amp;"'!p23:p200"),0)))</f>
        <v>0</v>
      </c>
      <c r="I185" s="515">
        <f t="shared" ca="1" si="32"/>
        <v>0</v>
      </c>
      <c r="J185" s="513">
        <f t="shared" ca="1" si="33"/>
        <v>0</v>
      </c>
    </row>
    <row r="186" spans="2:10">
      <c r="B186" s="563" t="str">
        <f t="shared" si="34"/>
        <v>Shonan Bellmare</v>
      </c>
      <c r="D186" s="511">
        <v>0.75</v>
      </c>
      <c r="E186" s="564">
        <f t="array" aca="1" ref="E186" ca="1">IF($B186="N","",SUM(IF((INDIRECT("'"&amp;$B186&amp;"'!I23:I200")=$A$2)*(INDIRECT("'"&amp;$B186&amp;"'!O23:O200")=$D186)*(INDIRECT("'"&amp;$B186&amp;"'!O23:O200")&lt;&gt;"")*(INDIRECT("'"&amp;$B186&amp;"'!H23:H200")=$E$5),1,0)))</f>
        <v>0</v>
      </c>
      <c r="F186" s="565">
        <f t="array" aca="1" ref="F186" ca="1">IF($B186="N","",SUM(IF((INDIRECT("'"&amp;$B186&amp;"'!I23:I200")=$A$2)*(INDIRECT("'"&amp;$B186&amp;"'!O23:O200")=$D186)*(INDIRECT("'"&amp;$B186&amp;"'!O23:O200")&lt;&gt;"")*(INDIRECT("'"&amp;$B186&amp;"'!H23:H200")=$E$5),INDIRECT("'"&amp;$B186&amp;"'!p23:p200"),0)))</f>
        <v>0</v>
      </c>
      <c r="G186" s="564">
        <f t="array" aca="1" ref="G186" ca="1">IF($B186="N","",SUM(IF((INDIRECT("'"&amp;$B186&amp;"'!I23:I200")=$A$2)*(INDIRECT("'"&amp;$B186&amp;"'!O23:O200")=$D186)*(INDIRECT("'"&amp;$B186&amp;"'!O23:O200")&lt;&gt;"")*(INDIRECT("'"&amp;$B186&amp;"'!H23:H200")=$G$5),1,0)))</f>
        <v>0</v>
      </c>
      <c r="H186" s="565">
        <f t="array" aca="1" ref="H186" ca="1">IF($B186="N","",SUM(IF((INDIRECT("'"&amp;$B186&amp;"'!I23:I200")=$A$2)*(INDIRECT("'"&amp;$B186&amp;"'!O23:O200")=$D186)*(INDIRECT("'"&amp;$B186&amp;"'!O23:O200")&lt;&gt;"")*(INDIRECT("'"&amp;$B186&amp;"'!H23:H200")=$G$5),INDIRECT("'"&amp;$B186&amp;"'!p23:p200"),0)))</f>
        <v>0</v>
      </c>
      <c r="I186" s="515">
        <f t="shared" ca="1" si="32"/>
        <v>0</v>
      </c>
      <c r="J186" s="513">
        <f t="shared" ca="1" si="33"/>
        <v>0</v>
      </c>
    </row>
    <row r="187" spans="2:10">
      <c r="B187" s="563" t="str">
        <f t="shared" si="34"/>
        <v>Shonan Bellmare</v>
      </c>
      <c r="D187" s="511">
        <v>1</v>
      </c>
      <c r="E187" s="564">
        <f t="array" aca="1" ref="E187" ca="1">IF($B187="N","",SUM(IF((INDIRECT("'"&amp;$B187&amp;"'!I23:I200")=$A$2)*(INDIRECT("'"&amp;$B187&amp;"'!O23:O200")=$D187)*(INDIRECT("'"&amp;$B187&amp;"'!O23:O200")&lt;&gt;"")*(INDIRECT("'"&amp;$B187&amp;"'!H23:H200")=$E$5),1,0)))</f>
        <v>0</v>
      </c>
      <c r="F187" s="565">
        <f t="array" aca="1" ref="F187" ca="1">IF($B187="N","",SUM(IF((INDIRECT("'"&amp;$B187&amp;"'!I23:I200")=$A$2)*(INDIRECT("'"&amp;$B187&amp;"'!O23:O200")=$D187)*(INDIRECT("'"&amp;$B187&amp;"'!O23:O200")&lt;&gt;"")*(INDIRECT("'"&amp;$B187&amp;"'!H23:H200")=$E$5),INDIRECT("'"&amp;$B187&amp;"'!p23:p200"),0)))</f>
        <v>0</v>
      </c>
      <c r="G187" s="564">
        <f t="array" aca="1" ref="G187" ca="1">IF($B187="N","",SUM(IF((INDIRECT("'"&amp;$B187&amp;"'!I23:I200")=$A$2)*(INDIRECT("'"&amp;$B187&amp;"'!O23:O200")=$D187)*(INDIRECT("'"&amp;$B187&amp;"'!O23:O200")&lt;&gt;"")*(INDIRECT("'"&amp;$B187&amp;"'!H23:H200")=$G$5),1,0)))</f>
        <v>0</v>
      </c>
      <c r="H187" s="565">
        <f t="array" aca="1" ref="H187" ca="1">IF($B187="N","",SUM(IF((INDIRECT("'"&amp;$B187&amp;"'!I23:I200")=$A$2)*(INDIRECT("'"&amp;$B187&amp;"'!O23:O200")=$D187)*(INDIRECT("'"&amp;$B187&amp;"'!O23:O200")&lt;&gt;"")*(INDIRECT("'"&amp;$B187&amp;"'!H23:H200")=$G$5),INDIRECT("'"&amp;$B187&amp;"'!p23:p200"),0)))</f>
        <v>0</v>
      </c>
      <c r="I187" s="515">
        <f t="shared" ca="1" si="32"/>
        <v>0</v>
      </c>
      <c r="J187" s="513">
        <f t="shared" ca="1" si="33"/>
        <v>0</v>
      </c>
    </row>
    <row r="188" spans="2:10">
      <c r="B188" s="563" t="str">
        <f t="shared" si="34"/>
        <v>Shonan Bellmare</v>
      </c>
      <c r="D188" s="511">
        <v>1.25</v>
      </c>
      <c r="E188" s="564">
        <f t="array" aca="1" ref="E188" ca="1">IF($B188="N","",SUM(IF((INDIRECT("'"&amp;$B188&amp;"'!I23:I200")=$A$2)*(INDIRECT("'"&amp;$B188&amp;"'!O23:O200")=$D188)*(INDIRECT("'"&amp;$B188&amp;"'!O23:O200")&lt;&gt;"")*(INDIRECT("'"&amp;$B188&amp;"'!H23:H200")=$E$5),1,0)))</f>
        <v>0</v>
      </c>
      <c r="F188" s="565">
        <f t="array" aca="1" ref="F188" ca="1">IF($B188="N","",SUM(IF((INDIRECT("'"&amp;$B188&amp;"'!I23:I200")=$A$2)*(INDIRECT("'"&amp;$B188&amp;"'!O23:O200")=$D188)*(INDIRECT("'"&amp;$B188&amp;"'!O23:O200")&lt;&gt;"")*(INDIRECT("'"&amp;$B188&amp;"'!H23:H200")=$E$5),INDIRECT("'"&amp;$B188&amp;"'!p23:p200"),0)))</f>
        <v>0</v>
      </c>
      <c r="G188" s="564">
        <f t="array" aca="1" ref="G188" ca="1">IF($B188="N","",SUM(IF((INDIRECT("'"&amp;$B188&amp;"'!I23:I200")=$A$2)*(INDIRECT("'"&amp;$B188&amp;"'!O23:O200")=$D188)*(INDIRECT("'"&amp;$B188&amp;"'!O23:O200")&lt;&gt;"")*(INDIRECT("'"&amp;$B188&amp;"'!H23:H200")=$G$5),1,0)))</f>
        <v>0</v>
      </c>
      <c r="H188" s="565">
        <f t="array" aca="1" ref="H188" ca="1">IF($B188="N","",SUM(IF((INDIRECT("'"&amp;$B188&amp;"'!I23:I200")=$A$2)*(INDIRECT("'"&amp;$B188&amp;"'!O23:O200")=$D188)*(INDIRECT("'"&amp;$B188&amp;"'!O23:O200")&lt;&gt;"")*(INDIRECT("'"&amp;$B188&amp;"'!H23:H200")=$G$5),INDIRECT("'"&amp;$B188&amp;"'!p23:p200"),0)))</f>
        <v>0</v>
      </c>
      <c r="I188" s="515">
        <f t="shared" ca="1" si="32"/>
        <v>0</v>
      </c>
      <c r="J188" s="513">
        <f t="shared" ca="1" si="33"/>
        <v>0</v>
      </c>
    </row>
    <row r="189" spans="2:10">
      <c r="B189" s="563" t="str">
        <f t="shared" si="34"/>
        <v>Shonan Bellmare</v>
      </c>
      <c r="D189" s="511">
        <v>1.5</v>
      </c>
      <c r="E189" s="564">
        <f t="array" aca="1" ref="E189" ca="1">IF($B189="N","",SUM(IF((INDIRECT("'"&amp;$B189&amp;"'!I23:I200")=$A$2)*(INDIRECT("'"&amp;$B189&amp;"'!O23:O200")=$D189)*(INDIRECT("'"&amp;$B189&amp;"'!O23:O200")&lt;&gt;"")*(INDIRECT("'"&amp;$B189&amp;"'!H23:H200")=$E$5),1,0)))</f>
        <v>0</v>
      </c>
      <c r="F189" s="565">
        <f t="array" aca="1" ref="F189" ca="1">IF($B189="N","",SUM(IF((INDIRECT("'"&amp;$B189&amp;"'!I23:I200")=$A$2)*(INDIRECT("'"&amp;$B189&amp;"'!O23:O200")=$D189)*(INDIRECT("'"&amp;$B189&amp;"'!O23:O200")&lt;&gt;"")*(INDIRECT("'"&amp;$B189&amp;"'!H23:H200")=$E$5),INDIRECT("'"&amp;$B189&amp;"'!p23:p200"),0)))</f>
        <v>0</v>
      </c>
      <c r="G189" s="564">
        <f t="array" aca="1" ref="G189" ca="1">IF($B189="N","",SUM(IF((INDIRECT("'"&amp;$B189&amp;"'!I23:I200")=$A$2)*(INDIRECT("'"&amp;$B189&amp;"'!O23:O200")=$D189)*(INDIRECT("'"&amp;$B189&amp;"'!O23:O200")&lt;&gt;"")*(INDIRECT("'"&amp;$B189&amp;"'!H23:H200")=$G$5),1,0)))</f>
        <v>0</v>
      </c>
      <c r="H189" s="565">
        <f t="array" aca="1" ref="H189" ca="1">IF($B189="N","",SUM(IF((INDIRECT("'"&amp;$B189&amp;"'!I23:I200")=$A$2)*(INDIRECT("'"&amp;$B189&amp;"'!O23:O200")=$D189)*(INDIRECT("'"&amp;$B189&amp;"'!O23:O200")&lt;&gt;"")*(INDIRECT("'"&amp;$B189&amp;"'!H23:H200")=$G$5),INDIRECT("'"&amp;$B189&amp;"'!p23:p200"),0)))</f>
        <v>0</v>
      </c>
      <c r="I189" s="515">
        <f t="shared" ca="1" si="32"/>
        <v>0</v>
      </c>
      <c r="J189" s="513">
        <f t="shared" ca="1" si="33"/>
        <v>0</v>
      </c>
    </row>
    <row r="190" spans="2:10">
      <c r="B190" s="563" t="str">
        <f t="shared" si="34"/>
        <v>Shonan Bellmare</v>
      </c>
      <c r="D190" s="528">
        <v>1.75</v>
      </c>
      <c r="E190" s="564">
        <f t="array" aca="1" ref="E190" ca="1">IF($B190="N","",SUM(IF((INDIRECT("'"&amp;$B190&amp;"'!I23:I200")=$A$2)*(INDIRECT("'"&amp;$B190&amp;"'!O23:O200")=$D190)*(INDIRECT("'"&amp;$B190&amp;"'!O23:O200")&lt;&gt;"")*(INDIRECT("'"&amp;$B190&amp;"'!H23:H200")=$E$5),1,0)))</f>
        <v>0</v>
      </c>
      <c r="F190" s="565">
        <f t="array" aca="1" ref="F190" ca="1">IF($B190="N","",SUM(IF((INDIRECT("'"&amp;$B190&amp;"'!I23:I200")=$A$2)*(INDIRECT("'"&amp;$B190&amp;"'!O23:O200")=$D190)*(INDIRECT("'"&amp;$B190&amp;"'!O23:O200")&lt;&gt;"")*(INDIRECT("'"&amp;$B190&amp;"'!H23:H200")=$E$5),INDIRECT("'"&amp;$B190&amp;"'!p23:p200"),0)))</f>
        <v>0</v>
      </c>
      <c r="G190" s="564">
        <f t="array" aca="1" ref="G190" ca="1">IF($B190="N","",SUM(IF((INDIRECT("'"&amp;$B190&amp;"'!I23:I200")=$A$2)*(INDIRECT("'"&amp;$B190&amp;"'!O23:O200")=$D190)*(INDIRECT("'"&amp;$B190&amp;"'!O23:O200")&lt;&gt;"")*(INDIRECT("'"&amp;$B190&amp;"'!H23:H200")=$G$5),1,0)))</f>
        <v>0</v>
      </c>
      <c r="H190" s="565">
        <f t="array" aca="1" ref="H190" ca="1">IF($B190="N","",SUM(IF((INDIRECT("'"&amp;$B190&amp;"'!I23:I200")=$A$2)*(INDIRECT("'"&amp;$B190&amp;"'!O23:O200")=$D190)*(INDIRECT("'"&amp;$B190&amp;"'!O23:O200")&lt;&gt;"")*(INDIRECT("'"&amp;$B190&amp;"'!H23:H200")=$G$5),INDIRECT("'"&amp;$B190&amp;"'!p23:p200"),0)))</f>
        <v>0</v>
      </c>
      <c r="I190" s="515">
        <f t="shared" ca="1" si="32"/>
        <v>0</v>
      </c>
      <c r="J190" s="513">
        <f t="shared" ca="1" si="33"/>
        <v>0</v>
      </c>
    </row>
    <row r="191" spans="2:10">
      <c r="B191" s="563" t="str">
        <f t="shared" si="34"/>
        <v>Shonan Bellmare</v>
      </c>
      <c r="D191" s="528">
        <v>2</v>
      </c>
      <c r="E191" s="564">
        <f t="array" aca="1" ref="E191" ca="1">IF($B191="N","",SUM(IF((INDIRECT("'"&amp;$B191&amp;"'!I23:I200")=$A$2)*(INDIRECT("'"&amp;$B191&amp;"'!O23:O200")=$D191)*(INDIRECT("'"&amp;$B191&amp;"'!O23:O200")&lt;&gt;"")*(INDIRECT("'"&amp;$B191&amp;"'!H23:H200")=$E$5),1,0)))</f>
        <v>0</v>
      </c>
      <c r="F191" s="565">
        <f t="array" aca="1" ref="F191" ca="1">IF($B191="N","",SUM(IF((INDIRECT("'"&amp;$B191&amp;"'!I23:I200")=$A$2)*(INDIRECT("'"&amp;$B191&amp;"'!O23:O200")=$D191)*(INDIRECT("'"&amp;$B191&amp;"'!O23:O200")&lt;&gt;"")*(INDIRECT("'"&amp;$B191&amp;"'!H23:H200")=$E$5),INDIRECT("'"&amp;$B191&amp;"'!p23:p200"),0)))</f>
        <v>0</v>
      </c>
      <c r="G191" s="564">
        <f t="array" aca="1" ref="G191" ca="1">IF($B191="N","",SUM(IF((INDIRECT("'"&amp;$B191&amp;"'!I23:I200")=$A$2)*(INDIRECT("'"&amp;$B191&amp;"'!O23:O200")=$D191)*(INDIRECT("'"&amp;$B191&amp;"'!O23:O200")&lt;&gt;"")*(INDIRECT("'"&amp;$B191&amp;"'!H23:H200")=$G$5),1,0)))</f>
        <v>0</v>
      </c>
      <c r="H191" s="565">
        <f t="array" aca="1" ref="H191" ca="1">IF($B191="N","",SUM(IF((INDIRECT("'"&amp;$B191&amp;"'!I23:I200")=$A$2)*(INDIRECT("'"&amp;$B191&amp;"'!O23:O200")=$D191)*(INDIRECT("'"&amp;$B191&amp;"'!O23:O200")&lt;&gt;"")*(INDIRECT("'"&amp;$B191&amp;"'!H23:H200")=$G$5),INDIRECT("'"&amp;$B191&amp;"'!p23:p200"),0)))</f>
        <v>0</v>
      </c>
      <c r="I191" s="515">
        <f t="shared" ca="1" si="32"/>
        <v>0</v>
      </c>
      <c r="J191" s="513">
        <f t="shared" ca="1" si="33"/>
        <v>0</v>
      </c>
    </row>
    <row r="192" spans="2:10">
      <c r="B192" s="563" t="str">
        <f t="shared" si="34"/>
        <v>Shonan Bellmare</v>
      </c>
      <c r="D192" s="528">
        <v>2.25</v>
      </c>
      <c r="E192" s="564">
        <f t="array" aca="1" ref="E192" ca="1">IF($B192="N","",SUM(IF((INDIRECT("'"&amp;$B192&amp;"'!I23:I200")=$A$2)*(INDIRECT("'"&amp;$B192&amp;"'!O23:O200")=$D192)*(INDIRECT("'"&amp;$B192&amp;"'!O23:O200")&lt;&gt;"")*(INDIRECT("'"&amp;$B192&amp;"'!H23:H200")=$E$5),1,0)))</f>
        <v>0</v>
      </c>
      <c r="F192" s="565">
        <f t="array" aca="1" ref="F192" ca="1">IF($B192="N","",SUM(IF((INDIRECT("'"&amp;$B192&amp;"'!I23:I200")=$A$2)*(INDIRECT("'"&amp;$B192&amp;"'!O23:O200")=$D192)*(INDIRECT("'"&amp;$B192&amp;"'!O23:O200")&lt;&gt;"")*(INDIRECT("'"&amp;$B192&amp;"'!H23:H200")=$E$5),INDIRECT("'"&amp;$B192&amp;"'!p23:p200"),0)))</f>
        <v>0</v>
      </c>
      <c r="G192" s="564">
        <f t="array" aca="1" ref="G192" ca="1">IF($B192="N","",SUM(IF((INDIRECT("'"&amp;$B192&amp;"'!I23:I200")=$A$2)*(INDIRECT("'"&amp;$B192&amp;"'!O23:O200")=$D192)*(INDIRECT("'"&amp;$B192&amp;"'!O23:O200")&lt;&gt;"")*(INDIRECT("'"&amp;$B192&amp;"'!H23:H200")=$G$5),1,0)))</f>
        <v>0</v>
      </c>
      <c r="H192" s="565">
        <f t="array" aca="1" ref="H192" ca="1">IF($B192="N","",SUM(IF((INDIRECT("'"&amp;$B192&amp;"'!I23:I200")=$A$2)*(INDIRECT("'"&amp;$B192&amp;"'!O23:O200")=$D192)*(INDIRECT("'"&amp;$B192&amp;"'!O23:O200")&lt;&gt;"")*(INDIRECT("'"&amp;$B192&amp;"'!H23:H200")=$G$5),INDIRECT("'"&amp;$B192&amp;"'!p23:p200"),0)))</f>
        <v>0</v>
      </c>
      <c r="I192" s="515">
        <f t="shared" ca="1" si="32"/>
        <v>0</v>
      </c>
      <c r="J192" s="513">
        <f t="shared" ca="1" si="33"/>
        <v>0</v>
      </c>
    </row>
    <row r="193" spans="1:10">
      <c r="B193" s="563" t="str">
        <f t="shared" si="34"/>
        <v>Shonan Bellmare</v>
      </c>
      <c r="D193" s="528">
        <v>2.5</v>
      </c>
      <c r="E193" s="564">
        <f t="array" aca="1" ref="E193" ca="1">IF($B193="N","",SUM(IF((INDIRECT("'"&amp;$B193&amp;"'!I23:I200")=$A$2)*(INDIRECT("'"&amp;$B193&amp;"'!O23:O200")=$D193)*(INDIRECT("'"&amp;$B193&amp;"'!O23:O200")&lt;&gt;"")*(INDIRECT("'"&amp;$B193&amp;"'!H23:H200")=$E$5),1,0)))</f>
        <v>0</v>
      </c>
      <c r="F193" s="565">
        <f t="array" aca="1" ref="F193" ca="1">IF($B193="N","",SUM(IF((INDIRECT("'"&amp;$B193&amp;"'!I23:I200")=$A$2)*(INDIRECT("'"&amp;$B193&amp;"'!O23:O200")=$D193)*(INDIRECT("'"&amp;$B193&amp;"'!O23:O200")&lt;&gt;"")*(INDIRECT("'"&amp;$B193&amp;"'!H23:H200")=$E$5),INDIRECT("'"&amp;$B193&amp;"'!p23:p200"),0)))</f>
        <v>0</v>
      </c>
      <c r="G193" s="564">
        <f t="array" aca="1" ref="G193" ca="1">IF($B193="N","",SUM(IF((INDIRECT("'"&amp;$B193&amp;"'!I23:I200")=$A$2)*(INDIRECT("'"&amp;$B193&amp;"'!O23:O200")=$D193)*(INDIRECT("'"&amp;$B193&amp;"'!O23:O200")&lt;&gt;"")*(INDIRECT("'"&amp;$B193&amp;"'!H23:H200")=$G$5),1,0)))</f>
        <v>0</v>
      </c>
      <c r="H193" s="565">
        <f t="array" aca="1" ref="H193" ca="1">IF($B193="N","",SUM(IF((INDIRECT("'"&amp;$B193&amp;"'!I23:I200")=$A$2)*(INDIRECT("'"&amp;$B193&amp;"'!O23:O200")=$D193)*(INDIRECT("'"&amp;$B193&amp;"'!O23:O200")&lt;&gt;"")*(INDIRECT("'"&amp;$B193&amp;"'!H23:H200")=$G$5),INDIRECT("'"&amp;$B193&amp;"'!p23:p200"),0)))</f>
        <v>0</v>
      </c>
      <c r="I193" s="515">
        <f t="shared" ca="1" si="32"/>
        <v>0</v>
      </c>
      <c r="J193" s="513">
        <f t="shared" ca="1" si="33"/>
        <v>0</v>
      </c>
    </row>
    <row r="194" spans="1:10" ht="15" thickBot="1">
      <c r="B194" s="563" t="str">
        <f t="shared" si="34"/>
        <v>Shonan Bellmare</v>
      </c>
      <c r="D194" s="511">
        <v>2.75</v>
      </c>
      <c r="E194" s="564">
        <f t="array" aca="1" ref="E194" ca="1">IF($B194="N","",SUM(IF((INDIRECT("'"&amp;$B194&amp;"'!I23:I200")=$A$2)*(INDIRECT("'"&amp;$B194&amp;"'!O23:O200")=$D194)*(INDIRECT("'"&amp;$B194&amp;"'!O23:O200")&lt;&gt;"")*(INDIRECT("'"&amp;$B194&amp;"'!H23:H200")=$E$5),1,0)))</f>
        <v>0</v>
      </c>
      <c r="F194" s="565">
        <f t="array" aca="1" ref="F194" ca="1">IF($B194="N","",SUM(IF((INDIRECT("'"&amp;$B194&amp;"'!I23:I200")=$A$2)*(INDIRECT("'"&amp;$B194&amp;"'!O23:O200")=$D194)*(INDIRECT("'"&amp;$B194&amp;"'!O23:O200")&lt;&gt;"")*(INDIRECT("'"&amp;$B194&amp;"'!H23:H200")=$E$5),INDIRECT("'"&amp;$B194&amp;"'!p23:p200"),0)))</f>
        <v>0</v>
      </c>
      <c r="G194" s="564">
        <f t="array" aca="1" ref="G194" ca="1">IF($B194="N","",SUM(IF((INDIRECT("'"&amp;$B194&amp;"'!I23:I200")=$A$2)*(INDIRECT("'"&amp;$B194&amp;"'!O23:O200")=$D194)*(INDIRECT("'"&amp;$B194&amp;"'!O23:O200")&lt;&gt;"")*(INDIRECT("'"&amp;$B194&amp;"'!H23:H200")=$G$5),1,0)))</f>
        <v>0</v>
      </c>
      <c r="H194" s="565">
        <f t="array" aca="1" ref="H194" ca="1">IF($B194="N","",SUM(IF((INDIRECT("'"&amp;$B194&amp;"'!I23:I200")=$A$2)*(INDIRECT("'"&amp;$B194&amp;"'!O23:O200")=$D194)*(INDIRECT("'"&amp;$B194&amp;"'!O23:O200")&lt;&gt;"")*(INDIRECT("'"&amp;$B194&amp;"'!H23:H200")=$G$5),INDIRECT("'"&amp;$B194&amp;"'!p23:p200"),0)))</f>
        <v>0</v>
      </c>
      <c r="I194" s="515">
        <f t="shared" ca="1" si="32"/>
        <v>0</v>
      </c>
      <c r="J194" s="513">
        <f t="shared" ca="1" si="33"/>
        <v>0</v>
      </c>
    </row>
    <row r="195" spans="1:10" ht="15" thickBot="1">
      <c r="A195" s="567"/>
      <c r="B195" s="568"/>
      <c r="C195" s="569" t="str">
        <f>D170</f>
        <v>Shonan Bellmare</v>
      </c>
      <c r="D195" s="570" t="s">
        <v>115</v>
      </c>
      <c r="E195" s="571">
        <f t="shared" ref="E195:J195" ca="1" si="35">SUM(E172:E194)</f>
        <v>21</v>
      </c>
      <c r="F195" s="572">
        <f t="shared" ca="1" si="35"/>
        <v>1</v>
      </c>
      <c r="G195" s="571">
        <f t="shared" ca="1" si="35"/>
        <v>21</v>
      </c>
      <c r="H195" s="572">
        <f t="shared" ca="1" si="35"/>
        <v>5</v>
      </c>
      <c r="I195" s="573">
        <f t="shared" ca="1" si="35"/>
        <v>42</v>
      </c>
      <c r="J195" s="572">
        <f t="shared" ca="1" si="35"/>
        <v>6</v>
      </c>
    </row>
    <row r="196" spans="1:10" ht="15" thickBot="1">
      <c r="A196" s="567"/>
      <c r="C196" s="576"/>
    </row>
    <row r="197" spans="1:10">
      <c r="A197" s="567"/>
      <c r="B197" s="357"/>
      <c r="C197" s="569"/>
      <c r="D197" s="562" t="str">
        <f>J1</f>
        <v>JEF United</v>
      </c>
      <c r="E197" s="490" t="s">
        <v>80</v>
      </c>
      <c r="F197" s="491"/>
      <c r="G197" s="490" t="s">
        <v>81</v>
      </c>
      <c r="H197" s="491"/>
      <c r="I197" s="490" t="s">
        <v>82</v>
      </c>
      <c r="J197" s="492"/>
    </row>
    <row r="198" spans="1:10" ht="15" thickBot="1">
      <c r="B198" s="357"/>
      <c r="C198" s="357"/>
      <c r="D198" s="499" t="s">
        <v>120</v>
      </c>
      <c r="E198" s="497" t="s">
        <v>123</v>
      </c>
      <c r="F198" s="552" t="s">
        <v>124</v>
      </c>
      <c r="G198" s="497" t="s">
        <v>123</v>
      </c>
      <c r="H198" s="552" t="s">
        <v>124</v>
      </c>
      <c r="I198" s="501" t="s">
        <v>123</v>
      </c>
      <c r="J198" s="552" t="s">
        <v>124</v>
      </c>
    </row>
    <row r="199" spans="1:10">
      <c r="B199" s="563" t="str">
        <f>IF(D197=0,"N",D197)</f>
        <v>JEF United</v>
      </c>
      <c r="D199" s="511">
        <v>-2.75</v>
      </c>
      <c r="E199" s="564">
        <f t="array" aca="1" ref="E199" ca="1">IF($B199="N","",SUM(IF((INDIRECT("'"&amp;$B199&amp;"'!I23:I200")=$A$2)*(INDIRECT("'"&amp;$B199&amp;"'!O23:O200")=$D199)*(INDIRECT("'"&amp;$B199&amp;"'!O23:O200")&lt;&gt;"")*(INDIRECT("'"&amp;$B199&amp;"'!H23:H200")=$E$5),1,0)))</f>
        <v>0</v>
      </c>
      <c r="F199" s="565">
        <f t="array" aca="1" ref="F199" ca="1">IF($B199="N","",SUM(IF((INDIRECT("'"&amp;$B199&amp;"'!I23:I200")=$A$2)*(INDIRECT("'"&amp;$B199&amp;"'!O23:O200")=$D199)*(INDIRECT("'"&amp;$B199&amp;"'!O23:O200")&lt;&gt;"")*(INDIRECT("'"&amp;$B199&amp;"'!H23:H200")=$E$5),INDIRECT("'"&amp;$B199&amp;"'!p23:p200"),0)))</f>
        <v>0</v>
      </c>
      <c r="G199" s="564">
        <f t="array" aca="1" ref="G199" ca="1">IF($B199="N","",SUM(IF((INDIRECT("'"&amp;$B199&amp;"'!I23:I200")=$A$2)*(INDIRECT("'"&amp;$B199&amp;"'!O23:O200")=$D199)*(INDIRECT("'"&amp;$B199&amp;"'!O23:O200")&lt;&gt;"")*(INDIRECT("'"&amp;$B199&amp;"'!H23:H200")=$G$5),1,0)))</f>
        <v>0</v>
      </c>
      <c r="H199" s="565">
        <f t="array" aca="1" ref="H199" ca="1">IF($B199="N","",SUM(IF((INDIRECT("'"&amp;$B199&amp;"'!I23:I200")=$A$2)*(INDIRECT("'"&amp;$B199&amp;"'!O23:O200")=$D199)*(INDIRECT("'"&amp;$B199&amp;"'!O23:O200")&lt;&gt;"")*(INDIRECT("'"&amp;$B199&amp;"'!H23:H200")=$G$5),INDIRECT("'"&amp;$B199&amp;"'!p23:p200"),0)))</f>
        <v>0</v>
      </c>
      <c r="I199" s="515">
        <f t="shared" ref="I199:I221" ca="1" si="36">IF(B199="N","",G199+E199)</f>
        <v>0</v>
      </c>
      <c r="J199" s="513">
        <f t="shared" ref="J199:J221" ca="1" si="37">IF(I199="","",F199+H199)</f>
        <v>0</v>
      </c>
    </row>
    <row r="200" spans="1:10">
      <c r="B200" s="563" t="str">
        <f>B199</f>
        <v>JEF United</v>
      </c>
      <c r="D200" s="520">
        <v>-2.5</v>
      </c>
      <c r="E200" s="564">
        <f t="array" aca="1" ref="E200" ca="1">IF($B200="N","",SUM(IF((INDIRECT("'"&amp;$B200&amp;"'!I23:I200")=$A$2)*(INDIRECT("'"&amp;$B200&amp;"'!O23:O200")=$D200)*(INDIRECT("'"&amp;$B200&amp;"'!O23:O200")&lt;&gt;"")*(INDIRECT("'"&amp;$B200&amp;"'!H23:H200")=$E$5),1,0)))</f>
        <v>0</v>
      </c>
      <c r="F200" s="565">
        <f t="array" aca="1" ref="F200" ca="1">IF($B200="N","",SUM(IF((INDIRECT("'"&amp;$B200&amp;"'!I23:I200")=$A$2)*(INDIRECT("'"&amp;$B200&amp;"'!O23:O200")=$D200)*(INDIRECT("'"&amp;$B200&amp;"'!O23:O200")&lt;&gt;"")*(INDIRECT("'"&amp;$B200&amp;"'!H23:H200")=$E$5),INDIRECT("'"&amp;$B200&amp;"'!p23:p200"),0)))</f>
        <v>0</v>
      </c>
      <c r="G200" s="564">
        <f t="array" aca="1" ref="G200" ca="1">IF($B200="N","",SUM(IF((INDIRECT("'"&amp;$B200&amp;"'!I23:I200")=$A$2)*(INDIRECT("'"&amp;$B200&amp;"'!O23:O200")=$D200)*(INDIRECT("'"&amp;$B200&amp;"'!O23:O200")&lt;&gt;"")*(INDIRECT("'"&amp;$B200&amp;"'!H23:H200")=$G$5),1,0)))</f>
        <v>0</v>
      </c>
      <c r="H200" s="565">
        <f t="array" aca="1" ref="H200" ca="1">IF($B200="N","",SUM(IF((INDIRECT("'"&amp;$B200&amp;"'!I23:I200")=$A$2)*(INDIRECT("'"&amp;$B200&amp;"'!O23:O200")=$D200)*(INDIRECT("'"&amp;$B200&amp;"'!O23:O200")&lt;&gt;"")*(INDIRECT("'"&amp;$B200&amp;"'!H23:H200")=$G$5),INDIRECT("'"&amp;$B200&amp;"'!p23:p200"),0)))</f>
        <v>0</v>
      </c>
      <c r="I200" s="515">
        <f t="shared" ca="1" si="36"/>
        <v>0</v>
      </c>
      <c r="J200" s="513">
        <f t="shared" ca="1" si="37"/>
        <v>0</v>
      </c>
    </row>
    <row r="201" spans="1:10">
      <c r="B201" s="563" t="str">
        <f t="shared" ref="B201:B221" si="38">B200</f>
        <v>JEF United</v>
      </c>
      <c r="D201" s="520">
        <v>-2.25</v>
      </c>
      <c r="E201" s="564">
        <f t="array" aca="1" ref="E201" ca="1">IF($B201="N","",SUM(IF((INDIRECT("'"&amp;$B201&amp;"'!I23:I200")=$A$2)*(INDIRECT("'"&amp;$B201&amp;"'!O23:O200")=$D201)*(INDIRECT("'"&amp;$B201&amp;"'!O23:O200")&lt;&gt;"")*(INDIRECT("'"&amp;$B201&amp;"'!H23:H200")=$E$5),1,0)))</f>
        <v>0</v>
      </c>
      <c r="F201" s="565">
        <f t="array" aca="1" ref="F201" ca="1">IF($B201="N","",SUM(IF((INDIRECT("'"&amp;$B201&amp;"'!I23:I200")=$A$2)*(INDIRECT("'"&amp;$B201&amp;"'!O23:O200")=$D201)*(INDIRECT("'"&amp;$B201&amp;"'!O23:O200")&lt;&gt;"")*(INDIRECT("'"&amp;$B201&amp;"'!H23:H200")=$E$5),INDIRECT("'"&amp;$B201&amp;"'!p23:p200"),0)))</f>
        <v>0</v>
      </c>
      <c r="G201" s="564">
        <f t="array" aca="1" ref="G201" ca="1">IF($B201="N","",SUM(IF((INDIRECT("'"&amp;$B201&amp;"'!I23:I200")=$A$2)*(INDIRECT("'"&amp;$B201&amp;"'!O23:O200")=$D201)*(INDIRECT("'"&amp;$B201&amp;"'!O23:O200")&lt;&gt;"")*(INDIRECT("'"&amp;$B201&amp;"'!H23:H200")=$G$5),1,0)))</f>
        <v>0</v>
      </c>
      <c r="H201" s="565">
        <f t="array" aca="1" ref="H201" ca="1">IF($B201="N","",SUM(IF((INDIRECT("'"&amp;$B201&amp;"'!I23:I200")=$A$2)*(INDIRECT("'"&amp;$B201&amp;"'!O23:O200")=$D201)*(INDIRECT("'"&amp;$B201&amp;"'!O23:O200")&lt;&gt;"")*(INDIRECT("'"&amp;$B201&amp;"'!H23:H200")=$G$5),INDIRECT("'"&amp;$B201&amp;"'!p23:p200"),0)))</f>
        <v>0</v>
      </c>
      <c r="I201" s="515">
        <f t="shared" ca="1" si="36"/>
        <v>0</v>
      </c>
      <c r="J201" s="513">
        <f t="shared" ca="1" si="37"/>
        <v>0</v>
      </c>
    </row>
    <row r="202" spans="1:10">
      <c r="B202" s="563" t="str">
        <f t="shared" si="38"/>
        <v>JEF United</v>
      </c>
      <c r="D202" s="520">
        <v>-2</v>
      </c>
      <c r="E202" s="564">
        <f t="array" aca="1" ref="E202" ca="1">IF($B202="N","",SUM(IF((INDIRECT("'"&amp;$B202&amp;"'!I23:I200")=$A$2)*(INDIRECT("'"&amp;$B202&amp;"'!O23:O200")=$D202)*(INDIRECT("'"&amp;$B202&amp;"'!O23:O200")&lt;&gt;"")*(INDIRECT("'"&amp;$B202&amp;"'!H23:H200")=$E$5),1,0)))</f>
        <v>0</v>
      </c>
      <c r="F202" s="565">
        <f t="array" aca="1" ref="F202" ca="1">IF($B202="N","",SUM(IF((INDIRECT("'"&amp;$B202&amp;"'!I23:I200")=$A$2)*(INDIRECT("'"&amp;$B202&amp;"'!O23:O200")=$D202)*(INDIRECT("'"&amp;$B202&amp;"'!O23:O200")&lt;&gt;"")*(INDIRECT("'"&amp;$B202&amp;"'!H23:H200")=$E$5),INDIRECT("'"&amp;$B202&amp;"'!p23:p200"),0)))</f>
        <v>0</v>
      </c>
      <c r="G202" s="564">
        <f t="array" aca="1" ref="G202" ca="1">IF($B202="N","",SUM(IF((INDIRECT("'"&amp;$B202&amp;"'!I23:I200")=$A$2)*(INDIRECT("'"&amp;$B202&amp;"'!O23:O200")=$D202)*(INDIRECT("'"&amp;$B202&amp;"'!O23:O200")&lt;&gt;"")*(INDIRECT("'"&amp;$B202&amp;"'!H23:H200")=$G$5),1,0)))</f>
        <v>0</v>
      </c>
      <c r="H202" s="565">
        <f t="array" aca="1" ref="H202" ca="1">IF($B202="N","",SUM(IF((INDIRECT("'"&amp;$B202&amp;"'!I23:I200")=$A$2)*(INDIRECT("'"&amp;$B202&amp;"'!O23:O200")=$D202)*(INDIRECT("'"&amp;$B202&amp;"'!O23:O200")&lt;&gt;"")*(INDIRECT("'"&amp;$B202&amp;"'!H23:H200")=$G$5),INDIRECT("'"&amp;$B202&amp;"'!p23:p200"),0)))</f>
        <v>0</v>
      </c>
      <c r="I202" s="515">
        <f t="shared" ca="1" si="36"/>
        <v>0</v>
      </c>
      <c r="J202" s="513">
        <f t="shared" ca="1" si="37"/>
        <v>0</v>
      </c>
    </row>
    <row r="203" spans="1:10">
      <c r="B203" s="563" t="str">
        <f t="shared" si="38"/>
        <v>JEF United</v>
      </c>
      <c r="D203" s="520">
        <v>-1.75</v>
      </c>
      <c r="E203" s="564">
        <f t="array" aca="1" ref="E203" ca="1">IF($B203="N","",SUM(IF((INDIRECT("'"&amp;$B203&amp;"'!I23:I200")=$A$2)*(INDIRECT("'"&amp;$B203&amp;"'!O23:O200")=$D203)*(INDIRECT("'"&amp;$B203&amp;"'!O23:O200")&lt;&gt;"")*(INDIRECT("'"&amp;$B203&amp;"'!H23:H200")=$E$5),1,0)))</f>
        <v>0</v>
      </c>
      <c r="F203" s="565">
        <f t="array" aca="1" ref="F203" ca="1">IF($B203="N","",SUM(IF((INDIRECT("'"&amp;$B203&amp;"'!I23:I200")=$A$2)*(INDIRECT("'"&amp;$B203&amp;"'!O23:O200")=$D203)*(INDIRECT("'"&amp;$B203&amp;"'!O23:O200")&lt;&gt;"")*(INDIRECT("'"&amp;$B203&amp;"'!H23:H200")=$E$5),INDIRECT("'"&amp;$B203&amp;"'!p23:p200"),0)))</f>
        <v>0</v>
      </c>
      <c r="G203" s="564">
        <f t="array" aca="1" ref="G203" ca="1">IF($B203="N","",SUM(IF((INDIRECT("'"&amp;$B203&amp;"'!I23:I200")=$A$2)*(INDIRECT("'"&amp;$B203&amp;"'!O23:O200")=$D203)*(INDIRECT("'"&amp;$B203&amp;"'!O23:O200")&lt;&gt;"")*(INDIRECT("'"&amp;$B203&amp;"'!H23:H200")=$G$5),1,0)))</f>
        <v>0</v>
      </c>
      <c r="H203" s="565">
        <f t="array" aca="1" ref="H203" ca="1">IF($B203="N","",SUM(IF((INDIRECT("'"&amp;$B203&amp;"'!I23:I200")=$A$2)*(INDIRECT("'"&amp;$B203&amp;"'!O23:O200")=$D203)*(INDIRECT("'"&amp;$B203&amp;"'!O23:O200")&lt;&gt;"")*(INDIRECT("'"&amp;$B203&amp;"'!H23:H200")=$G$5),INDIRECT("'"&amp;$B203&amp;"'!p23:p200"),0)))</f>
        <v>0</v>
      </c>
      <c r="I203" s="515">
        <f t="shared" ca="1" si="36"/>
        <v>0</v>
      </c>
      <c r="J203" s="513">
        <f t="shared" ca="1" si="37"/>
        <v>0</v>
      </c>
    </row>
    <row r="204" spans="1:10">
      <c r="B204" s="563" t="str">
        <f t="shared" si="38"/>
        <v>JEF United</v>
      </c>
      <c r="D204" s="511">
        <v>-1.5</v>
      </c>
      <c r="E204" s="564">
        <f t="array" aca="1" ref="E204" ca="1">IF($B204="N","",SUM(IF((INDIRECT("'"&amp;$B204&amp;"'!I23:I200")=$A$2)*(INDIRECT("'"&amp;$B204&amp;"'!O23:O200")=$D204)*(INDIRECT("'"&amp;$B204&amp;"'!O23:O200")&lt;&gt;"")*(INDIRECT("'"&amp;$B204&amp;"'!H23:H200")=$E$5),1,0)))</f>
        <v>0</v>
      </c>
      <c r="F204" s="565">
        <f t="array" aca="1" ref="F204" ca="1">IF($B204="N","",SUM(IF((INDIRECT("'"&amp;$B204&amp;"'!I23:I200")=$A$2)*(INDIRECT("'"&amp;$B204&amp;"'!O23:O200")=$D204)*(INDIRECT("'"&amp;$B204&amp;"'!O23:O200")&lt;&gt;"")*(INDIRECT("'"&amp;$B204&amp;"'!H23:H200")=$E$5),INDIRECT("'"&amp;$B204&amp;"'!p23:p200"),0)))</f>
        <v>0</v>
      </c>
      <c r="G204" s="564">
        <f t="array" aca="1" ref="G204" ca="1">IF($B204="N","",SUM(IF((INDIRECT("'"&amp;$B204&amp;"'!I23:I200")=$A$2)*(INDIRECT("'"&amp;$B204&amp;"'!O23:O200")=$D204)*(INDIRECT("'"&amp;$B204&amp;"'!O23:O200")&lt;&gt;"")*(INDIRECT("'"&amp;$B204&amp;"'!H23:H200")=$G$5),1,0)))</f>
        <v>0</v>
      </c>
      <c r="H204" s="565">
        <f t="array" aca="1" ref="H204" ca="1">IF($B204="N","",SUM(IF((INDIRECT("'"&amp;$B204&amp;"'!I23:I200")=$A$2)*(INDIRECT("'"&amp;$B204&amp;"'!O23:O200")=$D204)*(INDIRECT("'"&amp;$B204&amp;"'!O23:O200")&lt;&gt;"")*(INDIRECT("'"&amp;$B204&amp;"'!H23:H200")=$G$5),INDIRECT("'"&amp;$B204&amp;"'!p23:p200"),0)))</f>
        <v>0</v>
      </c>
      <c r="I204" s="515">
        <f t="shared" ca="1" si="36"/>
        <v>0</v>
      </c>
      <c r="J204" s="513">
        <f t="shared" ca="1" si="37"/>
        <v>0</v>
      </c>
    </row>
    <row r="205" spans="1:10">
      <c r="B205" s="563" t="str">
        <f t="shared" si="38"/>
        <v>JEF United</v>
      </c>
      <c r="D205" s="511">
        <v>-1.25</v>
      </c>
      <c r="E205" s="564">
        <f t="array" aca="1" ref="E205" ca="1">IF($B205="N","",SUM(IF((INDIRECT("'"&amp;$B205&amp;"'!I23:I200")=$A$2)*(INDIRECT("'"&amp;$B205&amp;"'!O23:O200")=$D205)*(INDIRECT("'"&amp;$B205&amp;"'!O23:O200")&lt;&gt;"")*(INDIRECT("'"&amp;$B205&amp;"'!H23:H200")=$E$5),1,0)))</f>
        <v>0</v>
      </c>
      <c r="F205" s="565">
        <f t="array" aca="1" ref="F205" ca="1">IF($B205="N","",SUM(IF((INDIRECT("'"&amp;$B205&amp;"'!I23:I200")=$A$2)*(INDIRECT("'"&amp;$B205&amp;"'!O23:O200")=$D205)*(INDIRECT("'"&amp;$B205&amp;"'!O23:O200")&lt;&gt;"")*(INDIRECT("'"&amp;$B205&amp;"'!H23:H200")=$E$5),INDIRECT("'"&amp;$B205&amp;"'!p23:p200"),0)))</f>
        <v>0</v>
      </c>
      <c r="G205" s="564">
        <f t="array" aca="1" ref="G205" ca="1">IF($B205="N","",SUM(IF((INDIRECT("'"&amp;$B205&amp;"'!I23:I200")=$A$2)*(INDIRECT("'"&amp;$B205&amp;"'!O23:O200")=$D205)*(INDIRECT("'"&amp;$B205&amp;"'!O23:O200")&lt;&gt;"")*(INDIRECT("'"&amp;$B205&amp;"'!H23:H200")=$G$5),1,0)))</f>
        <v>0</v>
      </c>
      <c r="H205" s="565">
        <f t="array" aca="1" ref="H205" ca="1">IF($B205="N","",SUM(IF((INDIRECT("'"&amp;$B205&amp;"'!I23:I200")=$A$2)*(INDIRECT("'"&amp;$B205&amp;"'!O23:O200")=$D205)*(INDIRECT("'"&amp;$B205&amp;"'!O23:O200")&lt;&gt;"")*(INDIRECT("'"&amp;$B205&amp;"'!H23:H200")=$G$5),INDIRECT("'"&amp;$B205&amp;"'!p23:p200"),0)))</f>
        <v>0</v>
      </c>
      <c r="I205" s="515">
        <f t="shared" ca="1" si="36"/>
        <v>0</v>
      </c>
      <c r="J205" s="513">
        <f t="shared" ca="1" si="37"/>
        <v>0</v>
      </c>
    </row>
    <row r="206" spans="1:10">
      <c r="B206" s="563" t="str">
        <f t="shared" si="38"/>
        <v>JEF United</v>
      </c>
      <c r="D206" s="511">
        <v>-1</v>
      </c>
      <c r="E206" s="564">
        <f t="array" aca="1" ref="E206" ca="1">IF($B206="N","",SUM(IF((INDIRECT("'"&amp;$B206&amp;"'!I23:I200")=$A$2)*(INDIRECT("'"&amp;$B206&amp;"'!O23:O200")=$D206)*(INDIRECT("'"&amp;$B206&amp;"'!O23:O200")&lt;&gt;"")*(INDIRECT("'"&amp;$B206&amp;"'!H23:H200")=$E$5),1,0)))</f>
        <v>1</v>
      </c>
      <c r="F206" s="565">
        <f t="array" aca="1" ref="F206" ca="1">IF($B206="N","",SUM(IF((INDIRECT("'"&amp;$B206&amp;"'!I23:I200")=$A$2)*(INDIRECT("'"&amp;$B206&amp;"'!O23:O200")=$D206)*(INDIRECT("'"&amp;$B206&amp;"'!O23:O200")&lt;&gt;"")*(INDIRECT("'"&amp;$B206&amp;"'!H23:H200")=$E$5),INDIRECT("'"&amp;$B206&amp;"'!p23:p200"),0)))</f>
        <v>0</v>
      </c>
      <c r="G206" s="564">
        <f t="array" aca="1" ref="G206" ca="1">IF($B206="N","",SUM(IF((INDIRECT("'"&amp;$B206&amp;"'!I23:I200")=$A$2)*(INDIRECT("'"&amp;$B206&amp;"'!O23:O200")=$D206)*(INDIRECT("'"&amp;$B206&amp;"'!O23:O200")&lt;&gt;"")*(INDIRECT("'"&amp;$B206&amp;"'!H23:H200")=$G$5),1,0)))</f>
        <v>0</v>
      </c>
      <c r="H206" s="565">
        <f t="array" aca="1" ref="H206" ca="1">IF($B206="N","",SUM(IF((INDIRECT("'"&amp;$B206&amp;"'!I23:I200")=$A$2)*(INDIRECT("'"&amp;$B206&amp;"'!O23:O200")=$D206)*(INDIRECT("'"&amp;$B206&amp;"'!O23:O200")&lt;&gt;"")*(INDIRECT("'"&amp;$B206&amp;"'!H23:H200")=$G$5),INDIRECT("'"&amp;$B206&amp;"'!p23:p200"),0)))</f>
        <v>0</v>
      </c>
      <c r="I206" s="515">
        <f t="shared" ca="1" si="36"/>
        <v>1</v>
      </c>
      <c r="J206" s="513">
        <f t="shared" ca="1" si="37"/>
        <v>0</v>
      </c>
    </row>
    <row r="207" spans="1:10">
      <c r="B207" s="563" t="str">
        <f t="shared" si="38"/>
        <v>JEF United</v>
      </c>
      <c r="D207" s="511">
        <v>-0.75</v>
      </c>
      <c r="E207" s="564">
        <f t="array" aca="1" ref="E207" ca="1">IF($B207="N","",SUM(IF((INDIRECT("'"&amp;$B207&amp;"'!I23:I200")=$A$2)*(INDIRECT("'"&amp;$B207&amp;"'!O23:O200")=$D207)*(INDIRECT("'"&amp;$B207&amp;"'!O23:O200")&lt;&gt;"")*(INDIRECT("'"&amp;$B207&amp;"'!H23:H200")=$E$5),1,0)))</f>
        <v>6</v>
      </c>
      <c r="F207" s="565">
        <f t="array" aca="1" ref="F207" ca="1">IF($B207="N","",SUM(IF((INDIRECT("'"&amp;$B207&amp;"'!I23:I200")=$A$2)*(INDIRECT("'"&amp;$B207&amp;"'!O23:O200")=$D207)*(INDIRECT("'"&amp;$B207&amp;"'!O23:O200")&lt;&gt;"")*(INDIRECT("'"&amp;$B207&amp;"'!H23:H200")=$E$5),INDIRECT("'"&amp;$B207&amp;"'!p23:p200"),0)))</f>
        <v>0.5</v>
      </c>
      <c r="G207" s="564">
        <f t="array" aca="1" ref="G207" ca="1">IF($B207="N","",SUM(IF((INDIRECT("'"&amp;$B207&amp;"'!I23:I200")=$A$2)*(INDIRECT("'"&amp;$B207&amp;"'!O23:O200")=$D207)*(INDIRECT("'"&amp;$B207&amp;"'!O23:O200")&lt;&gt;"")*(INDIRECT("'"&amp;$B207&amp;"'!H23:H200")=$G$5),1,0)))</f>
        <v>1</v>
      </c>
      <c r="H207" s="565">
        <f t="array" aca="1" ref="H207" ca="1">IF($B207="N","",SUM(IF((INDIRECT("'"&amp;$B207&amp;"'!I23:I200")=$A$2)*(INDIRECT("'"&amp;$B207&amp;"'!O23:O200")=$D207)*(INDIRECT("'"&amp;$B207&amp;"'!O23:O200")&lt;&gt;"")*(INDIRECT("'"&amp;$B207&amp;"'!H23:H200")=$G$5),INDIRECT("'"&amp;$B207&amp;"'!p23:p200"),0)))</f>
        <v>-1</v>
      </c>
      <c r="I207" s="515">
        <f t="shared" ca="1" si="36"/>
        <v>7</v>
      </c>
      <c r="J207" s="513">
        <f t="shared" ca="1" si="37"/>
        <v>-0.5</v>
      </c>
    </row>
    <row r="208" spans="1:10">
      <c r="B208" s="563" t="str">
        <f t="shared" si="38"/>
        <v>JEF United</v>
      </c>
      <c r="D208" s="511">
        <v>-0.5</v>
      </c>
      <c r="E208" s="564">
        <f t="array" aca="1" ref="E208" ca="1">IF($B208="N","",SUM(IF((INDIRECT("'"&amp;$B208&amp;"'!I23:I200")=$A$2)*(INDIRECT("'"&amp;$B208&amp;"'!O23:O200")=$D208)*(INDIRECT("'"&amp;$B208&amp;"'!O23:O200")&lt;&gt;"")*(INDIRECT("'"&amp;$B208&amp;"'!H23:H200")=$E$5),1,0)))</f>
        <v>4</v>
      </c>
      <c r="F208" s="565">
        <f t="array" aca="1" ref="F208" ca="1">IF($B208="N","",SUM(IF((INDIRECT("'"&amp;$B208&amp;"'!I23:I200")=$A$2)*(INDIRECT("'"&amp;$B208&amp;"'!O23:O200")=$D208)*(INDIRECT("'"&amp;$B208&amp;"'!O23:O200")&lt;&gt;"")*(INDIRECT("'"&amp;$B208&amp;"'!H23:H200")=$E$5),INDIRECT("'"&amp;$B208&amp;"'!p23:p200"),0)))</f>
        <v>0</v>
      </c>
      <c r="G208" s="564">
        <f t="array" aca="1" ref="G208" ca="1">IF($B208="N","",SUM(IF((INDIRECT("'"&amp;$B208&amp;"'!I23:I200")=$A$2)*(INDIRECT("'"&amp;$B208&amp;"'!O23:O200")=$D208)*(INDIRECT("'"&amp;$B208&amp;"'!O23:O200")&lt;&gt;"")*(INDIRECT("'"&amp;$B208&amp;"'!H23:H200")=$G$5),1,0)))</f>
        <v>2</v>
      </c>
      <c r="H208" s="565">
        <f t="array" aca="1" ref="H208" ca="1">IF($B208="N","",SUM(IF((INDIRECT("'"&amp;$B208&amp;"'!I23:I200")=$A$2)*(INDIRECT("'"&amp;$B208&amp;"'!O23:O200")=$D208)*(INDIRECT("'"&amp;$B208&amp;"'!O23:O200")&lt;&gt;"")*(INDIRECT("'"&amp;$B208&amp;"'!H23:H200")=$G$5),INDIRECT("'"&amp;$B208&amp;"'!p23:p200"),0)))</f>
        <v>-2</v>
      </c>
      <c r="I208" s="515">
        <f t="shared" ca="1" si="36"/>
        <v>6</v>
      </c>
      <c r="J208" s="513">
        <f t="shared" ca="1" si="37"/>
        <v>-2</v>
      </c>
    </row>
    <row r="209" spans="1:10">
      <c r="B209" s="563" t="str">
        <f t="shared" si="38"/>
        <v>JEF United</v>
      </c>
      <c r="D209" s="511">
        <v>-0.25</v>
      </c>
      <c r="E209" s="564">
        <f t="array" aca="1" ref="E209" ca="1">IF($B209="N","",SUM(IF((INDIRECT("'"&amp;$B209&amp;"'!I23:I200")=$A$2)*(INDIRECT("'"&amp;$B209&amp;"'!O23:O200")=$D209)*(INDIRECT("'"&amp;$B209&amp;"'!O23:O200")&lt;&gt;"")*(INDIRECT("'"&amp;$B209&amp;"'!H23:H200")=$E$5),1,0)))</f>
        <v>5</v>
      </c>
      <c r="F209" s="565">
        <f t="array" aca="1" ref="F209" ca="1">IF($B209="N","",SUM(IF((INDIRECT("'"&amp;$B209&amp;"'!I23:I200")=$A$2)*(INDIRECT("'"&amp;$B209&amp;"'!O23:O200")=$D209)*(INDIRECT("'"&amp;$B209&amp;"'!O23:O200")&lt;&gt;"")*(INDIRECT("'"&amp;$B209&amp;"'!H23:H200")=$E$5),INDIRECT("'"&amp;$B209&amp;"'!p23:p200"),0)))</f>
        <v>2</v>
      </c>
      <c r="G209" s="564">
        <f t="array" aca="1" ref="G209" ca="1">IF($B209="N","",SUM(IF((INDIRECT("'"&amp;$B209&amp;"'!I23:I200")=$A$2)*(INDIRECT("'"&amp;$B209&amp;"'!O23:O200")=$D209)*(INDIRECT("'"&amp;$B209&amp;"'!O23:O200")&lt;&gt;"")*(INDIRECT("'"&amp;$B209&amp;"'!H23:H200")=$G$5),1,0)))</f>
        <v>8</v>
      </c>
      <c r="H209" s="565">
        <f t="array" aca="1" ref="H209" ca="1">IF($B209="N","",SUM(IF((INDIRECT("'"&amp;$B209&amp;"'!I23:I200")=$A$2)*(INDIRECT("'"&amp;$B209&amp;"'!O23:O200")=$D209)*(INDIRECT("'"&amp;$B209&amp;"'!O23:O200")&lt;&gt;"")*(INDIRECT("'"&amp;$B209&amp;"'!H23:H200")=$G$5),INDIRECT("'"&amp;$B209&amp;"'!p23:p200"),0)))</f>
        <v>-7.5</v>
      </c>
      <c r="I209" s="515">
        <f t="shared" ca="1" si="36"/>
        <v>13</v>
      </c>
      <c r="J209" s="513">
        <f t="shared" ca="1" si="37"/>
        <v>-5.5</v>
      </c>
    </row>
    <row r="210" spans="1:10">
      <c r="B210" s="563" t="str">
        <f t="shared" si="38"/>
        <v>JEF United</v>
      </c>
      <c r="D210" s="511">
        <v>0</v>
      </c>
      <c r="E210" s="564">
        <f t="array" aca="1" ref="E210" ca="1">IF($B210="N","",SUM(IF((INDIRECT("'"&amp;$B210&amp;"'!I23:I200")=$A$2)*(INDIRECT("'"&amp;$B210&amp;"'!O23:O200")=$D210)*(INDIRECT("'"&amp;$B210&amp;"'!O23:O200")&lt;&gt;"")*(INDIRECT("'"&amp;$B210&amp;"'!H23:H200")=$E$5),1,0)))</f>
        <v>4</v>
      </c>
      <c r="F210" s="565">
        <f t="array" aca="1" ref="F210" ca="1">IF($B210="N","",SUM(IF((INDIRECT("'"&amp;$B210&amp;"'!I23:I200")=$A$2)*(INDIRECT("'"&amp;$B210&amp;"'!O23:O200")=$D210)*(INDIRECT("'"&amp;$B210&amp;"'!O23:O200")&lt;&gt;"")*(INDIRECT("'"&amp;$B210&amp;"'!H23:H200")=$E$5),INDIRECT("'"&amp;$B210&amp;"'!p23:p200"),0)))</f>
        <v>1</v>
      </c>
      <c r="G210" s="564">
        <f t="array" aca="1" ref="G210" ca="1">IF($B210="N","",SUM(IF((INDIRECT("'"&amp;$B210&amp;"'!I23:I200")=$A$2)*(INDIRECT("'"&amp;$B210&amp;"'!O23:O200")=$D210)*(INDIRECT("'"&amp;$B210&amp;"'!O23:O200")&lt;&gt;"")*(INDIRECT("'"&amp;$B210&amp;"'!H23:H200")=$G$5),1,0)))</f>
        <v>6</v>
      </c>
      <c r="H210" s="565">
        <f t="array" aca="1" ref="H210" ca="1">IF($B210="N","",SUM(IF((INDIRECT("'"&amp;$B210&amp;"'!I23:I200")=$A$2)*(INDIRECT("'"&amp;$B210&amp;"'!O23:O200")=$D210)*(INDIRECT("'"&amp;$B210&amp;"'!O23:O200")&lt;&gt;"")*(INDIRECT("'"&amp;$B210&amp;"'!H23:H200")=$G$5),INDIRECT("'"&amp;$B210&amp;"'!p23:p200"),0)))</f>
        <v>2</v>
      </c>
      <c r="I210" s="515">
        <f t="shared" ca="1" si="36"/>
        <v>10</v>
      </c>
      <c r="J210" s="513">
        <f t="shared" ca="1" si="37"/>
        <v>3</v>
      </c>
    </row>
    <row r="211" spans="1:10">
      <c r="B211" s="563" t="str">
        <f t="shared" si="38"/>
        <v>JEF United</v>
      </c>
      <c r="D211" s="511">
        <v>0.25</v>
      </c>
      <c r="E211" s="564">
        <f t="array" aca="1" ref="E211" ca="1">IF($B211="N","",SUM(IF((INDIRECT("'"&amp;$B211&amp;"'!I23:I200")=$A$2)*(INDIRECT("'"&amp;$B211&amp;"'!O23:O200")=$D211)*(INDIRECT("'"&amp;$B211&amp;"'!O23:O200")&lt;&gt;"")*(INDIRECT("'"&amp;$B211&amp;"'!H23:H200")=$E$5),1,0)))</f>
        <v>1</v>
      </c>
      <c r="F211" s="565">
        <f t="array" aca="1" ref="F211" ca="1">IF($B211="N","",SUM(IF((INDIRECT("'"&amp;$B211&amp;"'!I23:I200")=$A$2)*(INDIRECT("'"&amp;$B211&amp;"'!O23:O200")=$D211)*(INDIRECT("'"&amp;$B211&amp;"'!O23:O200")&lt;&gt;"")*(INDIRECT("'"&amp;$B211&amp;"'!H23:H200")=$E$5),INDIRECT("'"&amp;$B211&amp;"'!p23:p200"),0)))</f>
        <v>1</v>
      </c>
      <c r="G211" s="564">
        <f t="array" aca="1" ref="G211" ca="1">IF($B211="N","",SUM(IF((INDIRECT("'"&amp;$B211&amp;"'!I23:I200")=$A$2)*(INDIRECT("'"&amp;$B211&amp;"'!O23:O200")=$D211)*(INDIRECT("'"&amp;$B211&amp;"'!O23:O200")&lt;&gt;"")*(INDIRECT("'"&amp;$B211&amp;"'!H23:H200")=$G$5),1,0)))</f>
        <v>3</v>
      </c>
      <c r="H211" s="565">
        <f t="array" aca="1" ref="H211" ca="1">IF($B211="N","",SUM(IF((INDIRECT("'"&amp;$B211&amp;"'!I23:I200")=$A$2)*(INDIRECT("'"&amp;$B211&amp;"'!O23:O200")=$D211)*(INDIRECT("'"&amp;$B211&amp;"'!O23:O200")&lt;&gt;"")*(INDIRECT("'"&amp;$B211&amp;"'!H23:H200")=$G$5),INDIRECT("'"&amp;$B211&amp;"'!p23:p200"),0)))</f>
        <v>1</v>
      </c>
      <c r="I211" s="515">
        <f t="shared" ca="1" si="36"/>
        <v>4</v>
      </c>
      <c r="J211" s="513">
        <f t="shared" ca="1" si="37"/>
        <v>2</v>
      </c>
    </row>
    <row r="212" spans="1:10">
      <c r="B212" s="563" t="str">
        <f t="shared" si="38"/>
        <v>JEF United</v>
      </c>
      <c r="D212" s="511">
        <v>0.5</v>
      </c>
      <c r="E212" s="564">
        <f t="array" aca="1" ref="E212" ca="1">IF($B212="N","",SUM(IF((INDIRECT("'"&amp;$B212&amp;"'!I23:I200")=$A$2)*(INDIRECT("'"&amp;$B212&amp;"'!O23:O200")=$D212)*(INDIRECT("'"&amp;$B212&amp;"'!O23:O200")&lt;&gt;"")*(INDIRECT("'"&amp;$B212&amp;"'!H23:H200")=$E$5),1,0)))</f>
        <v>0</v>
      </c>
      <c r="F212" s="565">
        <f t="array" aca="1" ref="F212" ca="1">IF($B212="N","",SUM(IF((INDIRECT("'"&amp;$B212&amp;"'!I23:I200")=$A$2)*(INDIRECT("'"&amp;$B212&amp;"'!O23:O200")=$D212)*(INDIRECT("'"&amp;$B212&amp;"'!O23:O200")&lt;&gt;"")*(INDIRECT("'"&amp;$B212&amp;"'!H23:H200")=$E$5),INDIRECT("'"&amp;$B212&amp;"'!p23:p200"),0)))</f>
        <v>0</v>
      </c>
      <c r="G212" s="564">
        <f t="array" aca="1" ref="G212" ca="1">IF($B212="N","",SUM(IF((INDIRECT("'"&amp;$B212&amp;"'!I23:I200")=$A$2)*(INDIRECT("'"&amp;$B212&amp;"'!O23:O200")=$D212)*(INDIRECT("'"&amp;$B212&amp;"'!O23:O200")&lt;&gt;"")*(INDIRECT("'"&amp;$B212&amp;"'!H23:H200")=$G$5),1,0)))</f>
        <v>2</v>
      </c>
      <c r="H212" s="565">
        <f t="array" aca="1" ref="H212" ca="1">IF($B212="N","",SUM(IF((INDIRECT("'"&amp;$B212&amp;"'!I23:I200")=$A$2)*(INDIRECT("'"&amp;$B212&amp;"'!O23:O200")=$D212)*(INDIRECT("'"&amp;$B212&amp;"'!O23:O200")&lt;&gt;"")*(INDIRECT("'"&amp;$B212&amp;"'!H23:H200")=$G$5),INDIRECT("'"&amp;$B212&amp;"'!p23:p200"),0)))</f>
        <v>0</v>
      </c>
      <c r="I212" s="515">
        <f t="shared" ca="1" si="36"/>
        <v>2</v>
      </c>
      <c r="J212" s="513">
        <f t="shared" ca="1" si="37"/>
        <v>0</v>
      </c>
    </row>
    <row r="213" spans="1:10">
      <c r="B213" s="563" t="str">
        <f t="shared" si="38"/>
        <v>JEF United</v>
      </c>
      <c r="D213" s="511">
        <v>0.75</v>
      </c>
      <c r="E213" s="564">
        <f t="array" aca="1" ref="E213" ca="1">IF($B213="N","",SUM(IF((INDIRECT("'"&amp;$B213&amp;"'!I23:I200")=$A$2)*(INDIRECT("'"&amp;$B213&amp;"'!O23:O200")=$D213)*(INDIRECT("'"&amp;$B213&amp;"'!O23:O200")&lt;&gt;"")*(INDIRECT("'"&amp;$B213&amp;"'!H23:H200")=$E$5),1,0)))</f>
        <v>0</v>
      </c>
      <c r="F213" s="565">
        <f t="array" aca="1" ref="F213" ca="1">IF($B213="N","",SUM(IF((INDIRECT("'"&amp;$B213&amp;"'!I23:I200")=$A$2)*(INDIRECT("'"&amp;$B213&amp;"'!O23:O200")=$D213)*(INDIRECT("'"&amp;$B213&amp;"'!O23:O200")&lt;&gt;"")*(INDIRECT("'"&amp;$B213&amp;"'!H23:H200")=$E$5),INDIRECT("'"&amp;$B213&amp;"'!p23:p200"),0)))</f>
        <v>0</v>
      </c>
      <c r="G213" s="564">
        <f t="array" aca="1" ref="G213" ca="1">IF($B213="N","",SUM(IF((INDIRECT("'"&amp;$B213&amp;"'!I23:I200")=$A$2)*(INDIRECT("'"&amp;$B213&amp;"'!O23:O200")=$D213)*(INDIRECT("'"&amp;$B213&amp;"'!O23:O200")&lt;&gt;"")*(INDIRECT("'"&amp;$B213&amp;"'!H23:H200")=$G$5),1,0)))</f>
        <v>0</v>
      </c>
      <c r="H213" s="565">
        <f t="array" aca="1" ref="H213" ca="1">IF($B213="N","",SUM(IF((INDIRECT("'"&amp;$B213&amp;"'!I23:I200")=$A$2)*(INDIRECT("'"&amp;$B213&amp;"'!O23:O200")=$D213)*(INDIRECT("'"&amp;$B213&amp;"'!O23:O200")&lt;&gt;"")*(INDIRECT("'"&amp;$B213&amp;"'!H23:H200")=$G$5),INDIRECT("'"&amp;$B213&amp;"'!p23:p200"),0)))</f>
        <v>0</v>
      </c>
      <c r="I213" s="515">
        <f t="shared" ca="1" si="36"/>
        <v>0</v>
      </c>
      <c r="J213" s="513">
        <f t="shared" ca="1" si="37"/>
        <v>0</v>
      </c>
    </row>
    <row r="214" spans="1:10">
      <c r="B214" s="563" t="str">
        <f t="shared" si="38"/>
        <v>JEF United</v>
      </c>
      <c r="D214" s="511">
        <v>1</v>
      </c>
      <c r="E214" s="564">
        <f t="array" aca="1" ref="E214" ca="1">IF($B214="N","",SUM(IF((INDIRECT("'"&amp;$B214&amp;"'!I23:I200")=$A$2)*(INDIRECT("'"&amp;$B214&amp;"'!O23:O200")=$D214)*(INDIRECT("'"&amp;$B214&amp;"'!O23:O200")&lt;&gt;"")*(INDIRECT("'"&amp;$B214&amp;"'!H23:H200")=$E$5),1,0)))</f>
        <v>0</v>
      </c>
      <c r="F214" s="565">
        <f t="array" aca="1" ref="F214" ca="1">IF($B214="N","",SUM(IF((INDIRECT("'"&amp;$B214&amp;"'!I23:I200")=$A$2)*(INDIRECT("'"&amp;$B214&amp;"'!O23:O200")=$D214)*(INDIRECT("'"&amp;$B214&amp;"'!O23:O200")&lt;&gt;"")*(INDIRECT("'"&amp;$B214&amp;"'!H23:H200")=$E$5),INDIRECT("'"&amp;$B214&amp;"'!p23:p200"),0)))</f>
        <v>0</v>
      </c>
      <c r="G214" s="564">
        <f t="array" aca="1" ref="G214" ca="1">IF($B214="N","",SUM(IF((INDIRECT("'"&amp;$B214&amp;"'!I23:I200")=$A$2)*(INDIRECT("'"&amp;$B214&amp;"'!O23:O200")=$D214)*(INDIRECT("'"&amp;$B214&amp;"'!O23:O200")&lt;&gt;"")*(INDIRECT("'"&amp;$B214&amp;"'!H23:H200")=$G$5),1,0)))</f>
        <v>0</v>
      </c>
      <c r="H214" s="565">
        <f t="array" aca="1" ref="H214" ca="1">IF($B214="N","",SUM(IF((INDIRECT("'"&amp;$B214&amp;"'!I23:I200")=$A$2)*(INDIRECT("'"&amp;$B214&amp;"'!O23:O200")=$D214)*(INDIRECT("'"&amp;$B214&amp;"'!O23:O200")&lt;&gt;"")*(INDIRECT("'"&amp;$B214&amp;"'!H23:H200")=$G$5),INDIRECT("'"&amp;$B214&amp;"'!p23:p200"),0)))</f>
        <v>0</v>
      </c>
      <c r="I214" s="515">
        <f t="shared" ca="1" si="36"/>
        <v>0</v>
      </c>
      <c r="J214" s="513">
        <f t="shared" ca="1" si="37"/>
        <v>0</v>
      </c>
    </row>
    <row r="215" spans="1:10">
      <c r="B215" s="563" t="str">
        <f t="shared" si="38"/>
        <v>JEF United</v>
      </c>
      <c r="D215" s="511">
        <v>1.25</v>
      </c>
      <c r="E215" s="564">
        <f t="array" aca="1" ref="E215" ca="1">IF($B215="N","",SUM(IF((INDIRECT("'"&amp;$B215&amp;"'!I23:I200")=$A$2)*(INDIRECT("'"&amp;$B215&amp;"'!O23:O200")=$D215)*(INDIRECT("'"&amp;$B215&amp;"'!O23:O200")&lt;&gt;"")*(INDIRECT("'"&amp;$B215&amp;"'!H23:H200")=$E$5),1,0)))</f>
        <v>0</v>
      </c>
      <c r="F215" s="565">
        <f t="array" aca="1" ref="F215" ca="1">IF($B215="N","",SUM(IF((INDIRECT("'"&amp;$B215&amp;"'!I23:I200")=$A$2)*(INDIRECT("'"&amp;$B215&amp;"'!O23:O200")=$D215)*(INDIRECT("'"&amp;$B215&amp;"'!O23:O200")&lt;&gt;"")*(INDIRECT("'"&amp;$B215&amp;"'!H23:H200")=$E$5),INDIRECT("'"&amp;$B215&amp;"'!p23:p200"),0)))</f>
        <v>0</v>
      </c>
      <c r="G215" s="564">
        <f t="array" aca="1" ref="G215" ca="1">IF($B215="N","",SUM(IF((INDIRECT("'"&amp;$B215&amp;"'!I23:I200")=$A$2)*(INDIRECT("'"&amp;$B215&amp;"'!O23:O200")=$D215)*(INDIRECT("'"&amp;$B215&amp;"'!O23:O200")&lt;&gt;"")*(INDIRECT("'"&amp;$B215&amp;"'!H23:H200")=$G$5),1,0)))</f>
        <v>0</v>
      </c>
      <c r="H215" s="565">
        <f t="array" aca="1" ref="H215" ca="1">IF($B215="N","",SUM(IF((INDIRECT("'"&amp;$B215&amp;"'!I23:I200")=$A$2)*(INDIRECT("'"&amp;$B215&amp;"'!O23:O200")=$D215)*(INDIRECT("'"&amp;$B215&amp;"'!O23:O200")&lt;&gt;"")*(INDIRECT("'"&amp;$B215&amp;"'!H23:H200")=$G$5),INDIRECT("'"&amp;$B215&amp;"'!p23:p200"),0)))</f>
        <v>0</v>
      </c>
      <c r="I215" s="515">
        <f t="shared" ca="1" si="36"/>
        <v>0</v>
      </c>
      <c r="J215" s="513">
        <f t="shared" ca="1" si="37"/>
        <v>0</v>
      </c>
    </row>
    <row r="216" spans="1:10">
      <c r="B216" s="563" t="str">
        <f t="shared" si="38"/>
        <v>JEF United</v>
      </c>
      <c r="D216" s="511">
        <v>1.5</v>
      </c>
      <c r="E216" s="564">
        <f t="array" aca="1" ref="E216" ca="1">IF($B216="N","",SUM(IF((INDIRECT("'"&amp;$B216&amp;"'!I23:I200")=$A$2)*(INDIRECT("'"&amp;$B216&amp;"'!O23:O200")=$D216)*(INDIRECT("'"&amp;$B216&amp;"'!O23:O200")&lt;&gt;"")*(INDIRECT("'"&amp;$B216&amp;"'!H23:H200")=$E$5),1,0)))</f>
        <v>0</v>
      </c>
      <c r="F216" s="565">
        <f t="array" aca="1" ref="F216" ca="1">IF($B216="N","",SUM(IF((INDIRECT("'"&amp;$B216&amp;"'!I23:I200")=$A$2)*(INDIRECT("'"&amp;$B216&amp;"'!O23:O200")=$D216)*(INDIRECT("'"&amp;$B216&amp;"'!O23:O200")&lt;&gt;"")*(INDIRECT("'"&amp;$B216&amp;"'!H23:H200")=$E$5),INDIRECT("'"&amp;$B216&amp;"'!p23:p200"),0)))</f>
        <v>0</v>
      </c>
      <c r="G216" s="564">
        <f t="array" aca="1" ref="G216" ca="1">IF($B216="N","",SUM(IF((INDIRECT("'"&amp;$B216&amp;"'!I23:I200")=$A$2)*(INDIRECT("'"&amp;$B216&amp;"'!O23:O200")=$D216)*(INDIRECT("'"&amp;$B216&amp;"'!O23:O200")&lt;&gt;"")*(INDIRECT("'"&amp;$B216&amp;"'!H23:H200")=$G$5),1,0)))</f>
        <v>0</v>
      </c>
      <c r="H216" s="565">
        <f t="array" aca="1" ref="H216" ca="1">IF($B216="N","",SUM(IF((INDIRECT("'"&amp;$B216&amp;"'!I23:I200")=$A$2)*(INDIRECT("'"&amp;$B216&amp;"'!O23:O200")=$D216)*(INDIRECT("'"&amp;$B216&amp;"'!O23:O200")&lt;&gt;"")*(INDIRECT("'"&amp;$B216&amp;"'!H23:H200")=$G$5),INDIRECT("'"&amp;$B216&amp;"'!p23:p200"),0)))</f>
        <v>0</v>
      </c>
      <c r="I216" s="515">
        <f t="shared" ca="1" si="36"/>
        <v>0</v>
      </c>
      <c r="J216" s="513">
        <f t="shared" ca="1" si="37"/>
        <v>0</v>
      </c>
    </row>
    <row r="217" spans="1:10">
      <c r="B217" s="563" t="str">
        <f t="shared" si="38"/>
        <v>JEF United</v>
      </c>
      <c r="D217" s="528">
        <v>1.75</v>
      </c>
      <c r="E217" s="564">
        <f t="array" aca="1" ref="E217" ca="1">IF($B217="N","",SUM(IF((INDIRECT("'"&amp;$B217&amp;"'!I23:I200")=$A$2)*(INDIRECT("'"&amp;$B217&amp;"'!O23:O200")=$D217)*(INDIRECT("'"&amp;$B217&amp;"'!O23:O200")&lt;&gt;"")*(INDIRECT("'"&amp;$B217&amp;"'!H23:H200")=$E$5),1,0)))</f>
        <v>0</v>
      </c>
      <c r="F217" s="565">
        <f t="array" aca="1" ref="F217" ca="1">IF($B217="N","",SUM(IF((INDIRECT("'"&amp;$B217&amp;"'!I23:I200")=$A$2)*(INDIRECT("'"&amp;$B217&amp;"'!O23:O200")=$D217)*(INDIRECT("'"&amp;$B217&amp;"'!O23:O200")&lt;&gt;"")*(INDIRECT("'"&amp;$B217&amp;"'!H23:H200")=$E$5),INDIRECT("'"&amp;$B217&amp;"'!p23:p200"),0)))</f>
        <v>0</v>
      </c>
      <c r="G217" s="564">
        <f t="array" aca="1" ref="G217" ca="1">IF($B217="N","",SUM(IF((INDIRECT("'"&amp;$B217&amp;"'!I23:I200")=$A$2)*(INDIRECT("'"&amp;$B217&amp;"'!O23:O200")=$D217)*(INDIRECT("'"&amp;$B217&amp;"'!O23:O200")&lt;&gt;"")*(INDIRECT("'"&amp;$B217&amp;"'!H23:H200")=$G$5),1,0)))</f>
        <v>0</v>
      </c>
      <c r="H217" s="565">
        <f t="array" aca="1" ref="H217" ca="1">IF($B217="N","",SUM(IF((INDIRECT("'"&amp;$B217&amp;"'!I23:I200")=$A$2)*(INDIRECT("'"&amp;$B217&amp;"'!O23:O200")=$D217)*(INDIRECT("'"&amp;$B217&amp;"'!O23:O200")&lt;&gt;"")*(INDIRECT("'"&amp;$B217&amp;"'!H23:H200")=$G$5),INDIRECT("'"&amp;$B217&amp;"'!p23:p200"),0)))</f>
        <v>0</v>
      </c>
      <c r="I217" s="515">
        <f t="shared" ca="1" si="36"/>
        <v>0</v>
      </c>
      <c r="J217" s="513">
        <f t="shared" ca="1" si="37"/>
        <v>0</v>
      </c>
    </row>
    <row r="218" spans="1:10">
      <c r="B218" s="563" t="str">
        <f t="shared" si="38"/>
        <v>JEF United</v>
      </c>
      <c r="D218" s="528">
        <v>2</v>
      </c>
      <c r="E218" s="564">
        <f t="array" aca="1" ref="E218" ca="1">IF($B218="N","",SUM(IF((INDIRECT("'"&amp;$B218&amp;"'!I23:I200")=$A$2)*(INDIRECT("'"&amp;$B218&amp;"'!O23:O200")=$D218)*(INDIRECT("'"&amp;$B218&amp;"'!O23:O200")&lt;&gt;"")*(INDIRECT("'"&amp;$B218&amp;"'!H23:H200")=$E$5),1,0)))</f>
        <v>0</v>
      </c>
      <c r="F218" s="565">
        <f t="array" aca="1" ref="F218" ca="1">IF($B218="N","",SUM(IF((INDIRECT("'"&amp;$B218&amp;"'!I23:I200")=$A$2)*(INDIRECT("'"&amp;$B218&amp;"'!O23:O200")=$D218)*(INDIRECT("'"&amp;$B218&amp;"'!O23:O200")&lt;&gt;"")*(INDIRECT("'"&amp;$B218&amp;"'!H23:H200")=$E$5),INDIRECT("'"&amp;$B218&amp;"'!p23:p200"),0)))</f>
        <v>0</v>
      </c>
      <c r="G218" s="564">
        <f t="array" aca="1" ref="G218" ca="1">IF($B218="N","",SUM(IF((INDIRECT("'"&amp;$B218&amp;"'!I23:I200")=$A$2)*(INDIRECT("'"&amp;$B218&amp;"'!O23:O200")=$D218)*(INDIRECT("'"&amp;$B218&amp;"'!O23:O200")&lt;&gt;"")*(INDIRECT("'"&amp;$B218&amp;"'!H23:H200")=$G$5),1,0)))</f>
        <v>0</v>
      </c>
      <c r="H218" s="565">
        <f t="array" aca="1" ref="H218" ca="1">IF($B218="N","",SUM(IF((INDIRECT("'"&amp;$B218&amp;"'!I23:I200")=$A$2)*(INDIRECT("'"&amp;$B218&amp;"'!O23:O200")=$D218)*(INDIRECT("'"&amp;$B218&amp;"'!O23:O200")&lt;&gt;"")*(INDIRECT("'"&amp;$B218&amp;"'!H23:H200")=$G$5),INDIRECT("'"&amp;$B218&amp;"'!p23:p200"),0)))</f>
        <v>0</v>
      </c>
      <c r="I218" s="515">
        <f t="shared" ca="1" si="36"/>
        <v>0</v>
      </c>
      <c r="J218" s="513">
        <f t="shared" ca="1" si="37"/>
        <v>0</v>
      </c>
    </row>
    <row r="219" spans="1:10">
      <c r="B219" s="563" t="str">
        <f t="shared" si="38"/>
        <v>JEF United</v>
      </c>
      <c r="D219" s="528">
        <v>2.25</v>
      </c>
      <c r="E219" s="564">
        <f t="array" aca="1" ref="E219" ca="1">IF($B219="N","",SUM(IF((INDIRECT("'"&amp;$B219&amp;"'!I23:I200")=$A$2)*(INDIRECT("'"&amp;$B219&amp;"'!O23:O200")=$D219)*(INDIRECT("'"&amp;$B219&amp;"'!O23:O200")&lt;&gt;"")*(INDIRECT("'"&amp;$B219&amp;"'!H23:H200")=$E$5),1,0)))</f>
        <v>0</v>
      </c>
      <c r="F219" s="565">
        <f t="array" aca="1" ref="F219" ca="1">IF($B219="N","",SUM(IF((INDIRECT("'"&amp;$B219&amp;"'!I23:I200")=$A$2)*(INDIRECT("'"&amp;$B219&amp;"'!O23:O200")=$D219)*(INDIRECT("'"&amp;$B219&amp;"'!O23:O200")&lt;&gt;"")*(INDIRECT("'"&amp;$B219&amp;"'!H23:H200")=$E$5),INDIRECT("'"&amp;$B219&amp;"'!p23:p200"),0)))</f>
        <v>0</v>
      </c>
      <c r="G219" s="564">
        <f t="array" aca="1" ref="G219" ca="1">IF($B219="N","",SUM(IF((INDIRECT("'"&amp;$B219&amp;"'!I23:I200")=$A$2)*(INDIRECT("'"&amp;$B219&amp;"'!O23:O200")=$D219)*(INDIRECT("'"&amp;$B219&amp;"'!O23:O200")&lt;&gt;"")*(INDIRECT("'"&amp;$B219&amp;"'!H23:H200")=$G$5),1,0)))</f>
        <v>0</v>
      </c>
      <c r="H219" s="565">
        <f t="array" aca="1" ref="H219" ca="1">IF($B219="N","",SUM(IF((INDIRECT("'"&amp;$B219&amp;"'!I23:I200")=$A$2)*(INDIRECT("'"&amp;$B219&amp;"'!O23:O200")=$D219)*(INDIRECT("'"&amp;$B219&amp;"'!O23:O200")&lt;&gt;"")*(INDIRECT("'"&amp;$B219&amp;"'!H23:H200")=$G$5),INDIRECT("'"&amp;$B219&amp;"'!p23:p200"),0)))</f>
        <v>0</v>
      </c>
      <c r="I219" s="515">
        <f t="shared" ca="1" si="36"/>
        <v>0</v>
      </c>
      <c r="J219" s="513">
        <f t="shared" ca="1" si="37"/>
        <v>0</v>
      </c>
    </row>
    <row r="220" spans="1:10">
      <c r="B220" s="563" t="str">
        <f t="shared" si="38"/>
        <v>JEF United</v>
      </c>
      <c r="D220" s="528">
        <v>2.5</v>
      </c>
      <c r="E220" s="564">
        <f t="array" aca="1" ref="E220" ca="1">IF($B220="N","",SUM(IF((INDIRECT("'"&amp;$B220&amp;"'!I23:I200")=$A$2)*(INDIRECT("'"&amp;$B220&amp;"'!O23:O200")=$D220)*(INDIRECT("'"&amp;$B220&amp;"'!O23:O200")&lt;&gt;"")*(INDIRECT("'"&amp;$B220&amp;"'!H23:H200")=$E$5),1,0)))</f>
        <v>0</v>
      </c>
      <c r="F220" s="565">
        <f t="array" aca="1" ref="F220" ca="1">IF($B220="N","",SUM(IF((INDIRECT("'"&amp;$B220&amp;"'!I23:I200")=$A$2)*(INDIRECT("'"&amp;$B220&amp;"'!O23:O200")=$D220)*(INDIRECT("'"&amp;$B220&amp;"'!O23:O200")&lt;&gt;"")*(INDIRECT("'"&amp;$B220&amp;"'!H23:H200")=$E$5),INDIRECT("'"&amp;$B220&amp;"'!p23:p200"),0)))</f>
        <v>0</v>
      </c>
      <c r="G220" s="564">
        <f t="array" aca="1" ref="G220" ca="1">IF($B220="N","",SUM(IF((INDIRECT("'"&amp;$B220&amp;"'!I23:I200")=$A$2)*(INDIRECT("'"&amp;$B220&amp;"'!O23:O200")=$D220)*(INDIRECT("'"&amp;$B220&amp;"'!O23:O200")&lt;&gt;"")*(INDIRECT("'"&amp;$B220&amp;"'!H23:H200")=$G$5),1,0)))</f>
        <v>0</v>
      </c>
      <c r="H220" s="565">
        <f t="array" aca="1" ref="H220" ca="1">IF($B220="N","",SUM(IF((INDIRECT("'"&amp;$B220&amp;"'!I23:I200")=$A$2)*(INDIRECT("'"&amp;$B220&amp;"'!O23:O200")=$D220)*(INDIRECT("'"&amp;$B220&amp;"'!O23:O200")&lt;&gt;"")*(INDIRECT("'"&amp;$B220&amp;"'!H23:H200")=$G$5),INDIRECT("'"&amp;$B220&amp;"'!p23:p200"),0)))</f>
        <v>0</v>
      </c>
      <c r="I220" s="515">
        <f t="shared" ca="1" si="36"/>
        <v>0</v>
      </c>
      <c r="J220" s="513">
        <f t="shared" ca="1" si="37"/>
        <v>0</v>
      </c>
    </row>
    <row r="221" spans="1:10" ht="15" thickBot="1">
      <c r="B221" s="563" t="str">
        <f t="shared" si="38"/>
        <v>JEF United</v>
      </c>
      <c r="D221" s="511">
        <v>2.75</v>
      </c>
      <c r="E221" s="564">
        <f t="array" aca="1" ref="E221" ca="1">IF($B221="N","",SUM(IF((INDIRECT("'"&amp;$B221&amp;"'!I23:I200")=$A$2)*(INDIRECT("'"&amp;$B221&amp;"'!O23:O200")=$D221)*(INDIRECT("'"&amp;$B221&amp;"'!O23:O200")&lt;&gt;"")*(INDIRECT("'"&amp;$B221&amp;"'!H23:H200")=$E$5),1,0)))</f>
        <v>0</v>
      </c>
      <c r="F221" s="565">
        <f t="array" aca="1" ref="F221" ca="1">IF($B221="N","",SUM(IF((INDIRECT("'"&amp;$B221&amp;"'!I23:I200")=$A$2)*(INDIRECT("'"&amp;$B221&amp;"'!O23:O200")=$D221)*(INDIRECT("'"&amp;$B221&amp;"'!O23:O200")&lt;&gt;"")*(INDIRECT("'"&amp;$B221&amp;"'!H23:H200")=$E$5),INDIRECT("'"&amp;$B221&amp;"'!p23:p200"),0)))</f>
        <v>0</v>
      </c>
      <c r="G221" s="564">
        <f t="array" aca="1" ref="G221" ca="1">IF($B221="N","",SUM(IF((INDIRECT("'"&amp;$B221&amp;"'!I23:I200")=$A$2)*(INDIRECT("'"&amp;$B221&amp;"'!O23:O200")=$D221)*(INDIRECT("'"&amp;$B221&amp;"'!O23:O200")&lt;&gt;"")*(INDIRECT("'"&amp;$B221&amp;"'!H23:H200")=$G$5),1,0)))</f>
        <v>0</v>
      </c>
      <c r="H221" s="565">
        <f t="array" aca="1" ref="H221" ca="1">IF($B221="N","",SUM(IF((INDIRECT("'"&amp;$B221&amp;"'!I23:I200")=$A$2)*(INDIRECT("'"&amp;$B221&amp;"'!O23:O200")=$D221)*(INDIRECT("'"&amp;$B221&amp;"'!O23:O200")&lt;&gt;"")*(INDIRECT("'"&amp;$B221&amp;"'!H23:H200")=$G$5),INDIRECT("'"&amp;$B221&amp;"'!p23:p200"),0)))</f>
        <v>0</v>
      </c>
      <c r="I221" s="515">
        <f t="shared" ca="1" si="36"/>
        <v>0</v>
      </c>
      <c r="J221" s="513">
        <f t="shared" ca="1" si="37"/>
        <v>0</v>
      </c>
    </row>
    <row r="222" spans="1:10" ht="15" thickBot="1">
      <c r="A222" s="567"/>
      <c r="B222" s="568"/>
      <c r="C222" s="569" t="str">
        <f>D197</f>
        <v>JEF United</v>
      </c>
      <c r="D222" s="570" t="s">
        <v>115</v>
      </c>
      <c r="E222" s="571">
        <f t="shared" ref="E222:J222" ca="1" si="39">SUM(E199:E221)</f>
        <v>21</v>
      </c>
      <c r="F222" s="572">
        <f t="shared" ca="1" si="39"/>
        <v>4.5</v>
      </c>
      <c r="G222" s="571">
        <f t="shared" ca="1" si="39"/>
        <v>22</v>
      </c>
      <c r="H222" s="572">
        <f t="shared" ca="1" si="39"/>
        <v>-7.5</v>
      </c>
      <c r="I222" s="573">
        <f t="shared" ca="1" si="39"/>
        <v>43</v>
      </c>
      <c r="J222" s="572">
        <f t="shared" ca="1" si="39"/>
        <v>-3</v>
      </c>
    </row>
    <row r="223" spans="1:10" ht="15" thickBot="1">
      <c r="A223" s="567"/>
      <c r="C223" s="576"/>
    </row>
    <row r="224" spans="1:10">
      <c r="A224" s="567"/>
      <c r="B224" s="357"/>
      <c r="C224" s="569"/>
      <c r="D224" s="562" t="str">
        <f>K1</f>
        <v>Kamatamare Sanuki</v>
      </c>
      <c r="E224" s="490" t="s">
        <v>80</v>
      </c>
      <c r="F224" s="491"/>
      <c r="G224" s="490" t="s">
        <v>81</v>
      </c>
      <c r="H224" s="491"/>
      <c r="I224" s="490" t="s">
        <v>82</v>
      </c>
      <c r="J224" s="492"/>
    </row>
    <row r="225" spans="2:10" ht="15" thickBot="1">
      <c r="B225" s="357"/>
      <c r="C225" s="357"/>
      <c r="D225" s="499" t="s">
        <v>120</v>
      </c>
      <c r="E225" s="497" t="s">
        <v>123</v>
      </c>
      <c r="F225" s="552" t="s">
        <v>124</v>
      </c>
      <c r="G225" s="497" t="s">
        <v>123</v>
      </c>
      <c r="H225" s="552" t="s">
        <v>124</v>
      </c>
      <c r="I225" s="501" t="s">
        <v>123</v>
      </c>
      <c r="J225" s="552" t="s">
        <v>124</v>
      </c>
    </row>
    <row r="226" spans="2:10">
      <c r="B226" s="563" t="str">
        <f>IF(D224=0,"N",D224)</f>
        <v>Kamatamare Sanuki</v>
      </c>
      <c r="D226" s="511">
        <v>-2.75</v>
      </c>
      <c r="E226" s="564">
        <f t="array" aca="1" ref="E226" ca="1">IF($B226="N","",SUM(IF((INDIRECT("'"&amp;$B226&amp;"'!I23:I200")=$A$2)*(INDIRECT("'"&amp;$B226&amp;"'!O23:O200")=$D226)*(INDIRECT("'"&amp;$B226&amp;"'!O23:O200")&lt;&gt;"")*(INDIRECT("'"&amp;$B226&amp;"'!H23:H200")=$E$5),1,0)))</f>
        <v>0</v>
      </c>
      <c r="F226" s="565">
        <f t="array" aca="1" ref="F226" ca="1">IF($B226="N","",SUM(IF((INDIRECT("'"&amp;$B226&amp;"'!I23:I200")=$A$2)*(INDIRECT("'"&amp;$B226&amp;"'!O23:O200")=$D226)*(INDIRECT("'"&amp;$B226&amp;"'!O23:O200")&lt;&gt;"")*(INDIRECT("'"&amp;$B226&amp;"'!H23:H200")=$E$5),INDIRECT("'"&amp;$B226&amp;"'!p23:p200"),0)))</f>
        <v>0</v>
      </c>
      <c r="G226" s="564">
        <f t="array" aca="1" ref="G226" ca="1">IF($B226="N","",SUM(IF((INDIRECT("'"&amp;$B226&amp;"'!I23:I200")=$A$2)*(INDIRECT("'"&amp;$B226&amp;"'!O23:O200")=$D226)*(INDIRECT("'"&amp;$B226&amp;"'!O23:O200")&lt;&gt;"")*(INDIRECT("'"&amp;$B226&amp;"'!H23:H200")=$G$5),1,0)))</f>
        <v>0</v>
      </c>
      <c r="H226" s="565">
        <f t="array" aca="1" ref="H226" ca="1">IF($B226="N","",SUM(IF((INDIRECT("'"&amp;$B226&amp;"'!I23:I200")=$A$2)*(INDIRECT("'"&amp;$B226&amp;"'!O23:O200")=$D226)*(INDIRECT("'"&amp;$B226&amp;"'!O23:O200")&lt;&gt;"")*(INDIRECT("'"&amp;$B226&amp;"'!H23:H200")=$G$5),INDIRECT("'"&amp;$B226&amp;"'!p23:p200"),0)))</f>
        <v>0</v>
      </c>
      <c r="I226" s="515">
        <f t="shared" ref="I226:I248" ca="1" si="40">IF(B226="N","",G226+E226)</f>
        <v>0</v>
      </c>
      <c r="J226" s="513">
        <f t="shared" ref="J226:J248" ca="1" si="41">IF(I226="","",F226+H226)</f>
        <v>0</v>
      </c>
    </row>
    <row r="227" spans="2:10">
      <c r="B227" s="563" t="str">
        <f>B226</f>
        <v>Kamatamare Sanuki</v>
      </c>
      <c r="D227" s="520">
        <v>-2.5</v>
      </c>
      <c r="E227" s="564">
        <f t="array" aca="1" ref="E227" ca="1">IF($B227="N","",SUM(IF((INDIRECT("'"&amp;$B227&amp;"'!I23:I200")=$A$2)*(INDIRECT("'"&amp;$B227&amp;"'!O23:O200")=$D227)*(INDIRECT("'"&amp;$B227&amp;"'!O23:O200")&lt;&gt;"")*(INDIRECT("'"&amp;$B227&amp;"'!H23:H200")=$E$5),1,0)))</f>
        <v>0</v>
      </c>
      <c r="F227" s="565">
        <f t="array" aca="1" ref="F227" ca="1">IF($B227="N","",SUM(IF((INDIRECT("'"&amp;$B227&amp;"'!I23:I200")=$A$2)*(INDIRECT("'"&amp;$B227&amp;"'!O23:O200")=$D227)*(INDIRECT("'"&amp;$B227&amp;"'!O23:O200")&lt;&gt;"")*(INDIRECT("'"&amp;$B227&amp;"'!H23:H200")=$E$5),INDIRECT("'"&amp;$B227&amp;"'!p23:p200"),0)))</f>
        <v>0</v>
      </c>
      <c r="G227" s="564">
        <f t="array" aca="1" ref="G227" ca="1">IF($B227="N","",SUM(IF((INDIRECT("'"&amp;$B227&amp;"'!I23:I200")=$A$2)*(INDIRECT("'"&amp;$B227&amp;"'!O23:O200")=$D227)*(INDIRECT("'"&amp;$B227&amp;"'!O23:O200")&lt;&gt;"")*(INDIRECT("'"&amp;$B227&amp;"'!H23:H200")=$G$5),1,0)))</f>
        <v>0</v>
      </c>
      <c r="H227" s="565">
        <f t="array" aca="1" ref="H227" ca="1">IF($B227="N","",SUM(IF((INDIRECT("'"&amp;$B227&amp;"'!I23:I200")=$A$2)*(INDIRECT("'"&amp;$B227&amp;"'!O23:O200")=$D227)*(INDIRECT("'"&amp;$B227&amp;"'!O23:O200")&lt;&gt;"")*(INDIRECT("'"&amp;$B227&amp;"'!H23:H200")=$G$5),INDIRECT("'"&amp;$B227&amp;"'!p23:p200"),0)))</f>
        <v>0</v>
      </c>
      <c r="I227" s="515">
        <f t="shared" ca="1" si="40"/>
        <v>0</v>
      </c>
      <c r="J227" s="513">
        <f t="shared" ca="1" si="41"/>
        <v>0</v>
      </c>
    </row>
    <row r="228" spans="2:10">
      <c r="B228" s="563" t="str">
        <f t="shared" ref="B228:B248" si="42">B227</f>
        <v>Kamatamare Sanuki</v>
      </c>
      <c r="D228" s="520">
        <v>-2.25</v>
      </c>
      <c r="E228" s="564">
        <f t="array" aca="1" ref="E228" ca="1">IF($B228="N","",SUM(IF((INDIRECT("'"&amp;$B228&amp;"'!I23:I200")=$A$2)*(INDIRECT("'"&amp;$B228&amp;"'!O23:O200")=$D228)*(INDIRECT("'"&amp;$B228&amp;"'!O23:O200")&lt;&gt;"")*(INDIRECT("'"&amp;$B228&amp;"'!H23:H200")=$E$5),1,0)))</f>
        <v>0</v>
      </c>
      <c r="F228" s="565">
        <f t="array" aca="1" ref="F228" ca="1">IF($B228="N","",SUM(IF((INDIRECT("'"&amp;$B228&amp;"'!I23:I200")=$A$2)*(INDIRECT("'"&amp;$B228&amp;"'!O23:O200")=$D228)*(INDIRECT("'"&amp;$B228&amp;"'!O23:O200")&lt;&gt;"")*(INDIRECT("'"&amp;$B228&amp;"'!H23:H200")=$E$5),INDIRECT("'"&amp;$B228&amp;"'!p23:p200"),0)))</f>
        <v>0</v>
      </c>
      <c r="G228" s="564">
        <f t="array" aca="1" ref="G228" ca="1">IF($B228="N","",SUM(IF((INDIRECT("'"&amp;$B228&amp;"'!I23:I200")=$A$2)*(INDIRECT("'"&amp;$B228&amp;"'!O23:O200")=$D228)*(INDIRECT("'"&amp;$B228&amp;"'!O23:O200")&lt;&gt;"")*(INDIRECT("'"&amp;$B228&amp;"'!H23:H200")=$G$5),1,0)))</f>
        <v>0</v>
      </c>
      <c r="H228" s="565">
        <f t="array" aca="1" ref="H228" ca="1">IF($B228="N","",SUM(IF((INDIRECT("'"&amp;$B228&amp;"'!I23:I200")=$A$2)*(INDIRECT("'"&amp;$B228&amp;"'!O23:O200")=$D228)*(INDIRECT("'"&amp;$B228&amp;"'!O23:O200")&lt;&gt;"")*(INDIRECT("'"&amp;$B228&amp;"'!H23:H200")=$G$5),INDIRECT("'"&amp;$B228&amp;"'!p23:p200"),0)))</f>
        <v>0</v>
      </c>
      <c r="I228" s="515">
        <f t="shared" ca="1" si="40"/>
        <v>0</v>
      </c>
      <c r="J228" s="513">
        <f t="shared" ca="1" si="41"/>
        <v>0</v>
      </c>
    </row>
    <row r="229" spans="2:10">
      <c r="B229" s="563" t="str">
        <f t="shared" si="42"/>
        <v>Kamatamare Sanuki</v>
      </c>
      <c r="D229" s="520">
        <v>-2</v>
      </c>
      <c r="E229" s="564">
        <f t="array" aca="1" ref="E229" ca="1">IF($B229="N","",SUM(IF((INDIRECT("'"&amp;$B229&amp;"'!I23:I200")=$A$2)*(INDIRECT("'"&amp;$B229&amp;"'!O23:O200")=$D229)*(INDIRECT("'"&amp;$B229&amp;"'!O23:O200")&lt;&gt;"")*(INDIRECT("'"&amp;$B229&amp;"'!H23:H200")=$E$5),1,0)))</f>
        <v>0</v>
      </c>
      <c r="F229" s="565">
        <f t="array" aca="1" ref="F229" ca="1">IF($B229="N","",SUM(IF((INDIRECT("'"&amp;$B229&amp;"'!I23:I200")=$A$2)*(INDIRECT("'"&amp;$B229&amp;"'!O23:O200")=$D229)*(INDIRECT("'"&amp;$B229&amp;"'!O23:O200")&lt;&gt;"")*(INDIRECT("'"&amp;$B229&amp;"'!H23:H200")=$E$5),INDIRECT("'"&amp;$B229&amp;"'!p23:p200"),0)))</f>
        <v>0</v>
      </c>
      <c r="G229" s="564">
        <f t="array" aca="1" ref="G229" ca="1">IF($B229="N","",SUM(IF((INDIRECT("'"&amp;$B229&amp;"'!I23:I200")=$A$2)*(INDIRECT("'"&amp;$B229&amp;"'!O23:O200")=$D229)*(INDIRECT("'"&amp;$B229&amp;"'!O23:O200")&lt;&gt;"")*(INDIRECT("'"&amp;$B229&amp;"'!H23:H200")=$G$5),1,0)))</f>
        <v>0</v>
      </c>
      <c r="H229" s="565">
        <f t="array" aca="1" ref="H229" ca="1">IF($B229="N","",SUM(IF((INDIRECT("'"&amp;$B229&amp;"'!I23:I200")=$A$2)*(INDIRECT("'"&amp;$B229&amp;"'!O23:O200")=$D229)*(INDIRECT("'"&amp;$B229&amp;"'!O23:O200")&lt;&gt;"")*(INDIRECT("'"&amp;$B229&amp;"'!H23:H200")=$G$5),INDIRECT("'"&amp;$B229&amp;"'!p23:p200"),0)))</f>
        <v>0</v>
      </c>
      <c r="I229" s="515">
        <f t="shared" ca="1" si="40"/>
        <v>0</v>
      </c>
      <c r="J229" s="513">
        <f t="shared" ca="1" si="41"/>
        <v>0</v>
      </c>
    </row>
    <row r="230" spans="2:10">
      <c r="B230" s="563" t="str">
        <f t="shared" si="42"/>
        <v>Kamatamare Sanuki</v>
      </c>
      <c r="D230" s="520">
        <v>-1.75</v>
      </c>
      <c r="E230" s="564">
        <f t="array" aca="1" ref="E230" ca="1">IF($B230="N","",SUM(IF((INDIRECT("'"&amp;$B230&amp;"'!I23:I200")=$A$2)*(INDIRECT("'"&amp;$B230&amp;"'!O23:O200")=$D230)*(INDIRECT("'"&amp;$B230&amp;"'!O23:O200")&lt;&gt;"")*(INDIRECT("'"&amp;$B230&amp;"'!H23:H200")=$E$5),1,0)))</f>
        <v>0</v>
      </c>
      <c r="F230" s="565">
        <f t="array" aca="1" ref="F230" ca="1">IF($B230="N","",SUM(IF((INDIRECT("'"&amp;$B230&amp;"'!I23:I200")=$A$2)*(INDIRECT("'"&amp;$B230&amp;"'!O23:O200")=$D230)*(INDIRECT("'"&amp;$B230&amp;"'!O23:O200")&lt;&gt;"")*(INDIRECT("'"&amp;$B230&amp;"'!H23:H200")=$E$5),INDIRECT("'"&amp;$B230&amp;"'!p23:p200"),0)))</f>
        <v>0</v>
      </c>
      <c r="G230" s="564">
        <f t="array" aca="1" ref="G230" ca="1">IF($B230="N","",SUM(IF((INDIRECT("'"&amp;$B230&amp;"'!I23:I200")=$A$2)*(INDIRECT("'"&amp;$B230&amp;"'!O23:O200")=$D230)*(INDIRECT("'"&amp;$B230&amp;"'!O23:O200")&lt;&gt;"")*(INDIRECT("'"&amp;$B230&amp;"'!H23:H200")=$G$5),1,0)))</f>
        <v>0</v>
      </c>
      <c r="H230" s="565">
        <f t="array" aca="1" ref="H230" ca="1">IF($B230="N","",SUM(IF((INDIRECT("'"&amp;$B230&amp;"'!I23:I200")=$A$2)*(INDIRECT("'"&amp;$B230&amp;"'!O23:O200")=$D230)*(INDIRECT("'"&amp;$B230&amp;"'!O23:O200")&lt;&gt;"")*(INDIRECT("'"&amp;$B230&amp;"'!H23:H200")=$G$5),INDIRECT("'"&amp;$B230&amp;"'!p23:p200"),0)))</f>
        <v>0</v>
      </c>
      <c r="I230" s="515">
        <f t="shared" ca="1" si="40"/>
        <v>0</v>
      </c>
      <c r="J230" s="513">
        <f t="shared" ca="1" si="41"/>
        <v>0</v>
      </c>
    </row>
    <row r="231" spans="2:10">
      <c r="B231" s="563" t="str">
        <f t="shared" si="42"/>
        <v>Kamatamare Sanuki</v>
      </c>
      <c r="D231" s="511">
        <v>-1.5</v>
      </c>
      <c r="E231" s="564">
        <f t="array" aca="1" ref="E231" ca="1">IF($B231="N","",SUM(IF((INDIRECT("'"&amp;$B231&amp;"'!I23:I200")=$A$2)*(INDIRECT("'"&amp;$B231&amp;"'!O23:O200")=$D231)*(INDIRECT("'"&amp;$B231&amp;"'!O23:O200")&lt;&gt;"")*(INDIRECT("'"&amp;$B231&amp;"'!H23:H200")=$E$5),1,0)))</f>
        <v>0</v>
      </c>
      <c r="F231" s="565">
        <f t="array" aca="1" ref="F231" ca="1">IF($B231="N","",SUM(IF((INDIRECT("'"&amp;$B231&amp;"'!I23:I200")=$A$2)*(INDIRECT("'"&amp;$B231&amp;"'!O23:O200")=$D231)*(INDIRECT("'"&amp;$B231&amp;"'!O23:O200")&lt;&gt;"")*(INDIRECT("'"&amp;$B231&amp;"'!H23:H200")=$E$5),INDIRECT("'"&amp;$B231&amp;"'!p23:p200"),0)))</f>
        <v>0</v>
      </c>
      <c r="G231" s="564">
        <f t="array" aca="1" ref="G231" ca="1">IF($B231="N","",SUM(IF((INDIRECT("'"&amp;$B231&amp;"'!I23:I200")=$A$2)*(INDIRECT("'"&amp;$B231&amp;"'!O23:O200")=$D231)*(INDIRECT("'"&amp;$B231&amp;"'!O23:O200")&lt;&gt;"")*(INDIRECT("'"&amp;$B231&amp;"'!H23:H200")=$G$5),1,0)))</f>
        <v>0</v>
      </c>
      <c r="H231" s="565">
        <f t="array" aca="1" ref="H231" ca="1">IF($B231="N","",SUM(IF((INDIRECT("'"&amp;$B231&amp;"'!I23:I200")=$A$2)*(INDIRECT("'"&amp;$B231&amp;"'!O23:O200")=$D231)*(INDIRECT("'"&amp;$B231&amp;"'!O23:O200")&lt;&gt;"")*(INDIRECT("'"&amp;$B231&amp;"'!H23:H200")=$G$5),INDIRECT("'"&amp;$B231&amp;"'!p23:p200"),0)))</f>
        <v>0</v>
      </c>
      <c r="I231" s="515">
        <f t="shared" ca="1" si="40"/>
        <v>0</v>
      </c>
      <c r="J231" s="513">
        <f t="shared" ca="1" si="41"/>
        <v>0</v>
      </c>
    </row>
    <row r="232" spans="2:10">
      <c r="B232" s="563" t="str">
        <f t="shared" si="42"/>
        <v>Kamatamare Sanuki</v>
      </c>
      <c r="D232" s="511">
        <v>-1.25</v>
      </c>
      <c r="E232" s="564">
        <f t="array" aca="1" ref="E232" ca="1">IF($B232="N","",SUM(IF((INDIRECT("'"&amp;$B232&amp;"'!I23:I200")=$A$2)*(INDIRECT("'"&amp;$B232&amp;"'!O23:O200")=$D232)*(INDIRECT("'"&amp;$B232&amp;"'!O23:O200")&lt;&gt;"")*(INDIRECT("'"&amp;$B232&amp;"'!H23:H200")=$E$5),1,0)))</f>
        <v>0</v>
      </c>
      <c r="F232" s="565">
        <f t="array" aca="1" ref="F232" ca="1">IF($B232="N","",SUM(IF((INDIRECT("'"&amp;$B232&amp;"'!I23:I200")=$A$2)*(INDIRECT("'"&amp;$B232&amp;"'!O23:O200")=$D232)*(INDIRECT("'"&amp;$B232&amp;"'!O23:O200")&lt;&gt;"")*(INDIRECT("'"&amp;$B232&amp;"'!H23:H200")=$E$5),INDIRECT("'"&amp;$B232&amp;"'!p23:p200"),0)))</f>
        <v>0</v>
      </c>
      <c r="G232" s="564">
        <f t="array" aca="1" ref="G232" ca="1">IF($B232="N","",SUM(IF((INDIRECT("'"&amp;$B232&amp;"'!I23:I200")=$A$2)*(INDIRECT("'"&amp;$B232&amp;"'!O23:O200")=$D232)*(INDIRECT("'"&amp;$B232&amp;"'!O23:O200")&lt;&gt;"")*(INDIRECT("'"&amp;$B232&amp;"'!H23:H200")=$G$5),1,0)))</f>
        <v>0</v>
      </c>
      <c r="H232" s="565">
        <f t="array" aca="1" ref="H232" ca="1">IF($B232="N","",SUM(IF((INDIRECT("'"&amp;$B232&amp;"'!I23:I200")=$A$2)*(INDIRECT("'"&amp;$B232&amp;"'!O23:O200")=$D232)*(INDIRECT("'"&amp;$B232&amp;"'!O23:O200")&lt;&gt;"")*(INDIRECT("'"&amp;$B232&amp;"'!H23:H200")=$G$5),INDIRECT("'"&amp;$B232&amp;"'!p23:p200"),0)))</f>
        <v>0</v>
      </c>
      <c r="I232" s="515">
        <f t="shared" ca="1" si="40"/>
        <v>0</v>
      </c>
      <c r="J232" s="513">
        <f t="shared" ca="1" si="41"/>
        <v>0</v>
      </c>
    </row>
    <row r="233" spans="2:10">
      <c r="B233" s="563" t="str">
        <f t="shared" si="42"/>
        <v>Kamatamare Sanuki</v>
      </c>
      <c r="D233" s="511">
        <v>-1</v>
      </c>
      <c r="E233" s="564">
        <f t="array" aca="1" ref="E233" ca="1">IF($B233="N","",SUM(IF((INDIRECT("'"&amp;$B233&amp;"'!I23:I200")=$A$2)*(INDIRECT("'"&amp;$B233&amp;"'!O23:O200")=$D233)*(INDIRECT("'"&amp;$B233&amp;"'!O23:O200")&lt;&gt;"")*(INDIRECT("'"&amp;$B233&amp;"'!H23:H200")=$E$5),1,0)))</f>
        <v>0</v>
      </c>
      <c r="F233" s="565">
        <f t="array" aca="1" ref="F233" ca="1">IF($B233="N","",SUM(IF((INDIRECT("'"&amp;$B233&amp;"'!I23:I200")=$A$2)*(INDIRECT("'"&amp;$B233&amp;"'!O23:O200")=$D233)*(INDIRECT("'"&amp;$B233&amp;"'!O23:O200")&lt;&gt;"")*(INDIRECT("'"&amp;$B233&amp;"'!H23:H200")=$E$5),INDIRECT("'"&amp;$B233&amp;"'!p23:p200"),0)))</f>
        <v>0</v>
      </c>
      <c r="G233" s="564">
        <f t="array" aca="1" ref="G233" ca="1">IF($B233="N","",SUM(IF((INDIRECT("'"&amp;$B233&amp;"'!I23:I200")=$A$2)*(INDIRECT("'"&amp;$B233&amp;"'!O23:O200")=$D233)*(INDIRECT("'"&amp;$B233&amp;"'!O23:O200")&lt;&gt;"")*(INDIRECT("'"&amp;$B233&amp;"'!H23:H200")=$G$5),1,0)))</f>
        <v>0</v>
      </c>
      <c r="H233" s="565">
        <f t="array" aca="1" ref="H233" ca="1">IF($B233="N","",SUM(IF((INDIRECT("'"&amp;$B233&amp;"'!I23:I200")=$A$2)*(INDIRECT("'"&amp;$B233&amp;"'!O23:O200")=$D233)*(INDIRECT("'"&amp;$B233&amp;"'!O23:O200")&lt;&gt;"")*(INDIRECT("'"&amp;$B233&amp;"'!H23:H200")=$G$5),INDIRECT("'"&amp;$B233&amp;"'!p23:p200"),0)))</f>
        <v>0</v>
      </c>
      <c r="I233" s="515">
        <f t="shared" ca="1" si="40"/>
        <v>0</v>
      </c>
      <c r="J233" s="513">
        <f t="shared" ca="1" si="41"/>
        <v>0</v>
      </c>
    </row>
    <row r="234" spans="2:10">
      <c r="B234" s="563" t="str">
        <f t="shared" si="42"/>
        <v>Kamatamare Sanuki</v>
      </c>
      <c r="D234" s="511">
        <v>-0.75</v>
      </c>
      <c r="E234" s="564">
        <f t="array" aca="1" ref="E234" ca="1">IF($B234="N","",SUM(IF((INDIRECT("'"&amp;$B234&amp;"'!I23:I200")=$A$2)*(INDIRECT("'"&amp;$B234&amp;"'!O23:O200")=$D234)*(INDIRECT("'"&amp;$B234&amp;"'!O23:O200")&lt;&gt;"")*(INDIRECT("'"&amp;$B234&amp;"'!H23:H200")=$E$5),1,0)))</f>
        <v>0</v>
      </c>
      <c r="F234" s="565">
        <f t="array" aca="1" ref="F234" ca="1">IF($B234="N","",SUM(IF((INDIRECT("'"&amp;$B234&amp;"'!I23:I200")=$A$2)*(INDIRECT("'"&amp;$B234&amp;"'!O23:O200")=$D234)*(INDIRECT("'"&amp;$B234&amp;"'!O23:O200")&lt;&gt;"")*(INDIRECT("'"&amp;$B234&amp;"'!H23:H200")=$E$5),INDIRECT("'"&amp;$B234&amp;"'!p23:p200"),0)))</f>
        <v>0</v>
      </c>
      <c r="G234" s="564">
        <f t="array" aca="1" ref="G234" ca="1">IF($B234="N","",SUM(IF((INDIRECT("'"&amp;$B234&amp;"'!I23:I200")=$A$2)*(INDIRECT("'"&amp;$B234&amp;"'!O23:O200")=$D234)*(INDIRECT("'"&amp;$B234&amp;"'!O23:O200")&lt;&gt;"")*(INDIRECT("'"&amp;$B234&amp;"'!H23:H200")=$G$5),1,0)))</f>
        <v>0</v>
      </c>
      <c r="H234" s="565">
        <f t="array" aca="1" ref="H234" ca="1">IF($B234="N","",SUM(IF((INDIRECT("'"&amp;$B234&amp;"'!I23:I200")=$A$2)*(INDIRECT("'"&amp;$B234&amp;"'!O23:O200")=$D234)*(INDIRECT("'"&amp;$B234&amp;"'!O23:O200")&lt;&gt;"")*(INDIRECT("'"&amp;$B234&amp;"'!H23:H200")=$G$5),INDIRECT("'"&amp;$B234&amp;"'!p23:p200"),0)))</f>
        <v>0</v>
      </c>
      <c r="I234" s="515">
        <f t="shared" ca="1" si="40"/>
        <v>0</v>
      </c>
      <c r="J234" s="513">
        <f t="shared" ca="1" si="41"/>
        <v>0</v>
      </c>
    </row>
    <row r="235" spans="2:10">
      <c r="B235" s="563" t="str">
        <f t="shared" si="42"/>
        <v>Kamatamare Sanuki</v>
      </c>
      <c r="D235" s="511">
        <v>-0.5</v>
      </c>
      <c r="E235" s="564">
        <f t="array" aca="1" ref="E235" ca="1">IF($B235="N","",SUM(IF((INDIRECT("'"&amp;$B235&amp;"'!I23:I200")=$A$2)*(INDIRECT("'"&amp;$B235&amp;"'!O23:O200")=$D235)*(INDIRECT("'"&amp;$B235&amp;"'!O23:O200")&lt;&gt;"")*(INDIRECT("'"&amp;$B235&amp;"'!H23:H200")=$E$5),1,0)))</f>
        <v>0</v>
      </c>
      <c r="F235" s="565">
        <f t="array" aca="1" ref="F235" ca="1">IF($B235="N","",SUM(IF((INDIRECT("'"&amp;$B235&amp;"'!I23:I200")=$A$2)*(INDIRECT("'"&amp;$B235&amp;"'!O23:O200")=$D235)*(INDIRECT("'"&amp;$B235&amp;"'!O23:O200")&lt;&gt;"")*(INDIRECT("'"&amp;$B235&amp;"'!H23:H200")=$E$5),INDIRECT("'"&amp;$B235&amp;"'!p23:p200"),0)))</f>
        <v>0</v>
      </c>
      <c r="G235" s="564">
        <f t="array" aca="1" ref="G235" ca="1">IF($B235="N","",SUM(IF((INDIRECT("'"&amp;$B235&amp;"'!I23:I200")=$A$2)*(INDIRECT("'"&amp;$B235&amp;"'!O23:O200")=$D235)*(INDIRECT("'"&amp;$B235&amp;"'!O23:O200")&lt;&gt;"")*(INDIRECT("'"&amp;$B235&amp;"'!H23:H200")=$G$5),1,0)))</f>
        <v>0</v>
      </c>
      <c r="H235" s="565">
        <f t="array" aca="1" ref="H235" ca="1">IF($B235="N","",SUM(IF((INDIRECT("'"&amp;$B235&amp;"'!I23:I200")=$A$2)*(INDIRECT("'"&amp;$B235&amp;"'!O23:O200")=$D235)*(INDIRECT("'"&amp;$B235&amp;"'!O23:O200")&lt;&gt;"")*(INDIRECT("'"&amp;$B235&amp;"'!H23:H200")=$G$5),INDIRECT("'"&amp;$B235&amp;"'!p23:p200"),0)))</f>
        <v>0</v>
      </c>
      <c r="I235" s="515">
        <f t="shared" ca="1" si="40"/>
        <v>0</v>
      </c>
      <c r="J235" s="513">
        <f t="shared" ca="1" si="41"/>
        <v>0</v>
      </c>
    </row>
    <row r="236" spans="2:10">
      <c r="B236" s="563" t="str">
        <f t="shared" si="42"/>
        <v>Kamatamare Sanuki</v>
      </c>
      <c r="D236" s="511">
        <v>-0.25</v>
      </c>
      <c r="E236" s="564">
        <f t="array" aca="1" ref="E236" ca="1">IF($B236="N","",SUM(IF((INDIRECT("'"&amp;$B236&amp;"'!I23:I200")=$A$2)*(INDIRECT("'"&amp;$B236&amp;"'!O23:O200")=$D236)*(INDIRECT("'"&amp;$B236&amp;"'!O23:O200")&lt;&gt;"")*(INDIRECT("'"&amp;$B236&amp;"'!H23:H200")=$E$5),1,0)))</f>
        <v>3</v>
      </c>
      <c r="F236" s="565">
        <f t="array" aca="1" ref="F236" ca="1">IF($B236="N","",SUM(IF((INDIRECT("'"&amp;$B236&amp;"'!I23:I200")=$A$2)*(INDIRECT("'"&amp;$B236&amp;"'!O23:O200")=$D236)*(INDIRECT("'"&amp;$B236&amp;"'!O23:O200")&lt;&gt;"")*(INDIRECT("'"&amp;$B236&amp;"'!H23:H200")=$E$5),INDIRECT("'"&amp;$B236&amp;"'!p23:p200"),0)))</f>
        <v>-0.5</v>
      </c>
      <c r="G236" s="564">
        <f t="array" aca="1" ref="G236" ca="1">IF($B236="N","",SUM(IF((INDIRECT("'"&amp;$B236&amp;"'!I23:I200")=$A$2)*(INDIRECT("'"&amp;$B236&amp;"'!O23:O200")=$D236)*(INDIRECT("'"&amp;$B236&amp;"'!O23:O200")&lt;&gt;"")*(INDIRECT("'"&amp;$B236&amp;"'!H23:H200")=$G$5),1,0)))</f>
        <v>1</v>
      </c>
      <c r="H236" s="565">
        <f t="array" aca="1" ref="H236" ca="1">IF($B236="N","",SUM(IF((INDIRECT("'"&amp;$B236&amp;"'!I23:I200")=$A$2)*(INDIRECT("'"&amp;$B236&amp;"'!O23:O200")=$D236)*(INDIRECT("'"&amp;$B236&amp;"'!O23:O200")&lt;&gt;"")*(INDIRECT("'"&amp;$B236&amp;"'!H23:H200")=$G$5),INDIRECT("'"&amp;$B236&amp;"'!p23:p200"),0)))</f>
        <v>1</v>
      </c>
      <c r="I236" s="515">
        <f t="shared" ca="1" si="40"/>
        <v>4</v>
      </c>
      <c r="J236" s="513">
        <f t="shared" ca="1" si="41"/>
        <v>0.5</v>
      </c>
    </row>
    <row r="237" spans="2:10">
      <c r="B237" s="563" t="str">
        <f t="shared" si="42"/>
        <v>Kamatamare Sanuki</v>
      </c>
      <c r="D237" s="511">
        <v>0</v>
      </c>
      <c r="E237" s="564">
        <f t="array" aca="1" ref="E237" ca="1">IF($B237="N","",SUM(IF((INDIRECT("'"&amp;$B237&amp;"'!I23:I200")=$A$2)*(INDIRECT("'"&amp;$B237&amp;"'!O23:O200")=$D237)*(INDIRECT("'"&amp;$B237&amp;"'!O23:O200")&lt;&gt;"")*(INDIRECT("'"&amp;$B237&amp;"'!H23:H200")=$E$5),1,0)))</f>
        <v>4</v>
      </c>
      <c r="F237" s="565">
        <f t="array" aca="1" ref="F237" ca="1">IF($B237="N","",SUM(IF((INDIRECT("'"&amp;$B237&amp;"'!I23:I200")=$A$2)*(INDIRECT("'"&amp;$B237&amp;"'!O23:O200")=$D237)*(INDIRECT("'"&amp;$B237&amp;"'!O23:O200")&lt;&gt;"")*(INDIRECT("'"&amp;$B237&amp;"'!H23:H200")=$E$5),INDIRECT("'"&amp;$B237&amp;"'!p23:p200"),0)))</f>
        <v>0</v>
      </c>
      <c r="G237" s="564">
        <f t="array" aca="1" ref="G237" ca="1">IF($B237="N","",SUM(IF((INDIRECT("'"&amp;$B237&amp;"'!I23:I200")=$A$2)*(INDIRECT("'"&amp;$B237&amp;"'!O23:O200")=$D237)*(INDIRECT("'"&amp;$B237&amp;"'!O23:O200")&lt;&gt;"")*(INDIRECT("'"&amp;$B237&amp;"'!H23:H200")=$G$5),1,0)))</f>
        <v>2</v>
      </c>
      <c r="H237" s="565">
        <f t="array" aca="1" ref="H237" ca="1">IF($B237="N","",SUM(IF((INDIRECT("'"&amp;$B237&amp;"'!I23:I200")=$A$2)*(INDIRECT("'"&amp;$B237&amp;"'!O23:O200")=$D237)*(INDIRECT("'"&amp;$B237&amp;"'!O23:O200")&lt;&gt;"")*(INDIRECT("'"&amp;$B237&amp;"'!H23:H200")=$G$5),INDIRECT("'"&amp;$B237&amp;"'!p23:p200"),0)))</f>
        <v>0</v>
      </c>
      <c r="I237" s="515">
        <f t="shared" ca="1" si="40"/>
        <v>6</v>
      </c>
      <c r="J237" s="513">
        <f t="shared" ca="1" si="41"/>
        <v>0</v>
      </c>
    </row>
    <row r="238" spans="2:10">
      <c r="B238" s="563" t="str">
        <f t="shared" si="42"/>
        <v>Kamatamare Sanuki</v>
      </c>
      <c r="D238" s="511">
        <v>0.25</v>
      </c>
      <c r="E238" s="564">
        <f t="array" aca="1" ref="E238" ca="1">IF($B238="N","",SUM(IF((INDIRECT("'"&amp;$B238&amp;"'!I23:I200")=$A$2)*(INDIRECT("'"&amp;$B238&amp;"'!O23:O200")=$D238)*(INDIRECT("'"&amp;$B238&amp;"'!O23:O200")&lt;&gt;"")*(INDIRECT("'"&amp;$B238&amp;"'!H23:H200")=$E$5),1,0)))</f>
        <v>8</v>
      </c>
      <c r="F238" s="565">
        <f t="array" aca="1" ref="F238" ca="1">IF($B238="N","",SUM(IF((INDIRECT("'"&amp;$B238&amp;"'!I23:I200")=$A$2)*(INDIRECT("'"&amp;$B238&amp;"'!O23:O200")=$D238)*(INDIRECT("'"&amp;$B238&amp;"'!O23:O200")&lt;&gt;"")*(INDIRECT("'"&amp;$B238&amp;"'!H23:H200")=$E$5),INDIRECT("'"&amp;$B238&amp;"'!p23:p200"),0)))</f>
        <v>-1.5</v>
      </c>
      <c r="G238" s="564">
        <f t="array" aca="1" ref="G238" ca="1">IF($B238="N","",SUM(IF((INDIRECT("'"&amp;$B238&amp;"'!I23:I200")=$A$2)*(INDIRECT("'"&amp;$B238&amp;"'!O23:O200")=$D238)*(INDIRECT("'"&amp;$B238&amp;"'!O23:O200")&lt;&gt;"")*(INDIRECT("'"&amp;$B238&amp;"'!H23:H200")=$G$5),1,0)))</f>
        <v>6</v>
      </c>
      <c r="H238" s="565">
        <f t="array" aca="1" ref="H238" ca="1">IF($B238="N","",SUM(IF((INDIRECT("'"&amp;$B238&amp;"'!I23:I200")=$A$2)*(INDIRECT("'"&amp;$B238&amp;"'!O23:O200")=$D238)*(INDIRECT("'"&amp;$B238&amp;"'!O23:O200")&lt;&gt;"")*(INDIRECT("'"&amp;$B238&amp;"'!H23:H200")=$G$5),INDIRECT("'"&amp;$B238&amp;"'!p23:p200"),0)))</f>
        <v>-0.5</v>
      </c>
      <c r="I238" s="515">
        <f t="shared" ca="1" si="40"/>
        <v>14</v>
      </c>
      <c r="J238" s="513">
        <f t="shared" ca="1" si="41"/>
        <v>-2</v>
      </c>
    </row>
    <row r="239" spans="2:10">
      <c r="B239" s="563" t="str">
        <f t="shared" si="42"/>
        <v>Kamatamare Sanuki</v>
      </c>
      <c r="D239" s="511">
        <v>0.5</v>
      </c>
      <c r="E239" s="564">
        <f t="array" aca="1" ref="E239" ca="1">IF($B239="N","",SUM(IF((INDIRECT("'"&amp;$B239&amp;"'!I23:I200")=$A$2)*(INDIRECT("'"&amp;$B239&amp;"'!O23:O200")=$D239)*(INDIRECT("'"&amp;$B239&amp;"'!O23:O200")&lt;&gt;"")*(INDIRECT("'"&amp;$B239&amp;"'!H23:H200")=$E$5),1,0)))</f>
        <v>3</v>
      </c>
      <c r="F239" s="565">
        <f t="array" aca="1" ref="F239" ca="1">IF($B239="N","",SUM(IF((INDIRECT("'"&amp;$B239&amp;"'!I23:I200")=$A$2)*(INDIRECT("'"&amp;$B239&amp;"'!O23:O200")=$D239)*(INDIRECT("'"&amp;$B239&amp;"'!O23:O200")&lt;&gt;"")*(INDIRECT("'"&amp;$B239&amp;"'!H23:H200")=$E$5),INDIRECT("'"&amp;$B239&amp;"'!p23:p200"),0)))</f>
        <v>3</v>
      </c>
      <c r="G239" s="564">
        <f t="array" aca="1" ref="G239" ca="1">IF($B239="N","",SUM(IF((INDIRECT("'"&amp;$B239&amp;"'!I23:I200")=$A$2)*(INDIRECT("'"&amp;$B239&amp;"'!O23:O200")=$D239)*(INDIRECT("'"&amp;$B239&amp;"'!O23:O200")&lt;&gt;"")*(INDIRECT("'"&amp;$B239&amp;"'!H23:H200")=$G$5),1,0)))</f>
        <v>2</v>
      </c>
      <c r="H239" s="565">
        <f t="array" aca="1" ref="H239" ca="1">IF($B239="N","",SUM(IF((INDIRECT("'"&amp;$B239&amp;"'!I23:I200")=$A$2)*(INDIRECT("'"&amp;$B239&amp;"'!O23:O200")=$D239)*(INDIRECT("'"&amp;$B239&amp;"'!O23:O200")&lt;&gt;"")*(INDIRECT("'"&amp;$B239&amp;"'!H23:H200")=$G$5),INDIRECT("'"&amp;$B239&amp;"'!p23:p200"),0)))</f>
        <v>-2</v>
      </c>
      <c r="I239" s="515">
        <f t="shared" ca="1" si="40"/>
        <v>5</v>
      </c>
      <c r="J239" s="513">
        <f t="shared" ca="1" si="41"/>
        <v>1</v>
      </c>
    </row>
    <row r="240" spans="2:10">
      <c r="B240" s="563" t="str">
        <f t="shared" si="42"/>
        <v>Kamatamare Sanuki</v>
      </c>
      <c r="D240" s="511">
        <v>0.75</v>
      </c>
      <c r="E240" s="564">
        <f t="array" aca="1" ref="E240" ca="1">IF($B240="N","",SUM(IF((INDIRECT("'"&amp;$B240&amp;"'!I23:I200")=$A$2)*(INDIRECT("'"&amp;$B240&amp;"'!O23:O200")=$D240)*(INDIRECT("'"&amp;$B240&amp;"'!O23:O200")&lt;&gt;"")*(INDIRECT("'"&amp;$B240&amp;"'!H23:H200")=$E$5),1,0)))</f>
        <v>2</v>
      </c>
      <c r="F240" s="565">
        <f t="array" aca="1" ref="F240" ca="1">IF($B240="N","",SUM(IF((INDIRECT("'"&amp;$B240&amp;"'!I23:I200")=$A$2)*(INDIRECT("'"&amp;$B240&amp;"'!O23:O200")=$D240)*(INDIRECT("'"&amp;$B240&amp;"'!O23:O200")&lt;&gt;"")*(INDIRECT("'"&amp;$B240&amp;"'!H23:H200")=$E$5),INDIRECT("'"&amp;$B240&amp;"'!p23:p200"),0)))</f>
        <v>0</v>
      </c>
      <c r="G240" s="564">
        <f t="array" aca="1" ref="G240" ca="1">IF($B240="N","",SUM(IF((INDIRECT("'"&amp;$B240&amp;"'!I23:I200")=$A$2)*(INDIRECT("'"&amp;$B240&amp;"'!O23:O200")=$D240)*(INDIRECT("'"&amp;$B240&amp;"'!O23:O200")&lt;&gt;"")*(INDIRECT("'"&amp;$B240&amp;"'!H23:H200")=$G$5),1,0)))</f>
        <v>7</v>
      </c>
      <c r="H240" s="565">
        <f t="array" aca="1" ref="H240" ca="1">IF($B240="N","",SUM(IF((INDIRECT("'"&amp;$B240&amp;"'!I23:I200")=$A$2)*(INDIRECT("'"&amp;$B240&amp;"'!O23:O200")=$D240)*(INDIRECT("'"&amp;$B240&amp;"'!O23:O200")&lt;&gt;"")*(INDIRECT("'"&amp;$B240&amp;"'!H23:H200")=$G$5),INDIRECT("'"&amp;$B240&amp;"'!p23:p200"),0)))</f>
        <v>0.5</v>
      </c>
      <c r="I240" s="515">
        <f t="shared" ca="1" si="40"/>
        <v>9</v>
      </c>
      <c r="J240" s="513">
        <f t="shared" ca="1" si="41"/>
        <v>0.5</v>
      </c>
    </row>
    <row r="241" spans="1:10">
      <c r="B241" s="563" t="str">
        <f t="shared" si="42"/>
        <v>Kamatamare Sanuki</v>
      </c>
      <c r="D241" s="511">
        <v>1</v>
      </c>
      <c r="E241" s="564">
        <f t="array" aca="1" ref="E241" ca="1">IF($B241="N","",SUM(IF((INDIRECT("'"&amp;$B241&amp;"'!I23:I200")=$A$2)*(INDIRECT("'"&amp;$B241&amp;"'!O23:O200")=$D241)*(INDIRECT("'"&amp;$B241&amp;"'!O23:O200")&lt;&gt;"")*(INDIRECT("'"&amp;$B241&amp;"'!H23:H200")=$E$5),1,0)))</f>
        <v>1</v>
      </c>
      <c r="F241" s="565">
        <f t="array" aca="1" ref="F241" ca="1">IF($B241="N","",SUM(IF((INDIRECT("'"&amp;$B241&amp;"'!I23:I200")=$A$2)*(INDIRECT("'"&amp;$B241&amp;"'!O23:O200")=$D241)*(INDIRECT("'"&amp;$B241&amp;"'!O23:O200")&lt;&gt;"")*(INDIRECT("'"&amp;$B241&amp;"'!H23:H200")=$E$5),INDIRECT("'"&amp;$B241&amp;"'!p23:p200"),0)))</f>
        <v>1</v>
      </c>
      <c r="G241" s="564">
        <f t="array" aca="1" ref="G241" ca="1">IF($B241="N","",SUM(IF((INDIRECT("'"&amp;$B241&amp;"'!I23:I200")=$A$2)*(INDIRECT("'"&amp;$B241&amp;"'!O23:O200")=$D241)*(INDIRECT("'"&amp;$B241&amp;"'!O23:O200")&lt;&gt;"")*(INDIRECT("'"&amp;$B241&amp;"'!H23:H200")=$G$5),1,0)))</f>
        <v>2</v>
      </c>
      <c r="H241" s="565">
        <f t="array" aca="1" ref="H241" ca="1">IF($B241="N","",SUM(IF((INDIRECT("'"&amp;$B241&amp;"'!I23:I200")=$A$2)*(INDIRECT("'"&amp;$B241&amp;"'!O23:O200")=$D241)*(INDIRECT("'"&amp;$B241&amp;"'!O23:O200")&lt;&gt;"")*(INDIRECT("'"&amp;$B241&amp;"'!H23:H200")=$G$5),INDIRECT("'"&amp;$B241&amp;"'!p23:p200"),0)))</f>
        <v>-1</v>
      </c>
      <c r="I241" s="515">
        <f t="shared" ca="1" si="40"/>
        <v>3</v>
      </c>
      <c r="J241" s="513">
        <f t="shared" ca="1" si="41"/>
        <v>0</v>
      </c>
    </row>
    <row r="242" spans="1:10">
      <c r="B242" s="563" t="str">
        <f t="shared" si="42"/>
        <v>Kamatamare Sanuki</v>
      </c>
      <c r="D242" s="511">
        <v>1.25</v>
      </c>
      <c r="E242" s="564">
        <f t="array" aca="1" ref="E242" ca="1">IF($B242="N","",SUM(IF((INDIRECT("'"&amp;$B242&amp;"'!I23:I200")=$A$2)*(INDIRECT("'"&amp;$B242&amp;"'!O23:O200")=$D242)*(INDIRECT("'"&amp;$B242&amp;"'!O23:O200")&lt;&gt;"")*(INDIRECT("'"&amp;$B242&amp;"'!H23:H200")=$E$5),1,0)))</f>
        <v>0</v>
      </c>
      <c r="F242" s="565">
        <f t="array" aca="1" ref="F242" ca="1">IF($B242="N","",SUM(IF((INDIRECT("'"&amp;$B242&amp;"'!I23:I200")=$A$2)*(INDIRECT("'"&amp;$B242&amp;"'!O23:O200")=$D242)*(INDIRECT("'"&amp;$B242&amp;"'!O23:O200")&lt;&gt;"")*(INDIRECT("'"&amp;$B242&amp;"'!H23:H200")=$E$5),INDIRECT("'"&amp;$B242&amp;"'!p23:p200"),0)))</f>
        <v>0</v>
      </c>
      <c r="G242" s="564">
        <f t="array" aca="1" ref="G242" ca="1">IF($B242="N","",SUM(IF((INDIRECT("'"&amp;$B242&amp;"'!I23:I200")=$A$2)*(INDIRECT("'"&amp;$B242&amp;"'!O23:O200")=$D242)*(INDIRECT("'"&amp;$B242&amp;"'!O23:O200")&lt;&gt;"")*(INDIRECT("'"&amp;$B242&amp;"'!H23:H200")=$G$5),1,0)))</f>
        <v>1</v>
      </c>
      <c r="H242" s="565">
        <f t="array" aca="1" ref="H242" ca="1">IF($B242="N","",SUM(IF((INDIRECT("'"&amp;$B242&amp;"'!I23:I200")=$A$2)*(INDIRECT("'"&amp;$B242&amp;"'!O23:O200")=$D242)*(INDIRECT("'"&amp;$B242&amp;"'!O23:O200")&lt;&gt;"")*(INDIRECT("'"&amp;$B242&amp;"'!H23:H200")=$G$5),INDIRECT("'"&amp;$B242&amp;"'!p23:p200"),0)))</f>
        <v>-1</v>
      </c>
      <c r="I242" s="515">
        <f t="shared" ca="1" si="40"/>
        <v>1</v>
      </c>
      <c r="J242" s="513">
        <f t="shared" ca="1" si="41"/>
        <v>-1</v>
      </c>
    </row>
    <row r="243" spans="1:10">
      <c r="B243" s="563" t="str">
        <f t="shared" si="42"/>
        <v>Kamatamare Sanuki</v>
      </c>
      <c r="D243" s="511">
        <v>1.5</v>
      </c>
      <c r="E243" s="564">
        <f t="array" aca="1" ref="E243" ca="1">IF($B243="N","",SUM(IF((INDIRECT("'"&amp;$B243&amp;"'!I23:I200")=$A$2)*(INDIRECT("'"&amp;$B243&amp;"'!O23:O200")=$D243)*(INDIRECT("'"&amp;$B243&amp;"'!O23:O200")&lt;&gt;"")*(INDIRECT("'"&amp;$B243&amp;"'!H23:H200")=$E$5),1,0)))</f>
        <v>0</v>
      </c>
      <c r="F243" s="565">
        <f t="array" aca="1" ref="F243" ca="1">IF($B243="N","",SUM(IF((INDIRECT("'"&amp;$B243&amp;"'!I23:I200")=$A$2)*(INDIRECT("'"&amp;$B243&amp;"'!O23:O200")=$D243)*(INDIRECT("'"&amp;$B243&amp;"'!O23:O200")&lt;&gt;"")*(INDIRECT("'"&amp;$B243&amp;"'!H23:H200")=$E$5),INDIRECT("'"&amp;$B243&amp;"'!p23:p200"),0)))</f>
        <v>0</v>
      </c>
      <c r="G243" s="564">
        <f t="array" aca="1" ref="G243" ca="1">IF($B243="N","",SUM(IF((INDIRECT("'"&amp;$B243&amp;"'!I23:I200")=$A$2)*(INDIRECT("'"&amp;$B243&amp;"'!O23:O200")=$D243)*(INDIRECT("'"&amp;$B243&amp;"'!O23:O200")&lt;&gt;"")*(INDIRECT("'"&amp;$B243&amp;"'!H23:H200")=$G$5),1,0)))</f>
        <v>0</v>
      </c>
      <c r="H243" s="565">
        <f t="array" aca="1" ref="H243" ca="1">IF($B243="N","",SUM(IF((INDIRECT("'"&amp;$B243&amp;"'!I23:I200")=$A$2)*(INDIRECT("'"&amp;$B243&amp;"'!O23:O200")=$D243)*(INDIRECT("'"&amp;$B243&amp;"'!O23:O200")&lt;&gt;"")*(INDIRECT("'"&amp;$B243&amp;"'!H23:H200")=$G$5),INDIRECT("'"&amp;$B243&amp;"'!p23:p200"),0)))</f>
        <v>0</v>
      </c>
      <c r="I243" s="515">
        <f t="shared" ca="1" si="40"/>
        <v>0</v>
      </c>
      <c r="J243" s="513">
        <f t="shared" ca="1" si="41"/>
        <v>0</v>
      </c>
    </row>
    <row r="244" spans="1:10">
      <c r="B244" s="563" t="str">
        <f t="shared" si="42"/>
        <v>Kamatamare Sanuki</v>
      </c>
      <c r="D244" s="528">
        <v>1.75</v>
      </c>
      <c r="E244" s="564">
        <f t="array" aca="1" ref="E244" ca="1">IF($B244="N","",SUM(IF((INDIRECT("'"&amp;$B244&amp;"'!I23:I200")=$A$2)*(INDIRECT("'"&amp;$B244&amp;"'!O23:O200")=$D244)*(INDIRECT("'"&amp;$B244&amp;"'!O23:O200")&lt;&gt;"")*(INDIRECT("'"&amp;$B244&amp;"'!H23:H200")=$E$5),1,0)))</f>
        <v>0</v>
      </c>
      <c r="F244" s="565">
        <f t="array" aca="1" ref="F244" ca="1">IF($B244="N","",SUM(IF((INDIRECT("'"&amp;$B244&amp;"'!I23:I200")=$A$2)*(INDIRECT("'"&amp;$B244&amp;"'!O23:O200")=$D244)*(INDIRECT("'"&amp;$B244&amp;"'!O23:O200")&lt;&gt;"")*(INDIRECT("'"&amp;$B244&amp;"'!H23:H200")=$E$5),INDIRECT("'"&amp;$B244&amp;"'!p23:p200"),0)))</f>
        <v>0</v>
      </c>
      <c r="G244" s="564">
        <f t="array" aca="1" ref="G244" ca="1">IF($B244="N","",SUM(IF((INDIRECT("'"&amp;$B244&amp;"'!I23:I200")=$A$2)*(INDIRECT("'"&amp;$B244&amp;"'!O23:O200")=$D244)*(INDIRECT("'"&amp;$B244&amp;"'!O23:O200")&lt;&gt;"")*(INDIRECT("'"&amp;$B244&amp;"'!H23:H200")=$G$5),1,0)))</f>
        <v>0</v>
      </c>
      <c r="H244" s="565">
        <f t="array" aca="1" ref="H244" ca="1">IF($B244="N","",SUM(IF((INDIRECT("'"&amp;$B244&amp;"'!I23:I200")=$A$2)*(INDIRECT("'"&amp;$B244&amp;"'!O23:O200")=$D244)*(INDIRECT("'"&amp;$B244&amp;"'!O23:O200")&lt;&gt;"")*(INDIRECT("'"&amp;$B244&amp;"'!H23:H200")=$G$5),INDIRECT("'"&amp;$B244&amp;"'!p23:p200"),0)))</f>
        <v>0</v>
      </c>
      <c r="I244" s="515">
        <f t="shared" ca="1" si="40"/>
        <v>0</v>
      </c>
      <c r="J244" s="513">
        <f t="shared" ca="1" si="41"/>
        <v>0</v>
      </c>
    </row>
    <row r="245" spans="1:10">
      <c r="B245" s="563" t="str">
        <f t="shared" si="42"/>
        <v>Kamatamare Sanuki</v>
      </c>
      <c r="D245" s="528">
        <v>2</v>
      </c>
      <c r="E245" s="564">
        <f t="array" aca="1" ref="E245" ca="1">IF($B245="N","",SUM(IF((INDIRECT("'"&amp;$B245&amp;"'!I23:I200")=$A$2)*(INDIRECT("'"&amp;$B245&amp;"'!O23:O200")=$D245)*(INDIRECT("'"&amp;$B245&amp;"'!O23:O200")&lt;&gt;"")*(INDIRECT("'"&amp;$B245&amp;"'!H23:H200")=$E$5),1,0)))</f>
        <v>0</v>
      </c>
      <c r="F245" s="565">
        <f t="array" aca="1" ref="F245" ca="1">IF($B245="N","",SUM(IF((INDIRECT("'"&amp;$B245&amp;"'!I23:I200")=$A$2)*(INDIRECT("'"&amp;$B245&amp;"'!O23:O200")=$D245)*(INDIRECT("'"&amp;$B245&amp;"'!O23:O200")&lt;&gt;"")*(INDIRECT("'"&amp;$B245&amp;"'!H23:H200")=$E$5),INDIRECT("'"&amp;$B245&amp;"'!p23:p200"),0)))</f>
        <v>0</v>
      </c>
      <c r="G245" s="564">
        <f t="array" aca="1" ref="G245" ca="1">IF($B245="N","",SUM(IF((INDIRECT("'"&amp;$B245&amp;"'!I23:I200")=$A$2)*(INDIRECT("'"&amp;$B245&amp;"'!O23:O200")=$D245)*(INDIRECT("'"&amp;$B245&amp;"'!O23:O200")&lt;&gt;"")*(INDIRECT("'"&amp;$B245&amp;"'!H23:H200")=$G$5),1,0)))</f>
        <v>0</v>
      </c>
      <c r="H245" s="565">
        <f t="array" aca="1" ref="H245" ca="1">IF($B245="N","",SUM(IF((INDIRECT("'"&amp;$B245&amp;"'!I23:I200")=$A$2)*(INDIRECT("'"&amp;$B245&amp;"'!O23:O200")=$D245)*(INDIRECT("'"&amp;$B245&amp;"'!O23:O200")&lt;&gt;"")*(INDIRECT("'"&amp;$B245&amp;"'!H23:H200")=$G$5),INDIRECT("'"&amp;$B245&amp;"'!p23:p200"),0)))</f>
        <v>0</v>
      </c>
      <c r="I245" s="515">
        <f t="shared" ca="1" si="40"/>
        <v>0</v>
      </c>
      <c r="J245" s="513">
        <f t="shared" ca="1" si="41"/>
        <v>0</v>
      </c>
    </row>
    <row r="246" spans="1:10">
      <c r="B246" s="563" t="str">
        <f t="shared" si="42"/>
        <v>Kamatamare Sanuki</v>
      </c>
      <c r="D246" s="528">
        <v>2.25</v>
      </c>
      <c r="E246" s="564">
        <f t="array" aca="1" ref="E246" ca="1">IF($B246="N","",SUM(IF((INDIRECT("'"&amp;$B246&amp;"'!I23:I200")=$A$2)*(INDIRECT("'"&amp;$B246&amp;"'!O23:O200")=$D246)*(INDIRECT("'"&amp;$B246&amp;"'!O23:O200")&lt;&gt;"")*(INDIRECT("'"&amp;$B246&amp;"'!H23:H200")=$E$5),1,0)))</f>
        <v>0</v>
      </c>
      <c r="F246" s="565">
        <f t="array" aca="1" ref="F246" ca="1">IF($B246="N","",SUM(IF((INDIRECT("'"&amp;$B246&amp;"'!I23:I200")=$A$2)*(INDIRECT("'"&amp;$B246&amp;"'!O23:O200")=$D246)*(INDIRECT("'"&amp;$B246&amp;"'!O23:O200")&lt;&gt;"")*(INDIRECT("'"&amp;$B246&amp;"'!H23:H200")=$E$5),INDIRECT("'"&amp;$B246&amp;"'!p23:p200"),0)))</f>
        <v>0</v>
      </c>
      <c r="G246" s="564">
        <f t="array" aca="1" ref="G246" ca="1">IF($B246="N","",SUM(IF((INDIRECT("'"&amp;$B246&amp;"'!I23:I200")=$A$2)*(INDIRECT("'"&amp;$B246&amp;"'!O23:O200")=$D246)*(INDIRECT("'"&amp;$B246&amp;"'!O23:O200")&lt;&gt;"")*(INDIRECT("'"&amp;$B246&amp;"'!H23:H200")=$G$5),1,0)))</f>
        <v>0</v>
      </c>
      <c r="H246" s="565">
        <f t="array" aca="1" ref="H246" ca="1">IF($B246="N","",SUM(IF((INDIRECT("'"&amp;$B246&amp;"'!I23:I200")=$A$2)*(INDIRECT("'"&amp;$B246&amp;"'!O23:O200")=$D246)*(INDIRECT("'"&amp;$B246&amp;"'!O23:O200")&lt;&gt;"")*(INDIRECT("'"&amp;$B246&amp;"'!H23:H200")=$G$5),INDIRECT("'"&amp;$B246&amp;"'!p23:p200"),0)))</f>
        <v>0</v>
      </c>
      <c r="I246" s="515">
        <f t="shared" ca="1" si="40"/>
        <v>0</v>
      </c>
      <c r="J246" s="513">
        <f t="shared" ca="1" si="41"/>
        <v>0</v>
      </c>
    </row>
    <row r="247" spans="1:10">
      <c r="B247" s="563" t="str">
        <f t="shared" si="42"/>
        <v>Kamatamare Sanuki</v>
      </c>
      <c r="D247" s="528">
        <v>2.5</v>
      </c>
      <c r="E247" s="564">
        <f t="array" aca="1" ref="E247" ca="1">IF($B247="N","",SUM(IF((INDIRECT("'"&amp;$B247&amp;"'!I23:I200")=$A$2)*(INDIRECT("'"&amp;$B247&amp;"'!O23:O200")=$D247)*(INDIRECT("'"&amp;$B247&amp;"'!O23:O200")&lt;&gt;"")*(INDIRECT("'"&amp;$B247&amp;"'!H23:H200")=$E$5),1,0)))</f>
        <v>0</v>
      </c>
      <c r="F247" s="565">
        <f t="array" aca="1" ref="F247" ca="1">IF($B247="N","",SUM(IF((INDIRECT("'"&amp;$B247&amp;"'!I23:I200")=$A$2)*(INDIRECT("'"&amp;$B247&amp;"'!O23:O200")=$D247)*(INDIRECT("'"&amp;$B247&amp;"'!O23:O200")&lt;&gt;"")*(INDIRECT("'"&amp;$B247&amp;"'!H23:H200")=$E$5),INDIRECT("'"&amp;$B247&amp;"'!p23:p200"),0)))</f>
        <v>0</v>
      </c>
      <c r="G247" s="564">
        <f t="array" aca="1" ref="G247" ca="1">IF($B247="N","",SUM(IF((INDIRECT("'"&amp;$B247&amp;"'!I23:I200")=$A$2)*(INDIRECT("'"&amp;$B247&amp;"'!O23:O200")=$D247)*(INDIRECT("'"&amp;$B247&amp;"'!O23:O200")&lt;&gt;"")*(INDIRECT("'"&amp;$B247&amp;"'!H23:H200")=$G$5),1,0)))</f>
        <v>0</v>
      </c>
      <c r="H247" s="565">
        <f t="array" aca="1" ref="H247" ca="1">IF($B247="N","",SUM(IF((INDIRECT("'"&amp;$B247&amp;"'!I23:I200")=$A$2)*(INDIRECT("'"&amp;$B247&amp;"'!O23:O200")=$D247)*(INDIRECT("'"&amp;$B247&amp;"'!O23:O200")&lt;&gt;"")*(INDIRECT("'"&amp;$B247&amp;"'!H23:H200")=$G$5),INDIRECT("'"&amp;$B247&amp;"'!p23:p200"),0)))</f>
        <v>0</v>
      </c>
      <c r="I247" s="515">
        <f t="shared" ca="1" si="40"/>
        <v>0</v>
      </c>
      <c r="J247" s="513">
        <f t="shared" ca="1" si="41"/>
        <v>0</v>
      </c>
    </row>
    <row r="248" spans="1:10" ht="15" thickBot="1">
      <c r="B248" s="563" t="str">
        <f t="shared" si="42"/>
        <v>Kamatamare Sanuki</v>
      </c>
      <c r="D248" s="511">
        <v>2.75</v>
      </c>
      <c r="E248" s="564">
        <f t="array" aca="1" ref="E248" ca="1">IF($B248="N","",SUM(IF((INDIRECT("'"&amp;$B248&amp;"'!I23:I200")=$A$2)*(INDIRECT("'"&amp;$B248&amp;"'!O23:O200")=$D248)*(INDIRECT("'"&amp;$B248&amp;"'!O23:O200")&lt;&gt;"")*(INDIRECT("'"&amp;$B248&amp;"'!H23:H200")=$E$5),1,0)))</f>
        <v>0</v>
      </c>
      <c r="F248" s="565">
        <f t="array" aca="1" ref="F248" ca="1">IF($B248="N","",SUM(IF((INDIRECT("'"&amp;$B248&amp;"'!I23:I200")=$A$2)*(INDIRECT("'"&amp;$B248&amp;"'!O23:O200")=$D248)*(INDIRECT("'"&amp;$B248&amp;"'!O23:O200")&lt;&gt;"")*(INDIRECT("'"&amp;$B248&amp;"'!H23:H200")=$E$5),INDIRECT("'"&amp;$B248&amp;"'!p23:p200"),0)))</f>
        <v>0</v>
      </c>
      <c r="G248" s="564">
        <f t="array" aca="1" ref="G248" ca="1">IF($B248="N","",SUM(IF((INDIRECT("'"&amp;$B248&amp;"'!I23:I200")=$A$2)*(INDIRECT("'"&amp;$B248&amp;"'!O23:O200")=$D248)*(INDIRECT("'"&amp;$B248&amp;"'!O23:O200")&lt;&gt;"")*(INDIRECT("'"&amp;$B248&amp;"'!H23:H200")=$G$5),1,0)))</f>
        <v>0</v>
      </c>
      <c r="H248" s="565">
        <f t="array" aca="1" ref="H248" ca="1">IF($B248="N","",SUM(IF((INDIRECT("'"&amp;$B248&amp;"'!I23:I200")=$A$2)*(INDIRECT("'"&amp;$B248&amp;"'!O23:O200")=$D248)*(INDIRECT("'"&amp;$B248&amp;"'!O23:O200")&lt;&gt;"")*(INDIRECT("'"&amp;$B248&amp;"'!H23:H200")=$G$5),INDIRECT("'"&amp;$B248&amp;"'!p23:p200"),0)))</f>
        <v>0</v>
      </c>
      <c r="I248" s="515">
        <f t="shared" ca="1" si="40"/>
        <v>0</v>
      </c>
      <c r="J248" s="513">
        <f t="shared" ca="1" si="41"/>
        <v>0</v>
      </c>
    </row>
    <row r="249" spans="1:10" ht="15" thickBot="1">
      <c r="A249" s="567"/>
      <c r="B249" s="568"/>
      <c r="C249" s="569" t="str">
        <f>D224</f>
        <v>Kamatamare Sanuki</v>
      </c>
      <c r="D249" s="570" t="s">
        <v>115</v>
      </c>
      <c r="E249" s="571">
        <f t="shared" ref="E249:J249" ca="1" si="43">SUM(E226:E248)</f>
        <v>21</v>
      </c>
      <c r="F249" s="572">
        <f t="shared" ca="1" si="43"/>
        <v>2</v>
      </c>
      <c r="G249" s="571">
        <f t="shared" ca="1" si="43"/>
        <v>21</v>
      </c>
      <c r="H249" s="572">
        <f t="shared" ca="1" si="43"/>
        <v>-3</v>
      </c>
      <c r="I249" s="573">
        <f t="shared" ca="1" si="43"/>
        <v>42</v>
      </c>
      <c r="J249" s="572">
        <f t="shared" ca="1" si="43"/>
        <v>-1</v>
      </c>
    </row>
    <row r="250" spans="1:10" ht="15" thickBot="1">
      <c r="A250" s="567"/>
      <c r="C250" s="576"/>
    </row>
    <row r="251" spans="1:10">
      <c r="A251" s="567"/>
      <c r="B251" s="357"/>
      <c r="C251" s="569"/>
      <c r="D251" s="562" t="str">
        <f>L1</f>
        <v>Kyoto Sanga</v>
      </c>
      <c r="E251" s="490" t="s">
        <v>80</v>
      </c>
      <c r="F251" s="491"/>
      <c r="G251" s="490" t="s">
        <v>81</v>
      </c>
      <c r="H251" s="491"/>
      <c r="I251" s="490" t="s">
        <v>82</v>
      </c>
      <c r="J251" s="492"/>
    </row>
    <row r="252" spans="1:10" ht="15" thickBot="1">
      <c r="B252" s="357"/>
      <c r="C252" s="357"/>
      <c r="D252" s="499" t="s">
        <v>120</v>
      </c>
      <c r="E252" s="497" t="s">
        <v>123</v>
      </c>
      <c r="F252" s="552" t="s">
        <v>124</v>
      </c>
      <c r="G252" s="497" t="s">
        <v>123</v>
      </c>
      <c r="H252" s="552" t="s">
        <v>124</v>
      </c>
      <c r="I252" s="501" t="s">
        <v>123</v>
      </c>
      <c r="J252" s="552" t="s">
        <v>124</v>
      </c>
    </row>
    <row r="253" spans="1:10">
      <c r="B253" s="563" t="str">
        <f>IF(D251=0,"N",D251)</f>
        <v>Kyoto Sanga</v>
      </c>
      <c r="D253" s="511">
        <v>-2.75</v>
      </c>
      <c r="E253" s="564">
        <f t="array" aca="1" ref="E253" ca="1">IF($B253="N","",SUM(IF((INDIRECT("'"&amp;$B253&amp;"'!I23:I200")=$A$2)*(INDIRECT("'"&amp;$B253&amp;"'!O23:O200")=$D253)*(INDIRECT("'"&amp;$B253&amp;"'!O23:O200")&lt;&gt;"")*(INDIRECT("'"&amp;$B253&amp;"'!H23:H200")=$E$5),1,0)))</f>
        <v>0</v>
      </c>
      <c r="F253" s="565">
        <f t="array" aca="1" ref="F253" ca="1">IF($B253="N","",SUM(IF((INDIRECT("'"&amp;$B253&amp;"'!I23:I200")=$A$2)*(INDIRECT("'"&amp;$B253&amp;"'!O23:O200")=$D253)*(INDIRECT("'"&amp;$B253&amp;"'!O23:O200")&lt;&gt;"")*(INDIRECT("'"&amp;$B253&amp;"'!H23:H200")=$E$5),INDIRECT("'"&amp;$B253&amp;"'!p23:p200"),0)))</f>
        <v>0</v>
      </c>
      <c r="G253" s="564">
        <f t="array" aca="1" ref="G253" ca="1">IF($B253="N","",SUM(IF((INDIRECT("'"&amp;$B253&amp;"'!I23:I200")=$A$2)*(INDIRECT("'"&amp;$B253&amp;"'!O23:O200")=$D253)*(INDIRECT("'"&amp;$B253&amp;"'!O23:O200")&lt;&gt;"")*(INDIRECT("'"&amp;$B253&amp;"'!H23:H200")=$G$5),1,0)))</f>
        <v>0</v>
      </c>
      <c r="H253" s="565">
        <f t="array" aca="1" ref="H253" ca="1">IF($B253="N","",SUM(IF((INDIRECT("'"&amp;$B253&amp;"'!I23:I200")=$A$2)*(INDIRECT("'"&amp;$B253&amp;"'!O23:O200")=$D253)*(INDIRECT("'"&amp;$B253&amp;"'!O23:O200")&lt;&gt;"")*(INDIRECT("'"&amp;$B253&amp;"'!H23:H200")=$G$5),INDIRECT("'"&amp;$B253&amp;"'!p23:p200"),0)))</f>
        <v>0</v>
      </c>
      <c r="I253" s="515">
        <f t="shared" ref="I253:I275" ca="1" si="44">IF(B253="N","",G253+E253)</f>
        <v>0</v>
      </c>
      <c r="J253" s="513">
        <f t="shared" ref="J253:J275" ca="1" si="45">IF(I253="","",F253+H253)</f>
        <v>0</v>
      </c>
    </row>
    <row r="254" spans="1:10">
      <c r="B254" s="563" t="str">
        <f>B253</f>
        <v>Kyoto Sanga</v>
      </c>
      <c r="D254" s="520">
        <v>-2.5</v>
      </c>
      <c r="E254" s="564">
        <f t="array" aca="1" ref="E254" ca="1">IF($B254="N","",SUM(IF((INDIRECT("'"&amp;$B254&amp;"'!I23:I200")=$A$2)*(INDIRECT("'"&amp;$B254&amp;"'!O23:O200")=$D254)*(INDIRECT("'"&amp;$B254&amp;"'!O23:O200")&lt;&gt;"")*(INDIRECT("'"&amp;$B254&amp;"'!H23:H200")=$E$5),1,0)))</f>
        <v>0</v>
      </c>
      <c r="F254" s="565">
        <f t="array" aca="1" ref="F254" ca="1">IF($B254="N","",SUM(IF((INDIRECT("'"&amp;$B254&amp;"'!I23:I200")=$A$2)*(INDIRECT("'"&amp;$B254&amp;"'!O23:O200")=$D254)*(INDIRECT("'"&amp;$B254&amp;"'!O23:O200")&lt;&gt;"")*(INDIRECT("'"&amp;$B254&amp;"'!H23:H200")=$E$5),INDIRECT("'"&amp;$B254&amp;"'!p23:p200"),0)))</f>
        <v>0</v>
      </c>
      <c r="G254" s="564">
        <f t="array" aca="1" ref="G254" ca="1">IF($B254="N","",SUM(IF((INDIRECT("'"&amp;$B254&amp;"'!I23:I200")=$A$2)*(INDIRECT("'"&amp;$B254&amp;"'!O23:O200")=$D254)*(INDIRECT("'"&amp;$B254&amp;"'!O23:O200")&lt;&gt;"")*(INDIRECT("'"&amp;$B254&amp;"'!H23:H200")=$G$5),1,0)))</f>
        <v>0</v>
      </c>
      <c r="H254" s="565">
        <f t="array" aca="1" ref="H254" ca="1">IF($B254="N","",SUM(IF((INDIRECT("'"&amp;$B254&amp;"'!I23:I200")=$A$2)*(INDIRECT("'"&amp;$B254&amp;"'!O23:O200")=$D254)*(INDIRECT("'"&amp;$B254&amp;"'!O23:O200")&lt;&gt;"")*(INDIRECT("'"&amp;$B254&amp;"'!H23:H200")=$G$5),INDIRECT("'"&amp;$B254&amp;"'!p23:p200"),0)))</f>
        <v>0</v>
      </c>
      <c r="I254" s="515">
        <f t="shared" ca="1" si="44"/>
        <v>0</v>
      </c>
      <c r="J254" s="513">
        <f t="shared" ca="1" si="45"/>
        <v>0</v>
      </c>
    </row>
    <row r="255" spans="1:10">
      <c r="B255" s="563" t="str">
        <f t="shared" ref="B255:B275" si="46">B254</f>
        <v>Kyoto Sanga</v>
      </c>
      <c r="D255" s="520">
        <v>-2.25</v>
      </c>
      <c r="E255" s="564">
        <f t="array" aca="1" ref="E255" ca="1">IF($B255="N","",SUM(IF((INDIRECT("'"&amp;$B255&amp;"'!I23:I200")=$A$2)*(INDIRECT("'"&amp;$B255&amp;"'!O23:O200")=$D255)*(INDIRECT("'"&amp;$B255&amp;"'!O23:O200")&lt;&gt;"")*(INDIRECT("'"&amp;$B255&amp;"'!H23:H200")=$E$5),1,0)))</f>
        <v>0</v>
      </c>
      <c r="F255" s="565">
        <f t="array" aca="1" ref="F255" ca="1">IF($B255="N","",SUM(IF((INDIRECT("'"&amp;$B255&amp;"'!I23:I200")=$A$2)*(INDIRECT("'"&amp;$B255&amp;"'!O23:O200")=$D255)*(INDIRECT("'"&amp;$B255&amp;"'!O23:O200")&lt;&gt;"")*(INDIRECT("'"&amp;$B255&amp;"'!H23:H200")=$E$5),INDIRECT("'"&amp;$B255&amp;"'!p23:p200"),0)))</f>
        <v>0</v>
      </c>
      <c r="G255" s="564">
        <f t="array" aca="1" ref="G255" ca="1">IF($B255="N","",SUM(IF((INDIRECT("'"&amp;$B255&amp;"'!I23:I200")=$A$2)*(INDIRECT("'"&amp;$B255&amp;"'!O23:O200")=$D255)*(INDIRECT("'"&amp;$B255&amp;"'!O23:O200")&lt;&gt;"")*(INDIRECT("'"&amp;$B255&amp;"'!H23:H200")=$G$5),1,0)))</f>
        <v>0</v>
      </c>
      <c r="H255" s="565">
        <f t="array" aca="1" ref="H255" ca="1">IF($B255="N","",SUM(IF((INDIRECT("'"&amp;$B255&amp;"'!I23:I200")=$A$2)*(INDIRECT("'"&amp;$B255&amp;"'!O23:O200")=$D255)*(INDIRECT("'"&amp;$B255&amp;"'!O23:O200")&lt;&gt;"")*(INDIRECT("'"&amp;$B255&amp;"'!H23:H200")=$G$5),INDIRECT("'"&amp;$B255&amp;"'!p23:p200"),0)))</f>
        <v>0</v>
      </c>
      <c r="I255" s="515">
        <f t="shared" ca="1" si="44"/>
        <v>0</v>
      </c>
      <c r="J255" s="513">
        <f t="shared" ca="1" si="45"/>
        <v>0</v>
      </c>
    </row>
    <row r="256" spans="1:10">
      <c r="B256" s="563" t="str">
        <f t="shared" si="46"/>
        <v>Kyoto Sanga</v>
      </c>
      <c r="D256" s="520">
        <v>-2</v>
      </c>
      <c r="E256" s="564">
        <f t="array" aca="1" ref="E256" ca="1">IF($B256="N","",SUM(IF((INDIRECT("'"&amp;$B256&amp;"'!I23:I200")=$A$2)*(INDIRECT("'"&amp;$B256&amp;"'!O23:O200")=$D256)*(INDIRECT("'"&amp;$B256&amp;"'!O23:O200")&lt;&gt;"")*(INDIRECT("'"&amp;$B256&amp;"'!H23:H200")=$E$5),1,0)))</f>
        <v>0</v>
      </c>
      <c r="F256" s="565">
        <f t="array" aca="1" ref="F256" ca="1">IF($B256="N","",SUM(IF((INDIRECT("'"&amp;$B256&amp;"'!I23:I200")=$A$2)*(INDIRECT("'"&amp;$B256&amp;"'!O23:O200")=$D256)*(INDIRECT("'"&amp;$B256&amp;"'!O23:O200")&lt;&gt;"")*(INDIRECT("'"&amp;$B256&amp;"'!H23:H200")=$E$5),INDIRECT("'"&amp;$B256&amp;"'!p23:p200"),0)))</f>
        <v>0</v>
      </c>
      <c r="G256" s="564">
        <f t="array" aca="1" ref="G256" ca="1">IF($B256="N","",SUM(IF((INDIRECT("'"&amp;$B256&amp;"'!I23:I200")=$A$2)*(INDIRECT("'"&amp;$B256&amp;"'!O23:O200")=$D256)*(INDIRECT("'"&amp;$B256&amp;"'!O23:O200")&lt;&gt;"")*(INDIRECT("'"&amp;$B256&amp;"'!H23:H200")=$G$5),1,0)))</f>
        <v>0</v>
      </c>
      <c r="H256" s="565">
        <f t="array" aca="1" ref="H256" ca="1">IF($B256="N","",SUM(IF((INDIRECT("'"&amp;$B256&amp;"'!I23:I200")=$A$2)*(INDIRECT("'"&amp;$B256&amp;"'!O23:O200")=$D256)*(INDIRECT("'"&amp;$B256&amp;"'!O23:O200")&lt;&gt;"")*(INDIRECT("'"&amp;$B256&amp;"'!H23:H200")=$G$5),INDIRECT("'"&amp;$B256&amp;"'!p23:p200"),0)))</f>
        <v>0</v>
      </c>
      <c r="I256" s="515">
        <f t="shared" ca="1" si="44"/>
        <v>0</v>
      </c>
      <c r="J256" s="513">
        <f t="shared" ca="1" si="45"/>
        <v>0</v>
      </c>
    </row>
    <row r="257" spans="2:10">
      <c r="B257" s="563" t="str">
        <f t="shared" si="46"/>
        <v>Kyoto Sanga</v>
      </c>
      <c r="D257" s="520">
        <v>-1.75</v>
      </c>
      <c r="E257" s="564">
        <f t="array" aca="1" ref="E257" ca="1">IF($B257="N","",SUM(IF((INDIRECT("'"&amp;$B257&amp;"'!I23:I200")=$A$2)*(INDIRECT("'"&amp;$B257&amp;"'!O23:O200")=$D257)*(INDIRECT("'"&amp;$B257&amp;"'!O23:O200")&lt;&gt;"")*(INDIRECT("'"&amp;$B257&amp;"'!H23:H200")=$E$5),1,0)))</f>
        <v>0</v>
      </c>
      <c r="F257" s="565">
        <f t="array" aca="1" ref="F257" ca="1">IF($B257="N","",SUM(IF((INDIRECT("'"&amp;$B257&amp;"'!I23:I200")=$A$2)*(INDIRECT("'"&amp;$B257&amp;"'!O23:O200")=$D257)*(INDIRECT("'"&amp;$B257&amp;"'!O23:O200")&lt;&gt;"")*(INDIRECT("'"&amp;$B257&amp;"'!H23:H200")=$E$5),INDIRECT("'"&amp;$B257&amp;"'!p23:p200"),0)))</f>
        <v>0</v>
      </c>
      <c r="G257" s="564">
        <f t="array" aca="1" ref="G257" ca="1">IF($B257="N","",SUM(IF((INDIRECT("'"&amp;$B257&amp;"'!I23:I200")=$A$2)*(INDIRECT("'"&amp;$B257&amp;"'!O23:O200")=$D257)*(INDIRECT("'"&amp;$B257&amp;"'!O23:O200")&lt;&gt;"")*(INDIRECT("'"&amp;$B257&amp;"'!H23:H200")=$G$5),1,0)))</f>
        <v>0</v>
      </c>
      <c r="H257" s="565">
        <f t="array" aca="1" ref="H257" ca="1">IF($B257="N","",SUM(IF((INDIRECT("'"&amp;$B257&amp;"'!I23:I200")=$A$2)*(INDIRECT("'"&amp;$B257&amp;"'!O23:O200")=$D257)*(INDIRECT("'"&amp;$B257&amp;"'!O23:O200")&lt;&gt;"")*(INDIRECT("'"&amp;$B257&amp;"'!H23:H200")=$G$5),INDIRECT("'"&amp;$B257&amp;"'!p23:p200"),0)))</f>
        <v>0</v>
      </c>
      <c r="I257" s="515">
        <f t="shared" ca="1" si="44"/>
        <v>0</v>
      </c>
      <c r="J257" s="513">
        <f t="shared" ca="1" si="45"/>
        <v>0</v>
      </c>
    </row>
    <row r="258" spans="2:10">
      <c r="B258" s="563" t="str">
        <f t="shared" si="46"/>
        <v>Kyoto Sanga</v>
      </c>
      <c r="D258" s="511">
        <v>-1.5</v>
      </c>
      <c r="E258" s="564">
        <f t="array" aca="1" ref="E258" ca="1">IF($B258="N","",SUM(IF((INDIRECT("'"&amp;$B258&amp;"'!I23:I200")=$A$2)*(INDIRECT("'"&amp;$B258&amp;"'!O23:O200")=$D258)*(INDIRECT("'"&amp;$B258&amp;"'!O23:O200")&lt;&gt;"")*(INDIRECT("'"&amp;$B258&amp;"'!H23:H200")=$E$5),1,0)))</f>
        <v>0</v>
      </c>
      <c r="F258" s="565">
        <f t="array" aca="1" ref="F258" ca="1">IF($B258="N","",SUM(IF((INDIRECT("'"&amp;$B258&amp;"'!I23:I200")=$A$2)*(INDIRECT("'"&amp;$B258&amp;"'!O23:O200")=$D258)*(INDIRECT("'"&amp;$B258&amp;"'!O23:O200")&lt;&gt;"")*(INDIRECT("'"&amp;$B258&amp;"'!H23:H200")=$E$5),INDIRECT("'"&amp;$B258&amp;"'!p23:p200"),0)))</f>
        <v>0</v>
      </c>
      <c r="G258" s="564">
        <f t="array" aca="1" ref="G258" ca="1">IF($B258="N","",SUM(IF((INDIRECT("'"&amp;$B258&amp;"'!I23:I200")=$A$2)*(INDIRECT("'"&amp;$B258&amp;"'!O23:O200")=$D258)*(INDIRECT("'"&amp;$B258&amp;"'!O23:O200")&lt;&gt;"")*(INDIRECT("'"&amp;$B258&amp;"'!H23:H200")=$G$5),1,0)))</f>
        <v>0</v>
      </c>
      <c r="H258" s="565">
        <f t="array" aca="1" ref="H258" ca="1">IF($B258="N","",SUM(IF((INDIRECT("'"&amp;$B258&amp;"'!I23:I200")=$A$2)*(INDIRECT("'"&amp;$B258&amp;"'!O23:O200")=$D258)*(INDIRECT("'"&amp;$B258&amp;"'!O23:O200")&lt;&gt;"")*(INDIRECT("'"&amp;$B258&amp;"'!H23:H200")=$G$5),INDIRECT("'"&amp;$B258&amp;"'!p23:p200"),0)))</f>
        <v>0</v>
      </c>
      <c r="I258" s="515">
        <f t="shared" ca="1" si="44"/>
        <v>0</v>
      </c>
      <c r="J258" s="513">
        <f t="shared" ca="1" si="45"/>
        <v>0</v>
      </c>
    </row>
    <row r="259" spans="2:10">
      <c r="B259" s="563" t="str">
        <f t="shared" si="46"/>
        <v>Kyoto Sanga</v>
      </c>
      <c r="D259" s="511">
        <v>-1.25</v>
      </c>
      <c r="E259" s="564">
        <f t="array" aca="1" ref="E259" ca="1">IF($B259="N","",SUM(IF((INDIRECT("'"&amp;$B259&amp;"'!I23:I200")=$A$2)*(INDIRECT("'"&amp;$B259&amp;"'!O23:O200")=$D259)*(INDIRECT("'"&amp;$B259&amp;"'!O23:O200")&lt;&gt;"")*(INDIRECT("'"&amp;$B259&amp;"'!H23:H200")=$E$5),1,0)))</f>
        <v>0</v>
      </c>
      <c r="F259" s="565">
        <f t="array" aca="1" ref="F259" ca="1">IF($B259="N","",SUM(IF((INDIRECT("'"&amp;$B259&amp;"'!I23:I200")=$A$2)*(INDIRECT("'"&amp;$B259&amp;"'!O23:O200")=$D259)*(INDIRECT("'"&amp;$B259&amp;"'!O23:O200")&lt;&gt;"")*(INDIRECT("'"&amp;$B259&amp;"'!H23:H200")=$E$5),INDIRECT("'"&amp;$B259&amp;"'!p23:p200"),0)))</f>
        <v>0</v>
      </c>
      <c r="G259" s="564">
        <f t="array" aca="1" ref="G259" ca="1">IF($B259="N","",SUM(IF((INDIRECT("'"&amp;$B259&amp;"'!I23:I200")=$A$2)*(INDIRECT("'"&amp;$B259&amp;"'!O23:O200")=$D259)*(INDIRECT("'"&amp;$B259&amp;"'!O23:O200")&lt;&gt;"")*(INDIRECT("'"&amp;$B259&amp;"'!H23:H200")=$G$5),1,0)))</f>
        <v>0</v>
      </c>
      <c r="H259" s="565">
        <f t="array" aca="1" ref="H259" ca="1">IF($B259="N","",SUM(IF((INDIRECT("'"&amp;$B259&amp;"'!I23:I200")=$A$2)*(INDIRECT("'"&amp;$B259&amp;"'!O23:O200")=$D259)*(INDIRECT("'"&amp;$B259&amp;"'!O23:O200")&lt;&gt;"")*(INDIRECT("'"&amp;$B259&amp;"'!H23:H200")=$G$5),INDIRECT("'"&amp;$B259&amp;"'!p23:p200"),0)))</f>
        <v>0</v>
      </c>
      <c r="I259" s="515">
        <f t="shared" ca="1" si="44"/>
        <v>0</v>
      </c>
      <c r="J259" s="513">
        <f t="shared" ca="1" si="45"/>
        <v>0</v>
      </c>
    </row>
    <row r="260" spans="2:10">
      <c r="B260" s="563" t="str">
        <f t="shared" si="46"/>
        <v>Kyoto Sanga</v>
      </c>
      <c r="D260" s="511">
        <v>-1</v>
      </c>
      <c r="E260" s="564">
        <f t="array" aca="1" ref="E260" ca="1">IF($B260="N","",SUM(IF((INDIRECT("'"&amp;$B260&amp;"'!I23:I200")=$A$2)*(INDIRECT("'"&amp;$B260&amp;"'!O23:O200")=$D260)*(INDIRECT("'"&amp;$B260&amp;"'!O23:O200")&lt;&gt;"")*(INDIRECT("'"&amp;$B260&amp;"'!H23:H200")=$E$5),1,0)))</f>
        <v>1</v>
      </c>
      <c r="F260" s="565">
        <f t="array" aca="1" ref="F260" ca="1">IF($B260="N","",SUM(IF((INDIRECT("'"&amp;$B260&amp;"'!I23:I200")=$A$2)*(INDIRECT("'"&amp;$B260&amp;"'!O23:O200")=$D260)*(INDIRECT("'"&amp;$B260&amp;"'!O23:O200")&lt;&gt;"")*(INDIRECT("'"&amp;$B260&amp;"'!H23:H200")=$E$5),INDIRECT("'"&amp;$B260&amp;"'!p23:p200"),0)))</f>
        <v>0</v>
      </c>
      <c r="G260" s="564">
        <f t="array" aca="1" ref="G260" ca="1">IF($B260="N","",SUM(IF((INDIRECT("'"&amp;$B260&amp;"'!I23:I200")=$A$2)*(INDIRECT("'"&amp;$B260&amp;"'!O23:O200")=$D260)*(INDIRECT("'"&amp;$B260&amp;"'!O23:O200")&lt;&gt;"")*(INDIRECT("'"&amp;$B260&amp;"'!H23:H200")=$G$5),1,0)))</f>
        <v>0</v>
      </c>
      <c r="H260" s="565">
        <f t="array" aca="1" ref="H260" ca="1">IF($B260="N","",SUM(IF((INDIRECT("'"&amp;$B260&amp;"'!I23:I200")=$A$2)*(INDIRECT("'"&amp;$B260&amp;"'!O23:O200")=$D260)*(INDIRECT("'"&amp;$B260&amp;"'!O23:O200")&lt;&gt;"")*(INDIRECT("'"&amp;$B260&amp;"'!H23:H200")=$G$5),INDIRECT("'"&amp;$B260&amp;"'!p23:p200"),0)))</f>
        <v>0</v>
      </c>
      <c r="I260" s="515">
        <f t="shared" ca="1" si="44"/>
        <v>1</v>
      </c>
      <c r="J260" s="513">
        <f t="shared" ca="1" si="45"/>
        <v>0</v>
      </c>
    </row>
    <row r="261" spans="2:10">
      <c r="B261" s="563" t="str">
        <f t="shared" si="46"/>
        <v>Kyoto Sanga</v>
      </c>
      <c r="D261" s="511">
        <v>-0.75</v>
      </c>
      <c r="E261" s="564">
        <f t="array" aca="1" ref="E261" ca="1">IF($B261="N","",SUM(IF((INDIRECT("'"&amp;$B261&amp;"'!I23:I200")=$A$2)*(INDIRECT("'"&amp;$B261&amp;"'!O23:O200")=$D261)*(INDIRECT("'"&amp;$B261&amp;"'!O23:O200")&lt;&gt;"")*(INDIRECT("'"&amp;$B261&amp;"'!H23:H200")=$E$5),1,0)))</f>
        <v>2</v>
      </c>
      <c r="F261" s="565">
        <f t="array" aca="1" ref="F261" ca="1">IF($B261="N","",SUM(IF((INDIRECT("'"&amp;$B261&amp;"'!I23:I200")=$A$2)*(INDIRECT("'"&amp;$B261&amp;"'!O23:O200")=$D261)*(INDIRECT("'"&amp;$B261&amp;"'!O23:O200")&lt;&gt;"")*(INDIRECT("'"&amp;$B261&amp;"'!H23:H200")=$E$5),INDIRECT("'"&amp;$B261&amp;"'!p23:p200"),0)))</f>
        <v>-0.5</v>
      </c>
      <c r="G261" s="564">
        <f t="array" aca="1" ref="G261" ca="1">IF($B261="N","",SUM(IF((INDIRECT("'"&amp;$B261&amp;"'!I23:I200")=$A$2)*(INDIRECT("'"&amp;$B261&amp;"'!O23:O200")=$D261)*(INDIRECT("'"&amp;$B261&amp;"'!O23:O200")&lt;&gt;"")*(INDIRECT("'"&amp;$B261&amp;"'!H23:H200")=$G$5),1,0)))</f>
        <v>0</v>
      </c>
      <c r="H261" s="565">
        <f t="array" aca="1" ref="H261" ca="1">IF($B261="N","",SUM(IF((INDIRECT("'"&amp;$B261&amp;"'!I23:I200")=$A$2)*(INDIRECT("'"&amp;$B261&amp;"'!O23:O200")=$D261)*(INDIRECT("'"&amp;$B261&amp;"'!O23:O200")&lt;&gt;"")*(INDIRECT("'"&amp;$B261&amp;"'!H23:H200")=$G$5),INDIRECT("'"&amp;$B261&amp;"'!p23:p200"),0)))</f>
        <v>0</v>
      </c>
      <c r="I261" s="515">
        <f t="shared" ca="1" si="44"/>
        <v>2</v>
      </c>
      <c r="J261" s="513">
        <f t="shared" ca="1" si="45"/>
        <v>-0.5</v>
      </c>
    </row>
    <row r="262" spans="2:10">
      <c r="B262" s="563" t="str">
        <f t="shared" si="46"/>
        <v>Kyoto Sanga</v>
      </c>
      <c r="D262" s="511">
        <v>-0.5</v>
      </c>
      <c r="E262" s="564">
        <f t="array" aca="1" ref="E262" ca="1">IF($B262="N","",SUM(IF((INDIRECT("'"&amp;$B262&amp;"'!I23:I200")=$A$2)*(INDIRECT("'"&amp;$B262&amp;"'!O23:O200")=$D262)*(INDIRECT("'"&amp;$B262&amp;"'!O23:O200")&lt;&gt;"")*(INDIRECT("'"&amp;$B262&amp;"'!H23:H200")=$E$5),1,0)))</f>
        <v>2</v>
      </c>
      <c r="F262" s="565">
        <f t="array" aca="1" ref="F262" ca="1">IF($B262="N","",SUM(IF((INDIRECT("'"&amp;$B262&amp;"'!I23:I200")=$A$2)*(INDIRECT("'"&amp;$B262&amp;"'!O23:O200")=$D262)*(INDIRECT("'"&amp;$B262&amp;"'!O23:O200")&lt;&gt;"")*(INDIRECT("'"&amp;$B262&amp;"'!H23:H200")=$E$5),INDIRECT("'"&amp;$B262&amp;"'!p23:p200"),0)))</f>
        <v>0</v>
      </c>
      <c r="G262" s="564">
        <f t="array" aca="1" ref="G262" ca="1">IF($B262="N","",SUM(IF((INDIRECT("'"&amp;$B262&amp;"'!I23:I200")=$A$2)*(INDIRECT("'"&amp;$B262&amp;"'!O23:O200")=$D262)*(INDIRECT("'"&amp;$B262&amp;"'!O23:O200")&lt;&gt;"")*(INDIRECT("'"&amp;$B262&amp;"'!H23:H200")=$G$5),1,0)))</f>
        <v>1</v>
      </c>
      <c r="H262" s="565">
        <f t="array" aca="1" ref="H262" ca="1">IF($B262="N","",SUM(IF((INDIRECT("'"&amp;$B262&amp;"'!I23:I200")=$A$2)*(INDIRECT("'"&amp;$B262&amp;"'!O23:O200")=$D262)*(INDIRECT("'"&amp;$B262&amp;"'!O23:O200")&lt;&gt;"")*(INDIRECT("'"&amp;$B262&amp;"'!H23:H200")=$G$5),INDIRECT("'"&amp;$B262&amp;"'!p23:p200"),0)))</f>
        <v>-1</v>
      </c>
      <c r="I262" s="515">
        <f t="shared" ca="1" si="44"/>
        <v>3</v>
      </c>
      <c r="J262" s="513">
        <f t="shared" ca="1" si="45"/>
        <v>-1</v>
      </c>
    </row>
    <row r="263" spans="2:10">
      <c r="B263" s="563" t="str">
        <f t="shared" si="46"/>
        <v>Kyoto Sanga</v>
      </c>
      <c r="D263" s="511">
        <v>-0.25</v>
      </c>
      <c r="E263" s="564">
        <f t="array" aca="1" ref="E263" ca="1">IF($B263="N","",SUM(IF((INDIRECT("'"&amp;$B263&amp;"'!I23:I200")=$A$2)*(INDIRECT("'"&amp;$B263&amp;"'!O23:O200")=$D263)*(INDIRECT("'"&amp;$B263&amp;"'!O23:O200")&lt;&gt;"")*(INDIRECT("'"&amp;$B263&amp;"'!H23:H200")=$E$5),1,0)))</f>
        <v>8</v>
      </c>
      <c r="F263" s="565">
        <f t="array" aca="1" ref="F263" ca="1">IF($B263="N","",SUM(IF((INDIRECT("'"&amp;$B263&amp;"'!I23:I200")=$A$2)*(INDIRECT("'"&amp;$B263&amp;"'!O23:O200")=$D263)*(INDIRECT("'"&amp;$B263&amp;"'!O23:O200")&lt;&gt;"")*(INDIRECT("'"&amp;$B263&amp;"'!H23:H200")=$E$5),INDIRECT("'"&amp;$B263&amp;"'!p23:p200"),0)))</f>
        <v>-2</v>
      </c>
      <c r="G263" s="564">
        <f t="array" aca="1" ref="G263" ca="1">IF($B263="N","",SUM(IF((INDIRECT("'"&amp;$B263&amp;"'!I23:I200")=$A$2)*(INDIRECT("'"&amp;$B263&amp;"'!O23:O200")=$D263)*(INDIRECT("'"&amp;$B263&amp;"'!O23:O200")&lt;&gt;"")*(INDIRECT("'"&amp;$B263&amp;"'!H23:H200")=$G$5),1,0)))</f>
        <v>3</v>
      </c>
      <c r="H263" s="565">
        <f t="array" aca="1" ref="H263" ca="1">IF($B263="N","",SUM(IF((INDIRECT("'"&amp;$B263&amp;"'!I23:I200")=$A$2)*(INDIRECT("'"&amp;$B263&amp;"'!O23:O200")=$D263)*(INDIRECT("'"&amp;$B263&amp;"'!O23:O200")&lt;&gt;"")*(INDIRECT("'"&amp;$B263&amp;"'!H23:H200")=$G$5),INDIRECT("'"&amp;$B263&amp;"'!p23:p200"),0)))</f>
        <v>3</v>
      </c>
      <c r="I263" s="515">
        <f t="shared" ca="1" si="44"/>
        <v>11</v>
      </c>
      <c r="J263" s="513">
        <f t="shared" ca="1" si="45"/>
        <v>1</v>
      </c>
    </row>
    <row r="264" spans="2:10">
      <c r="B264" s="563" t="str">
        <f t="shared" si="46"/>
        <v>Kyoto Sanga</v>
      </c>
      <c r="D264" s="511">
        <v>0</v>
      </c>
      <c r="E264" s="564">
        <f t="array" aca="1" ref="E264" ca="1">IF($B264="N","",SUM(IF((INDIRECT("'"&amp;$B264&amp;"'!I23:I200")=$A$2)*(INDIRECT("'"&amp;$B264&amp;"'!O23:O200")=$D264)*(INDIRECT("'"&amp;$B264&amp;"'!O23:O200")&lt;&gt;"")*(INDIRECT("'"&amp;$B264&amp;"'!H23:H200")=$E$5),1,0)))</f>
        <v>4</v>
      </c>
      <c r="F264" s="565">
        <f t="array" aca="1" ref="F264" ca="1">IF($B264="N","",SUM(IF((INDIRECT("'"&amp;$B264&amp;"'!I23:I200")=$A$2)*(INDIRECT("'"&amp;$B264&amp;"'!O23:O200")=$D264)*(INDIRECT("'"&amp;$B264&amp;"'!O23:O200")&lt;&gt;"")*(INDIRECT("'"&amp;$B264&amp;"'!H23:H200")=$E$5),INDIRECT("'"&amp;$B264&amp;"'!p23:p200"),0)))</f>
        <v>2</v>
      </c>
      <c r="G264" s="564">
        <f t="array" aca="1" ref="G264" ca="1">IF($B264="N","",SUM(IF((INDIRECT("'"&amp;$B264&amp;"'!I23:I200")=$A$2)*(INDIRECT("'"&amp;$B264&amp;"'!O23:O200")=$D264)*(INDIRECT("'"&amp;$B264&amp;"'!O23:O200")&lt;&gt;"")*(INDIRECT("'"&amp;$B264&amp;"'!H23:H200")=$G$5),1,0)))</f>
        <v>10</v>
      </c>
      <c r="H264" s="565">
        <f t="array" aca="1" ref="H264" ca="1">IF($B264="N","",SUM(IF((INDIRECT("'"&amp;$B264&amp;"'!I23:I200")=$A$2)*(INDIRECT("'"&amp;$B264&amp;"'!O23:O200")=$D264)*(INDIRECT("'"&amp;$B264&amp;"'!O23:O200")&lt;&gt;"")*(INDIRECT("'"&amp;$B264&amp;"'!H23:H200")=$G$5),INDIRECT("'"&amp;$B264&amp;"'!p23:p200"),0)))</f>
        <v>-3</v>
      </c>
      <c r="I264" s="515">
        <f t="shared" ca="1" si="44"/>
        <v>14</v>
      </c>
      <c r="J264" s="513">
        <f t="shared" ca="1" si="45"/>
        <v>-1</v>
      </c>
    </row>
    <row r="265" spans="2:10">
      <c r="B265" s="563" t="str">
        <f t="shared" si="46"/>
        <v>Kyoto Sanga</v>
      </c>
      <c r="D265" s="511">
        <v>0.25</v>
      </c>
      <c r="E265" s="564">
        <f t="array" aca="1" ref="E265" ca="1">IF($B265="N","",SUM(IF((INDIRECT("'"&amp;$B265&amp;"'!I23:I200")=$A$2)*(INDIRECT("'"&amp;$B265&amp;"'!O23:O200")=$D265)*(INDIRECT("'"&amp;$B265&amp;"'!O23:O200")&lt;&gt;"")*(INDIRECT("'"&amp;$B265&amp;"'!H23:H200")=$E$5),1,0)))</f>
        <v>2</v>
      </c>
      <c r="F265" s="565">
        <f t="array" aca="1" ref="F265" ca="1">IF($B265="N","",SUM(IF((INDIRECT("'"&amp;$B265&amp;"'!I23:I200")=$A$2)*(INDIRECT("'"&amp;$B265&amp;"'!O23:O200")=$D265)*(INDIRECT("'"&amp;$B265&amp;"'!O23:O200")&lt;&gt;"")*(INDIRECT("'"&amp;$B265&amp;"'!H23:H200")=$E$5),INDIRECT("'"&amp;$B265&amp;"'!p23:p200"),0)))</f>
        <v>1</v>
      </c>
      <c r="G265" s="564">
        <f t="array" aca="1" ref="G265" ca="1">IF($B265="N","",SUM(IF((INDIRECT("'"&amp;$B265&amp;"'!I23:I200")=$A$2)*(INDIRECT("'"&amp;$B265&amp;"'!O23:O200")=$D265)*(INDIRECT("'"&amp;$B265&amp;"'!O23:O200")&lt;&gt;"")*(INDIRECT("'"&amp;$B265&amp;"'!H23:H200")=$G$5),1,0)))</f>
        <v>4</v>
      </c>
      <c r="H265" s="565">
        <f t="array" aca="1" ref="H265" ca="1">IF($B265="N","",SUM(IF((INDIRECT("'"&amp;$B265&amp;"'!I23:I200")=$A$2)*(INDIRECT("'"&amp;$B265&amp;"'!O23:O200")=$D265)*(INDIRECT("'"&amp;$B265&amp;"'!O23:O200")&lt;&gt;"")*(INDIRECT("'"&amp;$B265&amp;"'!H23:H200")=$G$5),INDIRECT("'"&amp;$B265&amp;"'!p23:p200"),0)))</f>
        <v>-0.5</v>
      </c>
      <c r="I265" s="515">
        <f t="shared" ca="1" si="44"/>
        <v>6</v>
      </c>
      <c r="J265" s="513">
        <f t="shared" ca="1" si="45"/>
        <v>0.5</v>
      </c>
    </row>
    <row r="266" spans="2:10">
      <c r="B266" s="563" t="str">
        <f t="shared" si="46"/>
        <v>Kyoto Sanga</v>
      </c>
      <c r="D266" s="511">
        <v>0.5</v>
      </c>
      <c r="E266" s="564">
        <f t="array" aca="1" ref="E266" ca="1">IF($B266="N","",SUM(IF((INDIRECT("'"&amp;$B266&amp;"'!I23:I200")=$A$2)*(INDIRECT("'"&amp;$B266&amp;"'!O23:O200")=$D266)*(INDIRECT("'"&amp;$B266&amp;"'!O23:O200")&lt;&gt;"")*(INDIRECT("'"&amp;$B266&amp;"'!H23:H200")=$E$5),1,0)))</f>
        <v>2</v>
      </c>
      <c r="F266" s="565">
        <f t="array" aca="1" ref="F266" ca="1">IF($B266="N","",SUM(IF((INDIRECT("'"&amp;$B266&amp;"'!I23:I200")=$A$2)*(INDIRECT("'"&amp;$B266&amp;"'!O23:O200")=$D266)*(INDIRECT("'"&amp;$B266&amp;"'!O23:O200")&lt;&gt;"")*(INDIRECT("'"&amp;$B266&amp;"'!H23:H200")=$E$5),INDIRECT("'"&amp;$B266&amp;"'!p23:p200"),0)))</f>
        <v>-2</v>
      </c>
      <c r="G266" s="564">
        <f t="array" aca="1" ref="G266" ca="1">IF($B266="N","",SUM(IF((INDIRECT("'"&amp;$B266&amp;"'!I23:I200")=$A$2)*(INDIRECT("'"&amp;$B266&amp;"'!O23:O200")=$D266)*(INDIRECT("'"&amp;$B266&amp;"'!O23:O200")&lt;&gt;"")*(INDIRECT("'"&amp;$B266&amp;"'!H23:H200")=$G$5),1,0)))</f>
        <v>2</v>
      </c>
      <c r="H266" s="565">
        <f t="array" aca="1" ref="H266" ca="1">IF($B266="N","",SUM(IF((INDIRECT("'"&amp;$B266&amp;"'!I23:I200")=$A$2)*(INDIRECT("'"&amp;$B266&amp;"'!O23:O200")=$D266)*(INDIRECT("'"&amp;$B266&amp;"'!O23:O200")&lt;&gt;"")*(INDIRECT("'"&amp;$B266&amp;"'!H23:H200")=$G$5),INDIRECT("'"&amp;$B266&amp;"'!p23:p200"),0)))</f>
        <v>2</v>
      </c>
      <c r="I266" s="515">
        <f t="shared" ca="1" si="44"/>
        <v>4</v>
      </c>
      <c r="J266" s="513">
        <f t="shared" ca="1" si="45"/>
        <v>0</v>
      </c>
    </row>
    <row r="267" spans="2:10">
      <c r="B267" s="563" t="str">
        <f t="shared" si="46"/>
        <v>Kyoto Sanga</v>
      </c>
      <c r="D267" s="511">
        <v>0.75</v>
      </c>
      <c r="E267" s="564">
        <f t="array" aca="1" ref="E267" ca="1">IF($B267="N","",SUM(IF((INDIRECT("'"&amp;$B267&amp;"'!I23:I200")=$A$2)*(INDIRECT("'"&amp;$B267&amp;"'!O23:O200")=$D267)*(INDIRECT("'"&amp;$B267&amp;"'!O23:O200")&lt;&gt;"")*(INDIRECT("'"&amp;$B267&amp;"'!H23:H200")=$E$5),1,0)))</f>
        <v>0</v>
      </c>
      <c r="F267" s="565">
        <f t="array" aca="1" ref="F267" ca="1">IF($B267="N","",SUM(IF((INDIRECT("'"&amp;$B267&amp;"'!I23:I200")=$A$2)*(INDIRECT("'"&amp;$B267&amp;"'!O23:O200")=$D267)*(INDIRECT("'"&amp;$B267&amp;"'!O23:O200")&lt;&gt;"")*(INDIRECT("'"&amp;$B267&amp;"'!H23:H200")=$E$5),INDIRECT("'"&amp;$B267&amp;"'!p23:p200"),0)))</f>
        <v>0</v>
      </c>
      <c r="G267" s="564">
        <f t="array" aca="1" ref="G267" ca="1">IF($B267="N","",SUM(IF((INDIRECT("'"&amp;$B267&amp;"'!I23:I200")=$A$2)*(INDIRECT("'"&amp;$B267&amp;"'!O23:O200")=$D267)*(INDIRECT("'"&amp;$B267&amp;"'!O23:O200")&lt;&gt;"")*(INDIRECT("'"&amp;$B267&amp;"'!H23:H200")=$G$5),1,0)))</f>
        <v>1</v>
      </c>
      <c r="H267" s="565">
        <f t="array" aca="1" ref="H267" ca="1">IF($B267="N","",SUM(IF((INDIRECT("'"&amp;$B267&amp;"'!I23:I200")=$A$2)*(INDIRECT("'"&amp;$B267&amp;"'!O23:O200")=$D267)*(INDIRECT("'"&amp;$B267&amp;"'!O23:O200")&lt;&gt;"")*(INDIRECT("'"&amp;$B267&amp;"'!H23:H200")=$G$5),INDIRECT("'"&amp;$B267&amp;"'!p23:p200"),0)))</f>
        <v>1</v>
      </c>
      <c r="I267" s="515">
        <f t="shared" ca="1" si="44"/>
        <v>1</v>
      </c>
      <c r="J267" s="513">
        <f t="shared" ca="1" si="45"/>
        <v>1</v>
      </c>
    </row>
    <row r="268" spans="2:10">
      <c r="B268" s="563" t="str">
        <f t="shared" si="46"/>
        <v>Kyoto Sanga</v>
      </c>
      <c r="D268" s="511">
        <v>1</v>
      </c>
      <c r="E268" s="564">
        <f t="array" aca="1" ref="E268" ca="1">IF($B268="N","",SUM(IF((INDIRECT("'"&amp;$B268&amp;"'!I23:I200")=$A$2)*(INDIRECT("'"&amp;$B268&amp;"'!O23:O200")=$D268)*(INDIRECT("'"&amp;$B268&amp;"'!O23:O200")&lt;&gt;"")*(INDIRECT("'"&amp;$B268&amp;"'!H23:H200")=$E$5),1,0)))</f>
        <v>0</v>
      </c>
      <c r="F268" s="565">
        <f t="array" aca="1" ref="F268" ca="1">IF($B268="N","",SUM(IF((INDIRECT("'"&amp;$B268&amp;"'!I23:I200")=$A$2)*(INDIRECT("'"&amp;$B268&amp;"'!O23:O200")=$D268)*(INDIRECT("'"&amp;$B268&amp;"'!O23:O200")&lt;&gt;"")*(INDIRECT("'"&amp;$B268&amp;"'!H23:H200")=$E$5),INDIRECT("'"&amp;$B268&amp;"'!p23:p200"),0)))</f>
        <v>0</v>
      </c>
      <c r="G268" s="564">
        <f t="array" aca="1" ref="G268" ca="1">IF($B268="N","",SUM(IF((INDIRECT("'"&amp;$B268&amp;"'!I23:I200")=$A$2)*(INDIRECT("'"&amp;$B268&amp;"'!O23:O200")=$D268)*(INDIRECT("'"&amp;$B268&amp;"'!O23:O200")&lt;&gt;"")*(INDIRECT("'"&amp;$B268&amp;"'!H23:H200")=$G$5),1,0)))</f>
        <v>0</v>
      </c>
      <c r="H268" s="565">
        <f t="array" aca="1" ref="H268" ca="1">IF($B268="N","",SUM(IF((INDIRECT("'"&amp;$B268&amp;"'!I23:I200")=$A$2)*(INDIRECT("'"&amp;$B268&amp;"'!O23:O200")=$D268)*(INDIRECT("'"&amp;$B268&amp;"'!O23:O200")&lt;&gt;"")*(INDIRECT("'"&amp;$B268&amp;"'!H23:H200")=$G$5),INDIRECT("'"&amp;$B268&amp;"'!p23:p200"),0)))</f>
        <v>0</v>
      </c>
      <c r="I268" s="515">
        <f t="shared" ca="1" si="44"/>
        <v>0</v>
      </c>
      <c r="J268" s="513">
        <f t="shared" ca="1" si="45"/>
        <v>0</v>
      </c>
    </row>
    <row r="269" spans="2:10">
      <c r="B269" s="563" t="str">
        <f t="shared" si="46"/>
        <v>Kyoto Sanga</v>
      </c>
      <c r="D269" s="511">
        <v>1.25</v>
      </c>
      <c r="E269" s="564">
        <f t="array" aca="1" ref="E269" ca="1">IF($B269="N","",SUM(IF((INDIRECT("'"&amp;$B269&amp;"'!I23:I200")=$A$2)*(INDIRECT("'"&amp;$B269&amp;"'!O23:O200")=$D269)*(INDIRECT("'"&amp;$B269&amp;"'!O23:O200")&lt;&gt;"")*(INDIRECT("'"&amp;$B269&amp;"'!H23:H200")=$E$5),1,0)))</f>
        <v>0</v>
      </c>
      <c r="F269" s="565">
        <f t="array" aca="1" ref="F269" ca="1">IF($B269="N","",SUM(IF((INDIRECT("'"&amp;$B269&amp;"'!I23:I200")=$A$2)*(INDIRECT("'"&amp;$B269&amp;"'!O23:O200")=$D269)*(INDIRECT("'"&amp;$B269&amp;"'!O23:O200")&lt;&gt;"")*(INDIRECT("'"&amp;$B269&amp;"'!H23:H200")=$E$5),INDIRECT("'"&amp;$B269&amp;"'!p23:p200"),0)))</f>
        <v>0</v>
      </c>
      <c r="G269" s="564">
        <f t="array" aca="1" ref="G269" ca="1">IF($B269="N","",SUM(IF((INDIRECT("'"&amp;$B269&amp;"'!I23:I200")=$A$2)*(INDIRECT("'"&amp;$B269&amp;"'!O23:O200")=$D269)*(INDIRECT("'"&amp;$B269&amp;"'!O23:O200")&lt;&gt;"")*(INDIRECT("'"&amp;$B269&amp;"'!H23:H200")=$G$5),1,0)))</f>
        <v>0</v>
      </c>
      <c r="H269" s="565">
        <f t="array" aca="1" ref="H269" ca="1">IF($B269="N","",SUM(IF((INDIRECT("'"&amp;$B269&amp;"'!I23:I200")=$A$2)*(INDIRECT("'"&amp;$B269&amp;"'!O23:O200")=$D269)*(INDIRECT("'"&amp;$B269&amp;"'!O23:O200")&lt;&gt;"")*(INDIRECT("'"&amp;$B269&amp;"'!H23:H200")=$G$5),INDIRECT("'"&amp;$B269&amp;"'!p23:p200"),0)))</f>
        <v>0</v>
      </c>
      <c r="I269" s="515">
        <f t="shared" ca="1" si="44"/>
        <v>0</v>
      </c>
      <c r="J269" s="513">
        <f t="shared" ca="1" si="45"/>
        <v>0</v>
      </c>
    </row>
    <row r="270" spans="2:10">
      <c r="B270" s="563" t="str">
        <f t="shared" si="46"/>
        <v>Kyoto Sanga</v>
      </c>
      <c r="D270" s="511">
        <v>1.5</v>
      </c>
      <c r="E270" s="564">
        <f t="array" aca="1" ref="E270" ca="1">IF($B270="N","",SUM(IF((INDIRECT("'"&amp;$B270&amp;"'!I23:I200")=$A$2)*(INDIRECT("'"&amp;$B270&amp;"'!O23:O200")=$D270)*(INDIRECT("'"&amp;$B270&amp;"'!O23:O200")&lt;&gt;"")*(INDIRECT("'"&amp;$B270&amp;"'!H23:H200")=$E$5),1,0)))</f>
        <v>0</v>
      </c>
      <c r="F270" s="565">
        <f t="array" aca="1" ref="F270" ca="1">IF($B270="N","",SUM(IF((INDIRECT("'"&amp;$B270&amp;"'!I23:I200")=$A$2)*(INDIRECT("'"&amp;$B270&amp;"'!O23:O200")=$D270)*(INDIRECT("'"&amp;$B270&amp;"'!O23:O200")&lt;&gt;"")*(INDIRECT("'"&amp;$B270&amp;"'!H23:H200")=$E$5),INDIRECT("'"&amp;$B270&amp;"'!p23:p200"),0)))</f>
        <v>0</v>
      </c>
      <c r="G270" s="564">
        <f t="array" aca="1" ref="G270" ca="1">IF($B270="N","",SUM(IF((INDIRECT("'"&amp;$B270&amp;"'!I23:I200")=$A$2)*(INDIRECT("'"&amp;$B270&amp;"'!O23:O200")=$D270)*(INDIRECT("'"&amp;$B270&amp;"'!O23:O200")&lt;&gt;"")*(INDIRECT("'"&amp;$B270&amp;"'!H23:H200")=$G$5),1,0)))</f>
        <v>0</v>
      </c>
      <c r="H270" s="565">
        <f t="array" aca="1" ref="H270" ca="1">IF($B270="N","",SUM(IF((INDIRECT("'"&amp;$B270&amp;"'!I23:I200")=$A$2)*(INDIRECT("'"&amp;$B270&amp;"'!O23:O200")=$D270)*(INDIRECT("'"&amp;$B270&amp;"'!O23:O200")&lt;&gt;"")*(INDIRECT("'"&amp;$B270&amp;"'!H23:H200")=$G$5),INDIRECT("'"&amp;$B270&amp;"'!p23:p200"),0)))</f>
        <v>0</v>
      </c>
      <c r="I270" s="515">
        <f t="shared" ca="1" si="44"/>
        <v>0</v>
      </c>
      <c r="J270" s="513">
        <f t="shared" ca="1" si="45"/>
        <v>0</v>
      </c>
    </row>
    <row r="271" spans="2:10">
      <c r="B271" s="563" t="str">
        <f t="shared" si="46"/>
        <v>Kyoto Sanga</v>
      </c>
      <c r="D271" s="528">
        <v>1.75</v>
      </c>
      <c r="E271" s="564">
        <f t="array" aca="1" ref="E271" ca="1">IF($B271="N","",SUM(IF((INDIRECT("'"&amp;$B271&amp;"'!I23:I200")=$A$2)*(INDIRECT("'"&amp;$B271&amp;"'!O23:O200")=$D271)*(INDIRECT("'"&amp;$B271&amp;"'!O23:O200")&lt;&gt;"")*(INDIRECT("'"&amp;$B271&amp;"'!H23:H200")=$E$5),1,0)))</f>
        <v>0</v>
      </c>
      <c r="F271" s="565">
        <f t="array" aca="1" ref="F271" ca="1">IF($B271="N","",SUM(IF((INDIRECT("'"&amp;$B271&amp;"'!I23:I200")=$A$2)*(INDIRECT("'"&amp;$B271&amp;"'!O23:O200")=$D271)*(INDIRECT("'"&amp;$B271&amp;"'!O23:O200")&lt;&gt;"")*(INDIRECT("'"&amp;$B271&amp;"'!H23:H200")=$E$5),INDIRECT("'"&amp;$B271&amp;"'!p23:p200"),0)))</f>
        <v>0</v>
      </c>
      <c r="G271" s="564">
        <f t="array" aca="1" ref="G271" ca="1">IF($B271="N","",SUM(IF((INDIRECT("'"&amp;$B271&amp;"'!I23:I200")=$A$2)*(INDIRECT("'"&amp;$B271&amp;"'!O23:O200")=$D271)*(INDIRECT("'"&amp;$B271&amp;"'!O23:O200")&lt;&gt;"")*(INDIRECT("'"&amp;$B271&amp;"'!H23:H200")=$G$5),1,0)))</f>
        <v>0</v>
      </c>
      <c r="H271" s="565">
        <f t="array" aca="1" ref="H271" ca="1">IF($B271="N","",SUM(IF((INDIRECT("'"&amp;$B271&amp;"'!I23:I200")=$A$2)*(INDIRECT("'"&amp;$B271&amp;"'!O23:O200")=$D271)*(INDIRECT("'"&amp;$B271&amp;"'!O23:O200")&lt;&gt;"")*(INDIRECT("'"&amp;$B271&amp;"'!H23:H200")=$G$5),INDIRECT("'"&amp;$B271&amp;"'!p23:p200"),0)))</f>
        <v>0</v>
      </c>
      <c r="I271" s="515">
        <f t="shared" ca="1" si="44"/>
        <v>0</v>
      </c>
      <c r="J271" s="513">
        <f t="shared" ca="1" si="45"/>
        <v>0</v>
      </c>
    </row>
    <row r="272" spans="2:10">
      <c r="B272" s="563" t="str">
        <f t="shared" si="46"/>
        <v>Kyoto Sanga</v>
      </c>
      <c r="D272" s="528">
        <v>2</v>
      </c>
      <c r="E272" s="564">
        <f t="array" aca="1" ref="E272" ca="1">IF($B272="N","",SUM(IF((INDIRECT("'"&amp;$B272&amp;"'!I23:I200")=$A$2)*(INDIRECT("'"&amp;$B272&amp;"'!O23:O200")=$D272)*(INDIRECT("'"&amp;$B272&amp;"'!O23:O200")&lt;&gt;"")*(INDIRECT("'"&amp;$B272&amp;"'!H23:H200")=$E$5),1,0)))</f>
        <v>0</v>
      </c>
      <c r="F272" s="565">
        <f t="array" aca="1" ref="F272" ca="1">IF($B272="N","",SUM(IF((INDIRECT("'"&amp;$B272&amp;"'!I23:I200")=$A$2)*(INDIRECT("'"&amp;$B272&amp;"'!O23:O200")=$D272)*(INDIRECT("'"&amp;$B272&amp;"'!O23:O200")&lt;&gt;"")*(INDIRECT("'"&amp;$B272&amp;"'!H23:H200")=$E$5),INDIRECT("'"&amp;$B272&amp;"'!p23:p200"),0)))</f>
        <v>0</v>
      </c>
      <c r="G272" s="564">
        <f t="array" aca="1" ref="G272" ca="1">IF($B272="N","",SUM(IF((INDIRECT("'"&amp;$B272&amp;"'!I23:I200")=$A$2)*(INDIRECT("'"&amp;$B272&amp;"'!O23:O200")=$D272)*(INDIRECT("'"&amp;$B272&amp;"'!O23:O200")&lt;&gt;"")*(INDIRECT("'"&amp;$B272&amp;"'!H23:H200")=$G$5),1,0)))</f>
        <v>0</v>
      </c>
      <c r="H272" s="565">
        <f t="array" aca="1" ref="H272" ca="1">IF($B272="N","",SUM(IF((INDIRECT("'"&amp;$B272&amp;"'!I23:I200")=$A$2)*(INDIRECT("'"&amp;$B272&amp;"'!O23:O200")=$D272)*(INDIRECT("'"&amp;$B272&amp;"'!O23:O200")&lt;&gt;"")*(INDIRECT("'"&amp;$B272&amp;"'!H23:H200")=$G$5),INDIRECT("'"&amp;$B272&amp;"'!p23:p200"),0)))</f>
        <v>0</v>
      </c>
      <c r="I272" s="515">
        <f t="shared" ca="1" si="44"/>
        <v>0</v>
      </c>
      <c r="J272" s="513">
        <f t="shared" ca="1" si="45"/>
        <v>0</v>
      </c>
    </row>
    <row r="273" spans="1:10">
      <c r="B273" s="563" t="str">
        <f t="shared" si="46"/>
        <v>Kyoto Sanga</v>
      </c>
      <c r="D273" s="528">
        <v>2.25</v>
      </c>
      <c r="E273" s="564">
        <f t="array" aca="1" ref="E273" ca="1">IF($B273="N","",SUM(IF((INDIRECT("'"&amp;$B273&amp;"'!I23:I200")=$A$2)*(INDIRECT("'"&amp;$B273&amp;"'!O23:O200")=$D273)*(INDIRECT("'"&amp;$B273&amp;"'!O23:O200")&lt;&gt;"")*(INDIRECT("'"&amp;$B273&amp;"'!H23:H200")=$E$5),1,0)))</f>
        <v>0</v>
      </c>
      <c r="F273" s="565">
        <f t="array" aca="1" ref="F273" ca="1">IF($B273="N","",SUM(IF((INDIRECT("'"&amp;$B273&amp;"'!I23:I200")=$A$2)*(INDIRECT("'"&amp;$B273&amp;"'!O23:O200")=$D273)*(INDIRECT("'"&amp;$B273&amp;"'!O23:O200")&lt;&gt;"")*(INDIRECT("'"&amp;$B273&amp;"'!H23:H200")=$E$5),INDIRECT("'"&amp;$B273&amp;"'!p23:p200"),0)))</f>
        <v>0</v>
      </c>
      <c r="G273" s="564">
        <f t="array" aca="1" ref="G273" ca="1">IF($B273="N","",SUM(IF((INDIRECT("'"&amp;$B273&amp;"'!I23:I200")=$A$2)*(INDIRECT("'"&amp;$B273&amp;"'!O23:O200")=$D273)*(INDIRECT("'"&amp;$B273&amp;"'!O23:O200")&lt;&gt;"")*(INDIRECT("'"&amp;$B273&amp;"'!H23:H200")=$G$5),1,0)))</f>
        <v>0</v>
      </c>
      <c r="H273" s="565">
        <f t="array" aca="1" ref="H273" ca="1">IF($B273="N","",SUM(IF((INDIRECT("'"&amp;$B273&amp;"'!I23:I200")=$A$2)*(INDIRECT("'"&amp;$B273&amp;"'!O23:O200")=$D273)*(INDIRECT("'"&amp;$B273&amp;"'!O23:O200")&lt;&gt;"")*(INDIRECT("'"&amp;$B273&amp;"'!H23:H200")=$G$5),INDIRECT("'"&amp;$B273&amp;"'!p23:p200"),0)))</f>
        <v>0</v>
      </c>
      <c r="I273" s="515">
        <f t="shared" ca="1" si="44"/>
        <v>0</v>
      </c>
      <c r="J273" s="513">
        <f t="shared" ca="1" si="45"/>
        <v>0</v>
      </c>
    </row>
    <row r="274" spans="1:10">
      <c r="B274" s="563" t="str">
        <f t="shared" si="46"/>
        <v>Kyoto Sanga</v>
      </c>
      <c r="D274" s="528">
        <v>2.5</v>
      </c>
      <c r="E274" s="564">
        <f t="array" aca="1" ref="E274" ca="1">IF($B274="N","",SUM(IF((INDIRECT("'"&amp;$B274&amp;"'!I23:I200")=$A$2)*(INDIRECT("'"&amp;$B274&amp;"'!O23:O200")=$D274)*(INDIRECT("'"&amp;$B274&amp;"'!O23:O200")&lt;&gt;"")*(INDIRECT("'"&amp;$B274&amp;"'!H23:H200")=$E$5),1,0)))</f>
        <v>0</v>
      </c>
      <c r="F274" s="565">
        <f t="array" aca="1" ref="F274" ca="1">IF($B274="N","",SUM(IF((INDIRECT("'"&amp;$B274&amp;"'!I23:I200")=$A$2)*(INDIRECT("'"&amp;$B274&amp;"'!O23:O200")=$D274)*(INDIRECT("'"&amp;$B274&amp;"'!O23:O200")&lt;&gt;"")*(INDIRECT("'"&amp;$B274&amp;"'!H23:H200")=$E$5),INDIRECT("'"&amp;$B274&amp;"'!p23:p200"),0)))</f>
        <v>0</v>
      </c>
      <c r="G274" s="564">
        <f t="array" aca="1" ref="G274" ca="1">IF($B274="N","",SUM(IF((INDIRECT("'"&amp;$B274&amp;"'!I23:I200")=$A$2)*(INDIRECT("'"&amp;$B274&amp;"'!O23:O200")=$D274)*(INDIRECT("'"&amp;$B274&amp;"'!O23:O200")&lt;&gt;"")*(INDIRECT("'"&amp;$B274&amp;"'!H23:H200")=$G$5),1,0)))</f>
        <v>0</v>
      </c>
      <c r="H274" s="565">
        <f t="array" aca="1" ref="H274" ca="1">IF($B274="N","",SUM(IF((INDIRECT("'"&amp;$B274&amp;"'!I23:I200")=$A$2)*(INDIRECT("'"&amp;$B274&amp;"'!O23:O200")=$D274)*(INDIRECT("'"&amp;$B274&amp;"'!O23:O200")&lt;&gt;"")*(INDIRECT("'"&amp;$B274&amp;"'!H23:H200")=$G$5),INDIRECT("'"&amp;$B274&amp;"'!p23:p200"),0)))</f>
        <v>0</v>
      </c>
      <c r="I274" s="515">
        <f t="shared" ca="1" si="44"/>
        <v>0</v>
      </c>
      <c r="J274" s="513">
        <f t="shared" ca="1" si="45"/>
        <v>0</v>
      </c>
    </row>
    <row r="275" spans="1:10" ht="15" thickBot="1">
      <c r="B275" s="563" t="str">
        <f t="shared" si="46"/>
        <v>Kyoto Sanga</v>
      </c>
      <c r="D275" s="511">
        <v>2.75</v>
      </c>
      <c r="E275" s="564">
        <f t="array" aca="1" ref="E275" ca="1">IF($B275="N","",SUM(IF((INDIRECT("'"&amp;$B275&amp;"'!I23:I200")=$A$2)*(INDIRECT("'"&amp;$B275&amp;"'!O23:O200")=$D275)*(INDIRECT("'"&amp;$B275&amp;"'!O23:O200")&lt;&gt;"")*(INDIRECT("'"&amp;$B275&amp;"'!H23:H200")=$E$5),1,0)))</f>
        <v>0</v>
      </c>
      <c r="F275" s="565">
        <f t="array" aca="1" ref="F275" ca="1">IF($B275="N","",SUM(IF((INDIRECT("'"&amp;$B275&amp;"'!I23:I200")=$A$2)*(INDIRECT("'"&amp;$B275&amp;"'!O23:O200")=$D275)*(INDIRECT("'"&amp;$B275&amp;"'!O23:O200")&lt;&gt;"")*(INDIRECT("'"&amp;$B275&amp;"'!H23:H200")=$E$5),INDIRECT("'"&amp;$B275&amp;"'!p23:p200"),0)))</f>
        <v>0</v>
      </c>
      <c r="G275" s="564">
        <f t="array" aca="1" ref="G275" ca="1">IF($B275="N","",SUM(IF((INDIRECT("'"&amp;$B275&amp;"'!I23:I200")=$A$2)*(INDIRECT("'"&amp;$B275&amp;"'!O23:O200")=$D275)*(INDIRECT("'"&amp;$B275&amp;"'!O23:O200")&lt;&gt;"")*(INDIRECT("'"&amp;$B275&amp;"'!H23:H200")=$G$5),1,0)))</f>
        <v>0</v>
      </c>
      <c r="H275" s="565">
        <f t="array" aca="1" ref="H275" ca="1">IF($B275="N","",SUM(IF((INDIRECT("'"&amp;$B275&amp;"'!I23:I200")=$A$2)*(INDIRECT("'"&amp;$B275&amp;"'!O23:O200")=$D275)*(INDIRECT("'"&amp;$B275&amp;"'!O23:O200")&lt;&gt;"")*(INDIRECT("'"&amp;$B275&amp;"'!H23:H200")=$G$5),INDIRECT("'"&amp;$B275&amp;"'!p23:p200"),0)))</f>
        <v>0</v>
      </c>
      <c r="I275" s="515">
        <f t="shared" ca="1" si="44"/>
        <v>0</v>
      </c>
      <c r="J275" s="513">
        <f t="shared" ca="1" si="45"/>
        <v>0</v>
      </c>
    </row>
    <row r="276" spans="1:10" ht="15" thickBot="1">
      <c r="A276" s="567"/>
      <c r="B276" s="568"/>
      <c r="C276" s="569" t="str">
        <f>D251</f>
        <v>Kyoto Sanga</v>
      </c>
      <c r="D276" s="570" t="s">
        <v>115</v>
      </c>
      <c r="E276" s="571">
        <f t="shared" ref="E276:J276" ca="1" si="47">SUM(E253:E275)</f>
        <v>21</v>
      </c>
      <c r="F276" s="572">
        <f t="shared" ca="1" si="47"/>
        <v>-1.5</v>
      </c>
      <c r="G276" s="571">
        <f t="shared" ca="1" si="47"/>
        <v>21</v>
      </c>
      <c r="H276" s="572">
        <f t="shared" ca="1" si="47"/>
        <v>1.5</v>
      </c>
      <c r="I276" s="573">
        <f t="shared" ca="1" si="47"/>
        <v>42</v>
      </c>
      <c r="J276" s="572">
        <f t="shared" ca="1" si="47"/>
        <v>0</v>
      </c>
    </row>
    <row r="277" spans="1:10" ht="15" thickBot="1">
      <c r="A277" s="567"/>
      <c r="C277" s="576"/>
    </row>
    <row r="278" spans="1:10">
      <c r="A278" s="567"/>
      <c r="B278" s="357"/>
      <c r="C278" s="569"/>
      <c r="D278" s="562" t="str">
        <f>M1</f>
        <v>Machida Zelvia</v>
      </c>
      <c r="E278" s="490" t="s">
        <v>80</v>
      </c>
      <c r="F278" s="491"/>
      <c r="G278" s="490" t="s">
        <v>81</v>
      </c>
      <c r="H278" s="491"/>
      <c r="I278" s="490" t="s">
        <v>82</v>
      </c>
      <c r="J278" s="492"/>
    </row>
    <row r="279" spans="1:10" ht="15" thickBot="1">
      <c r="B279" s="357"/>
      <c r="C279" s="357"/>
      <c r="D279" s="499" t="s">
        <v>120</v>
      </c>
      <c r="E279" s="497" t="s">
        <v>123</v>
      </c>
      <c r="F279" s="552" t="s">
        <v>124</v>
      </c>
      <c r="G279" s="497" t="s">
        <v>123</v>
      </c>
      <c r="H279" s="552" t="s">
        <v>124</v>
      </c>
      <c r="I279" s="501" t="s">
        <v>123</v>
      </c>
      <c r="J279" s="552" t="s">
        <v>124</v>
      </c>
    </row>
    <row r="280" spans="1:10">
      <c r="B280" s="563" t="str">
        <f>IF(D278=0,"N",D278)</f>
        <v>Machida Zelvia</v>
      </c>
      <c r="D280" s="511">
        <v>-2.75</v>
      </c>
      <c r="E280" s="564">
        <f t="array" aca="1" ref="E280" ca="1">IF($B280="N","",SUM(IF((INDIRECT("'"&amp;$B280&amp;"'!I23:I200")=$A$2)*(INDIRECT("'"&amp;$B280&amp;"'!O23:O200")=$D280)*(INDIRECT("'"&amp;$B280&amp;"'!O23:O200")&lt;&gt;"")*(INDIRECT("'"&amp;$B280&amp;"'!H23:H200")=$E$5),1,0)))</f>
        <v>0</v>
      </c>
      <c r="F280" s="565">
        <f t="array" aca="1" ref="F280" ca="1">IF($B280="N","",SUM(IF((INDIRECT("'"&amp;$B280&amp;"'!I23:I200")=$A$2)*(INDIRECT("'"&amp;$B280&amp;"'!O23:O200")=$D280)*(INDIRECT("'"&amp;$B280&amp;"'!O23:O200")&lt;&gt;"")*(INDIRECT("'"&amp;$B280&amp;"'!H23:H200")=$E$5),INDIRECT("'"&amp;$B280&amp;"'!p23:p200"),0)))</f>
        <v>0</v>
      </c>
      <c r="G280" s="564">
        <f t="array" aca="1" ref="G280" ca="1">IF($B280="N","",SUM(IF((INDIRECT("'"&amp;$B280&amp;"'!I23:I200")=$A$2)*(INDIRECT("'"&amp;$B280&amp;"'!O23:O200")=$D280)*(INDIRECT("'"&amp;$B280&amp;"'!O23:O200")&lt;&gt;"")*(INDIRECT("'"&amp;$B280&amp;"'!H23:H200")=$G$5),1,0)))</f>
        <v>0</v>
      </c>
      <c r="H280" s="565">
        <f t="array" aca="1" ref="H280" ca="1">IF($B280="N","",SUM(IF((INDIRECT("'"&amp;$B280&amp;"'!I23:I200")=$A$2)*(INDIRECT("'"&amp;$B280&amp;"'!O23:O200")=$D280)*(INDIRECT("'"&amp;$B280&amp;"'!O23:O200")&lt;&gt;"")*(INDIRECT("'"&amp;$B280&amp;"'!H23:H200")=$G$5),INDIRECT("'"&amp;$B280&amp;"'!p23:p200"),0)))</f>
        <v>0</v>
      </c>
      <c r="I280" s="515">
        <f t="shared" ref="I280:I302" ca="1" si="48">IF(B280="N","",G280+E280)</f>
        <v>0</v>
      </c>
      <c r="J280" s="513">
        <f t="shared" ref="J280:J302" ca="1" si="49">IF(I280="","",F280+H280)</f>
        <v>0</v>
      </c>
    </row>
    <row r="281" spans="1:10">
      <c r="B281" s="563" t="str">
        <f>B280</f>
        <v>Machida Zelvia</v>
      </c>
      <c r="D281" s="520">
        <v>-2.5</v>
      </c>
      <c r="E281" s="564">
        <f t="array" aca="1" ref="E281" ca="1">IF($B281="N","",SUM(IF((INDIRECT("'"&amp;$B281&amp;"'!I23:I200")=$A$2)*(INDIRECT("'"&amp;$B281&amp;"'!O23:O200")=$D281)*(INDIRECT("'"&amp;$B281&amp;"'!O23:O200")&lt;&gt;"")*(INDIRECT("'"&amp;$B281&amp;"'!H23:H200")=$E$5),1,0)))</f>
        <v>0</v>
      </c>
      <c r="F281" s="565">
        <f t="array" aca="1" ref="F281" ca="1">IF($B281="N","",SUM(IF((INDIRECT("'"&amp;$B281&amp;"'!I23:I200")=$A$2)*(INDIRECT("'"&amp;$B281&amp;"'!O23:O200")=$D281)*(INDIRECT("'"&amp;$B281&amp;"'!O23:O200")&lt;&gt;"")*(INDIRECT("'"&amp;$B281&amp;"'!H23:H200")=$E$5),INDIRECT("'"&amp;$B281&amp;"'!p23:p200"),0)))</f>
        <v>0</v>
      </c>
      <c r="G281" s="564">
        <f t="array" aca="1" ref="G281" ca="1">IF($B281="N","",SUM(IF((INDIRECT("'"&amp;$B281&amp;"'!I23:I200")=$A$2)*(INDIRECT("'"&amp;$B281&amp;"'!O23:O200")=$D281)*(INDIRECT("'"&amp;$B281&amp;"'!O23:O200")&lt;&gt;"")*(INDIRECT("'"&amp;$B281&amp;"'!H23:H200")=$G$5),1,0)))</f>
        <v>0</v>
      </c>
      <c r="H281" s="565">
        <f t="array" aca="1" ref="H281" ca="1">IF($B281="N","",SUM(IF((INDIRECT("'"&amp;$B281&amp;"'!I23:I200")=$A$2)*(INDIRECT("'"&amp;$B281&amp;"'!O23:O200")=$D281)*(INDIRECT("'"&amp;$B281&amp;"'!O23:O200")&lt;&gt;"")*(INDIRECT("'"&amp;$B281&amp;"'!H23:H200")=$G$5),INDIRECT("'"&amp;$B281&amp;"'!p23:p200"),0)))</f>
        <v>0</v>
      </c>
      <c r="I281" s="515">
        <f t="shared" ca="1" si="48"/>
        <v>0</v>
      </c>
      <c r="J281" s="513">
        <f t="shared" ca="1" si="49"/>
        <v>0</v>
      </c>
    </row>
    <row r="282" spans="1:10">
      <c r="B282" s="563" t="str">
        <f t="shared" ref="B282:B302" si="50">B281</f>
        <v>Machida Zelvia</v>
      </c>
      <c r="D282" s="520">
        <v>-2.25</v>
      </c>
      <c r="E282" s="564">
        <f t="array" aca="1" ref="E282" ca="1">IF($B282="N","",SUM(IF((INDIRECT("'"&amp;$B282&amp;"'!I23:I200")=$A$2)*(INDIRECT("'"&amp;$B282&amp;"'!O23:O200")=$D282)*(INDIRECT("'"&amp;$B282&amp;"'!O23:O200")&lt;&gt;"")*(INDIRECT("'"&amp;$B282&amp;"'!H23:H200")=$E$5),1,0)))</f>
        <v>0</v>
      </c>
      <c r="F282" s="565">
        <f t="array" aca="1" ref="F282" ca="1">IF($B282="N","",SUM(IF((INDIRECT("'"&amp;$B282&amp;"'!I23:I200")=$A$2)*(INDIRECT("'"&amp;$B282&amp;"'!O23:O200")=$D282)*(INDIRECT("'"&amp;$B282&amp;"'!O23:O200")&lt;&gt;"")*(INDIRECT("'"&amp;$B282&amp;"'!H23:H200")=$E$5),INDIRECT("'"&amp;$B282&amp;"'!p23:p200"),0)))</f>
        <v>0</v>
      </c>
      <c r="G282" s="564">
        <f t="array" aca="1" ref="G282" ca="1">IF($B282="N","",SUM(IF((INDIRECT("'"&amp;$B282&amp;"'!I23:I200")=$A$2)*(INDIRECT("'"&amp;$B282&amp;"'!O23:O200")=$D282)*(INDIRECT("'"&amp;$B282&amp;"'!O23:O200")&lt;&gt;"")*(INDIRECT("'"&amp;$B282&amp;"'!H23:H200")=$G$5),1,0)))</f>
        <v>0</v>
      </c>
      <c r="H282" s="565">
        <f t="array" aca="1" ref="H282" ca="1">IF($B282="N","",SUM(IF((INDIRECT("'"&amp;$B282&amp;"'!I23:I200")=$A$2)*(INDIRECT("'"&amp;$B282&amp;"'!O23:O200")=$D282)*(INDIRECT("'"&amp;$B282&amp;"'!O23:O200")&lt;&gt;"")*(INDIRECT("'"&amp;$B282&amp;"'!H23:H200")=$G$5),INDIRECT("'"&amp;$B282&amp;"'!p23:p200"),0)))</f>
        <v>0</v>
      </c>
      <c r="I282" s="515">
        <f t="shared" ca="1" si="48"/>
        <v>0</v>
      </c>
      <c r="J282" s="513">
        <f t="shared" ca="1" si="49"/>
        <v>0</v>
      </c>
    </row>
    <row r="283" spans="1:10">
      <c r="B283" s="563" t="str">
        <f t="shared" si="50"/>
        <v>Machida Zelvia</v>
      </c>
      <c r="D283" s="520">
        <v>-2</v>
      </c>
      <c r="E283" s="564">
        <f t="array" aca="1" ref="E283" ca="1">IF($B283="N","",SUM(IF((INDIRECT("'"&amp;$B283&amp;"'!I23:I200")=$A$2)*(INDIRECT("'"&amp;$B283&amp;"'!O23:O200")=$D283)*(INDIRECT("'"&amp;$B283&amp;"'!O23:O200")&lt;&gt;"")*(INDIRECT("'"&amp;$B283&amp;"'!H23:H200")=$E$5),1,0)))</f>
        <v>0</v>
      </c>
      <c r="F283" s="565">
        <f t="array" aca="1" ref="F283" ca="1">IF($B283="N","",SUM(IF((INDIRECT("'"&amp;$B283&amp;"'!I23:I200")=$A$2)*(INDIRECT("'"&amp;$B283&amp;"'!O23:O200")=$D283)*(INDIRECT("'"&amp;$B283&amp;"'!O23:O200")&lt;&gt;"")*(INDIRECT("'"&amp;$B283&amp;"'!H23:H200")=$E$5),INDIRECT("'"&amp;$B283&amp;"'!p23:p200"),0)))</f>
        <v>0</v>
      </c>
      <c r="G283" s="564">
        <f t="array" aca="1" ref="G283" ca="1">IF($B283="N","",SUM(IF((INDIRECT("'"&amp;$B283&amp;"'!I23:I200")=$A$2)*(INDIRECT("'"&amp;$B283&amp;"'!O23:O200")=$D283)*(INDIRECT("'"&amp;$B283&amp;"'!O23:O200")&lt;&gt;"")*(INDIRECT("'"&amp;$B283&amp;"'!H23:H200")=$G$5),1,0)))</f>
        <v>0</v>
      </c>
      <c r="H283" s="565">
        <f t="array" aca="1" ref="H283" ca="1">IF($B283="N","",SUM(IF((INDIRECT("'"&amp;$B283&amp;"'!I23:I200")=$A$2)*(INDIRECT("'"&amp;$B283&amp;"'!O23:O200")=$D283)*(INDIRECT("'"&amp;$B283&amp;"'!O23:O200")&lt;&gt;"")*(INDIRECT("'"&amp;$B283&amp;"'!H23:H200")=$G$5),INDIRECT("'"&amp;$B283&amp;"'!p23:p200"),0)))</f>
        <v>0</v>
      </c>
      <c r="I283" s="515">
        <f t="shared" ca="1" si="48"/>
        <v>0</v>
      </c>
      <c r="J283" s="513">
        <f t="shared" ca="1" si="49"/>
        <v>0</v>
      </c>
    </row>
    <row r="284" spans="1:10">
      <c r="B284" s="563" t="str">
        <f t="shared" si="50"/>
        <v>Machida Zelvia</v>
      </c>
      <c r="D284" s="520">
        <v>-1.75</v>
      </c>
      <c r="E284" s="564">
        <f t="array" aca="1" ref="E284" ca="1">IF($B284="N","",SUM(IF((INDIRECT("'"&amp;$B284&amp;"'!I23:I200")=$A$2)*(INDIRECT("'"&amp;$B284&amp;"'!O23:O200")=$D284)*(INDIRECT("'"&amp;$B284&amp;"'!O23:O200")&lt;&gt;"")*(INDIRECT("'"&amp;$B284&amp;"'!H23:H200")=$E$5),1,0)))</f>
        <v>0</v>
      </c>
      <c r="F284" s="565">
        <f t="array" aca="1" ref="F284" ca="1">IF($B284="N","",SUM(IF((INDIRECT("'"&amp;$B284&amp;"'!I23:I200")=$A$2)*(INDIRECT("'"&amp;$B284&amp;"'!O23:O200")=$D284)*(INDIRECT("'"&amp;$B284&amp;"'!O23:O200")&lt;&gt;"")*(INDIRECT("'"&amp;$B284&amp;"'!H23:H200")=$E$5),INDIRECT("'"&amp;$B284&amp;"'!p23:p200"),0)))</f>
        <v>0</v>
      </c>
      <c r="G284" s="564">
        <f t="array" aca="1" ref="G284" ca="1">IF($B284="N","",SUM(IF((INDIRECT("'"&amp;$B284&amp;"'!I23:I200")=$A$2)*(INDIRECT("'"&amp;$B284&amp;"'!O23:O200")=$D284)*(INDIRECT("'"&amp;$B284&amp;"'!O23:O200")&lt;&gt;"")*(INDIRECT("'"&amp;$B284&amp;"'!H23:H200")=$G$5),1,0)))</f>
        <v>0</v>
      </c>
      <c r="H284" s="565">
        <f t="array" aca="1" ref="H284" ca="1">IF($B284="N","",SUM(IF((INDIRECT("'"&amp;$B284&amp;"'!I23:I200")=$A$2)*(INDIRECT("'"&amp;$B284&amp;"'!O23:O200")=$D284)*(INDIRECT("'"&amp;$B284&amp;"'!O23:O200")&lt;&gt;"")*(INDIRECT("'"&amp;$B284&amp;"'!H23:H200")=$G$5),INDIRECT("'"&amp;$B284&amp;"'!p23:p200"),0)))</f>
        <v>0</v>
      </c>
      <c r="I284" s="515">
        <f t="shared" ca="1" si="48"/>
        <v>0</v>
      </c>
      <c r="J284" s="513">
        <f t="shared" ca="1" si="49"/>
        <v>0</v>
      </c>
    </row>
    <row r="285" spans="1:10">
      <c r="B285" s="563" t="str">
        <f t="shared" si="50"/>
        <v>Machida Zelvia</v>
      </c>
      <c r="D285" s="511">
        <v>-1.5</v>
      </c>
      <c r="E285" s="564">
        <f t="array" aca="1" ref="E285" ca="1">IF($B285="N","",SUM(IF((INDIRECT("'"&amp;$B285&amp;"'!I23:I200")=$A$2)*(INDIRECT("'"&amp;$B285&amp;"'!O23:O200")=$D285)*(INDIRECT("'"&amp;$B285&amp;"'!O23:O200")&lt;&gt;"")*(INDIRECT("'"&amp;$B285&amp;"'!H23:H200")=$E$5),1,0)))</f>
        <v>0</v>
      </c>
      <c r="F285" s="565">
        <f t="array" aca="1" ref="F285" ca="1">IF($B285="N","",SUM(IF((INDIRECT("'"&amp;$B285&amp;"'!I23:I200")=$A$2)*(INDIRECT("'"&amp;$B285&amp;"'!O23:O200")=$D285)*(INDIRECT("'"&amp;$B285&amp;"'!O23:O200")&lt;&gt;"")*(INDIRECT("'"&amp;$B285&amp;"'!H23:H200")=$E$5),INDIRECT("'"&amp;$B285&amp;"'!p23:p200"),0)))</f>
        <v>0</v>
      </c>
      <c r="G285" s="564">
        <f t="array" aca="1" ref="G285" ca="1">IF($B285="N","",SUM(IF((INDIRECT("'"&amp;$B285&amp;"'!I23:I200")=$A$2)*(INDIRECT("'"&amp;$B285&amp;"'!O23:O200")=$D285)*(INDIRECT("'"&amp;$B285&amp;"'!O23:O200")&lt;&gt;"")*(INDIRECT("'"&amp;$B285&amp;"'!H23:H200")=$G$5),1,0)))</f>
        <v>0</v>
      </c>
      <c r="H285" s="565">
        <f t="array" aca="1" ref="H285" ca="1">IF($B285="N","",SUM(IF((INDIRECT("'"&amp;$B285&amp;"'!I23:I200")=$A$2)*(INDIRECT("'"&amp;$B285&amp;"'!O23:O200")=$D285)*(INDIRECT("'"&amp;$B285&amp;"'!O23:O200")&lt;&gt;"")*(INDIRECT("'"&amp;$B285&amp;"'!H23:H200")=$G$5),INDIRECT("'"&amp;$B285&amp;"'!p23:p200"),0)))</f>
        <v>0</v>
      </c>
      <c r="I285" s="515">
        <f t="shared" ca="1" si="48"/>
        <v>0</v>
      </c>
      <c r="J285" s="513">
        <f t="shared" ca="1" si="49"/>
        <v>0</v>
      </c>
    </row>
    <row r="286" spans="1:10">
      <c r="B286" s="563" t="str">
        <f t="shared" si="50"/>
        <v>Machida Zelvia</v>
      </c>
      <c r="D286" s="511">
        <v>-1.25</v>
      </c>
      <c r="E286" s="564">
        <f t="array" aca="1" ref="E286" ca="1">IF($B286="N","",SUM(IF((INDIRECT("'"&amp;$B286&amp;"'!I23:I200")=$A$2)*(INDIRECT("'"&amp;$B286&amp;"'!O23:O200")=$D286)*(INDIRECT("'"&amp;$B286&amp;"'!O23:O200")&lt;&gt;"")*(INDIRECT("'"&amp;$B286&amp;"'!H23:H200")=$E$5),1,0)))</f>
        <v>0</v>
      </c>
      <c r="F286" s="565">
        <f t="array" aca="1" ref="F286" ca="1">IF($B286="N","",SUM(IF((INDIRECT("'"&amp;$B286&amp;"'!I23:I200")=$A$2)*(INDIRECT("'"&amp;$B286&amp;"'!O23:O200")=$D286)*(INDIRECT("'"&amp;$B286&amp;"'!O23:O200")&lt;&gt;"")*(INDIRECT("'"&amp;$B286&amp;"'!H23:H200")=$E$5),INDIRECT("'"&amp;$B286&amp;"'!p23:p200"),0)))</f>
        <v>0</v>
      </c>
      <c r="G286" s="564">
        <f t="array" aca="1" ref="G286" ca="1">IF($B286="N","",SUM(IF((INDIRECT("'"&amp;$B286&amp;"'!I23:I200")=$A$2)*(INDIRECT("'"&amp;$B286&amp;"'!O23:O200")=$D286)*(INDIRECT("'"&amp;$B286&amp;"'!O23:O200")&lt;&gt;"")*(INDIRECT("'"&amp;$B286&amp;"'!H23:H200")=$G$5),1,0)))</f>
        <v>0</v>
      </c>
      <c r="H286" s="565">
        <f t="array" aca="1" ref="H286" ca="1">IF($B286="N","",SUM(IF((INDIRECT("'"&amp;$B286&amp;"'!I23:I200")=$A$2)*(INDIRECT("'"&amp;$B286&amp;"'!O23:O200")=$D286)*(INDIRECT("'"&amp;$B286&amp;"'!O23:O200")&lt;&gt;"")*(INDIRECT("'"&amp;$B286&amp;"'!H23:H200")=$G$5),INDIRECT("'"&amp;$B286&amp;"'!p23:p200"),0)))</f>
        <v>0</v>
      </c>
      <c r="I286" s="515">
        <f t="shared" ca="1" si="48"/>
        <v>0</v>
      </c>
      <c r="J286" s="513">
        <f t="shared" ca="1" si="49"/>
        <v>0</v>
      </c>
    </row>
    <row r="287" spans="1:10">
      <c r="B287" s="563" t="str">
        <f t="shared" si="50"/>
        <v>Machida Zelvia</v>
      </c>
      <c r="D287" s="511">
        <v>-1</v>
      </c>
      <c r="E287" s="564">
        <f t="array" aca="1" ref="E287" ca="1">IF($B287="N","",SUM(IF((INDIRECT("'"&amp;$B287&amp;"'!I23:I200")=$A$2)*(INDIRECT("'"&amp;$B287&amp;"'!O23:O200")=$D287)*(INDIRECT("'"&amp;$B287&amp;"'!O23:O200")&lt;&gt;"")*(INDIRECT("'"&amp;$B287&amp;"'!H23:H200")=$E$5),1,0)))</f>
        <v>0</v>
      </c>
      <c r="F287" s="565">
        <f t="array" aca="1" ref="F287" ca="1">IF($B287="N","",SUM(IF((INDIRECT("'"&amp;$B287&amp;"'!I23:I200")=$A$2)*(INDIRECT("'"&amp;$B287&amp;"'!O23:O200")=$D287)*(INDIRECT("'"&amp;$B287&amp;"'!O23:O200")&lt;&gt;"")*(INDIRECT("'"&amp;$B287&amp;"'!H23:H200")=$E$5),INDIRECT("'"&amp;$B287&amp;"'!p23:p200"),0)))</f>
        <v>0</v>
      </c>
      <c r="G287" s="564">
        <f t="array" aca="1" ref="G287" ca="1">IF($B287="N","",SUM(IF((INDIRECT("'"&amp;$B287&amp;"'!I23:I200")=$A$2)*(INDIRECT("'"&amp;$B287&amp;"'!O23:O200")=$D287)*(INDIRECT("'"&amp;$B287&amp;"'!O23:O200")&lt;&gt;"")*(INDIRECT("'"&amp;$B287&amp;"'!H23:H200")=$G$5),1,0)))</f>
        <v>0</v>
      </c>
      <c r="H287" s="565">
        <f t="array" aca="1" ref="H287" ca="1">IF($B287="N","",SUM(IF((INDIRECT("'"&amp;$B287&amp;"'!I23:I200")=$A$2)*(INDIRECT("'"&amp;$B287&amp;"'!O23:O200")=$D287)*(INDIRECT("'"&amp;$B287&amp;"'!O23:O200")&lt;&gt;"")*(INDIRECT("'"&amp;$B287&amp;"'!H23:H200")=$G$5),INDIRECT("'"&amp;$B287&amp;"'!p23:p200"),0)))</f>
        <v>0</v>
      </c>
      <c r="I287" s="515">
        <f t="shared" ca="1" si="48"/>
        <v>0</v>
      </c>
      <c r="J287" s="513">
        <f t="shared" ca="1" si="49"/>
        <v>0</v>
      </c>
    </row>
    <row r="288" spans="1:10">
      <c r="B288" s="563" t="str">
        <f t="shared" si="50"/>
        <v>Machida Zelvia</v>
      </c>
      <c r="D288" s="511">
        <v>-0.75</v>
      </c>
      <c r="E288" s="564">
        <f t="array" aca="1" ref="E288" ca="1">IF($B288="N","",SUM(IF((INDIRECT("'"&amp;$B288&amp;"'!I23:I200")=$A$2)*(INDIRECT("'"&amp;$B288&amp;"'!O23:O200")=$D288)*(INDIRECT("'"&amp;$B288&amp;"'!O23:O200")&lt;&gt;"")*(INDIRECT("'"&amp;$B288&amp;"'!H23:H200")=$E$5),1,0)))</f>
        <v>1</v>
      </c>
      <c r="F288" s="565">
        <f t="array" aca="1" ref="F288" ca="1">IF($B288="N","",SUM(IF((INDIRECT("'"&amp;$B288&amp;"'!I23:I200")=$A$2)*(INDIRECT("'"&amp;$B288&amp;"'!O23:O200")=$D288)*(INDIRECT("'"&amp;$B288&amp;"'!O23:O200")&lt;&gt;"")*(INDIRECT("'"&amp;$B288&amp;"'!H23:H200")=$E$5),INDIRECT("'"&amp;$B288&amp;"'!p23:p200"),0)))</f>
        <v>1</v>
      </c>
      <c r="G288" s="564">
        <f t="array" aca="1" ref="G288" ca="1">IF($B288="N","",SUM(IF((INDIRECT("'"&amp;$B288&amp;"'!I23:I200")=$A$2)*(INDIRECT("'"&amp;$B288&amp;"'!O23:O200")=$D288)*(INDIRECT("'"&amp;$B288&amp;"'!O23:O200")&lt;&gt;"")*(INDIRECT("'"&amp;$B288&amp;"'!H23:H200")=$G$5),1,0)))</f>
        <v>0</v>
      </c>
      <c r="H288" s="565">
        <f t="array" aca="1" ref="H288" ca="1">IF($B288="N","",SUM(IF((INDIRECT("'"&amp;$B288&amp;"'!I23:I200")=$A$2)*(INDIRECT("'"&amp;$B288&amp;"'!O23:O200")=$D288)*(INDIRECT("'"&amp;$B288&amp;"'!O23:O200")&lt;&gt;"")*(INDIRECT("'"&amp;$B288&amp;"'!H23:H200")=$G$5),INDIRECT("'"&amp;$B288&amp;"'!p23:p200"),0)))</f>
        <v>0</v>
      </c>
      <c r="I288" s="515">
        <f t="shared" ca="1" si="48"/>
        <v>1</v>
      </c>
      <c r="J288" s="513">
        <f t="shared" ca="1" si="49"/>
        <v>1</v>
      </c>
    </row>
    <row r="289" spans="1:10">
      <c r="B289" s="563" t="str">
        <f t="shared" si="50"/>
        <v>Machida Zelvia</v>
      </c>
      <c r="D289" s="511">
        <v>-0.5</v>
      </c>
      <c r="E289" s="564">
        <f t="array" aca="1" ref="E289" ca="1">IF($B289="N","",SUM(IF((INDIRECT("'"&amp;$B289&amp;"'!I23:I200")=$A$2)*(INDIRECT("'"&amp;$B289&amp;"'!O23:O200")=$D289)*(INDIRECT("'"&amp;$B289&amp;"'!O23:O200")&lt;&gt;"")*(INDIRECT("'"&amp;$B289&amp;"'!H23:H200")=$E$5),1,0)))</f>
        <v>1</v>
      </c>
      <c r="F289" s="565">
        <f t="array" aca="1" ref="F289" ca="1">IF($B289="N","",SUM(IF((INDIRECT("'"&amp;$B289&amp;"'!I23:I200")=$A$2)*(INDIRECT("'"&amp;$B289&amp;"'!O23:O200")=$D289)*(INDIRECT("'"&amp;$B289&amp;"'!O23:O200")&lt;&gt;"")*(INDIRECT("'"&amp;$B289&amp;"'!H23:H200")=$E$5),INDIRECT("'"&amp;$B289&amp;"'!p23:p200"),0)))</f>
        <v>1</v>
      </c>
      <c r="G289" s="564">
        <f t="array" aca="1" ref="G289" ca="1">IF($B289="N","",SUM(IF((INDIRECT("'"&amp;$B289&amp;"'!I23:I200")=$A$2)*(INDIRECT("'"&amp;$B289&amp;"'!O23:O200")=$D289)*(INDIRECT("'"&amp;$B289&amp;"'!O23:O200")&lt;&gt;"")*(INDIRECT("'"&amp;$B289&amp;"'!H23:H200")=$G$5),1,0)))</f>
        <v>0</v>
      </c>
      <c r="H289" s="565">
        <f t="array" aca="1" ref="H289" ca="1">IF($B289="N","",SUM(IF((INDIRECT("'"&amp;$B289&amp;"'!I23:I200")=$A$2)*(INDIRECT("'"&amp;$B289&amp;"'!O23:O200")=$D289)*(INDIRECT("'"&amp;$B289&amp;"'!O23:O200")&lt;&gt;"")*(INDIRECT("'"&amp;$B289&amp;"'!H23:H200")=$G$5),INDIRECT("'"&amp;$B289&amp;"'!p23:p200"),0)))</f>
        <v>0</v>
      </c>
      <c r="I289" s="515">
        <f t="shared" ca="1" si="48"/>
        <v>1</v>
      </c>
      <c r="J289" s="513">
        <f t="shared" ca="1" si="49"/>
        <v>1</v>
      </c>
    </row>
    <row r="290" spans="1:10">
      <c r="B290" s="563" t="str">
        <f t="shared" si="50"/>
        <v>Machida Zelvia</v>
      </c>
      <c r="D290" s="511">
        <v>-0.25</v>
      </c>
      <c r="E290" s="564">
        <f t="array" aca="1" ref="E290" ca="1">IF($B290="N","",SUM(IF((INDIRECT("'"&amp;$B290&amp;"'!I23:I200")=$A$2)*(INDIRECT("'"&amp;$B290&amp;"'!O23:O200")=$D290)*(INDIRECT("'"&amp;$B290&amp;"'!O23:O200")&lt;&gt;"")*(INDIRECT("'"&amp;$B290&amp;"'!H23:H200")=$E$5),1,0)))</f>
        <v>6</v>
      </c>
      <c r="F290" s="565">
        <f t="array" aca="1" ref="F290" ca="1">IF($B290="N","",SUM(IF((INDIRECT("'"&amp;$B290&amp;"'!I23:I200")=$A$2)*(INDIRECT("'"&amp;$B290&amp;"'!O23:O200")=$D290)*(INDIRECT("'"&amp;$B290&amp;"'!O23:O200")&lt;&gt;"")*(INDIRECT("'"&amp;$B290&amp;"'!H23:H200")=$E$5),INDIRECT("'"&amp;$B290&amp;"'!p23:p200"),0)))</f>
        <v>-2.5</v>
      </c>
      <c r="G290" s="564">
        <f t="array" aca="1" ref="G290" ca="1">IF($B290="N","",SUM(IF((INDIRECT("'"&amp;$B290&amp;"'!I23:I200")=$A$2)*(INDIRECT("'"&amp;$B290&amp;"'!O23:O200")=$D290)*(INDIRECT("'"&amp;$B290&amp;"'!O23:O200")&lt;&gt;"")*(INDIRECT("'"&amp;$B290&amp;"'!H23:H200")=$G$5),1,0)))</f>
        <v>4</v>
      </c>
      <c r="H290" s="565">
        <f t="array" aca="1" ref="H290" ca="1">IF($B290="N","",SUM(IF((INDIRECT("'"&amp;$B290&amp;"'!I23:I200")=$A$2)*(INDIRECT("'"&amp;$B290&amp;"'!O23:O200")=$D290)*(INDIRECT("'"&amp;$B290&amp;"'!O23:O200")&lt;&gt;"")*(INDIRECT("'"&amp;$B290&amp;"'!H23:H200")=$G$5),INDIRECT("'"&amp;$B290&amp;"'!p23:p200"),0)))</f>
        <v>1</v>
      </c>
      <c r="I290" s="515">
        <f t="shared" ca="1" si="48"/>
        <v>10</v>
      </c>
      <c r="J290" s="513">
        <f t="shared" ca="1" si="49"/>
        <v>-1.5</v>
      </c>
    </row>
    <row r="291" spans="1:10">
      <c r="B291" s="563" t="str">
        <f t="shared" si="50"/>
        <v>Machida Zelvia</v>
      </c>
      <c r="D291" s="511">
        <v>0</v>
      </c>
      <c r="E291" s="564">
        <f t="array" aca="1" ref="E291" ca="1">IF($B291="N","",SUM(IF((INDIRECT("'"&amp;$B291&amp;"'!I23:I200")=$A$2)*(INDIRECT("'"&amp;$B291&amp;"'!O23:O200")=$D291)*(INDIRECT("'"&amp;$B291&amp;"'!O23:O200")&lt;&gt;"")*(INDIRECT("'"&amp;$B291&amp;"'!H23:H200")=$E$5),1,0)))</f>
        <v>7</v>
      </c>
      <c r="F291" s="565">
        <f t="array" aca="1" ref="F291" ca="1">IF($B291="N","",SUM(IF((INDIRECT("'"&amp;$B291&amp;"'!I23:I200")=$A$2)*(INDIRECT("'"&amp;$B291&amp;"'!O23:O200")=$D291)*(INDIRECT("'"&amp;$B291&amp;"'!O23:O200")&lt;&gt;"")*(INDIRECT("'"&amp;$B291&amp;"'!H23:H200")=$E$5),INDIRECT("'"&amp;$B291&amp;"'!p23:p200"),0)))</f>
        <v>-3</v>
      </c>
      <c r="G291" s="564">
        <f t="array" aca="1" ref="G291" ca="1">IF($B291="N","",SUM(IF((INDIRECT("'"&amp;$B291&amp;"'!I23:I200")=$A$2)*(INDIRECT("'"&amp;$B291&amp;"'!O23:O200")=$D291)*(INDIRECT("'"&amp;$B291&amp;"'!O23:O200")&lt;&gt;"")*(INDIRECT("'"&amp;$B291&amp;"'!H23:H200")=$G$5),1,0)))</f>
        <v>4</v>
      </c>
      <c r="H291" s="565">
        <f t="array" aca="1" ref="H291" ca="1">IF($B291="N","",SUM(IF((INDIRECT("'"&amp;$B291&amp;"'!I23:I200")=$A$2)*(INDIRECT("'"&amp;$B291&amp;"'!O23:O200")=$D291)*(INDIRECT("'"&amp;$B291&amp;"'!O23:O200")&lt;&gt;"")*(INDIRECT("'"&amp;$B291&amp;"'!H23:H200")=$G$5),INDIRECT("'"&amp;$B291&amp;"'!p23:p200"),0)))</f>
        <v>0</v>
      </c>
      <c r="I291" s="515">
        <f t="shared" ca="1" si="48"/>
        <v>11</v>
      </c>
      <c r="J291" s="513">
        <f t="shared" ca="1" si="49"/>
        <v>-3</v>
      </c>
    </row>
    <row r="292" spans="1:10">
      <c r="B292" s="563" t="str">
        <f t="shared" si="50"/>
        <v>Machida Zelvia</v>
      </c>
      <c r="D292" s="511">
        <v>0.25</v>
      </c>
      <c r="E292" s="564">
        <f t="array" aca="1" ref="E292" ca="1">IF($B292="N","",SUM(IF((INDIRECT("'"&amp;$B292&amp;"'!I23:I200")=$A$2)*(INDIRECT("'"&amp;$B292&amp;"'!O23:O200")=$D292)*(INDIRECT("'"&amp;$B292&amp;"'!O23:O200")&lt;&gt;"")*(INDIRECT("'"&amp;$B292&amp;"'!H23:H200")=$E$5),1,0)))</f>
        <v>6</v>
      </c>
      <c r="F292" s="565">
        <f t="array" aca="1" ref="F292" ca="1">IF($B292="N","",SUM(IF((INDIRECT("'"&amp;$B292&amp;"'!I23:I200")=$A$2)*(INDIRECT("'"&amp;$B292&amp;"'!O23:O200")=$D292)*(INDIRECT("'"&amp;$B292&amp;"'!O23:O200")&lt;&gt;"")*(INDIRECT("'"&amp;$B292&amp;"'!H23:H200")=$E$5),INDIRECT("'"&amp;$B292&amp;"'!p23:p200"),0)))</f>
        <v>-3</v>
      </c>
      <c r="G292" s="564">
        <f t="array" aca="1" ref="G292" ca="1">IF($B292="N","",SUM(IF((INDIRECT("'"&amp;$B292&amp;"'!I23:I200")=$A$2)*(INDIRECT("'"&amp;$B292&amp;"'!O23:O200")=$D292)*(INDIRECT("'"&amp;$B292&amp;"'!O23:O200")&lt;&gt;"")*(INDIRECT("'"&amp;$B292&amp;"'!H23:H200")=$G$5),1,0)))</f>
        <v>9</v>
      </c>
      <c r="H292" s="565">
        <f t="array" aca="1" ref="H292" ca="1">IF($B292="N","",SUM(IF((INDIRECT("'"&amp;$B292&amp;"'!I23:I200")=$A$2)*(INDIRECT("'"&amp;$B292&amp;"'!O23:O200")=$D292)*(INDIRECT("'"&amp;$B292&amp;"'!O23:O200")&lt;&gt;"")*(INDIRECT("'"&amp;$B292&amp;"'!H23:H200")=$G$5),INDIRECT("'"&amp;$B292&amp;"'!p23:p200"),0)))</f>
        <v>5</v>
      </c>
      <c r="I292" s="515">
        <f t="shared" ca="1" si="48"/>
        <v>15</v>
      </c>
      <c r="J292" s="513">
        <f t="shared" ca="1" si="49"/>
        <v>2</v>
      </c>
    </row>
    <row r="293" spans="1:10">
      <c r="B293" s="563" t="str">
        <f t="shared" si="50"/>
        <v>Machida Zelvia</v>
      </c>
      <c r="D293" s="511">
        <v>0.5</v>
      </c>
      <c r="E293" s="564">
        <f t="array" aca="1" ref="E293" ca="1">IF($B293="N","",SUM(IF((INDIRECT("'"&amp;$B293&amp;"'!I23:I200")=$A$2)*(INDIRECT("'"&amp;$B293&amp;"'!O23:O200")=$D293)*(INDIRECT("'"&amp;$B293&amp;"'!O23:O200")&lt;&gt;"")*(INDIRECT("'"&amp;$B293&amp;"'!H23:H200")=$E$5),1,0)))</f>
        <v>0</v>
      </c>
      <c r="F293" s="565">
        <f t="array" aca="1" ref="F293" ca="1">IF($B293="N","",SUM(IF((INDIRECT("'"&amp;$B293&amp;"'!I23:I200")=$A$2)*(INDIRECT("'"&amp;$B293&amp;"'!O23:O200")=$D293)*(INDIRECT("'"&amp;$B293&amp;"'!O23:O200")&lt;&gt;"")*(INDIRECT("'"&amp;$B293&amp;"'!H23:H200")=$E$5),INDIRECT("'"&amp;$B293&amp;"'!p23:p200"),0)))</f>
        <v>0</v>
      </c>
      <c r="G293" s="564">
        <f t="array" aca="1" ref="G293" ca="1">IF($B293="N","",SUM(IF((INDIRECT("'"&amp;$B293&amp;"'!I23:I200")=$A$2)*(INDIRECT("'"&amp;$B293&amp;"'!O23:O200")=$D293)*(INDIRECT("'"&amp;$B293&amp;"'!O23:O200")&lt;&gt;"")*(INDIRECT("'"&amp;$B293&amp;"'!H23:H200")=$G$5),1,0)))</f>
        <v>3</v>
      </c>
      <c r="H293" s="565">
        <f t="array" aca="1" ref="H293" ca="1">IF($B293="N","",SUM(IF((INDIRECT("'"&amp;$B293&amp;"'!I23:I200")=$A$2)*(INDIRECT("'"&amp;$B293&amp;"'!O23:O200")=$D293)*(INDIRECT("'"&amp;$B293&amp;"'!O23:O200")&lt;&gt;"")*(INDIRECT("'"&amp;$B293&amp;"'!H23:H200")=$G$5),INDIRECT("'"&amp;$B293&amp;"'!p23:p200"),0)))</f>
        <v>1</v>
      </c>
      <c r="I293" s="515">
        <f t="shared" ca="1" si="48"/>
        <v>3</v>
      </c>
      <c r="J293" s="513">
        <f t="shared" ca="1" si="49"/>
        <v>1</v>
      </c>
    </row>
    <row r="294" spans="1:10">
      <c r="B294" s="563" t="str">
        <f t="shared" si="50"/>
        <v>Machida Zelvia</v>
      </c>
      <c r="D294" s="511">
        <v>0.75</v>
      </c>
      <c r="E294" s="564">
        <f t="array" aca="1" ref="E294" ca="1">IF($B294="N","",SUM(IF((INDIRECT("'"&amp;$B294&amp;"'!I23:I200")=$A$2)*(INDIRECT("'"&amp;$B294&amp;"'!O23:O200")=$D294)*(INDIRECT("'"&amp;$B294&amp;"'!O23:O200")&lt;&gt;"")*(INDIRECT("'"&amp;$B294&amp;"'!H23:H200")=$E$5),1,0)))</f>
        <v>0</v>
      </c>
      <c r="F294" s="565">
        <f t="array" aca="1" ref="F294" ca="1">IF($B294="N","",SUM(IF((INDIRECT("'"&amp;$B294&amp;"'!I23:I200")=$A$2)*(INDIRECT("'"&amp;$B294&amp;"'!O23:O200")=$D294)*(INDIRECT("'"&amp;$B294&amp;"'!O23:O200")&lt;&gt;"")*(INDIRECT("'"&amp;$B294&amp;"'!H23:H200")=$E$5),INDIRECT("'"&amp;$B294&amp;"'!p23:p200"),0)))</f>
        <v>0</v>
      </c>
      <c r="G294" s="564">
        <f t="array" aca="1" ref="G294" ca="1">IF($B294="N","",SUM(IF((INDIRECT("'"&amp;$B294&amp;"'!I23:I200")=$A$2)*(INDIRECT("'"&amp;$B294&amp;"'!O23:O200")=$D294)*(INDIRECT("'"&amp;$B294&amp;"'!O23:O200")&lt;&gt;"")*(INDIRECT("'"&amp;$B294&amp;"'!H23:H200")=$G$5),1,0)))</f>
        <v>1</v>
      </c>
      <c r="H294" s="565">
        <f t="array" aca="1" ref="H294" ca="1">IF($B294="N","",SUM(IF((INDIRECT("'"&amp;$B294&amp;"'!I23:I200")=$A$2)*(INDIRECT("'"&amp;$B294&amp;"'!O23:O200")=$D294)*(INDIRECT("'"&amp;$B294&amp;"'!O23:O200")&lt;&gt;"")*(INDIRECT("'"&amp;$B294&amp;"'!H23:H200")=$G$5),INDIRECT("'"&amp;$B294&amp;"'!p23:p200"),0)))</f>
        <v>-0.5</v>
      </c>
      <c r="I294" s="515">
        <f t="shared" ca="1" si="48"/>
        <v>1</v>
      </c>
      <c r="J294" s="513">
        <f t="shared" ca="1" si="49"/>
        <v>-0.5</v>
      </c>
    </row>
    <row r="295" spans="1:10">
      <c r="B295" s="563" t="str">
        <f t="shared" si="50"/>
        <v>Machida Zelvia</v>
      </c>
      <c r="D295" s="511">
        <v>1</v>
      </c>
      <c r="E295" s="564">
        <f t="array" aca="1" ref="E295" ca="1">IF($B295="N","",SUM(IF((INDIRECT("'"&amp;$B295&amp;"'!I23:I200")=$A$2)*(INDIRECT("'"&amp;$B295&amp;"'!O23:O200")=$D295)*(INDIRECT("'"&amp;$B295&amp;"'!O23:O200")&lt;&gt;"")*(INDIRECT("'"&amp;$B295&amp;"'!H23:H200")=$E$5),1,0)))</f>
        <v>0</v>
      </c>
      <c r="F295" s="565">
        <f t="array" aca="1" ref="F295" ca="1">IF($B295="N","",SUM(IF((INDIRECT("'"&amp;$B295&amp;"'!I23:I200")=$A$2)*(INDIRECT("'"&amp;$B295&amp;"'!O23:O200")=$D295)*(INDIRECT("'"&amp;$B295&amp;"'!O23:O200")&lt;&gt;"")*(INDIRECT("'"&amp;$B295&amp;"'!H23:H200")=$E$5),INDIRECT("'"&amp;$B295&amp;"'!p23:p200"),0)))</f>
        <v>0</v>
      </c>
      <c r="G295" s="564">
        <f t="array" aca="1" ref="G295" ca="1">IF($B295="N","",SUM(IF((INDIRECT("'"&amp;$B295&amp;"'!I23:I200")=$A$2)*(INDIRECT("'"&amp;$B295&amp;"'!O23:O200")=$D295)*(INDIRECT("'"&amp;$B295&amp;"'!O23:O200")&lt;&gt;"")*(INDIRECT("'"&amp;$B295&amp;"'!H23:H200")=$G$5),1,0)))</f>
        <v>0</v>
      </c>
      <c r="H295" s="565">
        <f t="array" aca="1" ref="H295" ca="1">IF($B295="N","",SUM(IF((INDIRECT("'"&amp;$B295&amp;"'!I23:I200")=$A$2)*(INDIRECT("'"&amp;$B295&amp;"'!O23:O200")=$D295)*(INDIRECT("'"&amp;$B295&amp;"'!O23:O200")&lt;&gt;"")*(INDIRECT("'"&amp;$B295&amp;"'!H23:H200")=$G$5),INDIRECT("'"&amp;$B295&amp;"'!p23:p200"),0)))</f>
        <v>0</v>
      </c>
      <c r="I295" s="515">
        <f t="shared" ca="1" si="48"/>
        <v>0</v>
      </c>
      <c r="J295" s="513">
        <f t="shared" ca="1" si="49"/>
        <v>0</v>
      </c>
    </row>
    <row r="296" spans="1:10">
      <c r="B296" s="563" t="str">
        <f t="shared" si="50"/>
        <v>Machida Zelvia</v>
      </c>
      <c r="D296" s="511">
        <v>1.25</v>
      </c>
      <c r="E296" s="564">
        <f t="array" aca="1" ref="E296" ca="1">IF($B296="N","",SUM(IF((INDIRECT("'"&amp;$B296&amp;"'!I23:I200")=$A$2)*(INDIRECT("'"&amp;$B296&amp;"'!O23:O200")=$D296)*(INDIRECT("'"&amp;$B296&amp;"'!O23:O200")&lt;&gt;"")*(INDIRECT("'"&amp;$B296&amp;"'!H23:H200")=$E$5),1,0)))</f>
        <v>0</v>
      </c>
      <c r="F296" s="565">
        <f t="array" aca="1" ref="F296" ca="1">IF($B296="N","",SUM(IF((INDIRECT("'"&amp;$B296&amp;"'!I23:I200")=$A$2)*(INDIRECT("'"&amp;$B296&amp;"'!O23:O200")=$D296)*(INDIRECT("'"&amp;$B296&amp;"'!O23:O200")&lt;&gt;"")*(INDIRECT("'"&amp;$B296&amp;"'!H23:H200")=$E$5),INDIRECT("'"&amp;$B296&amp;"'!p23:p200"),0)))</f>
        <v>0</v>
      </c>
      <c r="G296" s="564">
        <f t="array" aca="1" ref="G296" ca="1">IF($B296="N","",SUM(IF((INDIRECT("'"&amp;$B296&amp;"'!I23:I200")=$A$2)*(INDIRECT("'"&amp;$B296&amp;"'!O23:O200")=$D296)*(INDIRECT("'"&amp;$B296&amp;"'!O23:O200")&lt;&gt;"")*(INDIRECT("'"&amp;$B296&amp;"'!H23:H200")=$G$5),1,0)))</f>
        <v>0</v>
      </c>
      <c r="H296" s="565">
        <f t="array" aca="1" ref="H296" ca="1">IF($B296="N","",SUM(IF((INDIRECT("'"&amp;$B296&amp;"'!I23:I200")=$A$2)*(INDIRECT("'"&amp;$B296&amp;"'!O23:O200")=$D296)*(INDIRECT("'"&amp;$B296&amp;"'!O23:O200")&lt;&gt;"")*(INDIRECT("'"&amp;$B296&amp;"'!H23:H200")=$G$5),INDIRECT("'"&amp;$B296&amp;"'!p23:p200"),0)))</f>
        <v>0</v>
      </c>
      <c r="I296" s="515">
        <f t="shared" ca="1" si="48"/>
        <v>0</v>
      </c>
      <c r="J296" s="513">
        <f t="shared" ca="1" si="49"/>
        <v>0</v>
      </c>
    </row>
    <row r="297" spans="1:10">
      <c r="B297" s="563" t="str">
        <f t="shared" si="50"/>
        <v>Machida Zelvia</v>
      </c>
      <c r="D297" s="511">
        <v>1.5</v>
      </c>
      <c r="E297" s="564">
        <f t="array" aca="1" ref="E297" ca="1">IF($B297="N","",SUM(IF((INDIRECT("'"&amp;$B297&amp;"'!I23:I200")=$A$2)*(INDIRECT("'"&amp;$B297&amp;"'!O23:O200")=$D297)*(INDIRECT("'"&amp;$B297&amp;"'!O23:O200")&lt;&gt;"")*(INDIRECT("'"&amp;$B297&amp;"'!H23:H200")=$E$5),1,0)))</f>
        <v>0</v>
      </c>
      <c r="F297" s="565">
        <f t="array" aca="1" ref="F297" ca="1">IF($B297="N","",SUM(IF((INDIRECT("'"&amp;$B297&amp;"'!I23:I200")=$A$2)*(INDIRECT("'"&amp;$B297&amp;"'!O23:O200")=$D297)*(INDIRECT("'"&amp;$B297&amp;"'!O23:O200")&lt;&gt;"")*(INDIRECT("'"&amp;$B297&amp;"'!H23:H200")=$E$5),INDIRECT("'"&amp;$B297&amp;"'!p23:p200"),0)))</f>
        <v>0</v>
      </c>
      <c r="G297" s="564">
        <f t="array" aca="1" ref="G297" ca="1">IF($B297="N","",SUM(IF((INDIRECT("'"&amp;$B297&amp;"'!I23:I200")=$A$2)*(INDIRECT("'"&amp;$B297&amp;"'!O23:O200")=$D297)*(INDIRECT("'"&amp;$B297&amp;"'!O23:O200")&lt;&gt;"")*(INDIRECT("'"&amp;$B297&amp;"'!H23:H200")=$G$5),1,0)))</f>
        <v>0</v>
      </c>
      <c r="H297" s="565">
        <f t="array" aca="1" ref="H297" ca="1">IF($B297="N","",SUM(IF((INDIRECT("'"&amp;$B297&amp;"'!I23:I200")=$A$2)*(INDIRECT("'"&amp;$B297&amp;"'!O23:O200")=$D297)*(INDIRECT("'"&amp;$B297&amp;"'!O23:O200")&lt;&gt;"")*(INDIRECT("'"&amp;$B297&amp;"'!H23:H200")=$G$5),INDIRECT("'"&amp;$B297&amp;"'!p23:p200"),0)))</f>
        <v>0</v>
      </c>
      <c r="I297" s="515">
        <f t="shared" ca="1" si="48"/>
        <v>0</v>
      </c>
      <c r="J297" s="513">
        <f t="shared" ca="1" si="49"/>
        <v>0</v>
      </c>
    </row>
    <row r="298" spans="1:10">
      <c r="B298" s="563" t="str">
        <f t="shared" si="50"/>
        <v>Machida Zelvia</v>
      </c>
      <c r="D298" s="528">
        <v>1.75</v>
      </c>
      <c r="E298" s="564">
        <f t="array" aca="1" ref="E298" ca="1">IF($B298="N","",SUM(IF((INDIRECT("'"&amp;$B298&amp;"'!I23:I200")=$A$2)*(INDIRECT("'"&amp;$B298&amp;"'!O23:O200")=$D298)*(INDIRECT("'"&amp;$B298&amp;"'!O23:O200")&lt;&gt;"")*(INDIRECT("'"&amp;$B298&amp;"'!H23:H200")=$E$5),1,0)))</f>
        <v>0</v>
      </c>
      <c r="F298" s="565">
        <f t="array" aca="1" ref="F298" ca="1">IF($B298="N","",SUM(IF((INDIRECT("'"&amp;$B298&amp;"'!I23:I200")=$A$2)*(INDIRECT("'"&amp;$B298&amp;"'!O23:O200")=$D298)*(INDIRECT("'"&amp;$B298&amp;"'!O23:O200")&lt;&gt;"")*(INDIRECT("'"&amp;$B298&amp;"'!H23:H200")=$E$5),INDIRECT("'"&amp;$B298&amp;"'!p23:p200"),0)))</f>
        <v>0</v>
      </c>
      <c r="G298" s="564">
        <f t="array" aca="1" ref="G298" ca="1">IF($B298="N","",SUM(IF((INDIRECT("'"&amp;$B298&amp;"'!I23:I200")=$A$2)*(INDIRECT("'"&amp;$B298&amp;"'!O23:O200")=$D298)*(INDIRECT("'"&amp;$B298&amp;"'!O23:O200")&lt;&gt;"")*(INDIRECT("'"&amp;$B298&amp;"'!H23:H200")=$G$5),1,0)))</f>
        <v>0</v>
      </c>
      <c r="H298" s="565">
        <f t="array" aca="1" ref="H298" ca="1">IF($B298="N","",SUM(IF((INDIRECT("'"&amp;$B298&amp;"'!I23:I200")=$A$2)*(INDIRECT("'"&amp;$B298&amp;"'!O23:O200")=$D298)*(INDIRECT("'"&amp;$B298&amp;"'!O23:O200")&lt;&gt;"")*(INDIRECT("'"&amp;$B298&amp;"'!H23:H200")=$G$5),INDIRECT("'"&amp;$B298&amp;"'!p23:p200"),0)))</f>
        <v>0</v>
      </c>
      <c r="I298" s="515">
        <f t="shared" ca="1" si="48"/>
        <v>0</v>
      </c>
      <c r="J298" s="513">
        <f t="shared" ca="1" si="49"/>
        <v>0</v>
      </c>
    </row>
    <row r="299" spans="1:10">
      <c r="B299" s="563" t="str">
        <f t="shared" si="50"/>
        <v>Machida Zelvia</v>
      </c>
      <c r="D299" s="528">
        <v>2</v>
      </c>
      <c r="E299" s="564">
        <f t="array" aca="1" ref="E299" ca="1">IF($B299="N","",SUM(IF((INDIRECT("'"&amp;$B299&amp;"'!I23:I200")=$A$2)*(INDIRECT("'"&amp;$B299&amp;"'!O23:O200")=$D299)*(INDIRECT("'"&amp;$B299&amp;"'!O23:O200")&lt;&gt;"")*(INDIRECT("'"&amp;$B299&amp;"'!H23:H200")=$E$5),1,0)))</f>
        <v>0</v>
      </c>
      <c r="F299" s="565">
        <f t="array" aca="1" ref="F299" ca="1">IF($B299="N","",SUM(IF((INDIRECT("'"&amp;$B299&amp;"'!I23:I200")=$A$2)*(INDIRECT("'"&amp;$B299&amp;"'!O23:O200")=$D299)*(INDIRECT("'"&amp;$B299&amp;"'!O23:O200")&lt;&gt;"")*(INDIRECT("'"&amp;$B299&amp;"'!H23:H200")=$E$5),INDIRECT("'"&amp;$B299&amp;"'!p23:p200"),0)))</f>
        <v>0</v>
      </c>
      <c r="G299" s="564">
        <f t="array" aca="1" ref="G299" ca="1">IF($B299="N","",SUM(IF((INDIRECT("'"&amp;$B299&amp;"'!I23:I200")=$A$2)*(INDIRECT("'"&amp;$B299&amp;"'!O23:O200")=$D299)*(INDIRECT("'"&amp;$B299&amp;"'!O23:O200")&lt;&gt;"")*(INDIRECT("'"&amp;$B299&amp;"'!H23:H200")=$G$5),1,0)))</f>
        <v>0</v>
      </c>
      <c r="H299" s="565">
        <f t="array" aca="1" ref="H299" ca="1">IF($B299="N","",SUM(IF((INDIRECT("'"&amp;$B299&amp;"'!I23:I200")=$A$2)*(INDIRECT("'"&amp;$B299&amp;"'!O23:O200")=$D299)*(INDIRECT("'"&amp;$B299&amp;"'!O23:O200")&lt;&gt;"")*(INDIRECT("'"&amp;$B299&amp;"'!H23:H200")=$G$5),INDIRECT("'"&amp;$B299&amp;"'!p23:p200"),0)))</f>
        <v>0</v>
      </c>
      <c r="I299" s="515">
        <f t="shared" ca="1" si="48"/>
        <v>0</v>
      </c>
      <c r="J299" s="513">
        <f t="shared" ca="1" si="49"/>
        <v>0</v>
      </c>
    </row>
    <row r="300" spans="1:10">
      <c r="B300" s="563" t="str">
        <f t="shared" si="50"/>
        <v>Machida Zelvia</v>
      </c>
      <c r="D300" s="528">
        <v>2.25</v>
      </c>
      <c r="E300" s="564">
        <f t="array" aca="1" ref="E300" ca="1">IF($B300="N","",SUM(IF((INDIRECT("'"&amp;$B300&amp;"'!I23:I200")=$A$2)*(INDIRECT("'"&amp;$B300&amp;"'!O23:O200")=$D300)*(INDIRECT("'"&amp;$B300&amp;"'!O23:O200")&lt;&gt;"")*(INDIRECT("'"&amp;$B300&amp;"'!H23:H200")=$E$5),1,0)))</f>
        <v>0</v>
      </c>
      <c r="F300" s="565">
        <f t="array" aca="1" ref="F300" ca="1">IF($B300="N","",SUM(IF((INDIRECT("'"&amp;$B300&amp;"'!I23:I200")=$A$2)*(INDIRECT("'"&amp;$B300&amp;"'!O23:O200")=$D300)*(INDIRECT("'"&amp;$B300&amp;"'!O23:O200")&lt;&gt;"")*(INDIRECT("'"&amp;$B300&amp;"'!H23:H200")=$E$5),INDIRECT("'"&amp;$B300&amp;"'!p23:p200"),0)))</f>
        <v>0</v>
      </c>
      <c r="G300" s="564">
        <f t="array" aca="1" ref="G300" ca="1">IF($B300="N","",SUM(IF((INDIRECT("'"&amp;$B300&amp;"'!I23:I200")=$A$2)*(INDIRECT("'"&amp;$B300&amp;"'!O23:O200")=$D300)*(INDIRECT("'"&amp;$B300&amp;"'!O23:O200")&lt;&gt;"")*(INDIRECT("'"&amp;$B300&amp;"'!H23:H200")=$G$5),1,0)))</f>
        <v>0</v>
      </c>
      <c r="H300" s="565">
        <f t="array" aca="1" ref="H300" ca="1">IF($B300="N","",SUM(IF((INDIRECT("'"&amp;$B300&amp;"'!I23:I200")=$A$2)*(INDIRECT("'"&amp;$B300&amp;"'!O23:O200")=$D300)*(INDIRECT("'"&amp;$B300&amp;"'!O23:O200")&lt;&gt;"")*(INDIRECT("'"&amp;$B300&amp;"'!H23:H200")=$G$5),INDIRECT("'"&amp;$B300&amp;"'!p23:p200"),0)))</f>
        <v>0</v>
      </c>
      <c r="I300" s="515">
        <f t="shared" ca="1" si="48"/>
        <v>0</v>
      </c>
      <c r="J300" s="513">
        <f t="shared" ca="1" si="49"/>
        <v>0</v>
      </c>
    </row>
    <row r="301" spans="1:10">
      <c r="B301" s="563" t="str">
        <f t="shared" si="50"/>
        <v>Machida Zelvia</v>
      </c>
      <c r="D301" s="528">
        <v>2.5</v>
      </c>
      <c r="E301" s="564">
        <f t="array" aca="1" ref="E301" ca="1">IF($B301="N","",SUM(IF((INDIRECT("'"&amp;$B301&amp;"'!I23:I200")=$A$2)*(INDIRECT("'"&amp;$B301&amp;"'!O23:O200")=$D301)*(INDIRECT("'"&amp;$B301&amp;"'!O23:O200")&lt;&gt;"")*(INDIRECT("'"&amp;$B301&amp;"'!H23:H200")=$E$5),1,0)))</f>
        <v>0</v>
      </c>
      <c r="F301" s="565">
        <f t="array" aca="1" ref="F301" ca="1">IF($B301="N","",SUM(IF((INDIRECT("'"&amp;$B301&amp;"'!I23:I200")=$A$2)*(INDIRECT("'"&amp;$B301&amp;"'!O23:O200")=$D301)*(INDIRECT("'"&amp;$B301&amp;"'!O23:O200")&lt;&gt;"")*(INDIRECT("'"&amp;$B301&amp;"'!H23:H200")=$E$5),INDIRECT("'"&amp;$B301&amp;"'!p23:p200"),0)))</f>
        <v>0</v>
      </c>
      <c r="G301" s="564">
        <f t="array" aca="1" ref="G301" ca="1">IF($B301="N","",SUM(IF((INDIRECT("'"&amp;$B301&amp;"'!I23:I200")=$A$2)*(INDIRECT("'"&amp;$B301&amp;"'!O23:O200")=$D301)*(INDIRECT("'"&amp;$B301&amp;"'!O23:O200")&lt;&gt;"")*(INDIRECT("'"&amp;$B301&amp;"'!H23:H200")=$G$5),1,0)))</f>
        <v>0</v>
      </c>
      <c r="H301" s="565">
        <f t="array" aca="1" ref="H301" ca="1">IF($B301="N","",SUM(IF((INDIRECT("'"&amp;$B301&amp;"'!I23:I200")=$A$2)*(INDIRECT("'"&amp;$B301&amp;"'!O23:O200")=$D301)*(INDIRECT("'"&amp;$B301&amp;"'!O23:O200")&lt;&gt;"")*(INDIRECT("'"&amp;$B301&amp;"'!H23:H200")=$G$5),INDIRECT("'"&amp;$B301&amp;"'!p23:p200"),0)))</f>
        <v>0</v>
      </c>
      <c r="I301" s="515">
        <f t="shared" ca="1" si="48"/>
        <v>0</v>
      </c>
      <c r="J301" s="513">
        <f t="shared" ca="1" si="49"/>
        <v>0</v>
      </c>
    </row>
    <row r="302" spans="1:10" ht="15" thickBot="1">
      <c r="B302" s="563" t="str">
        <f t="shared" si="50"/>
        <v>Machida Zelvia</v>
      </c>
      <c r="D302" s="511">
        <v>2.75</v>
      </c>
      <c r="E302" s="564">
        <f t="array" aca="1" ref="E302" ca="1">IF($B302="N","",SUM(IF((INDIRECT("'"&amp;$B302&amp;"'!I23:I200")=$A$2)*(INDIRECT("'"&amp;$B302&amp;"'!O23:O200")=$D302)*(INDIRECT("'"&amp;$B302&amp;"'!O23:O200")&lt;&gt;"")*(INDIRECT("'"&amp;$B302&amp;"'!H23:H200")=$E$5),1,0)))</f>
        <v>0</v>
      </c>
      <c r="F302" s="565">
        <f t="array" aca="1" ref="F302" ca="1">IF($B302="N","",SUM(IF((INDIRECT("'"&amp;$B302&amp;"'!I23:I200")=$A$2)*(INDIRECT("'"&amp;$B302&amp;"'!O23:O200")=$D302)*(INDIRECT("'"&amp;$B302&amp;"'!O23:O200")&lt;&gt;"")*(INDIRECT("'"&amp;$B302&amp;"'!H23:H200")=$E$5),INDIRECT("'"&amp;$B302&amp;"'!p23:p200"),0)))</f>
        <v>0</v>
      </c>
      <c r="G302" s="564">
        <f t="array" aca="1" ref="G302" ca="1">IF($B302="N","",SUM(IF((INDIRECT("'"&amp;$B302&amp;"'!I23:I200")=$A$2)*(INDIRECT("'"&amp;$B302&amp;"'!O23:O200")=$D302)*(INDIRECT("'"&amp;$B302&amp;"'!O23:O200")&lt;&gt;"")*(INDIRECT("'"&amp;$B302&amp;"'!H23:H200")=$G$5),1,0)))</f>
        <v>0</v>
      </c>
      <c r="H302" s="565">
        <f t="array" aca="1" ref="H302" ca="1">IF($B302="N","",SUM(IF((INDIRECT("'"&amp;$B302&amp;"'!I23:I200")=$A$2)*(INDIRECT("'"&amp;$B302&amp;"'!O23:O200")=$D302)*(INDIRECT("'"&amp;$B302&amp;"'!O23:O200")&lt;&gt;"")*(INDIRECT("'"&amp;$B302&amp;"'!H23:H200")=$G$5),INDIRECT("'"&amp;$B302&amp;"'!p23:p200"),0)))</f>
        <v>0</v>
      </c>
      <c r="I302" s="515">
        <f t="shared" ca="1" si="48"/>
        <v>0</v>
      </c>
      <c r="J302" s="513">
        <f t="shared" ca="1" si="49"/>
        <v>0</v>
      </c>
    </row>
    <row r="303" spans="1:10" ht="15" thickBot="1">
      <c r="A303" s="567"/>
      <c r="B303" s="568"/>
      <c r="C303" s="569" t="str">
        <f>D278</f>
        <v>Machida Zelvia</v>
      </c>
      <c r="D303" s="570" t="s">
        <v>115</v>
      </c>
      <c r="E303" s="571">
        <f t="shared" ref="E303:J303" ca="1" si="51">SUM(E280:E302)</f>
        <v>21</v>
      </c>
      <c r="F303" s="572">
        <f t="shared" ca="1" si="51"/>
        <v>-6.5</v>
      </c>
      <c r="G303" s="571">
        <f t="shared" ca="1" si="51"/>
        <v>21</v>
      </c>
      <c r="H303" s="572">
        <f t="shared" ca="1" si="51"/>
        <v>6.5</v>
      </c>
      <c r="I303" s="573">
        <f t="shared" ca="1" si="51"/>
        <v>42</v>
      </c>
      <c r="J303" s="572">
        <f t="shared" ca="1" si="51"/>
        <v>0</v>
      </c>
    </row>
    <row r="304" spans="1:10" ht="15" thickBot="1">
      <c r="A304" s="567"/>
      <c r="C304" s="576"/>
    </row>
    <row r="305" spans="1:10">
      <c r="A305" s="567"/>
      <c r="B305" s="357"/>
      <c r="C305" s="569"/>
      <c r="D305" s="562" t="str">
        <f>N1</f>
        <v>Matsumoto Yamaga</v>
      </c>
      <c r="E305" s="490" t="s">
        <v>80</v>
      </c>
      <c r="F305" s="491"/>
      <c r="G305" s="490" t="s">
        <v>81</v>
      </c>
      <c r="H305" s="491"/>
      <c r="I305" s="490" t="s">
        <v>82</v>
      </c>
      <c r="J305" s="492"/>
    </row>
    <row r="306" spans="1:10" ht="15" thickBot="1">
      <c r="B306" s="357"/>
      <c r="C306" s="357"/>
      <c r="D306" s="499" t="s">
        <v>120</v>
      </c>
      <c r="E306" s="497" t="s">
        <v>123</v>
      </c>
      <c r="F306" s="552" t="s">
        <v>124</v>
      </c>
      <c r="G306" s="497" t="s">
        <v>123</v>
      </c>
      <c r="H306" s="552" t="s">
        <v>124</v>
      </c>
      <c r="I306" s="501" t="s">
        <v>123</v>
      </c>
      <c r="J306" s="552" t="s">
        <v>124</v>
      </c>
    </row>
    <row r="307" spans="1:10">
      <c r="B307" s="563" t="str">
        <f>IF(D305=0,"N",D305)</f>
        <v>Matsumoto Yamaga</v>
      </c>
      <c r="D307" s="511">
        <v>-2.75</v>
      </c>
      <c r="E307" s="564">
        <f t="array" aca="1" ref="E307" ca="1">IF($B307="N","",SUM(IF((INDIRECT("'"&amp;$B307&amp;"'!I23:I200")=$A$2)*(INDIRECT("'"&amp;$B307&amp;"'!O23:O200")=$D307)*(INDIRECT("'"&amp;$B307&amp;"'!O23:O200")&lt;&gt;"")*(INDIRECT("'"&amp;$B307&amp;"'!H23:H200")=$E$5),1,0)))</f>
        <v>0</v>
      </c>
      <c r="F307" s="565">
        <f t="array" aca="1" ref="F307" ca="1">IF($B307="N","",SUM(IF((INDIRECT("'"&amp;$B307&amp;"'!I23:I200")=$A$2)*(INDIRECT("'"&amp;$B307&amp;"'!O23:O200")=$D307)*(INDIRECT("'"&amp;$B307&amp;"'!O23:O200")&lt;&gt;"")*(INDIRECT("'"&amp;$B307&amp;"'!H23:H200")=$E$5),INDIRECT("'"&amp;$B307&amp;"'!p23:p200"),0)))</f>
        <v>0</v>
      </c>
      <c r="G307" s="564">
        <f t="array" aca="1" ref="G307" ca="1">IF($B307="N","",SUM(IF((INDIRECT("'"&amp;$B307&amp;"'!I23:I200")=$A$2)*(INDIRECT("'"&amp;$B307&amp;"'!O23:O200")=$D307)*(INDIRECT("'"&amp;$B307&amp;"'!O23:O200")&lt;&gt;"")*(INDIRECT("'"&amp;$B307&amp;"'!H23:H200")=$G$5),1,0)))</f>
        <v>0</v>
      </c>
      <c r="H307" s="565">
        <f t="array" aca="1" ref="H307" ca="1">IF($B307="N","",SUM(IF((INDIRECT("'"&amp;$B307&amp;"'!I23:I200")=$A$2)*(INDIRECT("'"&amp;$B307&amp;"'!O23:O200")=$D307)*(INDIRECT("'"&amp;$B307&amp;"'!O23:O200")&lt;&gt;"")*(INDIRECT("'"&amp;$B307&amp;"'!H23:H200")=$G$5),INDIRECT("'"&amp;$B307&amp;"'!p23:p200"),0)))</f>
        <v>0</v>
      </c>
      <c r="I307" s="515">
        <f t="shared" ref="I307:I329" ca="1" si="52">IF(B307="N","",G307+E307)</f>
        <v>0</v>
      </c>
      <c r="J307" s="513">
        <f t="shared" ref="J307:J329" ca="1" si="53">IF(I307="","",F307+H307)</f>
        <v>0</v>
      </c>
    </row>
    <row r="308" spans="1:10">
      <c r="B308" s="563" t="str">
        <f>B307</f>
        <v>Matsumoto Yamaga</v>
      </c>
      <c r="D308" s="520">
        <v>-2.5</v>
      </c>
      <c r="E308" s="564">
        <f t="array" aca="1" ref="E308" ca="1">IF($B308="N","",SUM(IF((INDIRECT("'"&amp;$B308&amp;"'!I23:I200")=$A$2)*(INDIRECT("'"&amp;$B308&amp;"'!O23:O200")=$D308)*(INDIRECT("'"&amp;$B308&amp;"'!O23:O200")&lt;&gt;"")*(INDIRECT("'"&amp;$B308&amp;"'!H23:H200")=$E$5),1,0)))</f>
        <v>0</v>
      </c>
      <c r="F308" s="565">
        <f t="array" aca="1" ref="F308" ca="1">IF($B308="N","",SUM(IF((INDIRECT("'"&amp;$B308&amp;"'!I23:I200")=$A$2)*(INDIRECT("'"&amp;$B308&amp;"'!O23:O200")=$D308)*(INDIRECT("'"&amp;$B308&amp;"'!O23:O200")&lt;&gt;"")*(INDIRECT("'"&amp;$B308&amp;"'!H23:H200")=$E$5),INDIRECT("'"&amp;$B308&amp;"'!p23:p200"),0)))</f>
        <v>0</v>
      </c>
      <c r="G308" s="564">
        <f t="array" aca="1" ref="G308" ca="1">IF($B308="N","",SUM(IF((INDIRECT("'"&amp;$B308&amp;"'!I23:I200")=$A$2)*(INDIRECT("'"&amp;$B308&amp;"'!O23:O200")=$D308)*(INDIRECT("'"&amp;$B308&amp;"'!O23:O200")&lt;&gt;"")*(INDIRECT("'"&amp;$B308&amp;"'!H23:H200")=$G$5),1,0)))</f>
        <v>0</v>
      </c>
      <c r="H308" s="565">
        <f t="array" aca="1" ref="H308" ca="1">IF($B308="N","",SUM(IF((INDIRECT("'"&amp;$B308&amp;"'!I23:I200")=$A$2)*(INDIRECT("'"&amp;$B308&amp;"'!O23:O200")=$D308)*(INDIRECT("'"&amp;$B308&amp;"'!O23:O200")&lt;&gt;"")*(INDIRECT("'"&amp;$B308&amp;"'!H23:H200")=$G$5),INDIRECT("'"&amp;$B308&amp;"'!p23:p200"),0)))</f>
        <v>0</v>
      </c>
      <c r="I308" s="515">
        <f t="shared" ca="1" si="52"/>
        <v>0</v>
      </c>
      <c r="J308" s="513">
        <f t="shared" ca="1" si="53"/>
        <v>0</v>
      </c>
    </row>
    <row r="309" spans="1:10">
      <c r="B309" s="563" t="str">
        <f t="shared" ref="B309:B329" si="54">B308</f>
        <v>Matsumoto Yamaga</v>
      </c>
      <c r="D309" s="520">
        <v>-2.25</v>
      </c>
      <c r="E309" s="564">
        <f t="array" aca="1" ref="E309" ca="1">IF($B309="N","",SUM(IF((INDIRECT("'"&amp;$B309&amp;"'!I23:I200")=$A$2)*(INDIRECT("'"&amp;$B309&amp;"'!O23:O200")=$D309)*(INDIRECT("'"&amp;$B309&amp;"'!O23:O200")&lt;&gt;"")*(INDIRECT("'"&amp;$B309&amp;"'!H23:H200")=$E$5),1,0)))</f>
        <v>0</v>
      </c>
      <c r="F309" s="565">
        <f t="array" aca="1" ref="F309" ca="1">IF($B309="N","",SUM(IF((INDIRECT("'"&amp;$B309&amp;"'!I23:I200")=$A$2)*(INDIRECT("'"&amp;$B309&amp;"'!O23:O200")=$D309)*(INDIRECT("'"&amp;$B309&amp;"'!O23:O200")&lt;&gt;"")*(INDIRECT("'"&amp;$B309&amp;"'!H23:H200")=$E$5),INDIRECT("'"&amp;$B309&amp;"'!p23:p200"),0)))</f>
        <v>0</v>
      </c>
      <c r="G309" s="564">
        <f t="array" aca="1" ref="G309" ca="1">IF($B309="N","",SUM(IF((INDIRECT("'"&amp;$B309&amp;"'!I23:I200")=$A$2)*(INDIRECT("'"&amp;$B309&amp;"'!O23:O200")=$D309)*(INDIRECT("'"&amp;$B309&amp;"'!O23:O200")&lt;&gt;"")*(INDIRECT("'"&amp;$B309&amp;"'!H23:H200")=$G$5),1,0)))</f>
        <v>0</v>
      </c>
      <c r="H309" s="565">
        <f t="array" aca="1" ref="H309" ca="1">IF($B309="N","",SUM(IF((INDIRECT("'"&amp;$B309&amp;"'!I23:I200")=$A$2)*(INDIRECT("'"&amp;$B309&amp;"'!O23:O200")=$D309)*(INDIRECT("'"&amp;$B309&amp;"'!O23:O200")&lt;&gt;"")*(INDIRECT("'"&amp;$B309&amp;"'!H23:H200")=$G$5),INDIRECT("'"&amp;$B309&amp;"'!p23:p200"),0)))</f>
        <v>0</v>
      </c>
      <c r="I309" s="515">
        <f t="shared" ca="1" si="52"/>
        <v>0</v>
      </c>
      <c r="J309" s="513">
        <f t="shared" ca="1" si="53"/>
        <v>0</v>
      </c>
    </row>
    <row r="310" spans="1:10">
      <c r="B310" s="563" t="str">
        <f t="shared" si="54"/>
        <v>Matsumoto Yamaga</v>
      </c>
      <c r="D310" s="520">
        <v>-2</v>
      </c>
      <c r="E310" s="564">
        <f t="array" aca="1" ref="E310" ca="1">IF($B310="N","",SUM(IF((INDIRECT("'"&amp;$B310&amp;"'!I23:I200")=$A$2)*(INDIRECT("'"&amp;$B310&amp;"'!O23:O200")=$D310)*(INDIRECT("'"&amp;$B310&amp;"'!O23:O200")&lt;&gt;"")*(INDIRECT("'"&amp;$B310&amp;"'!H23:H200")=$E$5),1,0)))</f>
        <v>0</v>
      </c>
      <c r="F310" s="565">
        <f t="array" aca="1" ref="F310" ca="1">IF($B310="N","",SUM(IF((INDIRECT("'"&amp;$B310&amp;"'!I23:I200")=$A$2)*(INDIRECT("'"&amp;$B310&amp;"'!O23:O200")=$D310)*(INDIRECT("'"&amp;$B310&amp;"'!O23:O200")&lt;&gt;"")*(INDIRECT("'"&amp;$B310&amp;"'!H23:H200")=$E$5),INDIRECT("'"&amp;$B310&amp;"'!p23:p200"),0)))</f>
        <v>0</v>
      </c>
      <c r="G310" s="564">
        <f t="array" aca="1" ref="G310" ca="1">IF($B310="N","",SUM(IF((INDIRECT("'"&amp;$B310&amp;"'!I23:I200")=$A$2)*(INDIRECT("'"&amp;$B310&amp;"'!O23:O200")=$D310)*(INDIRECT("'"&amp;$B310&amp;"'!O23:O200")&lt;&gt;"")*(INDIRECT("'"&amp;$B310&amp;"'!H23:H200")=$G$5),1,0)))</f>
        <v>0</v>
      </c>
      <c r="H310" s="565">
        <f t="array" aca="1" ref="H310" ca="1">IF($B310="N","",SUM(IF((INDIRECT("'"&amp;$B310&amp;"'!I23:I200")=$A$2)*(INDIRECT("'"&amp;$B310&amp;"'!O23:O200")=$D310)*(INDIRECT("'"&amp;$B310&amp;"'!O23:O200")&lt;&gt;"")*(INDIRECT("'"&amp;$B310&amp;"'!H23:H200")=$G$5),INDIRECT("'"&amp;$B310&amp;"'!p23:p200"),0)))</f>
        <v>0</v>
      </c>
      <c r="I310" s="515">
        <f t="shared" ca="1" si="52"/>
        <v>0</v>
      </c>
      <c r="J310" s="513">
        <f t="shared" ca="1" si="53"/>
        <v>0</v>
      </c>
    </row>
    <row r="311" spans="1:10">
      <c r="B311" s="563" t="str">
        <f t="shared" si="54"/>
        <v>Matsumoto Yamaga</v>
      </c>
      <c r="D311" s="520">
        <v>-1.75</v>
      </c>
      <c r="E311" s="564">
        <f t="array" aca="1" ref="E311" ca="1">IF($B311="N","",SUM(IF((INDIRECT("'"&amp;$B311&amp;"'!I23:I200")=$A$2)*(INDIRECT("'"&amp;$B311&amp;"'!O23:O200")=$D311)*(INDIRECT("'"&amp;$B311&amp;"'!O23:O200")&lt;&gt;"")*(INDIRECT("'"&amp;$B311&amp;"'!H23:H200")=$E$5),1,0)))</f>
        <v>0</v>
      </c>
      <c r="F311" s="565">
        <f t="array" aca="1" ref="F311" ca="1">IF($B311="N","",SUM(IF((INDIRECT("'"&amp;$B311&amp;"'!I23:I200")=$A$2)*(INDIRECT("'"&amp;$B311&amp;"'!O23:O200")=$D311)*(INDIRECT("'"&amp;$B311&amp;"'!O23:O200")&lt;&gt;"")*(INDIRECT("'"&amp;$B311&amp;"'!H23:H200")=$E$5),INDIRECT("'"&amp;$B311&amp;"'!p23:p200"),0)))</f>
        <v>0</v>
      </c>
      <c r="G311" s="564">
        <f t="array" aca="1" ref="G311" ca="1">IF($B311="N","",SUM(IF((INDIRECT("'"&amp;$B311&amp;"'!I23:I200")=$A$2)*(INDIRECT("'"&amp;$B311&amp;"'!O23:O200")=$D311)*(INDIRECT("'"&amp;$B311&amp;"'!O23:O200")&lt;&gt;"")*(INDIRECT("'"&amp;$B311&amp;"'!H23:H200")=$G$5),1,0)))</f>
        <v>0</v>
      </c>
      <c r="H311" s="565">
        <f t="array" aca="1" ref="H311" ca="1">IF($B311="N","",SUM(IF((INDIRECT("'"&amp;$B311&amp;"'!I23:I200")=$A$2)*(INDIRECT("'"&amp;$B311&amp;"'!O23:O200")=$D311)*(INDIRECT("'"&amp;$B311&amp;"'!O23:O200")&lt;&gt;"")*(INDIRECT("'"&amp;$B311&amp;"'!H23:H200")=$G$5),INDIRECT("'"&amp;$B311&amp;"'!p23:p200"),0)))</f>
        <v>0</v>
      </c>
      <c r="I311" s="515">
        <f t="shared" ca="1" si="52"/>
        <v>0</v>
      </c>
      <c r="J311" s="513">
        <f t="shared" ca="1" si="53"/>
        <v>0</v>
      </c>
    </row>
    <row r="312" spans="1:10">
      <c r="B312" s="563" t="str">
        <f t="shared" si="54"/>
        <v>Matsumoto Yamaga</v>
      </c>
      <c r="D312" s="511">
        <v>-1.5</v>
      </c>
      <c r="E312" s="564">
        <f t="array" aca="1" ref="E312" ca="1">IF($B312="N","",SUM(IF((INDIRECT("'"&amp;$B312&amp;"'!I23:I200")=$A$2)*(INDIRECT("'"&amp;$B312&amp;"'!O23:O200")=$D312)*(INDIRECT("'"&amp;$B312&amp;"'!O23:O200")&lt;&gt;"")*(INDIRECT("'"&amp;$B312&amp;"'!H23:H200")=$E$5),1,0)))</f>
        <v>0</v>
      </c>
      <c r="F312" s="565">
        <f t="array" aca="1" ref="F312" ca="1">IF($B312="N","",SUM(IF((INDIRECT("'"&amp;$B312&amp;"'!I23:I200")=$A$2)*(INDIRECT("'"&amp;$B312&amp;"'!O23:O200")=$D312)*(INDIRECT("'"&amp;$B312&amp;"'!O23:O200")&lt;&gt;"")*(INDIRECT("'"&amp;$B312&amp;"'!H23:H200")=$E$5),INDIRECT("'"&amp;$B312&amp;"'!p23:p200"),0)))</f>
        <v>0</v>
      </c>
      <c r="G312" s="564">
        <f t="array" aca="1" ref="G312" ca="1">IF($B312="N","",SUM(IF((INDIRECT("'"&amp;$B312&amp;"'!I23:I200")=$A$2)*(INDIRECT("'"&amp;$B312&amp;"'!O23:O200")=$D312)*(INDIRECT("'"&amp;$B312&amp;"'!O23:O200")&lt;&gt;"")*(INDIRECT("'"&amp;$B312&amp;"'!H23:H200")=$G$5),1,0)))</f>
        <v>0</v>
      </c>
      <c r="H312" s="565">
        <f t="array" aca="1" ref="H312" ca="1">IF($B312="N","",SUM(IF((INDIRECT("'"&amp;$B312&amp;"'!I23:I200")=$A$2)*(INDIRECT("'"&amp;$B312&amp;"'!O23:O200")=$D312)*(INDIRECT("'"&amp;$B312&amp;"'!O23:O200")&lt;&gt;"")*(INDIRECT("'"&amp;$B312&amp;"'!H23:H200")=$G$5),INDIRECT("'"&amp;$B312&amp;"'!p23:p200"),0)))</f>
        <v>0</v>
      </c>
      <c r="I312" s="515">
        <f t="shared" ca="1" si="52"/>
        <v>0</v>
      </c>
      <c r="J312" s="513">
        <f t="shared" ca="1" si="53"/>
        <v>0</v>
      </c>
    </row>
    <row r="313" spans="1:10">
      <c r="B313" s="563" t="str">
        <f t="shared" si="54"/>
        <v>Matsumoto Yamaga</v>
      </c>
      <c r="D313" s="511">
        <v>-1.25</v>
      </c>
      <c r="E313" s="564">
        <f t="array" aca="1" ref="E313" ca="1">IF($B313="N","",SUM(IF((INDIRECT("'"&amp;$B313&amp;"'!I23:I200")=$A$2)*(INDIRECT("'"&amp;$B313&amp;"'!O23:O200")=$D313)*(INDIRECT("'"&amp;$B313&amp;"'!O23:O200")&lt;&gt;"")*(INDIRECT("'"&amp;$B313&amp;"'!H23:H200")=$E$5),1,0)))</f>
        <v>1</v>
      </c>
      <c r="F313" s="565">
        <f t="array" aca="1" ref="F313" ca="1">IF($B313="N","",SUM(IF((INDIRECT("'"&amp;$B313&amp;"'!I23:I200")=$A$2)*(INDIRECT("'"&amp;$B313&amp;"'!O23:O200")=$D313)*(INDIRECT("'"&amp;$B313&amp;"'!O23:O200")&lt;&gt;"")*(INDIRECT("'"&amp;$B313&amp;"'!H23:H200")=$E$5),INDIRECT("'"&amp;$B313&amp;"'!p23:p200"),0)))</f>
        <v>1</v>
      </c>
      <c r="G313" s="564">
        <f t="array" aca="1" ref="G313" ca="1">IF($B313="N","",SUM(IF((INDIRECT("'"&amp;$B313&amp;"'!I23:I200")=$A$2)*(INDIRECT("'"&amp;$B313&amp;"'!O23:O200")=$D313)*(INDIRECT("'"&amp;$B313&amp;"'!O23:O200")&lt;&gt;"")*(INDIRECT("'"&amp;$B313&amp;"'!H23:H200")=$G$5),1,0)))</f>
        <v>0</v>
      </c>
      <c r="H313" s="565">
        <f t="array" aca="1" ref="H313" ca="1">IF($B313="N","",SUM(IF((INDIRECT("'"&amp;$B313&amp;"'!I23:I200")=$A$2)*(INDIRECT("'"&amp;$B313&amp;"'!O23:O200")=$D313)*(INDIRECT("'"&amp;$B313&amp;"'!O23:O200")&lt;&gt;"")*(INDIRECT("'"&amp;$B313&amp;"'!H23:H200")=$G$5),INDIRECT("'"&amp;$B313&amp;"'!p23:p200"),0)))</f>
        <v>0</v>
      </c>
      <c r="I313" s="515">
        <f t="shared" ca="1" si="52"/>
        <v>1</v>
      </c>
      <c r="J313" s="513">
        <f t="shared" ca="1" si="53"/>
        <v>1</v>
      </c>
    </row>
    <row r="314" spans="1:10">
      <c r="B314" s="563" t="str">
        <f t="shared" si="54"/>
        <v>Matsumoto Yamaga</v>
      </c>
      <c r="D314" s="511">
        <v>-1</v>
      </c>
      <c r="E314" s="564">
        <f t="array" aca="1" ref="E314" ca="1">IF($B314="N","",SUM(IF((INDIRECT("'"&amp;$B314&amp;"'!I23:I200")=$A$2)*(INDIRECT("'"&amp;$B314&amp;"'!O23:O200")=$D314)*(INDIRECT("'"&amp;$B314&amp;"'!O23:O200")&lt;&gt;"")*(INDIRECT("'"&amp;$B314&amp;"'!H23:H200")=$E$5),1,0)))</f>
        <v>4</v>
      </c>
      <c r="F314" s="565">
        <f t="array" aca="1" ref="F314" ca="1">IF($B314="N","",SUM(IF((INDIRECT("'"&amp;$B314&amp;"'!I23:I200")=$A$2)*(INDIRECT("'"&amp;$B314&amp;"'!O23:O200")=$D314)*(INDIRECT("'"&amp;$B314&amp;"'!O23:O200")&lt;&gt;"")*(INDIRECT("'"&amp;$B314&amp;"'!H23:H200")=$E$5),INDIRECT("'"&amp;$B314&amp;"'!p23:p200"),0)))</f>
        <v>2</v>
      </c>
      <c r="G314" s="564">
        <f t="array" aca="1" ref="G314" ca="1">IF($B314="N","",SUM(IF((INDIRECT("'"&amp;$B314&amp;"'!I23:I200")=$A$2)*(INDIRECT("'"&amp;$B314&amp;"'!O23:O200")=$D314)*(INDIRECT("'"&amp;$B314&amp;"'!O23:O200")&lt;&gt;"")*(INDIRECT("'"&amp;$B314&amp;"'!H23:H200")=$G$5),1,0)))</f>
        <v>0</v>
      </c>
      <c r="H314" s="565">
        <f t="array" aca="1" ref="H314" ca="1">IF($B314="N","",SUM(IF((INDIRECT("'"&amp;$B314&amp;"'!I23:I200")=$A$2)*(INDIRECT("'"&amp;$B314&amp;"'!O23:O200")=$D314)*(INDIRECT("'"&amp;$B314&amp;"'!O23:O200")&lt;&gt;"")*(INDIRECT("'"&amp;$B314&amp;"'!H23:H200")=$G$5),INDIRECT("'"&amp;$B314&amp;"'!p23:p200"),0)))</f>
        <v>0</v>
      </c>
      <c r="I314" s="515">
        <f t="shared" ca="1" si="52"/>
        <v>4</v>
      </c>
      <c r="J314" s="513">
        <f t="shared" ca="1" si="53"/>
        <v>2</v>
      </c>
    </row>
    <row r="315" spans="1:10">
      <c r="B315" s="563" t="str">
        <f t="shared" si="54"/>
        <v>Matsumoto Yamaga</v>
      </c>
      <c r="D315" s="511">
        <v>-0.75</v>
      </c>
      <c r="E315" s="564">
        <f t="array" aca="1" ref="E315" ca="1">IF($B315="N","",SUM(IF((INDIRECT("'"&amp;$B315&amp;"'!I23:I200")=$A$2)*(INDIRECT("'"&amp;$B315&amp;"'!O23:O200")=$D315)*(INDIRECT("'"&amp;$B315&amp;"'!O23:O200")&lt;&gt;"")*(INDIRECT("'"&amp;$B315&amp;"'!H23:H200")=$E$5),1,0)))</f>
        <v>3</v>
      </c>
      <c r="F315" s="565">
        <f t="array" aca="1" ref="F315" ca="1">IF($B315="N","",SUM(IF((INDIRECT("'"&amp;$B315&amp;"'!I23:I200")=$A$2)*(INDIRECT("'"&amp;$B315&amp;"'!O23:O200")=$D315)*(INDIRECT("'"&amp;$B315&amp;"'!O23:O200")&lt;&gt;"")*(INDIRECT("'"&amp;$B315&amp;"'!H23:H200")=$E$5),INDIRECT("'"&amp;$B315&amp;"'!p23:p200"),0)))</f>
        <v>-1.5</v>
      </c>
      <c r="G315" s="564">
        <f t="array" aca="1" ref="G315" ca="1">IF($B315="N","",SUM(IF((INDIRECT("'"&amp;$B315&amp;"'!I23:I200")=$A$2)*(INDIRECT("'"&amp;$B315&amp;"'!O23:O200")=$D315)*(INDIRECT("'"&amp;$B315&amp;"'!O23:O200")&lt;&gt;"")*(INDIRECT("'"&amp;$B315&amp;"'!H23:H200")=$G$5),1,0)))</f>
        <v>4</v>
      </c>
      <c r="H315" s="565">
        <f t="array" aca="1" ref="H315" ca="1">IF($B315="N","",SUM(IF((INDIRECT("'"&amp;$B315&amp;"'!I23:I200")=$A$2)*(INDIRECT("'"&amp;$B315&amp;"'!O23:O200")=$D315)*(INDIRECT("'"&amp;$B315&amp;"'!O23:O200")&lt;&gt;"")*(INDIRECT("'"&amp;$B315&amp;"'!H23:H200")=$G$5),INDIRECT("'"&amp;$B315&amp;"'!p23:p200"),0)))</f>
        <v>0</v>
      </c>
      <c r="I315" s="515">
        <f t="shared" ca="1" si="52"/>
        <v>7</v>
      </c>
      <c r="J315" s="513">
        <f t="shared" ca="1" si="53"/>
        <v>-1.5</v>
      </c>
    </row>
    <row r="316" spans="1:10">
      <c r="B316" s="563" t="str">
        <f t="shared" si="54"/>
        <v>Matsumoto Yamaga</v>
      </c>
      <c r="D316" s="511">
        <v>-0.5</v>
      </c>
      <c r="E316" s="564">
        <f t="array" aca="1" ref="E316" ca="1">IF($B316="N","",SUM(IF((INDIRECT("'"&amp;$B316&amp;"'!I23:I200")=$A$2)*(INDIRECT("'"&amp;$B316&amp;"'!O23:O200")=$D316)*(INDIRECT("'"&amp;$B316&amp;"'!O23:O200")&lt;&gt;"")*(INDIRECT("'"&amp;$B316&amp;"'!H23:H200")=$E$5),1,0)))</f>
        <v>4</v>
      </c>
      <c r="F316" s="565">
        <f t="array" aca="1" ref="F316" ca="1">IF($B316="N","",SUM(IF((INDIRECT("'"&amp;$B316&amp;"'!I23:I200")=$A$2)*(INDIRECT("'"&amp;$B316&amp;"'!O23:O200")=$D316)*(INDIRECT("'"&amp;$B316&amp;"'!O23:O200")&lt;&gt;"")*(INDIRECT("'"&amp;$B316&amp;"'!H23:H200")=$E$5),INDIRECT("'"&amp;$B316&amp;"'!p23:p200"),0)))</f>
        <v>-2</v>
      </c>
      <c r="G316" s="564">
        <f t="array" aca="1" ref="G316" ca="1">IF($B316="N","",SUM(IF((INDIRECT("'"&amp;$B316&amp;"'!I23:I200")=$A$2)*(INDIRECT("'"&amp;$B316&amp;"'!O23:O200")=$D316)*(INDIRECT("'"&amp;$B316&amp;"'!O23:O200")&lt;&gt;"")*(INDIRECT("'"&amp;$B316&amp;"'!H23:H200")=$G$5),1,0)))</f>
        <v>3</v>
      </c>
      <c r="H316" s="565">
        <f t="array" aca="1" ref="H316" ca="1">IF($B316="N","",SUM(IF((INDIRECT("'"&amp;$B316&amp;"'!I23:I200")=$A$2)*(INDIRECT("'"&amp;$B316&amp;"'!O23:O200")=$D316)*(INDIRECT("'"&amp;$B316&amp;"'!O23:O200")&lt;&gt;"")*(INDIRECT("'"&amp;$B316&amp;"'!H23:H200")=$G$5),INDIRECT("'"&amp;$B316&amp;"'!p23:p200"),0)))</f>
        <v>1</v>
      </c>
      <c r="I316" s="515">
        <f t="shared" ca="1" si="52"/>
        <v>7</v>
      </c>
      <c r="J316" s="513">
        <f t="shared" ca="1" si="53"/>
        <v>-1</v>
      </c>
    </row>
    <row r="317" spans="1:10">
      <c r="B317" s="563" t="str">
        <f t="shared" si="54"/>
        <v>Matsumoto Yamaga</v>
      </c>
      <c r="D317" s="511">
        <v>-0.25</v>
      </c>
      <c r="E317" s="564">
        <f t="array" aca="1" ref="E317" ca="1">IF($B317="N","",SUM(IF((INDIRECT("'"&amp;$B317&amp;"'!I23:I200")=$A$2)*(INDIRECT("'"&amp;$B317&amp;"'!O23:O200")=$D317)*(INDIRECT("'"&amp;$B317&amp;"'!O23:O200")&lt;&gt;"")*(INDIRECT("'"&amp;$B317&amp;"'!H23:H200")=$E$5),1,0)))</f>
        <v>8</v>
      </c>
      <c r="F317" s="565">
        <f t="array" aca="1" ref="F317" ca="1">IF($B317="N","",SUM(IF((INDIRECT("'"&amp;$B317&amp;"'!I23:I200")=$A$2)*(INDIRECT("'"&amp;$B317&amp;"'!O23:O200")=$D317)*(INDIRECT("'"&amp;$B317&amp;"'!O23:O200")&lt;&gt;"")*(INDIRECT("'"&amp;$B317&amp;"'!H23:H200")=$E$5),INDIRECT("'"&amp;$B317&amp;"'!p23:p200"),0)))</f>
        <v>1</v>
      </c>
      <c r="G317" s="564">
        <f t="array" aca="1" ref="G317" ca="1">IF($B317="N","",SUM(IF((INDIRECT("'"&amp;$B317&amp;"'!I23:I200")=$A$2)*(INDIRECT("'"&amp;$B317&amp;"'!O23:O200")=$D317)*(INDIRECT("'"&amp;$B317&amp;"'!O23:O200")&lt;&gt;"")*(INDIRECT("'"&amp;$B317&amp;"'!H23:H200")=$G$5),1,0)))</f>
        <v>8</v>
      </c>
      <c r="H317" s="565">
        <f t="array" aca="1" ref="H317" ca="1">IF($B317="N","",SUM(IF((INDIRECT("'"&amp;$B317&amp;"'!I23:I200")=$A$2)*(INDIRECT("'"&amp;$B317&amp;"'!O23:O200")=$D317)*(INDIRECT("'"&amp;$B317&amp;"'!O23:O200")&lt;&gt;"")*(INDIRECT("'"&amp;$B317&amp;"'!H23:H200")=$G$5),INDIRECT("'"&amp;$B317&amp;"'!p23:p200"),0)))</f>
        <v>-2</v>
      </c>
      <c r="I317" s="515">
        <f t="shared" ca="1" si="52"/>
        <v>16</v>
      </c>
      <c r="J317" s="513">
        <f t="shared" ca="1" si="53"/>
        <v>-1</v>
      </c>
    </row>
    <row r="318" spans="1:10">
      <c r="B318" s="563" t="str">
        <f t="shared" si="54"/>
        <v>Matsumoto Yamaga</v>
      </c>
      <c r="D318" s="511">
        <v>0</v>
      </c>
      <c r="E318" s="564">
        <f t="array" aca="1" ref="E318" ca="1">IF($B318="N","",SUM(IF((INDIRECT("'"&amp;$B318&amp;"'!I23:I200")=$A$2)*(INDIRECT("'"&amp;$B318&amp;"'!O23:O200")=$D318)*(INDIRECT("'"&amp;$B318&amp;"'!O23:O200")&lt;&gt;"")*(INDIRECT("'"&amp;$B318&amp;"'!H23:H200")=$E$5),1,0)))</f>
        <v>1</v>
      </c>
      <c r="F318" s="565">
        <f t="array" aca="1" ref="F318" ca="1">IF($B318="N","",SUM(IF((INDIRECT("'"&amp;$B318&amp;"'!I23:I200")=$A$2)*(INDIRECT("'"&amp;$B318&amp;"'!O23:O200")=$D318)*(INDIRECT("'"&amp;$B318&amp;"'!O23:O200")&lt;&gt;"")*(INDIRECT("'"&amp;$B318&amp;"'!H23:H200")=$E$5),INDIRECT("'"&amp;$B318&amp;"'!p23:p200"),0)))</f>
        <v>-1</v>
      </c>
      <c r="G318" s="564">
        <f t="array" aca="1" ref="G318" ca="1">IF($B318="N","",SUM(IF((INDIRECT("'"&amp;$B318&amp;"'!I23:I200")=$A$2)*(INDIRECT("'"&amp;$B318&amp;"'!O23:O200")=$D318)*(INDIRECT("'"&amp;$B318&amp;"'!O23:O200")&lt;&gt;"")*(INDIRECT("'"&amp;$B318&amp;"'!H23:H200")=$G$5),1,0)))</f>
        <v>5</v>
      </c>
      <c r="H318" s="565">
        <f t="array" aca="1" ref="H318" ca="1">IF($B318="N","",SUM(IF((INDIRECT("'"&amp;$B318&amp;"'!I23:I200")=$A$2)*(INDIRECT("'"&amp;$B318&amp;"'!O23:O200")=$D318)*(INDIRECT("'"&amp;$B318&amp;"'!O23:O200")&lt;&gt;"")*(INDIRECT("'"&amp;$B318&amp;"'!H23:H200")=$G$5),INDIRECT("'"&amp;$B318&amp;"'!p23:p200"),0)))</f>
        <v>-1</v>
      </c>
      <c r="I318" s="515">
        <f t="shared" ca="1" si="52"/>
        <v>6</v>
      </c>
      <c r="J318" s="513">
        <f t="shared" ca="1" si="53"/>
        <v>-2</v>
      </c>
    </row>
    <row r="319" spans="1:10">
      <c r="B319" s="563" t="str">
        <f t="shared" si="54"/>
        <v>Matsumoto Yamaga</v>
      </c>
      <c r="D319" s="511">
        <v>0.25</v>
      </c>
      <c r="E319" s="564">
        <f t="array" aca="1" ref="E319" ca="1">IF($B319="N","",SUM(IF((INDIRECT("'"&amp;$B319&amp;"'!I23:I200")=$A$2)*(INDIRECT("'"&amp;$B319&amp;"'!O23:O200")=$D319)*(INDIRECT("'"&amp;$B319&amp;"'!O23:O200")&lt;&gt;"")*(INDIRECT("'"&amp;$B319&amp;"'!H23:H200")=$E$5),1,0)))</f>
        <v>0</v>
      </c>
      <c r="F319" s="565">
        <f t="array" aca="1" ref="F319" ca="1">IF($B319="N","",SUM(IF((INDIRECT("'"&amp;$B319&amp;"'!I23:I200")=$A$2)*(INDIRECT("'"&amp;$B319&amp;"'!O23:O200")=$D319)*(INDIRECT("'"&amp;$B319&amp;"'!O23:O200")&lt;&gt;"")*(INDIRECT("'"&amp;$B319&amp;"'!H23:H200")=$E$5),INDIRECT("'"&amp;$B319&amp;"'!p23:p200"),0)))</f>
        <v>0</v>
      </c>
      <c r="G319" s="564">
        <f t="array" aca="1" ref="G319" ca="1">IF($B319="N","",SUM(IF((INDIRECT("'"&amp;$B319&amp;"'!I23:I200")=$A$2)*(INDIRECT("'"&amp;$B319&amp;"'!O23:O200")=$D319)*(INDIRECT("'"&amp;$B319&amp;"'!O23:O200")&lt;&gt;"")*(INDIRECT("'"&amp;$B319&amp;"'!H23:H200")=$G$5),1,0)))</f>
        <v>1</v>
      </c>
      <c r="H319" s="565">
        <f t="array" aca="1" ref="H319" ca="1">IF($B319="N","",SUM(IF((INDIRECT("'"&amp;$B319&amp;"'!I23:I200")=$A$2)*(INDIRECT("'"&amp;$B319&amp;"'!O23:O200")=$D319)*(INDIRECT("'"&amp;$B319&amp;"'!O23:O200")&lt;&gt;"")*(INDIRECT("'"&amp;$B319&amp;"'!H23:H200")=$G$5),INDIRECT("'"&amp;$B319&amp;"'!p23:p200"),0)))</f>
        <v>0.5</v>
      </c>
      <c r="I319" s="515">
        <f t="shared" ca="1" si="52"/>
        <v>1</v>
      </c>
      <c r="J319" s="513">
        <f t="shared" ca="1" si="53"/>
        <v>0.5</v>
      </c>
    </row>
    <row r="320" spans="1:10">
      <c r="B320" s="563" t="str">
        <f t="shared" si="54"/>
        <v>Matsumoto Yamaga</v>
      </c>
      <c r="D320" s="511">
        <v>0.5</v>
      </c>
      <c r="E320" s="564">
        <f t="array" aca="1" ref="E320" ca="1">IF($B320="N","",SUM(IF((INDIRECT("'"&amp;$B320&amp;"'!I23:I200")=$A$2)*(INDIRECT("'"&amp;$B320&amp;"'!O23:O200")=$D320)*(INDIRECT("'"&amp;$B320&amp;"'!O23:O200")&lt;&gt;"")*(INDIRECT("'"&amp;$B320&amp;"'!H23:H200")=$E$5),1,0)))</f>
        <v>0</v>
      </c>
      <c r="F320" s="565">
        <f t="array" aca="1" ref="F320" ca="1">IF($B320="N","",SUM(IF((INDIRECT("'"&amp;$B320&amp;"'!I23:I200")=$A$2)*(INDIRECT("'"&amp;$B320&amp;"'!O23:O200")=$D320)*(INDIRECT("'"&amp;$B320&amp;"'!O23:O200")&lt;&gt;"")*(INDIRECT("'"&amp;$B320&amp;"'!H23:H200")=$E$5),INDIRECT("'"&amp;$B320&amp;"'!p23:p200"),0)))</f>
        <v>0</v>
      </c>
      <c r="G320" s="564">
        <f t="array" aca="1" ref="G320" ca="1">IF($B320="N","",SUM(IF((INDIRECT("'"&amp;$B320&amp;"'!I23:I200")=$A$2)*(INDIRECT("'"&amp;$B320&amp;"'!O23:O200")=$D320)*(INDIRECT("'"&amp;$B320&amp;"'!O23:O200")&lt;&gt;"")*(INDIRECT("'"&amp;$B320&amp;"'!H23:H200")=$G$5),1,0)))</f>
        <v>0</v>
      </c>
      <c r="H320" s="565">
        <f t="array" aca="1" ref="H320" ca="1">IF($B320="N","",SUM(IF((INDIRECT("'"&amp;$B320&amp;"'!I23:I200")=$A$2)*(INDIRECT("'"&amp;$B320&amp;"'!O23:O200")=$D320)*(INDIRECT("'"&amp;$B320&amp;"'!O23:O200")&lt;&gt;"")*(INDIRECT("'"&amp;$B320&amp;"'!H23:H200")=$G$5),INDIRECT("'"&amp;$B320&amp;"'!p23:p200"),0)))</f>
        <v>0</v>
      </c>
      <c r="I320" s="515">
        <f t="shared" ca="1" si="52"/>
        <v>0</v>
      </c>
      <c r="J320" s="513">
        <f t="shared" ca="1" si="53"/>
        <v>0</v>
      </c>
    </row>
    <row r="321" spans="1:10">
      <c r="B321" s="563" t="str">
        <f t="shared" si="54"/>
        <v>Matsumoto Yamaga</v>
      </c>
      <c r="D321" s="511">
        <v>0.75</v>
      </c>
      <c r="E321" s="564">
        <f t="array" aca="1" ref="E321" ca="1">IF($B321="N","",SUM(IF((INDIRECT("'"&amp;$B321&amp;"'!I23:I200")=$A$2)*(INDIRECT("'"&amp;$B321&amp;"'!O23:O200")=$D321)*(INDIRECT("'"&amp;$B321&amp;"'!O23:O200")&lt;&gt;"")*(INDIRECT("'"&amp;$B321&amp;"'!H23:H200")=$E$5),1,0)))</f>
        <v>0</v>
      </c>
      <c r="F321" s="565">
        <f t="array" aca="1" ref="F321" ca="1">IF($B321="N","",SUM(IF((INDIRECT("'"&amp;$B321&amp;"'!I23:I200")=$A$2)*(INDIRECT("'"&amp;$B321&amp;"'!O23:O200")=$D321)*(INDIRECT("'"&amp;$B321&amp;"'!O23:O200")&lt;&gt;"")*(INDIRECT("'"&amp;$B321&amp;"'!H23:H200")=$E$5),INDIRECT("'"&amp;$B321&amp;"'!p23:p200"),0)))</f>
        <v>0</v>
      </c>
      <c r="G321" s="564">
        <f t="array" aca="1" ref="G321" ca="1">IF($B321="N","",SUM(IF((INDIRECT("'"&amp;$B321&amp;"'!I23:I200")=$A$2)*(INDIRECT("'"&amp;$B321&amp;"'!O23:O200")=$D321)*(INDIRECT("'"&amp;$B321&amp;"'!O23:O200")&lt;&gt;"")*(INDIRECT("'"&amp;$B321&amp;"'!H23:H200")=$G$5),1,0)))</f>
        <v>0</v>
      </c>
      <c r="H321" s="565">
        <f t="array" aca="1" ref="H321" ca="1">IF($B321="N","",SUM(IF((INDIRECT("'"&amp;$B321&amp;"'!I23:I200")=$A$2)*(INDIRECT("'"&amp;$B321&amp;"'!O23:O200")=$D321)*(INDIRECT("'"&amp;$B321&amp;"'!O23:O200")&lt;&gt;"")*(INDIRECT("'"&amp;$B321&amp;"'!H23:H200")=$G$5),INDIRECT("'"&amp;$B321&amp;"'!p23:p200"),0)))</f>
        <v>0</v>
      </c>
      <c r="I321" s="515">
        <f t="shared" ca="1" si="52"/>
        <v>0</v>
      </c>
      <c r="J321" s="513">
        <f t="shared" ca="1" si="53"/>
        <v>0</v>
      </c>
    </row>
    <row r="322" spans="1:10">
      <c r="B322" s="563" t="str">
        <f t="shared" si="54"/>
        <v>Matsumoto Yamaga</v>
      </c>
      <c r="D322" s="511">
        <v>1</v>
      </c>
      <c r="E322" s="564">
        <f t="array" aca="1" ref="E322" ca="1">IF($B322="N","",SUM(IF((INDIRECT("'"&amp;$B322&amp;"'!I23:I200")=$A$2)*(INDIRECT("'"&amp;$B322&amp;"'!O23:O200")=$D322)*(INDIRECT("'"&amp;$B322&amp;"'!O23:O200")&lt;&gt;"")*(INDIRECT("'"&amp;$B322&amp;"'!H23:H200")=$E$5),1,0)))</f>
        <v>0</v>
      </c>
      <c r="F322" s="565">
        <f t="array" aca="1" ref="F322" ca="1">IF($B322="N","",SUM(IF((INDIRECT("'"&amp;$B322&amp;"'!I23:I200")=$A$2)*(INDIRECT("'"&amp;$B322&amp;"'!O23:O200")=$D322)*(INDIRECT("'"&amp;$B322&amp;"'!O23:O200")&lt;&gt;"")*(INDIRECT("'"&amp;$B322&amp;"'!H23:H200")=$E$5),INDIRECT("'"&amp;$B322&amp;"'!p23:p200"),0)))</f>
        <v>0</v>
      </c>
      <c r="G322" s="564">
        <f t="array" aca="1" ref="G322" ca="1">IF($B322="N","",SUM(IF((INDIRECT("'"&amp;$B322&amp;"'!I23:I200")=$A$2)*(INDIRECT("'"&amp;$B322&amp;"'!O23:O200")=$D322)*(INDIRECT("'"&amp;$B322&amp;"'!O23:O200")&lt;&gt;"")*(INDIRECT("'"&amp;$B322&amp;"'!H23:H200")=$G$5),1,0)))</f>
        <v>0</v>
      </c>
      <c r="H322" s="565">
        <f t="array" aca="1" ref="H322" ca="1">IF($B322="N","",SUM(IF((INDIRECT("'"&amp;$B322&amp;"'!I23:I200")=$A$2)*(INDIRECT("'"&amp;$B322&amp;"'!O23:O200")=$D322)*(INDIRECT("'"&amp;$B322&amp;"'!O23:O200")&lt;&gt;"")*(INDIRECT("'"&amp;$B322&amp;"'!H23:H200")=$G$5),INDIRECT("'"&amp;$B322&amp;"'!p23:p200"),0)))</f>
        <v>0</v>
      </c>
      <c r="I322" s="515">
        <f t="shared" ca="1" si="52"/>
        <v>0</v>
      </c>
      <c r="J322" s="513">
        <f t="shared" ca="1" si="53"/>
        <v>0</v>
      </c>
    </row>
    <row r="323" spans="1:10">
      <c r="B323" s="563" t="str">
        <f t="shared" si="54"/>
        <v>Matsumoto Yamaga</v>
      </c>
      <c r="D323" s="511">
        <v>1.25</v>
      </c>
      <c r="E323" s="564">
        <f t="array" aca="1" ref="E323" ca="1">IF($B323="N","",SUM(IF((INDIRECT("'"&amp;$B323&amp;"'!I23:I200")=$A$2)*(INDIRECT("'"&amp;$B323&amp;"'!O23:O200")=$D323)*(INDIRECT("'"&amp;$B323&amp;"'!O23:O200")&lt;&gt;"")*(INDIRECT("'"&amp;$B323&amp;"'!H23:H200")=$E$5),1,0)))</f>
        <v>0</v>
      </c>
      <c r="F323" s="565">
        <f t="array" aca="1" ref="F323" ca="1">IF($B323="N","",SUM(IF((INDIRECT("'"&amp;$B323&amp;"'!I23:I200")=$A$2)*(INDIRECT("'"&amp;$B323&amp;"'!O23:O200")=$D323)*(INDIRECT("'"&amp;$B323&amp;"'!O23:O200")&lt;&gt;"")*(INDIRECT("'"&amp;$B323&amp;"'!H23:H200")=$E$5),INDIRECT("'"&amp;$B323&amp;"'!p23:p200"),0)))</f>
        <v>0</v>
      </c>
      <c r="G323" s="564">
        <f t="array" aca="1" ref="G323" ca="1">IF($B323="N","",SUM(IF((INDIRECT("'"&amp;$B323&amp;"'!I23:I200")=$A$2)*(INDIRECT("'"&amp;$B323&amp;"'!O23:O200")=$D323)*(INDIRECT("'"&amp;$B323&amp;"'!O23:O200")&lt;&gt;"")*(INDIRECT("'"&amp;$B323&amp;"'!H23:H200")=$G$5),1,0)))</f>
        <v>0</v>
      </c>
      <c r="H323" s="565">
        <f t="array" aca="1" ref="H323" ca="1">IF($B323="N","",SUM(IF((INDIRECT("'"&amp;$B323&amp;"'!I23:I200")=$A$2)*(INDIRECT("'"&amp;$B323&amp;"'!O23:O200")=$D323)*(INDIRECT("'"&amp;$B323&amp;"'!O23:O200")&lt;&gt;"")*(INDIRECT("'"&amp;$B323&amp;"'!H23:H200")=$G$5),INDIRECT("'"&amp;$B323&amp;"'!p23:p200"),0)))</f>
        <v>0</v>
      </c>
      <c r="I323" s="515">
        <f t="shared" ca="1" si="52"/>
        <v>0</v>
      </c>
      <c r="J323" s="513">
        <f t="shared" ca="1" si="53"/>
        <v>0</v>
      </c>
    </row>
    <row r="324" spans="1:10">
      <c r="B324" s="563" t="str">
        <f t="shared" si="54"/>
        <v>Matsumoto Yamaga</v>
      </c>
      <c r="D324" s="511">
        <v>1.5</v>
      </c>
      <c r="E324" s="564">
        <f t="array" aca="1" ref="E324" ca="1">IF($B324="N","",SUM(IF((INDIRECT("'"&amp;$B324&amp;"'!I23:I200")=$A$2)*(INDIRECT("'"&amp;$B324&amp;"'!O23:O200")=$D324)*(INDIRECT("'"&amp;$B324&amp;"'!O23:O200")&lt;&gt;"")*(INDIRECT("'"&amp;$B324&amp;"'!H23:H200")=$E$5),1,0)))</f>
        <v>0</v>
      </c>
      <c r="F324" s="565">
        <f t="array" aca="1" ref="F324" ca="1">IF($B324="N","",SUM(IF((INDIRECT("'"&amp;$B324&amp;"'!I23:I200")=$A$2)*(INDIRECT("'"&amp;$B324&amp;"'!O23:O200")=$D324)*(INDIRECT("'"&amp;$B324&amp;"'!O23:O200")&lt;&gt;"")*(INDIRECT("'"&amp;$B324&amp;"'!H23:H200")=$E$5),INDIRECT("'"&amp;$B324&amp;"'!p23:p200"),0)))</f>
        <v>0</v>
      </c>
      <c r="G324" s="564">
        <f t="array" aca="1" ref="G324" ca="1">IF($B324="N","",SUM(IF((INDIRECT("'"&amp;$B324&amp;"'!I23:I200")=$A$2)*(INDIRECT("'"&amp;$B324&amp;"'!O23:O200")=$D324)*(INDIRECT("'"&amp;$B324&amp;"'!O23:O200")&lt;&gt;"")*(INDIRECT("'"&amp;$B324&amp;"'!H23:H200")=$G$5),1,0)))</f>
        <v>0</v>
      </c>
      <c r="H324" s="565">
        <f t="array" aca="1" ref="H324" ca="1">IF($B324="N","",SUM(IF((INDIRECT("'"&amp;$B324&amp;"'!I23:I200")=$A$2)*(INDIRECT("'"&amp;$B324&amp;"'!O23:O200")=$D324)*(INDIRECT("'"&amp;$B324&amp;"'!O23:O200")&lt;&gt;"")*(INDIRECT("'"&amp;$B324&amp;"'!H23:H200")=$G$5),INDIRECT("'"&amp;$B324&amp;"'!p23:p200"),0)))</f>
        <v>0</v>
      </c>
      <c r="I324" s="515">
        <f t="shared" ca="1" si="52"/>
        <v>0</v>
      </c>
      <c r="J324" s="513">
        <f t="shared" ca="1" si="53"/>
        <v>0</v>
      </c>
    </row>
    <row r="325" spans="1:10">
      <c r="B325" s="563" t="str">
        <f t="shared" si="54"/>
        <v>Matsumoto Yamaga</v>
      </c>
      <c r="D325" s="528">
        <v>1.75</v>
      </c>
      <c r="E325" s="564">
        <f t="array" aca="1" ref="E325" ca="1">IF($B325="N","",SUM(IF((INDIRECT("'"&amp;$B325&amp;"'!I23:I200")=$A$2)*(INDIRECT("'"&amp;$B325&amp;"'!O23:O200")=$D325)*(INDIRECT("'"&amp;$B325&amp;"'!O23:O200")&lt;&gt;"")*(INDIRECT("'"&amp;$B325&amp;"'!H23:H200")=$E$5),1,0)))</f>
        <v>0</v>
      </c>
      <c r="F325" s="565">
        <f t="array" aca="1" ref="F325" ca="1">IF($B325="N","",SUM(IF((INDIRECT("'"&amp;$B325&amp;"'!I23:I200")=$A$2)*(INDIRECT("'"&amp;$B325&amp;"'!O23:O200")=$D325)*(INDIRECT("'"&amp;$B325&amp;"'!O23:O200")&lt;&gt;"")*(INDIRECT("'"&amp;$B325&amp;"'!H23:H200")=$E$5),INDIRECT("'"&amp;$B325&amp;"'!p23:p200"),0)))</f>
        <v>0</v>
      </c>
      <c r="G325" s="564">
        <f t="array" aca="1" ref="G325" ca="1">IF($B325="N","",SUM(IF((INDIRECT("'"&amp;$B325&amp;"'!I23:I200")=$A$2)*(INDIRECT("'"&amp;$B325&amp;"'!O23:O200")=$D325)*(INDIRECT("'"&amp;$B325&amp;"'!O23:O200")&lt;&gt;"")*(INDIRECT("'"&amp;$B325&amp;"'!H23:H200")=$G$5),1,0)))</f>
        <v>0</v>
      </c>
      <c r="H325" s="565">
        <f t="array" aca="1" ref="H325" ca="1">IF($B325="N","",SUM(IF((INDIRECT("'"&amp;$B325&amp;"'!I23:I200")=$A$2)*(INDIRECT("'"&amp;$B325&amp;"'!O23:O200")=$D325)*(INDIRECT("'"&amp;$B325&amp;"'!O23:O200")&lt;&gt;"")*(INDIRECT("'"&amp;$B325&amp;"'!H23:H200")=$G$5),INDIRECT("'"&amp;$B325&amp;"'!p23:p200"),0)))</f>
        <v>0</v>
      </c>
      <c r="I325" s="515">
        <f t="shared" ca="1" si="52"/>
        <v>0</v>
      </c>
      <c r="J325" s="513">
        <f t="shared" ca="1" si="53"/>
        <v>0</v>
      </c>
    </row>
    <row r="326" spans="1:10">
      <c r="B326" s="563" t="str">
        <f t="shared" si="54"/>
        <v>Matsumoto Yamaga</v>
      </c>
      <c r="D326" s="528">
        <v>2</v>
      </c>
      <c r="E326" s="564">
        <f t="array" aca="1" ref="E326" ca="1">IF($B326="N","",SUM(IF((INDIRECT("'"&amp;$B326&amp;"'!I23:I200")=$A$2)*(INDIRECT("'"&amp;$B326&amp;"'!O23:O200")=$D326)*(INDIRECT("'"&amp;$B326&amp;"'!O23:O200")&lt;&gt;"")*(INDIRECT("'"&amp;$B326&amp;"'!H23:H200")=$E$5),1,0)))</f>
        <v>0</v>
      </c>
      <c r="F326" s="565">
        <f t="array" aca="1" ref="F326" ca="1">IF($B326="N","",SUM(IF((INDIRECT("'"&amp;$B326&amp;"'!I23:I200")=$A$2)*(INDIRECT("'"&amp;$B326&amp;"'!O23:O200")=$D326)*(INDIRECT("'"&amp;$B326&amp;"'!O23:O200")&lt;&gt;"")*(INDIRECT("'"&amp;$B326&amp;"'!H23:H200")=$E$5),INDIRECT("'"&amp;$B326&amp;"'!p23:p200"),0)))</f>
        <v>0</v>
      </c>
      <c r="G326" s="564">
        <f t="array" aca="1" ref="G326" ca="1">IF($B326="N","",SUM(IF((INDIRECT("'"&amp;$B326&amp;"'!I23:I200")=$A$2)*(INDIRECT("'"&amp;$B326&amp;"'!O23:O200")=$D326)*(INDIRECT("'"&amp;$B326&amp;"'!O23:O200")&lt;&gt;"")*(INDIRECT("'"&amp;$B326&amp;"'!H23:H200")=$G$5),1,0)))</f>
        <v>0</v>
      </c>
      <c r="H326" s="565">
        <f t="array" aca="1" ref="H326" ca="1">IF($B326="N","",SUM(IF((INDIRECT("'"&amp;$B326&amp;"'!I23:I200")=$A$2)*(INDIRECT("'"&amp;$B326&amp;"'!O23:O200")=$D326)*(INDIRECT("'"&amp;$B326&amp;"'!O23:O200")&lt;&gt;"")*(INDIRECT("'"&amp;$B326&amp;"'!H23:H200")=$G$5),INDIRECT("'"&amp;$B326&amp;"'!p23:p200"),0)))</f>
        <v>0</v>
      </c>
      <c r="I326" s="515">
        <f t="shared" ca="1" si="52"/>
        <v>0</v>
      </c>
      <c r="J326" s="513">
        <f t="shared" ca="1" si="53"/>
        <v>0</v>
      </c>
    </row>
    <row r="327" spans="1:10">
      <c r="B327" s="563" t="str">
        <f t="shared" si="54"/>
        <v>Matsumoto Yamaga</v>
      </c>
      <c r="D327" s="528">
        <v>2.25</v>
      </c>
      <c r="E327" s="564">
        <f t="array" aca="1" ref="E327" ca="1">IF($B327="N","",SUM(IF((INDIRECT("'"&amp;$B327&amp;"'!I23:I200")=$A$2)*(INDIRECT("'"&amp;$B327&amp;"'!O23:O200")=$D327)*(INDIRECT("'"&amp;$B327&amp;"'!O23:O200")&lt;&gt;"")*(INDIRECT("'"&amp;$B327&amp;"'!H23:H200")=$E$5),1,0)))</f>
        <v>0</v>
      </c>
      <c r="F327" s="565">
        <f t="array" aca="1" ref="F327" ca="1">IF($B327="N","",SUM(IF((INDIRECT("'"&amp;$B327&amp;"'!I23:I200")=$A$2)*(INDIRECT("'"&amp;$B327&amp;"'!O23:O200")=$D327)*(INDIRECT("'"&amp;$B327&amp;"'!O23:O200")&lt;&gt;"")*(INDIRECT("'"&amp;$B327&amp;"'!H23:H200")=$E$5),INDIRECT("'"&amp;$B327&amp;"'!p23:p200"),0)))</f>
        <v>0</v>
      </c>
      <c r="G327" s="564">
        <f t="array" aca="1" ref="G327" ca="1">IF($B327="N","",SUM(IF((INDIRECT("'"&amp;$B327&amp;"'!I23:I200")=$A$2)*(INDIRECT("'"&amp;$B327&amp;"'!O23:O200")=$D327)*(INDIRECT("'"&amp;$B327&amp;"'!O23:O200")&lt;&gt;"")*(INDIRECT("'"&amp;$B327&amp;"'!H23:H200")=$G$5),1,0)))</f>
        <v>0</v>
      </c>
      <c r="H327" s="565">
        <f t="array" aca="1" ref="H327" ca="1">IF($B327="N","",SUM(IF((INDIRECT("'"&amp;$B327&amp;"'!I23:I200")=$A$2)*(INDIRECT("'"&amp;$B327&amp;"'!O23:O200")=$D327)*(INDIRECT("'"&amp;$B327&amp;"'!O23:O200")&lt;&gt;"")*(INDIRECT("'"&amp;$B327&amp;"'!H23:H200")=$G$5),INDIRECT("'"&amp;$B327&amp;"'!p23:p200"),0)))</f>
        <v>0</v>
      </c>
      <c r="I327" s="515">
        <f t="shared" ca="1" si="52"/>
        <v>0</v>
      </c>
      <c r="J327" s="513">
        <f t="shared" ca="1" si="53"/>
        <v>0</v>
      </c>
    </row>
    <row r="328" spans="1:10">
      <c r="B328" s="563" t="str">
        <f t="shared" si="54"/>
        <v>Matsumoto Yamaga</v>
      </c>
      <c r="D328" s="528">
        <v>2.5</v>
      </c>
      <c r="E328" s="564">
        <f t="array" aca="1" ref="E328" ca="1">IF($B328="N","",SUM(IF((INDIRECT("'"&amp;$B328&amp;"'!I23:I200")=$A$2)*(INDIRECT("'"&amp;$B328&amp;"'!O23:O200")=$D328)*(INDIRECT("'"&amp;$B328&amp;"'!O23:O200")&lt;&gt;"")*(INDIRECT("'"&amp;$B328&amp;"'!H23:H200")=$E$5),1,0)))</f>
        <v>0</v>
      </c>
      <c r="F328" s="565">
        <f t="array" aca="1" ref="F328" ca="1">IF($B328="N","",SUM(IF((INDIRECT("'"&amp;$B328&amp;"'!I23:I200")=$A$2)*(INDIRECT("'"&amp;$B328&amp;"'!O23:O200")=$D328)*(INDIRECT("'"&amp;$B328&amp;"'!O23:O200")&lt;&gt;"")*(INDIRECT("'"&amp;$B328&amp;"'!H23:H200")=$E$5),INDIRECT("'"&amp;$B328&amp;"'!p23:p200"),0)))</f>
        <v>0</v>
      </c>
      <c r="G328" s="564">
        <f t="array" aca="1" ref="G328" ca="1">IF($B328="N","",SUM(IF((INDIRECT("'"&amp;$B328&amp;"'!I23:I200")=$A$2)*(INDIRECT("'"&amp;$B328&amp;"'!O23:O200")=$D328)*(INDIRECT("'"&amp;$B328&amp;"'!O23:O200")&lt;&gt;"")*(INDIRECT("'"&amp;$B328&amp;"'!H23:H200")=$G$5),1,0)))</f>
        <v>0</v>
      </c>
      <c r="H328" s="565">
        <f t="array" aca="1" ref="H328" ca="1">IF($B328="N","",SUM(IF((INDIRECT("'"&amp;$B328&amp;"'!I23:I200")=$A$2)*(INDIRECT("'"&amp;$B328&amp;"'!O23:O200")=$D328)*(INDIRECT("'"&amp;$B328&amp;"'!O23:O200")&lt;&gt;"")*(INDIRECT("'"&amp;$B328&amp;"'!H23:H200")=$G$5),INDIRECT("'"&amp;$B328&amp;"'!p23:p200"),0)))</f>
        <v>0</v>
      </c>
      <c r="I328" s="515">
        <f t="shared" ca="1" si="52"/>
        <v>0</v>
      </c>
      <c r="J328" s="513">
        <f t="shared" ca="1" si="53"/>
        <v>0</v>
      </c>
    </row>
    <row r="329" spans="1:10" ht="15" thickBot="1">
      <c r="B329" s="563" t="str">
        <f t="shared" si="54"/>
        <v>Matsumoto Yamaga</v>
      </c>
      <c r="D329" s="511">
        <v>2.75</v>
      </c>
      <c r="E329" s="564">
        <f t="array" aca="1" ref="E329" ca="1">IF($B329="N","",SUM(IF((INDIRECT("'"&amp;$B329&amp;"'!I23:I200")=$A$2)*(INDIRECT("'"&amp;$B329&amp;"'!O23:O200")=$D329)*(INDIRECT("'"&amp;$B329&amp;"'!O23:O200")&lt;&gt;"")*(INDIRECT("'"&amp;$B329&amp;"'!H23:H200")=$E$5),1,0)))</f>
        <v>0</v>
      </c>
      <c r="F329" s="565">
        <f t="array" aca="1" ref="F329" ca="1">IF($B329="N","",SUM(IF((INDIRECT("'"&amp;$B329&amp;"'!I23:I200")=$A$2)*(INDIRECT("'"&amp;$B329&amp;"'!O23:O200")=$D329)*(INDIRECT("'"&amp;$B329&amp;"'!O23:O200")&lt;&gt;"")*(INDIRECT("'"&amp;$B329&amp;"'!H23:H200")=$E$5),INDIRECT("'"&amp;$B329&amp;"'!p23:p200"),0)))</f>
        <v>0</v>
      </c>
      <c r="G329" s="564">
        <f t="array" aca="1" ref="G329" ca="1">IF($B329="N","",SUM(IF((INDIRECT("'"&amp;$B329&amp;"'!I23:I200")=$A$2)*(INDIRECT("'"&amp;$B329&amp;"'!O23:O200")=$D329)*(INDIRECT("'"&amp;$B329&amp;"'!O23:O200")&lt;&gt;"")*(INDIRECT("'"&amp;$B329&amp;"'!H23:H200")=$G$5),1,0)))</f>
        <v>0</v>
      </c>
      <c r="H329" s="565">
        <f t="array" aca="1" ref="H329" ca="1">IF($B329="N","",SUM(IF((INDIRECT("'"&amp;$B329&amp;"'!I23:I200")=$A$2)*(INDIRECT("'"&amp;$B329&amp;"'!O23:O200")=$D329)*(INDIRECT("'"&amp;$B329&amp;"'!O23:O200")&lt;&gt;"")*(INDIRECT("'"&amp;$B329&amp;"'!H23:H200")=$G$5),INDIRECT("'"&amp;$B329&amp;"'!p23:p200"),0)))</f>
        <v>0</v>
      </c>
      <c r="I329" s="515">
        <f t="shared" ca="1" si="52"/>
        <v>0</v>
      </c>
      <c r="J329" s="513">
        <f t="shared" ca="1" si="53"/>
        <v>0</v>
      </c>
    </row>
    <row r="330" spans="1:10" ht="15" thickBot="1">
      <c r="A330" s="567"/>
      <c r="B330" s="568"/>
      <c r="C330" s="569" t="str">
        <f>D305</f>
        <v>Matsumoto Yamaga</v>
      </c>
      <c r="D330" s="570" t="s">
        <v>115</v>
      </c>
      <c r="E330" s="571">
        <f t="shared" ref="E330:J330" ca="1" si="55">SUM(E307:E329)</f>
        <v>21</v>
      </c>
      <c r="F330" s="572">
        <f t="shared" ca="1" si="55"/>
        <v>-0.5</v>
      </c>
      <c r="G330" s="571">
        <f t="shared" ca="1" si="55"/>
        <v>21</v>
      </c>
      <c r="H330" s="572">
        <f t="shared" ca="1" si="55"/>
        <v>-1.5</v>
      </c>
      <c r="I330" s="573">
        <f t="shared" ca="1" si="55"/>
        <v>42</v>
      </c>
      <c r="J330" s="572">
        <f t="shared" ca="1" si="55"/>
        <v>-2</v>
      </c>
    </row>
    <row r="331" spans="1:10" ht="15" thickBot="1">
      <c r="A331" s="567"/>
      <c r="C331" s="576"/>
    </row>
    <row r="332" spans="1:10">
      <c r="A332" s="567"/>
      <c r="B332" s="357"/>
      <c r="C332" s="569"/>
      <c r="D332" s="562" t="str">
        <f>O1</f>
        <v>Mito Hollyhock</v>
      </c>
      <c r="E332" s="490" t="s">
        <v>80</v>
      </c>
      <c r="F332" s="491"/>
      <c r="G332" s="490" t="s">
        <v>81</v>
      </c>
      <c r="H332" s="491"/>
      <c r="I332" s="490" t="s">
        <v>82</v>
      </c>
      <c r="J332" s="492"/>
    </row>
    <row r="333" spans="1:10" ht="15" thickBot="1">
      <c r="B333" s="357"/>
      <c r="C333" s="357"/>
      <c r="D333" s="499" t="s">
        <v>120</v>
      </c>
      <c r="E333" s="497" t="s">
        <v>123</v>
      </c>
      <c r="F333" s="552" t="s">
        <v>124</v>
      </c>
      <c r="G333" s="497" t="s">
        <v>123</v>
      </c>
      <c r="H333" s="552" t="s">
        <v>124</v>
      </c>
      <c r="I333" s="501" t="s">
        <v>123</v>
      </c>
      <c r="J333" s="552" t="s">
        <v>124</v>
      </c>
    </row>
    <row r="334" spans="1:10">
      <c r="B334" s="563" t="str">
        <f>IF(D332=0,"N",D332)</f>
        <v>Mito Hollyhock</v>
      </c>
      <c r="D334" s="511">
        <v>-2.75</v>
      </c>
      <c r="E334" s="564">
        <f t="array" aca="1" ref="E334" ca="1">IF($B334="N","",SUM(IF((INDIRECT("'"&amp;$B334&amp;"'!I23:I200")=$A$2)*(INDIRECT("'"&amp;$B334&amp;"'!O23:O200")=$D334)*(INDIRECT("'"&amp;$B334&amp;"'!O23:O200")&lt;&gt;"")*(INDIRECT("'"&amp;$B334&amp;"'!H23:H200")=$E$5),1,0)))</f>
        <v>0</v>
      </c>
      <c r="F334" s="565">
        <f t="array" aca="1" ref="F334" ca="1">IF($B334="N","",SUM(IF((INDIRECT("'"&amp;$B334&amp;"'!I23:I200")=$A$2)*(INDIRECT("'"&amp;$B334&amp;"'!O23:O200")=$D334)*(INDIRECT("'"&amp;$B334&amp;"'!O23:O200")&lt;&gt;"")*(INDIRECT("'"&amp;$B334&amp;"'!H23:H200")=$E$5),INDIRECT("'"&amp;$B334&amp;"'!p23:p200"),0)))</f>
        <v>0</v>
      </c>
      <c r="G334" s="564">
        <f t="array" aca="1" ref="G334" ca="1">IF($B334="N","",SUM(IF((INDIRECT("'"&amp;$B334&amp;"'!I23:I200")=$A$2)*(INDIRECT("'"&amp;$B334&amp;"'!O23:O200")=$D334)*(INDIRECT("'"&amp;$B334&amp;"'!O23:O200")&lt;&gt;"")*(INDIRECT("'"&amp;$B334&amp;"'!H23:H200")=$G$5),1,0)))</f>
        <v>0</v>
      </c>
      <c r="H334" s="565">
        <f t="array" aca="1" ref="H334" ca="1">IF($B334="N","",SUM(IF((INDIRECT("'"&amp;$B334&amp;"'!I23:I200")=$A$2)*(INDIRECT("'"&amp;$B334&amp;"'!O23:O200")=$D334)*(INDIRECT("'"&amp;$B334&amp;"'!O23:O200")&lt;&gt;"")*(INDIRECT("'"&amp;$B334&amp;"'!H23:H200")=$G$5),INDIRECT("'"&amp;$B334&amp;"'!p23:p200"),0)))</f>
        <v>0</v>
      </c>
      <c r="I334" s="515">
        <f t="shared" ref="I334:I356" ca="1" si="56">IF(B334="N","",G334+E334)</f>
        <v>0</v>
      </c>
      <c r="J334" s="513">
        <f t="shared" ref="J334:J356" ca="1" si="57">IF(I334="","",F334+H334)</f>
        <v>0</v>
      </c>
    </row>
    <row r="335" spans="1:10">
      <c r="B335" s="563" t="str">
        <f>B334</f>
        <v>Mito Hollyhock</v>
      </c>
      <c r="D335" s="520">
        <v>-2.5</v>
      </c>
      <c r="E335" s="564">
        <f t="array" aca="1" ref="E335" ca="1">IF($B335="N","",SUM(IF((INDIRECT("'"&amp;$B335&amp;"'!I23:I200")=$A$2)*(INDIRECT("'"&amp;$B335&amp;"'!O23:O200")=$D335)*(INDIRECT("'"&amp;$B335&amp;"'!O23:O200")&lt;&gt;"")*(INDIRECT("'"&amp;$B335&amp;"'!H23:H200")=$E$5),1,0)))</f>
        <v>0</v>
      </c>
      <c r="F335" s="565">
        <f t="array" aca="1" ref="F335" ca="1">IF($B335="N","",SUM(IF((INDIRECT("'"&amp;$B335&amp;"'!I23:I200")=$A$2)*(INDIRECT("'"&amp;$B335&amp;"'!O23:O200")=$D335)*(INDIRECT("'"&amp;$B335&amp;"'!O23:O200")&lt;&gt;"")*(INDIRECT("'"&amp;$B335&amp;"'!H23:H200")=$E$5),INDIRECT("'"&amp;$B335&amp;"'!p23:p200"),0)))</f>
        <v>0</v>
      </c>
      <c r="G335" s="564">
        <f t="array" aca="1" ref="G335" ca="1">IF($B335="N","",SUM(IF((INDIRECT("'"&amp;$B335&amp;"'!I23:I200")=$A$2)*(INDIRECT("'"&amp;$B335&amp;"'!O23:O200")=$D335)*(INDIRECT("'"&amp;$B335&amp;"'!O23:O200")&lt;&gt;"")*(INDIRECT("'"&amp;$B335&amp;"'!H23:H200")=$G$5),1,0)))</f>
        <v>0</v>
      </c>
      <c r="H335" s="565">
        <f t="array" aca="1" ref="H335" ca="1">IF($B335="N","",SUM(IF((INDIRECT("'"&amp;$B335&amp;"'!I23:I200")=$A$2)*(INDIRECT("'"&amp;$B335&amp;"'!O23:O200")=$D335)*(INDIRECT("'"&amp;$B335&amp;"'!O23:O200")&lt;&gt;"")*(INDIRECT("'"&amp;$B335&amp;"'!H23:H200")=$G$5),INDIRECT("'"&amp;$B335&amp;"'!p23:p200"),0)))</f>
        <v>0</v>
      </c>
      <c r="I335" s="515">
        <f t="shared" ca="1" si="56"/>
        <v>0</v>
      </c>
      <c r="J335" s="513">
        <f t="shared" ca="1" si="57"/>
        <v>0</v>
      </c>
    </row>
    <row r="336" spans="1:10">
      <c r="B336" s="563" t="str">
        <f t="shared" ref="B336:B356" si="58">B335</f>
        <v>Mito Hollyhock</v>
      </c>
      <c r="D336" s="520">
        <v>-2.25</v>
      </c>
      <c r="E336" s="564">
        <f t="array" aca="1" ref="E336" ca="1">IF($B336="N","",SUM(IF((INDIRECT("'"&amp;$B336&amp;"'!I23:I200")=$A$2)*(INDIRECT("'"&amp;$B336&amp;"'!O23:O200")=$D336)*(INDIRECT("'"&amp;$B336&amp;"'!O23:O200")&lt;&gt;"")*(INDIRECT("'"&amp;$B336&amp;"'!H23:H200")=$E$5),1,0)))</f>
        <v>0</v>
      </c>
      <c r="F336" s="565">
        <f t="array" aca="1" ref="F336" ca="1">IF($B336="N","",SUM(IF((INDIRECT("'"&amp;$B336&amp;"'!I23:I200")=$A$2)*(INDIRECT("'"&amp;$B336&amp;"'!O23:O200")=$D336)*(INDIRECT("'"&amp;$B336&amp;"'!O23:O200")&lt;&gt;"")*(INDIRECT("'"&amp;$B336&amp;"'!H23:H200")=$E$5),INDIRECT("'"&amp;$B336&amp;"'!p23:p200"),0)))</f>
        <v>0</v>
      </c>
      <c r="G336" s="564">
        <f t="array" aca="1" ref="G336" ca="1">IF($B336="N","",SUM(IF((INDIRECT("'"&amp;$B336&amp;"'!I23:I200")=$A$2)*(INDIRECT("'"&amp;$B336&amp;"'!O23:O200")=$D336)*(INDIRECT("'"&amp;$B336&amp;"'!O23:O200")&lt;&gt;"")*(INDIRECT("'"&amp;$B336&amp;"'!H23:H200")=$G$5),1,0)))</f>
        <v>0</v>
      </c>
      <c r="H336" s="565">
        <f t="array" aca="1" ref="H336" ca="1">IF($B336="N","",SUM(IF((INDIRECT("'"&amp;$B336&amp;"'!I23:I200")=$A$2)*(INDIRECT("'"&amp;$B336&amp;"'!O23:O200")=$D336)*(INDIRECT("'"&amp;$B336&amp;"'!O23:O200")&lt;&gt;"")*(INDIRECT("'"&amp;$B336&amp;"'!H23:H200")=$G$5),INDIRECT("'"&amp;$B336&amp;"'!p23:p200"),0)))</f>
        <v>0</v>
      </c>
      <c r="I336" s="515">
        <f t="shared" ca="1" si="56"/>
        <v>0</v>
      </c>
      <c r="J336" s="513">
        <f t="shared" ca="1" si="57"/>
        <v>0</v>
      </c>
    </row>
    <row r="337" spans="2:10">
      <c r="B337" s="563" t="str">
        <f t="shared" si="58"/>
        <v>Mito Hollyhock</v>
      </c>
      <c r="D337" s="520">
        <v>-2</v>
      </c>
      <c r="E337" s="564">
        <f t="array" aca="1" ref="E337" ca="1">IF($B337="N","",SUM(IF((INDIRECT("'"&amp;$B337&amp;"'!I23:I200")=$A$2)*(INDIRECT("'"&amp;$B337&amp;"'!O23:O200")=$D337)*(INDIRECT("'"&amp;$B337&amp;"'!O23:O200")&lt;&gt;"")*(INDIRECT("'"&amp;$B337&amp;"'!H23:H200")=$E$5),1,0)))</f>
        <v>0</v>
      </c>
      <c r="F337" s="565">
        <f t="array" aca="1" ref="F337" ca="1">IF($B337="N","",SUM(IF((INDIRECT("'"&amp;$B337&amp;"'!I23:I200")=$A$2)*(INDIRECT("'"&amp;$B337&amp;"'!O23:O200")=$D337)*(INDIRECT("'"&amp;$B337&amp;"'!O23:O200")&lt;&gt;"")*(INDIRECT("'"&amp;$B337&amp;"'!H23:H200")=$E$5),INDIRECT("'"&amp;$B337&amp;"'!p23:p200"),0)))</f>
        <v>0</v>
      </c>
      <c r="G337" s="564">
        <f t="array" aca="1" ref="G337" ca="1">IF($B337="N","",SUM(IF((INDIRECT("'"&amp;$B337&amp;"'!I23:I200")=$A$2)*(INDIRECT("'"&amp;$B337&amp;"'!O23:O200")=$D337)*(INDIRECT("'"&amp;$B337&amp;"'!O23:O200")&lt;&gt;"")*(INDIRECT("'"&amp;$B337&amp;"'!H23:H200")=$G$5),1,0)))</f>
        <v>0</v>
      </c>
      <c r="H337" s="565">
        <f t="array" aca="1" ref="H337" ca="1">IF($B337="N","",SUM(IF((INDIRECT("'"&amp;$B337&amp;"'!I23:I200")=$A$2)*(INDIRECT("'"&amp;$B337&amp;"'!O23:O200")=$D337)*(INDIRECT("'"&amp;$B337&amp;"'!O23:O200")&lt;&gt;"")*(INDIRECT("'"&amp;$B337&amp;"'!H23:H200")=$G$5),INDIRECT("'"&amp;$B337&amp;"'!p23:p200"),0)))</f>
        <v>0</v>
      </c>
      <c r="I337" s="515">
        <f t="shared" ca="1" si="56"/>
        <v>0</v>
      </c>
      <c r="J337" s="513">
        <f t="shared" ca="1" si="57"/>
        <v>0</v>
      </c>
    </row>
    <row r="338" spans="2:10">
      <c r="B338" s="563" t="str">
        <f t="shared" si="58"/>
        <v>Mito Hollyhock</v>
      </c>
      <c r="D338" s="520">
        <v>-1.75</v>
      </c>
      <c r="E338" s="564">
        <f t="array" aca="1" ref="E338" ca="1">IF($B338="N","",SUM(IF((INDIRECT("'"&amp;$B338&amp;"'!I23:I200")=$A$2)*(INDIRECT("'"&amp;$B338&amp;"'!O23:O200")=$D338)*(INDIRECT("'"&amp;$B338&amp;"'!O23:O200")&lt;&gt;"")*(INDIRECT("'"&amp;$B338&amp;"'!H23:H200")=$E$5),1,0)))</f>
        <v>0</v>
      </c>
      <c r="F338" s="565">
        <f t="array" aca="1" ref="F338" ca="1">IF($B338="N","",SUM(IF((INDIRECT("'"&amp;$B338&amp;"'!I23:I200")=$A$2)*(INDIRECT("'"&amp;$B338&amp;"'!O23:O200")=$D338)*(INDIRECT("'"&amp;$B338&amp;"'!O23:O200")&lt;&gt;"")*(INDIRECT("'"&amp;$B338&amp;"'!H23:H200")=$E$5),INDIRECT("'"&amp;$B338&amp;"'!p23:p200"),0)))</f>
        <v>0</v>
      </c>
      <c r="G338" s="564">
        <f t="array" aca="1" ref="G338" ca="1">IF($B338="N","",SUM(IF((INDIRECT("'"&amp;$B338&amp;"'!I23:I200")=$A$2)*(INDIRECT("'"&amp;$B338&amp;"'!O23:O200")=$D338)*(INDIRECT("'"&amp;$B338&amp;"'!O23:O200")&lt;&gt;"")*(INDIRECT("'"&amp;$B338&amp;"'!H23:H200")=$G$5),1,0)))</f>
        <v>0</v>
      </c>
      <c r="H338" s="565">
        <f t="array" aca="1" ref="H338" ca="1">IF($B338="N","",SUM(IF((INDIRECT("'"&amp;$B338&amp;"'!I23:I200")=$A$2)*(INDIRECT("'"&amp;$B338&amp;"'!O23:O200")=$D338)*(INDIRECT("'"&amp;$B338&amp;"'!O23:O200")&lt;&gt;"")*(INDIRECT("'"&amp;$B338&amp;"'!H23:H200")=$G$5),INDIRECT("'"&amp;$B338&amp;"'!p23:p200"),0)))</f>
        <v>0</v>
      </c>
      <c r="I338" s="515">
        <f t="shared" ca="1" si="56"/>
        <v>0</v>
      </c>
      <c r="J338" s="513">
        <f t="shared" ca="1" si="57"/>
        <v>0</v>
      </c>
    </row>
    <row r="339" spans="2:10">
      <c r="B339" s="563" t="str">
        <f t="shared" si="58"/>
        <v>Mito Hollyhock</v>
      </c>
      <c r="D339" s="511">
        <v>-1.5</v>
      </c>
      <c r="E339" s="564">
        <f t="array" aca="1" ref="E339" ca="1">IF($B339="N","",SUM(IF((INDIRECT("'"&amp;$B339&amp;"'!I23:I200")=$A$2)*(INDIRECT("'"&amp;$B339&amp;"'!O23:O200")=$D339)*(INDIRECT("'"&amp;$B339&amp;"'!O23:O200")&lt;&gt;"")*(INDIRECT("'"&amp;$B339&amp;"'!H23:H200")=$E$5),1,0)))</f>
        <v>0</v>
      </c>
      <c r="F339" s="565">
        <f t="array" aca="1" ref="F339" ca="1">IF($B339="N","",SUM(IF((INDIRECT("'"&amp;$B339&amp;"'!I23:I200")=$A$2)*(INDIRECT("'"&amp;$B339&amp;"'!O23:O200")=$D339)*(INDIRECT("'"&amp;$B339&amp;"'!O23:O200")&lt;&gt;"")*(INDIRECT("'"&amp;$B339&amp;"'!H23:H200")=$E$5),INDIRECT("'"&amp;$B339&amp;"'!p23:p200"),0)))</f>
        <v>0</v>
      </c>
      <c r="G339" s="564">
        <f t="array" aca="1" ref="G339" ca="1">IF($B339="N","",SUM(IF((INDIRECT("'"&amp;$B339&amp;"'!I23:I200")=$A$2)*(INDIRECT("'"&amp;$B339&amp;"'!O23:O200")=$D339)*(INDIRECT("'"&amp;$B339&amp;"'!O23:O200")&lt;&gt;"")*(INDIRECT("'"&amp;$B339&amp;"'!H23:H200")=$G$5),1,0)))</f>
        <v>0</v>
      </c>
      <c r="H339" s="565">
        <f t="array" aca="1" ref="H339" ca="1">IF($B339="N","",SUM(IF((INDIRECT("'"&amp;$B339&amp;"'!I23:I200")=$A$2)*(INDIRECT("'"&amp;$B339&amp;"'!O23:O200")=$D339)*(INDIRECT("'"&amp;$B339&amp;"'!O23:O200")&lt;&gt;"")*(INDIRECT("'"&amp;$B339&amp;"'!H23:H200")=$G$5),INDIRECT("'"&amp;$B339&amp;"'!p23:p200"),0)))</f>
        <v>0</v>
      </c>
      <c r="I339" s="515">
        <f t="shared" ca="1" si="56"/>
        <v>0</v>
      </c>
      <c r="J339" s="513">
        <f t="shared" ca="1" si="57"/>
        <v>0</v>
      </c>
    </row>
    <row r="340" spans="2:10">
      <c r="B340" s="563" t="str">
        <f t="shared" si="58"/>
        <v>Mito Hollyhock</v>
      </c>
      <c r="D340" s="511">
        <v>-1.25</v>
      </c>
      <c r="E340" s="564">
        <f t="array" aca="1" ref="E340" ca="1">IF($B340="N","",SUM(IF((INDIRECT("'"&amp;$B340&amp;"'!I23:I200")=$A$2)*(INDIRECT("'"&amp;$B340&amp;"'!O23:O200")=$D340)*(INDIRECT("'"&amp;$B340&amp;"'!O23:O200")&lt;&gt;"")*(INDIRECT("'"&amp;$B340&amp;"'!H23:H200")=$E$5),1,0)))</f>
        <v>0</v>
      </c>
      <c r="F340" s="565">
        <f t="array" aca="1" ref="F340" ca="1">IF($B340="N","",SUM(IF((INDIRECT("'"&amp;$B340&amp;"'!I23:I200")=$A$2)*(INDIRECT("'"&amp;$B340&amp;"'!O23:O200")=$D340)*(INDIRECT("'"&amp;$B340&amp;"'!O23:O200")&lt;&gt;"")*(INDIRECT("'"&amp;$B340&amp;"'!H23:H200")=$E$5),INDIRECT("'"&amp;$B340&amp;"'!p23:p200"),0)))</f>
        <v>0</v>
      </c>
      <c r="G340" s="564">
        <f t="array" aca="1" ref="G340" ca="1">IF($B340="N","",SUM(IF((INDIRECT("'"&amp;$B340&amp;"'!I23:I200")=$A$2)*(INDIRECT("'"&amp;$B340&amp;"'!O23:O200")=$D340)*(INDIRECT("'"&amp;$B340&amp;"'!O23:O200")&lt;&gt;"")*(INDIRECT("'"&amp;$B340&amp;"'!H23:H200")=$G$5),1,0)))</f>
        <v>0</v>
      </c>
      <c r="H340" s="565">
        <f t="array" aca="1" ref="H340" ca="1">IF($B340="N","",SUM(IF((INDIRECT("'"&amp;$B340&amp;"'!I23:I200")=$A$2)*(INDIRECT("'"&amp;$B340&amp;"'!O23:O200")=$D340)*(INDIRECT("'"&amp;$B340&amp;"'!O23:O200")&lt;&gt;"")*(INDIRECT("'"&amp;$B340&amp;"'!H23:H200")=$G$5),INDIRECT("'"&amp;$B340&amp;"'!p23:p200"),0)))</f>
        <v>0</v>
      </c>
      <c r="I340" s="515">
        <f t="shared" ca="1" si="56"/>
        <v>0</v>
      </c>
      <c r="J340" s="513">
        <f t="shared" ca="1" si="57"/>
        <v>0</v>
      </c>
    </row>
    <row r="341" spans="2:10">
      <c r="B341" s="563" t="str">
        <f t="shared" si="58"/>
        <v>Mito Hollyhock</v>
      </c>
      <c r="D341" s="511">
        <v>-1</v>
      </c>
      <c r="E341" s="564">
        <f t="array" aca="1" ref="E341" ca="1">IF($B341="N","",SUM(IF((INDIRECT("'"&amp;$B341&amp;"'!I23:I200")=$A$2)*(INDIRECT("'"&amp;$B341&amp;"'!O23:O200")=$D341)*(INDIRECT("'"&amp;$B341&amp;"'!O23:O200")&lt;&gt;"")*(INDIRECT("'"&amp;$B341&amp;"'!H23:H200")=$E$5),1,0)))</f>
        <v>0</v>
      </c>
      <c r="F341" s="565">
        <f t="array" aca="1" ref="F341" ca="1">IF($B341="N","",SUM(IF((INDIRECT("'"&amp;$B341&amp;"'!I23:I200")=$A$2)*(INDIRECT("'"&amp;$B341&amp;"'!O23:O200")=$D341)*(INDIRECT("'"&amp;$B341&amp;"'!O23:O200")&lt;&gt;"")*(INDIRECT("'"&amp;$B341&amp;"'!H23:H200")=$E$5),INDIRECT("'"&amp;$B341&amp;"'!p23:p200"),0)))</f>
        <v>0</v>
      </c>
      <c r="G341" s="564">
        <f t="array" aca="1" ref="G341" ca="1">IF($B341="N","",SUM(IF((INDIRECT("'"&amp;$B341&amp;"'!I23:I200")=$A$2)*(INDIRECT("'"&amp;$B341&amp;"'!O23:O200")=$D341)*(INDIRECT("'"&amp;$B341&amp;"'!O23:O200")&lt;&gt;"")*(INDIRECT("'"&amp;$B341&amp;"'!H23:H200")=$G$5),1,0)))</f>
        <v>0</v>
      </c>
      <c r="H341" s="565">
        <f t="array" aca="1" ref="H341" ca="1">IF($B341="N","",SUM(IF((INDIRECT("'"&amp;$B341&amp;"'!I23:I200")=$A$2)*(INDIRECT("'"&amp;$B341&amp;"'!O23:O200")=$D341)*(INDIRECT("'"&amp;$B341&amp;"'!O23:O200")&lt;&gt;"")*(INDIRECT("'"&amp;$B341&amp;"'!H23:H200")=$G$5),INDIRECT("'"&amp;$B341&amp;"'!p23:p200"),0)))</f>
        <v>0</v>
      </c>
      <c r="I341" s="515">
        <f t="shared" ca="1" si="56"/>
        <v>0</v>
      </c>
      <c r="J341" s="513">
        <f t="shared" ca="1" si="57"/>
        <v>0</v>
      </c>
    </row>
    <row r="342" spans="2:10">
      <c r="B342" s="563" t="str">
        <f t="shared" si="58"/>
        <v>Mito Hollyhock</v>
      </c>
      <c r="D342" s="511">
        <v>-0.75</v>
      </c>
      <c r="E342" s="564">
        <f t="array" aca="1" ref="E342" ca="1">IF($B342="N","",SUM(IF((INDIRECT("'"&amp;$B342&amp;"'!I23:I200")=$A$2)*(INDIRECT("'"&amp;$B342&amp;"'!O23:O200")=$D342)*(INDIRECT("'"&amp;$B342&amp;"'!O23:O200")&lt;&gt;"")*(INDIRECT("'"&amp;$B342&amp;"'!H23:H200")=$E$5),1,0)))</f>
        <v>0</v>
      </c>
      <c r="F342" s="565">
        <f t="array" aca="1" ref="F342" ca="1">IF($B342="N","",SUM(IF((INDIRECT("'"&amp;$B342&amp;"'!I23:I200")=$A$2)*(INDIRECT("'"&amp;$B342&amp;"'!O23:O200")=$D342)*(INDIRECT("'"&amp;$B342&amp;"'!O23:O200")&lt;&gt;"")*(INDIRECT("'"&amp;$B342&amp;"'!H23:H200")=$E$5),INDIRECT("'"&amp;$B342&amp;"'!p23:p200"),0)))</f>
        <v>0</v>
      </c>
      <c r="G342" s="564">
        <f t="array" aca="1" ref="G342" ca="1">IF($B342="N","",SUM(IF((INDIRECT("'"&amp;$B342&amp;"'!I23:I200")=$A$2)*(INDIRECT("'"&amp;$B342&amp;"'!O23:O200")=$D342)*(INDIRECT("'"&amp;$B342&amp;"'!O23:O200")&lt;&gt;"")*(INDIRECT("'"&amp;$B342&amp;"'!H23:H200")=$G$5),1,0)))</f>
        <v>0</v>
      </c>
      <c r="H342" s="565">
        <f t="array" aca="1" ref="H342" ca="1">IF($B342="N","",SUM(IF((INDIRECT("'"&amp;$B342&amp;"'!I23:I200")=$A$2)*(INDIRECT("'"&amp;$B342&amp;"'!O23:O200")=$D342)*(INDIRECT("'"&amp;$B342&amp;"'!O23:O200")&lt;&gt;"")*(INDIRECT("'"&amp;$B342&amp;"'!H23:H200")=$G$5),INDIRECT("'"&amp;$B342&amp;"'!p23:p200"),0)))</f>
        <v>0</v>
      </c>
      <c r="I342" s="515">
        <f t="shared" ca="1" si="56"/>
        <v>0</v>
      </c>
      <c r="J342" s="513">
        <f t="shared" ca="1" si="57"/>
        <v>0</v>
      </c>
    </row>
    <row r="343" spans="2:10">
      <c r="B343" s="563" t="str">
        <f t="shared" si="58"/>
        <v>Mito Hollyhock</v>
      </c>
      <c r="D343" s="511">
        <v>-0.5</v>
      </c>
      <c r="E343" s="564">
        <f t="array" aca="1" ref="E343" ca="1">IF($B343="N","",SUM(IF((INDIRECT("'"&amp;$B343&amp;"'!I23:I200")=$A$2)*(INDIRECT("'"&amp;$B343&amp;"'!O23:O200")=$D343)*(INDIRECT("'"&amp;$B343&amp;"'!O23:O200")&lt;&gt;"")*(INDIRECT("'"&amp;$B343&amp;"'!H23:H200")=$E$5),1,0)))</f>
        <v>2</v>
      </c>
      <c r="F343" s="565">
        <f t="array" aca="1" ref="F343" ca="1">IF($B343="N","",SUM(IF((INDIRECT("'"&amp;$B343&amp;"'!I23:I200")=$A$2)*(INDIRECT("'"&amp;$B343&amp;"'!O23:O200")=$D343)*(INDIRECT("'"&amp;$B343&amp;"'!O23:O200")&lt;&gt;"")*(INDIRECT("'"&amp;$B343&amp;"'!H23:H200")=$E$5),INDIRECT("'"&amp;$B343&amp;"'!p23:p200"),0)))</f>
        <v>0</v>
      </c>
      <c r="G343" s="564">
        <f t="array" aca="1" ref="G343" ca="1">IF($B343="N","",SUM(IF((INDIRECT("'"&amp;$B343&amp;"'!I23:I200")=$A$2)*(INDIRECT("'"&amp;$B343&amp;"'!O23:O200")=$D343)*(INDIRECT("'"&amp;$B343&amp;"'!O23:O200")&lt;&gt;"")*(INDIRECT("'"&amp;$B343&amp;"'!H23:H200")=$G$5),1,0)))</f>
        <v>0</v>
      </c>
      <c r="H343" s="565">
        <f t="array" aca="1" ref="H343" ca="1">IF($B343="N","",SUM(IF((INDIRECT("'"&amp;$B343&amp;"'!I23:I200")=$A$2)*(INDIRECT("'"&amp;$B343&amp;"'!O23:O200")=$D343)*(INDIRECT("'"&amp;$B343&amp;"'!O23:O200")&lt;&gt;"")*(INDIRECT("'"&amp;$B343&amp;"'!H23:H200")=$G$5),INDIRECT("'"&amp;$B343&amp;"'!p23:p200"),0)))</f>
        <v>0</v>
      </c>
      <c r="I343" s="515">
        <f t="shared" ca="1" si="56"/>
        <v>2</v>
      </c>
      <c r="J343" s="513">
        <f t="shared" ca="1" si="57"/>
        <v>0</v>
      </c>
    </row>
    <row r="344" spans="2:10">
      <c r="B344" s="563" t="str">
        <f t="shared" si="58"/>
        <v>Mito Hollyhock</v>
      </c>
      <c r="D344" s="511">
        <v>-0.25</v>
      </c>
      <c r="E344" s="564">
        <f t="array" aca="1" ref="E344" ca="1">IF($B344="N","",SUM(IF((INDIRECT("'"&amp;$B344&amp;"'!I23:I200")=$A$2)*(INDIRECT("'"&amp;$B344&amp;"'!O23:O200")=$D344)*(INDIRECT("'"&amp;$B344&amp;"'!O23:O200")&lt;&gt;"")*(INDIRECT("'"&amp;$B344&amp;"'!H23:H200")=$E$5),1,0)))</f>
        <v>5</v>
      </c>
      <c r="F344" s="565">
        <f t="array" aca="1" ref="F344" ca="1">IF($B344="N","",SUM(IF((INDIRECT("'"&amp;$B344&amp;"'!I23:I200")=$A$2)*(INDIRECT("'"&amp;$B344&amp;"'!O23:O200")=$D344)*(INDIRECT("'"&amp;$B344&amp;"'!O23:O200")&lt;&gt;"")*(INDIRECT("'"&amp;$B344&amp;"'!H23:H200")=$E$5),INDIRECT("'"&amp;$B344&amp;"'!p23:p200"),0)))</f>
        <v>1.5</v>
      </c>
      <c r="G344" s="564">
        <f t="array" aca="1" ref="G344" ca="1">IF($B344="N","",SUM(IF((INDIRECT("'"&amp;$B344&amp;"'!I23:I200")=$A$2)*(INDIRECT("'"&amp;$B344&amp;"'!O23:O200")=$D344)*(INDIRECT("'"&amp;$B344&amp;"'!O23:O200")&lt;&gt;"")*(INDIRECT("'"&amp;$B344&amp;"'!H23:H200")=$G$5),1,0)))</f>
        <v>1</v>
      </c>
      <c r="H344" s="565">
        <f t="array" aca="1" ref="H344" ca="1">IF($B344="N","",SUM(IF((INDIRECT("'"&amp;$B344&amp;"'!I23:I200")=$A$2)*(INDIRECT("'"&amp;$B344&amp;"'!O23:O200")=$D344)*(INDIRECT("'"&amp;$B344&amp;"'!O23:O200")&lt;&gt;"")*(INDIRECT("'"&amp;$B344&amp;"'!H23:H200")=$G$5),INDIRECT("'"&amp;$B344&amp;"'!p23:p200"),0)))</f>
        <v>1</v>
      </c>
      <c r="I344" s="515">
        <f t="shared" ca="1" si="56"/>
        <v>6</v>
      </c>
      <c r="J344" s="513">
        <f t="shared" ca="1" si="57"/>
        <v>2.5</v>
      </c>
    </row>
    <row r="345" spans="2:10">
      <c r="B345" s="563" t="str">
        <f t="shared" si="58"/>
        <v>Mito Hollyhock</v>
      </c>
      <c r="D345" s="511">
        <v>0</v>
      </c>
      <c r="E345" s="564">
        <f t="array" aca="1" ref="E345" ca="1">IF($B345="N","",SUM(IF((INDIRECT("'"&amp;$B345&amp;"'!I23:I200")=$A$2)*(INDIRECT("'"&amp;$B345&amp;"'!O23:O200")=$D345)*(INDIRECT("'"&amp;$B345&amp;"'!O23:O200")&lt;&gt;"")*(INDIRECT("'"&amp;$B345&amp;"'!H23:H200")=$E$5),1,0)))</f>
        <v>10</v>
      </c>
      <c r="F345" s="565">
        <f t="array" aca="1" ref="F345" ca="1">IF($B345="N","",SUM(IF((INDIRECT("'"&amp;$B345&amp;"'!I23:I200")=$A$2)*(INDIRECT("'"&amp;$B345&amp;"'!O23:O200")=$D345)*(INDIRECT("'"&amp;$B345&amp;"'!O23:O200")&lt;&gt;"")*(INDIRECT("'"&amp;$B345&amp;"'!H23:H200")=$E$5),INDIRECT("'"&amp;$B345&amp;"'!p23:p200"),0)))</f>
        <v>4</v>
      </c>
      <c r="G345" s="564">
        <f t="array" aca="1" ref="G345" ca="1">IF($B345="N","",SUM(IF((INDIRECT("'"&amp;$B345&amp;"'!I23:I200")=$A$2)*(INDIRECT("'"&amp;$B345&amp;"'!O23:O200")=$D345)*(INDIRECT("'"&amp;$B345&amp;"'!O23:O200")&lt;&gt;"")*(INDIRECT("'"&amp;$B345&amp;"'!H23:H200")=$G$5),1,0)))</f>
        <v>6</v>
      </c>
      <c r="H345" s="565">
        <f t="array" aca="1" ref="H345" ca="1">IF($B345="N","",SUM(IF((INDIRECT("'"&amp;$B345&amp;"'!I23:I200")=$A$2)*(INDIRECT("'"&amp;$B345&amp;"'!O23:O200")=$D345)*(INDIRECT("'"&amp;$B345&amp;"'!O23:O200")&lt;&gt;"")*(INDIRECT("'"&amp;$B345&amp;"'!H23:H200")=$G$5),INDIRECT("'"&amp;$B345&amp;"'!p23:p200"),0)))</f>
        <v>-4</v>
      </c>
      <c r="I345" s="515">
        <f t="shared" ca="1" si="56"/>
        <v>16</v>
      </c>
      <c r="J345" s="513">
        <f t="shared" ca="1" si="57"/>
        <v>0</v>
      </c>
    </row>
    <row r="346" spans="2:10">
      <c r="B346" s="563" t="str">
        <f t="shared" si="58"/>
        <v>Mito Hollyhock</v>
      </c>
      <c r="D346" s="511">
        <v>0.25</v>
      </c>
      <c r="E346" s="564">
        <f t="array" aca="1" ref="E346" ca="1">IF($B346="N","",SUM(IF((INDIRECT("'"&amp;$B346&amp;"'!I23:I200")=$A$2)*(INDIRECT("'"&amp;$B346&amp;"'!O23:O200")=$D346)*(INDIRECT("'"&amp;$B346&amp;"'!O23:O200")&lt;&gt;"")*(INDIRECT("'"&amp;$B346&amp;"'!H23:H200")=$E$5),1,0)))</f>
        <v>4</v>
      </c>
      <c r="F346" s="565">
        <f t="array" aca="1" ref="F346" ca="1">IF($B346="N","",SUM(IF((INDIRECT("'"&amp;$B346&amp;"'!I23:I200")=$A$2)*(INDIRECT("'"&amp;$B346&amp;"'!O23:O200")=$D346)*(INDIRECT("'"&amp;$B346&amp;"'!O23:O200")&lt;&gt;"")*(INDIRECT("'"&amp;$B346&amp;"'!H23:H200")=$E$5),INDIRECT("'"&amp;$B346&amp;"'!p23:p200"),0)))</f>
        <v>-2</v>
      </c>
      <c r="G346" s="564">
        <f t="array" aca="1" ref="G346" ca="1">IF($B346="N","",SUM(IF((INDIRECT("'"&amp;$B346&amp;"'!I23:I200")=$A$2)*(INDIRECT("'"&amp;$B346&amp;"'!O23:O200")=$D346)*(INDIRECT("'"&amp;$B346&amp;"'!O23:O200")&lt;&gt;"")*(INDIRECT("'"&amp;$B346&amp;"'!H23:H200")=$G$5),1,0)))</f>
        <v>8</v>
      </c>
      <c r="H346" s="565">
        <f t="array" aca="1" ref="H346" ca="1">IF($B346="N","",SUM(IF((INDIRECT("'"&amp;$B346&amp;"'!I23:I200")=$A$2)*(INDIRECT("'"&amp;$B346&amp;"'!O23:O200")=$D346)*(INDIRECT("'"&amp;$B346&amp;"'!O23:O200")&lt;&gt;"")*(INDIRECT("'"&amp;$B346&amp;"'!H23:H200")=$G$5),INDIRECT("'"&amp;$B346&amp;"'!p23:p200"),0)))</f>
        <v>-0.5</v>
      </c>
      <c r="I346" s="515">
        <f t="shared" ca="1" si="56"/>
        <v>12</v>
      </c>
      <c r="J346" s="513">
        <f t="shared" ca="1" si="57"/>
        <v>-2.5</v>
      </c>
    </row>
    <row r="347" spans="2:10">
      <c r="B347" s="563" t="str">
        <f t="shared" si="58"/>
        <v>Mito Hollyhock</v>
      </c>
      <c r="D347" s="511">
        <v>0.5</v>
      </c>
      <c r="E347" s="564">
        <f t="array" aca="1" ref="E347" ca="1">IF($B347="N","",SUM(IF((INDIRECT("'"&amp;$B347&amp;"'!I23:I200")=$A$2)*(INDIRECT("'"&amp;$B347&amp;"'!O23:O200")=$D347)*(INDIRECT("'"&amp;$B347&amp;"'!O23:O200")&lt;&gt;"")*(INDIRECT("'"&amp;$B347&amp;"'!H23:H200")=$E$5),1,0)))</f>
        <v>0</v>
      </c>
      <c r="F347" s="565">
        <f t="array" aca="1" ref="F347" ca="1">IF($B347="N","",SUM(IF((INDIRECT("'"&amp;$B347&amp;"'!I23:I200")=$A$2)*(INDIRECT("'"&amp;$B347&amp;"'!O23:O200")=$D347)*(INDIRECT("'"&amp;$B347&amp;"'!O23:O200")&lt;&gt;"")*(INDIRECT("'"&amp;$B347&amp;"'!H23:H200")=$E$5),INDIRECT("'"&amp;$B347&amp;"'!p23:p200"),0)))</f>
        <v>0</v>
      </c>
      <c r="G347" s="564">
        <f t="array" aca="1" ref="G347" ca="1">IF($B347="N","",SUM(IF((INDIRECT("'"&amp;$B347&amp;"'!I23:I200")=$A$2)*(INDIRECT("'"&amp;$B347&amp;"'!O23:O200")=$D347)*(INDIRECT("'"&amp;$B347&amp;"'!O23:O200")&lt;&gt;"")*(INDIRECT("'"&amp;$B347&amp;"'!H23:H200")=$G$5),1,0)))</f>
        <v>5</v>
      </c>
      <c r="H347" s="565">
        <f t="array" aca="1" ref="H347" ca="1">IF($B347="N","",SUM(IF((INDIRECT("'"&amp;$B347&amp;"'!I23:I200")=$A$2)*(INDIRECT("'"&amp;$B347&amp;"'!O23:O200")=$D347)*(INDIRECT("'"&amp;$B347&amp;"'!O23:O200")&lt;&gt;"")*(INDIRECT("'"&amp;$B347&amp;"'!H23:H200")=$G$5),INDIRECT("'"&amp;$B347&amp;"'!p23:p200"),0)))</f>
        <v>-1</v>
      </c>
      <c r="I347" s="515">
        <f t="shared" ca="1" si="56"/>
        <v>5</v>
      </c>
      <c r="J347" s="513">
        <f t="shared" ca="1" si="57"/>
        <v>-1</v>
      </c>
    </row>
    <row r="348" spans="2:10">
      <c r="B348" s="563" t="str">
        <f t="shared" si="58"/>
        <v>Mito Hollyhock</v>
      </c>
      <c r="D348" s="511">
        <v>0.75</v>
      </c>
      <c r="E348" s="564">
        <f t="array" aca="1" ref="E348" ca="1">IF($B348="N","",SUM(IF((INDIRECT("'"&amp;$B348&amp;"'!I23:I200")=$A$2)*(INDIRECT("'"&amp;$B348&amp;"'!O23:O200")=$D348)*(INDIRECT("'"&amp;$B348&amp;"'!O23:O200")&lt;&gt;"")*(INDIRECT("'"&amp;$B348&amp;"'!H23:H200")=$E$5),1,0)))</f>
        <v>0</v>
      </c>
      <c r="F348" s="565">
        <f t="array" aca="1" ref="F348" ca="1">IF($B348="N","",SUM(IF((INDIRECT("'"&amp;$B348&amp;"'!I23:I200")=$A$2)*(INDIRECT("'"&amp;$B348&amp;"'!O23:O200")=$D348)*(INDIRECT("'"&amp;$B348&amp;"'!O23:O200")&lt;&gt;"")*(INDIRECT("'"&amp;$B348&amp;"'!H23:H200")=$E$5),INDIRECT("'"&amp;$B348&amp;"'!p23:p200"),0)))</f>
        <v>0</v>
      </c>
      <c r="G348" s="564">
        <f t="array" aca="1" ref="G348" ca="1">IF($B348="N","",SUM(IF((INDIRECT("'"&amp;$B348&amp;"'!I23:I200")=$A$2)*(INDIRECT("'"&amp;$B348&amp;"'!O23:O200")=$D348)*(INDIRECT("'"&amp;$B348&amp;"'!O23:O200")&lt;&gt;"")*(INDIRECT("'"&amp;$B348&amp;"'!H23:H200")=$G$5),1,0)))</f>
        <v>1</v>
      </c>
      <c r="H348" s="565">
        <f t="array" aca="1" ref="H348" ca="1">IF($B348="N","",SUM(IF((INDIRECT("'"&amp;$B348&amp;"'!I23:I200")=$A$2)*(INDIRECT("'"&amp;$B348&amp;"'!O23:O200")=$D348)*(INDIRECT("'"&amp;$B348&amp;"'!O23:O200")&lt;&gt;"")*(INDIRECT("'"&amp;$B348&amp;"'!H23:H200")=$G$5),INDIRECT("'"&amp;$B348&amp;"'!p23:p200"),0)))</f>
        <v>1</v>
      </c>
      <c r="I348" s="515">
        <f t="shared" ca="1" si="56"/>
        <v>1</v>
      </c>
      <c r="J348" s="513">
        <f t="shared" ca="1" si="57"/>
        <v>1</v>
      </c>
    </row>
    <row r="349" spans="2:10">
      <c r="B349" s="563" t="str">
        <f t="shared" si="58"/>
        <v>Mito Hollyhock</v>
      </c>
      <c r="D349" s="511">
        <v>1</v>
      </c>
      <c r="E349" s="564">
        <f t="array" aca="1" ref="E349" ca="1">IF($B349="N","",SUM(IF((INDIRECT("'"&amp;$B349&amp;"'!I23:I200")=$A$2)*(INDIRECT("'"&amp;$B349&amp;"'!O23:O200")=$D349)*(INDIRECT("'"&amp;$B349&amp;"'!O23:O200")&lt;&gt;"")*(INDIRECT("'"&amp;$B349&amp;"'!H23:H200")=$E$5),1,0)))</f>
        <v>0</v>
      </c>
      <c r="F349" s="565">
        <f t="array" aca="1" ref="F349" ca="1">IF($B349="N","",SUM(IF((INDIRECT("'"&amp;$B349&amp;"'!I23:I200")=$A$2)*(INDIRECT("'"&amp;$B349&amp;"'!O23:O200")=$D349)*(INDIRECT("'"&amp;$B349&amp;"'!O23:O200")&lt;&gt;"")*(INDIRECT("'"&amp;$B349&amp;"'!H23:H200")=$E$5),INDIRECT("'"&amp;$B349&amp;"'!p23:p200"),0)))</f>
        <v>0</v>
      </c>
      <c r="G349" s="564">
        <f t="array" aca="1" ref="G349" ca="1">IF($B349="N","",SUM(IF((INDIRECT("'"&amp;$B349&amp;"'!I23:I200")=$A$2)*(INDIRECT("'"&amp;$B349&amp;"'!O23:O200")=$D349)*(INDIRECT("'"&amp;$B349&amp;"'!O23:O200")&lt;&gt;"")*(INDIRECT("'"&amp;$B349&amp;"'!H23:H200")=$G$5),1,0)))</f>
        <v>0</v>
      </c>
      <c r="H349" s="565">
        <f t="array" aca="1" ref="H349" ca="1">IF($B349="N","",SUM(IF((INDIRECT("'"&amp;$B349&amp;"'!I23:I200")=$A$2)*(INDIRECT("'"&amp;$B349&amp;"'!O23:O200")=$D349)*(INDIRECT("'"&amp;$B349&amp;"'!O23:O200")&lt;&gt;"")*(INDIRECT("'"&amp;$B349&amp;"'!H23:H200")=$G$5),INDIRECT("'"&amp;$B349&amp;"'!p23:p200"),0)))</f>
        <v>0</v>
      </c>
      <c r="I349" s="515">
        <f t="shared" ca="1" si="56"/>
        <v>0</v>
      </c>
      <c r="J349" s="513">
        <f t="shared" ca="1" si="57"/>
        <v>0</v>
      </c>
    </row>
    <row r="350" spans="2:10">
      <c r="B350" s="563" t="str">
        <f t="shared" si="58"/>
        <v>Mito Hollyhock</v>
      </c>
      <c r="D350" s="511">
        <v>1.25</v>
      </c>
      <c r="E350" s="564">
        <f t="array" aca="1" ref="E350" ca="1">IF($B350="N","",SUM(IF((INDIRECT("'"&amp;$B350&amp;"'!I23:I200")=$A$2)*(INDIRECT("'"&amp;$B350&amp;"'!O23:O200")=$D350)*(INDIRECT("'"&amp;$B350&amp;"'!O23:O200")&lt;&gt;"")*(INDIRECT("'"&amp;$B350&amp;"'!H23:H200")=$E$5),1,0)))</f>
        <v>0</v>
      </c>
      <c r="F350" s="565">
        <f t="array" aca="1" ref="F350" ca="1">IF($B350="N","",SUM(IF((INDIRECT("'"&amp;$B350&amp;"'!I23:I200")=$A$2)*(INDIRECT("'"&amp;$B350&amp;"'!O23:O200")=$D350)*(INDIRECT("'"&amp;$B350&amp;"'!O23:O200")&lt;&gt;"")*(INDIRECT("'"&amp;$B350&amp;"'!H23:H200")=$E$5),INDIRECT("'"&amp;$B350&amp;"'!p23:p200"),0)))</f>
        <v>0</v>
      </c>
      <c r="G350" s="564">
        <f t="array" aca="1" ref="G350" ca="1">IF($B350="N","",SUM(IF((INDIRECT("'"&amp;$B350&amp;"'!I23:I200")=$A$2)*(INDIRECT("'"&amp;$B350&amp;"'!O23:O200")=$D350)*(INDIRECT("'"&amp;$B350&amp;"'!O23:O200")&lt;&gt;"")*(INDIRECT("'"&amp;$B350&amp;"'!H23:H200")=$G$5),1,0)))</f>
        <v>0</v>
      </c>
      <c r="H350" s="565">
        <f t="array" aca="1" ref="H350" ca="1">IF($B350="N","",SUM(IF((INDIRECT("'"&amp;$B350&amp;"'!I23:I200")=$A$2)*(INDIRECT("'"&amp;$B350&amp;"'!O23:O200")=$D350)*(INDIRECT("'"&amp;$B350&amp;"'!O23:O200")&lt;&gt;"")*(INDIRECT("'"&amp;$B350&amp;"'!H23:H200")=$G$5),INDIRECT("'"&amp;$B350&amp;"'!p23:p200"),0)))</f>
        <v>0</v>
      </c>
      <c r="I350" s="515">
        <f t="shared" ca="1" si="56"/>
        <v>0</v>
      </c>
      <c r="J350" s="513">
        <f t="shared" ca="1" si="57"/>
        <v>0</v>
      </c>
    </row>
    <row r="351" spans="2:10">
      <c r="B351" s="563" t="str">
        <f t="shared" si="58"/>
        <v>Mito Hollyhock</v>
      </c>
      <c r="D351" s="511">
        <v>1.5</v>
      </c>
      <c r="E351" s="564">
        <f t="array" aca="1" ref="E351" ca="1">IF($B351="N","",SUM(IF((INDIRECT("'"&amp;$B351&amp;"'!I23:I200")=$A$2)*(INDIRECT("'"&amp;$B351&amp;"'!O23:O200")=$D351)*(INDIRECT("'"&amp;$B351&amp;"'!O23:O200")&lt;&gt;"")*(INDIRECT("'"&amp;$B351&amp;"'!H23:H200")=$E$5),1,0)))</f>
        <v>0</v>
      </c>
      <c r="F351" s="565">
        <f t="array" aca="1" ref="F351" ca="1">IF($B351="N","",SUM(IF((INDIRECT("'"&amp;$B351&amp;"'!I23:I200")=$A$2)*(INDIRECT("'"&amp;$B351&amp;"'!O23:O200")=$D351)*(INDIRECT("'"&amp;$B351&amp;"'!O23:O200")&lt;&gt;"")*(INDIRECT("'"&amp;$B351&amp;"'!H23:H200")=$E$5),INDIRECT("'"&amp;$B351&amp;"'!p23:p200"),0)))</f>
        <v>0</v>
      </c>
      <c r="G351" s="564">
        <f t="array" aca="1" ref="G351" ca="1">IF($B351="N","",SUM(IF((INDIRECT("'"&amp;$B351&amp;"'!I23:I200")=$A$2)*(INDIRECT("'"&amp;$B351&amp;"'!O23:O200")=$D351)*(INDIRECT("'"&amp;$B351&amp;"'!O23:O200")&lt;&gt;"")*(INDIRECT("'"&amp;$B351&amp;"'!H23:H200")=$G$5),1,0)))</f>
        <v>0</v>
      </c>
      <c r="H351" s="565">
        <f t="array" aca="1" ref="H351" ca="1">IF($B351="N","",SUM(IF((INDIRECT("'"&amp;$B351&amp;"'!I23:I200")=$A$2)*(INDIRECT("'"&amp;$B351&amp;"'!O23:O200")=$D351)*(INDIRECT("'"&amp;$B351&amp;"'!O23:O200")&lt;&gt;"")*(INDIRECT("'"&amp;$B351&amp;"'!H23:H200")=$G$5),INDIRECT("'"&amp;$B351&amp;"'!p23:p200"),0)))</f>
        <v>0</v>
      </c>
      <c r="I351" s="515">
        <f t="shared" ca="1" si="56"/>
        <v>0</v>
      </c>
      <c r="J351" s="513">
        <f t="shared" ca="1" si="57"/>
        <v>0</v>
      </c>
    </row>
    <row r="352" spans="2:10">
      <c r="B352" s="563" t="str">
        <f t="shared" si="58"/>
        <v>Mito Hollyhock</v>
      </c>
      <c r="D352" s="528">
        <v>1.75</v>
      </c>
      <c r="E352" s="564">
        <f t="array" aca="1" ref="E352" ca="1">IF($B352="N","",SUM(IF((INDIRECT("'"&amp;$B352&amp;"'!I23:I200")=$A$2)*(INDIRECT("'"&amp;$B352&amp;"'!O23:O200")=$D352)*(INDIRECT("'"&amp;$B352&amp;"'!O23:O200")&lt;&gt;"")*(INDIRECT("'"&amp;$B352&amp;"'!H23:H200")=$E$5),1,0)))</f>
        <v>0</v>
      </c>
      <c r="F352" s="565">
        <f t="array" aca="1" ref="F352" ca="1">IF($B352="N","",SUM(IF((INDIRECT("'"&amp;$B352&amp;"'!I23:I200")=$A$2)*(INDIRECT("'"&amp;$B352&amp;"'!O23:O200")=$D352)*(INDIRECT("'"&amp;$B352&amp;"'!O23:O200")&lt;&gt;"")*(INDIRECT("'"&amp;$B352&amp;"'!H23:H200")=$E$5),INDIRECT("'"&amp;$B352&amp;"'!p23:p200"),0)))</f>
        <v>0</v>
      </c>
      <c r="G352" s="564">
        <f t="array" aca="1" ref="G352" ca="1">IF($B352="N","",SUM(IF((INDIRECT("'"&amp;$B352&amp;"'!I23:I200")=$A$2)*(INDIRECT("'"&amp;$B352&amp;"'!O23:O200")=$D352)*(INDIRECT("'"&amp;$B352&amp;"'!O23:O200")&lt;&gt;"")*(INDIRECT("'"&amp;$B352&amp;"'!H23:H200")=$G$5),1,0)))</f>
        <v>0</v>
      </c>
      <c r="H352" s="565">
        <f t="array" aca="1" ref="H352" ca="1">IF($B352="N","",SUM(IF((INDIRECT("'"&amp;$B352&amp;"'!I23:I200")=$A$2)*(INDIRECT("'"&amp;$B352&amp;"'!O23:O200")=$D352)*(INDIRECT("'"&amp;$B352&amp;"'!O23:O200")&lt;&gt;"")*(INDIRECT("'"&amp;$B352&amp;"'!H23:H200")=$G$5),INDIRECT("'"&amp;$B352&amp;"'!p23:p200"),0)))</f>
        <v>0</v>
      </c>
      <c r="I352" s="515">
        <f t="shared" ca="1" si="56"/>
        <v>0</v>
      </c>
      <c r="J352" s="513">
        <f t="shared" ca="1" si="57"/>
        <v>0</v>
      </c>
    </row>
    <row r="353" spans="1:10">
      <c r="B353" s="563" t="str">
        <f t="shared" si="58"/>
        <v>Mito Hollyhock</v>
      </c>
      <c r="D353" s="528">
        <v>2</v>
      </c>
      <c r="E353" s="564">
        <f t="array" aca="1" ref="E353" ca="1">IF($B353="N","",SUM(IF((INDIRECT("'"&amp;$B353&amp;"'!I23:I200")=$A$2)*(INDIRECT("'"&amp;$B353&amp;"'!O23:O200")=$D353)*(INDIRECT("'"&amp;$B353&amp;"'!O23:O200")&lt;&gt;"")*(INDIRECT("'"&amp;$B353&amp;"'!H23:H200")=$E$5),1,0)))</f>
        <v>0</v>
      </c>
      <c r="F353" s="565">
        <f t="array" aca="1" ref="F353" ca="1">IF($B353="N","",SUM(IF((INDIRECT("'"&amp;$B353&amp;"'!I23:I200")=$A$2)*(INDIRECT("'"&amp;$B353&amp;"'!O23:O200")=$D353)*(INDIRECT("'"&amp;$B353&amp;"'!O23:O200")&lt;&gt;"")*(INDIRECT("'"&amp;$B353&amp;"'!H23:H200")=$E$5),INDIRECT("'"&amp;$B353&amp;"'!p23:p200"),0)))</f>
        <v>0</v>
      </c>
      <c r="G353" s="564">
        <f t="array" aca="1" ref="G353" ca="1">IF($B353="N","",SUM(IF((INDIRECT("'"&amp;$B353&amp;"'!I23:I200")=$A$2)*(INDIRECT("'"&amp;$B353&amp;"'!O23:O200")=$D353)*(INDIRECT("'"&amp;$B353&amp;"'!O23:O200")&lt;&gt;"")*(INDIRECT("'"&amp;$B353&amp;"'!H23:H200")=$G$5),1,0)))</f>
        <v>0</v>
      </c>
      <c r="H353" s="565">
        <f t="array" aca="1" ref="H353" ca="1">IF($B353="N","",SUM(IF((INDIRECT("'"&amp;$B353&amp;"'!I23:I200")=$A$2)*(INDIRECT("'"&amp;$B353&amp;"'!O23:O200")=$D353)*(INDIRECT("'"&amp;$B353&amp;"'!O23:O200")&lt;&gt;"")*(INDIRECT("'"&amp;$B353&amp;"'!H23:H200")=$G$5),INDIRECT("'"&amp;$B353&amp;"'!p23:p200"),0)))</f>
        <v>0</v>
      </c>
      <c r="I353" s="515">
        <f t="shared" ca="1" si="56"/>
        <v>0</v>
      </c>
      <c r="J353" s="513">
        <f t="shared" ca="1" si="57"/>
        <v>0</v>
      </c>
    </row>
    <row r="354" spans="1:10">
      <c r="B354" s="563" t="str">
        <f t="shared" si="58"/>
        <v>Mito Hollyhock</v>
      </c>
      <c r="D354" s="528">
        <v>2.25</v>
      </c>
      <c r="E354" s="564">
        <f t="array" aca="1" ref="E354" ca="1">IF($B354="N","",SUM(IF((INDIRECT("'"&amp;$B354&amp;"'!I23:I200")=$A$2)*(INDIRECT("'"&amp;$B354&amp;"'!O23:O200")=$D354)*(INDIRECT("'"&amp;$B354&amp;"'!O23:O200")&lt;&gt;"")*(INDIRECT("'"&amp;$B354&amp;"'!H23:H200")=$E$5),1,0)))</f>
        <v>0</v>
      </c>
      <c r="F354" s="565">
        <f t="array" aca="1" ref="F354" ca="1">IF($B354="N","",SUM(IF((INDIRECT("'"&amp;$B354&amp;"'!I23:I200")=$A$2)*(INDIRECT("'"&amp;$B354&amp;"'!O23:O200")=$D354)*(INDIRECT("'"&amp;$B354&amp;"'!O23:O200")&lt;&gt;"")*(INDIRECT("'"&amp;$B354&amp;"'!H23:H200")=$E$5),INDIRECT("'"&amp;$B354&amp;"'!p23:p200"),0)))</f>
        <v>0</v>
      </c>
      <c r="G354" s="564">
        <f t="array" aca="1" ref="G354" ca="1">IF($B354="N","",SUM(IF((INDIRECT("'"&amp;$B354&amp;"'!I23:I200")=$A$2)*(INDIRECT("'"&amp;$B354&amp;"'!O23:O200")=$D354)*(INDIRECT("'"&amp;$B354&amp;"'!O23:O200")&lt;&gt;"")*(INDIRECT("'"&amp;$B354&amp;"'!H23:H200")=$G$5),1,0)))</f>
        <v>0</v>
      </c>
      <c r="H354" s="565">
        <f t="array" aca="1" ref="H354" ca="1">IF($B354="N","",SUM(IF((INDIRECT("'"&amp;$B354&amp;"'!I23:I200")=$A$2)*(INDIRECT("'"&amp;$B354&amp;"'!O23:O200")=$D354)*(INDIRECT("'"&amp;$B354&amp;"'!O23:O200")&lt;&gt;"")*(INDIRECT("'"&amp;$B354&amp;"'!H23:H200")=$G$5),INDIRECT("'"&amp;$B354&amp;"'!p23:p200"),0)))</f>
        <v>0</v>
      </c>
      <c r="I354" s="515">
        <f t="shared" ca="1" si="56"/>
        <v>0</v>
      </c>
      <c r="J354" s="513">
        <f t="shared" ca="1" si="57"/>
        <v>0</v>
      </c>
    </row>
    <row r="355" spans="1:10">
      <c r="B355" s="563" t="str">
        <f t="shared" si="58"/>
        <v>Mito Hollyhock</v>
      </c>
      <c r="D355" s="528">
        <v>2.5</v>
      </c>
      <c r="E355" s="564">
        <f t="array" aca="1" ref="E355" ca="1">IF($B355="N","",SUM(IF((INDIRECT("'"&amp;$B355&amp;"'!I23:I200")=$A$2)*(INDIRECT("'"&amp;$B355&amp;"'!O23:O200")=$D355)*(INDIRECT("'"&amp;$B355&amp;"'!O23:O200")&lt;&gt;"")*(INDIRECT("'"&amp;$B355&amp;"'!H23:H200")=$E$5),1,0)))</f>
        <v>0</v>
      </c>
      <c r="F355" s="565">
        <f t="array" aca="1" ref="F355" ca="1">IF($B355="N","",SUM(IF((INDIRECT("'"&amp;$B355&amp;"'!I23:I200")=$A$2)*(INDIRECT("'"&amp;$B355&amp;"'!O23:O200")=$D355)*(INDIRECT("'"&amp;$B355&amp;"'!O23:O200")&lt;&gt;"")*(INDIRECT("'"&amp;$B355&amp;"'!H23:H200")=$E$5),INDIRECT("'"&amp;$B355&amp;"'!p23:p200"),0)))</f>
        <v>0</v>
      </c>
      <c r="G355" s="564">
        <f t="array" aca="1" ref="G355" ca="1">IF($B355="N","",SUM(IF((INDIRECT("'"&amp;$B355&amp;"'!I23:I200")=$A$2)*(INDIRECT("'"&amp;$B355&amp;"'!O23:O200")=$D355)*(INDIRECT("'"&amp;$B355&amp;"'!O23:O200")&lt;&gt;"")*(INDIRECT("'"&amp;$B355&amp;"'!H23:H200")=$G$5),1,0)))</f>
        <v>0</v>
      </c>
      <c r="H355" s="565">
        <f t="array" aca="1" ref="H355" ca="1">IF($B355="N","",SUM(IF((INDIRECT("'"&amp;$B355&amp;"'!I23:I200")=$A$2)*(INDIRECT("'"&amp;$B355&amp;"'!O23:O200")=$D355)*(INDIRECT("'"&amp;$B355&amp;"'!O23:O200")&lt;&gt;"")*(INDIRECT("'"&amp;$B355&amp;"'!H23:H200")=$G$5),INDIRECT("'"&amp;$B355&amp;"'!p23:p200"),0)))</f>
        <v>0</v>
      </c>
      <c r="I355" s="515">
        <f t="shared" ca="1" si="56"/>
        <v>0</v>
      </c>
      <c r="J355" s="513">
        <f t="shared" ca="1" si="57"/>
        <v>0</v>
      </c>
    </row>
    <row r="356" spans="1:10" ht="15" thickBot="1">
      <c r="B356" s="563" t="str">
        <f t="shared" si="58"/>
        <v>Mito Hollyhock</v>
      </c>
      <c r="D356" s="511">
        <v>2.75</v>
      </c>
      <c r="E356" s="564">
        <f t="array" aca="1" ref="E356" ca="1">IF($B356="N","",SUM(IF((INDIRECT("'"&amp;$B356&amp;"'!I23:I200")=$A$2)*(INDIRECT("'"&amp;$B356&amp;"'!O23:O200")=$D356)*(INDIRECT("'"&amp;$B356&amp;"'!O23:O200")&lt;&gt;"")*(INDIRECT("'"&amp;$B356&amp;"'!H23:H200")=$E$5),1,0)))</f>
        <v>0</v>
      </c>
      <c r="F356" s="565">
        <f t="array" aca="1" ref="F356" ca="1">IF($B356="N","",SUM(IF((INDIRECT("'"&amp;$B356&amp;"'!I23:I200")=$A$2)*(INDIRECT("'"&amp;$B356&amp;"'!O23:O200")=$D356)*(INDIRECT("'"&amp;$B356&amp;"'!O23:O200")&lt;&gt;"")*(INDIRECT("'"&amp;$B356&amp;"'!H23:H200")=$E$5),INDIRECT("'"&amp;$B356&amp;"'!p23:p200"),0)))</f>
        <v>0</v>
      </c>
      <c r="G356" s="564">
        <f t="array" aca="1" ref="G356" ca="1">IF($B356="N","",SUM(IF((INDIRECT("'"&amp;$B356&amp;"'!I23:I200")=$A$2)*(INDIRECT("'"&amp;$B356&amp;"'!O23:O200")=$D356)*(INDIRECT("'"&amp;$B356&amp;"'!O23:O200")&lt;&gt;"")*(INDIRECT("'"&amp;$B356&amp;"'!H23:H200")=$G$5),1,0)))</f>
        <v>0</v>
      </c>
      <c r="H356" s="565">
        <f t="array" aca="1" ref="H356" ca="1">IF($B356="N","",SUM(IF((INDIRECT("'"&amp;$B356&amp;"'!I23:I200")=$A$2)*(INDIRECT("'"&amp;$B356&amp;"'!O23:O200")=$D356)*(INDIRECT("'"&amp;$B356&amp;"'!O23:O200")&lt;&gt;"")*(INDIRECT("'"&amp;$B356&amp;"'!H23:H200")=$G$5),INDIRECT("'"&amp;$B356&amp;"'!p23:p200"),0)))</f>
        <v>0</v>
      </c>
      <c r="I356" s="515">
        <f t="shared" ca="1" si="56"/>
        <v>0</v>
      </c>
      <c r="J356" s="513">
        <f t="shared" ca="1" si="57"/>
        <v>0</v>
      </c>
    </row>
    <row r="357" spans="1:10" ht="15" thickBot="1">
      <c r="A357" s="567"/>
      <c r="B357" s="568"/>
      <c r="C357" s="569" t="str">
        <f>D332</f>
        <v>Mito Hollyhock</v>
      </c>
      <c r="D357" s="570" t="s">
        <v>115</v>
      </c>
      <c r="E357" s="571">
        <f t="shared" ref="E357:J357" ca="1" si="59">SUM(E334:E356)</f>
        <v>21</v>
      </c>
      <c r="F357" s="572">
        <f t="shared" ca="1" si="59"/>
        <v>3.5</v>
      </c>
      <c r="G357" s="571">
        <f t="shared" ca="1" si="59"/>
        <v>21</v>
      </c>
      <c r="H357" s="572">
        <f t="shared" ca="1" si="59"/>
        <v>-3.5</v>
      </c>
      <c r="I357" s="573">
        <f t="shared" ca="1" si="59"/>
        <v>42</v>
      </c>
      <c r="J357" s="572">
        <f t="shared" ca="1" si="59"/>
        <v>0</v>
      </c>
    </row>
    <row r="358" spans="1:10" ht="15" thickBot="1">
      <c r="A358" s="567"/>
      <c r="C358" s="576"/>
    </row>
    <row r="359" spans="1:10">
      <c r="A359" s="567"/>
      <c r="B359" s="357"/>
      <c r="C359" s="569"/>
      <c r="D359" s="562" t="str">
        <f>D2</f>
        <v>Montedio Yamagata</v>
      </c>
      <c r="E359" s="490" t="s">
        <v>80</v>
      </c>
      <c r="F359" s="491"/>
      <c r="G359" s="490" t="s">
        <v>81</v>
      </c>
      <c r="H359" s="491"/>
      <c r="I359" s="490" t="s">
        <v>82</v>
      </c>
      <c r="J359" s="492"/>
    </row>
    <row r="360" spans="1:10" ht="15" thickBot="1">
      <c r="B360" s="357"/>
      <c r="C360" s="357"/>
      <c r="D360" s="499" t="s">
        <v>120</v>
      </c>
      <c r="E360" s="497" t="s">
        <v>123</v>
      </c>
      <c r="F360" s="552" t="s">
        <v>124</v>
      </c>
      <c r="G360" s="497" t="s">
        <v>123</v>
      </c>
      <c r="H360" s="552" t="s">
        <v>124</v>
      </c>
      <c r="I360" s="501" t="s">
        <v>123</v>
      </c>
      <c r="J360" s="552" t="s">
        <v>124</v>
      </c>
    </row>
    <row r="361" spans="1:10">
      <c r="B361" s="563" t="str">
        <f>IF(D359=0,"N",D359)</f>
        <v>Montedio Yamagata</v>
      </c>
      <c r="D361" s="511">
        <v>-2.75</v>
      </c>
      <c r="E361" s="564">
        <f t="array" aca="1" ref="E361" ca="1">IF($B361="N","",SUM(IF((INDIRECT("'"&amp;$B361&amp;"'!I23:I200")=$A$2)*(INDIRECT("'"&amp;$B361&amp;"'!O23:O200")=$D361)*(INDIRECT("'"&amp;$B361&amp;"'!O23:O200")&lt;&gt;"")*(INDIRECT("'"&amp;$B361&amp;"'!H23:H200")=$E$5),1,0)))</f>
        <v>0</v>
      </c>
      <c r="F361" s="565">
        <f t="array" aca="1" ref="F361" ca="1">IF($B361="N","",SUM(IF((INDIRECT("'"&amp;$B361&amp;"'!I23:I200")=$A$2)*(INDIRECT("'"&amp;$B361&amp;"'!O23:O200")=$D361)*(INDIRECT("'"&amp;$B361&amp;"'!O23:O200")&lt;&gt;"")*(INDIRECT("'"&amp;$B361&amp;"'!H23:H200")=$E$5),INDIRECT("'"&amp;$B361&amp;"'!p23:p200"),0)))</f>
        <v>0</v>
      </c>
      <c r="G361" s="564">
        <f t="array" aca="1" ref="G361" ca="1">IF($B361="N","",SUM(IF((INDIRECT("'"&amp;$B361&amp;"'!I23:I200")=$A$2)*(INDIRECT("'"&amp;$B361&amp;"'!O23:O200")=$D361)*(INDIRECT("'"&amp;$B361&amp;"'!O23:O200")&lt;&gt;"")*(INDIRECT("'"&amp;$B361&amp;"'!H23:H200")=$G$5),1,0)))</f>
        <v>0</v>
      </c>
      <c r="H361" s="565">
        <f t="array" aca="1" ref="H361" ca="1">IF($B361="N","",SUM(IF((INDIRECT("'"&amp;$B361&amp;"'!I23:I200")=$A$2)*(INDIRECT("'"&amp;$B361&amp;"'!O23:O200")=$D361)*(INDIRECT("'"&amp;$B361&amp;"'!O23:O200")&lt;&gt;"")*(INDIRECT("'"&amp;$B361&amp;"'!H23:H200")=$G$5),INDIRECT("'"&amp;$B361&amp;"'!p23:p200"),0)))</f>
        <v>0</v>
      </c>
      <c r="I361" s="515">
        <f t="shared" ref="I361:I383" ca="1" si="60">IF(B361="N","",G361+E361)</f>
        <v>0</v>
      </c>
      <c r="J361" s="513">
        <f t="shared" ref="J361:J383" ca="1" si="61">IF(I361="","",F361+H361)</f>
        <v>0</v>
      </c>
    </row>
    <row r="362" spans="1:10">
      <c r="B362" s="563" t="str">
        <f>B361</f>
        <v>Montedio Yamagata</v>
      </c>
      <c r="D362" s="520">
        <v>-2.5</v>
      </c>
      <c r="E362" s="564">
        <f t="array" aca="1" ref="E362" ca="1">IF($B362="N","",SUM(IF((INDIRECT("'"&amp;$B362&amp;"'!I23:I200")=$A$2)*(INDIRECT("'"&amp;$B362&amp;"'!O23:O200")=$D362)*(INDIRECT("'"&amp;$B362&amp;"'!O23:O200")&lt;&gt;"")*(INDIRECT("'"&amp;$B362&amp;"'!H23:H200")=$E$5),1,0)))</f>
        <v>0</v>
      </c>
      <c r="F362" s="565">
        <f t="array" aca="1" ref="F362" ca="1">IF($B362="N","",SUM(IF((INDIRECT("'"&amp;$B362&amp;"'!I23:I200")=$A$2)*(INDIRECT("'"&amp;$B362&amp;"'!O23:O200")=$D362)*(INDIRECT("'"&amp;$B362&amp;"'!O23:O200")&lt;&gt;"")*(INDIRECT("'"&amp;$B362&amp;"'!H23:H200")=$E$5),INDIRECT("'"&amp;$B362&amp;"'!p23:p200"),0)))</f>
        <v>0</v>
      </c>
      <c r="G362" s="564">
        <f t="array" aca="1" ref="G362" ca="1">IF($B362="N","",SUM(IF((INDIRECT("'"&amp;$B362&amp;"'!I23:I200")=$A$2)*(INDIRECT("'"&amp;$B362&amp;"'!O23:O200")=$D362)*(INDIRECT("'"&amp;$B362&amp;"'!O23:O200")&lt;&gt;"")*(INDIRECT("'"&amp;$B362&amp;"'!H23:H200")=$G$5),1,0)))</f>
        <v>0</v>
      </c>
      <c r="H362" s="565">
        <f t="array" aca="1" ref="H362" ca="1">IF($B362="N","",SUM(IF((INDIRECT("'"&amp;$B362&amp;"'!I23:I200")=$A$2)*(INDIRECT("'"&amp;$B362&amp;"'!O23:O200")=$D362)*(INDIRECT("'"&amp;$B362&amp;"'!O23:O200")&lt;&gt;"")*(INDIRECT("'"&amp;$B362&amp;"'!H23:H200")=$G$5),INDIRECT("'"&amp;$B362&amp;"'!p23:p200"),0)))</f>
        <v>0</v>
      </c>
      <c r="I362" s="515">
        <f t="shared" ca="1" si="60"/>
        <v>0</v>
      </c>
      <c r="J362" s="513">
        <f t="shared" ca="1" si="61"/>
        <v>0</v>
      </c>
    </row>
    <row r="363" spans="1:10">
      <c r="B363" s="563" t="str">
        <f t="shared" ref="B363:B383" si="62">B362</f>
        <v>Montedio Yamagata</v>
      </c>
      <c r="D363" s="520">
        <v>-2.25</v>
      </c>
      <c r="E363" s="564">
        <f t="array" aca="1" ref="E363" ca="1">IF($B363="N","",SUM(IF((INDIRECT("'"&amp;$B363&amp;"'!I23:I200")=$A$2)*(INDIRECT("'"&amp;$B363&amp;"'!O23:O200")=$D363)*(INDIRECT("'"&amp;$B363&amp;"'!O23:O200")&lt;&gt;"")*(INDIRECT("'"&amp;$B363&amp;"'!H23:H200")=$E$5),1,0)))</f>
        <v>0</v>
      </c>
      <c r="F363" s="565">
        <f t="array" aca="1" ref="F363" ca="1">IF($B363="N","",SUM(IF((INDIRECT("'"&amp;$B363&amp;"'!I23:I200")=$A$2)*(INDIRECT("'"&amp;$B363&amp;"'!O23:O200")=$D363)*(INDIRECT("'"&amp;$B363&amp;"'!O23:O200")&lt;&gt;"")*(INDIRECT("'"&amp;$B363&amp;"'!H23:H200")=$E$5),INDIRECT("'"&amp;$B363&amp;"'!p23:p200"),0)))</f>
        <v>0</v>
      </c>
      <c r="G363" s="564">
        <f t="array" aca="1" ref="G363" ca="1">IF($B363="N","",SUM(IF((INDIRECT("'"&amp;$B363&amp;"'!I23:I200")=$A$2)*(INDIRECT("'"&amp;$B363&amp;"'!O23:O200")=$D363)*(INDIRECT("'"&amp;$B363&amp;"'!O23:O200")&lt;&gt;"")*(INDIRECT("'"&amp;$B363&amp;"'!H23:H200")=$G$5),1,0)))</f>
        <v>0</v>
      </c>
      <c r="H363" s="565">
        <f t="array" aca="1" ref="H363" ca="1">IF($B363="N","",SUM(IF((INDIRECT("'"&amp;$B363&amp;"'!I23:I200")=$A$2)*(INDIRECT("'"&amp;$B363&amp;"'!O23:O200")=$D363)*(INDIRECT("'"&amp;$B363&amp;"'!O23:O200")&lt;&gt;"")*(INDIRECT("'"&amp;$B363&amp;"'!H23:H200")=$G$5),INDIRECT("'"&amp;$B363&amp;"'!p23:p200"),0)))</f>
        <v>0</v>
      </c>
      <c r="I363" s="515">
        <f t="shared" ca="1" si="60"/>
        <v>0</v>
      </c>
      <c r="J363" s="513">
        <f t="shared" ca="1" si="61"/>
        <v>0</v>
      </c>
    </row>
    <row r="364" spans="1:10">
      <c r="B364" s="563" t="str">
        <f t="shared" si="62"/>
        <v>Montedio Yamagata</v>
      </c>
      <c r="D364" s="520">
        <v>-2</v>
      </c>
      <c r="E364" s="564">
        <f t="array" aca="1" ref="E364" ca="1">IF($B364="N","",SUM(IF((INDIRECT("'"&amp;$B364&amp;"'!I23:I200")=$A$2)*(INDIRECT("'"&amp;$B364&amp;"'!O23:O200")=$D364)*(INDIRECT("'"&amp;$B364&amp;"'!O23:O200")&lt;&gt;"")*(INDIRECT("'"&amp;$B364&amp;"'!H23:H200")=$E$5),1,0)))</f>
        <v>0</v>
      </c>
      <c r="F364" s="565">
        <f t="array" aca="1" ref="F364" ca="1">IF($B364="N","",SUM(IF((INDIRECT("'"&amp;$B364&amp;"'!I23:I200")=$A$2)*(INDIRECT("'"&amp;$B364&amp;"'!O23:O200")=$D364)*(INDIRECT("'"&amp;$B364&amp;"'!O23:O200")&lt;&gt;"")*(INDIRECT("'"&amp;$B364&amp;"'!H23:H200")=$E$5),INDIRECT("'"&amp;$B364&amp;"'!p23:p200"),0)))</f>
        <v>0</v>
      </c>
      <c r="G364" s="564">
        <f t="array" aca="1" ref="G364" ca="1">IF($B364="N","",SUM(IF((INDIRECT("'"&amp;$B364&amp;"'!I23:I200")=$A$2)*(INDIRECT("'"&amp;$B364&amp;"'!O23:O200")=$D364)*(INDIRECT("'"&amp;$B364&amp;"'!O23:O200")&lt;&gt;"")*(INDIRECT("'"&amp;$B364&amp;"'!H23:H200")=$G$5),1,0)))</f>
        <v>0</v>
      </c>
      <c r="H364" s="565">
        <f t="array" aca="1" ref="H364" ca="1">IF($B364="N","",SUM(IF((INDIRECT("'"&amp;$B364&amp;"'!I23:I200")=$A$2)*(INDIRECT("'"&amp;$B364&amp;"'!O23:O200")=$D364)*(INDIRECT("'"&amp;$B364&amp;"'!O23:O200")&lt;&gt;"")*(INDIRECT("'"&amp;$B364&amp;"'!H23:H200")=$G$5),INDIRECT("'"&amp;$B364&amp;"'!p23:p200"),0)))</f>
        <v>0</v>
      </c>
      <c r="I364" s="515">
        <f t="shared" ca="1" si="60"/>
        <v>0</v>
      </c>
      <c r="J364" s="513">
        <f t="shared" ca="1" si="61"/>
        <v>0</v>
      </c>
    </row>
    <row r="365" spans="1:10">
      <c r="B365" s="563" t="str">
        <f t="shared" si="62"/>
        <v>Montedio Yamagata</v>
      </c>
      <c r="D365" s="520">
        <v>-1.75</v>
      </c>
      <c r="E365" s="564">
        <f t="array" aca="1" ref="E365" ca="1">IF($B365="N","",SUM(IF((INDIRECT("'"&amp;$B365&amp;"'!I23:I200")=$A$2)*(INDIRECT("'"&amp;$B365&amp;"'!O23:O200")=$D365)*(INDIRECT("'"&amp;$B365&amp;"'!O23:O200")&lt;&gt;"")*(INDIRECT("'"&amp;$B365&amp;"'!H23:H200")=$E$5),1,0)))</f>
        <v>0</v>
      </c>
      <c r="F365" s="565">
        <f t="array" aca="1" ref="F365" ca="1">IF($B365="N","",SUM(IF((INDIRECT("'"&amp;$B365&amp;"'!I23:I200")=$A$2)*(INDIRECT("'"&amp;$B365&amp;"'!O23:O200")=$D365)*(INDIRECT("'"&amp;$B365&amp;"'!O23:O200")&lt;&gt;"")*(INDIRECT("'"&amp;$B365&amp;"'!H23:H200")=$E$5),INDIRECT("'"&amp;$B365&amp;"'!p23:p200"),0)))</f>
        <v>0</v>
      </c>
      <c r="G365" s="564">
        <f t="array" aca="1" ref="G365" ca="1">IF($B365="N","",SUM(IF((INDIRECT("'"&amp;$B365&amp;"'!I23:I200")=$A$2)*(INDIRECT("'"&amp;$B365&amp;"'!O23:O200")=$D365)*(INDIRECT("'"&amp;$B365&amp;"'!O23:O200")&lt;&gt;"")*(INDIRECT("'"&amp;$B365&amp;"'!H23:H200")=$G$5),1,0)))</f>
        <v>0</v>
      </c>
      <c r="H365" s="565">
        <f t="array" aca="1" ref="H365" ca="1">IF($B365="N","",SUM(IF((INDIRECT("'"&amp;$B365&amp;"'!I23:I200")=$A$2)*(INDIRECT("'"&amp;$B365&amp;"'!O23:O200")=$D365)*(INDIRECT("'"&amp;$B365&amp;"'!O23:O200")&lt;&gt;"")*(INDIRECT("'"&amp;$B365&amp;"'!H23:H200")=$G$5),INDIRECT("'"&amp;$B365&amp;"'!p23:p200"),0)))</f>
        <v>0</v>
      </c>
      <c r="I365" s="515">
        <f t="shared" ca="1" si="60"/>
        <v>0</v>
      </c>
      <c r="J365" s="513">
        <f t="shared" ca="1" si="61"/>
        <v>0</v>
      </c>
    </row>
    <row r="366" spans="1:10">
      <c r="B366" s="563" t="str">
        <f t="shared" si="62"/>
        <v>Montedio Yamagata</v>
      </c>
      <c r="D366" s="511">
        <v>-1.5</v>
      </c>
      <c r="E366" s="564">
        <f t="array" aca="1" ref="E366" ca="1">IF($B366="N","",SUM(IF((INDIRECT("'"&amp;$B366&amp;"'!I23:I200")=$A$2)*(INDIRECT("'"&amp;$B366&amp;"'!O23:O200")=$D366)*(INDIRECT("'"&amp;$B366&amp;"'!O23:O200")&lt;&gt;"")*(INDIRECT("'"&amp;$B366&amp;"'!H23:H200")=$E$5),1,0)))</f>
        <v>0</v>
      </c>
      <c r="F366" s="565">
        <f t="array" aca="1" ref="F366" ca="1">IF($B366="N","",SUM(IF((INDIRECT("'"&amp;$B366&amp;"'!I23:I200")=$A$2)*(INDIRECT("'"&amp;$B366&amp;"'!O23:O200")=$D366)*(INDIRECT("'"&amp;$B366&amp;"'!O23:O200")&lt;&gt;"")*(INDIRECT("'"&amp;$B366&amp;"'!H23:H200")=$E$5),INDIRECT("'"&amp;$B366&amp;"'!p23:p200"),0)))</f>
        <v>0</v>
      </c>
      <c r="G366" s="564">
        <f t="array" aca="1" ref="G366" ca="1">IF($B366="N","",SUM(IF((INDIRECT("'"&amp;$B366&amp;"'!I23:I200")=$A$2)*(INDIRECT("'"&amp;$B366&amp;"'!O23:O200")=$D366)*(INDIRECT("'"&amp;$B366&amp;"'!O23:O200")&lt;&gt;"")*(INDIRECT("'"&amp;$B366&amp;"'!H23:H200")=$G$5),1,0)))</f>
        <v>0</v>
      </c>
      <c r="H366" s="565">
        <f t="array" aca="1" ref="H366" ca="1">IF($B366="N","",SUM(IF((INDIRECT("'"&amp;$B366&amp;"'!I23:I200")=$A$2)*(INDIRECT("'"&amp;$B366&amp;"'!O23:O200")=$D366)*(INDIRECT("'"&amp;$B366&amp;"'!O23:O200")&lt;&gt;"")*(INDIRECT("'"&amp;$B366&amp;"'!H23:H200")=$G$5),INDIRECT("'"&amp;$B366&amp;"'!p23:p200"),0)))</f>
        <v>0</v>
      </c>
      <c r="I366" s="515">
        <f t="shared" ca="1" si="60"/>
        <v>0</v>
      </c>
      <c r="J366" s="513">
        <f t="shared" ca="1" si="61"/>
        <v>0</v>
      </c>
    </row>
    <row r="367" spans="1:10">
      <c r="B367" s="563" t="str">
        <f t="shared" si="62"/>
        <v>Montedio Yamagata</v>
      </c>
      <c r="D367" s="511">
        <v>-1.25</v>
      </c>
      <c r="E367" s="564">
        <f t="array" aca="1" ref="E367" ca="1">IF($B367="N","",SUM(IF((INDIRECT("'"&amp;$B367&amp;"'!I23:I200")=$A$2)*(INDIRECT("'"&amp;$B367&amp;"'!O23:O200")=$D367)*(INDIRECT("'"&amp;$B367&amp;"'!O23:O200")&lt;&gt;"")*(INDIRECT("'"&amp;$B367&amp;"'!H23:H200")=$E$5),1,0)))</f>
        <v>0</v>
      </c>
      <c r="F367" s="565">
        <f t="array" aca="1" ref="F367" ca="1">IF($B367="N","",SUM(IF((INDIRECT("'"&amp;$B367&amp;"'!I23:I200")=$A$2)*(INDIRECT("'"&amp;$B367&amp;"'!O23:O200")=$D367)*(INDIRECT("'"&amp;$B367&amp;"'!O23:O200")&lt;&gt;"")*(INDIRECT("'"&amp;$B367&amp;"'!H23:H200")=$E$5),INDIRECT("'"&amp;$B367&amp;"'!p23:p200"),0)))</f>
        <v>0</v>
      </c>
      <c r="G367" s="564">
        <f t="array" aca="1" ref="G367" ca="1">IF($B367="N","",SUM(IF((INDIRECT("'"&amp;$B367&amp;"'!I23:I200")=$A$2)*(INDIRECT("'"&amp;$B367&amp;"'!O23:O200")=$D367)*(INDIRECT("'"&amp;$B367&amp;"'!O23:O200")&lt;&gt;"")*(INDIRECT("'"&amp;$B367&amp;"'!H23:H200")=$G$5),1,0)))</f>
        <v>0</v>
      </c>
      <c r="H367" s="565">
        <f t="array" aca="1" ref="H367" ca="1">IF($B367="N","",SUM(IF((INDIRECT("'"&amp;$B367&amp;"'!I23:I200")=$A$2)*(INDIRECT("'"&amp;$B367&amp;"'!O23:O200")=$D367)*(INDIRECT("'"&amp;$B367&amp;"'!O23:O200")&lt;&gt;"")*(INDIRECT("'"&amp;$B367&amp;"'!H23:H200")=$G$5),INDIRECT("'"&amp;$B367&amp;"'!p23:p200"),0)))</f>
        <v>0</v>
      </c>
      <c r="I367" s="515">
        <f t="shared" ca="1" si="60"/>
        <v>0</v>
      </c>
      <c r="J367" s="513">
        <f t="shared" ca="1" si="61"/>
        <v>0</v>
      </c>
    </row>
    <row r="368" spans="1:10">
      <c r="B368" s="563" t="str">
        <f t="shared" si="62"/>
        <v>Montedio Yamagata</v>
      </c>
      <c r="D368" s="511">
        <v>-1</v>
      </c>
      <c r="E368" s="564">
        <f t="array" aca="1" ref="E368" ca="1">IF($B368="N","",SUM(IF((INDIRECT("'"&amp;$B368&amp;"'!I23:I200")=$A$2)*(INDIRECT("'"&amp;$B368&amp;"'!O23:O200")=$D368)*(INDIRECT("'"&amp;$B368&amp;"'!O23:O200")&lt;&gt;"")*(INDIRECT("'"&amp;$B368&amp;"'!H23:H200")=$E$5),1,0)))</f>
        <v>0</v>
      </c>
      <c r="F368" s="565">
        <f t="array" aca="1" ref="F368" ca="1">IF($B368="N","",SUM(IF((INDIRECT("'"&amp;$B368&amp;"'!I23:I200")=$A$2)*(INDIRECT("'"&amp;$B368&amp;"'!O23:O200")=$D368)*(INDIRECT("'"&amp;$B368&amp;"'!O23:O200")&lt;&gt;"")*(INDIRECT("'"&amp;$B368&amp;"'!H23:H200")=$E$5),INDIRECT("'"&amp;$B368&amp;"'!p23:p200"),0)))</f>
        <v>0</v>
      </c>
      <c r="G368" s="564">
        <f t="array" aca="1" ref="G368" ca="1">IF($B368="N","",SUM(IF((INDIRECT("'"&amp;$B368&amp;"'!I23:I200")=$A$2)*(INDIRECT("'"&amp;$B368&amp;"'!O23:O200")=$D368)*(INDIRECT("'"&amp;$B368&amp;"'!O23:O200")&lt;&gt;"")*(INDIRECT("'"&amp;$B368&amp;"'!H23:H200")=$G$5),1,0)))</f>
        <v>0</v>
      </c>
      <c r="H368" s="565">
        <f t="array" aca="1" ref="H368" ca="1">IF($B368="N","",SUM(IF((INDIRECT("'"&amp;$B368&amp;"'!I23:I200")=$A$2)*(INDIRECT("'"&amp;$B368&amp;"'!O23:O200")=$D368)*(INDIRECT("'"&amp;$B368&amp;"'!O23:O200")&lt;&gt;"")*(INDIRECT("'"&amp;$B368&amp;"'!H23:H200")=$G$5),INDIRECT("'"&amp;$B368&amp;"'!p23:p200"),0)))</f>
        <v>0</v>
      </c>
      <c r="I368" s="515">
        <f t="shared" ca="1" si="60"/>
        <v>0</v>
      </c>
      <c r="J368" s="513">
        <f t="shared" ca="1" si="61"/>
        <v>0</v>
      </c>
    </row>
    <row r="369" spans="1:10">
      <c r="B369" s="563" t="str">
        <f t="shared" si="62"/>
        <v>Montedio Yamagata</v>
      </c>
      <c r="D369" s="511">
        <v>-0.75</v>
      </c>
      <c r="E369" s="564">
        <f t="array" aca="1" ref="E369" ca="1">IF($B369="N","",SUM(IF((INDIRECT("'"&amp;$B369&amp;"'!I23:I200")=$A$2)*(INDIRECT("'"&amp;$B369&amp;"'!O23:O200")=$D369)*(INDIRECT("'"&amp;$B369&amp;"'!O23:O200")&lt;&gt;"")*(INDIRECT("'"&amp;$B369&amp;"'!H23:H200")=$E$5),1,0)))</f>
        <v>2</v>
      </c>
      <c r="F369" s="565">
        <f t="array" aca="1" ref="F369" ca="1">IF($B369="N","",SUM(IF((INDIRECT("'"&amp;$B369&amp;"'!I23:I200")=$A$2)*(INDIRECT("'"&amp;$B369&amp;"'!O23:O200")=$D369)*(INDIRECT("'"&amp;$B369&amp;"'!O23:O200")&lt;&gt;"")*(INDIRECT("'"&amp;$B369&amp;"'!H23:H200")=$E$5),INDIRECT("'"&amp;$B369&amp;"'!p23:p200"),0)))</f>
        <v>-0.5</v>
      </c>
      <c r="G369" s="564">
        <f t="array" aca="1" ref="G369" ca="1">IF($B369="N","",SUM(IF((INDIRECT("'"&amp;$B369&amp;"'!I23:I200")=$A$2)*(INDIRECT("'"&amp;$B369&amp;"'!O23:O200")=$D369)*(INDIRECT("'"&amp;$B369&amp;"'!O23:O200")&lt;&gt;"")*(INDIRECT("'"&amp;$B369&amp;"'!H23:H200")=$G$5),1,0)))</f>
        <v>0</v>
      </c>
      <c r="H369" s="565">
        <f t="array" aca="1" ref="H369" ca="1">IF($B369="N","",SUM(IF((INDIRECT("'"&amp;$B369&amp;"'!I23:I200")=$A$2)*(INDIRECT("'"&amp;$B369&amp;"'!O23:O200")=$D369)*(INDIRECT("'"&amp;$B369&amp;"'!O23:O200")&lt;&gt;"")*(INDIRECT("'"&amp;$B369&amp;"'!H23:H200")=$G$5),INDIRECT("'"&amp;$B369&amp;"'!p23:p200"),0)))</f>
        <v>0</v>
      </c>
      <c r="I369" s="515">
        <f t="shared" ca="1" si="60"/>
        <v>2</v>
      </c>
      <c r="J369" s="513">
        <f t="shared" ca="1" si="61"/>
        <v>-0.5</v>
      </c>
    </row>
    <row r="370" spans="1:10">
      <c r="B370" s="563" t="str">
        <f t="shared" si="62"/>
        <v>Montedio Yamagata</v>
      </c>
      <c r="D370" s="511">
        <v>-0.5</v>
      </c>
      <c r="E370" s="564">
        <f t="array" aca="1" ref="E370" ca="1">IF($B370="N","",SUM(IF((INDIRECT("'"&amp;$B370&amp;"'!I23:I200")=$A$2)*(INDIRECT("'"&amp;$B370&amp;"'!O23:O200")=$D370)*(INDIRECT("'"&amp;$B370&amp;"'!O23:O200")&lt;&gt;"")*(INDIRECT("'"&amp;$B370&amp;"'!H23:H200")=$E$5),1,0)))</f>
        <v>3</v>
      </c>
      <c r="F370" s="565">
        <f t="array" aca="1" ref="F370" ca="1">IF($B370="N","",SUM(IF((INDIRECT("'"&amp;$B370&amp;"'!I23:I200")=$A$2)*(INDIRECT("'"&amp;$B370&amp;"'!O23:O200")=$D370)*(INDIRECT("'"&amp;$B370&amp;"'!O23:O200")&lt;&gt;"")*(INDIRECT("'"&amp;$B370&amp;"'!H23:H200")=$E$5),INDIRECT("'"&amp;$B370&amp;"'!p23:p200"),0)))</f>
        <v>-1</v>
      </c>
      <c r="G370" s="564">
        <f t="array" aca="1" ref="G370" ca="1">IF($B370="N","",SUM(IF((INDIRECT("'"&amp;$B370&amp;"'!I23:I200")=$A$2)*(INDIRECT("'"&amp;$B370&amp;"'!O23:O200")=$D370)*(INDIRECT("'"&amp;$B370&amp;"'!O23:O200")&lt;&gt;"")*(INDIRECT("'"&amp;$B370&amp;"'!H23:H200")=$G$5),1,0)))</f>
        <v>1</v>
      </c>
      <c r="H370" s="565">
        <f t="array" aca="1" ref="H370" ca="1">IF($B370="N","",SUM(IF((INDIRECT("'"&amp;$B370&amp;"'!I23:I200")=$A$2)*(INDIRECT("'"&amp;$B370&amp;"'!O23:O200")=$D370)*(INDIRECT("'"&amp;$B370&amp;"'!O23:O200")&lt;&gt;"")*(INDIRECT("'"&amp;$B370&amp;"'!H23:H200")=$G$5),INDIRECT("'"&amp;$B370&amp;"'!p23:p200"),0)))</f>
        <v>1</v>
      </c>
      <c r="I370" s="515">
        <f t="shared" ca="1" si="60"/>
        <v>4</v>
      </c>
      <c r="J370" s="513">
        <f t="shared" ca="1" si="61"/>
        <v>0</v>
      </c>
    </row>
    <row r="371" spans="1:10">
      <c r="B371" s="563" t="str">
        <f t="shared" si="62"/>
        <v>Montedio Yamagata</v>
      </c>
      <c r="D371" s="511">
        <v>-0.25</v>
      </c>
      <c r="E371" s="564">
        <f t="array" aca="1" ref="E371" ca="1">IF($B371="N","",SUM(IF((INDIRECT("'"&amp;$B371&amp;"'!I23:I200")=$A$2)*(INDIRECT("'"&amp;$B371&amp;"'!O23:O200")=$D371)*(INDIRECT("'"&amp;$B371&amp;"'!O23:O200")&lt;&gt;"")*(INDIRECT("'"&amp;$B371&amp;"'!H23:H200")=$E$5),1,0)))</f>
        <v>7</v>
      </c>
      <c r="F371" s="565">
        <f t="array" aca="1" ref="F371" ca="1">IF($B371="N","",SUM(IF((INDIRECT("'"&amp;$B371&amp;"'!I23:I200")=$A$2)*(INDIRECT("'"&amp;$B371&amp;"'!O23:O200")=$D371)*(INDIRECT("'"&amp;$B371&amp;"'!O23:O200")&lt;&gt;"")*(INDIRECT("'"&amp;$B371&amp;"'!H23:H200")=$E$5),INDIRECT("'"&amp;$B371&amp;"'!p23:p200"),0)))</f>
        <v>2</v>
      </c>
      <c r="G371" s="564">
        <f t="array" aca="1" ref="G371" ca="1">IF($B371="N","",SUM(IF((INDIRECT("'"&amp;$B371&amp;"'!I23:I200")=$A$2)*(INDIRECT("'"&amp;$B371&amp;"'!O23:O200")=$D371)*(INDIRECT("'"&amp;$B371&amp;"'!O23:O200")&lt;&gt;"")*(INDIRECT("'"&amp;$B371&amp;"'!H23:H200")=$G$5),1,0)))</f>
        <v>1</v>
      </c>
      <c r="H371" s="565">
        <f t="array" aca="1" ref="H371" ca="1">IF($B371="N","",SUM(IF((INDIRECT("'"&amp;$B371&amp;"'!I23:I200")=$A$2)*(INDIRECT("'"&amp;$B371&amp;"'!O23:O200")=$D371)*(INDIRECT("'"&amp;$B371&amp;"'!O23:O200")&lt;&gt;"")*(INDIRECT("'"&amp;$B371&amp;"'!H23:H200")=$G$5),INDIRECT("'"&amp;$B371&amp;"'!p23:p200"),0)))</f>
        <v>-0.5</v>
      </c>
      <c r="I371" s="515">
        <f t="shared" ca="1" si="60"/>
        <v>8</v>
      </c>
      <c r="J371" s="513">
        <f t="shared" ca="1" si="61"/>
        <v>1.5</v>
      </c>
    </row>
    <row r="372" spans="1:10">
      <c r="B372" s="563" t="str">
        <f t="shared" si="62"/>
        <v>Montedio Yamagata</v>
      </c>
      <c r="D372" s="511">
        <v>0</v>
      </c>
      <c r="E372" s="564">
        <f t="array" aca="1" ref="E372" ca="1">IF($B372="N","",SUM(IF((INDIRECT("'"&amp;$B372&amp;"'!I23:I200")=$A$2)*(INDIRECT("'"&amp;$B372&amp;"'!O23:O200")=$D372)*(INDIRECT("'"&amp;$B372&amp;"'!O23:O200")&lt;&gt;"")*(INDIRECT("'"&amp;$B372&amp;"'!H23:H200")=$E$5),1,0)))</f>
        <v>6</v>
      </c>
      <c r="F372" s="565">
        <f t="array" aca="1" ref="F372" ca="1">IF($B372="N","",SUM(IF((INDIRECT("'"&amp;$B372&amp;"'!I23:I200")=$A$2)*(INDIRECT("'"&amp;$B372&amp;"'!O23:O200")=$D372)*(INDIRECT("'"&amp;$B372&amp;"'!O23:O200")&lt;&gt;"")*(INDIRECT("'"&amp;$B372&amp;"'!H23:H200")=$E$5),INDIRECT("'"&amp;$B372&amp;"'!p23:p200"),0)))</f>
        <v>0</v>
      </c>
      <c r="G372" s="564">
        <f t="array" aca="1" ref="G372" ca="1">IF($B372="N","",SUM(IF((INDIRECT("'"&amp;$B372&amp;"'!I23:I200")=$A$2)*(INDIRECT("'"&amp;$B372&amp;"'!O23:O200")=$D372)*(INDIRECT("'"&amp;$B372&amp;"'!O23:O200")&lt;&gt;"")*(INDIRECT("'"&amp;$B372&amp;"'!H23:H200")=$G$5),1,0)))</f>
        <v>8</v>
      </c>
      <c r="H372" s="565">
        <f t="array" aca="1" ref="H372" ca="1">IF($B372="N","",SUM(IF((INDIRECT("'"&amp;$B372&amp;"'!I23:I200")=$A$2)*(INDIRECT("'"&amp;$B372&amp;"'!O23:O200")=$D372)*(INDIRECT("'"&amp;$B372&amp;"'!O23:O200")&lt;&gt;"")*(INDIRECT("'"&amp;$B372&amp;"'!H23:H200")=$G$5),INDIRECT("'"&amp;$B372&amp;"'!p23:p200"),0)))</f>
        <v>-2</v>
      </c>
      <c r="I372" s="515">
        <f t="shared" ca="1" si="60"/>
        <v>14</v>
      </c>
      <c r="J372" s="513">
        <f t="shared" ca="1" si="61"/>
        <v>-2</v>
      </c>
    </row>
    <row r="373" spans="1:10">
      <c r="B373" s="563" t="str">
        <f t="shared" si="62"/>
        <v>Montedio Yamagata</v>
      </c>
      <c r="D373" s="511">
        <v>0.25</v>
      </c>
      <c r="E373" s="564">
        <f t="array" aca="1" ref="E373" ca="1">IF($B373="N","",SUM(IF((INDIRECT("'"&amp;$B373&amp;"'!I23:I200")=$A$2)*(INDIRECT("'"&amp;$B373&amp;"'!O23:O200")=$D373)*(INDIRECT("'"&amp;$B373&amp;"'!O23:O200")&lt;&gt;"")*(INDIRECT("'"&amp;$B373&amp;"'!H23:H200")=$E$5),1,0)))</f>
        <v>3</v>
      </c>
      <c r="F373" s="565">
        <f t="array" aca="1" ref="F373" ca="1">IF($B373="N","",SUM(IF((INDIRECT("'"&amp;$B373&amp;"'!I23:I200")=$A$2)*(INDIRECT("'"&amp;$B373&amp;"'!O23:O200")=$D373)*(INDIRECT("'"&amp;$B373&amp;"'!O23:O200")&lt;&gt;"")*(INDIRECT("'"&amp;$B373&amp;"'!H23:H200")=$E$5),INDIRECT("'"&amp;$B373&amp;"'!p23:p200"),0)))</f>
        <v>2.5</v>
      </c>
      <c r="G373" s="564">
        <f t="array" aca="1" ref="G373" ca="1">IF($B373="N","",SUM(IF((INDIRECT("'"&amp;$B373&amp;"'!I23:I200")=$A$2)*(INDIRECT("'"&amp;$B373&amp;"'!O23:O200")=$D373)*(INDIRECT("'"&amp;$B373&amp;"'!O23:O200")&lt;&gt;"")*(INDIRECT("'"&amp;$B373&amp;"'!H23:H200")=$G$5),1,0)))</f>
        <v>8</v>
      </c>
      <c r="H373" s="565">
        <f t="array" aca="1" ref="H373" ca="1">IF($B373="N","",SUM(IF((INDIRECT("'"&amp;$B373&amp;"'!I23:I200")=$A$2)*(INDIRECT("'"&amp;$B373&amp;"'!O23:O200")=$D373)*(INDIRECT("'"&amp;$B373&amp;"'!O23:O200")&lt;&gt;"")*(INDIRECT("'"&amp;$B373&amp;"'!H23:H200")=$G$5),INDIRECT("'"&amp;$B373&amp;"'!p23:p200"),0)))</f>
        <v>-1</v>
      </c>
      <c r="I373" s="515">
        <f t="shared" ca="1" si="60"/>
        <v>11</v>
      </c>
      <c r="J373" s="513">
        <f t="shared" ca="1" si="61"/>
        <v>1.5</v>
      </c>
    </row>
    <row r="374" spans="1:10">
      <c r="B374" s="563" t="str">
        <f t="shared" si="62"/>
        <v>Montedio Yamagata</v>
      </c>
      <c r="D374" s="511">
        <v>0.5</v>
      </c>
      <c r="E374" s="564">
        <f t="array" aca="1" ref="E374" ca="1">IF($B374="N","",SUM(IF((INDIRECT("'"&amp;$B374&amp;"'!I23:I200")=$A$2)*(INDIRECT("'"&amp;$B374&amp;"'!O23:O200")=$D374)*(INDIRECT("'"&amp;$B374&amp;"'!O23:O200")&lt;&gt;"")*(INDIRECT("'"&amp;$B374&amp;"'!H23:H200")=$E$5),1,0)))</f>
        <v>0</v>
      </c>
      <c r="F374" s="565">
        <f t="array" aca="1" ref="F374" ca="1">IF($B374="N","",SUM(IF((INDIRECT("'"&amp;$B374&amp;"'!I23:I200")=$A$2)*(INDIRECT("'"&amp;$B374&amp;"'!O23:O200")=$D374)*(INDIRECT("'"&amp;$B374&amp;"'!O23:O200")&lt;&gt;"")*(INDIRECT("'"&amp;$B374&amp;"'!H23:H200")=$E$5),INDIRECT("'"&amp;$B374&amp;"'!p23:p200"),0)))</f>
        <v>0</v>
      </c>
      <c r="G374" s="564">
        <f t="array" aca="1" ref="G374" ca="1">IF($B374="N","",SUM(IF((INDIRECT("'"&amp;$B374&amp;"'!I23:I200")=$A$2)*(INDIRECT("'"&amp;$B374&amp;"'!O23:O200")=$D374)*(INDIRECT("'"&amp;$B374&amp;"'!O23:O200")&lt;&gt;"")*(INDIRECT("'"&amp;$B374&amp;"'!H23:H200")=$G$5),1,0)))</f>
        <v>2</v>
      </c>
      <c r="H374" s="565">
        <f t="array" aca="1" ref="H374" ca="1">IF($B374="N","",SUM(IF((INDIRECT("'"&amp;$B374&amp;"'!I23:I200")=$A$2)*(INDIRECT("'"&amp;$B374&amp;"'!O23:O200")=$D374)*(INDIRECT("'"&amp;$B374&amp;"'!O23:O200")&lt;&gt;"")*(INDIRECT("'"&amp;$B374&amp;"'!H23:H200")=$G$5),INDIRECT("'"&amp;$B374&amp;"'!p23:p200"),0)))</f>
        <v>0</v>
      </c>
      <c r="I374" s="515">
        <f t="shared" ca="1" si="60"/>
        <v>2</v>
      </c>
      <c r="J374" s="513">
        <f t="shared" ca="1" si="61"/>
        <v>0</v>
      </c>
    </row>
    <row r="375" spans="1:10">
      <c r="B375" s="563" t="str">
        <f t="shared" si="62"/>
        <v>Montedio Yamagata</v>
      </c>
      <c r="D375" s="511">
        <v>0.75</v>
      </c>
      <c r="E375" s="564">
        <f t="array" aca="1" ref="E375" ca="1">IF($B375="N","",SUM(IF((INDIRECT("'"&amp;$B375&amp;"'!I23:I200")=$A$2)*(INDIRECT("'"&amp;$B375&amp;"'!O23:O200")=$D375)*(INDIRECT("'"&amp;$B375&amp;"'!O23:O200")&lt;&gt;"")*(INDIRECT("'"&amp;$B375&amp;"'!H23:H200")=$E$5),1,0)))</f>
        <v>0</v>
      </c>
      <c r="F375" s="565">
        <f t="array" aca="1" ref="F375" ca="1">IF($B375="N","",SUM(IF((INDIRECT("'"&amp;$B375&amp;"'!I23:I200")=$A$2)*(INDIRECT("'"&amp;$B375&amp;"'!O23:O200")=$D375)*(INDIRECT("'"&amp;$B375&amp;"'!O23:O200")&lt;&gt;"")*(INDIRECT("'"&amp;$B375&amp;"'!H23:H200")=$E$5),INDIRECT("'"&amp;$B375&amp;"'!p23:p200"),0)))</f>
        <v>0</v>
      </c>
      <c r="G375" s="564">
        <f t="array" aca="1" ref="G375" ca="1">IF($B375="N","",SUM(IF((INDIRECT("'"&amp;$B375&amp;"'!I23:I200")=$A$2)*(INDIRECT("'"&amp;$B375&amp;"'!O23:O200")=$D375)*(INDIRECT("'"&amp;$B375&amp;"'!O23:O200")&lt;&gt;"")*(INDIRECT("'"&amp;$B375&amp;"'!H23:H200")=$G$5),1,0)))</f>
        <v>1</v>
      </c>
      <c r="H375" s="565">
        <f t="array" aca="1" ref="H375" ca="1">IF($B375="N","",SUM(IF((INDIRECT("'"&amp;$B375&amp;"'!I23:I200")=$A$2)*(INDIRECT("'"&amp;$B375&amp;"'!O23:O200")=$D375)*(INDIRECT("'"&amp;$B375&amp;"'!O23:O200")&lt;&gt;"")*(INDIRECT("'"&amp;$B375&amp;"'!H23:H200")=$G$5),INDIRECT("'"&amp;$B375&amp;"'!p23:p200"),0)))</f>
        <v>1</v>
      </c>
      <c r="I375" s="515">
        <f t="shared" ca="1" si="60"/>
        <v>1</v>
      </c>
      <c r="J375" s="513">
        <f t="shared" ca="1" si="61"/>
        <v>1</v>
      </c>
    </row>
    <row r="376" spans="1:10">
      <c r="B376" s="563" t="str">
        <f t="shared" si="62"/>
        <v>Montedio Yamagata</v>
      </c>
      <c r="D376" s="511">
        <v>1</v>
      </c>
      <c r="E376" s="564">
        <f t="array" aca="1" ref="E376" ca="1">IF($B376="N","",SUM(IF((INDIRECT("'"&amp;$B376&amp;"'!I23:I200")=$A$2)*(INDIRECT("'"&amp;$B376&amp;"'!O23:O200")=$D376)*(INDIRECT("'"&amp;$B376&amp;"'!O23:O200")&lt;&gt;"")*(INDIRECT("'"&amp;$B376&amp;"'!H23:H200")=$E$5),1,0)))</f>
        <v>0</v>
      </c>
      <c r="F376" s="565">
        <f t="array" aca="1" ref="F376" ca="1">IF($B376="N","",SUM(IF((INDIRECT("'"&amp;$B376&amp;"'!I23:I200")=$A$2)*(INDIRECT("'"&amp;$B376&amp;"'!O23:O200")=$D376)*(INDIRECT("'"&amp;$B376&amp;"'!O23:O200")&lt;&gt;"")*(INDIRECT("'"&amp;$B376&amp;"'!H23:H200")=$E$5),INDIRECT("'"&amp;$B376&amp;"'!p23:p200"),0)))</f>
        <v>0</v>
      </c>
      <c r="G376" s="564">
        <f t="array" aca="1" ref="G376" ca="1">IF($B376="N","",SUM(IF((INDIRECT("'"&amp;$B376&amp;"'!I23:I200")=$A$2)*(INDIRECT("'"&amp;$B376&amp;"'!O23:O200")=$D376)*(INDIRECT("'"&amp;$B376&amp;"'!O23:O200")&lt;&gt;"")*(INDIRECT("'"&amp;$B376&amp;"'!H23:H200")=$G$5),1,0)))</f>
        <v>0</v>
      </c>
      <c r="H376" s="565">
        <f t="array" aca="1" ref="H376" ca="1">IF($B376="N","",SUM(IF((INDIRECT("'"&amp;$B376&amp;"'!I23:I200")=$A$2)*(INDIRECT("'"&amp;$B376&amp;"'!O23:O200")=$D376)*(INDIRECT("'"&amp;$B376&amp;"'!O23:O200")&lt;&gt;"")*(INDIRECT("'"&amp;$B376&amp;"'!H23:H200")=$G$5),INDIRECT("'"&amp;$B376&amp;"'!p23:p200"),0)))</f>
        <v>0</v>
      </c>
      <c r="I376" s="515">
        <f t="shared" ca="1" si="60"/>
        <v>0</v>
      </c>
      <c r="J376" s="513">
        <f t="shared" ca="1" si="61"/>
        <v>0</v>
      </c>
    </row>
    <row r="377" spans="1:10">
      <c r="B377" s="563" t="str">
        <f t="shared" si="62"/>
        <v>Montedio Yamagata</v>
      </c>
      <c r="D377" s="511">
        <v>1.25</v>
      </c>
      <c r="E377" s="564">
        <f t="array" aca="1" ref="E377" ca="1">IF($B377="N","",SUM(IF((INDIRECT("'"&amp;$B377&amp;"'!I23:I200")=$A$2)*(INDIRECT("'"&amp;$B377&amp;"'!O23:O200")=$D377)*(INDIRECT("'"&amp;$B377&amp;"'!O23:O200")&lt;&gt;"")*(INDIRECT("'"&amp;$B377&amp;"'!H23:H200")=$E$5),1,0)))</f>
        <v>0</v>
      </c>
      <c r="F377" s="565">
        <f t="array" aca="1" ref="F377" ca="1">IF($B377="N","",SUM(IF((INDIRECT("'"&amp;$B377&amp;"'!I23:I200")=$A$2)*(INDIRECT("'"&amp;$B377&amp;"'!O23:O200")=$D377)*(INDIRECT("'"&amp;$B377&amp;"'!O23:O200")&lt;&gt;"")*(INDIRECT("'"&amp;$B377&amp;"'!H23:H200")=$E$5),INDIRECT("'"&amp;$B377&amp;"'!p23:p200"),0)))</f>
        <v>0</v>
      </c>
      <c r="G377" s="564">
        <f t="array" aca="1" ref="G377" ca="1">IF($B377="N","",SUM(IF((INDIRECT("'"&amp;$B377&amp;"'!I23:I200")=$A$2)*(INDIRECT("'"&amp;$B377&amp;"'!O23:O200")=$D377)*(INDIRECT("'"&amp;$B377&amp;"'!O23:O200")&lt;&gt;"")*(INDIRECT("'"&amp;$B377&amp;"'!H23:H200")=$G$5),1,0)))</f>
        <v>0</v>
      </c>
      <c r="H377" s="565">
        <f t="array" aca="1" ref="H377" ca="1">IF($B377="N","",SUM(IF((INDIRECT("'"&amp;$B377&amp;"'!I23:I200")=$A$2)*(INDIRECT("'"&amp;$B377&amp;"'!O23:O200")=$D377)*(INDIRECT("'"&amp;$B377&amp;"'!O23:O200")&lt;&gt;"")*(INDIRECT("'"&amp;$B377&amp;"'!H23:H200")=$G$5),INDIRECT("'"&amp;$B377&amp;"'!p23:p200"),0)))</f>
        <v>0</v>
      </c>
      <c r="I377" s="515">
        <f t="shared" ca="1" si="60"/>
        <v>0</v>
      </c>
      <c r="J377" s="513">
        <f t="shared" ca="1" si="61"/>
        <v>0</v>
      </c>
    </row>
    <row r="378" spans="1:10">
      <c r="B378" s="563" t="str">
        <f t="shared" si="62"/>
        <v>Montedio Yamagata</v>
      </c>
      <c r="D378" s="511">
        <v>1.5</v>
      </c>
      <c r="E378" s="564">
        <f t="array" aca="1" ref="E378" ca="1">IF($B378="N","",SUM(IF((INDIRECT("'"&amp;$B378&amp;"'!I23:I200")=$A$2)*(INDIRECT("'"&amp;$B378&amp;"'!O23:O200")=$D378)*(INDIRECT("'"&amp;$B378&amp;"'!O23:O200")&lt;&gt;"")*(INDIRECT("'"&amp;$B378&amp;"'!H23:H200")=$E$5),1,0)))</f>
        <v>0</v>
      </c>
      <c r="F378" s="565">
        <f t="array" aca="1" ref="F378" ca="1">IF($B378="N","",SUM(IF((INDIRECT("'"&amp;$B378&amp;"'!I23:I200")=$A$2)*(INDIRECT("'"&amp;$B378&amp;"'!O23:O200")=$D378)*(INDIRECT("'"&amp;$B378&amp;"'!O23:O200")&lt;&gt;"")*(INDIRECT("'"&amp;$B378&amp;"'!H23:H200")=$E$5),INDIRECT("'"&amp;$B378&amp;"'!p23:p200"),0)))</f>
        <v>0</v>
      </c>
      <c r="G378" s="564">
        <f t="array" aca="1" ref="G378" ca="1">IF($B378="N","",SUM(IF((INDIRECT("'"&amp;$B378&amp;"'!I23:I200")=$A$2)*(INDIRECT("'"&amp;$B378&amp;"'!O23:O200")=$D378)*(INDIRECT("'"&amp;$B378&amp;"'!O23:O200")&lt;&gt;"")*(INDIRECT("'"&amp;$B378&amp;"'!H23:H200")=$G$5),1,0)))</f>
        <v>0</v>
      </c>
      <c r="H378" s="565">
        <f t="array" aca="1" ref="H378" ca="1">IF($B378="N","",SUM(IF((INDIRECT("'"&amp;$B378&amp;"'!I23:I200")=$A$2)*(INDIRECT("'"&amp;$B378&amp;"'!O23:O200")=$D378)*(INDIRECT("'"&amp;$B378&amp;"'!O23:O200")&lt;&gt;"")*(INDIRECT("'"&amp;$B378&amp;"'!H23:H200")=$G$5),INDIRECT("'"&amp;$B378&amp;"'!p23:p200"),0)))</f>
        <v>0</v>
      </c>
      <c r="I378" s="515">
        <f t="shared" ca="1" si="60"/>
        <v>0</v>
      </c>
      <c r="J378" s="513">
        <f t="shared" ca="1" si="61"/>
        <v>0</v>
      </c>
    </row>
    <row r="379" spans="1:10">
      <c r="B379" s="563" t="str">
        <f t="shared" si="62"/>
        <v>Montedio Yamagata</v>
      </c>
      <c r="D379" s="528">
        <v>1.75</v>
      </c>
      <c r="E379" s="564">
        <f t="array" aca="1" ref="E379" ca="1">IF($B379="N","",SUM(IF((INDIRECT("'"&amp;$B379&amp;"'!I23:I200")=$A$2)*(INDIRECT("'"&amp;$B379&amp;"'!O23:O200")=$D379)*(INDIRECT("'"&amp;$B379&amp;"'!O23:O200")&lt;&gt;"")*(INDIRECT("'"&amp;$B379&amp;"'!H23:H200")=$E$5),1,0)))</f>
        <v>0</v>
      </c>
      <c r="F379" s="565">
        <f t="array" aca="1" ref="F379" ca="1">IF($B379="N","",SUM(IF((INDIRECT("'"&amp;$B379&amp;"'!I23:I200")=$A$2)*(INDIRECT("'"&amp;$B379&amp;"'!O23:O200")=$D379)*(INDIRECT("'"&amp;$B379&amp;"'!O23:O200")&lt;&gt;"")*(INDIRECT("'"&amp;$B379&amp;"'!H23:H200")=$E$5),INDIRECT("'"&amp;$B379&amp;"'!p23:p200"),0)))</f>
        <v>0</v>
      </c>
      <c r="G379" s="564">
        <f t="array" aca="1" ref="G379" ca="1">IF($B379="N","",SUM(IF((INDIRECT("'"&amp;$B379&amp;"'!I23:I200")=$A$2)*(INDIRECT("'"&amp;$B379&amp;"'!O23:O200")=$D379)*(INDIRECT("'"&amp;$B379&amp;"'!O23:O200")&lt;&gt;"")*(INDIRECT("'"&amp;$B379&amp;"'!H23:H200")=$G$5),1,0)))</f>
        <v>0</v>
      </c>
      <c r="H379" s="565">
        <f t="array" aca="1" ref="H379" ca="1">IF($B379="N","",SUM(IF((INDIRECT("'"&amp;$B379&amp;"'!I23:I200")=$A$2)*(INDIRECT("'"&amp;$B379&amp;"'!O23:O200")=$D379)*(INDIRECT("'"&amp;$B379&amp;"'!O23:O200")&lt;&gt;"")*(INDIRECT("'"&amp;$B379&amp;"'!H23:H200")=$G$5),INDIRECT("'"&amp;$B379&amp;"'!p23:p200"),0)))</f>
        <v>0</v>
      </c>
      <c r="I379" s="515">
        <f t="shared" ca="1" si="60"/>
        <v>0</v>
      </c>
      <c r="J379" s="513">
        <f t="shared" ca="1" si="61"/>
        <v>0</v>
      </c>
    </row>
    <row r="380" spans="1:10">
      <c r="B380" s="563" t="str">
        <f t="shared" si="62"/>
        <v>Montedio Yamagata</v>
      </c>
      <c r="D380" s="528">
        <v>2</v>
      </c>
      <c r="E380" s="564">
        <f t="array" aca="1" ref="E380" ca="1">IF($B380="N","",SUM(IF((INDIRECT("'"&amp;$B380&amp;"'!I23:I200")=$A$2)*(INDIRECT("'"&amp;$B380&amp;"'!O23:O200")=$D380)*(INDIRECT("'"&amp;$B380&amp;"'!O23:O200")&lt;&gt;"")*(INDIRECT("'"&amp;$B380&amp;"'!H23:H200")=$E$5),1,0)))</f>
        <v>0</v>
      </c>
      <c r="F380" s="565">
        <f t="array" aca="1" ref="F380" ca="1">IF($B380="N","",SUM(IF((INDIRECT("'"&amp;$B380&amp;"'!I23:I200")=$A$2)*(INDIRECT("'"&amp;$B380&amp;"'!O23:O200")=$D380)*(INDIRECT("'"&amp;$B380&amp;"'!O23:O200")&lt;&gt;"")*(INDIRECT("'"&amp;$B380&amp;"'!H23:H200")=$E$5),INDIRECT("'"&amp;$B380&amp;"'!p23:p200"),0)))</f>
        <v>0</v>
      </c>
      <c r="G380" s="564">
        <f t="array" aca="1" ref="G380" ca="1">IF($B380="N","",SUM(IF((INDIRECT("'"&amp;$B380&amp;"'!I23:I200")=$A$2)*(INDIRECT("'"&amp;$B380&amp;"'!O23:O200")=$D380)*(INDIRECT("'"&amp;$B380&amp;"'!O23:O200")&lt;&gt;"")*(INDIRECT("'"&amp;$B380&amp;"'!H23:H200")=$G$5),1,0)))</f>
        <v>0</v>
      </c>
      <c r="H380" s="565">
        <f t="array" aca="1" ref="H380" ca="1">IF($B380="N","",SUM(IF((INDIRECT("'"&amp;$B380&amp;"'!I23:I200")=$A$2)*(INDIRECT("'"&amp;$B380&amp;"'!O23:O200")=$D380)*(INDIRECT("'"&amp;$B380&amp;"'!O23:O200")&lt;&gt;"")*(INDIRECT("'"&amp;$B380&amp;"'!H23:H200")=$G$5),INDIRECT("'"&amp;$B380&amp;"'!p23:p200"),0)))</f>
        <v>0</v>
      </c>
      <c r="I380" s="515">
        <f t="shared" ca="1" si="60"/>
        <v>0</v>
      </c>
      <c r="J380" s="513">
        <f t="shared" ca="1" si="61"/>
        <v>0</v>
      </c>
    </row>
    <row r="381" spans="1:10">
      <c r="B381" s="563" t="str">
        <f t="shared" si="62"/>
        <v>Montedio Yamagata</v>
      </c>
      <c r="D381" s="528">
        <v>2.25</v>
      </c>
      <c r="E381" s="564">
        <f t="array" aca="1" ref="E381" ca="1">IF($B381="N","",SUM(IF((INDIRECT("'"&amp;$B381&amp;"'!I23:I200")=$A$2)*(INDIRECT("'"&amp;$B381&amp;"'!O23:O200")=$D381)*(INDIRECT("'"&amp;$B381&amp;"'!O23:O200")&lt;&gt;"")*(INDIRECT("'"&amp;$B381&amp;"'!H23:H200")=$E$5),1,0)))</f>
        <v>0</v>
      </c>
      <c r="F381" s="565">
        <f t="array" aca="1" ref="F381" ca="1">IF($B381="N","",SUM(IF((INDIRECT("'"&amp;$B381&amp;"'!I23:I200")=$A$2)*(INDIRECT("'"&amp;$B381&amp;"'!O23:O200")=$D381)*(INDIRECT("'"&amp;$B381&amp;"'!O23:O200")&lt;&gt;"")*(INDIRECT("'"&amp;$B381&amp;"'!H23:H200")=$E$5),INDIRECT("'"&amp;$B381&amp;"'!p23:p200"),0)))</f>
        <v>0</v>
      </c>
      <c r="G381" s="564">
        <f t="array" aca="1" ref="G381" ca="1">IF($B381="N","",SUM(IF((INDIRECT("'"&amp;$B381&amp;"'!I23:I200")=$A$2)*(INDIRECT("'"&amp;$B381&amp;"'!O23:O200")=$D381)*(INDIRECT("'"&amp;$B381&amp;"'!O23:O200")&lt;&gt;"")*(INDIRECT("'"&amp;$B381&amp;"'!H23:H200")=$G$5),1,0)))</f>
        <v>0</v>
      </c>
      <c r="H381" s="565">
        <f t="array" aca="1" ref="H381" ca="1">IF($B381="N","",SUM(IF((INDIRECT("'"&amp;$B381&amp;"'!I23:I200")=$A$2)*(INDIRECT("'"&amp;$B381&amp;"'!O23:O200")=$D381)*(INDIRECT("'"&amp;$B381&amp;"'!O23:O200")&lt;&gt;"")*(INDIRECT("'"&amp;$B381&amp;"'!H23:H200")=$G$5),INDIRECT("'"&amp;$B381&amp;"'!p23:p200"),0)))</f>
        <v>0</v>
      </c>
      <c r="I381" s="515">
        <f t="shared" ca="1" si="60"/>
        <v>0</v>
      </c>
      <c r="J381" s="513">
        <f t="shared" ca="1" si="61"/>
        <v>0</v>
      </c>
    </row>
    <row r="382" spans="1:10">
      <c r="B382" s="563" t="str">
        <f t="shared" si="62"/>
        <v>Montedio Yamagata</v>
      </c>
      <c r="D382" s="528">
        <v>2.5</v>
      </c>
      <c r="E382" s="564">
        <f t="array" aca="1" ref="E382" ca="1">IF($B382="N","",SUM(IF((INDIRECT("'"&amp;$B382&amp;"'!I23:I200")=$A$2)*(INDIRECT("'"&amp;$B382&amp;"'!O23:O200")=$D382)*(INDIRECT("'"&amp;$B382&amp;"'!O23:O200")&lt;&gt;"")*(INDIRECT("'"&amp;$B382&amp;"'!H23:H200")=$E$5),1,0)))</f>
        <v>0</v>
      </c>
      <c r="F382" s="565">
        <f t="array" aca="1" ref="F382" ca="1">IF($B382="N","",SUM(IF((INDIRECT("'"&amp;$B382&amp;"'!I23:I200")=$A$2)*(INDIRECT("'"&amp;$B382&amp;"'!O23:O200")=$D382)*(INDIRECT("'"&amp;$B382&amp;"'!O23:O200")&lt;&gt;"")*(INDIRECT("'"&amp;$B382&amp;"'!H23:H200")=$E$5),INDIRECT("'"&amp;$B382&amp;"'!p23:p200"),0)))</f>
        <v>0</v>
      </c>
      <c r="G382" s="564">
        <f t="array" aca="1" ref="G382" ca="1">IF($B382="N","",SUM(IF((INDIRECT("'"&amp;$B382&amp;"'!I23:I200")=$A$2)*(INDIRECT("'"&amp;$B382&amp;"'!O23:O200")=$D382)*(INDIRECT("'"&amp;$B382&amp;"'!O23:O200")&lt;&gt;"")*(INDIRECT("'"&amp;$B382&amp;"'!H23:H200")=$G$5),1,0)))</f>
        <v>0</v>
      </c>
      <c r="H382" s="565">
        <f t="array" aca="1" ref="H382" ca="1">IF($B382="N","",SUM(IF((INDIRECT("'"&amp;$B382&amp;"'!I23:I200")=$A$2)*(INDIRECT("'"&amp;$B382&amp;"'!O23:O200")=$D382)*(INDIRECT("'"&amp;$B382&amp;"'!O23:O200")&lt;&gt;"")*(INDIRECT("'"&amp;$B382&amp;"'!H23:H200")=$G$5),INDIRECT("'"&amp;$B382&amp;"'!p23:p200"),0)))</f>
        <v>0</v>
      </c>
      <c r="I382" s="515">
        <f t="shared" ca="1" si="60"/>
        <v>0</v>
      </c>
      <c r="J382" s="513">
        <f t="shared" ca="1" si="61"/>
        <v>0</v>
      </c>
    </row>
    <row r="383" spans="1:10" ht="15" thickBot="1">
      <c r="B383" s="563" t="str">
        <f t="shared" si="62"/>
        <v>Montedio Yamagata</v>
      </c>
      <c r="D383" s="511">
        <v>2.75</v>
      </c>
      <c r="E383" s="564">
        <f t="array" aca="1" ref="E383" ca="1">IF($B383="N","",SUM(IF((INDIRECT("'"&amp;$B383&amp;"'!I23:I200")=$A$2)*(INDIRECT("'"&amp;$B383&amp;"'!O23:O200")=$D383)*(INDIRECT("'"&amp;$B383&amp;"'!O23:O200")&lt;&gt;"")*(INDIRECT("'"&amp;$B383&amp;"'!H23:H200")=$E$5),1,0)))</f>
        <v>0</v>
      </c>
      <c r="F383" s="565">
        <f t="array" aca="1" ref="F383" ca="1">IF($B383="N","",SUM(IF((INDIRECT("'"&amp;$B383&amp;"'!I23:I200")=$A$2)*(INDIRECT("'"&amp;$B383&amp;"'!O23:O200")=$D383)*(INDIRECT("'"&amp;$B383&amp;"'!O23:O200")&lt;&gt;"")*(INDIRECT("'"&amp;$B383&amp;"'!H23:H200")=$E$5),INDIRECT("'"&amp;$B383&amp;"'!p23:p200"),0)))</f>
        <v>0</v>
      </c>
      <c r="G383" s="564">
        <f t="array" aca="1" ref="G383" ca="1">IF($B383="N","",SUM(IF((INDIRECT("'"&amp;$B383&amp;"'!I23:I200")=$A$2)*(INDIRECT("'"&amp;$B383&amp;"'!O23:O200")=$D383)*(INDIRECT("'"&amp;$B383&amp;"'!O23:O200")&lt;&gt;"")*(INDIRECT("'"&amp;$B383&amp;"'!H23:H200")=$G$5),1,0)))</f>
        <v>0</v>
      </c>
      <c r="H383" s="565">
        <f t="array" aca="1" ref="H383" ca="1">IF($B383="N","",SUM(IF((INDIRECT("'"&amp;$B383&amp;"'!I23:I200")=$A$2)*(INDIRECT("'"&amp;$B383&amp;"'!O23:O200")=$D383)*(INDIRECT("'"&amp;$B383&amp;"'!O23:O200")&lt;&gt;"")*(INDIRECT("'"&amp;$B383&amp;"'!H23:H200")=$G$5),INDIRECT("'"&amp;$B383&amp;"'!p23:p200"),0)))</f>
        <v>0</v>
      </c>
      <c r="I383" s="515">
        <f t="shared" ca="1" si="60"/>
        <v>0</v>
      </c>
      <c r="J383" s="513">
        <f t="shared" ca="1" si="61"/>
        <v>0</v>
      </c>
    </row>
    <row r="384" spans="1:10" ht="15" thickBot="1">
      <c r="A384" s="567"/>
      <c r="B384" s="568"/>
      <c r="C384" s="569" t="str">
        <f>D359</f>
        <v>Montedio Yamagata</v>
      </c>
      <c r="D384" s="570" t="s">
        <v>115</v>
      </c>
      <c r="E384" s="571">
        <f t="shared" ref="E384:J384" ca="1" si="63">SUM(E361:E383)</f>
        <v>21</v>
      </c>
      <c r="F384" s="572">
        <f t="shared" ca="1" si="63"/>
        <v>3</v>
      </c>
      <c r="G384" s="571">
        <f t="shared" ca="1" si="63"/>
        <v>21</v>
      </c>
      <c r="H384" s="572">
        <f t="shared" ca="1" si="63"/>
        <v>-1.5</v>
      </c>
      <c r="I384" s="573">
        <f t="shared" ca="1" si="63"/>
        <v>42</v>
      </c>
      <c r="J384" s="572">
        <f t="shared" ca="1" si="63"/>
        <v>1.5</v>
      </c>
    </row>
    <row r="385" spans="1:10" ht="15" thickBot="1">
      <c r="A385" s="567"/>
      <c r="C385" s="576"/>
    </row>
    <row r="386" spans="1:10">
      <c r="A386" s="567"/>
      <c r="B386" s="357"/>
      <c r="C386" s="569"/>
      <c r="D386" s="562" t="str">
        <f>E2</f>
        <v>Renofa Yamaguchi</v>
      </c>
      <c r="E386" s="490" t="s">
        <v>80</v>
      </c>
      <c r="F386" s="491"/>
      <c r="G386" s="490" t="s">
        <v>81</v>
      </c>
      <c r="H386" s="491"/>
      <c r="I386" s="490" t="s">
        <v>82</v>
      </c>
      <c r="J386" s="492"/>
    </row>
    <row r="387" spans="1:10" ht="15" thickBot="1">
      <c r="B387" s="357"/>
      <c r="C387" s="357"/>
      <c r="D387" s="499" t="s">
        <v>120</v>
      </c>
      <c r="E387" s="497" t="s">
        <v>123</v>
      </c>
      <c r="F387" s="552" t="s">
        <v>124</v>
      </c>
      <c r="G387" s="497" t="s">
        <v>123</v>
      </c>
      <c r="H387" s="552" t="s">
        <v>124</v>
      </c>
      <c r="I387" s="501" t="s">
        <v>123</v>
      </c>
      <c r="J387" s="552" t="s">
        <v>124</v>
      </c>
    </row>
    <row r="388" spans="1:10">
      <c r="B388" s="563" t="str">
        <f>IF(D386=0,"N",D386)</f>
        <v>Renofa Yamaguchi</v>
      </c>
      <c r="D388" s="511">
        <v>-2.75</v>
      </c>
      <c r="E388" s="564">
        <f t="array" aca="1" ref="E388" ca="1">IF($B388="N","",SUM(IF((INDIRECT("'"&amp;$B388&amp;"'!I23:I200")=$A$2)*(INDIRECT("'"&amp;$B388&amp;"'!O23:O200")=$D388)*(INDIRECT("'"&amp;$B388&amp;"'!O23:O200")&lt;&gt;"")*(INDIRECT("'"&amp;$B388&amp;"'!H23:H200")=$E$5),1,0)))</f>
        <v>0</v>
      </c>
      <c r="F388" s="565">
        <f t="array" aca="1" ref="F388" ca="1">IF($B388="N","",SUM(IF((INDIRECT("'"&amp;$B388&amp;"'!I23:I200")=$A$2)*(INDIRECT("'"&amp;$B388&amp;"'!O23:O200")=$D388)*(INDIRECT("'"&amp;$B388&amp;"'!O23:O200")&lt;&gt;"")*(INDIRECT("'"&amp;$B388&amp;"'!H23:H200")=$E$5),INDIRECT("'"&amp;$B388&amp;"'!p23:p200"),0)))</f>
        <v>0</v>
      </c>
      <c r="G388" s="564">
        <f t="array" aca="1" ref="G388" ca="1">IF($B388="N","",SUM(IF((INDIRECT("'"&amp;$B388&amp;"'!I23:I200")=$A$2)*(INDIRECT("'"&amp;$B388&amp;"'!O23:O200")=$D388)*(INDIRECT("'"&amp;$B388&amp;"'!O23:O200")&lt;&gt;"")*(INDIRECT("'"&amp;$B388&amp;"'!H23:H200")=$G$5),1,0)))</f>
        <v>0</v>
      </c>
      <c r="H388" s="565">
        <f t="array" aca="1" ref="H388" ca="1">IF($B388="N","",SUM(IF((INDIRECT("'"&amp;$B388&amp;"'!I23:I200")=$A$2)*(INDIRECT("'"&amp;$B388&amp;"'!O23:O200")=$D388)*(INDIRECT("'"&amp;$B388&amp;"'!O23:O200")&lt;&gt;"")*(INDIRECT("'"&amp;$B388&amp;"'!H23:H200")=$G$5),INDIRECT("'"&amp;$B388&amp;"'!p23:p200"),0)))</f>
        <v>0</v>
      </c>
      <c r="I388" s="515">
        <f t="shared" ref="I388:I410" ca="1" si="64">IF(B388="N","",G388+E388)</f>
        <v>0</v>
      </c>
      <c r="J388" s="513">
        <f t="shared" ref="J388:J410" ca="1" si="65">IF(I388="","",F388+H388)</f>
        <v>0</v>
      </c>
    </row>
    <row r="389" spans="1:10">
      <c r="B389" s="563" t="str">
        <f>B388</f>
        <v>Renofa Yamaguchi</v>
      </c>
      <c r="D389" s="520">
        <v>-2.5</v>
      </c>
      <c r="E389" s="564">
        <f t="array" aca="1" ref="E389" ca="1">IF($B389="N","",SUM(IF((INDIRECT("'"&amp;$B389&amp;"'!I23:I200")=$A$2)*(INDIRECT("'"&amp;$B389&amp;"'!O23:O200")=$D389)*(INDIRECT("'"&amp;$B389&amp;"'!O23:O200")&lt;&gt;"")*(INDIRECT("'"&amp;$B389&amp;"'!H23:H200")=$E$5),1,0)))</f>
        <v>0</v>
      </c>
      <c r="F389" s="565">
        <f t="array" aca="1" ref="F389" ca="1">IF($B389="N","",SUM(IF((INDIRECT("'"&amp;$B389&amp;"'!I23:I200")=$A$2)*(INDIRECT("'"&amp;$B389&amp;"'!O23:O200")=$D389)*(INDIRECT("'"&amp;$B389&amp;"'!O23:O200")&lt;&gt;"")*(INDIRECT("'"&amp;$B389&amp;"'!H23:H200")=$E$5),INDIRECT("'"&amp;$B389&amp;"'!p23:p200"),0)))</f>
        <v>0</v>
      </c>
      <c r="G389" s="564">
        <f t="array" aca="1" ref="G389" ca="1">IF($B389="N","",SUM(IF((INDIRECT("'"&amp;$B389&amp;"'!I23:I200")=$A$2)*(INDIRECT("'"&amp;$B389&amp;"'!O23:O200")=$D389)*(INDIRECT("'"&amp;$B389&amp;"'!O23:O200")&lt;&gt;"")*(INDIRECT("'"&amp;$B389&amp;"'!H23:H200")=$G$5),1,0)))</f>
        <v>0</v>
      </c>
      <c r="H389" s="565">
        <f t="array" aca="1" ref="H389" ca="1">IF($B389="N","",SUM(IF((INDIRECT("'"&amp;$B389&amp;"'!I23:I200")=$A$2)*(INDIRECT("'"&amp;$B389&amp;"'!O23:O200")=$D389)*(INDIRECT("'"&amp;$B389&amp;"'!O23:O200")&lt;&gt;"")*(INDIRECT("'"&amp;$B389&amp;"'!H23:H200")=$G$5),INDIRECT("'"&amp;$B389&amp;"'!p23:p200"),0)))</f>
        <v>0</v>
      </c>
      <c r="I389" s="515">
        <f t="shared" ca="1" si="64"/>
        <v>0</v>
      </c>
      <c r="J389" s="513">
        <f t="shared" ca="1" si="65"/>
        <v>0</v>
      </c>
    </row>
    <row r="390" spans="1:10">
      <c r="B390" s="563" t="str">
        <f t="shared" ref="B390:B410" si="66">B389</f>
        <v>Renofa Yamaguchi</v>
      </c>
      <c r="D390" s="520">
        <v>-2.25</v>
      </c>
      <c r="E390" s="564">
        <f t="array" aca="1" ref="E390" ca="1">IF($B390="N","",SUM(IF((INDIRECT("'"&amp;$B390&amp;"'!I23:I200")=$A$2)*(INDIRECT("'"&amp;$B390&amp;"'!O23:O200")=$D390)*(INDIRECT("'"&amp;$B390&amp;"'!O23:O200")&lt;&gt;"")*(INDIRECT("'"&amp;$B390&amp;"'!H23:H200")=$E$5),1,0)))</f>
        <v>0</v>
      </c>
      <c r="F390" s="565">
        <f t="array" aca="1" ref="F390" ca="1">IF($B390="N","",SUM(IF((INDIRECT("'"&amp;$B390&amp;"'!I23:I200")=$A$2)*(INDIRECT("'"&amp;$B390&amp;"'!O23:O200")=$D390)*(INDIRECT("'"&amp;$B390&amp;"'!O23:O200")&lt;&gt;"")*(INDIRECT("'"&amp;$B390&amp;"'!H23:H200")=$E$5),INDIRECT("'"&amp;$B390&amp;"'!p23:p200"),0)))</f>
        <v>0</v>
      </c>
      <c r="G390" s="564">
        <f t="array" aca="1" ref="G390" ca="1">IF($B390="N","",SUM(IF((INDIRECT("'"&amp;$B390&amp;"'!I23:I200")=$A$2)*(INDIRECT("'"&amp;$B390&amp;"'!O23:O200")=$D390)*(INDIRECT("'"&amp;$B390&amp;"'!O23:O200")&lt;&gt;"")*(INDIRECT("'"&amp;$B390&amp;"'!H23:H200")=$G$5),1,0)))</f>
        <v>0</v>
      </c>
      <c r="H390" s="565">
        <f t="array" aca="1" ref="H390" ca="1">IF($B390="N","",SUM(IF((INDIRECT("'"&amp;$B390&amp;"'!I23:I200")=$A$2)*(INDIRECT("'"&amp;$B390&amp;"'!O23:O200")=$D390)*(INDIRECT("'"&amp;$B390&amp;"'!O23:O200")&lt;&gt;"")*(INDIRECT("'"&amp;$B390&amp;"'!H23:H200")=$G$5),INDIRECT("'"&amp;$B390&amp;"'!p23:p200"),0)))</f>
        <v>0</v>
      </c>
      <c r="I390" s="515">
        <f t="shared" ca="1" si="64"/>
        <v>0</v>
      </c>
      <c r="J390" s="513">
        <f t="shared" ca="1" si="65"/>
        <v>0</v>
      </c>
    </row>
    <row r="391" spans="1:10">
      <c r="B391" s="563" t="str">
        <f t="shared" si="66"/>
        <v>Renofa Yamaguchi</v>
      </c>
      <c r="D391" s="520">
        <v>-2</v>
      </c>
      <c r="E391" s="564">
        <f t="array" aca="1" ref="E391" ca="1">IF($B391="N","",SUM(IF((INDIRECT("'"&amp;$B391&amp;"'!I23:I200")=$A$2)*(INDIRECT("'"&amp;$B391&amp;"'!O23:O200")=$D391)*(INDIRECT("'"&amp;$B391&amp;"'!O23:O200")&lt;&gt;"")*(INDIRECT("'"&amp;$B391&amp;"'!H23:H200")=$E$5),1,0)))</f>
        <v>0</v>
      </c>
      <c r="F391" s="565">
        <f t="array" aca="1" ref="F391" ca="1">IF($B391="N","",SUM(IF((INDIRECT("'"&amp;$B391&amp;"'!I23:I200")=$A$2)*(INDIRECT("'"&amp;$B391&amp;"'!O23:O200")=$D391)*(INDIRECT("'"&amp;$B391&amp;"'!O23:O200")&lt;&gt;"")*(INDIRECT("'"&amp;$B391&amp;"'!H23:H200")=$E$5),INDIRECT("'"&amp;$B391&amp;"'!p23:p200"),0)))</f>
        <v>0</v>
      </c>
      <c r="G391" s="564">
        <f t="array" aca="1" ref="G391" ca="1">IF($B391="N","",SUM(IF((INDIRECT("'"&amp;$B391&amp;"'!I23:I200")=$A$2)*(INDIRECT("'"&amp;$B391&amp;"'!O23:O200")=$D391)*(INDIRECT("'"&amp;$B391&amp;"'!O23:O200")&lt;&gt;"")*(INDIRECT("'"&amp;$B391&amp;"'!H23:H200")=$G$5),1,0)))</f>
        <v>0</v>
      </c>
      <c r="H391" s="565">
        <f t="array" aca="1" ref="H391" ca="1">IF($B391="N","",SUM(IF((INDIRECT("'"&amp;$B391&amp;"'!I23:I200")=$A$2)*(INDIRECT("'"&amp;$B391&amp;"'!O23:O200")=$D391)*(INDIRECT("'"&amp;$B391&amp;"'!O23:O200")&lt;&gt;"")*(INDIRECT("'"&amp;$B391&amp;"'!H23:H200")=$G$5),INDIRECT("'"&amp;$B391&amp;"'!p23:p200"),0)))</f>
        <v>0</v>
      </c>
      <c r="I391" s="515">
        <f t="shared" ca="1" si="64"/>
        <v>0</v>
      </c>
      <c r="J391" s="513">
        <f t="shared" ca="1" si="65"/>
        <v>0</v>
      </c>
    </row>
    <row r="392" spans="1:10">
      <c r="B392" s="563" t="str">
        <f t="shared" si="66"/>
        <v>Renofa Yamaguchi</v>
      </c>
      <c r="D392" s="520">
        <v>-1.75</v>
      </c>
      <c r="E392" s="564">
        <f t="array" aca="1" ref="E392" ca="1">IF($B392="N","",SUM(IF((INDIRECT("'"&amp;$B392&amp;"'!I23:I200")=$A$2)*(INDIRECT("'"&amp;$B392&amp;"'!O23:O200")=$D392)*(INDIRECT("'"&amp;$B392&amp;"'!O23:O200")&lt;&gt;"")*(INDIRECT("'"&amp;$B392&amp;"'!H23:H200")=$E$5),1,0)))</f>
        <v>0</v>
      </c>
      <c r="F392" s="565">
        <f t="array" aca="1" ref="F392" ca="1">IF($B392="N","",SUM(IF((INDIRECT("'"&amp;$B392&amp;"'!I23:I200")=$A$2)*(INDIRECT("'"&amp;$B392&amp;"'!O23:O200")=$D392)*(INDIRECT("'"&amp;$B392&amp;"'!O23:O200")&lt;&gt;"")*(INDIRECT("'"&amp;$B392&amp;"'!H23:H200")=$E$5),INDIRECT("'"&amp;$B392&amp;"'!p23:p200"),0)))</f>
        <v>0</v>
      </c>
      <c r="G392" s="564">
        <f t="array" aca="1" ref="G392" ca="1">IF($B392="N","",SUM(IF((INDIRECT("'"&amp;$B392&amp;"'!I23:I200")=$A$2)*(INDIRECT("'"&amp;$B392&amp;"'!O23:O200")=$D392)*(INDIRECT("'"&amp;$B392&amp;"'!O23:O200")&lt;&gt;"")*(INDIRECT("'"&amp;$B392&amp;"'!H23:H200")=$G$5),1,0)))</f>
        <v>0</v>
      </c>
      <c r="H392" s="565">
        <f t="array" aca="1" ref="H392" ca="1">IF($B392="N","",SUM(IF((INDIRECT("'"&amp;$B392&amp;"'!I23:I200")=$A$2)*(INDIRECT("'"&amp;$B392&amp;"'!O23:O200")=$D392)*(INDIRECT("'"&amp;$B392&amp;"'!O23:O200")&lt;&gt;"")*(INDIRECT("'"&amp;$B392&amp;"'!H23:H200")=$G$5),INDIRECT("'"&amp;$B392&amp;"'!p23:p200"),0)))</f>
        <v>0</v>
      </c>
      <c r="I392" s="515">
        <f t="shared" ca="1" si="64"/>
        <v>0</v>
      </c>
      <c r="J392" s="513">
        <f t="shared" ca="1" si="65"/>
        <v>0</v>
      </c>
    </row>
    <row r="393" spans="1:10">
      <c r="B393" s="563" t="str">
        <f t="shared" si="66"/>
        <v>Renofa Yamaguchi</v>
      </c>
      <c r="D393" s="511">
        <v>-1.5</v>
      </c>
      <c r="E393" s="564">
        <f t="array" aca="1" ref="E393" ca="1">IF($B393="N","",SUM(IF((INDIRECT("'"&amp;$B393&amp;"'!I23:I200")=$A$2)*(INDIRECT("'"&amp;$B393&amp;"'!O23:O200")=$D393)*(INDIRECT("'"&amp;$B393&amp;"'!O23:O200")&lt;&gt;"")*(INDIRECT("'"&amp;$B393&amp;"'!H23:H200")=$E$5),1,0)))</f>
        <v>0</v>
      </c>
      <c r="F393" s="565">
        <f t="array" aca="1" ref="F393" ca="1">IF($B393="N","",SUM(IF((INDIRECT("'"&amp;$B393&amp;"'!I23:I200")=$A$2)*(INDIRECT("'"&amp;$B393&amp;"'!O23:O200")=$D393)*(INDIRECT("'"&amp;$B393&amp;"'!O23:O200")&lt;&gt;"")*(INDIRECT("'"&amp;$B393&amp;"'!H23:H200")=$E$5),INDIRECT("'"&amp;$B393&amp;"'!p23:p200"),0)))</f>
        <v>0</v>
      </c>
      <c r="G393" s="564">
        <f t="array" aca="1" ref="G393" ca="1">IF($B393="N","",SUM(IF((INDIRECT("'"&amp;$B393&amp;"'!I23:I200")=$A$2)*(INDIRECT("'"&amp;$B393&amp;"'!O23:O200")=$D393)*(INDIRECT("'"&amp;$B393&amp;"'!O23:O200")&lt;&gt;"")*(INDIRECT("'"&amp;$B393&amp;"'!H23:H200")=$G$5),1,0)))</f>
        <v>0</v>
      </c>
      <c r="H393" s="565">
        <f t="array" aca="1" ref="H393" ca="1">IF($B393="N","",SUM(IF((INDIRECT("'"&amp;$B393&amp;"'!I23:I200")=$A$2)*(INDIRECT("'"&amp;$B393&amp;"'!O23:O200")=$D393)*(INDIRECT("'"&amp;$B393&amp;"'!O23:O200")&lt;&gt;"")*(INDIRECT("'"&amp;$B393&amp;"'!H23:H200")=$G$5),INDIRECT("'"&amp;$B393&amp;"'!p23:p200"),0)))</f>
        <v>0</v>
      </c>
      <c r="I393" s="515">
        <f t="shared" ca="1" si="64"/>
        <v>0</v>
      </c>
      <c r="J393" s="513">
        <f t="shared" ca="1" si="65"/>
        <v>0</v>
      </c>
    </row>
    <row r="394" spans="1:10">
      <c r="B394" s="563" t="str">
        <f t="shared" si="66"/>
        <v>Renofa Yamaguchi</v>
      </c>
      <c r="D394" s="511">
        <v>-1.25</v>
      </c>
      <c r="E394" s="564">
        <f t="array" aca="1" ref="E394" ca="1">IF($B394="N","",SUM(IF((INDIRECT("'"&amp;$B394&amp;"'!I23:I200")=$A$2)*(INDIRECT("'"&amp;$B394&amp;"'!O23:O200")=$D394)*(INDIRECT("'"&amp;$B394&amp;"'!O23:O200")&lt;&gt;"")*(INDIRECT("'"&amp;$B394&amp;"'!H23:H200")=$E$5),1,0)))</f>
        <v>0</v>
      </c>
      <c r="F394" s="565">
        <f t="array" aca="1" ref="F394" ca="1">IF($B394="N","",SUM(IF((INDIRECT("'"&amp;$B394&amp;"'!I23:I200")=$A$2)*(INDIRECT("'"&amp;$B394&amp;"'!O23:O200")=$D394)*(INDIRECT("'"&amp;$B394&amp;"'!O23:O200")&lt;&gt;"")*(INDIRECT("'"&amp;$B394&amp;"'!H23:H200")=$E$5),INDIRECT("'"&amp;$B394&amp;"'!p23:p200"),0)))</f>
        <v>0</v>
      </c>
      <c r="G394" s="564">
        <f t="array" aca="1" ref="G394" ca="1">IF($B394="N","",SUM(IF((INDIRECT("'"&amp;$B394&amp;"'!I23:I200")=$A$2)*(INDIRECT("'"&amp;$B394&amp;"'!O23:O200")=$D394)*(INDIRECT("'"&amp;$B394&amp;"'!O23:O200")&lt;&gt;"")*(INDIRECT("'"&amp;$B394&amp;"'!H23:H200")=$G$5),1,0)))</f>
        <v>0</v>
      </c>
      <c r="H394" s="565">
        <f t="array" aca="1" ref="H394" ca="1">IF($B394="N","",SUM(IF((INDIRECT("'"&amp;$B394&amp;"'!I23:I200")=$A$2)*(INDIRECT("'"&amp;$B394&amp;"'!O23:O200")=$D394)*(INDIRECT("'"&amp;$B394&amp;"'!O23:O200")&lt;&gt;"")*(INDIRECT("'"&amp;$B394&amp;"'!H23:H200")=$G$5),INDIRECT("'"&amp;$B394&amp;"'!p23:p200"),0)))</f>
        <v>0</v>
      </c>
      <c r="I394" s="515">
        <f t="shared" ca="1" si="64"/>
        <v>0</v>
      </c>
      <c r="J394" s="513">
        <f t="shared" ca="1" si="65"/>
        <v>0</v>
      </c>
    </row>
    <row r="395" spans="1:10">
      <c r="B395" s="563" t="str">
        <f t="shared" si="66"/>
        <v>Renofa Yamaguchi</v>
      </c>
      <c r="D395" s="511">
        <v>-1</v>
      </c>
      <c r="E395" s="564">
        <f t="array" aca="1" ref="E395" ca="1">IF($B395="N","",SUM(IF((INDIRECT("'"&amp;$B395&amp;"'!I23:I200")=$A$2)*(INDIRECT("'"&amp;$B395&amp;"'!O23:O200")=$D395)*(INDIRECT("'"&amp;$B395&amp;"'!O23:O200")&lt;&gt;"")*(INDIRECT("'"&amp;$B395&amp;"'!H23:H200")=$E$5),1,0)))</f>
        <v>0</v>
      </c>
      <c r="F395" s="565">
        <f t="array" aca="1" ref="F395" ca="1">IF($B395="N","",SUM(IF((INDIRECT("'"&amp;$B395&amp;"'!I23:I200")=$A$2)*(INDIRECT("'"&amp;$B395&amp;"'!O23:O200")=$D395)*(INDIRECT("'"&amp;$B395&amp;"'!O23:O200")&lt;&gt;"")*(INDIRECT("'"&amp;$B395&amp;"'!H23:H200")=$E$5),INDIRECT("'"&amp;$B395&amp;"'!p23:p200"),0)))</f>
        <v>0</v>
      </c>
      <c r="G395" s="564">
        <f t="array" aca="1" ref="G395" ca="1">IF($B395="N","",SUM(IF((INDIRECT("'"&amp;$B395&amp;"'!I23:I200")=$A$2)*(INDIRECT("'"&amp;$B395&amp;"'!O23:O200")=$D395)*(INDIRECT("'"&amp;$B395&amp;"'!O23:O200")&lt;&gt;"")*(INDIRECT("'"&amp;$B395&amp;"'!H23:H200")=$G$5),1,0)))</f>
        <v>0</v>
      </c>
      <c r="H395" s="565">
        <f t="array" aca="1" ref="H395" ca="1">IF($B395="N","",SUM(IF((INDIRECT("'"&amp;$B395&amp;"'!I23:I200")=$A$2)*(INDIRECT("'"&amp;$B395&amp;"'!O23:O200")=$D395)*(INDIRECT("'"&amp;$B395&amp;"'!O23:O200")&lt;&gt;"")*(INDIRECT("'"&amp;$B395&amp;"'!H23:H200")=$G$5),INDIRECT("'"&amp;$B395&amp;"'!p23:p200"),0)))</f>
        <v>0</v>
      </c>
      <c r="I395" s="515">
        <f t="shared" ca="1" si="64"/>
        <v>0</v>
      </c>
      <c r="J395" s="513">
        <f t="shared" ca="1" si="65"/>
        <v>0</v>
      </c>
    </row>
    <row r="396" spans="1:10">
      <c r="B396" s="563" t="str">
        <f t="shared" si="66"/>
        <v>Renofa Yamaguchi</v>
      </c>
      <c r="D396" s="511">
        <v>-0.75</v>
      </c>
      <c r="E396" s="564">
        <f t="array" aca="1" ref="E396" ca="1">IF($B396="N","",SUM(IF((INDIRECT("'"&amp;$B396&amp;"'!I23:I200")=$A$2)*(INDIRECT("'"&amp;$B396&amp;"'!O23:O200")=$D396)*(INDIRECT("'"&amp;$B396&amp;"'!O23:O200")&lt;&gt;"")*(INDIRECT("'"&amp;$B396&amp;"'!H23:H200")=$E$5),1,0)))</f>
        <v>0</v>
      </c>
      <c r="F396" s="565">
        <f t="array" aca="1" ref="F396" ca="1">IF($B396="N","",SUM(IF((INDIRECT("'"&amp;$B396&amp;"'!I23:I200")=$A$2)*(INDIRECT("'"&amp;$B396&amp;"'!O23:O200")=$D396)*(INDIRECT("'"&amp;$B396&amp;"'!O23:O200")&lt;&gt;"")*(INDIRECT("'"&amp;$B396&amp;"'!H23:H200")=$E$5),INDIRECT("'"&amp;$B396&amp;"'!p23:p200"),0)))</f>
        <v>0</v>
      </c>
      <c r="G396" s="564">
        <f t="array" aca="1" ref="G396" ca="1">IF($B396="N","",SUM(IF((INDIRECT("'"&amp;$B396&amp;"'!I23:I200")=$A$2)*(INDIRECT("'"&amp;$B396&amp;"'!O23:O200")=$D396)*(INDIRECT("'"&amp;$B396&amp;"'!O23:O200")&lt;&gt;"")*(INDIRECT("'"&amp;$B396&amp;"'!H23:H200")=$G$5),1,0)))</f>
        <v>0</v>
      </c>
      <c r="H396" s="565">
        <f t="array" aca="1" ref="H396" ca="1">IF($B396="N","",SUM(IF((INDIRECT("'"&amp;$B396&amp;"'!I23:I200")=$A$2)*(INDIRECT("'"&amp;$B396&amp;"'!O23:O200")=$D396)*(INDIRECT("'"&amp;$B396&amp;"'!O23:O200")&lt;&gt;"")*(INDIRECT("'"&amp;$B396&amp;"'!H23:H200")=$G$5),INDIRECT("'"&amp;$B396&amp;"'!p23:p200"),0)))</f>
        <v>0</v>
      </c>
      <c r="I396" s="515">
        <f t="shared" ca="1" si="64"/>
        <v>0</v>
      </c>
      <c r="J396" s="513">
        <f t="shared" ca="1" si="65"/>
        <v>0</v>
      </c>
    </row>
    <row r="397" spans="1:10">
      <c r="B397" s="563" t="str">
        <f t="shared" si="66"/>
        <v>Renofa Yamaguchi</v>
      </c>
      <c r="D397" s="511">
        <v>-0.5</v>
      </c>
      <c r="E397" s="564">
        <f t="array" aca="1" ref="E397" ca="1">IF($B397="N","",SUM(IF((INDIRECT("'"&amp;$B397&amp;"'!I23:I200")=$A$2)*(INDIRECT("'"&amp;$B397&amp;"'!O23:O200")=$D397)*(INDIRECT("'"&amp;$B397&amp;"'!O23:O200")&lt;&gt;"")*(INDIRECT("'"&amp;$B397&amp;"'!H23:H200")=$E$5),1,0)))</f>
        <v>2</v>
      </c>
      <c r="F397" s="565">
        <f t="array" aca="1" ref="F397" ca="1">IF($B397="N","",SUM(IF((INDIRECT("'"&amp;$B397&amp;"'!I23:I200")=$A$2)*(INDIRECT("'"&amp;$B397&amp;"'!O23:O200")=$D397)*(INDIRECT("'"&amp;$B397&amp;"'!O23:O200")&lt;&gt;"")*(INDIRECT("'"&amp;$B397&amp;"'!H23:H200")=$E$5),INDIRECT("'"&amp;$B397&amp;"'!p23:p200"),0)))</f>
        <v>0</v>
      </c>
      <c r="G397" s="564">
        <f t="array" aca="1" ref="G397" ca="1">IF($B397="N","",SUM(IF((INDIRECT("'"&amp;$B397&amp;"'!I23:I200")=$A$2)*(INDIRECT("'"&amp;$B397&amp;"'!O23:O200")=$D397)*(INDIRECT("'"&amp;$B397&amp;"'!O23:O200")&lt;&gt;"")*(INDIRECT("'"&amp;$B397&amp;"'!H23:H200")=$G$5),1,0)))</f>
        <v>0</v>
      </c>
      <c r="H397" s="565">
        <f t="array" aca="1" ref="H397" ca="1">IF($B397="N","",SUM(IF((INDIRECT("'"&amp;$B397&amp;"'!I23:I200")=$A$2)*(INDIRECT("'"&amp;$B397&amp;"'!O23:O200")=$D397)*(INDIRECT("'"&amp;$B397&amp;"'!O23:O200")&lt;&gt;"")*(INDIRECT("'"&amp;$B397&amp;"'!H23:H200")=$G$5),INDIRECT("'"&amp;$B397&amp;"'!p23:p200"),0)))</f>
        <v>0</v>
      </c>
      <c r="I397" s="515">
        <f t="shared" ca="1" si="64"/>
        <v>2</v>
      </c>
      <c r="J397" s="513">
        <f t="shared" ca="1" si="65"/>
        <v>0</v>
      </c>
    </row>
    <row r="398" spans="1:10">
      <c r="B398" s="563" t="str">
        <f t="shared" si="66"/>
        <v>Renofa Yamaguchi</v>
      </c>
      <c r="D398" s="511">
        <v>-0.25</v>
      </c>
      <c r="E398" s="564">
        <f t="array" aca="1" ref="E398" ca="1">IF($B398="N","",SUM(IF((INDIRECT("'"&amp;$B398&amp;"'!I23:I200")=$A$2)*(INDIRECT("'"&amp;$B398&amp;"'!O23:O200")=$D398)*(INDIRECT("'"&amp;$B398&amp;"'!O23:O200")&lt;&gt;"")*(INDIRECT("'"&amp;$B398&amp;"'!H23:H200")=$E$5),1,0)))</f>
        <v>4</v>
      </c>
      <c r="F398" s="565">
        <f t="array" aca="1" ref="F398" ca="1">IF($B398="N","",SUM(IF((INDIRECT("'"&amp;$B398&amp;"'!I23:I200")=$A$2)*(INDIRECT("'"&amp;$B398&amp;"'!O23:O200")=$D398)*(INDIRECT("'"&amp;$B398&amp;"'!O23:O200")&lt;&gt;"")*(INDIRECT("'"&amp;$B398&amp;"'!H23:H200")=$E$5),INDIRECT("'"&amp;$B398&amp;"'!p23:p200"),0)))</f>
        <v>-1.5</v>
      </c>
      <c r="G398" s="564">
        <f t="array" aca="1" ref="G398" ca="1">IF($B398="N","",SUM(IF((INDIRECT("'"&amp;$B398&amp;"'!I23:I200")=$A$2)*(INDIRECT("'"&amp;$B398&amp;"'!O23:O200")=$D398)*(INDIRECT("'"&amp;$B398&amp;"'!O23:O200")&lt;&gt;"")*(INDIRECT("'"&amp;$B398&amp;"'!H23:H200")=$G$5),1,0)))</f>
        <v>3</v>
      </c>
      <c r="H398" s="565">
        <f t="array" aca="1" ref="H398" ca="1">IF($B398="N","",SUM(IF((INDIRECT("'"&amp;$B398&amp;"'!I23:I200")=$A$2)*(INDIRECT("'"&amp;$B398&amp;"'!O23:O200")=$D398)*(INDIRECT("'"&amp;$B398&amp;"'!O23:O200")&lt;&gt;"")*(INDIRECT("'"&amp;$B398&amp;"'!H23:H200")=$G$5),INDIRECT("'"&amp;$B398&amp;"'!p23:p200"),0)))</f>
        <v>1.5</v>
      </c>
      <c r="I398" s="515">
        <f t="shared" ca="1" si="64"/>
        <v>7</v>
      </c>
      <c r="J398" s="513">
        <f t="shared" ca="1" si="65"/>
        <v>0</v>
      </c>
    </row>
    <row r="399" spans="1:10">
      <c r="B399" s="563" t="str">
        <f t="shared" si="66"/>
        <v>Renofa Yamaguchi</v>
      </c>
      <c r="D399" s="511">
        <v>0</v>
      </c>
      <c r="E399" s="564">
        <f t="array" aca="1" ref="E399" ca="1">IF($B399="N","",SUM(IF((INDIRECT("'"&amp;$B399&amp;"'!I23:I200")=$A$2)*(INDIRECT("'"&amp;$B399&amp;"'!O23:O200")=$D399)*(INDIRECT("'"&amp;$B399&amp;"'!O23:O200")&lt;&gt;"")*(INDIRECT("'"&amp;$B399&amp;"'!H23:H200")=$E$5),1,0)))</f>
        <v>10</v>
      </c>
      <c r="F399" s="565">
        <f t="array" aca="1" ref="F399" ca="1">IF($B399="N","",SUM(IF((INDIRECT("'"&amp;$B399&amp;"'!I23:I200")=$A$2)*(INDIRECT("'"&amp;$B399&amp;"'!O23:O200")=$D399)*(INDIRECT("'"&amp;$B399&amp;"'!O23:O200")&lt;&gt;"")*(INDIRECT("'"&amp;$B399&amp;"'!H23:H200")=$E$5),INDIRECT("'"&amp;$B399&amp;"'!p23:p200"),0)))</f>
        <v>-5</v>
      </c>
      <c r="G399" s="564">
        <f t="array" aca="1" ref="G399" ca="1">IF($B399="N","",SUM(IF((INDIRECT("'"&amp;$B399&amp;"'!I23:I200")=$A$2)*(INDIRECT("'"&amp;$B399&amp;"'!O23:O200")=$D399)*(INDIRECT("'"&amp;$B399&amp;"'!O23:O200")&lt;&gt;"")*(INDIRECT("'"&amp;$B399&amp;"'!H23:H200")=$G$5),1,0)))</f>
        <v>3</v>
      </c>
      <c r="H399" s="565">
        <f t="array" aca="1" ref="H399" ca="1">IF($B399="N","",SUM(IF((INDIRECT("'"&amp;$B399&amp;"'!I23:I200")=$A$2)*(INDIRECT("'"&amp;$B399&amp;"'!O23:O200")=$D399)*(INDIRECT("'"&amp;$B399&amp;"'!O23:O200")&lt;&gt;"")*(INDIRECT("'"&amp;$B399&amp;"'!H23:H200")=$G$5),INDIRECT("'"&amp;$B399&amp;"'!p23:p200"),0)))</f>
        <v>-1</v>
      </c>
      <c r="I399" s="515">
        <f t="shared" ca="1" si="64"/>
        <v>13</v>
      </c>
      <c r="J399" s="513">
        <f t="shared" ca="1" si="65"/>
        <v>-6</v>
      </c>
    </row>
    <row r="400" spans="1:10">
      <c r="B400" s="563" t="str">
        <f t="shared" si="66"/>
        <v>Renofa Yamaguchi</v>
      </c>
      <c r="D400" s="511">
        <v>0.25</v>
      </c>
      <c r="E400" s="564">
        <f t="array" aca="1" ref="E400" ca="1">IF($B400="N","",SUM(IF((INDIRECT("'"&amp;$B400&amp;"'!I23:I200")=$A$2)*(INDIRECT("'"&amp;$B400&amp;"'!O23:O200")=$D400)*(INDIRECT("'"&amp;$B400&amp;"'!O23:O200")&lt;&gt;"")*(INDIRECT("'"&amp;$B400&amp;"'!H23:H200")=$E$5),1,0)))</f>
        <v>2</v>
      </c>
      <c r="F400" s="565">
        <f t="array" aca="1" ref="F400" ca="1">IF($B400="N","",SUM(IF((INDIRECT("'"&amp;$B400&amp;"'!I23:I200")=$A$2)*(INDIRECT("'"&amp;$B400&amp;"'!O23:O200")=$D400)*(INDIRECT("'"&amp;$B400&amp;"'!O23:O200")&lt;&gt;"")*(INDIRECT("'"&amp;$B400&amp;"'!H23:H200")=$E$5),INDIRECT("'"&amp;$B400&amp;"'!p23:p200"),0)))</f>
        <v>-0.5</v>
      </c>
      <c r="G400" s="564">
        <f t="array" aca="1" ref="G400" ca="1">IF($B400="N","",SUM(IF((INDIRECT("'"&amp;$B400&amp;"'!I23:I200")=$A$2)*(INDIRECT("'"&amp;$B400&amp;"'!O23:O200")=$D400)*(INDIRECT("'"&amp;$B400&amp;"'!O23:O200")&lt;&gt;"")*(INDIRECT("'"&amp;$B400&amp;"'!H23:H200")=$G$5),1,0)))</f>
        <v>7</v>
      </c>
      <c r="H400" s="565">
        <f t="array" aca="1" ref="H400" ca="1">IF($B400="N","",SUM(IF((INDIRECT("'"&amp;$B400&amp;"'!I23:I200")=$A$2)*(INDIRECT("'"&amp;$B400&amp;"'!O23:O200")=$D400)*(INDIRECT("'"&amp;$B400&amp;"'!O23:O200")&lt;&gt;"")*(INDIRECT("'"&amp;$B400&amp;"'!H23:H200")=$G$5),INDIRECT("'"&amp;$B400&amp;"'!p23:p200"),0)))</f>
        <v>-3.5</v>
      </c>
      <c r="I400" s="515">
        <f t="shared" ca="1" si="64"/>
        <v>9</v>
      </c>
      <c r="J400" s="513">
        <f t="shared" ca="1" si="65"/>
        <v>-4</v>
      </c>
    </row>
    <row r="401" spans="1:10">
      <c r="B401" s="563" t="str">
        <f t="shared" si="66"/>
        <v>Renofa Yamaguchi</v>
      </c>
      <c r="D401" s="511">
        <v>0.5</v>
      </c>
      <c r="E401" s="564">
        <f t="array" aca="1" ref="E401" ca="1">IF($B401="N","",SUM(IF((INDIRECT("'"&amp;$B401&amp;"'!I23:I200")=$A$2)*(INDIRECT("'"&amp;$B401&amp;"'!O23:O200")=$D401)*(INDIRECT("'"&amp;$B401&amp;"'!O23:O200")&lt;&gt;"")*(INDIRECT("'"&amp;$B401&amp;"'!H23:H200")=$E$5),1,0)))</f>
        <v>2</v>
      </c>
      <c r="F401" s="565">
        <f t="array" aca="1" ref="F401" ca="1">IF($B401="N","",SUM(IF((INDIRECT("'"&amp;$B401&amp;"'!I23:I200")=$A$2)*(INDIRECT("'"&amp;$B401&amp;"'!O23:O200")=$D401)*(INDIRECT("'"&amp;$B401&amp;"'!O23:O200")&lt;&gt;"")*(INDIRECT("'"&amp;$B401&amp;"'!H23:H200")=$E$5),INDIRECT("'"&amp;$B401&amp;"'!p23:p200"),0)))</f>
        <v>-2</v>
      </c>
      <c r="G401" s="564">
        <f t="array" aca="1" ref="G401" ca="1">IF($B401="N","",SUM(IF((INDIRECT("'"&amp;$B401&amp;"'!I23:I200")=$A$2)*(INDIRECT("'"&amp;$B401&amp;"'!O23:O200")=$D401)*(INDIRECT("'"&amp;$B401&amp;"'!O23:O200")&lt;&gt;"")*(INDIRECT("'"&amp;$B401&amp;"'!H23:H200")=$G$5),1,0)))</f>
        <v>2</v>
      </c>
      <c r="H401" s="565">
        <f t="array" aca="1" ref="H401" ca="1">IF($B401="N","",SUM(IF((INDIRECT("'"&amp;$B401&amp;"'!I23:I200")=$A$2)*(INDIRECT("'"&amp;$B401&amp;"'!O23:O200")=$D401)*(INDIRECT("'"&amp;$B401&amp;"'!O23:O200")&lt;&gt;"")*(INDIRECT("'"&amp;$B401&amp;"'!H23:H200")=$G$5),INDIRECT("'"&amp;$B401&amp;"'!p23:p200"),0)))</f>
        <v>0</v>
      </c>
      <c r="I401" s="515">
        <f t="shared" ca="1" si="64"/>
        <v>4</v>
      </c>
      <c r="J401" s="513">
        <f t="shared" ca="1" si="65"/>
        <v>-2</v>
      </c>
    </row>
    <row r="402" spans="1:10">
      <c r="B402" s="563" t="str">
        <f t="shared" si="66"/>
        <v>Renofa Yamaguchi</v>
      </c>
      <c r="D402" s="511">
        <v>0.75</v>
      </c>
      <c r="E402" s="564">
        <f t="array" aca="1" ref="E402" ca="1">IF($B402="N","",SUM(IF((INDIRECT("'"&amp;$B402&amp;"'!I23:I200")=$A$2)*(INDIRECT("'"&amp;$B402&amp;"'!O23:O200")=$D402)*(INDIRECT("'"&amp;$B402&amp;"'!O23:O200")&lt;&gt;"")*(INDIRECT("'"&amp;$B402&amp;"'!H23:H200")=$E$5),1,0)))</f>
        <v>1</v>
      </c>
      <c r="F402" s="565">
        <f t="array" aca="1" ref="F402" ca="1">IF($B402="N","",SUM(IF((INDIRECT("'"&amp;$B402&amp;"'!I23:I200")=$A$2)*(INDIRECT("'"&amp;$B402&amp;"'!O23:O200")=$D402)*(INDIRECT("'"&amp;$B402&amp;"'!O23:O200")&lt;&gt;"")*(INDIRECT("'"&amp;$B402&amp;"'!H23:H200")=$E$5),INDIRECT("'"&amp;$B402&amp;"'!p23:p200"),0)))</f>
        <v>-1</v>
      </c>
      <c r="G402" s="564">
        <f t="array" aca="1" ref="G402" ca="1">IF($B402="N","",SUM(IF((INDIRECT("'"&amp;$B402&amp;"'!I23:I200")=$A$2)*(INDIRECT("'"&amp;$B402&amp;"'!O23:O200")=$D402)*(INDIRECT("'"&amp;$B402&amp;"'!O23:O200")&lt;&gt;"")*(INDIRECT("'"&amp;$B402&amp;"'!H23:H200")=$G$5),1,0)))</f>
        <v>6</v>
      </c>
      <c r="H402" s="565">
        <f t="array" aca="1" ref="H402" ca="1">IF($B402="N","",SUM(IF((INDIRECT("'"&amp;$B402&amp;"'!I23:I200")=$A$2)*(INDIRECT("'"&amp;$B402&amp;"'!O23:O200")=$D402)*(INDIRECT("'"&amp;$B402&amp;"'!O23:O200")&lt;&gt;"")*(INDIRECT("'"&amp;$B402&amp;"'!H23:H200")=$G$5),INDIRECT("'"&amp;$B402&amp;"'!p23:p200"),0)))</f>
        <v>-0.5</v>
      </c>
      <c r="I402" s="515">
        <f t="shared" ca="1" si="64"/>
        <v>7</v>
      </c>
      <c r="J402" s="513">
        <f t="shared" ca="1" si="65"/>
        <v>-1.5</v>
      </c>
    </row>
    <row r="403" spans="1:10">
      <c r="B403" s="563" t="str">
        <f t="shared" si="66"/>
        <v>Renofa Yamaguchi</v>
      </c>
      <c r="D403" s="511">
        <v>1</v>
      </c>
      <c r="E403" s="564">
        <f t="array" aca="1" ref="E403" ca="1">IF($B403="N","",SUM(IF((INDIRECT("'"&amp;$B403&amp;"'!I23:I200")=$A$2)*(INDIRECT("'"&amp;$B403&amp;"'!O23:O200")=$D403)*(INDIRECT("'"&amp;$B403&amp;"'!O23:O200")&lt;&gt;"")*(INDIRECT("'"&amp;$B403&amp;"'!H23:H200")=$E$5),1,0)))</f>
        <v>0</v>
      </c>
      <c r="F403" s="565">
        <f t="array" aca="1" ref="F403" ca="1">IF($B403="N","",SUM(IF((INDIRECT("'"&amp;$B403&amp;"'!I23:I200")=$A$2)*(INDIRECT("'"&amp;$B403&amp;"'!O23:O200")=$D403)*(INDIRECT("'"&amp;$B403&amp;"'!O23:O200")&lt;&gt;"")*(INDIRECT("'"&amp;$B403&amp;"'!H23:H200")=$E$5),INDIRECT("'"&amp;$B403&amp;"'!p23:p200"),0)))</f>
        <v>0</v>
      </c>
      <c r="G403" s="564">
        <f t="array" aca="1" ref="G403" ca="1">IF($B403="N","",SUM(IF((INDIRECT("'"&amp;$B403&amp;"'!I23:I200")=$A$2)*(INDIRECT("'"&amp;$B403&amp;"'!O23:O200")=$D403)*(INDIRECT("'"&amp;$B403&amp;"'!O23:O200")&lt;&gt;"")*(INDIRECT("'"&amp;$B403&amp;"'!H23:H200")=$G$5),1,0)))</f>
        <v>0</v>
      </c>
      <c r="H403" s="565">
        <f t="array" aca="1" ref="H403" ca="1">IF($B403="N","",SUM(IF((INDIRECT("'"&amp;$B403&amp;"'!I23:I200")=$A$2)*(INDIRECT("'"&amp;$B403&amp;"'!O23:O200")=$D403)*(INDIRECT("'"&amp;$B403&amp;"'!O23:O200")&lt;&gt;"")*(INDIRECT("'"&amp;$B403&amp;"'!H23:H200")=$G$5),INDIRECT("'"&amp;$B403&amp;"'!p23:p200"),0)))</f>
        <v>0</v>
      </c>
      <c r="I403" s="515">
        <f t="shared" ca="1" si="64"/>
        <v>0</v>
      </c>
      <c r="J403" s="513">
        <f t="shared" ca="1" si="65"/>
        <v>0</v>
      </c>
    </row>
    <row r="404" spans="1:10">
      <c r="B404" s="563" t="str">
        <f t="shared" si="66"/>
        <v>Renofa Yamaguchi</v>
      </c>
      <c r="D404" s="511">
        <v>1.25</v>
      </c>
      <c r="E404" s="564">
        <f t="array" aca="1" ref="E404" ca="1">IF($B404="N","",SUM(IF((INDIRECT("'"&amp;$B404&amp;"'!I23:I200")=$A$2)*(INDIRECT("'"&amp;$B404&amp;"'!O23:O200")=$D404)*(INDIRECT("'"&amp;$B404&amp;"'!O23:O200")&lt;&gt;"")*(INDIRECT("'"&amp;$B404&amp;"'!H23:H200")=$E$5),1,0)))</f>
        <v>0</v>
      </c>
      <c r="F404" s="565">
        <f t="array" aca="1" ref="F404" ca="1">IF($B404="N","",SUM(IF((INDIRECT("'"&amp;$B404&amp;"'!I23:I200")=$A$2)*(INDIRECT("'"&amp;$B404&amp;"'!O23:O200")=$D404)*(INDIRECT("'"&amp;$B404&amp;"'!O23:O200")&lt;&gt;"")*(INDIRECT("'"&amp;$B404&amp;"'!H23:H200")=$E$5),INDIRECT("'"&amp;$B404&amp;"'!p23:p200"),0)))</f>
        <v>0</v>
      </c>
      <c r="G404" s="564">
        <f t="array" aca="1" ref="G404" ca="1">IF($B404="N","",SUM(IF((INDIRECT("'"&amp;$B404&amp;"'!I23:I200")=$A$2)*(INDIRECT("'"&amp;$B404&amp;"'!O23:O200")=$D404)*(INDIRECT("'"&amp;$B404&amp;"'!O23:O200")&lt;&gt;"")*(INDIRECT("'"&amp;$B404&amp;"'!H23:H200")=$G$5),1,0)))</f>
        <v>0</v>
      </c>
      <c r="H404" s="565">
        <f t="array" aca="1" ref="H404" ca="1">IF($B404="N","",SUM(IF((INDIRECT("'"&amp;$B404&amp;"'!I23:I200")=$A$2)*(INDIRECT("'"&amp;$B404&amp;"'!O23:O200")=$D404)*(INDIRECT("'"&amp;$B404&amp;"'!O23:O200")&lt;&gt;"")*(INDIRECT("'"&amp;$B404&amp;"'!H23:H200")=$G$5),INDIRECT("'"&amp;$B404&amp;"'!p23:p200"),0)))</f>
        <v>0</v>
      </c>
      <c r="I404" s="515">
        <f t="shared" ca="1" si="64"/>
        <v>0</v>
      </c>
      <c r="J404" s="513">
        <f t="shared" ca="1" si="65"/>
        <v>0</v>
      </c>
    </row>
    <row r="405" spans="1:10">
      <c r="B405" s="563" t="str">
        <f t="shared" si="66"/>
        <v>Renofa Yamaguchi</v>
      </c>
      <c r="D405" s="511">
        <v>1.5</v>
      </c>
      <c r="E405" s="564">
        <f t="array" aca="1" ref="E405" ca="1">IF($B405="N","",SUM(IF((INDIRECT("'"&amp;$B405&amp;"'!I23:I200")=$A$2)*(INDIRECT("'"&amp;$B405&amp;"'!O23:O200")=$D405)*(INDIRECT("'"&amp;$B405&amp;"'!O23:O200")&lt;&gt;"")*(INDIRECT("'"&amp;$B405&amp;"'!H23:H200")=$E$5),1,0)))</f>
        <v>0</v>
      </c>
      <c r="F405" s="565">
        <f t="array" aca="1" ref="F405" ca="1">IF($B405="N","",SUM(IF((INDIRECT("'"&amp;$B405&amp;"'!I23:I200")=$A$2)*(INDIRECT("'"&amp;$B405&amp;"'!O23:O200")=$D405)*(INDIRECT("'"&amp;$B405&amp;"'!O23:O200")&lt;&gt;"")*(INDIRECT("'"&amp;$B405&amp;"'!H23:H200")=$E$5),INDIRECT("'"&amp;$B405&amp;"'!p23:p200"),0)))</f>
        <v>0</v>
      </c>
      <c r="G405" s="564">
        <f t="array" aca="1" ref="G405" ca="1">IF($B405="N","",SUM(IF((INDIRECT("'"&amp;$B405&amp;"'!I23:I200")=$A$2)*(INDIRECT("'"&amp;$B405&amp;"'!O23:O200")=$D405)*(INDIRECT("'"&amp;$B405&amp;"'!O23:O200")&lt;&gt;"")*(INDIRECT("'"&amp;$B405&amp;"'!H23:H200")=$G$5),1,0)))</f>
        <v>0</v>
      </c>
      <c r="H405" s="565">
        <f t="array" aca="1" ref="H405" ca="1">IF($B405="N","",SUM(IF((INDIRECT("'"&amp;$B405&amp;"'!I23:I200")=$A$2)*(INDIRECT("'"&amp;$B405&amp;"'!O23:O200")=$D405)*(INDIRECT("'"&amp;$B405&amp;"'!O23:O200")&lt;&gt;"")*(INDIRECT("'"&amp;$B405&amp;"'!H23:H200")=$G$5),INDIRECT("'"&amp;$B405&amp;"'!p23:p200"),0)))</f>
        <v>0</v>
      </c>
      <c r="I405" s="515">
        <f t="shared" ca="1" si="64"/>
        <v>0</v>
      </c>
      <c r="J405" s="513">
        <f t="shared" ca="1" si="65"/>
        <v>0</v>
      </c>
    </row>
    <row r="406" spans="1:10">
      <c r="B406" s="563" t="str">
        <f t="shared" si="66"/>
        <v>Renofa Yamaguchi</v>
      </c>
      <c r="D406" s="528">
        <v>1.75</v>
      </c>
      <c r="E406" s="564">
        <f t="array" aca="1" ref="E406" ca="1">IF($B406="N","",SUM(IF((INDIRECT("'"&amp;$B406&amp;"'!I23:I200")=$A$2)*(INDIRECT("'"&amp;$B406&amp;"'!O23:O200")=$D406)*(INDIRECT("'"&amp;$B406&amp;"'!O23:O200")&lt;&gt;"")*(INDIRECT("'"&amp;$B406&amp;"'!H23:H200")=$E$5),1,0)))</f>
        <v>0</v>
      </c>
      <c r="F406" s="565">
        <f t="array" aca="1" ref="F406" ca="1">IF($B406="N","",SUM(IF((INDIRECT("'"&amp;$B406&amp;"'!I23:I200")=$A$2)*(INDIRECT("'"&amp;$B406&amp;"'!O23:O200")=$D406)*(INDIRECT("'"&amp;$B406&amp;"'!O23:O200")&lt;&gt;"")*(INDIRECT("'"&amp;$B406&amp;"'!H23:H200")=$E$5),INDIRECT("'"&amp;$B406&amp;"'!p23:p200"),0)))</f>
        <v>0</v>
      </c>
      <c r="G406" s="564">
        <f t="array" aca="1" ref="G406" ca="1">IF($B406="N","",SUM(IF((INDIRECT("'"&amp;$B406&amp;"'!I23:I200")=$A$2)*(INDIRECT("'"&amp;$B406&amp;"'!O23:O200")=$D406)*(INDIRECT("'"&amp;$B406&amp;"'!O23:O200")&lt;&gt;"")*(INDIRECT("'"&amp;$B406&amp;"'!H23:H200")=$G$5),1,0)))</f>
        <v>0</v>
      </c>
      <c r="H406" s="565">
        <f t="array" aca="1" ref="H406" ca="1">IF($B406="N","",SUM(IF((INDIRECT("'"&amp;$B406&amp;"'!I23:I200")=$A$2)*(INDIRECT("'"&amp;$B406&amp;"'!O23:O200")=$D406)*(INDIRECT("'"&amp;$B406&amp;"'!O23:O200")&lt;&gt;"")*(INDIRECT("'"&amp;$B406&amp;"'!H23:H200")=$G$5),INDIRECT("'"&amp;$B406&amp;"'!p23:p200"),0)))</f>
        <v>0</v>
      </c>
      <c r="I406" s="515">
        <f t="shared" ca="1" si="64"/>
        <v>0</v>
      </c>
      <c r="J406" s="513">
        <f t="shared" ca="1" si="65"/>
        <v>0</v>
      </c>
    </row>
    <row r="407" spans="1:10">
      <c r="B407" s="563" t="str">
        <f t="shared" si="66"/>
        <v>Renofa Yamaguchi</v>
      </c>
      <c r="D407" s="528">
        <v>2</v>
      </c>
      <c r="E407" s="564">
        <f t="array" aca="1" ref="E407" ca="1">IF($B407="N","",SUM(IF((INDIRECT("'"&amp;$B407&amp;"'!I23:I200")=$A$2)*(INDIRECT("'"&amp;$B407&amp;"'!O23:O200")=$D407)*(INDIRECT("'"&amp;$B407&amp;"'!O23:O200")&lt;&gt;"")*(INDIRECT("'"&amp;$B407&amp;"'!H23:H200")=$E$5),1,0)))</f>
        <v>0</v>
      </c>
      <c r="F407" s="565">
        <f t="array" aca="1" ref="F407" ca="1">IF($B407="N","",SUM(IF((INDIRECT("'"&amp;$B407&amp;"'!I23:I200")=$A$2)*(INDIRECT("'"&amp;$B407&amp;"'!O23:O200")=$D407)*(INDIRECT("'"&amp;$B407&amp;"'!O23:O200")&lt;&gt;"")*(INDIRECT("'"&amp;$B407&amp;"'!H23:H200")=$E$5),INDIRECT("'"&amp;$B407&amp;"'!p23:p200"),0)))</f>
        <v>0</v>
      </c>
      <c r="G407" s="564">
        <f t="array" aca="1" ref="G407" ca="1">IF($B407="N","",SUM(IF((INDIRECT("'"&amp;$B407&amp;"'!I23:I200")=$A$2)*(INDIRECT("'"&amp;$B407&amp;"'!O23:O200")=$D407)*(INDIRECT("'"&amp;$B407&amp;"'!O23:O200")&lt;&gt;"")*(INDIRECT("'"&amp;$B407&amp;"'!H23:H200")=$G$5),1,0)))</f>
        <v>0</v>
      </c>
      <c r="H407" s="565">
        <f t="array" aca="1" ref="H407" ca="1">IF($B407="N","",SUM(IF((INDIRECT("'"&amp;$B407&amp;"'!I23:I200")=$A$2)*(INDIRECT("'"&amp;$B407&amp;"'!O23:O200")=$D407)*(INDIRECT("'"&amp;$B407&amp;"'!O23:O200")&lt;&gt;"")*(INDIRECT("'"&amp;$B407&amp;"'!H23:H200")=$G$5),INDIRECT("'"&amp;$B407&amp;"'!p23:p200"),0)))</f>
        <v>0</v>
      </c>
      <c r="I407" s="515">
        <f t="shared" ca="1" si="64"/>
        <v>0</v>
      </c>
      <c r="J407" s="513">
        <f t="shared" ca="1" si="65"/>
        <v>0</v>
      </c>
    </row>
    <row r="408" spans="1:10">
      <c r="B408" s="563" t="str">
        <f t="shared" si="66"/>
        <v>Renofa Yamaguchi</v>
      </c>
      <c r="D408" s="528">
        <v>2.25</v>
      </c>
      <c r="E408" s="564">
        <f t="array" aca="1" ref="E408" ca="1">IF($B408="N","",SUM(IF((INDIRECT("'"&amp;$B408&amp;"'!I23:I200")=$A$2)*(INDIRECT("'"&amp;$B408&amp;"'!O23:O200")=$D408)*(INDIRECT("'"&amp;$B408&amp;"'!O23:O200")&lt;&gt;"")*(INDIRECT("'"&amp;$B408&amp;"'!H23:H200")=$E$5),1,0)))</f>
        <v>0</v>
      </c>
      <c r="F408" s="565">
        <f t="array" aca="1" ref="F408" ca="1">IF($B408="N","",SUM(IF((INDIRECT("'"&amp;$B408&amp;"'!I23:I200")=$A$2)*(INDIRECT("'"&amp;$B408&amp;"'!O23:O200")=$D408)*(INDIRECT("'"&amp;$B408&amp;"'!O23:O200")&lt;&gt;"")*(INDIRECT("'"&amp;$B408&amp;"'!H23:H200")=$E$5),INDIRECT("'"&amp;$B408&amp;"'!p23:p200"),0)))</f>
        <v>0</v>
      </c>
      <c r="G408" s="564">
        <f t="array" aca="1" ref="G408" ca="1">IF($B408="N","",SUM(IF((INDIRECT("'"&amp;$B408&amp;"'!I23:I200")=$A$2)*(INDIRECT("'"&amp;$B408&amp;"'!O23:O200")=$D408)*(INDIRECT("'"&amp;$B408&amp;"'!O23:O200")&lt;&gt;"")*(INDIRECT("'"&amp;$B408&amp;"'!H23:H200")=$G$5),1,0)))</f>
        <v>0</v>
      </c>
      <c r="H408" s="565">
        <f t="array" aca="1" ref="H408" ca="1">IF($B408="N","",SUM(IF((INDIRECT("'"&amp;$B408&amp;"'!I23:I200")=$A$2)*(INDIRECT("'"&amp;$B408&amp;"'!O23:O200")=$D408)*(INDIRECT("'"&amp;$B408&amp;"'!O23:O200")&lt;&gt;"")*(INDIRECT("'"&amp;$B408&amp;"'!H23:H200")=$G$5),INDIRECT("'"&amp;$B408&amp;"'!p23:p200"),0)))</f>
        <v>0</v>
      </c>
      <c r="I408" s="515">
        <f t="shared" ca="1" si="64"/>
        <v>0</v>
      </c>
      <c r="J408" s="513">
        <f t="shared" ca="1" si="65"/>
        <v>0</v>
      </c>
    </row>
    <row r="409" spans="1:10">
      <c r="B409" s="563" t="str">
        <f t="shared" si="66"/>
        <v>Renofa Yamaguchi</v>
      </c>
      <c r="D409" s="528">
        <v>2.5</v>
      </c>
      <c r="E409" s="564">
        <f t="array" aca="1" ref="E409" ca="1">IF($B409="N","",SUM(IF((INDIRECT("'"&amp;$B409&amp;"'!I23:I200")=$A$2)*(INDIRECT("'"&amp;$B409&amp;"'!O23:O200")=$D409)*(INDIRECT("'"&amp;$B409&amp;"'!O23:O200")&lt;&gt;"")*(INDIRECT("'"&amp;$B409&amp;"'!H23:H200")=$E$5),1,0)))</f>
        <v>0</v>
      </c>
      <c r="F409" s="565">
        <f t="array" aca="1" ref="F409" ca="1">IF($B409="N","",SUM(IF((INDIRECT("'"&amp;$B409&amp;"'!I23:I200")=$A$2)*(INDIRECT("'"&amp;$B409&amp;"'!O23:O200")=$D409)*(INDIRECT("'"&amp;$B409&amp;"'!O23:O200")&lt;&gt;"")*(INDIRECT("'"&amp;$B409&amp;"'!H23:H200")=$E$5),INDIRECT("'"&amp;$B409&amp;"'!p23:p200"),0)))</f>
        <v>0</v>
      </c>
      <c r="G409" s="564">
        <f t="array" aca="1" ref="G409" ca="1">IF($B409="N","",SUM(IF((INDIRECT("'"&amp;$B409&amp;"'!I23:I200")=$A$2)*(INDIRECT("'"&amp;$B409&amp;"'!O23:O200")=$D409)*(INDIRECT("'"&amp;$B409&amp;"'!O23:O200")&lt;&gt;"")*(INDIRECT("'"&amp;$B409&amp;"'!H23:H200")=$G$5),1,0)))</f>
        <v>0</v>
      </c>
      <c r="H409" s="565">
        <f t="array" aca="1" ref="H409" ca="1">IF($B409="N","",SUM(IF((INDIRECT("'"&amp;$B409&amp;"'!I23:I200")=$A$2)*(INDIRECT("'"&amp;$B409&amp;"'!O23:O200")=$D409)*(INDIRECT("'"&amp;$B409&amp;"'!O23:O200")&lt;&gt;"")*(INDIRECT("'"&amp;$B409&amp;"'!H23:H200")=$G$5),INDIRECT("'"&amp;$B409&amp;"'!p23:p200"),0)))</f>
        <v>0</v>
      </c>
      <c r="I409" s="515">
        <f t="shared" ca="1" si="64"/>
        <v>0</v>
      </c>
      <c r="J409" s="513">
        <f t="shared" ca="1" si="65"/>
        <v>0</v>
      </c>
    </row>
    <row r="410" spans="1:10" ht="15" thickBot="1">
      <c r="B410" s="563" t="str">
        <f t="shared" si="66"/>
        <v>Renofa Yamaguchi</v>
      </c>
      <c r="D410" s="511">
        <v>2.75</v>
      </c>
      <c r="E410" s="564">
        <f t="array" aca="1" ref="E410" ca="1">IF($B410="N","",SUM(IF((INDIRECT("'"&amp;$B410&amp;"'!I23:I200")=$A$2)*(INDIRECT("'"&amp;$B410&amp;"'!O23:O200")=$D410)*(INDIRECT("'"&amp;$B410&amp;"'!O23:O200")&lt;&gt;"")*(INDIRECT("'"&amp;$B410&amp;"'!H23:H200")=$E$5),1,0)))</f>
        <v>0</v>
      </c>
      <c r="F410" s="565">
        <f t="array" aca="1" ref="F410" ca="1">IF($B410="N","",SUM(IF((INDIRECT("'"&amp;$B410&amp;"'!I23:I200")=$A$2)*(INDIRECT("'"&amp;$B410&amp;"'!O23:O200")=$D410)*(INDIRECT("'"&amp;$B410&amp;"'!O23:O200")&lt;&gt;"")*(INDIRECT("'"&amp;$B410&amp;"'!H23:H200")=$E$5),INDIRECT("'"&amp;$B410&amp;"'!p23:p200"),0)))</f>
        <v>0</v>
      </c>
      <c r="G410" s="564">
        <f t="array" aca="1" ref="G410" ca="1">IF($B410="N","",SUM(IF((INDIRECT("'"&amp;$B410&amp;"'!I23:I200")=$A$2)*(INDIRECT("'"&amp;$B410&amp;"'!O23:O200")=$D410)*(INDIRECT("'"&amp;$B410&amp;"'!O23:O200")&lt;&gt;"")*(INDIRECT("'"&amp;$B410&amp;"'!H23:H200")=$G$5),1,0)))</f>
        <v>0</v>
      </c>
      <c r="H410" s="565">
        <f t="array" aca="1" ref="H410" ca="1">IF($B410="N","",SUM(IF((INDIRECT("'"&amp;$B410&amp;"'!I23:I200")=$A$2)*(INDIRECT("'"&amp;$B410&amp;"'!O23:O200")=$D410)*(INDIRECT("'"&amp;$B410&amp;"'!O23:O200")&lt;&gt;"")*(INDIRECT("'"&amp;$B410&amp;"'!H23:H200")=$G$5),INDIRECT("'"&amp;$B410&amp;"'!p23:p200"),0)))</f>
        <v>0</v>
      </c>
      <c r="I410" s="515">
        <f t="shared" ca="1" si="64"/>
        <v>0</v>
      </c>
      <c r="J410" s="513">
        <f t="shared" ca="1" si="65"/>
        <v>0</v>
      </c>
    </row>
    <row r="411" spans="1:10" ht="15" thickBot="1">
      <c r="A411" s="567"/>
      <c r="B411" s="568"/>
      <c r="C411" s="569" t="str">
        <f>D386</f>
        <v>Renofa Yamaguchi</v>
      </c>
      <c r="D411" s="570" t="s">
        <v>115</v>
      </c>
      <c r="E411" s="571">
        <f t="shared" ref="E411:J411" ca="1" si="67">SUM(E388:E410)</f>
        <v>21</v>
      </c>
      <c r="F411" s="572">
        <f t="shared" ca="1" si="67"/>
        <v>-10</v>
      </c>
      <c r="G411" s="571">
        <f t="shared" ca="1" si="67"/>
        <v>21</v>
      </c>
      <c r="H411" s="572">
        <f t="shared" ca="1" si="67"/>
        <v>-3.5</v>
      </c>
      <c r="I411" s="573">
        <f t="shared" ca="1" si="67"/>
        <v>42</v>
      </c>
      <c r="J411" s="572">
        <f t="shared" ca="1" si="67"/>
        <v>-13.5</v>
      </c>
    </row>
    <row r="412" spans="1:10" ht="15" thickBot="1">
      <c r="A412" s="567"/>
      <c r="C412" s="576"/>
    </row>
    <row r="413" spans="1:10">
      <c r="A413" s="567"/>
      <c r="B413" s="357"/>
      <c r="C413" s="569"/>
      <c r="D413" s="562" t="str">
        <f>F2</f>
        <v>Roasso Kumamoto</v>
      </c>
      <c r="E413" s="490" t="s">
        <v>80</v>
      </c>
      <c r="F413" s="491"/>
      <c r="G413" s="490" t="s">
        <v>81</v>
      </c>
      <c r="H413" s="491"/>
      <c r="I413" s="490" t="s">
        <v>82</v>
      </c>
      <c r="J413" s="492"/>
    </row>
    <row r="414" spans="1:10" ht="15" thickBot="1">
      <c r="B414" s="357"/>
      <c r="C414" s="357"/>
      <c r="D414" s="499" t="s">
        <v>120</v>
      </c>
      <c r="E414" s="497" t="s">
        <v>123</v>
      </c>
      <c r="F414" s="552" t="s">
        <v>124</v>
      </c>
      <c r="G414" s="497" t="s">
        <v>123</v>
      </c>
      <c r="H414" s="552" t="s">
        <v>124</v>
      </c>
      <c r="I414" s="501" t="s">
        <v>123</v>
      </c>
      <c r="J414" s="552" t="s">
        <v>124</v>
      </c>
    </row>
    <row r="415" spans="1:10">
      <c r="B415" s="563" t="str">
        <f>IF(D413=0,"N",D413)</f>
        <v>Roasso Kumamoto</v>
      </c>
      <c r="D415" s="511">
        <v>-2.75</v>
      </c>
      <c r="E415" s="564">
        <f t="array" aca="1" ref="E415" ca="1">IF($B415="N","",SUM(IF((INDIRECT("'"&amp;$B415&amp;"'!I23:I200")=$A$2)*(INDIRECT("'"&amp;$B415&amp;"'!O23:O200")=$D415)*(INDIRECT("'"&amp;$B415&amp;"'!O23:O200")&lt;&gt;"")*(INDIRECT("'"&amp;$B415&amp;"'!H23:H200")=$E$5),1,0)))</f>
        <v>0</v>
      </c>
      <c r="F415" s="565">
        <f t="array" aca="1" ref="F415" ca="1">IF($B415="N","",SUM(IF((INDIRECT("'"&amp;$B415&amp;"'!I23:I200")=$A$2)*(INDIRECT("'"&amp;$B415&amp;"'!O23:O200")=$D415)*(INDIRECT("'"&amp;$B415&amp;"'!O23:O200")&lt;&gt;"")*(INDIRECT("'"&amp;$B415&amp;"'!H23:H200")=$E$5),INDIRECT("'"&amp;$B415&amp;"'!p23:p200"),0)))</f>
        <v>0</v>
      </c>
      <c r="G415" s="564">
        <f t="array" aca="1" ref="G415" ca="1">IF($B415="N","",SUM(IF((INDIRECT("'"&amp;$B415&amp;"'!I23:I200")=$A$2)*(INDIRECT("'"&amp;$B415&amp;"'!O23:O200")=$D415)*(INDIRECT("'"&amp;$B415&amp;"'!O23:O200")&lt;&gt;"")*(INDIRECT("'"&amp;$B415&amp;"'!H23:H200")=$G$5),1,0)))</f>
        <v>0</v>
      </c>
      <c r="H415" s="565">
        <f t="array" aca="1" ref="H415" ca="1">IF($B415="N","",SUM(IF((INDIRECT("'"&amp;$B415&amp;"'!I23:I200")=$A$2)*(INDIRECT("'"&amp;$B415&amp;"'!O23:O200")=$D415)*(INDIRECT("'"&amp;$B415&amp;"'!O23:O200")&lt;&gt;"")*(INDIRECT("'"&amp;$B415&amp;"'!H23:H200")=$G$5),INDIRECT("'"&amp;$B415&amp;"'!p23:p200"),0)))</f>
        <v>0</v>
      </c>
      <c r="I415" s="515">
        <f t="shared" ref="I415:I437" ca="1" si="68">IF(B415="N","",G415+E415)</f>
        <v>0</v>
      </c>
      <c r="J415" s="513">
        <f t="shared" ref="J415:J437" ca="1" si="69">IF(I415="","",F415+H415)</f>
        <v>0</v>
      </c>
    </row>
    <row r="416" spans="1:10">
      <c r="B416" s="563" t="str">
        <f>B415</f>
        <v>Roasso Kumamoto</v>
      </c>
      <c r="D416" s="520">
        <v>-2.5</v>
      </c>
      <c r="E416" s="564">
        <f t="array" aca="1" ref="E416" ca="1">IF($B416="N","",SUM(IF((INDIRECT("'"&amp;$B416&amp;"'!I23:I200")=$A$2)*(INDIRECT("'"&amp;$B416&amp;"'!O23:O200")=$D416)*(INDIRECT("'"&amp;$B416&amp;"'!O23:O200")&lt;&gt;"")*(INDIRECT("'"&amp;$B416&amp;"'!H23:H200")=$E$5),1,0)))</f>
        <v>0</v>
      </c>
      <c r="F416" s="565">
        <f t="array" aca="1" ref="F416" ca="1">IF($B416="N","",SUM(IF((INDIRECT("'"&amp;$B416&amp;"'!I23:I200")=$A$2)*(INDIRECT("'"&amp;$B416&amp;"'!O23:O200")=$D416)*(INDIRECT("'"&amp;$B416&amp;"'!O23:O200")&lt;&gt;"")*(INDIRECT("'"&amp;$B416&amp;"'!H23:H200")=$E$5),INDIRECT("'"&amp;$B416&amp;"'!p23:p200"),0)))</f>
        <v>0</v>
      </c>
      <c r="G416" s="564">
        <f t="array" aca="1" ref="G416" ca="1">IF($B416="N","",SUM(IF((INDIRECT("'"&amp;$B416&amp;"'!I23:I200")=$A$2)*(INDIRECT("'"&amp;$B416&amp;"'!O23:O200")=$D416)*(INDIRECT("'"&amp;$B416&amp;"'!O23:O200")&lt;&gt;"")*(INDIRECT("'"&amp;$B416&amp;"'!H23:H200")=$G$5),1,0)))</f>
        <v>0</v>
      </c>
      <c r="H416" s="565">
        <f t="array" aca="1" ref="H416" ca="1">IF($B416="N","",SUM(IF((INDIRECT("'"&amp;$B416&amp;"'!I23:I200")=$A$2)*(INDIRECT("'"&amp;$B416&amp;"'!O23:O200")=$D416)*(INDIRECT("'"&amp;$B416&amp;"'!O23:O200")&lt;&gt;"")*(INDIRECT("'"&amp;$B416&amp;"'!H23:H200")=$G$5),INDIRECT("'"&amp;$B416&amp;"'!p23:p200"),0)))</f>
        <v>0</v>
      </c>
      <c r="I416" s="515">
        <f t="shared" ca="1" si="68"/>
        <v>0</v>
      </c>
      <c r="J416" s="513">
        <f t="shared" ca="1" si="69"/>
        <v>0</v>
      </c>
    </row>
    <row r="417" spans="2:10">
      <c r="B417" s="563" t="str">
        <f t="shared" ref="B417:B437" si="70">B416</f>
        <v>Roasso Kumamoto</v>
      </c>
      <c r="D417" s="520">
        <v>-2.25</v>
      </c>
      <c r="E417" s="564">
        <f t="array" aca="1" ref="E417" ca="1">IF($B417="N","",SUM(IF((INDIRECT("'"&amp;$B417&amp;"'!I23:I200")=$A$2)*(INDIRECT("'"&amp;$B417&amp;"'!O23:O200")=$D417)*(INDIRECT("'"&amp;$B417&amp;"'!O23:O200")&lt;&gt;"")*(INDIRECT("'"&amp;$B417&amp;"'!H23:H200")=$E$5),1,0)))</f>
        <v>0</v>
      </c>
      <c r="F417" s="565">
        <f t="array" aca="1" ref="F417" ca="1">IF($B417="N","",SUM(IF((INDIRECT("'"&amp;$B417&amp;"'!I23:I200")=$A$2)*(INDIRECT("'"&amp;$B417&amp;"'!O23:O200")=$D417)*(INDIRECT("'"&amp;$B417&amp;"'!O23:O200")&lt;&gt;"")*(INDIRECT("'"&amp;$B417&amp;"'!H23:H200")=$E$5),INDIRECT("'"&amp;$B417&amp;"'!p23:p200"),0)))</f>
        <v>0</v>
      </c>
      <c r="G417" s="564">
        <f t="array" aca="1" ref="G417" ca="1">IF($B417="N","",SUM(IF((INDIRECT("'"&amp;$B417&amp;"'!I23:I200")=$A$2)*(INDIRECT("'"&amp;$B417&amp;"'!O23:O200")=$D417)*(INDIRECT("'"&amp;$B417&amp;"'!O23:O200")&lt;&gt;"")*(INDIRECT("'"&amp;$B417&amp;"'!H23:H200")=$G$5),1,0)))</f>
        <v>0</v>
      </c>
      <c r="H417" s="565">
        <f t="array" aca="1" ref="H417" ca="1">IF($B417="N","",SUM(IF((INDIRECT("'"&amp;$B417&amp;"'!I23:I200")=$A$2)*(INDIRECT("'"&amp;$B417&amp;"'!O23:O200")=$D417)*(INDIRECT("'"&amp;$B417&amp;"'!O23:O200")&lt;&gt;"")*(INDIRECT("'"&amp;$B417&amp;"'!H23:H200")=$G$5),INDIRECT("'"&amp;$B417&amp;"'!p23:p200"),0)))</f>
        <v>0</v>
      </c>
      <c r="I417" s="515">
        <f t="shared" ca="1" si="68"/>
        <v>0</v>
      </c>
      <c r="J417" s="513">
        <f t="shared" ca="1" si="69"/>
        <v>0</v>
      </c>
    </row>
    <row r="418" spans="2:10">
      <c r="B418" s="563" t="str">
        <f t="shared" si="70"/>
        <v>Roasso Kumamoto</v>
      </c>
      <c r="D418" s="520">
        <v>-2</v>
      </c>
      <c r="E418" s="564">
        <f t="array" aca="1" ref="E418" ca="1">IF($B418="N","",SUM(IF((INDIRECT("'"&amp;$B418&amp;"'!I23:I200")=$A$2)*(INDIRECT("'"&amp;$B418&amp;"'!O23:O200")=$D418)*(INDIRECT("'"&amp;$B418&amp;"'!O23:O200")&lt;&gt;"")*(INDIRECT("'"&amp;$B418&amp;"'!H23:H200")=$E$5),1,0)))</f>
        <v>0</v>
      </c>
      <c r="F418" s="565">
        <f t="array" aca="1" ref="F418" ca="1">IF($B418="N","",SUM(IF((INDIRECT("'"&amp;$B418&amp;"'!I23:I200")=$A$2)*(INDIRECT("'"&amp;$B418&amp;"'!O23:O200")=$D418)*(INDIRECT("'"&amp;$B418&amp;"'!O23:O200")&lt;&gt;"")*(INDIRECT("'"&amp;$B418&amp;"'!H23:H200")=$E$5),INDIRECT("'"&amp;$B418&amp;"'!p23:p200"),0)))</f>
        <v>0</v>
      </c>
      <c r="G418" s="564">
        <f t="array" aca="1" ref="G418" ca="1">IF($B418="N","",SUM(IF((INDIRECT("'"&amp;$B418&amp;"'!I23:I200")=$A$2)*(INDIRECT("'"&amp;$B418&amp;"'!O23:O200")=$D418)*(INDIRECT("'"&amp;$B418&amp;"'!O23:O200")&lt;&gt;"")*(INDIRECT("'"&amp;$B418&amp;"'!H23:H200")=$G$5),1,0)))</f>
        <v>0</v>
      </c>
      <c r="H418" s="565">
        <f t="array" aca="1" ref="H418" ca="1">IF($B418="N","",SUM(IF((INDIRECT("'"&amp;$B418&amp;"'!I23:I200")=$A$2)*(INDIRECT("'"&amp;$B418&amp;"'!O23:O200")=$D418)*(INDIRECT("'"&amp;$B418&amp;"'!O23:O200")&lt;&gt;"")*(INDIRECT("'"&amp;$B418&amp;"'!H23:H200")=$G$5),INDIRECT("'"&amp;$B418&amp;"'!p23:p200"),0)))</f>
        <v>0</v>
      </c>
      <c r="I418" s="515">
        <f t="shared" ca="1" si="68"/>
        <v>0</v>
      </c>
      <c r="J418" s="513">
        <f t="shared" ca="1" si="69"/>
        <v>0</v>
      </c>
    </row>
    <row r="419" spans="2:10">
      <c r="B419" s="563" t="str">
        <f t="shared" si="70"/>
        <v>Roasso Kumamoto</v>
      </c>
      <c r="D419" s="520">
        <v>-1.75</v>
      </c>
      <c r="E419" s="564">
        <f t="array" aca="1" ref="E419" ca="1">IF($B419="N","",SUM(IF((INDIRECT("'"&amp;$B419&amp;"'!I23:I200")=$A$2)*(INDIRECT("'"&amp;$B419&amp;"'!O23:O200")=$D419)*(INDIRECT("'"&amp;$B419&amp;"'!O23:O200")&lt;&gt;"")*(INDIRECT("'"&amp;$B419&amp;"'!H23:H200")=$E$5),1,0)))</f>
        <v>0</v>
      </c>
      <c r="F419" s="565">
        <f t="array" aca="1" ref="F419" ca="1">IF($B419="N","",SUM(IF((INDIRECT("'"&amp;$B419&amp;"'!I23:I200")=$A$2)*(INDIRECT("'"&amp;$B419&amp;"'!O23:O200")=$D419)*(INDIRECT("'"&amp;$B419&amp;"'!O23:O200")&lt;&gt;"")*(INDIRECT("'"&amp;$B419&amp;"'!H23:H200")=$E$5),INDIRECT("'"&amp;$B419&amp;"'!p23:p200"),0)))</f>
        <v>0</v>
      </c>
      <c r="G419" s="564">
        <f t="array" aca="1" ref="G419" ca="1">IF($B419="N","",SUM(IF((INDIRECT("'"&amp;$B419&amp;"'!I23:I200")=$A$2)*(INDIRECT("'"&amp;$B419&amp;"'!O23:O200")=$D419)*(INDIRECT("'"&amp;$B419&amp;"'!O23:O200")&lt;&gt;"")*(INDIRECT("'"&amp;$B419&amp;"'!H23:H200")=$G$5),1,0)))</f>
        <v>0</v>
      </c>
      <c r="H419" s="565">
        <f t="array" aca="1" ref="H419" ca="1">IF($B419="N","",SUM(IF((INDIRECT("'"&amp;$B419&amp;"'!I23:I200")=$A$2)*(INDIRECT("'"&amp;$B419&amp;"'!O23:O200")=$D419)*(INDIRECT("'"&amp;$B419&amp;"'!O23:O200")&lt;&gt;"")*(INDIRECT("'"&amp;$B419&amp;"'!H23:H200")=$G$5),INDIRECT("'"&amp;$B419&amp;"'!p23:p200"),0)))</f>
        <v>0</v>
      </c>
      <c r="I419" s="515">
        <f t="shared" ca="1" si="68"/>
        <v>0</v>
      </c>
      <c r="J419" s="513">
        <f t="shared" ca="1" si="69"/>
        <v>0</v>
      </c>
    </row>
    <row r="420" spans="2:10">
      <c r="B420" s="563" t="str">
        <f t="shared" si="70"/>
        <v>Roasso Kumamoto</v>
      </c>
      <c r="D420" s="511">
        <v>-1.5</v>
      </c>
      <c r="E420" s="564">
        <f t="array" aca="1" ref="E420" ca="1">IF($B420="N","",SUM(IF((INDIRECT("'"&amp;$B420&amp;"'!I23:I200")=$A$2)*(INDIRECT("'"&amp;$B420&amp;"'!O23:O200")=$D420)*(INDIRECT("'"&amp;$B420&amp;"'!O23:O200")&lt;&gt;"")*(INDIRECT("'"&amp;$B420&amp;"'!H23:H200")=$E$5),1,0)))</f>
        <v>0</v>
      </c>
      <c r="F420" s="565">
        <f t="array" aca="1" ref="F420" ca="1">IF($B420="N","",SUM(IF((INDIRECT("'"&amp;$B420&amp;"'!I23:I200")=$A$2)*(INDIRECT("'"&amp;$B420&amp;"'!O23:O200")=$D420)*(INDIRECT("'"&amp;$B420&amp;"'!O23:O200")&lt;&gt;"")*(INDIRECT("'"&amp;$B420&amp;"'!H23:H200")=$E$5),INDIRECT("'"&amp;$B420&amp;"'!p23:p200"),0)))</f>
        <v>0</v>
      </c>
      <c r="G420" s="564">
        <f t="array" aca="1" ref="G420" ca="1">IF($B420="N","",SUM(IF((INDIRECT("'"&amp;$B420&amp;"'!I23:I200")=$A$2)*(INDIRECT("'"&amp;$B420&amp;"'!O23:O200")=$D420)*(INDIRECT("'"&amp;$B420&amp;"'!O23:O200")&lt;&gt;"")*(INDIRECT("'"&amp;$B420&amp;"'!H23:H200")=$G$5),1,0)))</f>
        <v>0</v>
      </c>
      <c r="H420" s="565">
        <f t="array" aca="1" ref="H420" ca="1">IF($B420="N","",SUM(IF((INDIRECT("'"&amp;$B420&amp;"'!I23:I200")=$A$2)*(INDIRECT("'"&amp;$B420&amp;"'!O23:O200")=$D420)*(INDIRECT("'"&amp;$B420&amp;"'!O23:O200")&lt;&gt;"")*(INDIRECT("'"&amp;$B420&amp;"'!H23:H200")=$G$5),INDIRECT("'"&amp;$B420&amp;"'!p23:p200"),0)))</f>
        <v>0</v>
      </c>
      <c r="I420" s="515">
        <f t="shared" ca="1" si="68"/>
        <v>0</v>
      </c>
      <c r="J420" s="513">
        <f t="shared" ca="1" si="69"/>
        <v>0</v>
      </c>
    </row>
    <row r="421" spans="2:10">
      <c r="B421" s="563" t="str">
        <f t="shared" si="70"/>
        <v>Roasso Kumamoto</v>
      </c>
      <c r="D421" s="511">
        <v>-1.25</v>
      </c>
      <c r="E421" s="564">
        <f t="array" aca="1" ref="E421" ca="1">IF($B421="N","",SUM(IF((INDIRECT("'"&amp;$B421&amp;"'!I23:I200")=$A$2)*(INDIRECT("'"&amp;$B421&amp;"'!O23:O200")=$D421)*(INDIRECT("'"&amp;$B421&amp;"'!O23:O200")&lt;&gt;"")*(INDIRECT("'"&amp;$B421&amp;"'!H23:H200")=$E$5),1,0)))</f>
        <v>0</v>
      </c>
      <c r="F421" s="565">
        <f t="array" aca="1" ref="F421" ca="1">IF($B421="N","",SUM(IF((INDIRECT("'"&amp;$B421&amp;"'!I23:I200")=$A$2)*(INDIRECT("'"&amp;$B421&amp;"'!O23:O200")=$D421)*(INDIRECT("'"&amp;$B421&amp;"'!O23:O200")&lt;&gt;"")*(INDIRECT("'"&amp;$B421&amp;"'!H23:H200")=$E$5),INDIRECT("'"&amp;$B421&amp;"'!p23:p200"),0)))</f>
        <v>0</v>
      </c>
      <c r="G421" s="564">
        <f t="array" aca="1" ref="G421" ca="1">IF($B421="N","",SUM(IF((INDIRECT("'"&amp;$B421&amp;"'!I23:I200")=$A$2)*(INDIRECT("'"&amp;$B421&amp;"'!O23:O200")=$D421)*(INDIRECT("'"&amp;$B421&amp;"'!O23:O200")&lt;&gt;"")*(INDIRECT("'"&amp;$B421&amp;"'!H23:H200")=$G$5),1,0)))</f>
        <v>0</v>
      </c>
      <c r="H421" s="565">
        <f t="array" aca="1" ref="H421" ca="1">IF($B421="N","",SUM(IF((INDIRECT("'"&amp;$B421&amp;"'!I23:I200")=$A$2)*(INDIRECT("'"&amp;$B421&amp;"'!O23:O200")=$D421)*(INDIRECT("'"&amp;$B421&amp;"'!O23:O200")&lt;&gt;"")*(INDIRECT("'"&amp;$B421&amp;"'!H23:H200")=$G$5),INDIRECT("'"&amp;$B421&amp;"'!p23:p200"),0)))</f>
        <v>0</v>
      </c>
      <c r="I421" s="515">
        <f t="shared" ca="1" si="68"/>
        <v>0</v>
      </c>
      <c r="J421" s="513">
        <f t="shared" ca="1" si="69"/>
        <v>0</v>
      </c>
    </row>
    <row r="422" spans="2:10">
      <c r="B422" s="563" t="str">
        <f t="shared" si="70"/>
        <v>Roasso Kumamoto</v>
      </c>
      <c r="D422" s="511">
        <v>-1</v>
      </c>
      <c r="E422" s="564">
        <f t="array" aca="1" ref="E422" ca="1">IF($B422="N","",SUM(IF((INDIRECT("'"&amp;$B422&amp;"'!I23:I200")=$A$2)*(INDIRECT("'"&amp;$B422&amp;"'!O23:O200")=$D422)*(INDIRECT("'"&amp;$B422&amp;"'!O23:O200")&lt;&gt;"")*(INDIRECT("'"&amp;$B422&amp;"'!H23:H200")=$E$5),1,0)))</f>
        <v>0</v>
      </c>
      <c r="F422" s="565">
        <f t="array" aca="1" ref="F422" ca="1">IF($B422="N","",SUM(IF((INDIRECT("'"&amp;$B422&amp;"'!I23:I200")=$A$2)*(INDIRECT("'"&amp;$B422&amp;"'!O23:O200")=$D422)*(INDIRECT("'"&amp;$B422&amp;"'!O23:O200")&lt;&gt;"")*(INDIRECT("'"&amp;$B422&amp;"'!H23:H200")=$E$5),INDIRECT("'"&amp;$B422&amp;"'!p23:p200"),0)))</f>
        <v>0</v>
      </c>
      <c r="G422" s="564">
        <f t="array" aca="1" ref="G422" ca="1">IF($B422="N","",SUM(IF((INDIRECT("'"&amp;$B422&amp;"'!I23:I200")=$A$2)*(INDIRECT("'"&amp;$B422&amp;"'!O23:O200")=$D422)*(INDIRECT("'"&amp;$B422&amp;"'!O23:O200")&lt;&gt;"")*(INDIRECT("'"&amp;$B422&amp;"'!H23:H200")=$G$5),1,0)))</f>
        <v>0</v>
      </c>
      <c r="H422" s="565">
        <f t="array" aca="1" ref="H422" ca="1">IF($B422="N","",SUM(IF((INDIRECT("'"&amp;$B422&amp;"'!I23:I200")=$A$2)*(INDIRECT("'"&amp;$B422&amp;"'!O23:O200")=$D422)*(INDIRECT("'"&amp;$B422&amp;"'!O23:O200")&lt;&gt;"")*(INDIRECT("'"&amp;$B422&amp;"'!H23:H200")=$G$5),INDIRECT("'"&amp;$B422&amp;"'!p23:p200"),0)))</f>
        <v>0</v>
      </c>
      <c r="I422" s="515">
        <f t="shared" ca="1" si="68"/>
        <v>0</v>
      </c>
      <c r="J422" s="513">
        <f t="shared" ca="1" si="69"/>
        <v>0</v>
      </c>
    </row>
    <row r="423" spans="2:10">
      <c r="B423" s="563" t="str">
        <f t="shared" si="70"/>
        <v>Roasso Kumamoto</v>
      </c>
      <c r="D423" s="511">
        <v>-0.75</v>
      </c>
      <c r="E423" s="564">
        <f t="array" aca="1" ref="E423" ca="1">IF($B423="N","",SUM(IF((INDIRECT("'"&amp;$B423&amp;"'!I23:I200")=$A$2)*(INDIRECT("'"&amp;$B423&amp;"'!O23:O200")=$D423)*(INDIRECT("'"&amp;$B423&amp;"'!O23:O200")&lt;&gt;"")*(INDIRECT("'"&amp;$B423&amp;"'!H23:H200")=$E$5),1,0)))</f>
        <v>0</v>
      </c>
      <c r="F423" s="565">
        <f t="array" aca="1" ref="F423" ca="1">IF($B423="N","",SUM(IF((INDIRECT("'"&amp;$B423&amp;"'!I23:I200")=$A$2)*(INDIRECT("'"&amp;$B423&amp;"'!O23:O200")=$D423)*(INDIRECT("'"&amp;$B423&amp;"'!O23:O200")&lt;&gt;"")*(INDIRECT("'"&amp;$B423&amp;"'!H23:H200")=$E$5),INDIRECT("'"&amp;$B423&amp;"'!p23:p200"),0)))</f>
        <v>0</v>
      </c>
      <c r="G423" s="564">
        <f t="array" aca="1" ref="G423" ca="1">IF($B423="N","",SUM(IF((INDIRECT("'"&amp;$B423&amp;"'!I23:I200")=$A$2)*(INDIRECT("'"&amp;$B423&amp;"'!O23:O200")=$D423)*(INDIRECT("'"&amp;$B423&amp;"'!O23:O200")&lt;&gt;"")*(INDIRECT("'"&amp;$B423&amp;"'!H23:H200")=$G$5),1,0)))</f>
        <v>0</v>
      </c>
      <c r="H423" s="565">
        <f t="array" aca="1" ref="H423" ca="1">IF($B423="N","",SUM(IF((INDIRECT("'"&amp;$B423&amp;"'!I23:I200")=$A$2)*(INDIRECT("'"&amp;$B423&amp;"'!O23:O200")=$D423)*(INDIRECT("'"&amp;$B423&amp;"'!O23:O200")&lt;&gt;"")*(INDIRECT("'"&amp;$B423&amp;"'!H23:H200")=$G$5),INDIRECT("'"&amp;$B423&amp;"'!p23:p200"),0)))</f>
        <v>0</v>
      </c>
      <c r="I423" s="515">
        <f t="shared" ca="1" si="68"/>
        <v>0</v>
      </c>
      <c r="J423" s="513">
        <f t="shared" ca="1" si="69"/>
        <v>0</v>
      </c>
    </row>
    <row r="424" spans="2:10">
      <c r="B424" s="563" t="str">
        <f t="shared" si="70"/>
        <v>Roasso Kumamoto</v>
      </c>
      <c r="D424" s="511">
        <v>-0.5</v>
      </c>
      <c r="E424" s="564">
        <f t="array" aca="1" ref="E424" ca="1">IF($B424="N","",SUM(IF((INDIRECT("'"&amp;$B424&amp;"'!I23:I200")=$A$2)*(INDIRECT("'"&amp;$B424&amp;"'!O23:O200")=$D424)*(INDIRECT("'"&amp;$B424&amp;"'!O23:O200")&lt;&gt;"")*(INDIRECT("'"&amp;$B424&amp;"'!H23:H200")=$E$5),1,0)))</f>
        <v>0</v>
      </c>
      <c r="F424" s="565">
        <f t="array" aca="1" ref="F424" ca="1">IF($B424="N","",SUM(IF((INDIRECT("'"&amp;$B424&amp;"'!I23:I200")=$A$2)*(INDIRECT("'"&amp;$B424&amp;"'!O23:O200")=$D424)*(INDIRECT("'"&amp;$B424&amp;"'!O23:O200")&lt;&gt;"")*(INDIRECT("'"&amp;$B424&amp;"'!H23:H200")=$E$5),INDIRECT("'"&amp;$B424&amp;"'!p23:p200"),0)))</f>
        <v>0</v>
      </c>
      <c r="G424" s="564">
        <f t="array" aca="1" ref="G424" ca="1">IF($B424="N","",SUM(IF((INDIRECT("'"&amp;$B424&amp;"'!I23:I200")=$A$2)*(INDIRECT("'"&amp;$B424&amp;"'!O23:O200")=$D424)*(INDIRECT("'"&amp;$B424&amp;"'!O23:O200")&lt;&gt;"")*(INDIRECT("'"&amp;$B424&amp;"'!H23:H200")=$G$5),1,0)))</f>
        <v>0</v>
      </c>
      <c r="H424" s="565">
        <f t="array" aca="1" ref="H424" ca="1">IF($B424="N","",SUM(IF((INDIRECT("'"&amp;$B424&amp;"'!I23:I200")=$A$2)*(INDIRECT("'"&amp;$B424&amp;"'!O23:O200")=$D424)*(INDIRECT("'"&amp;$B424&amp;"'!O23:O200")&lt;&gt;"")*(INDIRECT("'"&amp;$B424&amp;"'!H23:H200")=$G$5),INDIRECT("'"&amp;$B424&amp;"'!p23:p200"),0)))</f>
        <v>0</v>
      </c>
      <c r="I424" s="515">
        <f t="shared" ca="1" si="68"/>
        <v>0</v>
      </c>
      <c r="J424" s="513">
        <f t="shared" ca="1" si="69"/>
        <v>0</v>
      </c>
    </row>
    <row r="425" spans="2:10">
      <c r="B425" s="563" t="str">
        <f t="shared" si="70"/>
        <v>Roasso Kumamoto</v>
      </c>
      <c r="D425" s="511">
        <v>-0.25</v>
      </c>
      <c r="E425" s="564">
        <f t="array" aca="1" ref="E425" ca="1">IF($B425="N","",SUM(IF((INDIRECT("'"&amp;$B425&amp;"'!I23:I200")=$A$2)*(INDIRECT("'"&amp;$B425&amp;"'!O23:O200")=$D425)*(INDIRECT("'"&amp;$B425&amp;"'!O23:O200")&lt;&gt;"")*(INDIRECT("'"&amp;$B425&amp;"'!H23:H200")=$E$5),1,0)))</f>
        <v>2</v>
      </c>
      <c r="F425" s="565">
        <f t="array" aca="1" ref="F425" ca="1">IF($B425="N","",SUM(IF((INDIRECT("'"&amp;$B425&amp;"'!I23:I200")=$A$2)*(INDIRECT("'"&amp;$B425&amp;"'!O23:O200")=$D425)*(INDIRECT("'"&amp;$B425&amp;"'!O23:O200")&lt;&gt;"")*(INDIRECT("'"&amp;$B425&amp;"'!H23:H200")=$E$5),INDIRECT("'"&amp;$B425&amp;"'!p23:p200"),0)))</f>
        <v>-2</v>
      </c>
      <c r="G425" s="564">
        <f t="array" aca="1" ref="G425" ca="1">IF($B425="N","",SUM(IF((INDIRECT("'"&amp;$B425&amp;"'!I23:I200")=$A$2)*(INDIRECT("'"&amp;$B425&amp;"'!O23:O200")=$D425)*(INDIRECT("'"&amp;$B425&amp;"'!O23:O200")&lt;&gt;"")*(INDIRECT("'"&amp;$B425&amp;"'!H23:H200")=$G$5),1,0)))</f>
        <v>0</v>
      </c>
      <c r="H425" s="565">
        <f t="array" aca="1" ref="H425" ca="1">IF($B425="N","",SUM(IF((INDIRECT("'"&amp;$B425&amp;"'!I23:I200")=$A$2)*(INDIRECT("'"&amp;$B425&amp;"'!O23:O200")=$D425)*(INDIRECT("'"&amp;$B425&amp;"'!O23:O200")&lt;&gt;"")*(INDIRECT("'"&amp;$B425&amp;"'!H23:H200")=$G$5),INDIRECT("'"&amp;$B425&amp;"'!p23:p200"),0)))</f>
        <v>0</v>
      </c>
      <c r="I425" s="515">
        <f t="shared" ca="1" si="68"/>
        <v>2</v>
      </c>
      <c r="J425" s="513">
        <f t="shared" ca="1" si="69"/>
        <v>-2</v>
      </c>
    </row>
    <row r="426" spans="2:10">
      <c r="B426" s="563" t="str">
        <f t="shared" si="70"/>
        <v>Roasso Kumamoto</v>
      </c>
      <c r="D426" s="511">
        <v>0</v>
      </c>
      <c r="E426" s="564">
        <f t="array" aca="1" ref="E426" ca="1">IF($B426="N","",SUM(IF((INDIRECT("'"&amp;$B426&amp;"'!I23:I200")=$A$2)*(INDIRECT("'"&amp;$B426&amp;"'!O23:O200")=$D426)*(INDIRECT("'"&amp;$B426&amp;"'!O23:O200")&lt;&gt;"")*(INDIRECT("'"&amp;$B426&amp;"'!H23:H200")=$E$5),1,0)))</f>
        <v>3</v>
      </c>
      <c r="F426" s="565">
        <f t="array" aca="1" ref="F426" ca="1">IF($B426="N","",SUM(IF((INDIRECT("'"&amp;$B426&amp;"'!I23:I200")=$A$2)*(INDIRECT("'"&amp;$B426&amp;"'!O23:O200")=$D426)*(INDIRECT("'"&amp;$B426&amp;"'!O23:O200")&lt;&gt;"")*(INDIRECT("'"&amp;$B426&amp;"'!H23:H200")=$E$5),INDIRECT("'"&amp;$B426&amp;"'!p23:p200"),0)))</f>
        <v>-1</v>
      </c>
      <c r="G426" s="564">
        <f t="array" aca="1" ref="G426" ca="1">IF($B426="N","",SUM(IF((INDIRECT("'"&amp;$B426&amp;"'!I23:I200")=$A$2)*(INDIRECT("'"&amp;$B426&amp;"'!O23:O200")=$D426)*(INDIRECT("'"&amp;$B426&amp;"'!O23:O200")&lt;&gt;"")*(INDIRECT("'"&amp;$B426&amp;"'!H23:H200")=$G$5),1,0)))</f>
        <v>1</v>
      </c>
      <c r="H426" s="565">
        <f t="array" aca="1" ref="H426" ca="1">IF($B426="N","",SUM(IF((INDIRECT("'"&amp;$B426&amp;"'!I23:I200")=$A$2)*(INDIRECT("'"&amp;$B426&amp;"'!O23:O200")=$D426)*(INDIRECT("'"&amp;$B426&amp;"'!O23:O200")&lt;&gt;"")*(INDIRECT("'"&amp;$B426&amp;"'!H23:H200")=$G$5),INDIRECT("'"&amp;$B426&amp;"'!p23:p200"),0)))</f>
        <v>0</v>
      </c>
      <c r="I426" s="515">
        <f t="shared" ca="1" si="68"/>
        <v>4</v>
      </c>
      <c r="J426" s="513">
        <f t="shared" ca="1" si="69"/>
        <v>-1</v>
      </c>
    </row>
    <row r="427" spans="2:10">
      <c r="B427" s="563" t="str">
        <f t="shared" si="70"/>
        <v>Roasso Kumamoto</v>
      </c>
      <c r="D427" s="511">
        <v>0.25</v>
      </c>
      <c r="E427" s="564">
        <f t="array" aca="1" ref="E427" ca="1">IF($B427="N","",SUM(IF((INDIRECT("'"&amp;$B427&amp;"'!I23:I200")=$A$2)*(INDIRECT("'"&amp;$B427&amp;"'!O23:O200")=$D427)*(INDIRECT("'"&amp;$B427&amp;"'!O23:O200")&lt;&gt;"")*(INDIRECT("'"&amp;$B427&amp;"'!H23:H200")=$E$5),1,0)))</f>
        <v>7</v>
      </c>
      <c r="F427" s="565">
        <f t="array" aca="1" ref="F427" ca="1">IF($B427="N","",SUM(IF((INDIRECT("'"&amp;$B427&amp;"'!I23:I200")=$A$2)*(INDIRECT("'"&amp;$B427&amp;"'!O23:O200")=$D427)*(INDIRECT("'"&amp;$B427&amp;"'!O23:O200")&lt;&gt;"")*(INDIRECT("'"&amp;$B427&amp;"'!H23:H200")=$E$5),INDIRECT("'"&amp;$B427&amp;"'!p23:p200"),0)))</f>
        <v>-3.5</v>
      </c>
      <c r="G427" s="564">
        <f t="array" aca="1" ref="G427" ca="1">IF($B427="N","",SUM(IF((INDIRECT("'"&amp;$B427&amp;"'!I23:I200")=$A$2)*(INDIRECT("'"&amp;$B427&amp;"'!O23:O200")=$D427)*(INDIRECT("'"&amp;$B427&amp;"'!O23:O200")&lt;&gt;"")*(INDIRECT("'"&amp;$B427&amp;"'!H23:H200")=$G$5),1,0)))</f>
        <v>4</v>
      </c>
      <c r="H427" s="565">
        <f t="array" aca="1" ref="H427" ca="1">IF($B427="N","",SUM(IF((INDIRECT("'"&amp;$B427&amp;"'!I23:I200")=$A$2)*(INDIRECT("'"&amp;$B427&amp;"'!O23:O200")=$D427)*(INDIRECT("'"&amp;$B427&amp;"'!O23:O200")&lt;&gt;"")*(INDIRECT("'"&amp;$B427&amp;"'!H23:H200")=$G$5),INDIRECT("'"&amp;$B427&amp;"'!p23:p200"),0)))</f>
        <v>1</v>
      </c>
      <c r="I427" s="515">
        <f t="shared" ca="1" si="68"/>
        <v>11</v>
      </c>
      <c r="J427" s="513">
        <f t="shared" ca="1" si="69"/>
        <v>-2.5</v>
      </c>
    </row>
    <row r="428" spans="2:10">
      <c r="B428" s="563" t="str">
        <f t="shared" si="70"/>
        <v>Roasso Kumamoto</v>
      </c>
      <c r="D428" s="511">
        <v>0.5</v>
      </c>
      <c r="E428" s="564">
        <f t="array" aca="1" ref="E428" ca="1">IF($B428="N","",SUM(IF((INDIRECT("'"&amp;$B428&amp;"'!I23:I200")=$A$2)*(INDIRECT("'"&amp;$B428&amp;"'!O23:O200")=$D428)*(INDIRECT("'"&amp;$B428&amp;"'!O23:O200")&lt;&gt;"")*(INDIRECT("'"&amp;$B428&amp;"'!H23:H200")=$E$5),1,0)))</f>
        <v>6</v>
      </c>
      <c r="F428" s="565">
        <f t="array" aca="1" ref="F428" ca="1">IF($B428="N","",SUM(IF((INDIRECT("'"&amp;$B428&amp;"'!I23:I200")=$A$2)*(INDIRECT("'"&amp;$B428&amp;"'!O23:O200")=$D428)*(INDIRECT("'"&amp;$B428&amp;"'!O23:O200")&lt;&gt;"")*(INDIRECT("'"&amp;$B428&amp;"'!H23:H200")=$E$5),INDIRECT("'"&amp;$B428&amp;"'!p23:p200"),0)))</f>
        <v>0</v>
      </c>
      <c r="G428" s="564">
        <f t="array" aca="1" ref="G428" ca="1">IF($B428="N","",SUM(IF((INDIRECT("'"&amp;$B428&amp;"'!I23:I200")=$A$2)*(INDIRECT("'"&amp;$B428&amp;"'!O23:O200")=$D428)*(INDIRECT("'"&amp;$B428&amp;"'!O23:O200")&lt;&gt;"")*(INDIRECT("'"&amp;$B428&amp;"'!H23:H200")=$G$5),1,0)))</f>
        <v>8</v>
      </c>
      <c r="H428" s="565">
        <f t="array" aca="1" ref="H428" ca="1">IF($B428="N","",SUM(IF((INDIRECT("'"&amp;$B428&amp;"'!I23:I200")=$A$2)*(INDIRECT("'"&amp;$B428&amp;"'!O23:O200")=$D428)*(INDIRECT("'"&amp;$B428&amp;"'!O23:O200")&lt;&gt;"")*(INDIRECT("'"&amp;$B428&amp;"'!H23:H200")=$G$5),INDIRECT("'"&amp;$B428&amp;"'!p23:p200"),0)))</f>
        <v>-2</v>
      </c>
      <c r="I428" s="515">
        <f t="shared" ca="1" si="68"/>
        <v>14</v>
      </c>
      <c r="J428" s="513">
        <f t="shared" ca="1" si="69"/>
        <v>-2</v>
      </c>
    </row>
    <row r="429" spans="2:10">
      <c r="B429" s="563" t="str">
        <f t="shared" si="70"/>
        <v>Roasso Kumamoto</v>
      </c>
      <c r="D429" s="511">
        <v>0.75</v>
      </c>
      <c r="E429" s="564">
        <f t="array" aca="1" ref="E429" ca="1">IF($B429="N","",SUM(IF((INDIRECT("'"&amp;$B429&amp;"'!I23:I200")=$A$2)*(INDIRECT("'"&amp;$B429&amp;"'!O23:O200")=$D429)*(INDIRECT("'"&amp;$B429&amp;"'!O23:O200")&lt;&gt;"")*(INDIRECT("'"&amp;$B429&amp;"'!H23:H200")=$E$5),1,0)))</f>
        <v>3</v>
      </c>
      <c r="F429" s="565">
        <f t="array" aca="1" ref="F429" ca="1">IF($B429="N","",SUM(IF((INDIRECT("'"&amp;$B429&amp;"'!I23:I200")=$A$2)*(INDIRECT("'"&amp;$B429&amp;"'!O23:O200")=$D429)*(INDIRECT("'"&amp;$B429&amp;"'!O23:O200")&lt;&gt;"")*(INDIRECT("'"&amp;$B429&amp;"'!H23:H200")=$E$5),INDIRECT("'"&amp;$B429&amp;"'!p23:p200"),0)))</f>
        <v>3</v>
      </c>
      <c r="G429" s="564">
        <f t="array" aca="1" ref="G429" ca="1">IF($B429="N","",SUM(IF((INDIRECT("'"&amp;$B429&amp;"'!I23:I200")=$A$2)*(INDIRECT("'"&amp;$B429&amp;"'!O23:O200")=$D429)*(INDIRECT("'"&amp;$B429&amp;"'!O23:O200")&lt;&gt;"")*(INDIRECT("'"&amp;$B429&amp;"'!H23:H200")=$G$5),1,0)))</f>
        <v>6</v>
      </c>
      <c r="H429" s="565">
        <f t="array" aca="1" ref="H429" ca="1">IF($B429="N","",SUM(IF((INDIRECT("'"&amp;$B429&amp;"'!I23:I200")=$A$2)*(INDIRECT("'"&amp;$B429&amp;"'!O23:O200")=$D429)*(INDIRECT("'"&amp;$B429&amp;"'!O23:O200")&lt;&gt;"")*(INDIRECT("'"&amp;$B429&amp;"'!H23:H200")=$G$5),INDIRECT("'"&amp;$B429&amp;"'!p23:p200"),0)))</f>
        <v>-1</v>
      </c>
      <c r="I429" s="515">
        <f t="shared" ca="1" si="68"/>
        <v>9</v>
      </c>
      <c r="J429" s="513">
        <f t="shared" ca="1" si="69"/>
        <v>2</v>
      </c>
    </row>
    <row r="430" spans="2:10">
      <c r="B430" s="563" t="str">
        <f t="shared" si="70"/>
        <v>Roasso Kumamoto</v>
      </c>
      <c r="D430" s="511">
        <v>1</v>
      </c>
      <c r="E430" s="564">
        <f t="array" aca="1" ref="E430" ca="1">IF($B430="N","",SUM(IF((INDIRECT("'"&amp;$B430&amp;"'!I23:I200")=$A$2)*(INDIRECT("'"&amp;$B430&amp;"'!O23:O200")=$D430)*(INDIRECT("'"&amp;$B430&amp;"'!O23:O200")&lt;&gt;"")*(INDIRECT("'"&amp;$B430&amp;"'!H23:H200")=$E$5),1,0)))</f>
        <v>0</v>
      </c>
      <c r="F430" s="565">
        <f t="array" aca="1" ref="F430" ca="1">IF($B430="N","",SUM(IF((INDIRECT("'"&amp;$B430&amp;"'!I23:I200")=$A$2)*(INDIRECT("'"&amp;$B430&amp;"'!O23:O200")=$D430)*(INDIRECT("'"&amp;$B430&amp;"'!O23:O200")&lt;&gt;"")*(INDIRECT("'"&amp;$B430&amp;"'!H23:H200")=$E$5),INDIRECT("'"&amp;$B430&amp;"'!p23:p200"),0)))</f>
        <v>0</v>
      </c>
      <c r="G430" s="564">
        <f t="array" aca="1" ref="G430" ca="1">IF($B430="N","",SUM(IF((INDIRECT("'"&amp;$B430&amp;"'!I23:I200")=$A$2)*(INDIRECT("'"&amp;$B430&amp;"'!O23:O200")=$D430)*(INDIRECT("'"&amp;$B430&amp;"'!O23:O200")&lt;&gt;"")*(INDIRECT("'"&amp;$B430&amp;"'!H23:H200")=$G$5),1,0)))</f>
        <v>2</v>
      </c>
      <c r="H430" s="565">
        <f t="array" aca="1" ref="H430" ca="1">IF($B430="N","",SUM(IF((INDIRECT("'"&amp;$B430&amp;"'!I23:I200")=$A$2)*(INDIRECT("'"&amp;$B430&amp;"'!O23:O200")=$D430)*(INDIRECT("'"&amp;$B430&amp;"'!O23:O200")&lt;&gt;"")*(INDIRECT("'"&amp;$B430&amp;"'!H23:H200")=$G$5),INDIRECT("'"&amp;$B430&amp;"'!p23:p200"),0)))</f>
        <v>1</v>
      </c>
      <c r="I430" s="515">
        <f t="shared" ca="1" si="68"/>
        <v>2</v>
      </c>
      <c r="J430" s="513">
        <f t="shared" ca="1" si="69"/>
        <v>1</v>
      </c>
    </row>
    <row r="431" spans="2:10">
      <c r="B431" s="563" t="str">
        <f t="shared" si="70"/>
        <v>Roasso Kumamoto</v>
      </c>
      <c r="D431" s="511">
        <v>1.25</v>
      </c>
      <c r="E431" s="564">
        <f t="array" aca="1" ref="E431" ca="1">IF($B431="N","",SUM(IF((INDIRECT("'"&amp;$B431&amp;"'!I23:I200")=$A$2)*(INDIRECT("'"&amp;$B431&amp;"'!O23:O200")=$D431)*(INDIRECT("'"&amp;$B431&amp;"'!O23:O200")&lt;&gt;"")*(INDIRECT("'"&amp;$B431&amp;"'!H23:H200")=$E$5),1,0)))</f>
        <v>0</v>
      </c>
      <c r="F431" s="565">
        <f t="array" aca="1" ref="F431" ca="1">IF($B431="N","",SUM(IF((INDIRECT("'"&amp;$B431&amp;"'!I23:I200")=$A$2)*(INDIRECT("'"&amp;$B431&amp;"'!O23:O200")=$D431)*(INDIRECT("'"&amp;$B431&amp;"'!O23:O200")&lt;&gt;"")*(INDIRECT("'"&amp;$B431&amp;"'!H23:H200")=$E$5),INDIRECT("'"&amp;$B431&amp;"'!p23:p200"),0)))</f>
        <v>0</v>
      </c>
      <c r="G431" s="564">
        <f t="array" aca="1" ref="G431" ca="1">IF($B431="N","",SUM(IF((INDIRECT("'"&amp;$B431&amp;"'!I23:I200")=$A$2)*(INDIRECT("'"&amp;$B431&amp;"'!O23:O200")=$D431)*(INDIRECT("'"&amp;$B431&amp;"'!O23:O200")&lt;&gt;"")*(INDIRECT("'"&amp;$B431&amp;"'!H23:H200")=$G$5),1,0)))</f>
        <v>0</v>
      </c>
      <c r="H431" s="565">
        <f t="array" aca="1" ref="H431" ca="1">IF($B431="N","",SUM(IF((INDIRECT("'"&amp;$B431&amp;"'!I23:I200")=$A$2)*(INDIRECT("'"&amp;$B431&amp;"'!O23:O200")=$D431)*(INDIRECT("'"&amp;$B431&amp;"'!O23:O200")&lt;&gt;"")*(INDIRECT("'"&amp;$B431&amp;"'!H23:H200")=$G$5),INDIRECT("'"&amp;$B431&amp;"'!p23:p200"),0)))</f>
        <v>0</v>
      </c>
      <c r="I431" s="515">
        <f t="shared" ca="1" si="68"/>
        <v>0</v>
      </c>
      <c r="J431" s="513">
        <f t="shared" ca="1" si="69"/>
        <v>0</v>
      </c>
    </row>
    <row r="432" spans="2:10">
      <c r="B432" s="563" t="str">
        <f t="shared" si="70"/>
        <v>Roasso Kumamoto</v>
      </c>
      <c r="D432" s="511">
        <v>1.5</v>
      </c>
      <c r="E432" s="564">
        <f t="array" aca="1" ref="E432" ca="1">IF($B432="N","",SUM(IF((INDIRECT("'"&amp;$B432&amp;"'!I23:I200")=$A$2)*(INDIRECT("'"&amp;$B432&amp;"'!O23:O200")=$D432)*(INDIRECT("'"&amp;$B432&amp;"'!O23:O200")&lt;&gt;"")*(INDIRECT("'"&amp;$B432&amp;"'!H23:H200")=$E$5),1,0)))</f>
        <v>0</v>
      </c>
      <c r="F432" s="565">
        <f t="array" aca="1" ref="F432" ca="1">IF($B432="N","",SUM(IF((INDIRECT("'"&amp;$B432&amp;"'!I23:I200")=$A$2)*(INDIRECT("'"&amp;$B432&amp;"'!O23:O200")=$D432)*(INDIRECT("'"&amp;$B432&amp;"'!O23:O200")&lt;&gt;"")*(INDIRECT("'"&amp;$B432&amp;"'!H23:H200")=$E$5),INDIRECT("'"&amp;$B432&amp;"'!p23:p200"),0)))</f>
        <v>0</v>
      </c>
      <c r="G432" s="564">
        <f t="array" aca="1" ref="G432" ca="1">IF($B432="N","",SUM(IF((INDIRECT("'"&amp;$B432&amp;"'!I23:I200")=$A$2)*(INDIRECT("'"&amp;$B432&amp;"'!O23:O200")=$D432)*(INDIRECT("'"&amp;$B432&amp;"'!O23:O200")&lt;&gt;"")*(INDIRECT("'"&amp;$B432&amp;"'!H23:H200")=$G$5),1,0)))</f>
        <v>0</v>
      </c>
      <c r="H432" s="565">
        <f t="array" aca="1" ref="H432" ca="1">IF($B432="N","",SUM(IF((INDIRECT("'"&amp;$B432&amp;"'!I23:I200")=$A$2)*(INDIRECT("'"&amp;$B432&amp;"'!O23:O200")=$D432)*(INDIRECT("'"&amp;$B432&amp;"'!O23:O200")&lt;&gt;"")*(INDIRECT("'"&amp;$B432&amp;"'!H23:H200")=$G$5),INDIRECT("'"&amp;$B432&amp;"'!p23:p200"),0)))</f>
        <v>0</v>
      </c>
      <c r="I432" s="515">
        <f t="shared" ca="1" si="68"/>
        <v>0</v>
      </c>
      <c r="J432" s="513">
        <f t="shared" ca="1" si="69"/>
        <v>0</v>
      </c>
    </row>
    <row r="433" spans="1:10">
      <c r="B433" s="563" t="str">
        <f t="shared" si="70"/>
        <v>Roasso Kumamoto</v>
      </c>
      <c r="D433" s="528">
        <v>1.75</v>
      </c>
      <c r="E433" s="564">
        <f t="array" aca="1" ref="E433" ca="1">IF($B433="N","",SUM(IF((INDIRECT("'"&amp;$B433&amp;"'!I23:I200")=$A$2)*(INDIRECT("'"&amp;$B433&amp;"'!O23:O200")=$D433)*(INDIRECT("'"&amp;$B433&amp;"'!O23:O200")&lt;&gt;"")*(INDIRECT("'"&amp;$B433&amp;"'!H23:H200")=$E$5),1,0)))</f>
        <v>0</v>
      </c>
      <c r="F433" s="565">
        <f t="array" aca="1" ref="F433" ca="1">IF($B433="N","",SUM(IF((INDIRECT("'"&amp;$B433&amp;"'!I23:I200")=$A$2)*(INDIRECT("'"&amp;$B433&amp;"'!O23:O200")=$D433)*(INDIRECT("'"&amp;$B433&amp;"'!O23:O200")&lt;&gt;"")*(INDIRECT("'"&amp;$B433&amp;"'!H23:H200")=$E$5),INDIRECT("'"&amp;$B433&amp;"'!p23:p200"),0)))</f>
        <v>0</v>
      </c>
      <c r="G433" s="564">
        <f t="array" aca="1" ref="G433" ca="1">IF($B433="N","",SUM(IF((INDIRECT("'"&amp;$B433&amp;"'!I23:I200")=$A$2)*(INDIRECT("'"&amp;$B433&amp;"'!O23:O200")=$D433)*(INDIRECT("'"&amp;$B433&amp;"'!O23:O200")&lt;&gt;"")*(INDIRECT("'"&amp;$B433&amp;"'!H23:H200")=$G$5),1,0)))</f>
        <v>0</v>
      </c>
      <c r="H433" s="565">
        <f t="array" aca="1" ref="H433" ca="1">IF($B433="N","",SUM(IF((INDIRECT("'"&amp;$B433&amp;"'!I23:I200")=$A$2)*(INDIRECT("'"&amp;$B433&amp;"'!O23:O200")=$D433)*(INDIRECT("'"&amp;$B433&amp;"'!O23:O200")&lt;&gt;"")*(INDIRECT("'"&amp;$B433&amp;"'!H23:H200")=$G$5),INDIRECT("'"&amp;$B433&amp;"'!p23:p200"),0)))</f>
        <v>0</v>
      </c>
      <c r="I433" s="515">
        <f t="shared" ca="1" si="68"/>
        <v>0</v>
      </c>
      <c r="J433" s="513">
        <f t="shared" ca="1" si="69"/>
        <v>0</v>
      </c>
    </row>
    <row r="434" spans="1:10">
      <c r="B434" s="563" t="str">
        <f t="shared" si="70"/>
        <v>Roasso Kumamoto</v>
      </c>
      <c r="D434" s="528">
        <v>2</v>
      </c>
      <c r="E434" s="564">
        <f t="array" aca="1" ref="E434" ca="1">IF($B434="N","",SUM(IF((INDIRECT("'"&amp;$B434&amp;"'!I23:I200")=$A$2)*(INDIRECT("'"&amp;$B434&amp;"'!O23:O200")=$D434)*(INDIRECT("'"&amp;$B434&amp;"'!O23:O200")&lt;&gt;"")*(INDIRECT("'"&amp;$B434&amp;"'!H23:H200")=$E$5),1,0)))</f>
        <v>0</v>
      </c>
      <c r="F434" s="565">
        <f t="array" aca="1" ref="F434" ca="1">IF($B434="N","",SUM(IF((INDIRECT("'"&amp;$B434&amp;"'!I23:I200")=$A$2)*(INDIRECT("'"&amp;$B434&amp;"'!O23:O200")=$D434)*(INDIRECT("'"&amp;$B434&amp;"'!O23:O200")&lt;&gt;"")*(INDIRECT("'"&amp;$B434&amp;"'!H23:H200")=$E$5),INDIRECT("'"&amp;$B434&amp;"'!p23:p200"),0)))</f>
        <v>0</v>
      </c>
      <c r="G434" s="564">
        <f t="array" aca="1" ref="G434" ca="1">IF($B434="N","",SUM(IF((INDIRECT("'"&amp;$B434&amp;"'!I23:I200")=$A$2)*(INDIRECT("'"&amp;$B434&amp;"'!O23:O200")=$D434)*(INDIRECT("'"&amp;$B434&amp;"'!O23:O200")&lt;&gt;"")*(INDIRECT("'"&amp;$B434&amp;"'!H23:H200")=$G$5),1,0)))</f>
        <v>0</v>
      </c>
      <c r="H434" s="565">
        <f t="array" aca="1" ref="H434" ca="1">IF($B434="N","",SUM(IF((INDIRECT("'"&amp;$B434&amp;"'!I23:I200")=$A$2)*(INDIRECT("'"&amp;$B434&amp;"'!O23:O200")=$D434)*(INDIRECT("'"&amp;$B434&amp;"'!O23:O200")&lt;&gt;"")*(INDIRECT("'"&amp;$B434&amp;"'!H23:H200")=$G$5),INDIRECT("'"&amp;$B434&amp;"'!p23:p200"),0)))</f>
        <v>0</v>
      </c>
      <c r="I434" s="515">
        <f t="shared" ca="1" si="68"/>
        <v>0</v>
      </c>
      <c r="J434" s="513">
        <f t="shared" ca="1" si="69"/>
        <v>0</v>
      </c>
    </row>
    <row r="435" spans="1:10">
      <c r="B435" s="563" t="str">
        <f t="shared" si="70"/>
        <v>Roasso Kumamoto</v>
      </c>
      <c r="D435" s="528">
        <v>2.25</v>
      </c>
      <c r="E435" s="564">
        <f t="array" aca="1" ref="E435" ca="1">IF($B435="N","",SUM(IF((INDIRECT("'"&amp;$B435&amp;"'!I23:I200")=$A$2)*(INDIRECT("'"&amp;$B435&amp;"'!O23:O200")=$D435)*(INDIRECT("'"&amp;$B435&amp;"'!O23:O200")&lt;&gt;"")*(INDIRECT("'"&amp;$B435&amp;"'!H23:H200")=$E$5),1,0)))</f>
        <v>0</v>
      </c>
      <c r="F435" s="565">
        <f t="array" aca="1" ref="F435" ca="1">IF($B435="N","",SUM(IF((INDIRECT("'"&amp;$B435&amp;"'!I23:I200")=$A$2)*(INDIRECT("'"&amp;$B435&amp;"'!O23:O200")=$D435)*(INDIRECT("'"&amp;$B435&amp;"'!O23:O200")&lt;&gt;"")*(INDIRECT("'"&amp;$B435&amp;"'!H23:H200")=$E$5),INDIRECT("'"&amp;$B435&amp;"'!p23:p200"),0)))</f>
        <v>0</v>
      </c>
      <c r="G435" s="564">
        <f t="array" aca="1" ref="G435" ca="1">IF($B435="N","",SUM(IF((INDIRECT("'"&amp;$B435&amp;"'!I23:I200")=$A$2)*(INDIRECT("'"&amp;$B435&amp;"'!O23:O200")=$D435)*(INDIRECT("'"&amp;$B435&amp;"'!O23:O200")&lt;&gt;"")*(INDIRECT("'"&amp;$B435&amp;"'!H23:H200")=$G$5),1,0)))</f>
        <v>0</v>
      </c>
      <c r="H435" s="565">
        <f t="array" aca="1" ref="H435" ca="1">IF($B435="N","",SUM(IF((INDIRECT("'"&amp;$B435&amp;"'!I23:I200")=$A$2)*(INDIRECT("'"&amp;$B435&amp;"'!O23:O200")=$D435)*(INDIRECT("'"&amp;$B435&amp;"'!O23:O200")&lt;&gt;"")*(INDIRECT("'"&amp;$B435&amp;"'!H23:H200")=$G$5),INDIRECT("'"&amp;$B435&amp;"'!p23:p200"),0)))</f>
        <v>0</v>
      </c>
      <c r="I435" s="515">
        <f t="shared" ca="1" si="68"/>
        <v>0</v>
      </c>
      <c r="J435" s="513">
        <f t="shared" ca="1" si="69"/>
        <v>0</v>
      </c>
    </row>
    <row r="436" spans="1:10">
      <c r="B436" s="563" t="str">
        <f t="shared" si="70"/>
        <v>Roasso Kumamoto</v>
      </c>
      <c r="D436" s="528">
        <v>2.5</v>
      </c>
      <c r="E436" s="564">
        <f t="array" aca="1" ref="E436" ca="1">IF($B436="N","",SUM(IF((INDIRECT("'"&amp;$B436&amp;"'!I23:I200")=$A$2)*(INDIRECT("'"&amp;$B436&amp;"'!O23:O200")=$D436)*(INDIRECT("'"&amp;$B436&amp;"'!O23:O200")&lt;&gt;"")*(INDIRECT("'"&amp;$B436&amp;"'!H23:H200")=$E$5),1,0)))</f>
        <v>0</v>
      </c>
      <c r="F436" s="565">
        <f t="array" aca="1" ref="F436" ca="1">IF($B436="N","",SUM(IF((INDIRECT("'"&amp;$B436&amp;"'!I23:I200")=$A$2)*(INDIRECT("'"&amp;$B436&amp;"'!O23:O200")=$D436)*(INDIRECT("'"&amp;$B436&amp;"'!O23:O200")&lt;&gt;"")*(INDIRECT("'"&amp;$B436&amp;"'!H23:H200")=$E$5),INDIRECT("'"&amp;$B436&amp;"'!p23:p200"),0)))</f>
        <v>0</v>
      </c>
      <c r="G436" s="564">
        <f t="array" aca="1" ref="G436" ca="1">IF($B436="N","",SUM(IF((INDIRECT("'"&amp;$B436&amp;"'!I23:I200")=$A$2)*(INDIRECT("'"&amp;$B436&amp;"'!O23:O200")=$D436)*(INDIRECT("'"&amp;$B436&amp;"'!O23:O200")&lt;&gt;"")*(INDIRECT("'"&amp;$B436&amp;"'!H23:H200")=$G$5),1,0)))</f>
        <v>0</v>
      </c>
      <c r="H436" s="565">
        <f t="array" aca="1" ref="H436" ca="1">IF($B436="N","",SUM(IF((INDIRECT("'"&amp;$B436&amp;"'!I23:I200")=$A$2)*(INDIRECT("'"&amp;$B436&amp;"'!O23:O200")=$D436)*(INDIRECT("'"&amp;$B436&amp;"'!O23:O200")&lt;&gt;"")*(INDIRECT("'"&amp;$B436&amp;"'!H23:H200")=$G$5),INDIRECT("'"&amp;$B436&amp;"'!p23:p200"),0)))</f>
        <v>0</v>
      </c>
      <c r="I436" s="515">
        <f t="shared" ca="1" si="68"/>
        <v>0</v>
      </c>
      <c r="J436" s="513">
        <f t="shared" ca="1" si="69"/>
        <v>0</v>
      </c>
    </row>
    <row r="437" spans="1:10" ht="15" thickBot="1">
      <c r="B437" s="563" t="str">
        <f t="shared" si="70"/>
        <v>Roasso Kumamoto</v>
      </c>
      <c r="D437" s="511">
        <v>2.75</v>
      </c>
      <c r="E437" s="564">
        <f t="array" aca="1" ref="E437" ca="1">IF($B437="N","",SUM(IF((INDIRECT("'"&amp;$B437&amp;"'!I23:I200")=$A$2)*(INDIRECT("'"&amp;$B437&amp;"'!O23:O200")=$D437)*(INDIRECT("'"&amp;$B437&amp;"'!O23:O200")&lt;&gt;"")*(INDIRECT("'"&amp;$B437&amp;"'!H23:H200")=$E$5),1,0)))</f>
        <v>0</v>
      </c>
      <c r="F437" s="565">
        <f t="array" aca="1" ref="F437" ca="1">IF($B437="N","",SUM(IF((INDIRECT("'"&amp;$B437&amp;"'!I23:I200")=$A$2)*(INDIRECT("'"&amp;$B437&amp;"'!O23:O200")=$D437)*(INDIRECT("'"&amp;$B437&amp;"'!O23:O200")&lt;&gt;"")*(INDIRECT("'"&amp;$B437&amp;"'!H23:H200")=$E$5),INDIRECT("'"&amp;$B437&amp;"'!p23:p200"),0)))</f>
        <v>0</v>
      </c>
      <c r="G437" s="564">
        <f t="array" aca="1" ref="G437" ca="1">IF($B437="N","",SUM(IF((INDIRECT("'"&amp;$B437&amp;"'!I23:I200")=$A$2)*(INDIRECT("'"&amp;$B437&amp;"'!O23:O200")=$D437)*(INDIRECT("'"&amp;$B437&amp;"'!O23:O200")&lt;&gt;"")*(INDIRECT("'"&amp;$B437&amp;"'!H23:H200")=$G$5),1,0)))</f>
        <v>0</v>
      </c>
      <c r="H437" s="565">
        <f t="array" aca="1" ref="H437" ca="1">IF($B437="N","",SUM(IF((INDIRECT("'"&amp;$B437&amp;"'!I23:I200")=$A$2)*(INDIRECT("'"&amp;$B437&amp;"'!O23:O200")=$D437)*(INDIRECT("'"&amp;$B437&amp;"'!O23:O200")&lt;&gt;"")*(INDIRECT("'"&amp;$B437&amp;"'!H23:H200")=$G$5),INDIRECT("'"&amp;$B437&amp;"'!p23:p200"),0)))</f>
        <v>0</v>
      </c>
      <c r="I437" s="515">
        <f t="shared" ca="1" si="68"/>
        <v>0</v>
      </c>
      <c r="J437" s="513">
        <f t="shared" ca="1" si="69"/>
        <v>0</v>
      </c>
    </row>
    <row r="438" spans="1:10" ht="15" thickBot="1">
      <c r="A438" s="567"/>
      <c r="B438" s="568"/>
      <c r="C438" s="569" t="str">
        <f>D413</f>
        <v>Roasso Kumamoto</v>
      </c>
      <c r="D438" s="570" t="s">
        <v>115</v>
      </c>
      <c r="E438" s="571">
        <f t="shared" ref="E438:J438" ca="1" si="71">SUM(E415:E437)</f>
        <v>21</v>
      </c>
      <c r="F438" s="572">
        <f t="shared" ca="1" si="71"/>
        <v>-3.5</v>
      </c>
      <c r="G438" s="571">
        <f t="shared" ca="1" si="71"/>
        <v>21</v>
      </c>
      <c r="H438" s="572">
        <f t="shared" ca="1" si="71"/>
        <v>-1</v>
      </c>
      <c r="I438" s="573">
        <f t="shared" ca="1" si="71"/>
        <v>42</v>
      </c>
      <c r="J438" s="572">
        <f t="shared" ca="1" si="71"/>
        <v>-4.5</v>
      </c>
    </row>
    <row r="439" spans="1:10" ht="15" thickBot="1">
      <c r="A439" s="567"/>
      <c r="C439" s="576"/>
    </row>
    <row r="440" spans="1:10">
      <c r="A440" s="567"/>
      <c r="B440" s="357"/>
      <c r="C440" s="569"/>
      <c r="D440" s="562" t="str">
        <f>G2</f>
        <v>Nagoya Grampus</v>
      </c>
      <c r="E440" s="490" t="s">
        <v>80</v>
      </c>
      <c r="F440" s="491"/>
      <c r="G440" s="490" t="s">
        <v>81</v>
      </c>
      <c r="H440" s="491"/>
      <c r="I440" s="490" t="s">
        <v>82</v>
      </c>
      <c r="J440" s="492"/>
    </row>
    <row r="441" spans="1:10" ht="15" thickBot="1">
      <c r="B441" s="357"/>
      <c r="C441" s="357"/>
      <c r="D441" s="499" t="s">
        <v>120</v>
      </c>
      <c r="E441" s="497" t="s">
        <v>123</v>
      </c>
      <c r="F441" s="552" t="s">
        <v>124</v>
      </c>
      <c r="G441" s="497" t="s">
        <v>123</v>
      </c>
      <c r="H441" s="552" t="s">
        <v>124</v>
      </c>
      <c r="I441" s="501" t="s">
        <v>123</v>
      </c>
      <c r="J441" s="552" t="s">
        <v>124</v>
      </c>
    </row>
    <row r="442" spans="1:10">
      <c r="B442" s="563" t="str">
        <f>IF(D440=0,"N",D440)</f>
        <v>Nagoya Grampus</v>
      </c>
      <c r="D442" s="511">
        <v>-2.75</v>
      </c>
      <c r="E442" s="564">
        <f t="array" aca="1" ref="E442" ca="1">IF($B442="N","",SUM(IF((INDIRECT("'"&amp;$B442&amp;"'!I23:I200")=$A$2)*(INDIRECT("'"&amp;$B442&amp;"'!O23:O200")=$D442)*(INDIRECT("'"&amp;$B442&amp;"'!O23:O200")&lt;&gt;"")*(INDIRECT("'"&amp;$B442&amp;"'!H23:H200")=$E$5),1,0)))</f>
        <v>0</v>
      </c>
      <c r="F442" s="565">
        <f t="array" aca="1" ref="F442" ca="1">IF($B442="N","",SUM(IF((INDIRECT("'"&amp;$B442&amp;"'!I23:I200")=$A$2)*(INDIRECT("'"&amp;$B442&amp;"'!O23:O200")=$D442)*(INDIRECT("'"&amp;$B442&amp;"'!O23:O200")&lt;&gt;"")*(INDIRECT("'"&amp;$B442&amp;"'!H23:H200")=$E$5),INDIRECT("'"&amp;$B442&amp;"'!p23:p200"),0)))</f>
        <v>0</v>
      </c>
      <c r="G442" s="564">
        <f t="array" aca="1" ref="G442" ca="1">IF($B442="N","",SUM(IF((INDIRECT("'"&amp;$B442&amp;"'!I23:I200")=$A$2)*(INDIRECT("'"&amp;$B442&amp;"'!O23:O200")=$D442)*(INDIRECT("'"&amp;$B442&amp;"'!O23:O200")&lt;&gt;"")*(INDIRECT("'"&amp;$B442&amp;"'!H23:H200")=$G$5),1,0)))</f>
        <v>0</v>
      </c>
      <c r="H442" s="565">
        <f t="array" aca="1" ref="H442" ca="1">IF($B442="N","",SUM(IF((INDIRECT("'"&amp;$B442&amp;"'!I23:I200")=$A$2)*(INDIRECT("'"&amp;$B442&amp;"'!O23:O200")=$D442)*(INDIRECT("'"&amp;$B442&amp;"'!O23:O200")&lt;&gt;"")*(INDIRECT("'"&amp;$B442&amp;"'!H23:H200")=$G$5),INDIRECT("'"&amp;$B442&amp;"'!p23:p200"),0)))</f>
        <v>0</v>
      </c>
      <c r="I442" s="515">
        <f t="shared" ref="I442:I464" ca="1" si="72">IF(B442="N","",G442+E442)</f>
        <v>0</v>
      </c>
      <c r="J442" s="513">
        <f t="shared" ref="J442:J464" ca="1" si="73">IF(I442="","",F442+H442)</f>
        <v>0</v>
      </c>
    </row>
    <row r="443" spans="1:10">
      <c r="B443" s="563" t="str">
        <f>B442</f>
        <v>Nagoya Grampus</v>
      </c>
      <c r="D443" s="520">
        <v>-2.5</v>
      </c>
      <c r="E443" s="564">
        <f t="array" aca="1" ref="E443" ca="1">IF($B443="N","",SUM(IF((INDIRECT("'"&amp;$B443&amp;"'!I23:I200")=$A$2)*(INDIRECT("'"&amp;$B443&amp;"'!O23:O200")=$D443)*(INDIRECT("'"&amp;$B443&amp;"'!O23:O200")&lt;&gt;"")*(INDIRECT("'"&amp;$B443&amp;"'!H23:H200")=$E$5),1,0)))</f>
        <v>0</v>
      </c>
      <c r="F443" s="565">
        <f t="array" aca="1" ref="F443" ca="1">IF($B443="N","",SUM(IF((INDIRECT("'"&amp;$B443&amp;"'!I23:I200")=$A$2)*(INDIRECT("'"&amp;$B443&amp;"'!O23:O200")=$D443)*(INDIRECT("'"&amp;$B443&amp;"'!O23:O200")&lt;&gt;"")*(INDIRECT("'"&amp;$B443&amp;"'!H23:H200")=$E$5),INDIRECT("'"&amp;$B443&amp;"'!p23:p200"),0)))</f>
        <v>0</v>
      </c>
      <c r="G443" s="564">
        <f t="array" aca="1" ref="G443" ca="1">IF($B443="N","",SUM(IF((INDIRECT("'"&amp;$B443&amp;"'!I23:I200")=$A$2)*(INDIRECT("'"&amp;$B443&amp;"'!O23:O200")=$D443)*(INDIRECT("'"&amp;$B443&amp;"'!O23:O200")&lt;&gt;"")*(INDIRECT("'"&amp;$B443&amp;"'!H23:H200")=$G$5),1,0)))</f>
        <v>0</v>
      </c>
      <c r="H443" s="565">
        <f t="array" aca="1" ref="H443" ca="1">IF($B443="N","",SUM(IF((INDIRECT("'"&amp;$B443&amp;"'!I23:I200")=$A$2)*(INDIRECT("'"&amp;$B443&amp;"'!O23:O200")=$D443)*(INDIRECT("'"&amp;$B443&amp;"'!O23:O200")&lt;&gt;"")*(INDIRECT("'"&amp;$B443&amp;"'!H23:H200")=$G$5),INDIRECT("'"&amp;$B443&amp;"'!p23:p200"),0)))</f>
        <v>0</v>
      </c>
      <c r="I443" s="515">
        <f t="shared" ca="1" si="72"/>
        <v>0</v>
      </c>
      <c r="J443" s="513">
        <f t="shared" ca="1" si="73"/>
        <v>0</v>
      </c>
    </row>
    <row r="444" spans="1:10">
      <c r="B444" s="563" t="str">
        <f t="shared" ref="B444:B464" si="74">B443</f>
        <v>Nagoya Grampus</v>
      </c>
      <c r="D444" s="520">
        <v>-2.25</v>
      </c>
      <c r="E444" s="564">
        <f t="array" aca="1" ref="E444" ca="1">IF($B444="N","",SUM(IF((INDIRECT("'"&amp;$B444&amp;"'!I23:I200")=$A$2)*(INDIRECT("'"&amp;$B444&amp;"'!O23:O200")=$D444)*(INDIRECT("'"&amp;$B444&amp;"'!O23:O200")&lt;&gt;"")*(INDIRECT("'"&amp;$B444&amp;"'!H23:H200")=$E$5),1,0)))</f>
        <v>0</v>
      </c>
      <c r="F444" s="565">
        <f t="array" aca="1" ref="F444" ca="1">IF($B444="N","",SUM(IF((INDIRECT("'"&amp;$B444&amp;"'!I23:I200")=$A$2)*(INDIRECT("'"&amp;$B444&amp;"'!O23:O200")=$D444)*(INDIRECT("'"&amp;$B444&amp;"'!O23:O200")&lt;&gt;"")*(INDIRECT("'"&amp;$B444&amp;"'!H23:H200")=$E$5),INDIRECT("'"&amp;$B444&amp;"'!p23:p200"),0)))</f>
        <v>0</v>
      </c>
      <c r="G444" s="564">
        <f t="array" aca="1" ref="G444" ca="1">IF($B444="N","",SUM(IF((INDIRECT("'"&amp;$B444&amp;"'!I23:I200")=$A$2)*(INDIRECT("'"&amp;$B444&amp;"'!O23:O200")=$D444)*(INDIRECT("'"&amp;$B444&amp;"'!O23:O200")&lt;&gt;"")*(INDIRECT("'"&amp;$B444&amp;"'!H23:H200")=$G$5),1,0)))</f>
        <v>0</v>
      </c>
      <c r="H444" s="565">
        <f t="array" aca="1" ref="H444" ca="1">IF($B444="N","",SUM(IF((INDIRECT("'"&amp;$B444&amp;"'!I23:I200")=$A$2)*(INDIRECT("'"&amp;$B444&amp;"'!O23:O200")=$D444)*(INDIRECT("'"&amp;$B444&amp;"'!O23:O200")&lt;&gt;"")*(INDIRECT("'"&amp;$B444&amp;"'!H23:H200")=$G$5),INDIRECT("'"&amp;$B444&amp;"'!p23:p200"),0)))</f>
        <v>0</v>
      </c>
      <c r="I444" s="515">
        <f t="shared" ca="1" si="72"/>
        <v>0</v>
      </c>
      <c r="J444" s="513">
        <f t="shared" ca="1" si="73"/>
        <v>0</v>
      </c>
    </row>
    <row r="445" spans="1:10">
      <c r="B445" s="563" t="str">
        <f t="shared" si="74"/>
        <v>Nagoya Grampus</v>
      </c>
      <c r="D445" s="520">
        <v>-2</v>
      </c>
      <c r="E445" s="564">
        <f t="array" aca="1" ref="E445" ca="1">IF($B445="N","",SUM(IF((INDIRECT("'"&amp;$B445&amp;"'!I23:I200")=$A$2)*(INDIRECT("'"&amp;$B445&amp;"'!O23:O200")=$D445)*(INDIRECT("'"&amp;$B445&amp;"'!O23:O200")&lt;&gt;"")*(INDIRECT("'"&amp;$B445&amp;"'!H23:H200")=$E$5),1,0)))</f>
        <v>0</v>
      </c>
      <c r="F445" s="565">
        <f t="array" aca="1" ref="F445" ca="1">IF($B445="N","",SUM(IF((INDIRECT("'"&amp;$B445&amp;"'!I23:I200")=$A$2)*(INDIRECT("'"&amp;$B445&amp;"'!O23:O200")=$D445)*(INDIRECT("'"&amp;$B445&amp;"'!O23:O200")&lt;&gt;"")*(INDIRECT("'"&amp;$B445&amp;"'!H23:H200")=$E$5),INDIRECT("'"&amp;$B445&amp;"'!p23:p200"),0)))</f>
        <v>0</v>
      </c>
      <c r="G445" s="564">
        <f t="array" aca="1" ref="G445" ca="1">IF($B445="N","",SUM(IF((INDIRECT("'"&amp;$B445&amp;"'!I23:I200")=$A$2)*(INDIRECT("'"&amp;$B445&amp;"'!O23:O200")=$D445)*(INDIRECT("'"&amp;$B445&amp;"'!O23:O200")&lt;&gt;"")*(INDIRECT("'"&amp;$B445&amp;"'!H23:H200")=$G$5),1,0)))</f>
        <v>0</v>
      </c>
      <c r="H445" s="565">
        <f t="array" aca="1" ref="H445" ca="1">IF($B445="N","",SUM(IF((INDIRECT("'"&amp;$B445&amp;"'!I23:I200")=$A$2)*(INDIRECT("'"&amp;$B445&amp;"'!O23:O200")=$D445)*(INDIRECT("'"&amp;$B445&amp;"'!O23:O200")&lt;&gt;"")*(INDIRECT("'"&amp;$B445&amp;"'!H23:H200")=$G$5),INDIRECT("'"&amp;$B445&amp;"'!p23:p200"),0)))</f>
        <v>0</v>
      </c>
      <c r="I445" s="515">
        <f t="shared" ca="1" si="72"/>
        <v>0</v>
      </c>
      <c r="J445" s="513">
        <f t="shared" ca="1" si="73"/>
        <v>0</v>
      </c>
    </row>
    <row r="446" spans="1:10">
      <c r="B446" s="563" t="str">
        <f t="shared" si="74"/>
        <v>Nagoya Grampus</v>
      </c>
      <c r="D446" s="520">
        <v>-1.75</v>
      </c>
      <c r="E446" s="564">
        <f t="array" aca="1" ref="E446" ca="1">IF($B446="N","",SUM(IF((INDIRECT("'"&amp;$B446&amp;"'!I23:I200")=$A$2)*(INDIRECT("'"&amp;$B446&amp;"'!O23:O200")=$D446)*(INDIRECT("'"&amp;$B446&amp;"'!O23:O200")&lt;&gt;"")*(INDIRECT("'"&amp;$B446&amp;"'!H23:H200")=$E$5),1,0)))</f>
        <v>1</v>
      </c>
      <c r="F446" s="565">
        <f t="array" aca="1" ref="F446" ca="1">IF($B446="N","",SUM(IF((INDIRECT("'"&amp;$B446&amp;"'!I23:I200")=$A$2)*(INDIRECT("'"&amp;$B446&amp;"'!O23:O200")=$D446)*(INDIRECT("'"&amp;$B446&amp;"'!O23:O200")&lt;&gt;"")*(INDIRECT("'"&amp;$B446&amp;"'!H23:H200")=$E$5),INDIRECT("'"&amp;$B446&amp;"'!p23:p200"),0)))</f>
        <v>0.5</v>
      </c>
      <c r="G446" s="564">
        <f t="array" aca="1" ref="G446" ca="1">IF($B446="N","",SUM(IF((INDIRECT("'"&amp;$B446&amp;"'!I23:I200")=$A$2)*(INDIRECT("'"&amp;$B446&amp;"'!O23:O200")=$D446)*(INDIRECT("'"&amp;$B446&amp;"'!O23:O200")&lt;&gt;"")*(INDIRECT("'"&amp;$B446&amp;"'!H23:H200")=$G$5),1,0)))</f>
        <v>0</v>
      </c>
      <c r="H446" s="565">
        <f t="array" aca="1" ref="H446" ca="1">IF($B446="N","",SUM(IF((INDIRECT("'"&amp;$B446&amp;"'!I23:I200")=$A$2)*(INDIRECT("'"&amp;$B446&amp;"'!O23:O200")=$D446)*(INDIRECT("'"&amp;$B446&amp;"'!O23:O200")&lt;&gt;"")*(INDIRECT("'"&amp;$B446&amp;"'!H23:H200")=$G$5),INDIRECT("'"&amp;$B446&amp;"'!p23:p200"),0)))</f>
        <v>0</v>
      </c>
      <c r="I446" s="515">
        <f t="shared" ca="1" si="72"/>
        <v>1</v>
      </c>
      <c r="J446" s="513">
        <f t="shared" ca="1" si="73"/>
        <v>0.5</v>
      </c>
    </row>
    <row r="447" spans="1:10">
      <c r="B447" s="563" t="str">
        <f t="shared" si="74"/>
        <v>Nagoya Grampus</v>
      </c>
      <c r="D447" s="511">
        <v>-1.5</v>
      </c>
      <c r="E447" s="564">
        <f t="array" aca="1" ref="E447" ca="1">IF($B447="N","",SUM(IF((INDIRECT("'"&amp;$B447&amp;"'!I23:I200")=$A$2)*(INDIRECT("'"&amp;$B447&amp;"'!O23:O200")=$D447)*(INDIRECT("'"&amp;$B447&amp;"'!O23:O200")&lt;&gt;"")*(INDIRECT("'"&amp;$B447&amp;"'!H23:H200")=$E$5),1,0)))</f>
        <v>0</v>
      </c>
      <c r="F447" s="565">
        <f t="array" aca="1" ref="F447" ca="1">IF($B447="N","",SUM(IF((INDIRECT("'"&amp;$B447&amp;"'!I23:I200")=$A$2)*(INDIRECT("'"&amp;$B447&amp;"'!O23:O200")=$D447)*(INDIRECT("'"&amp;$B447&amp;"'!O23:O200")&lt;&gt;"")*(INDIRECT("'"&amp;$B447&amp;"'!H23:H200")=$E$5),INDIRECT("'"&amp;$B447&amp;"'!p23:p200"),0)))</f>
        <v>0</v>
      </c>
      <c r="G447" s="564">
        <f t="array" aca="1" ref="G447" ca="1">IF($B447="N","",SUM(IF((INDIRECT("'"&amp;$B447&amp;"'!I23:I200")=$A$2)*(INDIRECT("'"&amp;$B447&amp;"'!O23:O200")=$D447)*(INDIRECT("'"&amp;$B447&amp;"'!O23:O200")&lt;&gt;"")*(INDIRECT("'"&amp;$B447&amp;"'!H23:H200")=$G$5),1,0)))</f>
        <v>0</v>
      </c>
      <c r="H447" s="565">
        <f t="array" aca="1" ref="H447" ca="1">IF($B447="N","",SUM(IF((INDIRECT("'"&amp;$B447&amp;"'!I23:I200")=$A$2)*(INDIRECT("'"&amp;$B447&amp;"'!O23:O200")=$D447)*(INDIRECT("'"&amp;$B447&amp;"'!O23:O200")&lt;&gt;"")*(INDIRECT("'"&amp;$B447&amp;"'!H23:H200")=$G$5),INDIRECT("'"&amp;$B447&amp;"'!p23:p200"),0)))</f>
        <v>0</v>
      </c>
      <c r="I447" s="515">
        <f t="shared" ca="1" si="72"/>
        <v>0</v>
      </c>
      <c r="J447" s="513">
        <f t="shared" ca="1" si="73"/>
        <v>0</v>
      </c>
    </row>
    <row r="448" spans="1:10">
      <c r="B448" s="563" t="str">
        <f t="shared" si="74"/>
        <v>Nagoya Grampus</v>
      </c>
      <c r="D448" s="511">
        <v>-1.25</v>
      </c>
      <c r="E448" s="564">
        <f t="array" aca="1" ref="E448" ca="1">IF($B448="N","",SUM(IF((INDIRECT("'"&amp;$B448&amp;"'!I23:I200")=$A$2)*(INDIRECT("'"&amp;$B448&amp;"'!O23:O200")=$D448)*(INDIRECT("'"&amp;$B448&amp;"'!O23:O200")&lt;&gt;"")*(INDIRECT("'"&amp;$B448&amp;"'!H23:H200")=$E$5),1,0)))</f>
        <v>0</v>
      </c>
      <c r="F448" s="565">
        <f t="array" aca="1" ref="F448" ca="1">IF($B448="N","",SUM(IF((INDIRECT("'"&amp;$B448&amp;"'!I23:I200")=$A$2)*(INDIRECT("'"&amp;$B448&amp;"'!O23:O200")=$D448)*(INDIRECT("'"&amp;$B448&amp;"'!O23:O200")&lt;&gt;"")*(INDIRECT("'"&amp;$B448&amp;"'!H23:H200")=$E$5),INDIRECT("'"&amp;$B448&amp;"'!p23:p200"),0)))</f>
        <v>0</v>
      </c>
      <c r="G448" s="564">
        <f t="array" aca="1" ref="G448" ca="1">IF($B448="N","",SUM(IF((INDIRECT("'"&amp;$B448&amp;"'!I23:I200")=$A$2)*(INDIRECT("'"&amp;$B448&amp;"'!O23:O200")=$D448)*(INDIRECT("'"&amp;$B448&amp;"'!O23:O200")&lt;&gt;"")*(INDIRECT("'"&amp;$B448&amp;"'!H23:H200")=$G$5),1,0)))</f>
        <v>0</v>
      </c>
      <c r="H448" s="565">
        <f t="array" aca="1" ref="H448" ca="1">IF($B448="N","",SUM(IF((INDIRECT("'"&amp;$B448&amp;"'!I23:I200")=$A$2)*(INDIRECT("'"&amp;$B448&amp;"'!O23:O200")=$D448)*(INDIRECT("'"&amp;$B448&amp;"'!O23:O200")&lt;&gt;"")*(INDIRECT("'"&amp;$B448&amp;"'!H23:H200")=$G$5),INDIRECT("'"&amp;$B448&amp;"'!p23:p200"),0)))</f>
        <v>0</v>
      </c>
      <c r="I448" s="515">
        <f t="shared" ca="1" si="72"/>
        <v>0</v>
      </c>
      <c r="J448" s="513">
        <f t="shared" ca="1" si="73"/>
        <v>0</v>
      </c>
    </row>
    <row r="449" spans="2:10">
      <c r="B449" s="563" t="str">
        <f t="shared" si="74"/>
        <v>Nagoya Grampus</v>
      </c>
      <c r="D449" s="511">
        <v>-1</v>
      </c>
      <c r="E449" s="564">
        <f t="array" aca="1" ref="E449" ca="1">IF($B449="N","",SUM(IF((INDIRECT("'"&amp;$B449&amp;"'!I23:I200")=$A$2)*(INDIRECT("'"&amp;$B449&amp;"'!O23:O200")=$D449)*(INDIRECT("'"&amp;$B449&amp;"'!O23:O200")&lt;&gt;"")*(INDIRECT("'"&amp;$B449&amp;"'!H23:H200")=$E$5),1,0)))</f>
        <v>0</v>
      </c>
      <c r="F449" s="565">
        <f t="array" aca="1" ref="F449" ca="1">IF($B449="N","",SUM(IF((INDIRECT("'"&amp;$B449&amp;"'!I23:I200")=$A$2)*(INDIRECT("'"&amp;$B449&amp;"'!O23:O200")=$D449)*(INDIRECT("'"&amp;$B449&amp;"'!O23:O200")&lt;&gt;"")*(INDIRECT("'"&amp;$B449&amp;"'!H23:H200")=$E$5),INDIRECT("'"&amp;$B449&amp;"'!p23:p200"),0)))</f>
        <v>0</v>
      </c>
      <c r="G449" s="564">
        <f t="array" aca="1" ref="G449" ca="1">IF($B449="N","",SUM(IF((INDIRECT("'"&amp;$B449&amp;"'!I23:I200")=$A$2)*(INDIRECT("'"&amp;$B449&amp;"'!O23:O200")=$D449)*(INDIRECT("'"&amp;$B449&amp;"'!O23:O200")&lt;&gt;"")*(INDIRECT("'"&amp;$B449&amp;"'!H23:H200")=$G$5),1,0)))</f>
        <v>0</v>
      </c>
      <c r="H449" s="565">
        <f t="array" aca="1" ref="H449" ca="1">IF($B449="N","",SUM(IF((INDIRECT("'"&amp;$B449&amp;"'!I23:I200")=$A$2)*(INDIRECT("'"&amp;$B449&amp;"'!O23:O200")=$D449)*(INDIRECT("'"&amp;$B449&amp;"'!O23:O200")&lt;&gt;"")*(INDIRECT("'"&amp;$B449&amp;"'!H23:H200")=$G$5),INDIRECT("'"&amp;$B449&amp;"'!p23:p200"),0)))</f>
        <v>0</v>
      </c>
      <c r="I449" s="515">
        <f t="shared" ca="1" si="72"/>
        <v>0</v>
      </c>
      <c r="J449" s="513">
        <f t="shared" ca="1" si="73"/>
        <v>0</v>
      </c>
    </row>
    <row r="450" spans="2:10">
      <c r="B450" s="563" t="str">
        <f t="shared" si="74"/>
        <v>Nagoya Grampus</v>
      </c>
      <c r="D450" s="511">
        <v>-0.75</v>
      </c>
      <c r="E450" s="564">
        <f t="array" aca="1" ref="E450" ca="1">IF($B450="N","",SUM(IF((INDIRECT("'"&amp;$B450&amp;"'!I23:I200")=$A$2)*(INDIRECT("'"&amp;$B450&amp;"'!O23:O200")=$D450)*(INDIRECT("'"&amp;$B450&amp;"'!O23:O200")&lt;&gt;"")*(INDIRECT("'"&amp;$B450&amp;"'!H23:H200")=$E$5),1,0)))</f>
        <v>3</v>
      </c>
      <c r="F450" s="565">
        <f t="array" aca="1" ref="F450" ca="1">IF($B450="N","",SUM(IF((INDIRECT("'"&amp;$B450&amp;"'!I23:I200")=$A$2)*(INDIRECT("'"&amp;$B450&amp;"'!O23:O200")=$D450)*(INDIRECT("'"&amp;$B450&amp;"'!O23:O200")&lt;&gt;"")*(INDIRECT("'"&amp;$B450&amp;"'!H23:H200")=$E$5),INDIRECT("'"&amp;$B450&amp;"'!p23:p200"),0)))</f>
        <v>-1</v>
      </c>
      <c r="G450" s="564">
        <f t="array" aca="1" ref="G450" ca="1">IF($B450="N","",SUM(IF((INDIRECT("'"&amp;$B450&amp;"'!I23:I200")=$A$2)*(INDIRECT("'"&amp;$B450&amp;"'!O23:O200")=$D450)*(INDIRECT("'"&amp;$B450&amp;"'!O23:O200")&lt;&gt;"")*(INDIRECT("'"&amp;$B450&amp;"'!H23:H200")=$G$5),1,0)))</f>
        <v>2</v>
      </c>
      <c r="H450" s="565">
        <f t="array" aca="1" ref="H450" ca="1">IF($B450="N","",SUM(IF((INDIRECT("'"&amp;$B450&amp;"'!I23:I200")=$A$2)*(INDIRECT("'"&amp;$B450&amp;"'!O23:O200")=$D450)*(INDIRECT("'"&amp;$B450&amp;"'!O23:O200")&lt;&gt;"")*(INDIRECT("'"&amp;$B450&amp;"'!H23:H200")=$G$5),INDIRECT("'"&amp;$B450&amp;"'!p23:p200"),0)))</f>
        <v>2</v>
      </c>
      <c r="I450" s="515">
        <f t="shared" ca="1" si="72"/>
        <v>5</v>
      </c>
      <c r="J450" s="513">
        <f t="shared" ca="1" si="73"/>
        <v>1</v>
      </c>
    </row>
    <row r="451" spans="2:10">
      <c r="B451" s="563" t="str">
        <f t="shared" si="74"/>
        <v>Nagoya Grampus</v>
      </c>
      <c r="D451" s="511">
        <v>-0.5</v>
      </c>
      <c r="E451" s="564">
        <f t="array" aca="1" ref="E451" ca="1">IF($B451="N","",SUM(IF((INDIRECT("'"&amp;$B451&amp;"'!I23:I200")=$A$2)*(INDIRECT("'"&amp;$B451&amp;"'!O23:O200")=$D451)*(INDIRECT("'"&amp;$B451&amp;"'!O23:O200")&lt;&gt;"")*(INDIRECT("'"&amp;$B451&amp;"'!H23:H200")=$E$5),1,0)))</f>
        <v>6</v>
      </c>
      <c r="F451" s="565">
        <f t="array" aca="1" ref="F451" ca="1">IF($B451="N","",SUM(IF((INDIRECT("'"&amp;$B451&amp;"'!I23:I200")=$A$2)*(INDIRECT("'"&amp;$B451&amp;"'!O23:O200")=$D451)*(INDIRECT("'"&amp;$B451&amp;"'!O23:O200")&lt;&gt;"")*(INDIRECT("'"&amp;$B451&amp;"'!H23:H200")=$E$5),INDIRECT("'"&amp;$B451&amp;"'!p23:p200"),0)))</f>
        <v>0</v>
      </c>
      <c r="G451" s="564">
        <f t="array" aca="1" ref="G451" ca="1">IF($B451="N","",SUM(IF((INDIRECT("'"&amp;$B451&amp;"'!I23:I200")=$A$2)*(INDIRECT("'"&amp;$B451&amp;"'!O23:O200")=$D451)*(INDIRECT("'"&amp;$B451&amp;"'!O23:O200")&lt;&gt;"")*(INDIRECT("'"&amp;$B451&amp;"'!H23:H200")=$G$5),1,0)))</f>
        <v>4</v>
      </c>
      <c r="H451" s="565">
        <f t="array" aca="1" ref="H451" ca="1">IF($B451="N","",SUM(IF((INDIRECT("'"&amp;$B451&amp;"'!I23:I200")=$A$2)*(INDIRECT("'"&amp;$B451&amp;"'!O23:O200")=$D451)*(INDIRECT("'"&amp;$B451&amp;"'!O23:O200")&lt;&gt;"")*(INDIRECT("'"&amp;$B451&amp;"'!H23:H200")=$G$5),INDIRECT("'"&amp;$B451&amp;"'!p23:p200"),0)))</f>
        <v>2</v>
      </c>
      <c r="I451" s="515">
        <f t="shared" ca="1" si="72"/>
        <v>10</v>
      </c>
      <c r="J451" s="513">
        <f t="shared" ca="1" si="73"/>
        <v>2</v>
      </c>
    </row>
    <row r="452" spans="2:10">
      <c r="B452" s="563" t="str">
        <f t="shared" si="74"/>
        <v>Nagoya Grampus</v>
      </c>
      <c r="D452" s="511">
        <v>-0.25</v>
      </c>
      <c r="E452" s="564">
        <f t="array" aca="1" ref="E452" ca="1">IF($B452="N","",SUM(IF((INDIRECT("'"&amp;$B452&amp;"'!I23:I200")=$A$2)*(INDIRECT("'"&amp;$B452&amp;"'!O23:O200")=$D452)*(INDIRECT("'"&amp;$B452&amp;"'!O23:O200")&lt;&gt;"")*(INDIRECT("'"&amp;$B452&amp;"'!H23:H200")=$E$5),1,0)))</f>
        <v>8</v>
      </c>
      <c r="F452" s="565">
        <f t="array" aca="1" ref="F452" ca="1">IF($B452="N","",SUM(IF((INDIRECT("'"&amp;$B452&amp;"'!I23:I200")=$A$2)*(INDIRECT("'"&amp;$B452&amp;"'!O23:O200")=$D452)*(INDIRECT("'"&amp;$B452&amp;"'!O23:O200")&lt;&gt;"")*(INDIRECT("'"&amp;$B452&amp;"'!H23:H200")=$E$5),INDIRECT("'"&amp;$B452&amp;"'!p23:p200"),0)))</f>
        <v>4.5</v>
      </c>
      <c r="G452" s="564">
        <f t="array" aca="1" ref="G452" ca="1">IF($B452="N","",SUM(IF((INDIRECT("'"&amp;$B452&amp;"'!I23:I200")=$A$2)*(INDIRECT("'"&amp;$B452&amp;"'!O23:O200")=$D452)*(INDIRECT("'"&amp;$B452&amp;"'!O23:O200")&lt;&gt;"")*(INDIRECT("'"&amp;$B452&amp;"'!H23:H200")=$G$5),1,0)))</f>
        <v>3</v>
      </c>
      <c r="H452" s="565">
        <f t="array" aca="1" ref="H452" ca="1">IF($B452="N","",SUM(IF((INDIRECT("'"&amp;$B452&amp;"'!I23:I200")=$A$2)*(INDIRECT("'"&amp;$B452&amp;"'!O23:O200")=$D452)*(INDIRECT("'"&amp;$B452&amp;"'!O23:O200")&lt;&gt;"")*(INDIRECT("'"&amp;$B452&amp;"'!H23:H200")=$G$5),INDIRECT("'"&amp;$B452&amp;"'!p23:p200"),0)))</f>
        <v>1</v>
      </c>
      <c r="I452" s="515">
        <f t="shared" ca="1" si="72"/>
        <v>11</v>
      </c>
      <c r="J452" s="513">
        <f t="shared" ca="1" si="73"/>
        <v>5.5</v>
      </c>
    </row>
    <row r="453" spans="2:10">
      <c r="B453" s="563" t="str">
        <f t="shared" si="74"/>
        <v>Nagoya Grampus</v>
      </c>
      <c r="D453" s="511">
        <v>0</v>
      </c>
      <c r="E453" s="564">
        <f t="array" aca="1" ref="E453" ca="1">IF($B453="N","",SUM(IF((INDIRECT("'"&amp;$B453&amp;"'!I23:I200")=$A$2)*(INDIRECT("'"&amp;$B453&amp;"'!O23:O200")=$D453)*(INDIRECT("'"&amp;$B453&amp;"'!O23:O200")&lt;&gt;"")*(INDIRECT("'"&amp;$B453&amp;"'!H23:H200")=$E$5),1,0)))</f>
        <v>3</v>
      </c>
      <c r="F453" s="565">
        <f t="array" aca="1" ref="F453" ca="1">IF($B453="N","",SUM(IF((INDIRECT("'"&amp;$B453&amp;"'!I23:I200")=$A$2)*(INDIRECT("'"&amp;$B453&amp;"'!O23:O200")=$D453)*(INDIRECT("'"&amp;$B453&amp;"'!O23:O200")&lt;&gt;"")*(INDIRECT("'"&amp;$B453&amp;"'!H23:H200")=$E$5),INDIRECT("'"&amp;$B453&amp;"'!p23:p200"),0)))</f>
        <v>3</v>
      </c>
      <c r="G453" s="564">
        <f t="array" aca="1" ref="G453" ca="1">IF($B453="N","",SUM(IF((INDIRECT("'"&amp;$B453&amp;"'!I23:I200")=$A$2)*(INDIRECT("'"&amp;$B453&amp;"'!O23:O200")=$D453)*(INDIRECT("'"&amp;$B453&amp;"'!O23:O200")&lt;&gt;"")*(INDIRECT("'"&amp;$B453&amp;"'!H23:H200")=$G$5),1,0)))</f>
        <v>8</v>
      </c>
      <c r="H453" s="565">
        <f t="array" aca="1" ref="H453" ca="1">IF($B453="N","",SUM(IF((INDIRECT("'"&amp;$B453&amp;"'!I23:I200")=$A$2)*(INDIRECT("'"&amp;$B453&amp;"'!O23:O200")=$D453)*(INDIRECT("'"&amp;$B453&amp;"'!O23:O200")&lt;&gt;"")*(INDIRECT("'"&amp;$B453&amp;"'!H23:H200")=$G$5),INDIRECT("'"&amp;$B453&amp;"'!p23:p200"),0)))</f>
        <v>0</v>
      </c>
      <c r="I453" s="515">
        <f t="shared" ca="1" si="72"/>
        <v>11</v>
      </c>
      <c r="J453" s="513">
        <f t="shared" ca="1" si="73"/>
        <v>3</v>
      </c>
    </row>
    <row r="454" spans="2:10">
      <c r="B454" s="563" t="str">
        <f t="shared" si="74"/>
        <v>Nagoya Grampus</v>
      </c>
      <c r="D454" s="511">
        <v>0.25</v>
      </c>
      <c r="E454" s="564">
        <f t="array" aca="1" ref="E454" ca="1">IF($B454="N","",SUM(IF((INDIRECT("'"&amp;$B454&amp;"'!I23:I200")=$A$2)*(INDIRECT("'"&amp;$B454&amp;"'!O23:O200")=$D454)*(INDIRECT("'"&amp;$B454&amp;"'!O23:O200")&lt;&gt;"")*(INDIRECT("'"&amp;$B454&amp;"'!H23:H200")=$E$5),1,0)))</f>
        <v>1</v>
      </c>
      <c r="F454" s="565">
        <f t="array" aca="1" ref="F454" ca="1">IF($B454="N","",SUM(IF((INDIRECT("'"&amp;$B454&amp;"'!I23:I200")=$A$2)*(INDIRECT("'"&amp;$B454&amp;"'!O23:O200")=$D454)*(INDIRECT("'"&amp;$B454&amp;"'!O23:O200")&lt;&gt;"")*(INDIRECT("'"&amp;$B454&amp;"'!H23:H200")=$E$5),INDIRECT("'"&amp;$B454&amp;"'!p23:p200"),0)))</f>
        <v>-1</v>
      </c>
      <c r="G454" s="564">
        <f t="array" aca="1" ref="G454" ca="1">IF($B454="N","",SUM(IF((INDIRECT("'"&amp;$B454&amp;"'!I23:I200")=$A$2)*(INDIRECT("'"&amp;$B454&amp;"'!O23:O200")=$D454)*(INDIRECT("'"&amp;$B454&amp;"'!O23:O200")&lt;&gt;"")*(INDIRECT("'"&amp;$B454&amp;"'!H23:H200")=$G$5),1,0)))</f>
        <v>4</v>
      </c>
      <c r="H454" s="565">
        <f t="array" aca="1" ref="H454" ca="1">IF($B454="N","",SUM(IF((INDIRECT("'"&amp;$B454&amp;"'!I23:I200")=$A$2)*(INDIRECT("'"&amp;$B454&amp;"'!O23:O200")=$D454)*(INDIRECT("'"&amp;$B454&amp;"'!O23:O200")&lt;&gt;"")*(INDIRECT("'"&amp;$B454&amp;"'!H23:H200")=$G$5),INDIRECT("'"&amp;$B454&amp;"'!p23:p200"),0)))</f>
        <v>-2</v>
      </c>
      <c r="I454" s="515">
        <f t="shared" ca="1" si="72"/>
        <v>5</v>
      </c>
      <c r="J454" s="513">
        <f t="shared" ca="1" si="73"/>
        <v>-3</v>
      </c>
    </row>
    <row r="455" spans="2:10">
      <c r="B455" s="563" t="str">
        <f t="shared" si="74"/>
        <v>Nagoya Grampus</v>
      </c>
      <c r="D455" s="511">
        <v>0.5</v>
      </c>
      <c r="E455" s="564">
        <f t="array" aca="1" ref="E455" ca="1">IF($B455="N","",SUM(IF((INDIRECT("'"&amp;$B455&amp;"'!I23:I200")=$A$2)*(INDIRECT("'"&amp;$B455&amp;"'!O23:O200")=$D455)*(INDIRECT("'"&amp;$B455&amp;"'!O23:O200")&lt;&gt;"")*(INDIRECT("'"&amp;$B455&amp;"'!H23:H200")=$E$5),1,0)))</f>
        <v>0</v>
      </c>
      <c r="F455" s="565">
        <f t="array" aca="1" ref="F455" ca="1">IF($B455="N","",SUM(IF((INDIRECT("'"&amp;$B455&amp;"'!I23:I200")=$A$2)*(INDIRECT("'"&amp;$B455&amp;"'!O23:O200")=$D455)*(INDIRECT("'"&amp;$B455&amp;"'!O23:O200")&lt;&gt;"")*(INDIRECT("'"&amp;$B455&amp;"'!H23:H200")=$E$5),INDIRECT("'"&amp;$B455&amp;"'!p23:p200"),0)))</f>
        <v>0</v>
      </c>
      <c r="G455" s="564">
        <f t="array" aca="1" ref="G455" ca="1">IF($B455="N","",SUM(IF((INDIRECT("'"&amp;$B455&amp;"'!I23:I200")=$A$2)*(INDIRECT("'"&amp;$B455&amp;"'!O23:O200")=$D455)*(INDIRECT("'"&amp;$B455&amp;"'!O23:O200")&lt;&gt;"")*(INDIRECT("'"&amp;$B455&amp;"'!H23:H200")=$G$5),1,0)))</f>
        <v>0</v>
      </c>
      <c r="H455" s="565">
        <f t="array" aca="1" ref="H455" ca="1">IF($B455="N","",SUM(IF((INDIRECT("'"&amp;$B455&amp;"'!I23:I200")=$A$2)*(INDIRECT("'"&amp;$B455&amp;"'!O23:O200")=$D455)*(INDIRECT("'"&amp;$B455&amp;"'!O23:O200")&lt;&gt;"")*(INDIRECT("'"&amp;$B455&amp;"'!H23:H200")=$G$5),INDIRECT("'"&amp;$B455&amp;"'!p23:p200"),0)))</f>
        <v>0</v>
      </c>
      <c r="I455" s="515">
        <f t="shared" ca="1" si="72"/>
        <v>0</v>
      </c>
      <c r="J455" s="513">
        <f t="shared" ca="1" si="73"/>
        <v>0</v>
      </c>
    </row>
    <row r="456" spans="2:10">
      <c r="B456" s="563" t="str">
        <f t="shared" si="74"/>
        <v>Nagoya Grampus</v>
      </c>
      <c r="D456" s="511">
        <v>0.75</v>
      </c>
      <c r="E456" s="564">
        <f t="array" aca="1" ref="E456" ca="1">IF($B456="N","",SUM(IF((INDIRECT("'"&amp;$B456&amp;"'!I23:I200")=$A$2)*(INDIRECT("'"&amp;$B456&amp;"'!O23:O200")=$D456)*(INDIRECT("'"&amp;$B456&amp;"'!O23:O200")&lt;&gt;"")*(INDIRECT("'"&amp;$B456&amp;"'!H23:H200")=$E$5),1,0)))</f>
        <v>0</v>
      </c>
      <c r="F456" s="565">
        <f t="array" aca="1" ref="F456" ca="1">IF($B456="N","",SUM(IF((INDIRECT("'"&amp;$B456&amp;"'!I23:I200")=$A$2)*(INDIRECT("'"&amp;$B456&amp;"'!O23:O200")=$D456)*(INDIRECT("'"&amp;$B456&amp;"'!O23:O200")&lt;&gt;"")*(INDIRECT("'"&amp;$B456&amp;"'!H23:H200")=$E$5),INDIRECT("'"&amp;$B456&amp;"'!p23:p200"),0)))</f>
        <v>0</v>
      </c>
      <c r="G456" s="564">
        <f t="array" aca="1" ref="G456" ca="1">IF($B456="N","",SUM(IF((INDIRECT("'"&amp;$B456&amp;"'!I23:I200")=$A$2)*(INDIRECT("'"&amp;$B456&amp;"'!O23:O200")=$D456)*(INDIRECT("'"&amp;$B456&amp;"'!O23:O200")&lt;&gt;"")*(INDIRECT("'"&amp;$B456&amp;"'!H23:H200")=$G$5),1,0)))</f>
        <v>0</v>
      </c>
      <c r="H456" s="565">
        <f t="array" aca="1" ref="H456" ca="1">IF($B456="N","",SUM(IF((INDIRECT("'"&amp;$B456&amp;"'!I23:I200")=$A$2)*(INDIRECT("'"&amp;$B456&amp;"'!O23:O200")=$D456)*(INDIRECT("'"&amp;$B456&amp;"'!O23:O200")&lt;&gt;"")*(INDIRECT("'"&amp;$B456&amp;"'!H23:H200")=$G$5),INDIRECT("'"&amp;$B456&amp;"'!p23:p200"),0)))</f>
        <v>0</v>
      </c>
      <c r="I456" s="515">
        <f t="shared" ca="1" si="72"/>
        <v>0</v>
      </c>
      <c r="J456" s="513">
        <f t="shared" ca="1" si="73"/>
        <v>0</v>
      </c>
    </row>
    <row r="457" spans="2:10">
      <c r="B457" s="563" t="str">
        <f t="shared" si="74"/>
        <v>Nagoya Grampus</v>
      </c>
      <c r="D457" s="511">
        <v>1</v>
      </c>
      <c r="E457" s="564">
        <f t="array" aca="1" ref="E457" ca="1">IF($B457="N","",SUM(IF((INDIRECT("'"&amp;$B457&amp;"'!I23:I200")=$A$2)*(INDIRECT("'"&amp;$B457&amp;"'!O23:O200")=$D457)*(INDIRECT("'"&amp;$B457&amp;"'!O23:O200")&lt;&gt;"")*(INDIRECT("'"&amp;$B457&amp;"'!H23:H200")=$E$5),1,0)))</f>
        <v>0</v>
      </c>
      <c r="F457" s="565">
        <f t="array" aca="1" ref="F457" ca="1">IF($B457="N","",SUM(IF((INDIRECT("'"&amp;$B457&amp;"'!I23:I200")=$A$2)*(INDIRECT("'"&amp;$B457&amp;"'!O23:O200")=$D457)*(INDIRECT("'"&amp;$B457&amp;"'!O23:O200")&lt;&gt;"")*(INDIRECT("'"&amp;$B457&amp;"'!H23:H200")=$E$5),INDIRECT("'"&amp;$B457&amp;"'!p23:p200"),0)))</f>
        <v>0</v>
      </c>
      <c r="G457" s="564">
        <f t="array" aca="1" ref="G457" ca="1">IF($B457="N","",SUM(IF((INDIRECT("'"&amp;$B457&amp;"'!I23:I200")=$A$2)*(INDIRECT("'"&amp;$B457&amp;"'!O23:O200")=$D457)*(INDIRECT("'"&amp;$B457&amp;"'!O23:O200")&lt;&gt;"")*(INDIRECT("'"&amp;$B457&amp;"'!H23:H200")=$G$5),1,0)))</f>
        <v>0</v>
      </c>
      <c r="H457" s="565">
        <f t="array" aca="1" ref="H457" ca="1">IF($B457="N","",SUM(IF((INDIRECT("'"&amp;$B457&amp;"'!I23:I200")=$A$2)*(INDIRECT("'"&amp;$B457&amp;"'!O23:O200")=$D457)*(INDIRECT("'"&amp;$B457&amp;"'!O23:O200")&lt;&gt;"")*(INDIRECT("'"&amp;$B457&amp;"'!H23:H200")=$G$5),INDIRECT("'"&amp;$B457&amp;"'!p23:p200"),0)))</f>
        <v>0</v>
      </c>
      <c r="I457" s="515">
        <f t="shared" ca="1" si="72"/>
        <v>0</v>
      </c>
      <c r="J457" s="513">
        <f t="shared" ca="1" si="73"/>
        <v>0</v>
      </c>
    </row>
    <row r="458" spans="2:10">
      <c r="B458" s="563" t="str">
        <f t="shared" si="74"/>
        <v>Nagoya Grampus</v>
      </c>
      <c r="D458" s="511">
        <v>1.25</v>
      </c>
      <c r="E458" s="564">
        <f t="array" aca="1" ref="E458" ca="1">IF($B458="N","",SUM(IF((INDIRECT("'"&amp;$B458&amp;"'!I23:I200")=$A$2)*(INDIRECT("'"&amp;$B458&amp;"'!O23:O200")=$D458)*(INDIRECT("'"&amp;$B458&amp;"'!O23:O200")&lt;&gt;"")*(INDIRECT("'"&amp;$B458&amp;"'!H23:H200")=$E$5),1,0)))</f>
        <v>0</v>
      </c>
      <c r="F458" s="565">
        <f t="array" aca="1" ref="F458" ca="1">IF($B458="N","",SUM(IF((INDIRECT("'"&amp;$B458&amp;"'!I23:I200")=$A$2)*(INDIRECT("'"&amp;$B458&amp;"'!O23:O200")=$D458)*(INDIRECT("'"&amp;$B458&amp;"'!O23:O200")&lt;&gt;"")*(INDIRECT("'"&amp;$B458&amp;"'!H23:H200")=$E$5),INDIRECT("'"&amp;$B458&amp;"'!p23:p200"),0)))</f>
        <v>0</v>
      </c>
      <c r="G458" s="564">
        <f t="array" aca="1" ref="G458" ca="1">IF($B458="N","",SUM(IF((INDIRECT("'"&amp;$B458&amp;"'!I23:I200")=$A$2)*(INDIRECT("'"&amp;$B458&amp;"'!O23:O200")=$D458)*(INDIRECT("'"&amp;$B458&amp;"'!O23:O200")&lt;&gt;"")*(INDIRECT("'"&amp;$B458&amp;"'!H23:H200")=$G$5),1,0)))</f>
        <v>0</v>
      </c>
      <c r="H458" s="565">
        <f t="array" aca="1" ref="H458" ca="1">IF($B458="N","",SUM(IF((INDIRECT("'"&amp;$B458&amp;"'!I23:I200")=$A$2)*(INDIRECT("'"&amp;$B458&amp;"'!O23:O200")=$D458)*(INDIRECT("'"&amp;$B458&amp;"'!O23:O200")&lt;&gt;"")*(INDIRECT("'"&amp;$B458&amp;"'!H23:H200")=$G$5),INDIRECT("'"&amp;$B458&amp;"'!p23:p200"),0)))</f>
        <v>0</v>
      </c>
      <c r="I458" s="515">
        <f t="shared" ca="1" si="72"/>
        <v>0</v>
      </c>
      <c r="J458" s="513">
        <f t="shared" ca="1" si="73"/>
        <v>0</v>
      </c>
    </row>
    <row r="459" spans="2:10">
      <c r="B459" s="563" t="str">
        <f t="shared" si="74"/>
        <v>Nagoya Grampus</v>
      </c>
      <c r="D459" s="511">
        <v>1.5</v>
      </c>
      <c r="E459" s="564">
        <f t="array" aca="1" ref="E459" ca="1">IF($B459="N","",SUM(IF((INDIRECT("'"&amp;$B459&amp;"'!I23:I200")=$A$2)*(INDIRECT("'"&amp;$B459&amp;"'!O23:O200")=$D459)*(INDIRECT("'"&amp;$B459&amp;"'!O23:O200")&lt;&gt;"")*(INDIRECT("'"&amp;$B459&amp;"'!H23:H200")=$E$5),1,0)))</f>
        <v>0</v>
      </c>
      <c r="F459" s="565">
        <f t="array" aca="1" ref="F459" ca="1">IF($B459="N","",SUM(IF((INDIRECT("'"&amp;$B459&amp;"'!I23:I200")=$A$2)*(INDIRECT("'"&amp;$B459&amp;"'!O23:O200")=$D459)*(INDIRECT("'"&amp;$B459&amp;"'!O23:O200")&lt;&gt;"")*(INDIRECT("'"&amp;$B459&amp;"'!H23:H200")=$E$5),INDIRECT("'"&amp;$B459&amp;"'!p23:p200"),0)))</f>
        <v>0</v>
      </c>
      <c r="G459" s="564">
        <f t="array" aca="1" ref="G459" ca="1">IF($B459="N","",SUM(IF((INDIRECT("'"&amp;$B459&amp;"'!I23:I200")=$A$2)*(INDIRECT("'"&amp;$B459&amp;"'!O23:O200")=$D459)*(INDIRECT("'"&amp;$B459&amp;"'!O23:O200")&lt;&gt;"")*(INDIRECT("'"&amp;$B459&amp;"'!H23:H200")=$G$5),1,0)))</f>
        <v>0</v>
      </c>
      <c r="H459" s="565">
        <f t="array" aca="1" ref="H459" ca="1">IF($B459="N","",SUM(IF((INDIRECT("'"&amp;$B459&amp;"'!I23:I200")=$A$2)*(INDIRECT("'"&amp;$B459&amp;"'!O23:O200")=$D459)*(INDIRECT("'"&amp;$B459&amp;"'!O23:O200")&lt;&gt;"")*(INDIRECT("'"&amp;$B459&amp;"'!H23:H200")=$G$5),INDIRECT("'"&amp;$B459&amp;"'!p23:p200"),0)))</f>
        <v>0</v>
      </c>
      <c r="I459" s="515">
        <f t="shared" ca="1" si="72"/>
        <v>0</v>
      </c>
      <c r="J459" s="513">
        <f t="shared" ca="1" si="73"/>
        <v>0</v>
      </c>
    </row>
    <row r="460" spans="2:10">
      <c r="B460" s="563" t="str">
        <f t="shared" si="74"/>
        <v>Nagoya Grampus</v>
      </c>
      <c r="D460" s="528">
        <v>1.75</v>
      </c>
      <c r="E460" s="564">
        <f t="array" aca="1" ref="E460" ca="1">IF($B460="N","",SUM(IF((INDIRECT("'"&amp;$B460&amp;"'!I23:I200")=$A$2)*(INDIRECT("'"&amp;$B460&amp;"'!O23:O200")=$D460)*(INDIRECT("'"&amp;$B460&amp;"'!O23:O200")&lt;&gt;"")*(INDIRECT("'"&amp;$B460&amp;"'!H23:H200")=$E$5),1,0)))</f>
        <v>0</v>
      </c>
      <c r="F460" s="565">
        <f t="array" aca="1" ref="F460" ca="1">IF($B460="N","",SUM(IF((INDIRECT("'"&amp;$B460&amp;"'!I23:I200")=$A$2)*(INDIRECT("'"&amp;$B460&amp;"'!O23:O200")=$D460)*(INDIRECT("'"&amp;$B460&amp;"'!O23:O200")&lt;&gt;"")*(INDIRECT("'"&amp;$B460&amp;"'!H23:H200")=$E$5),INDIRECT("'"&amp;$B460&amp;"'!p23:p200"),0)))</f>
        <v>0</v>
      </c>
      <c r="G460" s="564">
        <f t="array" aca="1" ref="G460" ca="1">IF($B460="N","",SUM(IF((INDIRECT("'"&amp;$B460&amp;"'!I23:I200")=$A$2)*(INDIRECT("'"&amp;$B460&amp;"'!O23:O200")=$D460)*(INDIRECT("'"&amp;$B460&amp;"'!O23:O200")&lt;&gt;"")*(INDIRECT("'"&amp;$B460&amp;"'!H23:H200")=$G$5),1,0)))</f>
        <v>0</v>
      </c>
      <c r="H460" s="565">
        <f t="array" aca="1" ref="H460" ca="1">IF($B460="N","",SUM(IF((INDIRECT("'"&amp;$B460&amp;"'!I23:I200")=$A$2)*(INDIRECT("'"&amp;$B460&amp;"'!O23:O200")=$D460)*(INDIRECT("'"&amp;$B460&amp;"'!O23:O200")&lt;&gt;"")*(INDIRECT("'"&amp;$B460&amp;"'!H23:H200")=$G$5),INDIRECT("'"&amp;$B460&amp;"'!p23:p200"),0)))</f>
        <v>0</v>
      </c>
      <c r="I460" s="515">
        <f t="shared" ca="1" si="72"/>
        <v>0</v>
      </c>
      <c r="J460" s="513">
        <f t="shared" ca="1" si="73"/>
        <v>0</v>
      </c>
    </row>
    <row r="461" spans="2:10">
      <c r="B461" s="563" t="str">
        <f t="shared" si="74"/>
        <v>Nagoya Grampus</v>
      </c>
      <c r="D461" s="528">
        <v>2</v>
      </c>
      <c r="E461" s="564">
        <f t="array" aca="1" ref="E461" ca="1">IF($B461="N","",SUM(IF((INDIRECT("'"&amp;$B461&amp;"'!I23:I200")=$A$2)*(INDIRECT("'"&amp;$B461&amp;"'!O23:O200")=$D461)*(INDIRECT("'"&amp;$B461&amp;"'!O23:O200")&lt;&gt;"")*(INDIRECT("'"&amp;$B461&amp;"'!H23:H200")=$E$5),1,0)))</f>
        <v>0</v>
      </c>
      <c r="F461" s="565">
        <f t="array" aca="1" ref="F461" ca="1">IF($B461="N","",SUM(IF((INDIRECT("'"&amp;$B461&amp;"'!I23:I200")=$A$2)*(INDIRECT("'"&amp;$B461&amp;"'!O23:O200")=$D461)*(INDIRECT("'"&amp;$B461&amp;"'!O23:O200")&lt;&gt;"")*(INDIRECT("'"&amp;$B461&amp;"'!H23:H200")=$E$5),INDIRECT("'"&amp;$B461&amp;"'!p23:p200"),0)))</f>
        <v>0</v>
      </c>
      <c r="G461" s="564">
        <f t="array" aca="1" ref="G461" ca="1">IF($B461="N","",SUM(IF((INDIRECT("'"&amp;$B461&amp;"'!I23:I200")=$A$2)*(INDIRECT("'"&amp;$B461&amp;"'!O23:O200")=$D461)*(INDIRECT("'"&amp;$B461&amp;"'!O23:O200")&lt;&gt;"")*(INDIRECT("'"&amp;$B461&amp;"'!H23:H200")=$G$5),1,0)))</f>
        <v>0</v>
      </c>
      <c r="H461" s="565">
        <f t="array" aca="1" ref="H461" ca="1">IF($B461="N","",SUM(IF((INDIRECT("'"&amp;$B461&amp;"'!I23:I200")=$A$2)*(INDIRECT("'"&amp;$B461&amp;"'!O23:O200")=$D461)*(INDIRECT("'"&amp;$B461&amp;"'!O23:O200")&lt;&gt;"")*(INDIRECT("'"&amp;$B461&amp;"'!H23:H200")=$G$5),INDIRECT("'"&amp;$B461&amp;"'!p23:p200"),0)))</f>
        <v>0</v>
      </c>
      <c r="I461" s="515">
        <f t="shared" ca="1" si="72"/>
        <v>0</v>
      </c>
      <c r="J461" s="513">
        <f t="shared" ca="1" si="73"/>
        <v>0</v>
      </c>
    </row>
    <row r="462" spans="2:10">
      <c r="B462" s="563" t="str">
        <f t="shared" si="74"/>
        <v>Nagoya Grampus</v>
      </c>
      <c r="D462" s="528">
        <v>2.25</v>
      </c>
      <c r="E462" s="564">
        <f t="array" aca="1" ref="E462" ca="1">IF($B462="N","",SUM(IF((INDIRECT("'"&amp;$B462&amp;"'!I23:I200")=$A$2)*(INDIRECT("'"&amp;$B462&amp;"'!O23:O200")=$D462)*(INDIRECT("'"&amp;$B462&amp;"'!O23:O200")&lt;&gt;"")*(INDIRECT("'"&amp;$B462&amp;"'!H23:H200")=$E$5),1,0)))</f>
        <v>0</v>
      </c>
      <c r="F462" s="565">
        <f t="array" aca="1" ref="F462" ca="1">IF($B462="N","",SUM(IF((INDIRECT("'"&amp;$B462&amp;"'!I23:I200")=$A$2)*(INDIRECT("'"&amp;$B462&amp;"'!O23:O200")=$D462)*(INDIRECT("'"&amp;$B462&amp;"'!O23:O200")&lt;&gt;"")*(INDIRECT("'"&amp;$B462&amp;"'!H23:H200")=$E$5),INDIRECT("'"&amp;$B462&amp;"'!p23:p200"),0)))</f>
        <v>0</v>
      </c>
      <c r="G462" s="564">
        <f t="array" aca="1" ref="G462" ca="1">IF($B462="N","",SUM(IF((INDIRECT("'"&amp;$B462&amp;"'!I23:I200")=$A$2)*(INDIRECT("'"&amp;$B462&amp;"'!O23:O200")=$D462)*(INDIRECT("'"&amp;$B462&amp;"'!O23:O200")&lt;&gt;"")*(INDIRECT("'"&amp;$B462&amp;"'!H23:H200")=$G$5),1,0)))</f>
        <v>0</v>
      </c>
      <c r="H462" s="565">
        <f t="array" aca="1" ref="H462" ca="1">IF($B462="N","",SUM(IF((INDIRECT("'"&amp;$B462&amp;"'!I23:I200")=$A$2)*(INDIRECT("'"&amp;$B462&amp;"'!O23:O200")=$D462)*(INDIRECT("'"&amp;$B462&amp;"'!O23:O200")&lt;&gt;"")*(INDIRECT("'"&amp;$B462&amp;"'!H23:H200")=$G$5),INDIRECT("'"&amp;$B462&amp;"'!p23:p200"),0)))</f>
        <v>0</v>
      </c>
      <c r="I462" s="515">
        <f t="shared" ca="1" si="72"/>
        <v>0</v>
      </c>
      <c r="J462" s="513">
        <f t="shared" ca="1" si="73"/>
        <v>0</v>
      </c>
    </row>
    <row r="463" spans="2:10">
      <c r="B463" s="563" t="str">
        <f t="shared" si="74"/>
        <v>Nagoya Grampus</v>
      </c>
      <c r="D463" s="528">
        <v>2.5</v>
      </c>
      <c r="E463" s="564">
        <f t="array" aca="1" ref="E463" ca="1">IF($B463="N","",SUM(IF((INDIRECT("'"&amp;$B463&amp;"'!I23:I200")=$A$2)*(INDIRECT("'"&amp;$B463&amp;"'!O23:O200")=$D463)*(INDIRECT("'"&amp;$B463&amp;"'!O23:O200")&lt;&gt;"")*(INDIRECT("'"&amp;$B463&amp;"'!H23:H200")=$E$5),1,0)))</f>
        <v>0</v>
      </c>
      <c r="F463" s="565">
        <f t="array" aca="1" ref="F463" ca="1">IF($B463="N","",SUM(IF((INDIRECT("'"&amp;$B463&amp;"'!I23:I200")=$A$2)*(INDIRECT("'"&amp;$B463&amp;"'!O23:O200")=$D463)*(INDIRECT("'"&amp;$B463&amp;"'!O23:O200")&lt;&gt;"")*(INDIRECT("'"&amp;$B463&amp;"'!H23:H200")=$E$5),INDIRECT("'"&amp;$B463&amp;"'!p23:p200"),0)))</f>
        <v>0</v>
      </c>
      <c r="G463" s="564">
        <f t="array" aca="1" ref="G463" ca="1">IF($B463="N","",SUM(IF((INDIRECT("'"&amp;$B463&amp;"'!I23:I200")=$A$2)*(INDIRECT("'"&amp;$B463&amp;"'!O23:O200")=$D463)*(INDIRECT("'"&amp;$B463&amp;"'!O23:O200")&lt;&gt;"")*(INDIRECT("'"&amp;$B463&amp;"'!H23:H200")=$G$5),1,0)))</f>
        <v>0</v>
      </c>
      <c r="H463" s="565">
        <f t="array" aca="1" ref="H463" ca="1">IF($B463="N","",SUM(IF((INDIRECT("'"&amp;$B463&amp;"'!I23:I200")=$A$2)*(INDIRECT("'"&amp;$B463&amp;"'!O23:O200")=$D463)*(INDIRECT("'"&amp;$B463&amp;"'!O23:O200")&lt;&gt;"")*(INDIRECT("'"&amp;$B463&amp;"'!H23:H200")=$G$5),INDIRECT("'"&amp;$B463&amp;"'!p23:p200"),0)))</f>
        <v>0</v>
      </c>
      <c r="I463" s="515">
        <f t="shared" ca="1" si="72"/>
        <v>0</v>
      </c>
      <c r="J463" s="513">
        <f t="shared" ca="1" si="73"/>
        <v>0</v>
      </c>
    </row>
    <row r="464" spans="2:10" ht="15" thickBot="1">
      <c r="B464" s="563" t="str">
        <f t="shared" si="74"/>
        <v>Nagoya Grampus</v>
      </c>
      <c r="D464" s="511">
        <v>2.75</v>
      </c>
      <c r="E464" s="564">
        <f t="array" aca="1" ref="E464" ca="1">IF($B464="N","",SUM(IF((INDIRECT("'"&amp;$B464&amp;"'!I23:I200")=$A$2)*(INDIRECT("'"&amp;$B464&amp;"'!O23:O200")=$D464)*(INDIRECT("'"&amp;$B464&amp;"'!O23:O200")&lt;&gt;"")*(INDIRECT("'"&amp;$B464&amp;"'!H23:H200")=$E$5),1,0)))</f>
        <v>0</v>
      </c>
      <c r="F464" s="565">
        <f t="array" aca="1" ref="F464" ca="1">IF($B464="N","",SUM(IF((INDIRECT("'"&amp;$B464&amp;"'!I23:I200")=$A$2)*(INDIRECT("'"&amp;$B464&amp;"'!O23:O200")=$D464)*(INDIRECT("'"&amp;$B464&amp;"'!O23:O200")&lt;&gt;"")*(INDIRECT("'"&amp;$B464&amp;"'!H23:H200")=$E$5),INDIRECT("'"&amp;$B464&amp;"'!p23:p200"),0)))</f>
        <v>0</v>
      </c>
      <c r="G464" s="564">
        <f t="array" aca="1" ref="G464" ca="1">IF($B464="N","",SUM(IF((INDIRECT("'"&amp;$B464&amp;"'!I23:I200")=$A$2)*(INDIRECT("'"&amp;$B464&amp;"'!O23:O200")=$D464)*(INDIRECT("'"&amp;$B464&amp;"'!O23:O200")&lt;&gt;"")*(INDIRECT("'"&amp;$B464&amp;"'!H23:H200")=$G$5),1,0)))</f>
        <v>0</v>
      </c>
      <c r="H464" s="565">
        <f t="array" aca="1" ref="H464" ca="1">IF($B464="N","",SUM(IF((INDIRECT("'"&amp;$B464&amp;"'!I23:I200")=$A$2)*(INDIRECT("'"&amp;$B464&amp;"'!O23:O200")=$D464)*(INDIRECT("'"&amp;$B464&amp;"'!O23:O200")&lt;&gt;"")*(INDIRECT("'"&amp;$B464&amp;"'!H23:H200")=$G$5),INDIRECT("'"&amp;$B464&amp;"'!p23:p200"),0)))</f>
        <v>0</v>
      </c>
      <c r="I464" s="515">
        <f t="shared" ca="1" si="72"/>
        <v>0</v>
      </c>
      <c r="J464" s="513">
        <f t="shared" ca="1" si="73"/>
        <v>0</v>
      </c>
    </row>
    <row r="465" spans="1:10" ht="15" thickBot="1">
      <c r="A465" s="567"/>
      <c r="B465" s="568"/>
      <c r="C465" s="569" t="str">
        <f>D440</f>
        <v>Nagoya Grampus</v>
      </c>
      <c r="D465" s="570" t="s">
        <v>115</v>
      </c>
      <c r="E465" s="571">
        <f t="shared" ref="E465:J465" ca="1" si="75">SUM(E442:E464)</f>
        <v>22</v>
      </c>
      <c r="F465" s="572">
        <f t="shared" ca="1" si="75"/>
        <v>6</v>
      </c>
      <c r="G465" s="571">
        <f t="shared" ca="1" si="75"/>
        <v>21</v>
      </c>
      <c r="H465" s="572">
        <f t="shared" ca="1" si="75"/>
        <v>3</v>
      </c>
      <c r="I465" s="573">
        <f t="shared" ca="1" si="75"/>
        <v>43</v>
      </c>
      <c r="J465" s="572">
        <f t="shared" ca="1" si="75"/>
        <v>9</v>
      </c>
    </row>
    <row r="466" spans="1:10" ht="15" thickBot="1">
      <c r="A466" s="567"/>
      <c r="C466" s="576"/>
    </row>
    <row r="467" spans="1:10">
      <c r="A467" s="567"/>
      <c r="B467" s="357"/>
      <c r="C467" s="569"/>
      <c r="D467" s="562" t="str">
        <f>H2</f>
        <v>ThespaKusatsu Gunma</v>
      </c>
      <c r="E467" s="490" t="s">
        <v>80</v>
      </c>
      <c r="F467" s="491"/>
      <c r="G467" s="490" t="s">
        <v>81</v>
      </c>
      <c r="H467" s="491"/>
      <c r="I467" s="490" t="s">
        <v>82</v>
      </c>
      <c r="J467" s="492"/>
    </row>
    <row r="468" spans="1:10" ht="15" thickBot="1">
      <c r="B468" s="357"/>
      <c r="C468" s="357"/>
      <c r="D468" s="499" t="s">
        <v>120</v>
      </c>
      <c r="E468" s="497" t="s">
        <v>123</v>
      </c>
      <c r="F468" s="552" t="s">
        <v>124</v>
      </c>
      <c r="G468" s="497" t="s">
        <v>123</v>
      </c>
      <c r="H468" s="552" t="s">
        <v>124</v>
      </c>
      <c r="I468" s="501" t="s">
        <v>123</v>
      </c>
      <c r="J468" s="552" t="s">
        <v>124</v>
      </c>
    </row>
    <row r="469" spans="1:10">
      <c r="B469" s="563" t="str">
        <f>IF(D467=0,"N",D467)</f>
        <v>ThespaKusatsu Gunma</v>
      </c>
      <c r="D469" s="511">
        <v>-2.75</v>
      </c>
      <c r="E469" s="564">
        <f t="array" aca="1" ref="E469" ca="1">IF($B469="N","",SUM(IF((INDIRECT("'"&amp;$B469&amp;"'!I23:I200")=$A$2)*(INDIRECT("'"&amp;$B469&amp;"'!O23:O200")=$D469)*(INDIRECT("'"&amp;$B469&amp;"'!O23:O200")&lt;&gt;"")*(INDIRECT("'"&amp;$B469&amp;"'!H23:H200")=$E$5),1,0)))</f>
        <v>0</v>
      </c>
      <c r="F469" s="565">
        <f t="array" aca="1" ref="F469" ca="1">IF($B469="N","",SUM(IF((INDIRECT("'"&amp;$B469&amp;"'!I23:I200")=$A$2)*(INDIRECT("'"&amp;$B469&amp;"'!O23:O200")=$D469)*(INDIRECT("'"&amp;$B469&amp;"'!O23:O200")&lt;&gt;"")*(INDIRECT("'"&amp;$B469&amp;"'!H23:H200")=$E$5),INDIRECT("'"&amp;$B469&amp;"'!p23:p200"),0)))</f>
        <v>0</v>
      </c>
      <c r="G469" s="564">
        <f t="array" aca="1" ref="G469" ca="1">IF($B469="N","",SUM(IF((INDIRECT("'"&amp;$B469&amp;"'!I23:I200")=$A$2)*(INDIRECT("'"&amp;$B469&amp;"'!O23:O200")=$D469)*(INDIRECT("'"&amp;$B469&amp;"'!O23:O200")&lt;&gt;"")*(INDIRECT("'"&amp;$B469&amp;"'!H23:H200")=$G$5),1,0)))</f>
        <v>0</v>
      </c>
      <c r="H469" s="565">
        <f t="array" aca="1" ref="H469" ca="1">IF($B469="N","",SUM(IF((INDIRECT("'"&amp;$B469&amp;"'!I23:I200")=$A$2)*(INDIRECT("'"&amp;$B469&amp;"'!O23:O200")=$D469)*(INDIRECT("'"&amp;$B469&amp;"'!O23:O200")&lt;&gt;"")*(INDIRECT("'"&amp;$B469&amp;"'!H23:H200")=$G$5),INDIRECT("'"&amp;$B469&amp;"'!p23:p200"),0)))</f>
        <v>0</v>
      </c>
      <c r="I469" s="515">
        <f t="shared" ref="I469:I491" ca="1" si="76">IF(B469="N","",G469+E469)</f>
        <v>0</v>
      </c>
      <c r="J469" s="513">
        <f t="shared" ref="J469:J491" ca="1" si="77">IF(I469="","",F469+H469)</f>
        <v>0</v>
      </c>
    </row>
    <row r="470" spans="1:10">
      <c r="B470" s="563" t="str">
        <f>B469</f>
        <v>ThespaKusatsu Gunma</v>
      </c>
      <c r="D470" s="520">
        <v>-2.5</v>
      </c>
      <c r="E470" s="564">
        <f t="array" aca="1" ref="E470" ca="1">IF($B470="N","",SUM(IF((INDIRECT("'"&amp;$B470&amp;"'!I23:I200")=$A$2)*(INDIRECT("'"&amp;$B470&amp;"'!O23:O200")=$D470)*(INDIRECT("'"&amp;$B470&amp;"'!O23:O200")&lt;&gt;"")*(INDIRECT("'"&amp;$B470&amp;"'!H23:H200")=$E$5),1,0)))</f>
        <v>0</v>
      </c>
      <c r="F470" s="565">
        <f t="array" aca="1" ref="F470" ca="1">IF($B470="N","",SUM(IF((INDIRECT("'"&amp;$B470&amp;"'!I23:I200")=$A$2)*(INDIRECT("'"&amp;$B470&amp;"'!O23:O200")=$D470)*(INDIRECT("'"&amp;$B470&amp;"'!O23:O200")&lt;&gt;"")*(INDIRECT("'"&amp;$B470&amp;"'!H23:H200")=$E$5),INDIRECT("'"&amp;$B470&amp;"'!p23:p200"),0)))</f>
        <v>0</v>
      </c>
      <c r="G470" s="564">
        <f t="array" aca="1" ref="G470" ca="1">IF($B470="N","",SUM(IF((INDIRECT("'"&amp;$B470&amp;"'!I23:I200")=$A$2)*(INDIRECT("'"&amp;$B470&amp;"'!O23:O200")=$D470)*(INDIRECT("'"&amp;$B470&amp;"'!O23:O200")&lt;&gt;"")*(INDIRECT("'"&amp;$B470&amp;"'!H23:H200")=$G$5),1,0)))</f>
        <v>0</v>
      </c>
      <c r="H470" s="565">
        <f t="array" aca="1" ref="H470" ca="1">IF($B470="N","",SUM(IF((INDIRECT("'"&amp;$B470&amp;"'!I23:I200")=$A$2)*(INDIRECT("'"&amp;$B470&amp;"'!O23:O200")=$D470)*(INDIRECT("'"&amp;$B470&amp;"'!O23:O200")&lt;&gt;"")*(INDIRECT("'"&amp;$B470&amp;"'!H23:H200")=$G$5),INDIRECT("'"&amp;$B470&amp;"'!p23:p200"),0)))</f>
        <v>0</v>
      </c>
      <c r="I470" s="515">
        <f t="shared" ca="1" si="76"/>
        <v>0</v>
      </c>
      <c r="J470" s="513">
        <f t="shared" ca="1" si="77"/>
        <v>0</v>
      </c>
    </row>
    <row r="471" spans="1:10">
      <c r="B471" s="563" t="str">
        <f t="shared" ref="B471:B491" si="78">B470</f>
        <v>ThespaKusatsu Gunma</v>
      </c>
      <c r="D471" s="520">
        <v>-2.25</v>
      </c>
      <c r="E471" s="564">
        <f t="array" aca="1" ref="E471" ca="1">IF($B471="N","",SUM(IF((INDIRECT("'"&amp;$B471&amp;"'!I23:I200")=$A$2)*(INDIRECT("'"&amp;$B471&amp;"'!O23:O200")=$D471)*(INDIRECT("'"&amp;$B471&amp;"'!O23:O200")&lt;&gt;"")*(INDIRECT("'"&amp;$B471&amp;"'!H23:H200")=$E$5),1,0)))</f>
        <v>0</v>
      </c>
      <c r="F471" s="565">
        <f t="array" aca="1" ref="F471" ca="1">IF($B471="N","",SUM(IF((INDIRECT("'"&amp;$B471&amp;"'!I23:I200")=$A$2)*(INDIRECT("'"&amp;$B471&amp;"'!O23:O200")=$D471)*(INDIRECT("'"&amp;$B471&amp;"'!O23:O200")&lt;&gt;"")*(INDIRECT("'"&amp;$B471&amp;"'!H23:H200")=$E$5),INDIRECT("'"&amp;$B471&amp;"'!p23:p200"),0)))</f>
        <v>0</v>
      </c>
      <c r="G471" s="564">
        <f t="array" aca="1" ref="G471" ca="1">IF($B471="N","",SUM(IF((INDIRECT("'"&amp;$B471&amp;"'!I23:I200")=$A$2)*(INDIRECT("'"&amp;$B471&amp;"'!O23:O200")=$D471)*(INDIRECT("'"&amp;$B471&amp;"'!O23:O200")&lt;&gt;"")*(INDIRECT("'"&amp;$B471&amp;"'!H23:H200")=$G$5),1,0)))</f>
        <v>0</v>
      </c>
      <c r="H471" s="565">
        <f t="array" aca="1" ref="H471" ca="1">IF($B471="N","",SUM(IF((INDIRECT("'"&amp;$B471&amp;"'!I23:I200")=$A$2)*(INDIRECT("'"&amp;$B471&amp;"'!O23:O200")=$D471)*(INDIRECT("'"&amp;$B471&amp;"'!O23:O200")&lt;&gt;"")*(INDIRECT("'"&amp;$B471&amp;"'!H23:H200")=$G$5),INDIRECT("'"&amp;$B471&amp;"'!p23:p200"),0)))</f>
        <v>0</v>
      </c>
      <c r="I471" s="515">
        <f t="shared" ca="1" si="76"/>
        <v>0</v>
      </c>
      <c r="J471" s="513">
        <f t="shared" ca="1" si="77"/>
        <v>0</v>
      </c>
    </row>
    <row r="472" spans="1:10">
      <c r="B472" s="563" t="str">
        <f t="shared" si="78"/>
        <v>ThespaKusatsu Gunma</v>
      </c>
      <c r="D472" s="520">
        <v>-2</v>
      </c>
      <c r="E472" s="564">
        <f t="array" aca="1" ref="E472" ca="1">IF($B472="N","",SUM(IF((INDIRECT("'"&amp;$B472&amp;"'!I23:I200")=$A$2)*(INDIRECT("'"&amp;$B472&amp;"'!O23:O200")=$D472)*(INDIRECT("'"&amp;$B472&amp;"'!O23:O200")&lt;&gt;"")*(INDIRECT("'"&amp;$B472&amp;"'!H23:H200")=$E$5),1,0)))</f>
        <v>0</v>
      </c>
      <c r="F472" s="565">
        <f t="array" aca="1" ref="F472" ca="1">IF($B472="N","",SUM(IF((INDIRECT("'"&amp;$B472&amp;"'!I23:I200")=$A$2)*(INDIRECT("'"&amp;$B472&amp;"'!O23:O200")=$D472)*(INDIRECT("'"&amp;$B472&amp;"'!O23:O200")&lt;&gt;"")*(INDIRECT("'"&amp;$B472&amp;"'!H23:H200")=$E$5),INDIRECT("'"&amp;$B472&amp;"'!p23:p200"),0)))</f>
        <v>0</v>
      </c>
      <c r="G472" s="564">
        <f t="array" aca="1" ref="G472" ca="1">IF($B472="N","",SUM(IF((INDIRECT("'"&amp;$B472&amp;"'!I23:I200")=$A$2)*(INDIRECT("'"&amp;$B472&amp;"'!O23:O200")=$D472)*(INDIRECT("'"&amp;$B472&amp;"'!O23:O200")&lt;&gt;"")*(INDIRECT("'"&amp;$B472&amp;"'!H23:H200")=$G$5),1,0)))</f>
        <v>0</v>
      </c>
      <c r="H472" s="565">
        <f t="array" aca="1" ref="H472" ca="1">IF($B472="N","",SUM(IF((INDIRECT("'"&amp;$B472&amp;"'!I23:I200")=$A$2)*(INDIRECT("'"&amp;$B472&amp;"'!O23:O200")=$D472)*(INDIRECT("'"&amp;$B472&amp;"'!O23:O200")&lt;&gt;"")*(INDIRECT("'"&amp;$B472&amp;"'!H23:H200")=$G$5),INDIRECT("'"&amp;$B472&amp;"'!p23:p200"),0)))</f>
        <v>0</v>
      </c>
      <c r="I472" s="515">
        <f t="shared" ca="1" si="76"/>
        <v>0</v>
      </c>
      <c r="J472" s="513">
        <f t="shared" ca="1" si="77"/>
        <v>0</v>
      </c>
    </row>
    <row r="473" spans="1:10">
      <c r="B473" s="563" t="str">
        <f t="shared" si="78"/>
        <v>ThespaKusatsu Gunma</v>
      </c>
      <c r="D473" s="520">
        <v>-1.75</v>
      </c>
      <c r="E473" s="564">
        <f t="array" aca="1" ref="E473" ca="1">IF($B473="N","",SUM(IF((INDIRECT("'"&amp;$B473&amp;"'!I23:I200")=$A$2)*(INDIRECT("'"&amp;$B473&amp;"'!O23:O200")=$D473)*(INDIRECT("'"&amp;$B473&amp;"'!O23:O200")&lt;&gt;"")*(INDIRECT("'"&amp;$B473&amp;"'!H23:H200")=$E$5),1,0)))</f>
        <v>0</v>
      </c>
      <c r="F473" s="565">
        <f t="array" aca="1" ref="F473" ca="1">IF($B473="N","",SUM(IF((INDIRECT("'"&amp;$B473&amp;"'!I23:I200")=$A$2)*(INDIRECT("'"&amp;$B473&amp;"'!O23:O200")=$D473)*(INDIRECT("'"&amp;$B473&amp;"'!O23:O200")&lt;&gt;"")*(INDIRECT("'"&amp;$B473&amp;"'!H23:H200")=$E$5),INDIRECT("'"&amp;$B473&amp;"'!p23:p200"),0)))</f>
        <v>0</v>
      </c>
      <c r="G473" s="564">
        <f t="array" aca="1" ref="G473" ca="1">IF($B473="N","",SUM(IF((INDIRECT("'"&amp;$B473&amp;"'!I23:I200")=$A$2)*(INDIRECT("'"&amp;$B473&amp;"'!O23:O200")=$D473)*(INDIRECT("'"&amp;$B473&amp;"'!O23:O200")&lt;&gt;"")*(INDIRECT("'"&amp;$B473&amp;"'!H23:H200")=$G$5),1,0)))</f>
        <v>0</v>
      </c>
      <c r="H473" s="565">
        <f t="array" aca="1" ref="H473" ca="1">IF($B473="N","",SUM(IF((INDIRECT("'"&amp;$B473&amp;"'!I23:I200")=$A$2)*(INDIRECT("'"&amp;$B473&amp;"'!O23:O200")=$D473)*(INDIRECT("'"&amp;$B473&amp;"'!O23:O200")&lt;&gt;"")*(INDIRECT("'"&amp;$B473&amp;"'!H23:H200")=$G$5),INDIRECT("'"&amp;$B473&amp;"'!p23:p200"),0)))</f>
        <v>0</v>
      </c>
      <c r="I473" s="515">
        <f t="shared" ca="1" si="76"/>
        <v>0</v>
      </c>
      <c r="J473" s="513">
        <f t="shared" ca="1" si="77"/>
        <v>0</v>
      </c>
    </row>
    <row r="474" spans="1:10">
      <c r="B474" s="563" t="str">
        <f t="shared" si="78"/>
        <v>ThespaKusatsu Gunma</v>
      </c>
      <c r="D474" s="511">
        <v>-1.5</v>
      </c>
      <c r="E474" s="564">
        <f t="array" aca="1" ref="E474" ca="1">IF($B474="N","",SUM(IF((INDIRECT("'"&amp;$B474&amp;"'!I23:I200")=$A$2)*(INDIRECT("'"&amp;$B474&amp;"'!O23:O200")=$D474)*(INDIRECT("'"&amp;$B474&amp;"'!O23:O200")&lt;&gt;"")*(INDIRECT("'"&amp;$B474&amp;"'!H23:H200")=$E$5),1,0)))</f>
        <v>0</v>
      </c>
      <c r="F474" s="565">
        <f t="array" aca="1" ref="F474" ca="1">IF($B474="N","",SUM(IF((INDIRECT("'"&amp;$B474&amp;"'!I23:I200")=$A$2)*(INDIRECT("'"&amp;$B474&amp;"'!O23:O200")=$D474)*(INDIRECT("'"&amp;$B474&amp;"'!O23:O200")&lt;&gt;"")*(INDIRECT("'"&amp;$B474&amp;"'!H23:H200")=$E$5),INDIRECT("'"&amp;$B474&amp;"'!p23:p200"),0)))</f>
        <v>0</v>
      </c>
      <c r="G474" s="564">
        <f t="array" aca="1" ref="G474" ca="1">IF($B474="N","",SUM(IF((INDIRECT("'"&amp;$B474&amp;"'!I23:I200")=$A$2)*(INDIRECT("'"&amp;$B474&amp;"'!O23:O200")=$D474)*(INDIRECT("'"&amp;$B474&amp;"'!O23:O200")&lt;&gt;"")*(INDIRECT("'"&amp;$B474&amp;"'!H23:H200")=$G$5),1,0)))</f>
        <v>0</v>
      </c>
      <c r="H474" s="565">
        <f t="array" aca="1" ref="H474" ca="1">IF($B474="N","",SUM(IF((INDIRECT("'"&amp;$B474&amp;"'!I23:I200")=$A$2)*(INDIRECT("'"&amp;$B474&amp;"'!O23:O200")=$D474)*(INDIRECT("'"&amp;$B474&amp;"'!O23:O200")&lt;&gt;"")*(INDIRECT("'"&amp;$B474&amp;"'!H23:H200")=$G$5),INDIRECT("'"&amp;$B474&amp;"'!p23:p200"),0)))</f>
        <v>0</v>
      </c>
      <c r="I474" s="515">
        <f t="shared" ca="1" si="76"/>
        <v>0</v>
      </c>
      <c r="J474" s="513">
        <f t="shared" ca="1" si="77"/>
        <v>0</v>
      </c>
    </row>
    <row r="475" spans="1:10">
      <c r="B475" s="563" t="str">
        <f t="shared" si="78"/>
        <v>ThespaKusatsu Gunma</v>
      </c>
      <c r="D475" s="511">
        <v>-1.25</v>
      </c>
      <c r="E475" s="564">
        <f t="array" aca="1" ref="E475" ca="1">IF($B475="N","",SUM(IF((INDIRECT("'"&amp;$B475&amp;"'!I23:I200")=$A$2)*(INDIRECT("'"&amp;$B475&amp;"'!O23:O200")=$D475)*(INDIRECT("'"&amp;$B475&amp;"'!O23:O200")&lt;&gt;"")*(INDIRECT("'"&amp;$B475&amp;"'!H23:H200")=$E$5),1,0)))</f>
        <v>0</v>
      </c>
      <c r="F475" s="565">
        <f t="array" aca="1" ref="F475" ca="1">IF($B475="N","",SUM(IF((INDIRECT("'"&amp;$B475&amp;"'!I23:I200")=$A$2)*(INDIRECT("'"&amp;$B475&amp;"'!O23:O200")=$D475)*(INDIRECT("'"&amp;$B475&amp;"'!O23:O200")&lt;&gt;"")*(INDIRECT("'"&amp;$B475&amp;"'!H23:H200")=$E$5),INDIRECT("'"&amp;$B475&amp;"'!p23:p200"),0)))</f>
        <v>0</v>
      </c>
      <c r="G475" s="564">
        <f t="array" aca="1" ref="G475" ca="1">IF($B475="N","",SUM(IF((INDIRECT("'"&amp;$B475&amp;"'!I23:I200")=$A$2)*(INDIRECT("'"&amp;$B475&amp;"'!O23:O200")=$D475)*(INDIRECT("'"&amp;$B475&amp;"'!O23:O200")&lt;&gt;"")*(INDIRECT("'"&amp;$B475&amp;"'!H23:H200")=$G$5),1,0)))</f>
        <v>0</v>
      </c>
      <c r="H475" s="565">
        <f t="array" aca="1" ref="H475" ca="1">IF($B475="N","",SUM(IF((INDIRECT("'"&amp;$B475&amp;"'!I23:I200")=$A$2)*(INDIRECT("'"&amp;$B475&amp;"'!O23:O200")=$D475)*(INDIRECT("'"&amp;$B475&amp;"'!O23:O200")&lt;&gt;"")*(INDIRECT("'"&amp;$B475&amp;"'!H23:H200")=$G$5),INDIRECT("'"&amp;$B475&amp;"'!p23:p200"),0)))</f>
        <v>0</v>
      </c>
      <c r="I475" s="515">
        <f t="shared" ca="1" si="76"/>
        <v>0</v>
      </c>
      <c r="J475" s="513">
        <f t="shared" ca="1" si="77"/>
        <v>0</v>
      </c>
    </row>
    <row r="476" spans="1:10">
      <c r="B476" s="563" t="str">
        <f t="shared" si="78"/>
        <v>ThespaKusatsu Gunma</v>
      </c>
      <c r="D476" s="511">
        <v>-1</v>
      </c>
      <c r="E476" s="564">
        <f t="array" aca="1" ref="E476" ca="1">IF($B476="N","",SUM(IF((INDIRECT("'"&amp;$B476&amp;"'!I23:I200")=$A$2)*(INDIRECT("'"&amp;$B476&amp;"'!O23:O200")=$D476)*(INDIRECT("'"&amp;$B476&amp;"'!O23:O200")&lt;&gt;"")*(INDIRECT("'"&amp;$B476&amp;"'!H23:H200")=$E$5),1,0)))</f>
        <v>0</v>
      </c>
      <c r="F476" s="565">
        <f t="array" aca="1" ref="F476" ca="1">IF($B476="N","",SUM(IF((INDIRECT("'"&amp;$B476&amp;"'!I23:I200")=$A$2)*(INDIRECT("'"&amp;$B476&amp;"'!O23:O200")=$D476)*(INDIRECT("'"&amp;$B476&amp;"'!O23:O200")&lt;&gt;"")*(INDIRECT("'"&amp;$B476&amp;"'!H23:H200")=$E$5),INDIRECT("'"&amp;$B476&amp;"'!p23:p200"),0)))</f>
        <v>0</v>
      </c>
      <c r="G476" s="564">
        <f t="array" aca="1" ref="G476" ca="1">IF($B476="N","",SUM(IF((INDIRECT("'"&amp;$B476&amp;"'!I23:I200")=$A$2)*(INDIRECT("'"&amp;$B476&amp;"'!O23:O200")=$D476)*(INDIRECT("'"&amp;$B476&amp;"'!O23:O200")&lt;&gt;"")*(INDIRECT("'"&amp;$B476&amp;"'!H23:H200")=$G$5),1,0)))</f>
        <v>0</v>
      </c>
      <c r="H476" s="565">
        <f t="array" aca="1" ref="H476" ca="1">IF($B476="N","",SUM(IF((INDIRECT("'"&amp;$B476&amp;"'!I23:I200")=$A$2)*(INDIRECT("'"&amp;$B476&amp;"'!O23:O200")=$D476)*(INDIRECT("'"&amp;$B476&amp;"'!O23:O200")&lt;&gt;"")*(INDIRECT("'"&amp;$B476&amp;"'!H23:H200")=$G$5),INDIRECT("'"&amp;$B476&amp;"'!p23:p200"),0)))</f>
        <v>0</v>
      </c>
      <c r="I476" s="515">
        <f t="shared" ca="1" si="76"/>
        <v>0</v>
      </c>
      <c r="J476" s="513">
        <f t="shared" ca="1" si="77"/>
        <v>0</v>
      </c>
    </row>
    <row r="477" spans="1:10">
      <c r="B477" s="563" t="str">
        <f t="shared" si="78"/>
        <v>ThespaKusatsu Gunma</v>
      </c>
      <c r="D477" s="511">
        <v>-0.75</v>
      </c>
      <c r="E477" s="564">
        <f t="array" aca="1" ref="E477" ca="1">IF($B477="N","",SUM(IF((INDIRECT("'"&amp;$B477&amp;"'!I23:I200")=$A$2)*(INDIRECT("'"&amp;$B477&amp;"'!O23:O200")=$D477)*(INDIRECT("'"&amp;$B477&amp;"'!O23:O200")&lt;&gt;"")*(INDIRECT("'"&amp;$B477&amp;"'!H23:H200")=$E$5),1,0)))</f>
        <v>0</v>
      </c>
      <c r="F477" s="565">
        <f t="array" aca="1" ref="F477" ca="1">IF($B477="N","",SUM(IF((INDIRECT("'"&amp;$B477&amp;"'!I23:I200")=$A$2)*(INDIRECT("'"&amp;$B477&amp;"'!O23:O200")=$D477)*(INDIRECT("'"&amp;$B477&amp;"'!O23:O200")&lt;&gt;"")*(INDIRECT("'"&amp;$B477&amp;"'!H23:H200")=$E$5),INDIRECT("'"&amp;$B477&amp;"'!p23:p200"),0)))</f>
        <v>0</v>
      </c>
      <c r="G477" s="564">
        <f t="array" aca="1" ref="G477" ca="1">IF($B477="N","",SUM(IF((INDIRECT("'"&amp;$B477&amp;"'!I23:I200")=$A$2)*(INDIRECT("'"&amp;$B477&amp;"'!O23:O200")=$D477)*(INDIRECT("'"&amp;$B477&amp;"'!O23:O200")&lt;&gt;"")*(INDIRECT("'"&amp;$B477&amp;"'!H23:H200")=$G$5),1,0)))</f>
        <v>0</v>
      </c>
      <c r="H477" s="565">
        <f t="array" aca="1" ref="H477" ca="1">IF($B477="N","",SUM(IF((INDIRECT("'"&amp;$B477&amp;"'!I23:I200")=$A$2)*(INDIRECT("'"&amp;$B477&amp;"'!O23:O200")=$D477)*(INDIRECT("'"&amp;$B477&amp;"'!O23:O200")&lt;&gt;"")*(INDIRECT("'"&amp;$B477&amp;"'!H23:H200")=$G$5),INDIRECT("'"&amp;$B477&amp;"'!p23:p200"),0)))</f>
        <v>0</v>
      </c>
      <c r="I477" s="515">
        <f t="shared" ca="1" si="76"/>
        <v>0</v>
      </c>
      <c r="J477" s="513">
        <f t="shared" ca="1" si="77"/>
        <v>0</v>
      </c>
    </row>
    <row r="478" spans="1:10">
      <c r="B478" s="563" t="str">
        <f t="shared" si="78"/>
        <v>ThespaKusatsu Gunma</v>
      </c>
      <c r="D478" s="511">
        <v>-0.5</v>
      </c>
      <c r="E478" s="564">
        <f t="array" aca="1" ref="E478" ca="1">IF($B478="N","",SUM(IF((INDIRECT("'"&amp;$B478&amp;"'!I23:I200")=$A$2)*(INDIRECT("'"&amp;$B478&amp;"'!O23:O200")=$D478)*(INDIRECT("'"&amp;$B478&amp;"'!O23:O200")&lt;&gt;"")*(INDIRECT("'"&amp;$B478&amp;"'!H23:H200")=$E$5),1,0)))</f>
        <v>0</v>
      </c>
      <c r="F478" s="565">
        <f t="array" aca="1" ref="F478" ca="1">IF($B478="N","",SUM(IF((INDIRECT("'"&amp;$B478&amp;"'!I23:I200")=$A$2)*(INDIRECT("'"&amp;$B478&amp;"'!O23:O200")=$D478)*(INDIRECT("'"&amp;$B478&amp;"'!O23:O200")&lt;&gt;"")*(INDIRECT("'"&amp;$B478&amp;"'!H23:H200")=$E$5),INDIRECT("'"&amp;$B478&amp;"'!p23:p200"),0)))</f>
        <v>0</v>
      </c>
      <c r="G478" s="564">
        <f t="array" aca="1" ref="G478" ca="1">IF($B478="N","",SUM(IF((INDIRECT("'"&amp;$B478&amp;"'!I23:I200")=$A$2)*(INDIRECT("'"&amp;$B478&amp;"'!O23:O200")=$D478)*(INDIRECT("'"&amp;$B478&amp;"'!O23:O200")&lt;&gt;"")*(INDIRECT("'"&amp;$B478&amp;"'!H23:H200")=$G$5),1,0)))</f>
        <v>0</v>
      </c>
      <c r="H478" s="565">
        <f t="array" aca="1" ref="H478" ca="1">IF($B478="N","",SUM(IF((INDIRECT("'"&amp;$B478&amp;"'!I23:I200")=$A$2)*(INDIRECT("'"&amp;$B478&amp;"'!O23:O200")=$D478)*(INDIRECT("'"&amp;$B478&amp;"'!O23:O200")&lt;&gt;"")*(INDIRECT("'"&amp;$B478&amp;"'!H23:H200")=$G$5),INDIRECT("'"&amp;$B478&amp;"'!p23:p200"),0)))</f>
        <v>0</v>
      </c>
      <c r="I478" s="515">
        <f t="shared" ca="1" si="76"/>
        <v>0</v>
      </c>
      <c r="J478" s="513">
        <f t="shared" ca="1" si="77"/>
        <v>0</v>
      </c>
    </row>
    <row r="479" spans="1:10">
      <c r="B479" s="563" t="str">
        <f t="shared" si="78"/>
        <v>ThespaKusatsu Gunma</v>
      </c>
      <c r="D479" s="511">
        <v>-0.25</v>
      </c>
      <c r="E479" s="564">
        <f t="array" aca="1" ref="E479" ca="1">IF($B479="N","",SUM(IF((INDIRECT("'"&amp;$B479&amp;"'!I23:I200")=$A$2)*(INDIRECT("'"&amp;$B479&amp;"'!O23:O200")=$D479)*(INDIRECT("'"&amp;$B479&amp;"'!O23:O200")&lt;&gt;"")*(INDIRECT("'"&amp;$B479&amp;"'!H23:H200")=$E$5),1,0)))</f>
        <v>0</v>
      </c>
      <c r="F479" s="565">
        <f t="array" aca="1" ref="F479" ca="1">IF($B479="N","",SUM(IF((INDIRECT("'"&amp;$B479&amp;"'!I23:I200")=$A$2)*(INDIRECT("'"&amp;$B479&amp;"'!O23:O200")=$D479)*(INDIRECT("'"&amp;$B479&amp;"'!O23:O200")&lt;&gt;"")*(INDIRECT("'"&amp;$B479&amp;"'!H23:H200")=$E$5),INDIRECT("'"&amp;$B479&amp;"'!p23:p200"),0)))</f>
        <v>0</v>
      </c>
      <c r="G479" s="564">
        <f t="array" aca="1" ref="G479" ca="1">IF($B479="N","",SUM(IF((INDIRECT("'"&amp;$B479&amp;"'!I23:I200")=$A$2)*(INDIRECT("'"&amp;$B479&amp;"'!O23:O200")=$D479)*(INDIRECT("'"&amp;$B479&amp;"'!O23:O200")&lt;&gt;"")*(INDIRECT("'"&amp;$B479&amp;"'!H23:H200")=$G$5),1,0)))</f>
        <v>0</v>
      </c>
      <c r="H479" s="565">
        <f t="array" aca="1" ref="H479" ca="1">IF($B479="N","",SUM(IF((INDIRECT("'"&amp;$B479&amp;"'!I23:I200")=$A$2)*(INDIRECT("'"&amp;$B479&amp;"'!O23:O200")=$D479)*(INDIRECT("'"&amp;$B479&amp;"'!O23:O200")&lt;&gt;"")*(INDIRECT("'"&amp;$B479&amp;"'!H23:H200")=$G$5),INDIRECT("'"&amp;$B479&amp;"'!p23:p200"),0)))</f>
        <v>0</v>
      </c>
      <c r="I479" s="515">
        <f t="shared" ca="1" si="76"/>
        <v>0</v>
      </c>
      <c r="J479" s="513">
        <f t="shared" ca="1" si="77"/>
        <v>0</v>
      </c>
    </row>
    <row r="480" spans="1:10">
      <c r="B480" s="563" t="str">
        <f t="shared" si="78"/>
        <v>ThespaKusatsu Gunma</v>
      </c>
      <c r="D480" s="511">
        <v>0</v>
      </c>
      <c r="E480" s="564">
        <f t="array" aca="1" ref="E480" ca="1">IF($B480="N","",SUM(IF((INDIRECT("'"&amp;$B480&amp;"'!I23:I200")=$A$2)*(INDIRECT("'"&amp;$B480&amp;"'!O23:O200")=$D480)*(INDIRECT("'"&amp;$B480&amp;"'!O23:O200")&lt;&gt;"")*(INDIRECT("'"&amp;$B480&amp;"'!H23:H200")=$E$5),1,0)))</f>
        <v>3</v>
      </c>
      <c r="F480" s="565">
        <f t="array" aca="1" ref="F480" ca="1">IF($B480="N","",SUM(IF((INDIRECT("'"&amp;$B480&amp;"'!I23:I200")=$A$2)*(INDIRECT("'"&amp;$B480&amp;"'!O23:O200")=$D480)*(INDIRECT("'"&amp;$B480&amp;"'!O23:O200")&lt;&gt;"")*(INDIRECT("'"&amp;$B480&amp;"'!H23:H200")=$E$5),INDIRECT("'"&amp;$B480&amp;"'!p23:p200"),0)))</f>
        <v>1</v>
      </c>
      <c r="G480" s="564">
        <f t="array" aca="1" ref="G480" ca="1">IF($B480="N","",SUM(IF((INDIRECT("'"&amp;$B480&amp;"'!I23:I200")=$A$2)*(INDIRECT("'"&amp;$B480&amp;"'!O23:O200")=$D480)*(INDIRECT("'"&amp;$B480&amp;"'!O23:O200")&lt;&gt;"")*(INDIRECT("'"&amp;$B480&amp;"'!H23:H200")=$G$5),1,0)))</f>
        <v>0</v>
      </c>
      <c r="H480" s="565">
        <f t="array" aca="1" ref="H480" ca="1">IF($B480="N","",SUM(IF((INDIRECT("'"&amp;$B480&amp;"'!I23:I200")=$A$2)*(INDIRECT("'"&amp;$B480&amp;"'!O23:O200")=$D480)*(INDIRECT("'"&amp;$B480&amp;"'!O23:O200")&lt;&gt;"")*(INDIRECT("'"&amp;$B480&amp;"'!H23:H200")=$G$5),INDIRECT("'"&amp;$B480&amp;"'!p23:p200"),0)))</f>
        <v>0</v>
      </c>
      <c r="I480" s="515">
        <f t="shared" ca="1" si="76"/>
        <v>3</v>
      </c>
      <c r="J480" s="513">
        <f t="shared" ca="1" si="77"/>
        <v>1</v>
      </c>
    </row>
    <row r="481" spans="1:10">
      <c r="B481" s="563" t="str">
        <f t="shared" si="78"/>
        <v>ThespaKusatsu Gunma</v>
      </c>
      <c r="D481" s="511">
        <v>0.25</v>
      </c>
      <c r="E481" s="564">
        <f t="array" aca="1" ref="E481" ca="1">IF($B481="N","",SUM(IF((INDIRECT("'"&amp;$B481&amp;"'!I23:I200")=$A$2)*(INDIRECT("'"&amp;$B481&amp;"'!O23:O200")=$D481)*(INDIRECT("'"&amp;$B481&amp;"'!O23:O200")&lt;&gt;"")*(INDIRECT("'"&amp;$B481&amp;"'!H23:H200")=$E$5),1,0)))</f>
        <v>6</v>
      </c>
      <c r="F481" s="565">
        <f t="array" aca="1" ref="F481" ca="1">IF($B481="N","",SUM(IF((INDIRECT("'"&amp;$B481&amp;"'!I23:I200")=$A$2)*(INDIRECT("'"&amp;$B481&amp;"'!O23:O200")=$D481)*(INDIRECT("'"&amp;$B481&amp;"'!O23:O200")&lt;&gt;"")*(INDIRECT("'"&amp;$B481&amp;"'!H23:H200")=$E$5),INDIRECT("'"&amp;$B481&amp;"'!p23:p200"),0)))</f>
        <v>-6</v>
      </c>
      <c r="G481" s="564">
        <f t="array" aca="1" ref="G481" ca="1">IF($B481="N","",SUM(IF((INDIRECT("'"&amp;$B481&amp;"'!I23:I200")=$A$2)*(INDIRECT("'"&amp;$B481&amp;"'!O23:O200")=$D481)*(INDIRECT("'"&amp;$B481&amp;"'!O23:O200")&lt;&gt;"")*(INDIRECT("'"&amp;$B481&amp;"'!H23:H200")=$G$5),1,0)))</f>
        <v>3</v>
      </c>
      <c r="H481" s="565">
        <f t="array" aca="1" ref="H481" ca="1">IF($B481="N","",SUM(IF((INDIRECT("'"&amp;$B481&amp;"'!I23:I200")=$A$2)*(INDIRECT("'"&amp;$B481&amp;"'!O23:O200")=$D481)*(INDIRECT("'"&amp;$B481&amp;"'!O23:O200")&lt;&gt;"")*(INDIRECT("'"&amp;$B481&amp;"'!H23:H200")=$G$5),INDIRECT("'"&amp;$B481&amp;"'!p23:p200"),0)))</f>
        <v>1</v>
      </c>
      <c r="I481" s="515">
        <f t="shared" ca="1" si="76"/>
        <v>9</v>
      </c>
      <c r="J481" s="513">
        <f t="shared" ca="1" si="77"/>
        <v>-5</v>
      </c>
    </row>
    <row r="482" spans="1:10">
      <c r="B482" s="563" t="str">
        <f t="shared" si="78"/>
        <v>ThespaKusatsu Gunma</v>
      </c>
      <c r="D482" s="511">
        <v>0.5</v>
      </c>
      <c r="E482" s="564">
        <f t="array" aca="1" ref="E482" ca="1">IF($B482="N","",SUM(IF((INDIRECT("'"&amp;$B482&amp;"'!I23:I200")=$A$2)*(INDIRECT("'"&amp;$B482&amp;"'!O23:O200")=$D482)*(INDIRECT("'"&amp;$B482&amp;"'!O23:O200")&lt;&gt;"")*(INDIRECT("'"&amp;$B482&amp;"'!H23:H200")=$E$5),1,0)))</f>
        <v>6</v>
      </c>
      <c r="F482" s="565">
        <f t="array" aca="1" ref="F482" ca="1">IF($B482="N","",SUM(IF((INDIRECT("'"&amp;$B482&amp;"'!I23:I200")=$A$2)*(INDIRECT("'"&amp;$B482&amp;"'!O23:O200")=$D482)*(INDIRECT("'"&amp;$B482&amp;"'!O23:O200")&lt;&gt;"")*(INDIRECT("'"&amp;$B482&amp;"'!H23:H200")=$E$5),INDIRECT("'"&amp;$B482&amp;"'!p23:p200"),0)))</f>
        <v>-4</v>
      </c>
      <c r="G482" s="564">
        <f t="array" aca="1" ref="G482" ca="1">IF($B482="N","",SUM(IF((INDIRECT("'"&amp;$B482&amp;"'!I23:I200")=$A$2)*(INDIRECT("'"&amp;$B482&amp;"'!O23:O200")=$D482)*(INDIRECT("'"&amp;$B482&amp;"'!O23:O200")&lt;&gt;"")*(INDIRECT("'"&amp;$B482&amp;"'!H23:H200")=$G$5),1,0)))</f>
        <v>5</v>
      </c>
      <c r="H482" s="565">
        <f t="array" aca="1" ref="H482" ca="1">IF($B482="N","",SUM(IF((INDIRECT("'"&amp;$B482&amp;"'!I23:I200")=$A$2)*(INDIRECT("'"&amp;$B482&amp;"'!O23:O200")=$D482)*(INDIRECT("'"&amp;$B482&amp;"'!O23:O200")&lt;&gt;"")*(INDIRECT("'"&amp;$B482&amp;"'!H23:H200")=$G$5),INDIRECT("'"&amp;$B482&amp;"'!p23:p200"),0)))</f>
        <v>-5</v>
      </c>
      <c r="I482" s="515">
        <f t="shared" ca="1" si="76"/>
        <v>11</v>
      </c>
      <c r="J482" s="513">
        <f t="shared" ca="1" si="77"/>
        <v>-9</v>
      </c>
    </row>
    <row r="483" spans="1:10">
      <c r="B483" s="563" t="str">
        <f t="shared" si="78"/>
        <v>ThespaKusatsu Gunma</v>
      </c>
      <c r="D483" s="511">
        <v>0.75</v>
      </c>
      <c r="E483" s="564">
        <f t="array" aca="1" ref="E483" ca="1">IF($B483="N","",SUM(IF((INDIRECT("'"&amp;$B483&amp;"'!I23:I200")=$A$2)*(INDIRECT("'"&amp;$B483&amp;"'!O23:O200")=$D483)*(INDIRECT("'"&amp;$B483&amp;"'!O23:O200")&lt;&gt;"")*(INDIRECT("'"&amp;$B483&amp;"'!H23:H200")=$E$5),1,0)))</f>
        <v>5</v>
      </c>
      <c r="F483" s="565">
        <f t="array" aca="1" ref="F483" ca="1">IF($B483="N","",SUM(IF((INDIRECT("'"&amp;$B483&amp;"'!I23:I200")=$A$2)*(INDIRECT("'"&amp;$B483&amp;"'!O23:O200")=$D483)*(INDIRECT("'"&amp;$B483&amp;"'!O23:O200")&lt;&gt;"")*(INDIRECT("'"&amp;$B483&amp;"'!H23:H200")=$E$5),INDIRECT("'"&amp;$B483&amp;"'!p23:p200"),0)))</f>
        <v>-1</v>
      </c>
      <c r="G483" s="564">
        <f t="array" aca="1" ref="G483" ca="1">IF($B483="N","",SUM(IF((INDIRECT("'"&amp;$B483&amp;"'!I23:I200")=$A$2)*(INDIRECT("'"&amp;$B483&amp;"'!O23:O200")=$D483)*(INDIRECT("'"&amp;$B483&amp;"'!O23:O200")&lt;&gt;"")*(INDIRECT("'"&amp;$B483&amp;"'!H23:H200")=$G$5),1,0)))</f>
        <v>7</v>
      </c>
      <c r="H483" s="565">
        <f t="array" aca="1" ref="H483" ca="1">IF($B483="N","",SUM(IF((INDIRECT("'"&amp;$B483&amp;"'!I23:I200")=$A$2)*(INDIRECT("'"&amp;$B483&amp;"'!O23:O200")=$D483)*(INDIRECT("'"&amp;$B483&amp;"'!O23:O200")&lt;&gt;"")*(INDIRECT("'"&amp;$B483&amp;"'!H23:H200")=$G$5),INDIRECT("'"&amp;$B483&amp;"'!p23:p200"),0)))</f>
        <v>-3.5</v>
      </c>
      <c r="I483" s="515">
        <f t="shared" ca="1" si="76"/>
        <v>12</v>
      </c>
      <c r="J483" s="513">
        <f t="shared" ca="1" si="77"/>
        <v>-4.5</v>
      </c>
    </row>
    <row r="484" spans="1:10">
      <c r="B484" s="563" t="str">
        <f t="shared" si="78"/>
        <v>ThespaKusatsu Gunma</v>
      </c>
      <c r="D484" s="511">
        <v>1</v>
      </c>
      <c r="E484" s="564">
        <f t="array" aca="1" ref="E484" ca="1">IF($B484="N","",SUM(IF((INDIRECT("'"&amp;$B484&amp;"'!I23:I200")=$A$2)*(INDIRECT("'"&amp;$B484&amp;"'!O23:O200")=$D484)*(INDIRECT("'"&amp;$B484&amp;"'!O23:O200")&lt;&gt;"")*(INDIRECT("'"&amp;$B484&amp;"'!H23:H200")=$E$5),1,0)))</f>
        <v>1</v>
      </c>
      <c r="F484" s="565">
        <f t="array" aca="1" ref="F484" ca="1">IF($B484="N","",SUM(IF((INDIRECT("'"&amp;$B484&amp;"'!I23:I200")=$A$2)*(INDIRECT("'"&amp;$B484&amp;"'!O23:O200")=$D484)*(INDIRECT("'"&amp;$B484&amp;"'!O23:O200")&lt;&gt;"")*(INDIRECT("'"&amp;$B484&amp;"'!H23:H200")=$E$5),INDIRECT("'"&amp;$B484&amp;"'!p23:p200"),0)))</f>
        <v>0</v>
      </c>
      <c r="G484" s="564">
        <f t="array" aca="1" ref="G484" ca="1">IF($B484="N","",SUM(IF((INDIRECT("'"&amp;$B484&amp;"'!I23:I200")=$A$2)*(INDIRECT("'"&amp;$B484&amp;"'!O23:O200")=$D484)*(INDIRECT("'"&amp;$B484&amp;"'!O23:O200")&lt;&gt;"")*(INDIRECT("'"&amp;$B484&amp;"'!H23:H200")=$G$5),1,0)))</f>
        <v>3</v>
      </c>
      <c r="H484" s="565">
        <f t="array" aca="1" ref="H484" ca="1">IF($B484="N","",SUM(IF((INDIRECT("'"&amp;$B484&amp;"'!I23:I200")=$A$2)*(INDIRECT("'"&amp;$B484&amp;"'!O23:O200")=$D484)*(INDIRECT("'"&amp;$B484&amp;"'!O23:O200")&lt;&gt;"")*(INDIRECT("'"&amp;$B484&amp;"'!H23:H200")=$G$5),INDIRECT("'"&amp;$B484&amp;"'!p23:p200"),0)))</f>
        <v>0</v>
      </c>
      <c r="I484" s="515">
        <f t="shared" ca="1" si="76"/>
        <v>4</v>
      </c>
      <c r="J484" s="513">
        <f t="shared" ca="1" si="77"/>
        <v>0</v>
      </c>
    </row>
    <row r="485" spans="1:10">
      <c r="B485" s="563" t="str">
        <f t="shared" si="78"/>
        <v>ThespaKusatsu Gunma</v>
      </c>
      <c r="D485" s="511">
        <v>1.25</v>
      </c>
      <c r="E485" s="564">
        <f t="array" aca="1" ref="E485" ca="1">IF($B485="N","",SUM(IF((INDIRECT("'"&amp;$B485&amp;"'!I23:I200")=$A$2)*(INDIRECT("'"&amp;$B485&amp;"'!O23:O200")=$D485)*(INDIRECT("'"&amp;$B485&amp;"'!O23:O200")&lt;&gt;"")*(INDIRECT("'"&amp;$B485&amp;"'!H23:H200")=$E$5),1,0)))</f>
        <v>0</v>
      </c>
      <c r="F485" s="565">
        <f t="array" aca="1" ref="F485" ca="1">IF($B485="N","",SUM(IF((INDIRECT("'"&amp;$B485&amp;"'!I23:I200")=$A$2)*(INDIRECT("'"&amp;$B485&amp;"'!O23:O200")=$D485)*(INDIRECT("'"&amp;$B485&amp;"'!O23:O200")&lt;&gt;"")*(INDIRECT("'"&amp;$B485&amp;"'!H23:H200")=$E$5),INDIRECT("'"&amp;$B485&amp;"'!p23:p200"),0)))</f>
        <v>0</v>
      </c>
      <c r="G485" s="564">
        <f t="array" aca="1" ref="G485" ca="1">IF($B485="N","",SUM(IF((INDIRECT("'"&amp;$B485&amp;"'!I23:I200")=$A$2)*(INDIRECT("'"&amp;$B485&amp;"'!O23:O200")=$D485)*(INDIRECT("'"&amp;$B485&amp;"'!O23:O200")&lt;&gt;"")*(INDIRECT("'"&amp;$B485&amp;"'!H23:H200")=$G$5),1,0)))</f>
        <v>2</v>
      </c>
      <c r="H485" s="565">
        <f t="array" aca="1" ref="H485" ca="1">IF($B485="N","",SUM(IF((INDIRECT("'"&amp;$B485&amp;"'!I23:I200")=$A$2)*(INDIRECT("'"&amp;$B485&amp;"'!O23:O200")=$D485)*(INDIRECT("'"&amp;$B485&amp;"'!O23:O200")&lt;&gt;"")*(INDIRECT("'"&amp;$B485&amp;"'!H23:H200")=$G$5),INDIRECT("'"&amp;$B485&amp;"'!p23:p200"),0)))</f>
        <v>-2</v>
      </c>
      <c r="I485" s="515">
        <f t="shared" ca="1" si="76"/>
        <v>2</v>
      </c>
      <c r="J485" s="513">
        <f t="shared" ca="1" si="77"/>
        <v>-2</v>
      </c>
    </row>
    <row r="486" spans="1:10">
      <c r="B486" s="563" t="str">
        <f t="shared" si="78"/>
        <v>ThespaKusatsu Gunma</v>
      </c>
      <c r="D486" s="511">
        <v>1.5</v>
      </c>
      <c r="E486" s="564">
        <f t="array" aca="1" ref="E486" ca="1">IF($B486="N","",SUM(IF((INDIRECT("'"&amp;$B486&amp;"'!I23:I200")=$A$2)*(INDIRECT("'"&amp;$B486&amp;"'!O23:O200")=$D486)*(INDIRECT("'"&amp;$B486&amp;"'!O23:O200")&lt;&gt;"")*(INDIRECT("'"&amp;$B486&amp;"'!H23:H200")=$E$5),1,0)))</f>
        <v>0</v>
      </c>
      <c r="F486" s="565">
        <f t="array" aca="1" ref="F486" ca="1">IF($B486="N","",SUM(IF((INDIRECT("'"&amp;$B486&amp;"'!I23:I200")=$A$2)*(INDIRECT("'"&amp;$B486&amp;"'!O23:O200")=$D486)*(INDIRECT("'"&amp;$B486&amp;"'!O23:O200")&lt;&gt;"")*(INDIRECT("'"&amp;$B486&amp;"'!H23:H200")=$E$5),INDIRECT("'"&amp;$B486&amp;"'!p23:p200"),0)))</f>
        <v>0</v>
      </c>
      <c r="G486" s="564">
        <f t="array" aca="1" ref="G486" ca="1">IF($B486="N","",SUM(IF((INDIRECT("'"&amp;$B486&amp;"'!I23:I200")=$A$2)*(INDIRECT("'"&amp;$B486&amp;"'!O23:O200")=$D486)*(INDIRECT("'"&amp;$B486&amp;"'!O23:O200")&lt;&gt;"")*(INDIRECT("'"&amp;$B486&amp;"'!H23:H200")=$G$5),1,0)))</f>
        <v>0</v>
      </c>
      <c r="H486" s="565">
        <f t="array" aca="1" ref="H486" ca="1">IF($B486="N","",SUM(IF((INDIRECT("'"&amp;$B486&amp;"'!I23:I200")=$A$2)*(INDIRECT("'"&amp;$B486&amp;"'!O23:O200")=$D486)*(INDIRECT("'"&amp;$B486&amp;"'!O23:O200")&lt;&gt;"")*(INDIRECT("'"&amp;$B486&amp;"'!H23:H200")=$G$5),INDIRECT("'"&amp;$B486&amp;"'!p23:p200"),0)))</f>
        <v>0</v>
      </c>
      <c r="I486" s="515">
        <f t="shared" ca="1" si="76"/>
        <v>0</v>
      </c>
      <c r="J486" s="513">
        <f t="shared" ca="1" si="77"/>
        <v>0</v>
      </c>
    </row>
    <row r="487" spans="1:10">
      <c r="B487" s="563" t="str">
        <f t="shared" si="78"/>
        <v>ThespaKusatsu Gunma</v>
      </c>
      <c r="D487" s="528">
        <v>1.75</v>
      </c>
      <c r="E487" s="564">
        <f t="array" aca="1" ref="E487" ca="1">IF($B487="N","",SUM(IF((INDIRECT("'"&amp;$B487&amp;"'!I23:I200")=$A$2)*(INDIRECT("'"&amp;$B487&amp;"'!O23:O200")=$D487)*(INDIRECT("'"&amp;$B487&amp;"'!O23:O200")&lt;&gt;"")*(INDIRECT("'"&amp;$B487&amp;"'!H23:H200")=$E$5),1,0)))</f>
        <v>0</v>
      </c>
      <c r="F487" s="565">
        <f t="array" aca="1" ref="F487" ca="1">IF($B487="N","",SUM(IF((INDIRECT("'"&amp;$B487&amp;"'!I23:I200")=$A$2)*(INDIRECT("'"&amp;$B487&amp;"'!O23:O200")=$D487)*(INDIRECT("'"&amp;$B487&amp;"'!O23:O200")&lt;&gt;"")*(INDIRECT("'"&amp;$B487&amp;"'!H23:H200")=$E$5),INDIRECT("'"&amp;$B487&amp;"'!p23:p200"),0)))</f>
        <v>0</v>
      </c>
      <c r="G487" s="564">
        <f t="array" aca="1" ref="G487" ca="1">IF($B487="N","",SUM(IF((INDIRECT("'"&amp;$B487&amp;"'!I23:I200")=$A$2)*(INDIRECT("'"&amp;$B487&amp;"'!O23:O200")=$D487)*(INDIRECT("'"&amp;$B487&amp;"'!O23:O200")&lt;&gt;"")*(INDIRECT("'"&amp;$B487&amp;"'!H23:H200")=$G$5),1,0)))</f>
        <v>1</v>
      </c>
      <c r="H487" s="565">
        <f t="array" aca="1" ref="H487" ca="1">IF($B487="N","",SUM(IF((INDIRECT("'"&amp;$B487&amp;"'!I23:I200")=$A$2)*(INDIRECT("'"&amp;$B487&amp;"'!O23:O200")=$D487)*(INDIRECT("'"&amp;$B487&amp;"'!O23:O200")&lt;&gt;"")*(INDIRECT("'"&amp;$B487&amp;"'!H23:H200")=$G$5),INDIRECT("'"&amp;$B487&amp;"'!p23:p200"),0)))</f>
        <v>-0.5</v>
      </c>
      <c r="I487" s="515">
        <f t="shared" ca="1" si="76"/>
        <v>1</v>
      </c>
      <c r="J487" s="513">
        <f t="shared" ca="1" si="77"/>
        <v>-0.5</v>
      </c>
    </row>
    <row r="488" spans="1:10">
      <c r="B488" s="563" t="str">
        <f t="shared" si="78"/>
        <v>ThespaKusatsu Gunma</v>
      </c>
      <c r="D488" s="528">
        <v>2</v>
      </c>
      <c r="E488" s="564">
        <f t="array" aca="1" ref="E488" ca="1">IF($B488="N","",SUM(IF((INDIRECT("'"&amp;$B488&amp;"'!I23:I200")=$A$2)*(INDIRECT("'"&amp;$B488&amp;"'!O23:O200")=$D488)*(INDIRECT("'"&amp;$B488&amp;"'!O23:O200")&lt;&gt;"")*(INDIRECT("'"&amp;$B488&amp;"'!H23:H200")=$E$5),1,0)))</f>
        <v>0</v>
      </c>
      <c r="F488" s="565">
        <f t="array" aca="1" ref="F488" ca="1">IF($B488="N","",SUM(IF((INDIRECT("'"&amp;$B488&amp;"'!I23:I200")=$A$2)*(INDIRECT("'"&amp;$B488&amp;"'!O23:O200")=$D488)*(INDIRECT("'"&amp;$B488&amp;"'!O23:O200")&lt;&gt;"")*(INDIRECT("'"&amp;$B488&amp;"'!H23:H200")=$E$5),INDIRECT("'"&amp;$B488&amp;"'!p23:p200"),0)))</f>
        <v>0</v>
      </c>
      <c r="G488" s="564">
        <f t="array" aca="1" ref="G488" ca="1">IF($B488="N","",SUM(IF((INDIRECT("'"&amp;$B488&amp;"'!I23:I200")=$A$2)*(INDIRECT("'"&amp;$B488&amp;"'!O23:O200")=$D488)*(INDIRECT("'"&amp;$B488&amp;"'!O23:O200")&lt;&gt;"")*(INDIRECT("'"&amp;$B488&amp;"'!H23:H200")=$G$5),1,0)))</f>
        <v>0</v>
      </c>
      <c r="H488" s="565">
        <f t="array" aca="1" ref="H488" ca="1">IF($B488="N","",SUM(IF((INDIRECT("'"&amp;$B488&amp;"'!I23:I200")=$A$2)*(INDIRECT("'"&amp;$B488&amp;"'!O23:O200")=$D488)*(INDIRECT("'"&amp;$B488&amp;"'!O23:O200")&lt;&gt;"")*(INDIRECT("'"&amp;$B488&amp;"'!H23:H200")=$G$5),INDIRECT("'"&amp;$B488&amp;"'!p23:p200"),0)))</f>
        <v>0</v>
      </c>
      <c r="I488" s="515">
        <f t="shared" ca="1" si="76"/>
        <v>0</v>
      </c>
      <c r="J488" s="513">
        <f t="shared" ca="1" si="77"/>
        <v>0</v>
      </c>
    </row>
    <row r="489" spans="1:10">
      <c r="B489" s="563" t="str">
        <f t="shared" si="78"/>
        <v>ThespaKusatsu Gunma</v>
      </c>
      <c r="D489" s="528">
        <v>2.25</v>
      </c>
      <c r="E489" s="564">
        <f t="array" aca="1" ref="E489" ca="1">IF($B489="N","",SUM(IF((INDIRECT("'"&amp;$B489&amp;"'!I23:I200")=$A$2)*(INDIRECT("'"&amp;$B489&amp;"'!O23:O200")=$D489)*(INDIRECT("'"&amp;$B489&amp;"'!O23:O200")&lt;&gt;"")*(INDIRECT("'"&amp;$B489&amp;"'!H23:H200")=$E$5),1,0)))</f>
        <v>0</v>
      </c>
      <c r="F489" s="565">
        <f t="array" aca="1" ref="F489" ca="1">IF($B489="N","",SUM(IF((INDIRECT("'"&amp;$B489&amp;"'!I23:I200")=$A$2)*(INDIRECT("'"&amp;$B489&amp;"'!O23:O200")=$D489)*(INDIRECT("'"&amp;$B489&amp;"'!O23:O200")&lt;&gt;"")*(INDIRECT("'"&amp;$B489&amp;"'!H23:H200")=$E$5),INDIRECT("'"&amp;$B489&amp;"'!p23:p200"),0)))</f>
        <v>0</v>
      </c>
      <c r="G489" s="564">
        <f t="array" aca="1" ref="G489" ca="1">IF($B489="N","",SUM(IF((INDIRECT("'"&amp;$B489&amp;"'!I23:I200")=$A$2)*(INDIRECT("'"&amp;$B489&amp;"'!O23:O200")=$D489)*(INDIRECT("'"&amp;$B489&amp;"'!O23:O200")&lt;&gt;"")*(INDIRECT("'"&amp;$B489&amp;"'!H23:H200")=$G$5),1,0)))</f>
        <v>0</v>
      </c>
      <c r="H489" s="565">
        <f t="array" aca="1" ref="H489" ca="1">IF($B489="N","",SUM(IF((INDIRECT("'"&amp;$B489&amp;"'!I23:I200")=$A$2)*(INDIRECT("'"&amp;$B489&amp;"'!O23:O200")=$D489)*(INDIRECT("'"&amp;$B489&amp;"'!O23:O200")&lt;&gt;"")*(INDIRECT("'"&amp;$B489&amp;"'!H23:H200")=$G$5),INDIRECT("'"&amp;$B489&amp;"'!p23:p200"),0)))</f>
        <v>0</v>
      </c>
      <c r="I489" s="515">
        <f t="shared" ca="1" si="76"/>
        <v>0</v>
      </c>
      <c r="J489" s="513">
        <f t="shared" ca="1" si="77"/>
        <v>0</v>
      </c>
    </row>
    <row r="490" spans="1:10">
      <c r="B490" s="563" t="str">
        <f t="shared" si="78"/>
        <v>ThespaKusatsu Gunma</v>
      </c>
      <c r="D490" s="528">
        <v>2.5</v>
      </c>
      <c r="E490" s="564">
        <f t="array" aca="1" ref="E490" ca="1">IF($B490="N","",SUM(IF((INDIRECT("'"&amp;$B490&amp;"'!I23:I200")=$A$2)*(INDIRECT("'"&amp;$B490&amp;"'!O23:O200")=$D490)*(INDIRECT("'"&amp;$B490&amp;"'!O23:O200")&lt;&gt;"")*(INDIRECT("'"&amp;$B490&amp;"'!H23:H200")=$E$5),1,0)))</f>
        <v>0</v>
      </c>
      <c r="F490" s="565">
        <f t="array" aca="1" ref="F490" ca="1">IF($B490="N","",SUM(IF((INDIRECT("'"&amp;$B490&amp;"'!I23:I200")=$A$2)*(INDIRECT("'"&amp;$B490&amp;"'!O23:O200")=$D490)*(INDIRECT("'"&amp;$B490&amp;"'!O23:O200")&lt;&gt;"")*(INDIRECT("'"&amp;$B490&amp;"'!H23:H200")=$E$5),INDIRECT("'"&amp;$B490&amp;"'!p23:p200"),0)))</f>
        <v>0</v>
      </c>
      <c r="G490" s="564">
        <f t="array" aca="1" ref="G490" ca="1">IF($B490="N","",SUM(IF((INDIRECT("'"&amp;$B490&amp;"'!I23:I200")=$A$2)*(INDIRECT("'"&amp;$B490&amp;"'!O23:O200")=$D490)*(INDIRECT("'"&amp;$B490&amp;"'!O23:O200")&lt;&gt;"")*(INDIRECT("'"&amp;$B490&amp;"'!H23:H200")=$G$5),1,0)))</f>
        <v>0</v>
      </c>
      <c r="H490" s="565">
        <f t="array" aca="1" ref="H490" ca="1">IF($B490="N","",SUM(IF((INDIRECT("'"&amp;$B490&amp;"'!I23:I200")=$A$2)*(INDIRECT("'"&amp;$B490&amp;"'!O23:O200")=$D490)*(INDIRECT("'"&amp;$B490&amp;"'!O23:O200")&lt;&gt;"")*(INDIRECT("'"&amp;$B490&amp;"'!H23:H200")=$G$5),INDIRECT("'"&amp;$B490&amp;"'!p23:p200"),0)))</f>
        <v>0</v>
      </c>
      <c r="I490" s="515">
        <f t="shared" ca="1" si="76"/>
        <v>0</v>
      </c>
      <c r="J490" s="513">
        <f t="shared" ca="1" si="77"/>
        <v>0</v>
      </c>
    </row>
    <row r="491" spans="1:10" ht="15" thickBot="1">
      <c r="B491" s="563" t="str">
        <f t="shared" si="78"/>
        <v>ThespaKusatsu Gunma</v>
      </c>
      <c r="D491" s="511">
        <v>2.75</v>
      </c>
      <c r="E491" s="564">
        <f t="array" aca="1" ref="E491" ca="1">IF($B491="N","",SUM(IF((INDIRECT("'"&amp;$B491&amp;"'!I23:I200")=$A$2)*(INDIRECT("'"&amp;$B491&amp;"'!O23:O200")=$D491)*(INDIRECT("'"&amp;$B491&amp;"'!O23:O200")&lt;&gt;"")*(INDIRECT("'"&amp;$B491&amp;"'!H23:H200")=$E$5),1,0)))</f>
        <v>0</v>
      </c>
      <c r="F491" s="565">
        <f t="array" aca="1" ref="F491" ca="1">IF($B491="N","",SUM(IF((INDIRECT("'"&amp;$B491&amp;"'!I23:I200")=$A$2)*(INDIRECT("'"&amp;$B491&amp;"'!O23:O200")=$D491)*(INDIRECT("'"&amp;$B491&amp;"'!O23:O200")&lt;&gt;"")*(INDIRECT("'"&amp;$B491&amp;"'!H23:H200")=$E$5),INDIRECT("'"&amp;$B491&amp;"'!p23:p200"),0)))</f>
        <v>0</v>
      </c>
      <c r="G491" s="564">
        <f t="array" aca="1" ref="G491" ca="1">IF($B491="N","",SUM(IF((INDIRECT("'"&amp;$B491&amp;"'!I23:I200")=$A$2)*(INDIRECT("'"&amp;$B491&amp;"'!O23:O200")=$D491)*(INDIRECT("'"&amp;$B491&amp;"'!O23:O200")&lt;&gt;"")*(INDIRECT("'"&amp;$B491&amp;"'!H23:H200")=$G$5),1,0)))</f>
        <v>0</v>
      </c>
      <c r="H491" s="565">
        <f t="array" aca="1" ref="H491" ca="1">IF($B491="N","",SUM(IF((INDIRECT("'"&amp;$B491&amp;"'!I23:I200")=$A$2)*(INDIRECT("'"&amp;$B491&amp;"'!O23:O200")=$D491)*(INDIRECT("'"&amp;$B491&amp;"'!O23:O200")&lt;&gt;"")*(INDIRECT("'"&amp;$B491&amp;"'!H23:H200")=$G$5),INDIRECT("'"&amp;$B491&amp;"'!p23:p200"),0)))</f>
        <v>0</v>
      </c>
      <c r="I491" s="515">
        <f t="shared" ca="1" si="76"/>
        <v>0</v>
      </c>
      <c r="J491" s="513">
        <f t="shared" ca="1" si="77"/>
        <v>0</v>
      </c>
    </row>
    <row r="492" spans="1:10" ht="15" thickBot="1">
      <c r="A492" s="567"/>
      <c r="B492" s="568"/>
      <c r="C492" s="569" t="str">
        <f>D467</f>
        <v>ThespaKusatsu Gunma</v>
      </c>
      <c r="D492" s="570" t="s">
        <v>115</v>
      </c>
      <c r="E492" s="571">
        <f t="shared" ref="E492:J492" ca="1" si="79">SUM(E469:E491)</f>
        <v>21</v>
      </c>
      <c r="F492" s="572">
        <f t="shared" ca="1" si="79"/>
        <v>-10</v>
      </c>
      <c r="G492" s="571">
        <f t="shared" ca="1" si="79"/>
        <v>21</v>
      </c>
      <c r="H492" s="572">
        <f t="shared" ca="1" si="79"/>
        <v>-10</v>
      </c>
      <c r="I492" s="573">
        <f t="shared" ca="1" si="79"/>
        <v>42</v>
      </c>
      <c r="J492" s="572">
        <f t="shared" ca="1" si="79"/>
        <v>-20</v>
      </c>
    </row>
    <row r="493" spans="1:10" ht="15" thickBot="1">
      <c r="A493" s="567"/>
      <c r="C493" s="576"/>
    </row>
    <row r="494" spans="1:10">
      <c r="A494" s="567"/>
      <c r="B494" s="357"/>
      <c r="C494" s="569"/>
      <c r="D494" s="562" t="str">
        <f>I2</f>
        <v>Tokushima Vortis</v>
      </c>
      <c r="E494" s="490" t="s">
        <v>80</v>
      </c>
      <c r="F494" s="491"/>
      <c r="G494" s="490" t="s">
        <v>81</v>
      </c>
      <c r="H494" s="491"/>
      <c r="I494" s="490" t="s">
        <v>82</v>
      </c>
      <c r="J494" s="492"/>
    </row>
    <row r="495" spans="1:10" ht="15" thickBot="1">
      <c r="B495" s="357"/>
      <c r="C495" s="357"/>
      <c r="D495" s="499" t="s">
        <v>120</v>
      </c>
      <c r="E495" s="497" t="s">
        <v>123</v>
      </c>
      <c r="F495" s="552" t="s">
        <v>124</v>
      </c>
      <c r="G495" s="497" t="s">
        <v>123</v>
      </c>
      <c r="H495" s="552" t="s">
        <v>124</v>
      </c>
      <c r="I495" s="501" t="s">
        <v>123</v>
      </c>
      <c r="J495" s="552" t="s">
        <v>124</v>
      </c>
    </row>
    <row r="496" spans="1:10">
      <c r="B496" s="563" t="str">
        <f>IF(D494=0,"N",D494)</f>
        <v>Tokushima Vortis</v>
      </c>
      <c r="D496" s="511">
        <v>-2.75</v>
      </c>
      <c r="E496" s="564">
        <f t="array" aca="1" ref="E496" ca="1">IF($B496="N","",SUM(IF((INDIRECT("'"&amp;$B496&amp;"'!I23:I200")=$A$2)*(INDIRECT("'"&amp;$B496&amp;"'!O23:O200")=$D496)*(INDIRECT("'"&amp;$B496&amp;"'!O23:O200")&lt;&gt;"")*(INDIRECT("'"&amp;$B496&amp;"'!H23:H200")=$E$5),1,0)))</f>
        <v>0</v>
      </c>
      <c r="F496" s="565">
        <f t="array" aca="1" ref="F496" ca="1">IF($B496="N","",SUM(IF((INDIRECT("'"&amp;$B496&amp;"'!I23:I200")=$A$2)*(INDIRECT("'"&amp;$B496&amp;"'!O23:O200")=$D496)*(INDIRECT("'"&amp;$B496&amp;"'!O23:O200")&lt;&gt;"")*(INDIRECT("'"&amp;$B496&amp;"'!H23:H200")=$E$5),INDIRECT("'"&amp;$B496&amp;"'!p23:p200"),0)))</f>
        <v>0</v>
      </c>
      <c r="G496" s="564">
        <f t="array" aca="1" ref="G496" ca="1">IF($B496="N","",SUM(IF((INDIRECT("'"&amp;$B496&amp;"'!I23:I200")=$A$2)*(INDIRECT("'"&amp;$B496&amp;"'!O23:O200")=$D496)*(INDIRECT("'"&amp;$B496&amp;"'!O23:O200")&lt;&gt;"")*(INDIRECT("'"&amp;$B496&amp;"'!H23:H200")=$G$5),1,0)))</f>
        <v>0</v>
      </c>
      <c r="H496" s="565">
        <f t="array" aca="1" ref="H496" ca="1">IF($B496="N","",SUM(IF((INDIRECT("'"&amp;$B496&amp;"'!I23:I200")=$A$2)*(INDIRECT("'"&amp;$B496&amp;"'!O23:O200")=$D496)*(INDIRECT("'"&amp;$B496&amp;"'!O23:O200")&lt;&gt;"")*(INDIRECT("'"&amp;$B496&amp;"'!H23:H200")=$G$5),INDIRECT("'"&amp;$B496&amp;"'!p23:p200"),0)))</f>
        <v>0</v>
      </c>
      <c r="I496" s="515">
        <f t="shared" ref="I496:I518" ca="1" si="80">IF(B496="N","",G496+E496)</f>
        <v>0</v>
      </c>
      <c r="J496" s="513">
        <f t="shared" ref="J496:J518" ca="1" si="81">IF(I496="","",F496+H496)</f>
        <v>0</v>
      </c>
    </row>
    <row r="497" spans="2:10">
      <c r="B497" s="563" t="str">
        <f>B496</f>
        <v>Tokushima Vortis</v>
      </c>
      <c r="D497" s="520">
        <v>-2.5</v>
      </c>
      <c r="E497" s="564">
        <f t="array" aca="1" ref="E497" ca="1">IF($B497="N","",SUM(IF((INDIRECT("'"&amp;$B497&amp;"'!I23:I200")=$A$2)*(INDIRECT("'"&amp;$B497&amp;"'!O23:O200")=$D497)*(INDIRECT("'"&amp;$B497&amp;"'!O23:O200")&lt;&gt;"")*(INDIRECT("'"&amp;$B497&amp;"'!H23:H200")=$E$5),1,0)))</f>
        <v>0</v>
      </c>
      <c r="F497" s="565">
        <f t="array" aca="1" ref="F497" ca="1">IF($B497="N","",SUM(IF((INDIRECT("'"&amp;$B497&amp;"'!I23:I200")=$A$2)*(INDIRECT("'"&amp;$B497&amp;"'!O23:O200")=$D497)*(INDIRECT("'"&amp;$B497&amp;"'!O23:O200")&lt;&gt;"")*(INDIRECT("'"&amp;$B497&amp;"'!H23:H200")=$E$5),INDIRECT("'"&amp;$B497&amp;"'!p23:p200"),0)))</f>
        <v>0</v>
      </c>
      <c r="G497" s="564">
        <f t="array" aca="1" ref="G497" ca="1">IF($B497="N","",SUM(IF((INDIRECT("'"&amp;$B497&amp;"'!I23:I200")=$A$2)*(INDIRECT("'"&amp;$B497&amp;"'!O23:O200")=$D497)*(INDIRECT("'"&amp;$B497&amp;"'!O23:O200")&lt;&gt;"")*(INDIRECT("'"&amp;$B497&amp;"'!H23:H200")=$G$5),1,0)))</f>
        <v>0</v>
      </c>
      <c r="H497" s="565">
        <f t="array" aca="1" ref="H497" ca="1">IF($B497="N","",SUM(IF((INDIRECT("'"&amp;$B497&amp;"'!I23:I200")=$A$2)*(INDIRECT("'"&amp;$B497&amp;"'!O23:O200")=$D497)*(INDIRECT("'"&amp;$B497&amp;"'!O23:O200")&lt;&gt;"")*(INDIRECT("'"&amp;$B497&amp;"'!H23:H200")=$G$5),INDIRECT("'"&amp;$B497&amp;"'!p23:p200"),0)))</f>
        <v>0</v>
      </c>
      <c r="I497" s="515">
        <f t="shared" ca="1" si="80"/>
        <v>0</v>
      </c>
      <c r="J497" s="513">
        <f t="shared" ca="1" si="81"/>
        <v>0</v>
      </c>
    </row>
    <row r="498" spans="2:10">
      <c r="B498" s="563" t="str">
        <f t="shared" ref="B498:B518" si="82">B497</f>
        <v>Tokushima Vortis</v>
      </c>
      <c r="D498" s="520">
        <v>-2.25</v>
      </c>
      <c r="E498" s="564">
        <f t="array" aca="1" ref="E498" ca="1">IF($B498="N","",SUM(IF((INDIRECT("'"&amp;$B498&amp;"'!I23:I200")=$A$2)*(INDIRECT("'"&amp;$B498&amp;"'!O23:O200")=$D498)*(INDIRECT("'"&amp;$B498&amp;"'!O23:O200")&lt;&gt;"")*(INDIRECT("'"&amp;$B498&amp;"'!H23:H200")=$E$5),1,0)))</f>
        <v>0</v>
      </c>
      <c r="F498" s="565">
        <f t="array" aca="1" ref="F498" ca="1">IF($B498="N","",SUM(IF((INDIRECT("'"&amp;$B498&amp;"'!I23:I200")=$A$2)*(INDIRECT("'"&amp;$B498&amp;"'!O23:O200")=$D498)*(INDIRECT("'"&amp;$B498&amp;"'!O23:O200")&lt;&gt;"")*(INDIRECT("'"&amp;$B498&amp;"'!H23:H200")=$E$5),INDIRECT("'"&amp;$B498&amp;"'!p23:p200"),0)))</f>
        <v>0</v>
      </c>
      <c r="G498" s="564">
        <f t="array" aca="1" ref="G498" ca="1">IF($B498="N","",SUM(IF((INDIRECT("'"&amp;$B498&amp;"'!I23:I200")=$A$2)*(INDIRECT("'"&amp;$B498&amp;"'!O23:O200")=$D498)*(INDIRECT("'"&amp;$B498&amp;"'!O23:O200")&lt;&gt;"")*(INDIRECT("'"&amp;$B498&amp;"'!H23:H200")=$G$5),1,0)))</f>
        <v>0</v>
      </c>
      <c r="H498" s="565">
        <f t="array" aca="1" ref="H498" ca="1">IF($B498="N","",SUM(IF((INDIRECT("'"&amp;$B498&amp;"'!I23:I200")=$A$2)*(INDIRECT("'"&amp;$B498&amp;"'!O23:O200")=$D498)*(INDIRECT("'"&amp;$B498&amp;"'!O23:O200")&lt;&gt;"")*(INDIRECT("'"&amp;$B498&amp;"'!H23:H200")=$G$5),INDIRECT("'"&amp;$B498&amp;"'!p23:p200"),0)))</f>
        <v>0</v>
      </c>
      <c r="I498" s="515">
        <f t="shared" ca="1" si="80"/>
        <v>0</v>
      </c>
      <c r="J498" s="513">
        <f t="shared" ca="1" si="81"/>
        <v>0</v>
      </c>
    </row>
    <row r="499" spans="2:10">
      <c r="B499" s="563" t="str">
        <f t="shared" si="82"/>
        <v>Tokushima Vortis</v>
      </c>
      <c r="D499" s="520">
        <v>-2</v>
      </c>
      <c r="E499" s="564">
        <f t="array" aca="1" ref="E499" ca="1">IF($B499="N","",SUM(IF((INDIRECT("'"&amp;$B499&amp;"'!I23:I200")=$A$2)*(INDIRECT("'"&amp;$B499&amp;"'!O23:O200")=$D499)*(INDIRECT("'"&amp;$B499&amp;"'!O23:O200")&lt;&gt;"")*(INDIRECT("'"&amp;$B499&amp;"'!H23:H200")=$E$5),1,0)))</f>
        <v>0</v>
      </c>
      <c r="F499" s="565">
        <f t="array" aca="1" ref="F499" ca="1">IF($B499="N","",SUM(IF((INDIRECT("'"&amp;$B499&amp;"'!I23:I200")=$A$2)*(INDIRECT("'"&amp;$B499&amp;"'!O23:O200")=$D499)*(INDIRECT("'"&amp;$B499&amp;"'!O23:O200")&lt;&gt;"")*(INDIRECT("'"&amp;$B499&amp;"'!H23:H200")=$E$5),INDIRECT("'"&amp;$B499&amp;"'!p23:p200"),0)))</f>
        <v>0</v>
      </c>
      <c r="G499" s="564">
        <f t="array" aca="1" ref="G499" ca="1">IF($B499="N","",SUM(IF((INDIRECT("'"&amp;$B499&amp;"'!I23:I200")=$A$2)*(INDIRECT("'"&amp;$B499&amp;"'!O23:O200")=$D499)*(INDIRECT("'"&amp;$B499&amp;"'!O23:O200")&lt;&gt;"")*(INDIRECT("'"&amp;$B499&amp;"'!H23:H200")=$G$5),1,0)))</f>
        <v>0</v>
      </c>
      <c r="H499" s="565">
        <f t="array" aca="1" ref="H499" ca="1">IF($B499="N","",SUM(IF((INDIRECT("'"&amp;$B499&amp;"'!I23:I200")=$A$2)*(INDIRECT("'"&amp;$B499&amp;"'!O23:O200")=$D499)*(INDIRECT("'"&amp;$B499&amp;"'!O23:O200")&lt;&gt;"")*(INDIRECT("'"&amp;$B499&amp;"'!H23:H200")=$G$5),INDIRECT("'"&amp;$B499&amp;"'!p23:p200"),0)))</f>
        <v>0</v>
      </c>
      <c r="I499" s="515">
        <f t="shared" ca="1" si="80"/>
        <v>0</v>
      </c>
      <c r="J499" s="513">
        <f t="shared" ca="1" si="81"/>
        <v>0</v>
      </c>
    </row>
    <row r="500" spans="2:10">
      <c r="B500" s="563" t="str">
        <f t="shared" si="82"/>
        <v>Tokushima Vortis</v>
      </c>
      <c r="D500" s="520">
        <v>-1.75</v>
      </c>
      <c r="E500" s="564">
        <f t="array" aca="1" ref="E500" ca="1">IF($B500="N","",SUM(IF((INDIRECT("'"&amp;$B500&amp;"'!I23:I200")=$A$2)*(INDIRECT("'"&amp;$B500&amp;"'!O23:O200")=$D500)*(INDIRECT("'"&amp;$B500&amp;"'!O23:O200")&lt;&gt;"")*(INDIRECT("'"&amp;$B500&amp;"'!H23:H200")=$E$5),1,0)))</f>
        <v>0</v>
      </c>
      <c r="F500" s="565">
        <f t="array" aca="1" ref="F500" ca="1">IF($B500="N","",SUM(IF((INDIRECT("'"&amp;$B500&amp;"'!I23:I200")=$A$2)*(INDIRECT("'"&amp;$B500&amp;"'!O23:O200")=$D500)*(INDIRECT("'"&amp;$B500&amp;"'!O23:O200")&lt;&gt;"")*(INDIRECT("'"&amp;$B500&amp;"'!H23:H200")=$E$5),INDIRECT("'"&amp;$B500&amp;"'!p23:p200"),0)))</f>
        <v>0</v>
      </c>
      <c r="G500" s="564">
        <f t="array" aca="1" ref="G500" ca="1">IF($B500="N","",SUM(IF((INDIRECT("'"&amp;$B500&amp;"'!I23:I200")=$A$2)*(INDIRECT("'"&amp;$B500&amp;"'!O23:O200")=$D500)*(INDIRECT("'"&amp;$B500&amp;"'!O23:O200")&lt;&gt;"")*(INDIRECT("'"&amp;$B500&amp;"'!H23:H200")=$G$5),1,0)))</f>
        <v>0</v>
      </c>
      <c r="H500" s="565">
        <f t="array" aca="1" ref="H500" ca="1">IF($B500="N","",SUM(IF((INDIRECT("'"&amp;$B500&amp;"'!I23:I200")=$A$2)*(INDIRECT("'"&amp;$B500&amp;"'!O23:O200")=$D500)*(INDIRECT("'"&amp;$B500&amp;"'!O23:O200")&lt;&gt;"")*(INDIRECT("'"&amp;$B500&amp;"'!H23:H200")=$G$5),INDIRECT("'"&amp;$B500&amp;"'!p23:p200"),0)))</f>
        <v>0</v>
      </c>
      <c r="I500" s="515">
        <f t="shared" ca="1" si="80"/>
        <v>0</v>
      </c>
      <c r="J500" s="513">
        <f t="shared" ca="1" si="81"/>
        <v>0</v>
      </c>
    </row>
    <row r="501" spans="2:10">
      <c r="B501" s="563" t="str">
        <f t="shared" si="82"/>
        <v>Tokushima Vortis</v>
      </c>
      <c r="D501" s="511">
        <v>-1.5</v>
      </c>
      <c r="E501" s="564">
        <f t="array" aca="1" ref="E501" ca="1">IF($B501="N","",SUM(IF((INDIRECT("'"&amp;$B501&amp;"'!I23:I200")=$A$2)*(INDIRECT("'"&amp;$B501&amp;"'!O23:O200")=$D501)*(INDIRECT("'"&amp;$B501&amp;"'!O23:O200")&lt;&gt;"")*(INDIRECT("'"&amp;$B501&amp;"'!H23:H200")=$E$5),1,0)))</f>
        <v>0</v>
      </c>
      <c r="F501" s="565">
        <f t="array" aca="1" ref="F501" ca="1">IF($B501="N","",SUM(IF((INDIRECT("'"&amp;$B501&amp;"'!I23:I200")=$A$2)*(INDIRECT("'"&amp;$B501&amp;"'!O23:O200")=$D501)*(INDIRECT("'"&amp;$B501&amp;"'!O23:O200")&lt;&gt;"")*(INDIRECT("'"&amp;$B501&amp;"'!H23:H200")=$E$5),INDIRECT("'"&amp;$B501&amp;"'!p23:p200"),0)))</f>
        <v>0</v>
      </c>
      <c r="G501" s="564">
        <f t="array" aca="1" ref="G501" ca="1">IF($B501="N","",SUM(IF((INDIRECT("'"&amp;$B501&amp;"'!I23:I200")=$A$2)*(INDIRECT("'"&amp;$B501&amp;"'!O23:O200")=$D501)*(INDIRECT("'"&amp;$B501&amp;"'!O23:O200")&lt;&gt;"")*(INDIRECT("'"&amp;$B501&amp;"'!H23:H200")=$G$5),1,0)))</f>
        <v>0</v>
      </c>
      <c r="H501" s="565">
        <f t="array" aca="1" ref="H501" ca="1">IF($B501="N","",SUM(IF((INDIRECT("'"&amp;$B501&amp;"'!I23:I200")=$A$2)*(INDIRECT("'"&amp;$B501&amp;"'!O23:O200")=$D501)*(INDIRECT("'"&amp;$B501&amp;"'!O23:O200")&lt;&gt;"")*(INDIRECT("'"&amp;$B501&amp;"'!H23:H200")=$G$5),INDIRECT("'"&amp;$B501&amp;"'!p23:p200"),0)))</f>
        <v>0</v>
      </c>
      <c r="I501" s="515">
        <f t="shared" ca="1" si="80"/>
        <v>0</v>
      </c>
      <c r="J501" s="513">
        <f t="shared" ca="1" si="81"/>
        <v>0</v>
      </c>
    </row>
    <row r="502" spans="2:10">
      <c r="B502" s="563" t="str">
        <f t="shared" si="82"/>
        <v>Tokushima Vortis</v>
      </c>
      <c r="D502" s="511">
        <v>-1.25</v>
      </c>
      <c r="E502" s="564">
        <f t="array" aca="1" ref="E502" ca="1">IF($B502="N","",SUM(IF((INDIRECT("'"&amp;$B502&amp;"'!I23:I200")=$A$2)*(INDIRECT("'"&amp;$B502&amp;"'!O23:O200")=$D502)*(INDIRECT("'"&amp;$B502&amp;"'!O23:O200")&lt;&gt;"")*(INDIRECT("'"&amp;$B502&amp;"'!H23:H200")=$E$5),1,0)))</f>
        <v>1</v>
      </c>
      <c r="F502" s="565">
        <f t="array" aca="1" ref="F502" ca="1">IF($B502="N","",SUM(IF((INDIRECT("'"&amp;$B502&amp;"'!I23:I200")=$A$2)*(INDIRECT("'"&amp;$B502&amp;"'!O23:O200")=$D502)*(INDIRECT("'"&amp;$B502&amp;"'!O23:O200")&lt;&gt;"")*(INDIRECT("'"&amp;$B502&amp;"'!H23:H200")=$E$5),INDIRECT("'"&amp;$B502&amp;"'!p23:p200"),0)))</f>
        <v>1</v>
      </c>
      <c r="G502" s="564">
        <f t="array" aca="1" ref="G502" ca="1">IF($B502="N","",SUM(IF((INDIRECT("'"&amp;$B502&amp;"'!I23:I200")=$A$2)*(INDIRECT("'"&amp;$B502&amp;"'!O23:O200")=$D502)*(INDIRECT("'"&amp;$B502&amp;"'!O23:O200")&lt;&gt;"")*(INDIRECT("'"&amp;$B502&amp;"'!H23:H200")=$G$5),1,0)))</f>
        <v>0</v>
      </c>
      <c r="H502" s="565">
        <f t="array" aca="1" ref="H502" ca="1">IF($B502="N","",SUM(IF((INDIRECT("'"&amp;$B502&amp;"'!I23:I200")=$A$2)*(INDIRECT("'"&amp;$B502&amp;"'!O23:O200")=$D502)*(INDIRECT("'"&amp;$B502&amp;"'!O23:O200")&lt;&gt;"")*(INDIRECT("'"&amp;$B502&amp;"'!H23:H200")=$G$5),INDIRECT("'"&amp;$B502&amp;"'!p23:p200"),0)))</f>
        <v>0</v>
      </c>
      <c r="I502" s="515">
        <f t="shared" ca="1" si="80"/>
        <v>1</v>
      </c>
      <c r="J502" s="513">
        <f t="shared" ca="1" si="81"/>
        <v>1</v>
      </c>
    </row>
    <row r="503" spans="2:10">
      <c r="B503" s="563" t="str">
        <f t="shared" si="82"/>
        <v>Tokushima Vortis</v>
      </c>
      <c r="D503" s="511">
        <v>-1</v>
      </c>
      <c r="E503" s="564">
        <f t="array" aca="1" ref="E503" ca="1">IF($B503="N","",SUM(IF((INDIRECT("'"&amp;$B503&amp;"'!I23:I200")=$A$2)*(INDIRECT("'"&amp;$B503&amp;"'!O23:O200")=$D503)*(INDIRECT("'"&amp;$B503&amp;"'!O23:O200")&lt;&gt;"")*(INDIRECT("'"&amp;$B503&amp;"'!H23:H200")=$E$5),1,0)))</f>
        <v>0</v>
      </c>
      <c r="F503" s="565">
        <f t="array" aca="1" ref="F503" ca="1">IF($B503="N","",SUM(IF((INDIRECT("'"&amp;$B503&amp;"'!I23:I200")=$A$2)*(INDIRECT("'"&amp;$B503&amp;"'!O23:O200")=$D503)*(INDIRECT("'"&amp;$B503&amp;"'!O23:O200")&lt;&gt;"")*(INDIRECT("'"&amp;$B503&amp;"'!H23:H200")=$E$5),INDIRECT("'"&amp;$B503&amp;"'!p23:p200"),0)))</f>
        <v>0</v>
      </c>
      <c r="G503" s="564">
        <f t="array" aca="1" ref="G503" ca="1">IF($B503="N","",SUM(IF((INDIRECT("'"&amp;$B503&amp;"'!I23:I200")=$A$2)*(INDIRECT("'"&amp;$B503&amp;"'!O23:O200")=$D503)*(INDIRECT("'"&amp;$B503&amp;"'!O23:O200")&lt;&gt;"")*(INDIRECT("'"&amp;$B503&amp;"'!H23:H200")=$G$5),1,0)))</f>
        <v>0</v>
      </c>
      <c r="H503" s="565">
        <f t="array" aca="1" ref="H503" ca="1">IF($B503="N","",SUM(IF((INDIRECT("'"&amp;$B503&amp;"'!I23:I200")=$A$2)*(INDIRECT("'"&amp;$B503&amp;"'!O23:O200")=$D503)*(INDIRECT("'"&amp;$B503&amp;"'!O23:O200")&lt;&gt;"")*(INDIRECT("'"&amp;$B503&amp;"'!H23:H200")=$G$5),INDIRECT("'"&amp;$B503&amp;"'!p23:p200"),0)))</f>
        <v>0</v>
      </c>
      <c r="I503" s="515">
        <f t="shared" ca="1" si="80"/>
        <v>0</v>
      </c>
      <c r="J503" s="513">
        <f t="shared" ca="1" si="81"/>
        <v>0</v>
      </c>
    </row>
    <row r="504" spans="2:10">
      <c r="B504" s="563" t="str">
        <f t="shared" si="82"/>
        <v>Tokushima Vortis</v>
      </c>
      <c r="D504" s="511">
        <v>-0.75</v>
      </c>
      <c r="E504" s="564">
        <f t="array" aca="1" ref="E504" ca="1">IF($B504="N","",SUM(IF((INDIRECT("'"&amp;$B504&amp;"'!I23:I200")=$A$2)*(INDIRECT("'"&amp;$B504&amp;"'!O23:O200")=$D504)*(INDIRECT("'"&amp;$B504&amp;"'!O23:O200")&lt;&gt;"")*(INDIRECT("'"&amp;$B504&amp;"'!H23:H200")=$E$5),1,0)))</f>
        <v>5</v>
      </c>
      <c r="F504" s="565">
        <f t="array" aca="1" ref="F504" ca="1">IF($B504="N","",SUM(IF((INDIRECT("'"&amp;$B504&amp;"'!I23:I200")=$A$2)*(INDIRECT("'"&amp;$B504&amp;"'!O23:O200")=$D504)*(INDIRECT("'"&amp;$B504&amp;"'!O23:O200")&lt;&gt;"")*(INDIRECT("'"&amp;$B504&amp;"'!H23:H200")=$E$5),INDIRECT("'"&amp;$B504&amp;"'!p23:p200"),0)))</f>
        <v>-1</v>
      </c>
      <c r="G504" s="564">
        <f t="array" aca="1" ref="G504" ca="1">IF($B504="N","",SUM(IF((INDIRECT("'"&amp;$B504&amp;"'!I23:I200")=$A$2)*(INDIRECT("'"&amp;$B504&amp;"'!O23:O200")=$D504)*(INDIRECT("'"&amp;$B504&amp;"'!O23:O200")&lt;&gt;"")*(INDIRECT("'"&amp;$B504&amp;"'!H23:H200")=$G$5),1,0)))</f>
        <v>2</v>
      </c>
      <c r="H504" s="565">
        <f t="array" aca="1" ref="H504" ca="1">IF($B504="N","",SUM(IF((INDIRECT("'"&amp;$B504&amp;"'!I23:I200")=$A$2)*(INDIRECT("'"&amp;$B504&amp;"'!O23:O200")=$D504)*(INDIRECT("'"&amp;$B504&amp;"'!O23:O200")&lt;&gt;"")*(INDIRECT("'"&amp;$B504&amp;"'!H23:H200")=$G$5),INDIRECT("'"&amp;$B504&amp;"'!p23:p200"),0)))</f>
        <v>0</v>
      </c>
      <c r="I504" s="515">
        <f t="shared" ca="1" si="80"/>
        <v>7</v>
      </c>
      <c r="J504" s="513">
        <f t="shared" ca="1" si="81"/>
        <v>-1</v>
      </c>
    </row>
    <row r="505" spans="2:10">
      <c r="B505" s="563" t="str">
        <f t="shared" si="82"/>
        <v>Tokushima Vortis</v>
      </c>
      <c r="D505" s="511">
        <v>-0.5</v>
      </c>
      <c r="E505" s="564">
        <f t="array" aca="1" ref="E505" ca="1">IF($B505="N","",SUM(IF((INDIRECT("'"&amp;$B505&amp;"'!I23:I200")=$A$2)*(INDIRECT("'"&amp;$B505&amp;"'!O23:O200")=$D505)*(INDIRECT("'"&amp;$B505&amp;"'!O23:O200")&lt;&gt;"")*(INDIRECT("'"&amp;$B505&amp;"'!H23:H200")=$E$5),1,0)))</f>
        <v>6</v>
      </c>
      <c r="F505" s="565">
        <f t="array" aca="1" ref="F505" ca="1">IF($B505="N","",SUM(IF((INDIRECT("'"&amp;$B505&amp;"'!I23:I200")=$A$2)*(INDIRECT("'"&amp;$B505&amp;"'!O23:O200")=$D505)*(INDIRECT("'"&amp;$B505&amp;"'!O23:O200")&lt;&gt;"")*(INDIRECT("'"&amp;$B505&amp;"'!H23:H200")=$E$5),INDIRECT("'"&amp;$B505&amp;"'!p23:p200"),0)))</f>
        <v>-2</v>
      </c>
      <c r="G505" s="564">
        <f t="array" aca="1" ref="G505" ca="1">IF($B505="N","",SUM(IF((INDIRECT("'"&amp;$B505&amp;"'!I23:I200")=$A$2)*(INDIRECT("'"&amp;$B505&amp;"'!O23:O200")=$D505)*(INDIRECT("'"&amp;$B505&amp;"'!O23:O200")&lt;&gt;"")*(INDIRECT("'"&amp;$B505&amp;"'!H23:H200")=$G$5),1,0)))</f>
        <v>3</v>
      </c>
      <c r="H505" s="565">
        <f t="array" aca="1" ref="H505" ca="1">IF($B505="N","",SUM(IF((INDIRECT("'"&amp;$B505&amp;"'!I23:I200")=$A$2)*(INDIRECT("'"&amp;$B505&amp;"'!O23:O200")=$D505)*(INDIRECT("'"&amp;$B505&amp;"'!O23:O200")&lt;&gt;"")*(INDIRECT("'"&amp;$B505&amp;"'!H23:H200")=$G$5),INDIRECT("'"&amp;$B505&amp;"'!p23:p200"),0)))</f>
        <v>1</v>
      </c>
      <c r="I505" s="515">
        <f t="shared" ca="1" si="80"/>
        <v>9</v>
      </c>
      <c r="J505" s="513">
        <f t="shared" ca="1" si="81"/>
        <v>-1</v>
      </c>
    </row>
    <row r="506" spans="2:10">
      <c r="B506" s="563" t="str">
        <f t="shared" si="82"/>
        <v>Tokushima Vortis</v>
      </c>
      <c r="D506" s="511">
        <v>-0.25</v>
      </c>
      <c r="E506" s="564">
        <f t="array" aca="1" ref="E506" ca="1">IF($B506="N","",SUM(IF((INDIRECT("'"&amp;$B506&amp;"'!I23:I200")=$A$2)*(INDIRECT("'"&amp;$B506&amp;"'!O23:O200")=$D506)*(INDIRECT("'"&amp;$B506&amp;"'!O23:O200")&lt;&gt;"")*(INDIRECT("'"&amp;$B506&amp;"'!H23:H200")=$E$5),1,0)))</f>
        <v>6</v>
      </c>
      <c r="F506" s="565">
        <f t="array" aca="1" ref="F506" ca="1">IF($B506="N","",SUM(IF((INDIRECT("'"&amp;$B506&amp;"'!I23:I200")=$A$2)*(INDIRECT("'"&amp;$B506&amp;"'!O23:O200")=$D506)*(INDIRECT("'"&amp;$B506&amp;"'!O23:O200")&lt;&gt;"")*(INDIRECT("'"&amp;$B506&amp;"'!H23:H200")=$E$5),INDIRECT("'"&amp;$B506&amp;"'!p23:p200"),0)))</f>
        <v>1</v>
      </c>
      <c r="G506" s="564">
        <f t="array" aca="1" ref="G506" ca="1">IF($B506="N","",SUM(IF((INDIRECT("'"&amp;$B506&amp;"'!I23:I200")=$A$2)*(INDIRECT("'"&amp;$B506&amp;"'!O23:O200")=$D506)*(INDIRECT("'"&amp;$B506&amp;"'!O23:O200")&lt;&gt;"")*(INDIRECT("'"&amp;$B506&amp;"'!H23:H200")=$G$5),1,0)))</f>
        <v>5</v>
      </c>
      <c r="H506" s="565">
        <f t="array" aca="1" ref="H506" ca="1">IF($B506="N","",SUM(IF((INDIRECT("'"&amp;$B506&amp;"'!I23:I200")=$A$2)*(INDIRECT("'"&amp;$B506&amp;"'!O23:O200")=$D506)*(INDIRECT("'"&amp;$B506&amp;"'!O23:O200")&lt;&gt;"")*(INDIRECT("'"&amp;$B506&amp;"'!H23:H200")=$G$5),INDIRECT("'"&amp;$B506&amp;"'!p23:p200"),0)))</f>
        <v>-0.5</v>
      </c>
      <c r="I506" s="515">
        <f t="shared" ca="1" si="80"/>
        <v>11</v>
      </c>
      <c r="J506" s="513">
        <f t="shared" ca="1" si="81"/>
        <v>0.5</v>
      </c>
    </row>
    <row r="507" spans="2:10">
      <c r="B507" s="563" t="str">
        <f t="shared" si="82"/>
        <v>Tokushima Vortis</v>
      </c>
      <c r="D507" s="511">
        <v>0</v>
      </c>
      <c r="E507" s="564">
        <f t="array" aca="1" ref="E507" ca="1">IF($B507="N","",SUM(IF((INDIRECT("'"&amp;$B507&amp;"'!I23:I200")=$A$2)*(INDIRECT("'"&amp;$B507&amp;"'!O23:O200")=$D507)*(INDIRECT("'"&amp;$B507&amp;"'!O23:O200")&lt;&gt;"")*(INDIRECT("'"&amp;$B507&amp;"'!H23:H200")=$E$5),1,0)))</f>
        <v>3</v>
      </c>
      <c r="F507" s="565">
        <f t="array" aca="1" ref="F507" ca="1">IF($B507="N","",SUM(IF((INDIRECT("'"&amp;$B507&amp;"'!I23:I200")=$A$2)*(INDIRECT("'"&amp;$B507&amp;"'!O23:O200")=$D507)*(INDIRECT("'"&amp;$B507&amp;"'!O23:O200")&lt;&gt;"")*(INDIRECT("'"&amp;$B507&amp;"'!H23:H200")=$E$5),INDIRECT("'"&amp;$B507&amp;"'!p23:p200"),0)))</f>
        <v>-2</v>
      </c>
      <c r="G507" s="564">
        <f t="array" aca="1" ref="G507" ca="1">IF($B507="N","",SUM(IF((INDIRECT("'"&amp;$B507&amp;"'!I23:I200")=$A$2)*(INDIRECT("'"&amp;$B507&amp;"'!O23:O200")=$D507)*(INDIRECT("'"&amp;$B507&amp;"'!O23:O200")&lt;&gt;"")*(INDIRECT("'"&amp;$B507&amp;"'!H23:H200")=$G$5),1,0)))</f>
        <v>8</v>
      </c>
      <c r="H507" s="565">
        <f t="array" aca="1" ref="H507" ca="1">IF($B507="N","",SUM(IF((INDIRECT("'"&amp;$B507&amp;"'!I23:I200")=$A$2)*(INDIRECT("'"&amp;$B507&amp;"'!O23:O200")=$D507)*(INDIRECT("'"&amp;$B507&amp;"'!O23:O200")&lt;&gt;"")*(INDIRECT("'"&amp;$B507&amp;"'!H23:H200")=$G$5),INDIRECT("'"&amp;$B507&amp;"'!p23:p200"),0)))</f>
        <v>1</v>
      </c>
      <c r="I507" s="515">
        <f t="shared" ca="1" si="80"/>
        <v>11</v>
      </c>
      <c r="J507" s="513">
        <f t="shared" ca="1" si="81"/>
        <v>-1</v>
      </c>
    </row>
    <row r="508" spans="2:10">
      <c r="B508" s="563" t="str">
        <f t="shared" si="82"/>
        <v>Tokushima Vortis</v>
      </c>
      <c r="D508" s="511">
        <v>0.25</v>
      </c>
      <c r="E508" s="564">
        <f t="array" aca="1" ref="E508" ca="1">IF($B508="N","",SUM(IF((INDIRECT("'"&amp;$B508&amp;"'!I23:I200")=$A$2)*(INDIRECT("'"&amp;$B508&amp;"'!O23:O200")=$D508)*(INDIRECT("'"&amp;$B508&amp;"'!O23:O200")&lt;&gt;"")*(INDIRECT("'"&amp;$B508&amp;"'!H23:H200")=$E$5),1,0)))</f>
        <v>0</v>
      </c>
      <c r="F508" s="565">
        <f t="array" aca="1" ref="F508" ca="1">IF($B508="N","",SUM(IF((INDIRECT("'"&amp;$B508&amp;"'!I23:I200")=$A$2)*(INDIRECT("'"&amp;$B508&amp;"'!O23:O200")=$D508)*(INDIRECT("'"&amp;$B508&amp;"'!O23:O200")&lt;&gt;"")*(INDIRECT("'"&amp;$B508&amp;"'!H23:H200")=$E$5),INDIRECT("'"&amp;$B508&amp;"'!p23:p200"),0)))</f>
        <v>0</v>
      </c>
      <c r="G508" s="564">
        <f t="array" aca="1" ref="G508" ca="1">IF($B508="N","",SUM(IF((INDIRECT("'"&amp;$B508&amp;"'!I23:I200")=$A$2)*(INDIRECT("'"&amp;$B508&amp;"'!O23:O200")=$D508)*(INDIRECT("'"&amp;$B508&amp;"'!O23:O200")&lt;&gt;"")*(INDIRECT("'"&amp;$B508&amp;"'!H23:H200")=$G$5),1,0)))</f>
        <v>3</v>
      </c>
      <c r="H508" s="565">
        <f t="array" aca="1" ref="H508" ca="1">IF($B508="N","",SUM(IF((INDIRECT("'"&amp;$B508&amp;"'!I23:I200")=$A$2)*(INDIRECT("'"&amp;$B508&amp;"'!O23:O200")=$D508)*(INDIRECT("'"&amp;$B508&amp;"'!O23:O200")&lt;&gt;"")*(INDIRECT("'"&amp;$B508&amp;"'!H23:H200")=$G$5),INDIRECT("'"&amp;$B508&amp;"'!p23:p200"),0)))</f>
        <v>-1</v>
      </c>
      <c r="I508" s="515">
        <f t="shared" ca="1" si="80"/>
        <v>3</v>
      </c>
      <c r="J508" s="513">
        <f t="shared" ca="1" si="81"/>
        <v>-1</v>
      </c>
    </row>
    <row r="509" spans="2:10">
      <c r="B509" s="563" t="str">
        <f t="shared" si="82"/>
        <v>Tokushima Vortis</v>
      </c>
      <c r="D509" s="511">
        <v>0.5</v>
      </c>
      <c r="E509" s="564">
        <f t="array" aca="1" ref="E509" ca="1">IF($B509="N","",SUM(IF((INDIRECT("'"&amp;$B509&amp;"'!I23:I200")=$A$2)*(INDIRECT("'"&amp;$B509&amp;"'!O23:O200")=$D509)*(INDIRECT("'"&amp;$B509&amp;"'!O23:O200")&lt;&gt;"")*(INDIRECT("'"&amp;$B509&amp;"'!H23:H200")=$E$5),1,0)))</f>
        <v>0</v>
      </c>
      <c r="F509" s="565">
        <f t="array" aca="1" ref="F509" ca="1">IF($B509="N","",SUM(IF((INDIRECT("'"&amp;$B509&amp;"'!I23:I200")=$A$2)*(INDIRECT("'"&amp;$B509&amp;"'!O23:O200")=$D509)*(INDIRECT("'"&amp;$B509&amp;"'!O23:O200")&lt;&gt;"")*(INDIRECT("'"&amp;$B509&amp;"'!H23:H200")=$E$5),INDIRECT("'"&amp;$B509&amp;"'!p23:p200"),0)))</f>
        <v>0</v>
      </c>
      <c r="G509" s="564">
        <f t="array" aca="1" ref="G509" ca="1">IF($B509="N","",SUM(IF((INDIRECT("'"&amp;$B509&amp;"'!I23:I200")=$A$2)*(INDIRECT("'"&amp;$B509&amp;"'!O23:O200")=$D509)*(INDIRECT("'"&amp;$B509&amp;"'!O23:O200")&lt;&gt;"")*(INDIRECT("'"&amp;$B509&amp;"'!H23:H200")=$G$5),1,0)))</f>
        <v>0</v>
      </c>
      <c r="H509" s="565">
        <f t="array" aca="1" ref="H509" ca="1">IF($B509="N","",SUM(IF((INDIRECT("'"&amp;$B509&amp;"'!I23:I200")=$A$2)*(INDIRECT("'"&amp;$B509&amp;"'!O23:O200")=$D509)*(INDIRECT("'"&amp;$B509&amp;"'!O23:O200")&lt;&gt;"")*(INDIRECT("'"&amp;$B509&amp;"'!H23:H200")=$G$5),INDIRECT("'"&amp;$B509&amp;"'!p23:p200"),0)))</f>
        <v>0</v>
      </c>
      <c r="I509" s="515">
        <f t="shared" ca="1" si="80"/>
        <v>0</v>
      </c>
      <c r="J509" s="513">
        <f t="shared" ca="1" si="81"/>
        <v>0</v>
      </c>
    </row>
    <row r="510" spans="2:10">
      <c r="B510" s="563" t="str">
        <f t="shared" si="82"/>
        <v>Tokushima Vortis</v>
      </c>
      <c r="D510" s="511">
        <v>0.75</v>
      </c>
      <c r="E510" s="564">
        <f t="array" aca="1" ref="E510" ca="1">IF($B510="N","",SUM(IF((INDIRECT("'"&amp;$B510&amp;"'!I23:I200")=$A$2)*(INDIRECT("'"&amp;$B510&amp;"'!O23:O200")=$D510)*(INDIRECT("'"&amp;$B510&amp;"'!O23:O200")&lt;&gt;"")*(INDIRECT("'"&amp;$B510&amp;"'!H23:H200")=$E$5),1,0)))</f>
        <v>0</v>
      </c>
      <c r="F510" s="565">
        <f t="array" aca="1" ref="F510" ca="1">IF($B510="N","",SUM(IF((INDIRECT("'"&amp;$B510&amp;"'!I23:I200")=$A$2)*(INDIRECT("'"&amp;$B510&amp;"'!O23:O200")=$D510)*(INDIRECT("'"&amp;$B510&amp;"'!O23:O200")&lt;&gt;"")*(INDIRECT("'"&amp;$B510&amp;"'!H23:H200")=$E$5),INDIRECT("'"&amp;$B510&amp;"'!p23:p200"),0)))</f>
        <v>0</v>
      </c>
      <c r="G510" s="564">
        <f t="array" aca="1" ref="G510" ca="1">IF($B510="N","",SUM(IF((INDIRECT("'"&amp;$B510&amp;"'!I23:I200")=$A$2)*(INDIRECT("'"&amp;$B510&amp;"'!O23:O200")=$D510)*(INDIRECT("'"&amp;$B510&amp;"'!O23:O200")&lt;&gt;"")*(INDIRECT("'"&amp;$B510&amp;"'!H23:H200")=$G$5),1,0)))</f>
        <v>0</v>
      </c>
      <c r="H510" s="565">
        <f t="array" aca="1" ref="H510" ca="1">IF($B510="N","",SUM(IF((INDIRECT("'"&amp;$B510&amp;"'!I23:I200")=$A$2)*(INDIRECT("'"&amp;$B510&amp;"'!O23:O200")=$D510)*(INDIRECT("'"&amp;$B510&amp;"'!O23:O200")&lt;&gt;"")*(INDIRECT("'"&amp;$B510&amp;"'!H23:H200")=$G$5),INDIRECT("'"&amp;$B510&amp;"'!p23:p200"),0)))</f>
        <v>0</v>
      </c>
      <c r="I510" s="515">
        <f t="shared" ca="1" si="80"/>
        <v>0</v>
      </c>
      <c r="J510" s="513">
        <f t="shared" ca="1" si="81"/>
        <v>0</v>
      </c>
    </row>
    <row r="511" spans="2:10">
      <c r="B511" s="563" t="str">
        <f t="shared" si="82"/>
        <v>Tokushima Vortis</v>
      </c>
      <c r="D511" s="511">
        <v>1</v>
      </c>
      <c r="E511" s="564">
        <f t="array" aca="1" ref="E511" ca="1">IF($B511="N","",SUM(IF((INDIRECT("'"&amp;$B511&amp;"'!I23:I200")=$A$2)*(INDIRECT("'"&amp;$B511&amp;"'!O23:O200")=$D511)*(INDIRECT("'"&amp;$B511&amp;"'!O23:O200")&lt;&gt;"")*(INDIRECT("'"&amp;$B511&amp;"'!H23:H200")=$E$5),1,0)))</f>
        <v>0</v>
      </c>
      <c r="F511" s="565">
        <f t="array" aca="1" ref="F511" ca="1">IF($B511="N","",SUM(IF((INDIRECT("'"&amp;$B511&amp;"'!I23:I200")=$A$2)*(INDIRECT("'"&amp;$B511&amp;"'!O23:O200")=$D511)*(INDIRECT("'"&amp;$B511&amp;"'!O23:O200")&lt;&gt;"")*(INDIRECT("'"&amp;$B511&amp;"'!H23:H200")=$E$5),INDIRECT("'"&amp;$B511&amp;"'!p23:p200"),0)))</f>
        <v>0</v>
      </c>
      <c r="G511" s="564">
        <f t="array" aca="1" ref="G511" ca="1">IF($B511="N","",SUM(IF((INDIRECT("'"&amp;$B511&amp;"'!I23:I200")=$A$2)*(INDIRECT("'"&amp;$B511&amp;"'!O23:O200")=$D511)*(INDIRECT("'"&amp;$B511&amp;"'!O23:O200")&lt;&gt;"")*(INDIRECT("'"&amp;$B511&amp;"'!H23:H200")=$G$5),1,0)))</f>
        <v>0</v>
      </c>
      <c r="H511" s="565">
        <f t="array" aca="1" ref="H511" ca="1">IF($B511="N","",SUM(IF((INDIRECT("'"&amp;$B511&amp;"'!I23:I200")=$A$2)*(INDIRECT("'"&amp;$B511&amp;"'!O23:O200")=$D511)*(INDIRECT("'"&amp;$B511&amp;"'!O23:O200")&lt;&gt;"")*(INDIRECT("'"&amp;$B511&amp;"'!H23:H200")=$G$5),INDIRECT("'"&amp;$B511&amp;"'!p23:p200"),0)))</f>
        <v>0</v>
      </c>
      <c r="I511" s="515">
        <f t="shared" ca="1" si="80"/>
        <v>0</v>
      </c>
      <c r="J511" s="513">
        <f t="shared" ca="1" si="81"/>
        <v>0</v>
      </c>
    </row>
    <row r="512" spans="2:10">
      <c r="B512" s="563" t="str">
        <f t="shared" si="82"/>
        <v>Tokushima Vortis</v>
      </c>
      <c r="D512" s="511">
        <v>1.25</v>
      </c>
      <c r="E512" s="564">
        <f t="array" aca="1" ref="E512" ca="1">IF($B512="N","",SUM(IF((INDIRECT("'"&amp;$B512&amp;"'!I23:I200")=$A$2)*(INDIRECT("'"&amp;$B512&amp;"'!O23:O200")=$D512)*(INDIRECT("'"&amp;$B512&amp;"'!O23:O200")&lt;&gt;"")*(INDIRECT("'"&amp;$B512&amp;"'!H23:H200")=$E$5),1,0)))</f>
        <v>0</v>
      </c>
      <c r="F512" s="565">
        <f t="array" aca="1" ref="F512" ca="1">IF($B512="N","",SUM(IF((INDIRECT("'"&amp;$B512&amp;"'!I23:I200")=$A$2)*(INDIRECT("'"&amp;$B512&amp;"'!O23:O200")=$D512)*(INDIRECT("'"&amp;$B512&amp;"'!O23:O200")&lt;&gt;"")*(INDIRECT("'"&amp;$B512&amp;"'!H23:H200")=$E$5),INDIRECT("'"&amp;$B512&amp;"'!p23:p200"),0)))</f>
        <v>0</v>
      </c>
      <c r="G512" s="564">
        <f t="array" aca="1" ref="G512" ca="1">IF($B512="N","",SUM(IF((INDIRECT("'"&amp;$B512&amp;"'!I23:I200")=$A$2)*(INDIRECT("'"&amp;$B512&amp;"'!O23:O200")=$D512)*(INDIRECT("'"&amp;$B512&amp;"'!O23:O200")&lt;&gt;"")*(INDIRECT("'"&amp;$B512&amp;"'!H23:H200")=$G$5),1,0)))</f>
        <v>0</v>
      </c>
      <c r="H512" s="565">
        <f t="array" aca="1" ref="H512" ca="1">IF($B512="N","",SUM(IF((INDIRECT("'"&amp;$B512&amp;"'!I23:I200")=$A$2)*(INDIRECT("'"&amp;$B512&amp;"'!O23:O200")=$D512)*(INDIRECT("'"&amp;$B512&amp;"'!O23:O200")&lt;&gt;"")*(INDIRECT("'"&amp;$B512&amp;"'!H23:H200")=$G$5),INDIRECT("'"&amp;$B512&amp;"'!p23:p200"),0)))</f>
        <v>0</v>
      </c>
      <c r="I512" s="515">
        <f t="shared" ca="1" si="80"/>
        <v>0</v>
      </c>
      <c r="J512" s="513">
        <f t="shared" ca="1" si="81"/>
        <v>0</v>
      </c>
    </row>
    <row r="513" spans="1:10">
      <c r="B513" s="563" t="str">
        <f t="shared" si="82"/>
        <v>Tokushima Vortis</v>
      </c>
      <c r="D513" s="511">
        <v>1.5</v>
      </c>
      <c r="E513" s="564">
        <f t="array" aca="1" ref="E513" ca="1">IF($B513="N","",SUM(IF((INDIRECT("'"&amp;$B513&amp;"'!I23:I200")=$A$2)*(INDIRECT("'"&amp;$B513&amp;"'!O23:O200")=$D513)*(INDIRECT("'"&amp;$B513&amp;"'!O23:O200")&lt;&gt;"")*(INDIRECT("'"&amp;$B513&amp;"'!H23:H200")=$E$5),1,0)))</f>
        <v>0</v>
      </c>
      <c r="F513" s="565">
        <f t="array" aca="1" ref="F513" ca="1">IF($B513="N","",SUM(IF((INDIRECT("'"&amp;$B513&amp;"'!I23:I200")=$A$2)*(INDIRECT("'"&amp;$B513&amp;"'!O23:O200")=$D513)*(INDIRECT("'"&amp;$B513&amp;"'!O23:O200")&lt;&gt;"")*(INDIRECT("'"&amp;$B513&amp;"'!H23:H200")=$E$5),INDIRECT("'"&amp;$B513&amp;"'!p23:p200"),0)))</f>
        <v>0</v>
      </c>
      <c r="G513" s="564">
        <f t="array" aca="1" ref="G513" ca="1">IF($B513="N","",SUM(IF((INDIRECT("'"&amp;$B513&amp;"'!I23:I200")=$A$2)*(INDIRECT("'"&amp;$B513&amp;"'!O23:O200")=$D513)*(INDIRECT("'"&amp;$B513&amp;"'!O23:O200")&lt;&gt;"")*(INDIRECT("'"&amp;$B513&amp;"'!H23:H200")=$G$5),1,0)))</f>
        <v>0</v>
      </c>
      <c r="H513" s="565">
        <f t="array" aca="1" ref="H513" ca="1">IF($B513="N","",SUM(IF((INDIRECT("'"&amp;$B513&amp;"'!I23:I200")=$A$2)*(INDIRECT("'"&amp;$B513&amp;"'!O23:O200")=$D513)*(INDIRECT("'"&amp;$B513&amp;"'!O23:O200")&lt;&gt;"")*(INDIRECT("'"&amp;$B513&amp;"'!H23:H200")=$G$5),INDIRECT("'"&amp;$B513&amp;"'!p23:p200"),0)))</f>
        <v>0</v>
      </c>
      <c r="I513" s="515">
        <f t="shared" ca="1" si="80"/>
        <v>0</v>
      </c>
      <c r="J513" s="513">
        <f t="shared" ca="1" si="81"/>
        <v>0</v>
      </c>
    </row>
    <row r="514" spans="1:10">
      <c r="B514" s="563" t="str">
        <f t="shared" si="82"/>
        <v>Tokushima Vortis</v>
      </c>
      <c r="D514" s="528">
        <v>1.75</v>
      </c>
      <c r="E514" s="564">
        <f t="array" aca="1" ref="E514" ca="1">IF($B514="N","",SUM(IF((INDIRECT("'"&amp;$B514&amp;"'!I23:I200")=$A$2)*(INDIRECT("'"&amp;$B514&amp;"'!O23:O200")=$D514)*(INDIRECT("'"&amp;$B514&amp;"'!O23:O200")&lt;&gt;"")*(INDIRECT("'"&amp;$B514&amp;"'!H23:H200")=$E$5),1,0)))</f>
        <v>0</v>
      </c>
      <c r="F514" s="565">
        <f t="array" aca="1" ref="F514" ca="1">IF($B514="N","",SUM(IF((INDIRECT("'"&amp;$B514&amp;"'!I23:I200")=$A$2)*(INDIRECT("'"&amp;$B514&amp;"'!O23:O200")=$D514)*(INDIRECT("'"&amp;$B514&amp;"'!O23:O200")&lt;&gt;"")*(INDIRECT("'"&amp;$B514&amp;"'!H23:H200")=$E$5),INDIRECT("'"&amp;$B514&amp;"'!p23:p200"),0)))</f>
        <v>0</v>
      </c>
      <c r="G514" s="564">
        <f t="array" aca="1" ref="G514" ca="1">IF($B514="N","",SUM(IF((INDIRECT("'"&amp;$B514&amp;"'!I23:I200")=$A$2)*(INDIRECT("'"&amp;$B514&amp;"'!O23:O200")=$D514)*(INDIRECT("'"&amp;$B514&amp;"'!O23:O200")&lt;&gt;"")*(INDIRECT("'"&amp;$B514&amp;"'!H23:H200")=$G$5),1,0)))</f>
        <v>0</v>
      </c>
      <c r="H514" s="565">
        <f t="array" aca="1" ref="H514" ca="1">IF($B514="N","",SUM(IF((INDIRECT("'"&amp;$B514&amp;"'!I23:I200")=$A$2)*(INDIRECT("'"&amp;$B514&amp;"'!O23:O200")=$D514)*(INDIRECT("'"&amp;$B514&amp;"'!O23:O200")&lt;&gt;"")*(INDIRECT("'"&amp;$B514&amp;"'!H23:H200")=$G$5),INDIRECT("'"&amp;$B514&amp;"'!p23:p200"),0)))</f>
        <v>0</v>
      </c>
      <c r="I514" s="515">
        <f t="shared" ca="1" si="80"/>
        <v>0</v>
      </c>
      <c r="J514" s="513">
        <f t="shared" ca="1" si="81"/>
        <v>0</v>
      </c>
    </row>
    <row r="515" spans="1:10">
      <c r="B515" s="563" t="str">
        <f t="shared" si="82"/>
        <v>Tokushima Vortis</v>
      </c>
      <c r="D515" s="528">
        <v>2</v>
      </c>
      <c r="E515" s="564">
        <f t="array" aca="1" ref="E515" ca="1">IF($B515="N","",SUM(IF((INDIRECT("'"&amp;$B515&amp;"'!I23:I200")=$A$2)*(INDIRECT("'"&amp;$B515&amp;"'!O23:O200")=$D515)*(INDIRECT("'"&amp;$B515&amp;"'!O23:O200")&lt;&gt;"")*(INDIRECT("'"&amp;$B515&amp;"'!H23:H200")=$E$5),1,0)))</f>
        <v>0</v>
      </c>
      <c r="F515" s="565">
        <f t="array" aca="1" ref="F515" ca="1">IF($B515="N","",SUM(IF((INDIRECT("'"&amp;$B515&amp;"'!I23:I200")=$A$2)*(INDIRECT("'"&amp;$B515&amp;"'!O23:O200")=$D515)*(INDIRECT("'"&amp;$B515&amp;"'!O23:O200")&lt;&gt;"")*(INDIRECT("'"&amp;$B515&amp;"'!H23:H200")=$E$5),INDIRECT("'"&amp;$B515&amp;"'!p23:p200"),0)))</f>
        <v>0</v>
      </c>
      <c r="G515" s="564">
        <f t="array" aca="1" ref="G515" ca="1">IF($B515="N","",SUM(IF((INDIRECT("'"&amp;$B515&amp;"'!I23:I200")=$A$2)*(INDIRECT("'"&amp;$B515&amp;"'!O23:O200")=$D515)*(INDIRECT("'"&amp;$B515&amp;"'!O23:O200")&lt;&gt;"")*(INDIRECT("'"&amp;$B515&amp;"'!H23:H200")=$G$5),1,0)))</f>
        <v>0</v>
      </c>
      <c r="H515" s="565">
        <f t="array" aca="1" ref="H515" ca="1">IF($B515="N","",SUM(IF((INDIRECT("'"&amp;$B515&amp;"'!I23:I200")=$A$2)*(INDIRECT("'"&amp;$B515&amp;"'!O23:O200")=$D515)*(INDIRECT("'"&amp;$B515&amp;"'!O23:O200")&lt;&gt;"")*(INDIRECT("'"&amp;$B515&amp;"'!H23:H200")=$G$5),INDIRECT("'"&amp;$B515&amp;"'!p23:p200"),0)))</f>
        <v>0</v>
      </c>
      <c r="I515" s="515">
        <f t="shared" ca="1" si="80"/>
        <v>0</v>
      </c>
      <c r="J515" s="513">
        <f t="shared" ca="1" si="81"/>
        <v>0</v>
      </c>
    </row>
    <row r="516" spans="1:10">
      <c r="B516" s="563" t="str">
        <f t="shared" si="82"/>
        <v>Tokushima Vortis</v>
      </c>
      <c r="D516" s="528">
        <v>2.25</v>
      </c>
      <c r="E516" s="564">
        <f t="array" aca="1" ref="E516" ca="1">IF($B516="N","",SUM(IF((INDIRECT("'"&amp;$B516&amp;"'!I23:I200")=$A$2)*(INDIRECT("'"&amp;$B516&amp;"'!O23:O200")=$D516)*(INDIRECT("'"&amp;$B516&amp;"'!O23:O200")&lt;&gt;"")*(INDIRECT("'"&amp;$B516&amp;"'!H23:H200")=$E$5),1,0)))</f>
        <v>0</v>
      </c>
      <c r="F516" s="565">
        <f t="array" aca="1" ref="F516" ca="1">IF($B516="N","",SUM(IF((INDIRECT("'"&amp;$B516&amp;"'!I23:I200")=$A$2)*(INDIRECT("'"&amp;$B516&amp;"'!O23:O200")=$D516)*(INDIRECT("'"&amp;$B516&amp;"'!O23:O200")&lt;&gt;"")*(INDIRECT("'"&amp;$B516&amp;"'!H23:H200")=$E$5),INDIRECT("'"&amp;$B516&amp;"'!p23:p200"),0)))</f>
        <v>0</v>
      </c>
      <c r="G516" s="564">
        <f t="array" aca="1" ref="G516" ca="1">IF($B516="N","",SUM(IF((INDIRECT("'"&amp;$B516&amp;"'!I23:I200")=$A$2)*(INDIRECT("'"&amp;$B516&amp;"'!O23:O200")=$D516)*(INDIRECT("'"&amp;$B516&amp;"'!O23:O200")&lt;&gt;"")*(INDIRECT("'"&amp;$B516&amp;"'!H23:H200")=$G$5),1,0)))</f>
        <v>0</v>
      </c>
      <c r="H516" s="565">
        <f t="array" aca="1" ref="H516" ca="1">IF($B516="N","",SUM(IF((INDIRECT("'"&amp;$B516&amp;"'!I23:I200")=$A$2)*(INDIRECT("'"&amp;$B516&amp;"'!O23:O200")=$D516)*(INDIRECT("'"&amp;$B516&amp;"'!O23:O200")&lt;&gt;"")*(INDIRECT("'"&amp;$B516&amp;"'!H23:H200")=$G$5),INDIRECT("'"&amp;$B516&amp;"'!p23:p200"),0)))</f>
        <v>0</v>
      </c>
      <c r="I516" s="515">
        <f t="shared" ca="1" si="80"/>
        <v>0</v>
      </c>
      <c r="J516" s="513">
        <f t="shared" ca="1" si="81"/>
        <v>0</v>
      </c>
    </row>
    <row r="517" spans="1:10">
      <c r="B517" s="563" t="str">
        <f t="shared" si="82"/>
        <v>Tokushima Vortis</v>
      </c>
      <c r="D517" s="528">
        <v>2.5</v>
      </c>
      <c r="E517" s="564">
        <f t="array" aca="1" ref="E517" ca="1">IF($B517="N","",SUM(IF((INDIRECT("'"&amp;$B517&amp;"'!I23:I200")=$A$2)*(INDIRECT("'"&amp;$B517&amp;"'!O23:O200")=$D517)*(INDIRECT("'"&amp;$B517&amp;"'!O23:O200")&lt;&gt;"")*(INDIRECT("'"&amp;$B517&amp;"'!H23:H200")=$E$5),1,0)))</f>
        <v>0</v>
      </c>
      <c r="F517" s="565">
        <f t="array" aca="1" ref="F517" ca="1">IF($B517="N","",SUM(IF((INDIRECT("'"&amp;$B517&amp;"'!I23:I200")=$A$2)*(INDIRECT("'"&amp;$B517&amp;"'!O23:O200")=$D517)*(INDIRECT("'"&amp;$B517&amp;"'!O23:O200")&lt;&gt;"")*(INDIRECT("'"&amp;$B517&amp;"'!H23:H200")=$E$5),INDIRECT("'"&amp;$B517&amp;"'!p23:p200"),0)))</f>
        <v>0</v>
      </c>
      <c r="G517" s="564">
        <f t="array" aca="1" ref="G517" ca="1">IF($B517="N","",SUM(IF((INDIRECT("'"&amp;$B517&amp;"'!I23:I200")=$A$2)*(INDIRECT("'"&amp;$B517&amp;"'!O23:O200")=$D517)*(INDIRECT("'"&amp;$B517&amp;"'!O23:O200")&lt;&gt;"")*(INDIRECT("'"&amp;$B517&amp;"'!H23:H200")=$G$5),1,0)))</f>
        <v>0</v>
      </c>
      <c r="H517" s="565">
        <f t="array" aca="1" ref="H517" ca="1">IF($B517="N","",SUM(IF((INDIRECT("'"&amp;$B517&amp;"'!I23:I200")=$A$2)*(INDIRECT("'"&amp;$B517&amp;"'!O23:O200")=$D517)*(INDIRECT("'"&amp;$B517&amp;"'!O23:O200")&lt;&gt;"")*(INDIRECT("'"&amp;$B517&amp;"'!H23:H200")=$G$5),INDIRECT("'"&amp;$B517&amp;"'!p23:p200"),0)))</f>
        <v>0</v>
      </c>
      <c r="I517" s="515">
        <f t="shared" ca="1" si="80"/>
        <v>0</v>
      </c>
      <c r="J517" s="513">
        <f t="shared" ca="1" si="81"/>
        <v>0</v>
      </c>
    </row>
    <row r="518" spans="1:10" ht="15" thickBot="1">
      <c r="B518" s="563" t="str">
        <f t="shared" si="82"/>
        <v>Tokushima Vortis</v>
      </c>
      <c r="D518" s="511">
        <v>2.75</v>
      </c>
      <c r="E518" s="564">
        <f t="array" aca="1" ref="E518" ca="1">IF($B518="N","",SUM(IF((INDIRECT("'"&amp;$B518&amp;"'!I23:I200")=$A$2)*(INDIRECT("'"&amp;$B518&amp;"'!O23:O200")=$D518)*(INDIRECT("'"&amp;$B518&amp;"'!O23:O200")&lt;&gt;"")*(INDIRECT("'"&amp;$B518&amp;"'!H23:H200")=$E$5),1,0)))</f>
        <v>0</v>
      </c>
      <c r="F518" s="565">
        <f t="array" aca="1" ref="F518" ca="1">IF($B518="N","",SUM(IF((INDIRECT("'"&amp;$B518&amp;"'!I23:I200")=$A$2)*(INDIRECT("'"&amp;$B518&amp;"'!O23:O200")=$D518)*(INDIRECT("'"&amp;$B518&amp;"'!O23:O200")&lt;&gt;"")*(INDIRECT("'"&amp;$B518&amp;"'!H23:H200")=$E$5),INDIRECT("'"&amp;$B518&amp;"'!p23:p200"),0)))</f>
        <v>0</v>
      </c>
      <c r="G518" s="564">
        <f t="array" aca="1" ref="G518" ca="1">IF($B518="N","",SUM(IF((INDIRECT("'"&amp;$B518&amp;"'!I23:I200")=$A$2)*(INDIRECT("'"&amp;$B518&amp;"'!O23:O200")=$D518)*(INDIRECT("'"&amp;$B518&amp;"'!O23:O200")&lt;&gt;"")*(INDIRECT("'"&amp;$B518&amp;"'!H23:H200")=$G$5),1,0)))</f>
        <v>0</v>
      </c>
      <c r="H518" s="565">
        <f t="array" aca="1" ref="H518" ca="1">IF($B518="N","",SUM(IF((INDIRECT("'"&amp;$B518&amp;"'!I23:I200")=$A$2)*(INDIRECT("'"&amp;$B518&amp;"'!O23:O200")=$D518)*(INDIRECT("'"&amp;$B518&amp;"'!O23:O200")&lt;&gt;"")*(INDIRECT("'"&amp;$B518&amp;"'!H23:H200")=$G$5),INDIRECT("'"&amp;$B518&amp;"'!p23:p200"),0)))</f>
        <v>0</v>
      </c>
      <c r="I518" s="515">
        <f t="shared" ca="1" si="80"/>
        <v>0</v>
      </c>
      <c r="J518" s="513">
        <f t="shared" ca="1" si="81"/>
        <v>0</v>
      </c>
    </row>
    <row r="519" spans="1:10" ht="15" thickBot="1">
      <c r="A519" s="567"/>
      <c r="B519" s="568"/>
      <c r="C519" s="569" t="str">
        <f>D494</f>
        <v>Tokushima Vortis</v>
      </c>
      <c r="D519" s="570" t="s">
        <v>115</v>
      </c>
      <c r="E519" s="571">
        <f t="shared" ref="E519:J519" ca="1" si="83">SUM(E496:E518)</f>
        <v>21</v>
      </c>
      <c r="F519" s="572">
        <f t="shared" ca="1" si="83"/>
        <v>-3</v>
      </c>
      <c r="G519" s="571">
        <f t="shared" ca="1" si="83"/>
        <v>21</v>
      </c>
      <c r="H519" s="572">
        <f t="shared" ca="1" si="83"/>
        <v>0.5</v>
      </c>
      <c r="I519" s="573">
        <f t="shared" ca="1" si="83"/>
        <v>42</v>
      </c>
      <c r="J519" s="572">
        <f t="shared" ca="1" si="83"/>
        <v>-2.5</v>
      </c>
    </row>
    <row r="520" spans="1:10" ht="15" thickBot="1">
      <c r="A520" s="567"/>
      <c r="C520" s="576"/>
    </row>
    <row r="521" spans="1:10">
      <c r="A521" s="567"/>
      <c r="B521" s="357"/>
      <c r="C521" s="569"/>
      <c r="D521" s="562" t="str">
        <f>J2</f>
        <v>Tokyo Verdy</v>
      </c>
      <c r="E521" s="490" t="s">
        <v>80</v>
      </c>
      <c r="F521" s="491"/>
      <c r="G521" s="490" t="s">
        <v>81</v>
      </c>
      <c r="H521" s="491"/>
      <c r="I521" s="490" t="s">
        <v>82</v>
      </c>
      <c r="J521" s="492"/>
    </row>
    <row r="522" spans="1:10" ht="15" thickBot="1">
      <c r="B522" s="357"/>
      <c r="C522" s="357"/>
      <c r="D522" s="499" t="s">
        <v>120</v>
      </c>
      <c r="E522" s="497" t="s">
        <v>123</v>
      </c>
      <c r="F522" s="552" t="s">
        <v>124</v>
      </c>
      <c r="G522" s="497" t="s">
        <v>123</v>
      </c>
      <c r="H522" s="552" t="s">
        <v>124</v>
      </c>
      <c r="I522" s="501" t="s">
        <v>123</v>
      </c>
      <c r="J522" s="552" t="s">
        <v>124</v>
      </c>
    </row>
    <row r="523" spans="1:10">
      <c r="B523" s="563" t="str">
        <f>IF(D521=0,"N",D521)</f>
        <v>Tokyo Verdy</v>
      </c>
      <c r="D523" s="511">
        <v>-2.75</v>
      </c>
      <c r="E523" s="564">
        <f t="array" aca="1" ref="E523" ca="1">IF($B523="N","",SUM(IF((INDIRECT("'"&amp;$B523&amp;"'!I23:I200")=$A$2)*(INDIRECT("'"&amp;$B523&amp;"'!O23:O200")=$D523)*(INDIRECT("'"&amp;$B523&amp;"'!O23:O200")&lt;&gt;"")*(INDIRECT("'"&amp;$B523&amp;"'!H23:H200")=$E$5),1,0)))</f>
        <v>0</v>
      </c>
      <c r="F523" s="565">
        <f t="array" aca="1" ref="F523" ca="1">IF($B523="N","",SUM(IF((INDIRECT("'"&amp;$B523&amp;"'!I23:I200")=$A$2)*(INDIRECT("'"&amp;$B523&amp;"'!O23:O200")=$D523)*(INDIRECT("'"&amp;$B523&amp;"'!O23:O200")&lt;&gt;"")*(INDIRECT("'"&amp;$B523&amp;"'!H23:H200")=$E$5),INDIRECT("'"&amp;$B523&amp;"'!p23:p200"),0)))</f>
        <v>0</v>
      </c>
      <c r="G523" s="564">
        <f t="array" aca="1" ref="G523" ca="1">IF($B523="N","",SUM(IF((INDIRECT("'"&amp;$B523&amp;"'!I23:I200")=$A$2)*(INDIRECT("'"&amp;$B523&amp;"'!O23:O200")=$D523)*(INDIRECT("'"&amp;$B523&amp;"'!O23:O200")&lt;&gt;"")*(INDIRECT("'"&amp;$B523&amp;"'!H23:H200")=$G$5),1,0)))</f>
        <v>0</v>
      </c>
      <c r="H523" s="565">
        <f t="array" aca="1" ref="H523" ca="1">IF($B523="N","",SUM(IF((INDIRECT("'"&amp;$B523&amp;"'!I23:I200")=$A$2)*(INDIRECT("'"&amp;$B523&amp;"'!O23:O200")=$D523)*(INDIRECT("'"&amp;$B523&amp;"'!O23:O200")&lt;&gt;"")*(INDIRECT("'"&amp;$B523&amp;"'!H23:H200")=$G$5),INDIRECT("'"&amp;$B523&amp;"'!p23:p200"),0)))</f>
        <v>0</v>
      </c>
      <c r="I523" s="515">
        <f t="shared" ref="I523:I545" ca="1" si="84">IF(B523="N","",G523+E523)</f>
        <v>0</v>
      </c>
      <c r="J523" s="513">
        <f t="shared" ref="J523:J545" ca="1" si="85">IF(I523="","",F523+H523)</f>
        <v>0</v>
      </c>
    </row>
    <row r="524" spans="1:10">
      <c r="B524" s="563" t="str">
        <f>B523</f>
        <v>Tokyo Verdy</v>
      </c>
      <c r="D524" s="520">
        <v>-2.5</v>
      </c>
      <c r="E524" s="564">
        <f t="array" aca="1" ref="E524" ca="1">IF($B524="N","",SUM(IF((INDIRECT("'"&amp;$B524&amp;"'!I23:I200")=$A$2)*(INDIRECT("'"&amp;$B524&amp;"'!O23:O200")=$D524)*(INDIRECT("'"&amp;$B524&amp;"'!O23:O200")&lt;&gt;"")*(INDIRECT("'"&amp;$B524&amp;"'!H23:H200")=$E$5),1,0)))</f>
        <v>0</v>
      </c>
      <c r="F524" s="565">
        <f t="array" aca="1" ref="F524" ca="1">IF($B524="N","",SUM(IF((INDIRECT("'"&amp;$B524&amp;"'!I23:I200")=$A$2)*(INDIRECT("'"&amp;$B524&amp;"'!O23:O200")=$D524)*(INDIRECT("'"&amp;$B524&amp;"'!O23:O200")&lt;&gt;"")*(INDIRECT("'"&amp;$B524&amp;"'!H23:H200")=$E$5),INDIRECT("'"&amp;$B524&amp;"'!p23:p200"),0)))</f>
        <v>0</v>
      </c>
      <c r="G524" s="564">
        <f t="array" aca="1" ref="G524" ca="1">IF($B524="N","",SUM(IF((INDIRECT("'"&amp;$B524&amp;"'!I23:I200")=$A$2)*(INDIRECT("'"&amp;$B524&amp;"'!O23:O200")=$D524)*(INDIRECT("'"&amp;$B524&amp;"'!O23:O200")&lt;&gt;"")*(INDIRECT("'"&amp;$B524&amp;"'!H23:H200")=$G$5),1,0)))</f>
        <v>0</v>
      </c>
      <c r="H524" s="565">
        <f t="array" aca="1" ref="H524" ca="1">IF($B524="N","",SUM(IF((INDIRECT("'"&amp;$B524&amp;"'!I23:I200")=$A$2)*(INDIRECT("'"&amp;$B524&amp;"'!O23:O200")=$D524)*(INDIRECT("'"&amp;$B524&amp;"'!O23:O200")&lt;&gt;"")*(INDIRECT("'"&amp;$B524&amp;"'!H23:H200")=$G$5),INDIRECT("'"&amp;$B524&amp;"'!p23:p200"),0)))</f>
        <v>0</v>
      </c>
      <c r="I524" s="515">
        <f t="shared" ca="1" si="84"/>
        <v>0</v>
      </c>
      <c r="J524" s="513">
        <f t="shared" ca="1" si="85"/>
        <v>0</v>
      </c>
    </row>
    <row r="525" spans="1:10">
      <c r="B525" s="563" t="str">
        <f t="shared" ref="B525:B545" si="86">B524</f>
        <v>Tokyo Verdy</v>
      </c>
      <c r="D525" s="520">
        <v>-2.25</v>
      </c>
      <c r="E525" s="564">
        <f t="array" aca="1" ref="E525" ca="1">IF($B525="N","",SUM(IF((INDIRECT("'"&amp;$B525&amp;"'!I23:I200")=$A$2)*(INDIRECT("'"&amp;$B525&amp;"'!O23:O200")=$D525)*(INDIRECT("'"&amp;$B525&amp;"'!O23:O200")&lt;&gt;"")*(INDIRECT("'"&amp;$B525&amp;"'!H23:H200")=$E$5),1,0)))</f>
        <v>0</v>
      </c>
      <c r="F525" s="565">
        <f t="array" aca="1" ref="F525" ca="1">IF($B525="N","",SUM(IF((INDIRECT("'"&amp;$B525&amp;"'!I23:I200")=$A$2)*(INDIRECT("'"&amp;$B525&amp;"'!O23:O200")=$D525)*(INDIRECT("'"&amp;$B525&amp;"'!O23:O200")&lt;&gt;"")*(INDIRECT("'"&amp;$B525&amp;"'!H23:H200")=$E$5),INDIRECT("'"&amp;$B525&amp;"'!p23:p200"),0)))</f>
        <v>0</v>
      </c>
      <c r="G525" s="564">
        <f t="array" aca="1" ref="G525" ca="1">IF($B525="N","",SUM(IF((INDIRECT("'"&amp;$B525&amp;"'!I23:I200")=$A$2)*(INDIRECT("'"&amp;$B525&amp;"'!O23:O200")=$D525)*(INDIRECT("'"&amp;$B525&amp;"'!O23:O200")&lt;&gt;"")*(INDIRECT("'"&amp;$B525&amp;"'!H23:H200")=$G$5),1,0)))</f>
        <v>0</v>
      </c>
      <c r="H525" s="565">
        <f t="array" aca="1" ref="H525" ca="1">IF($B525="N","",SUM(IF((INDIRECT("'"&amp;$B525&amp;"'!I23:I200")=$A$2)*(INDIRECT("'"&amp;$B525&amp;"'!O23:O200")=$D525)*(INDIRECT("'"&amp;$B525&amp;"'!O23:O200")&lt;&gt;"")*(INDIRECT("'"&amp;$B525&amp;"'!H23:H200")=$G$5),INDIRECT("'"&amp;$B525&amp;"'!p23:p200"),0)))</f>
        <v>0</v>
      </c>
      <c r="I525" s="515">
        <f t="shared" ca="1" si="84"/>
        <v>0</v>
      </c>
      <c r="J525" s="513">
        <f t="shared" ca="1" si="85"/>
        <v>0</v>
      </c>
    </row>
    <row r="526" spans="1:10">
      <c r="B526" s="563" t="str">
        <f t="shared" si="86"/>
        <v>Tokyo Verdy</v>
      </c>
      <c r="D526" s="520">
        <v>-2</v>
      </c>
      <c r="E526" s="564">
        <f t="array" aca="1" ref="E526" ca="1">IF($B526="N","",SUM(IF((INDIRECT("'"&amp;$B526&amp;"'!I23:I200")=$A$2)*(INDIRECT("'"&amp;$B526&amp;"'!O23:O200")=$D526)*(INDIRECT("'"&amp;$B526&amp;"'!O23:O200")&lt;&gt;"")*(INDIRECT("'"&amp;$B526&amp;"'!H23:H200")=$E$5),1,0)))</f>
        <v>0</v>
      </c>
      <c r="F526" s="565">
        <f t="array" aca="1" ref="F526" ca="1">IF($B526="N","",SUM(IF((INDIRECT("'"&amp;$B526&amp;"'!I23:I200")=$A$2)*(INDIRECT("'"&amp;$B526&amp;"'!O23:O200")=$D526)*(INDIRECT("'"&amp;$B526&amp;"'!O23:O200")&lt;&gt;"")*(INDIRECT("'"&amp;$B526&amp;"'!H23:H200")=$E$5),INDIRECT("'"&amp;$B526&amp;"'!p23:p200"),0)))</f>
        <v>0</v>
      </c>
      <c r="G526" s="564">
        <f t="array" aca="1" ref="G526" ca="1">IF($B526="N","",SUM(IF((INDIRECT("'"&amp;$B526&amp;"'!I23:I200")=$A$2)*(INDIRECT("'"&amp;$B526&amp;"'!O23:O200")=$D526)*(INDIRECT("'"&amp;$B526&amp;"'!O23:O200")&lt;&gt;"")*(INDIRECT("'"&amp;$B526&amp;"'!H23:H200")=$G$5),1,0)))</f>
        <v>0</v>
      </c>
      <c r="H526" s="565">
        <f t="array" aca="1" ref="H526" ca="1">IF($B526="N","",SUM(IF((INDIRECT("'"&amp;$B526&amp;"'!I23:I200")=$A$2)*(INDIRECT("'"&amp;$B526&amp;"'!O23:O200")=$D526)*(INDIRECT("'"&amp;$B526&amp;"'!O23:O200")&lt;&gt;"")*(INDIRECT("'"&amp;$B526&amp;"'!H23:H200")=$G$5),INDIRECT("'"&amp;$B526&amp;"'!p23:p200"),0)))</f>
        <v>0</v>
      </c>
      <c r="I526" s="515">
        <f t="shared" ca="1" si="84"/>
        <v>0</v>
      </c>
      <c r="J526" s="513">
        <f t="shared" ca="1" si="85"/>
        <v>0</v>
      </c>
    </row>
    <row r="527" spans="1:10">
      <c r="B527" s="563" t="str">
        <f t="shared" si="86"/>
        <v>Tokyo Verdy</v>
      </c>
      <c r="D527" s="520">
        <v>-1.75</v>
      </c>
      <c r="E527" s="564">
        <f t="array" aca="1" ref="E527" ca="1">IF($B527="N","",SUM(IF((INDIRECT("'"&amp;$B527&amp;"'!I23:I200")=$A$2)*(INDIRECT("'"&amp;$B527&amp;"'!O23:O200")=$D527)*(INDIRECT("'"&amp;$B527&amp;"'!O23:O200")&lt;&gt;"")*(INDIRECT("'"&amp;$B527&amp;"'!H23:H200")=$E$5),1,0)))</f>
        <v>0</v>
      </c>
      <c r="F527" s="565">
        <f t="array" aca="1" ref="F527" ca="1">IF($B527="N","",SUM(IF((INDIRECT("'"&amp;$B527&amp;"'!I23:I200")=$A$2)*(INDIRECT("'"&amp;$B527&amp;"'!O23:O200")=$D527)*(INDIRECT("'"&amp;$B527&amp;"'!O23:O200")&lt;&gt;"")*(INDIRECT("'"&amp;$B527&amp;"'!H23:H200")=$E$5),INDIRECT("'"&amp;$B527&amp;"'!p23:p200"),0)))</f>
        <v>0</v>
      </c>
      <c r="G527" s="564">
        <f t="array" aca="1" ref="G527" ca="1">IF($B527="N","",SUM(IF((INDIRECT("'"&amp;$B527&amp;"'!I23:I200")=$A$2)*(INDIRECT("'"&amp;$B527&amp;"'!O23:O200")=$D527)*(INDIRECT("'"&amp;$B527&amp;"'!O23:O200")&lt;&gt;"")*(INDIRECT("'"&amp;$B527&amp;"'!H23:H200")=$G$5),1,0)))</f>
        <v>0</v>
      </c>
      <c r="H527" s="565">
        <f t="array" aca="1" ref="H527" ca="1">IF($B527="N","",SUM(IF((INDIRECT("'"&amp;$B527&amp;"'!I23:I200")=$A$2)*(INDIRECT("'"&amp;$B527&amp;"'!O23:O200")=$D527)*(INDIRECT("'"&amp;$B527&amp;"'!O23:O200")&lt;&gt;"")*(INDIRECT("'"&amp;$B527&amp;"'!H23:H200")=$G$5),INDIRECT("'"&amp;$B527&amp;"'!p23:p200"),0)))</f>
        <v>0</v>
      </c>
      <c r="I527" s="515">
        <f t="shared" ca="1" si="84"/>
        <v>0</v>
      </c>
      <c r="J527" s="513">
        <f t="shared" ca="1" si="85"/>
        <v>0</v>
      </c>
    </row>
    <row r="528" spans="1:10">
      <c r="B528" s="563" t="str">
        <f t="shared" si="86"/>
        <v>Tokyo Verdy</v>
      </c>
      <c r="D528" s="511">
        <v>-1.5</v>
      </c>
      <c r="E528" s="564">
        <f t="array" aca="1" ref="E528" ca="1">IF($B528="N","",SUM(IF((INDIRECT("'"&amp;$B528&amp;"'!I23:I200")=$A$2)*(INDIRECT("'"&amp;$B528&amp;"'!O23:O200")=$D528)*(INDIRECT("'"&amp;$B528&amp;"'!O23:O200")&lt;&gt;"")*(INDIRECT("'"&amp;$B528&amp;"'!H23:H200")=$E$5),1,0)))</f>
        <v>0</v>
      </c>
      <c r="F528" s="565">
        <f t="array" aca="1" ref="F528" ca="1">IF($B528="N","",SUM(IF((INDIRECT("'"&amp;$B528&amp;"'!I23:I200")=$A$2)*(INDIRECT("'"&amp;$B528&amp;"'!O23:O200")=$D528)*(INDIRECT("'"&amp;$B528&amp;"'!O23:O200")&lt;&gt;"")*(INDIRECT("'"&amp;$B528&amp;"'!H23:H200")=$E$5),INDIRECT("'"&amp;$B528&amp;"'!p23:p200"),0)))</f>
        <v>0</v>
      </c>
      <c r="G528" s="564">
        <f t="array" aca="1" ref="G528" ca="1">IF($B528="N","",SUM(IF((INDIRECT("'"&amp;$B528&amp;"'!I23:I200")=$A$2)*(INDIRECT("'"&amp;$B528&amp;"'!O23:O200")=$D528)*(INDIRECT("'"&amp;$B528&amp;"'!O23:O200")&lt;&gt;"")*(INDIRECT("'"&amp;$B528&amp;"'!H23:H200")=$G$5),1,0)))</f>
        <v>0</v>
      </c>
      <c r="H528" s="565">
        <f t="array" aca="1" ref="H528" ca="1">IF($B528="N","",SUM(IF((INDIRECT("'"&amp;$B528&amp;"'!I23:I200")=$A$2)*(INDIRECT("'"&amp;$B528&amp;"'!O23:O200")=$D528)*(INDIRECT("'"&amp;$B528&amp;"'!O23:O200")&lt;&gt;"")*(INDIRECT("'"&amp;$B528&amp;"'!H23:H200")=$G$5),INDIRECT("'"&amp;$B528&amp;"'!p23:p200"),0)))</f>
        <v>0</v>
      </c>
      <c r="I528" s="515">
        <f t="shared" ca="1" si="84"/>
        <v>0</v>
      </c>
      <c r="J528" s="513">
        <f t="shared" ca="1" si="85"/>
        <v>0</v>
      </c>
    </row>
    <row r="529" spans="2:10">
      <c r="B529" s="563" t="str">
        <f t="shared" si="86"/>
        <v>Tokyo Verdy</v>
      </c>
      <c r="D529" s="511">
        <v>-1.25</v>
      </c>
      <c r="E529" s="564">
        <f t="array" aca="1" ref="E529" ca="1">IF($B529="N","",SUM(IF((INDIRECT("'"&amp;$B529&amp;"'!I23:I200")=$A$2)*(INDIRECT("'"&amp;$B529&amp;"'!O23:O200")=$D529)*(INDIRECT("'"&amp;$B529&amp;"'!O23:O200")&lt;&gt;"")*(INDIRECT("'"&amp;$B529&amp;"'!H23:H200")=$E$5),1,0)))</f>
        <v>0</v>
      </c>
      <c r="F529" s="565">
        <f t="array" aca="1" ref="F529" ca="1">IF($B529="N","",SUM(IF((INDIRECT("'"&amp;$B529&amp;"'!I23:I200")=$A$2)*(INDIRECT("'"&amp;$B529&amp;"'!O23:O200")=$D529)*(INDIRECT("'"&amp;$B529&amp;"'!O23:O200")&lt;&gt;"")*(INDIRECT("'"&amp;$B529&amp;"'!H23:H200")=$E$5),INDIRECT("'"&amp;$B529&amp;"'!p23:p200"),0)))</f>
        <v>0</v>
      </c>
      <c r="G529" s="564">
        <f t="array" aca="1" ref="G529" ca="1">IF($B529="N","",SUM(IF((INDIRECT("'"&amp;$B529&amp;"'!I23:I200")=$A$2)*(INDIRECT("'"&amp;$B529&amp;"'!O23:O200")=$D529)*(INDIRECT("'"&amp;$B529&amp;"'!O23:O200")&lt;&gt;"")*(INDIRECT("'"&amp;$B529&amp;"'!H23:H200")=$G$5),1,0)))</f>
        <v>0</v>
      </c>
      <c r="H529" s="565">
        <f t="array" aca="1" ref="H529" ca="1">IF($B529="N","",SUM(IF((INDIRECT("'"&amp;$B529&amp;"'!I23:I200")=$A$2)*(INDIRECT("'"&amp;$B529&amp;"'!O23:O200")=$D529)*(INDIRECT("'"&amp;$B529&amp;"'!O23:O200")&lt;&gt;"")*(INDIRECT("'"&amp;$B529&amp;"'!H23:H200")=$G$5),INDIRECT("'"&amp;$B529&amp;"'!p23:p200"),0)))</f>
        <v>0</v>
      </c>
      <c r="I529" s="515">
        <f t="shared" ca="1" si="84"/>
        <v>0</v>
      </c>
      <c r="J529" s="513">
        <f t="shared" ca="1" si="85"/>
        <v>0</v>
      </c>
    </row>
    <row r="530" spans="2:10">
      <c r="B530" s="563" t="str">
        <f t="shared" si="86"/>
        <v>Tokyo Verdy</v>
      </c>
      <c r="D530" s="511">
        <v>-1</v>
      </c>
      <c r="E530" s="564">
        <f t="array" aca="1" ref="E530" ca="1">IF($B530="N","",SUM(IF((INDIRECT("'"&amp;$B530&amp;"'!I23:I200")=$A$2)*(INDIRECT("'"&amp;$B530&amp;"'!O23:O200")=$D530)*(INDIRECT("'"&amp;$B530&amp;"'!O23:O200")&lt;&gt;"")*(INDIRECT("'"&amp;$B530&amp;"'!H23:H200")=$E$5),1,0)))</f>
        <v>0</v>
      </c>
      <c r="F530" s="565">
        <f t="array" aca="1" ref="F530" ca="1">IF($B530="N","",SUM(IF((INDIRECT("'"&amp;$B530&amp;"'!I23:I200")=$A$2)*(INDIRECT("'"&amp;$B530&amp;"'!O23:O200")=$D530)*(INDIRECT("'"&amp;$B530&amp;"'!O23:O200")&lt;&gt;"")*(INDIRECT("'"&amp;$B530&amp;"'!H23:H200")=$E$5),INDIRECT("'"&amp;$B530&amp;"'!p23:p200"),0)))</f>
        <v>0</v>
      </c>
      <c r="G530" s="564">
        <f t="array" aca="1" ref="G530" ca="1">IF($B530="N","",SUM(IF((INDIRECT("'"&amp;$B530&amp;"'!I23:I200")=$A$2)*(INDIRECT("'"&amp;$B530&amp;"'!O23:O200")=$D530)*(INDIRECT("'"&amp;$B530&amp;"'!O23:O200")&lt;&gt;"")*(INDIRECT("'"&amp;$B530&amp;"'!H23:H200")=$G$5),1,0)))</f>
        <v>1</v>
      </c>
      <c r="H530" s="565">
        <f t="array" aca="1" ref="H530" ca="1">IF($B530="N","",SUM(IF((INDIRECT("'"&amp;$B530&amp;"'!I23:I200")=$A$2)*(INDIRECT("'"&amp;$B530&amp;"'!O23:O200")=$D530)*(INDIRECT("'"&amp;$B530&amp;"'!O23:O200")&lt;&gt;"")*(INDIRECT("'"&amp;$B530&amp;"'!H23:H200")=$G$5),INDIRECT("'"&amp;$B530&amp;"'!p23:p200"),0)))</f>
        <v>0</v>
      </c>
      <c r="I530" s="515">
        <f t="shared" ca="1" si="84"/>
        <v>1</v>
      </c>
      <c r="J530" s="513">
        <f t="shared" ca="1" si="85"/>
        <v>0</v>
      </c>
    </row>
    <row r="531" spans="2:10">
      <c r="B531" s="563" t="str">
        <f t="shared" si="86"/>
        <v>Tokyo Verdy</v>
      </c>
      <c r="D531" s="511">
        <v>-0.75</v>
      </c>
      <c r="E531" s="564">
        <f t="array" aca="1" ref="E531" ca="1">IF($B531="N","",SUM(IF((INDIRECT("'"&amp;$B531&amp;"'!I23:I200")=$A$2)*(INDIRECT("'"&amp;$B531&amp;"'!O23:O200")=$D531)*(INDIRECT("'"&amp;$B531&amp;"'!O23:O200")&lt;&gt;"")*(INDIRECT("'"&amp;$B531&amp;"'!H23:H200")=$E$5),1,0)))</f>
        <v>3</v>
      </c>
      <c r="F531" s="565">
        <f t="array" aca="1" ref="F531" ca="1">IF($B531="N","",SUM(IF((INDIRECT("'"&amp;$B531&amp;"'!I23:I200")=$A$2)*(INDIRECT("'"&amp;$B531&amp;"'!O23:O200")=$D531)*(INDIRECT("'"&amp;$B531&amp;"'!O23:O200")&lt;&gt;"")*(INDIRECT("'"&amp;$B531&amp;"'!H23:H200")=$E$5),INDIRECT("'"&amp;$B531&amp;"'!p23:p200"),0)))</f>
        <v>-1.5</v>
      </c>
      <c r="G531" s="564">
        <f t="array" aca="1" ref="G531" ca="1">IF($B531="N","",SUM(IF((INDIRECT("'"&amp;$B531&amp;"'!I23:I200")=$A$2)*(INDIRECT("'"&amp;$B531&amp;"'!O23:O200")=$D531)*(INDIRECT("'"&amp;$B531&amp;"'!O23:O200")&lt;&gt;"")*(INDIRECT("'"&amp;$B531&amp;"'!H23:H200")=$G$5),1,0)))</f>
        <v>0</v>
      </c>
      <c r="H531" s="565">
        <f t="array" aca="1" ref="H531" ca="1">IF($B531="N","",SUM(IF((INDIRECT("'"&amp;$B531&amp;"'!I23:I200")=$A$2)*(INDIRECT("'"&amp;$B531&amp;"'!O23:O200")=$D531)*(INDIRECT("'"&amp;$B531&amp;"'!O23:O200")&lt;&gt;"")*(INDIRECT("'"&amp;$B531&amp;"'!H23:H200")=$G$5),INDIRECT("'"&amp;$B531&amp;"'!p23:p200"),0)))</f>
        <v>0</v>
      </c>
      <c r="I531" s="515">
        <f t="shared" ca="1" si="84"/>
        <v>3</v>
      </c>
      <c r="J531" s="513">
        <f t="shared" ca="1" si="85"/>
        <v>-1.5</v>
      </c>
    </row>
    <row r="532" spans="2:10">
      <c r="B532" s="563" t="str">
        <f t="shared" si="86"/>
        <v>Tokyo Verdy</v>
      </c>
      <c r="D532" s="511">
        <v>-0.5</v>
      </c>
      <c r="E532" s="564">
        <f t="array" aca="1" ref="E532" ca="1">IF($B532="N","",SUM(IF((INDIRECT("'"&amp;$B532&amp;"'!I23:I200")=$A$2)*(INDIRECT("'"&amp;$B532&amp;"'!O23:O200")=$D532)*(INDIRECT("'"&amp;$B532&amp;"'!O23:O200")&lt;&gt;"")*(INDIRECT("'"&amp;$B532&amp;"'!H23:H200")=$E$5),1,0)))</f>
        <v>2</v>
      </c>
      <c r="F532" s="565">
        <f t="array" aca="1" ref="F532" ca="1">IF($B532="N","",SUM(IF((INDIRECT("'"&amp;$B532&amp;"'!I23:I200")=$A$2)*(INDIRECT("'"&amp;$B532&amp;"'!O23:O200")=$D532)*(INDIRECT("'"&amp;$B532&amp;"'!O23:O200")&lt;&gt;"")*(INDIRECT("'"&amp;$B532&amp;"'!H23:H200")=$E$5),INDIRECT("'"&amp;$B532&amp;"'!p23:p200"),0)))</f>
        <v>2</v>
      </c>
      <c r="G532" s="564">
        <f t="array" aca="1" ref="G532" ca="1">IF($B532="N","",SUM(IF((INDIRECT("'"&amp;$B532&amp;"'!I23:I200")=$A$2)*(INDIRECT("'"&amp;$B532&amp;"'!O23:O200")=$D532)*(INDIRECT("'"&amp;$B532&amp;"'!O23:O200")&lt;&gt;"")*(INDIRECT("'"&amp;$B532&amp;"'!H23:H200")=$G$5),1,0)))</f>
        <v>3</v>
      </c>
      <c r="H532" s="565">
        <f t="array" aca="1" ref="H532" ca="1">IF($B532="N","",SUM(IF((INDIRECT("'"&amp;$B532&amp;"'!I23:I200")=$A$2)*(INDIRECT("'"&amp;$B532&amp;"'!O23:O200")=$D532)*(INDIRECT("'"&amp;$B532&amp;"'!O23:O200")&lt;&gt;"")*(INDIRECT("'"&amp;$B532&amp;"'!H23:H200")=$G$5),INDIRECT("'"&amp;$B532&amp;"'!p23:p200"),0)))</f>
        <v>-1</v>
      </c>
      <c r="I532" s="515">
        <f t="shared" ca="1" si="84"/>
        <v>5</v>
      </c>
      <c r="J532" s="513">
        <f t="shared" ca="1" si="85"/>
        <v>1</v>
      </c>
    </row>
    <row r="533" spans="2:10">
      <c r="B533" s="563" t="str">
        <f t="shared" si="86"/>
        <v>Tokyo Verdy</v>
      </c>
      <c r="D533" s="511">
        <v>-0.25</v>
      </c>
      <c r="E533" s="564">
        <f t="array" aca="1" ref="E533" ca="1">IF($B533="N","",SUM(IF((INDIRECT("'"&amp;$B533&amp;"'!I23:I200")=$A$2)*(INDIRECT("'"&amp;$B533&amp;"'!O23:O200")=$D533)*(INDIRECT("'"&amp;$B533&amp;"'!O23:O200")&lt;&gt;"")*(INDIRECT("'"&amp;$B533&amp;"'!H23:H200")=$E$5),1,0)))</f>
        <v>7</v>
      </c>
      <c r="F533" s="565">
        <f t="array" aca="1" ref="F533" ca="1">IF($B533="N","",SUM(IF((INDIRECT("'"&amp;$B533&amp;"'!I23:I200")=$A$2)*(INDIRECT("'"&amp;$B533&amp;"'!O23:O200")=$D533)*(INDIRECT("'"&amp;$B533&amp;"'!O23:O200")&lt;&gt;"")*(INDIRECT("'"&amp;$B533&amp;"'!H23:H200")=$E$5),INDIRECT("'"&amp;$B533&amp;"'!p23:p200"),0)))</f>
        <v>4</v>
      </c>
      <c r="G533" s="564">
        <f t="array" aca="1" ref="G533" ca="1">IF($B533="N","",SUM(IF((INDIRECT("'"&amp;$B533&amp;"'!I23:I200")=$A$2)*(INDIRECT("'"&amp;$B533&amp;"'!O23:O200")=$D533)*(INDIRECT("'"&amp;$B533&amp;"'!O23:O200")&lt;&gt;"")*(INDIRECT("'"&amp;$B533&amp;"'!H23:H200")=$G$5),1,0)))</f>
        <v>3</v>
      </c>
      <c r="H533" s="565">
        <f t="array" aca="1" ref="H533" ca="1">IF($B533="N","",SUM(IF((INDIRECT("'"&amp;$B533&amp;"'!I23:I200")=$A$2)*(INDIRECT("'"&amp;$B533&amp;"'!O23:O200")=$D533)*(INDIRECT("'"&amp;$B533&amp;"'!O23:O200")&lt;&gt;"")*(INDIRECT("'"&amp;$B533&amp;"'!H23:H200")=$G$5),INDIRECT("'"&amp;$B533&amp;"'!p23:p200"),0)))</f>
        <v>1.5</v>
      </c>
      <c r="I533" s="515">
        <f t="shared" ca="1" si="84"/>
        <v>10</v>
      </c>
      <c r="J533" s="513">
        <f t="shared" ca="1" si="85"/>
        <v>5.5</v>
      </c>
    </row>
    <row r="534" spans="2:10">
      <c r="B534" s="563" t="str">
        <f t="shared" si="86"/>
        <v>Tokyo Verdy</v>
      </c>
      <c r="D534" s="511">
        <v>0</v>
      </c>
      <c r="E534" s="564">
        <f t="array" aca="1" ref="E534" ca="1">IF($B534="N","",SUM(IF((INDIRECT("'"&amp;$B534&amp;"'!I23:I200")=$A$2)*(INDIRECT("'"&amp;$B534&amp;"'!O23:O200")=$D534)*(INDIRECT("'"&amp;$B534&amp;"'!O23:O200")&lt;&gt;"")*(INDIRECT("'"&amp;$B534&amp;"'!H23:H200")=$E$5),1,0)))</f>
        <v>6</v>
      </c>
      <c r="F534" s="565">
        <f t="array" aca="1" ref="F534" ca="1">IF($B534="N","",SUM(IF((INDIRECT("'"&amp;$B534&amp;"'!I23:I200")=$A$2)*(INDIRECT("'"&amp;$B534&amp;"'!O23:O200")=$D534)*(INDIRECT("'"&amp;$B534&amp;"'!O23:O200")&lt;&gt;"")*(INDIRECT("'"&amp;$B534&amp;"'!H23:H200")=$E$5),INDIRECT("'"&amp;$B534&amp;"'!p23:p200"),0)))</f>
        <v>0</v>
      </c>
      <c r="G534" s="564">
        <f t="array" aca="1" ref="G534" ca="1">IF($B534="N","",SUM(IF((INDIRECT("'"&amp;$B534&amp;"'!I23:I200")=$A$2)*(INDIRECT("'"&amp;$B534&amp;"'!O23:O200")=$D534)*(INDIRECT("'"&amp;$B534&amp;"'!O23:O200")&lt;&gt;"")*(INDIRECT("'"&amp;$B534&amp;"'!H23:H200")=$G$5),1,0)))</f>
        <v>6</v>
      </c>
      <c r="H534" s="565">
        <f t="array" aca="1" ref="H534" ca="1">IF($B534="N","",SUM(IF((INDIRECT("'"&amp;$B534&amp;"'!I23:I200")=$A$2)*(INDIRECT("'"&amp;$B534&amp;"'!O23:O200")=$D534)*(INDIRECT("'"&amp;$B534&amp;"'!O23:O200")&lt;&gt;"")*(INDIRECT("'"&amp;$B534&amp;"'!H23:H200")=$G$5),INDIRECT("'"&amp;$B534&amp;"'!p23:p200"),0)))</f>
        <v>1</v>
      </c>
      <c r="I534" s="515">
        <f t="shared" ca="1" si="84"/>
        <v>12</v>
      </c>
      <c r="J534" s="513">
        <f t="shared" ca="1" si="85"/>
        <v>1</v>
      </c>
    </row>
    <row r="535" spans="2:10">
      <c r="B535" s="563" t="str">
        <f t="shared" si="86"/>
        <v>Tokyo Verdy</v>
      </c>
      <c r="D535" s="511">
        <v>0.25</v>
      </c>
      <c r="E535" s="564">
        <f t="array" aca="1" ref="E535" ca="1">IF($B535="N","",SUM(IF((INDIRECT("'"&amp;$B535&amp;"'!I23:I200")=$A$2)*(INDIRECT("'"&amp;$B535&amp;"'!O23:O200")=$D535)*(INDIRECT("'"&amp;$B535&amp;"'!O23:O200")&lt;&gt;"")*(INDIRECT("'"&amp;$B535&amp;"'!H23:H200")=$E$5),1,0)))</f>
        <v>3</v>
      </c>
      <c r="F535" s="565">
        <f t="array" aca="1" ref="F535" ca="1">IF($B535="N","",SUM(IF((INDIRECT("'"&amp;$B535&amp;"'!I23:I200")=$A$2)*(INDIRECT("'"&amp;$B535&amp;"'!O23:O200")=$D535)*(INDIRECT("'"&amp;$B535&amp;"'!O23:O200")&lt;&gt;"")*(INDIRECT("'"&amp;$B535&amp;"'!H23:H200")=$E$5),INDIRECT("'"&amp;$B535&amp;"'!p23:p200"),0)))</f>
        <v>1</v>
      </c>
      <c r="G535" s="564">
        <f t="array" aca="1" ref="G535" ca="1">IF($B535="N","",SUM(IF((INDIRECT("'"&amp;$B535&amp;"'!I23:I200")=$A$2)*(INDIRECT("'"&amp;$B535&amp;"'!O23:O200")=$D535)*(INDIRECT("'"&amp;$B535&amp;"'!O23:O200")&lt;&gt;"")*(INDIRECT("'"&amp;$B535&amp;"'!H23:H200")=$G$5),1,0)))</f>
        <v>8</v>
      </c>
      <c r="H535" s="565">
        <f t="array" aca="1" ref="H535" ca="1">IF($B535="N","",SUM(IF((INDIRECT("'"&amp;$B535&amp;"'!I23:I200")=$A$2)*(INDIRECT("'"&amp;$B535&amp;"'!O23:O200")=$D535)*(INDIRECT("'"&amp;$B535&amp;"'!O23:O200")&lt;&gt;"")*(INDIRECT("'"&amp;$B535&amp;"'!H23:H200")=$G$5),INDIRECT("'"&amp;$B535&amp;"'!p23:p200"),0)))</f>
        <v>-3</v>
      </c>
      <c r="I535" s="515">
        <f t="shared" ca="1" si="84"/>
        <v>11</v>
      </c>
      <c r="J535" s="513">
        <f t="shared" ca="1" si="85"/>
        <v>-2</v>
      </c>
    </row>
    <row r="536" spans="2:10">
      <c r="B536" s="563" t="str">
        <f t="shared" si="86"/>
        <v>Tokyo Verdy</v>
      </c>
      <c r="D536" s="511">
        <v>0.5</v>
      </c>
      <c r="E536" s="564">
        <f t="array" aca="1" ref="E536" ca="1">IF($B536="N","",SUM(IF((INDIRECT("'"&amp;$B536&amp;"'!I23:I200")=$A$2)*(INDIRECT("'"&amp;$B536&amp;"'!O23:O200")=$D536)*(INDIRECT("'"&amp;$B536&amp;"'!O23:O200")&lt;&gt;"")*(INDIRECT("'"&amp;$B536&amp;"'!H23:H200")=$E$5),1,0)))</f>
        <v>0</v>
      </c>
      <c r="F536" s="565">
        <f t="array" aca="1" ref="F536" ca="1">IF($B536="N","",SUM(IF((INDIRECT("'"&amp;$B536&amp;"'!I23:I200")=$A$2)*(INDIRECT("'"&amp;$B536&amp;"'!O23:O200")=$D536)*(INDIRECT("'"&amp;$B536&amp;"'!O23:O200")&lt;&gt;"")*(INDIRECT("'"&amp;$B536&amp;"'!H23:H200")=$E$5),INDIRECT("'"&amp;$B536&amp;"'!p23:p200"),0)))</f>
        <v>0</v>
      </c>
      <c r="G536" s="564">
        <f t="array" aca="1" ref="G536" ca="1">IF($B536="N","",SUM(IF((INDIRECT("'"&amp;$B536&amp;"'!I23:I200")=$A$2)*(INDIRECT("'"&amp;$B536&amp;"'!O23:O200")=$D536)*(INDIRECT("'"&amp;$B536&amp;"'!O23:O200")&lt;&gt;"")*(INDIRECT("'"&amp;$B536&amp;"'!H23:H200")=$G$5),1,0)))</f>
        <v>0</v>
      </c>
      <c r="H536" s="565">
        <f t="array" aca="1" ref="H536" ca="1">IF($B536="N","",SUM(IF((INDIRECT("'"&amp;$B536&amp;"'!I23:I200")=$A$2)*(INDIRECT("'"&amp;$B536&amp;"'!O23:O200")=$D536)*(INDIRECT("'"&amp;$B536&amp;"'!O23:O200")&lt;&gt;"")*(INDIRECT("'"&amp;$B536&amp;"'!H23:H200")=$G$5),INDIRECT("'"&amp;$B536&amp;"'!p23:p200"),0)))</f>
        <v>0</v>
      </c>
      <c r="I536" s="515">
        <f t="shared" ca="1" si="84"/>
        <v>0</v>
      </c>
      <c r="J536" s="513">
        <f t="shared" ca="1" si="85"/>
        <v>0</v>
      </c>
    </row>
    <row r="537" spans="2:10">
      <c r="B537" s="563" t="str">
        <f t="shared" si="86"/>
        <v>Tokyo Verdy</v>
      </c>
      <c r="D537" s="511">
        <v>0.75</v>
      </c>
      <c r="E537" s="564">
        <f t="array" aca="1" ref="E537" ca="1">IF($B537="N","",SUM(IF((INDIRECT("'"&amp;$B537&amp;"'!I23:I200")=$A$2)*(INDIRECT("'"&amp;$B537&amp;"'!O23:O200")=$D537)*(INDIRECT("'"&amp;$B537&amp;"'!O23:O200")&lt;&gt;"")*(INDIRECT("'"&amp;$B537&amp;"'!H23:H200")=$E$5),1,0)))</f>
        <v>0</v>
      </c>
      <c r="F537" s="565">
        <f t="array" aca="1" ref="F537" ca="1">IF($B537="N","",SUM(IF((INDIRECT("'"&amp;$B537&amp;"'!I23:I200")=$A$2)*(INDIRECT("'"&amp;$B537&amp;"'!O23:O200")=$D537)*(INDIRECT("'"&amp;$B537&amp;"'!O23:O200")&lt;&gt;"")*(INDIRECT("'"&amp;$B537&amp;"'!H23:H200")=$E$5),INDIRECT("'"&amp;$B537&amp;"'!p23:p200"),0)))</f>
        <v>0</v>
      </c>
      <c r="G537" s="564">
        <f t="array" aca="1" ref="G537" ca="1">IF($B537="N","",SUM(IF((INDIRECT("'"&amp;$B537&amp;"'!I23:I200")=$A$2)*(INDIRECT("'"&amp;$B537&amp;"'!O23:O200")=$D537)*(INDIRECT("'"&amp;$B537&amp;"'!O23:O200")&lt;&gt;"")*(INDIRECT("'"&amp;$B537&amp;"'!H23:H200")=$G$5),1,0)))</f>
        <v>0</v>
      </c>
      <c r="H537" s="565">
        <f t="array" aca="1" ref="H537" ca="1">IF($B537="N","",SUM(IF((INDIRECT("'"&amp;$B537&amp;"'!I23:I200")=$A$2)*(INDIRECT("'"&amp;$B537&amp;"'!O23:O200")=$D537)*(INDIRECT("'"&amp;$B537&amp;"'!O23:O200")&lt;&gt;"")*(INDIRECT("'"&amp;$B537&amp;"'!H23:H200")=$G$5),INDIRECT("'"&amp;$B537&amp;"'!p23:p200"),0)))</f>
        <v>0</v>
      </c>
      <c r="I537" s="515">
        <f t="shared" ca="1" si="84"/>
        <v>0</v>
      </c>
      <c r="J537" s="513">
        <f t="shared" ca="1" si="85"/>
        <v>0</v>
      </c>
    </row>
    <row r="538" spans="2:10">
      <c r="B538" s="563" t="str">
        <f t="shared" si="86"/>
        <v>Tokyo Verdy</v>
      </c>
      <c r="D538" s="511">
        <v>1</v>
      </c>
      <c r="E538" s="564">
        <f t="array" aca="1" ref="E538" ca="1">IF($B538="N","",SUM(IF((INDIRECT("'"&amp;$B538&amp;"'!I23:I200")=$A$2)*(INDIRECT("'"&amp;$B538&amp;"'!O23:O200")=$D538)*(INDIRECT("'"&amp;$B538&amp;"'!O23:O200")&lt;&gt;"")*(INDIRECT("'"&amp;$B538&amp;"'!H23:H200")=$E$5),1,0)))</f>
        <v>0</v>
      </c>
      <c r="F538" s="565">
        <f t="array" aca="1" ref="F538" ca="1">IF($B538="N","",SUM(IF((INDIRECT("'"&amp;$B538&amp;"'!I23:I200")=$A$2)*(INDIRECT("'"&amp;$B538&amp;"'!O23:O200")=$D538)*(INDIRECT("'"&amp;$B538&amp;"'!O23:O200")&lt;&gt;"")*(INDIRECT("'"&amp;$B538&amp;"'!H23:H200")=$E$5),INDIRECT("'"&amp;$B538&amp;"'!p23:p200"),0)))</f>
        <v>0</v>
      </c>
      <c r="G538" s="564">
        <f t="array" aca="1" ref="G538" ca="1">IF($B538="N","",SUM(IF((INDIRECT("'"&amp;$B538&amp;"'!I23:I200")=$A$2)*(INDIRECT("'"&amp;$B538&amp;"'!O23:O200")=$D538)*(INDIRECT("'"&amp;$B538&amp;"'!O23:O200")&lt;&gt;"")*(INDIRECT("'"&amp;$B538&amp;"'!H23:H200")=$G$5),1,0)))</f>
        <v>0</v>
      </c>
      <c r="H538" s="565">
        <f t="array" aca="1" ref="H538" ca="1">IF($B538="N","",SUM(IF((INDIRECT("'"&amp;$B538&amp;"'!I23:I200")=$A$2)*(INDIRECT("'"&amp;$B538&amp;"'!O23:O200")=$D538)*(INDIRECT("'"&amp;$B538&amp;"'!O23:O200")&lt;&gt;"")*(INDIRECT("'"&amp;$B538&amp;"'!H23:H200")=$G$5),INDIRECT("'"&amp;$B538&amp;"'!p23:p200"),0)))</f>
        <v>0</v>
      </c>
      <c r="I538" s="515">
        <f t="shared" ca="1" si="84"/>
        <v>0</v>
      </c>
      <c r="J538" s="513">
        <f t="shared" ca="1" si="85"/>
        <v>0</v>
      </c>
    </row>
    <row r="539" spans="2:10">
      <c r="B539" s="563" t="str">
        <f t="shared" si="86"/>
        <v>Tokyo Verdy</v>
      </c>
      <c r="D539" s="511">
        <v>1.25</v>
      </c>
      <c r="E539" s="564">
        <f t="array" aca="1" ref="E539" ca="1">IF($B539="N","",SUM(IF((INDIRECT("'"&amp;$B539&amp;"'!I23:I200")=$A$2)*(INDIRECT("'"&amp;$B539&amp;"'!O23:O200")=$D539)*(INDIRECT("'"&amp;$B539&amp;"'!O23:O200")&lt;&gt;"")*(INDIRECT("'"&amp;$B539&amp;"'!H23:H200")=$E$5),1,0)))</f>
        <v>0</v>
      </c>
      <c r="F539" s="565">
        <f t="array" aca="1" ref="F539" ca="1">IF($B539="N","",SUM(IF((INDIRECT("'"&amp;$B539&amp;"'!I23:I200")=$A$2)*(INDIRECT("'"&amp;$B539&amp;"'!O23:O200")=$D539)*(INDIRECT("'"&amp;$B539&amp;"'!O23:O200")&lt;&gt;"")*(INDIRECT("'"&amp;$B539&amp;"'!H23:H200")=$E$5),INDIRECT("'"&amp;$B539&amp;"'!p23:p200"),0)))</f>
        <v>0</v>
      </c>
      <c r="G539" s="564">
        <f t="array" aca="1" ref="G539" ca="1">IF($B539="N","",SUM(IF((INDIRECT("'"&amp;$B539&amp;"'!I23:I200")=$A$2)*(INDIRECT("'"&amp;$B539&amp;"'!O23:O200")=$D539)*(INDIRECT("'"&amp;$B539&amp;"'!O23:O200")&lt;&gt;"")*(INDIRECT("'"&amp;$B539&amp;"'!H23:H200")=$G$5),1,0)))</f>
        <v>0</v>
      </c>
      <c r="H539" s="565">
        <f t="array" aca="1" ref="H539" ca="1">IF($B539="N","",SUM(IF((INDIRECT("'"&amp;$B539&amp;"'!I23:I200")=$A$2)*(INDIRECT("'"&amp;$B539&amp;"'!O23:O200")=$D539)*(INDIRECT("'"&amp;$B539&amp;"'!O23:O200")&lt;&gt;"")*(INDIRECT("'"&amp;$B539&amp;"'!H23:H200")=$G$5),INDIRECT("'"&amp;$B539&amp;"'!p23:p200"),0)))</f>
        <v>0</v>
      </c>
      <c r="I539" s="515">
        <f t="shared" ca="1" si="84"/>
        <v>0</v>
      </c>
      <c r="J539" s="513">
        <f t="shared" ca="1" si="85"/>
        <v>0</v>
      </c>
    </row>
    <row r="540" spans="2:10">
      <c r="B540" s="563" t="str">
        <f t="shared" si="86"/>
        <v>Tokyo Verdy</v>
      </c>
      <c r="D540" s="511">
        <v>1.5</v>
      </c>
      <c r="E540" s="564">
        <f t="array" aca="1" ref="E540" ca="1">IF($B540="N","",SUM(IF((INDIRECT("'"&amp;$B540&amp;"'!I23:I200")=$A$2)*(INDIRECT("'"&amp;$B540&amp;"'!O23:O200")=$D540)*(INDIRECT("'"&amp;$B540&amp;"'!O23:O200")&lt;&gt;"")*(INDIRECT("'"&amp;$B540&amp;"'!H23:H200")=$E$5),1,0)))</f>
        <v>0</v>
      </c>
      <c r="F540" s="565">
        <f t="array" aca="1" ref="F540" ca="1">IF($B540="N","",SUM(IF((INDIRECT("'"&amp;$B540&amp;"'!I23:I200")=$A$2)*(INDIRECT("'"&amp;$B540&amp;"'!O23:O200")=$D540)*(INDIRECT("'"&amp;$B540&amp;"'!O23:O200")&lt;&gt;"")*(INDIRECT("'"&amp;$B540&amp;"'!H23:H200")=$E$5),INDIRECT("'"&amp;$B540&amp;"'!p23:p200"),0)))</f>
        <v>0</v>
      </c>
      <c r="G540" s="564">
        <f t="array" aca="1" ref="G540" ca="1">IF($B540="N","",SUM(IF((INDIRECT("'"&amp;$B540&amp;"'!I23:I200")=$A$2)*(INDIRECT("'"&amp;$B540&amp;"'!O23:O200")=$D540)*(INDIRECT("'"&amp;$B540&amp;"'!O23:O200")&lt;&gt;"")*(INDIRECT("'"&amp;$B540&amp;"'!H23:H200")=$G$5),1,0)))</f>
        <v>0</v>
      </c>
      <c r="H540" s="565">
        <f t="array" aca="1" ref="H540" ca="1">IF($B540="N","",SUM(IF((INDIRECT("'"&amp;$B540&amp;"'!I23:I200")=$A$2)*(INDIRECT("'"&amp;$B540&amp;"'!O23:O200")=$D540)*(INDIRECT("'"&amp;$B540&amp;"'!O23:O200")&lt;&gt;"")*(INDIRECT("'"&amp;$B540&amp;"'!H23:H200")=$G$5),INDIRECT("'"&amp;$B540&amp;"'!p23:p200"),0)))</f>
        <v>0</v>
      </c>
      <c r="I540" s="515">
        <f t="shared" ca="1" si="84"/>
        <v>0</v>
      </c>
      <c r="J540" s="513">
        <f t="shared" ca="1" si="85"/>
        <v>0</v>
      </c>
    </row>
    <row r="541" spans="2:10">
      <c r="B541" s="563" t="str">
        <f t="shared" si="86"/>
        <v>Tokyo Verdy</v>
      </c>
      <c r="D541" s="528">
        <v>1.75</v>
      </c>
      <c r="E541" s="564">
        <f t="array" aca="1" ref="E541" ca="1">IF($B541="N","",SUM(IF((INDIRECT("'"&amp;$B541&amp;"'!I23:I200")=$A$2)*(INDIRECT("'"&amp;$B541&amp;"'!O23:O200")=$D541)*(INDIRECT("'"&amp;$B541&amp;"'!O23:O200")&lt;&gt;"")*(INDIRECT("'"&amp;$B541&amp;"'!H23:H200")=$E$5),1,0)))</f>
        <v>0</v>
      </c>
      <c r="F541" s="565">
        <f t="array" aca="1" ref="F541" ca="1">IF($B541="N","",SUM(IF((INDIRECT("'"&amp;$B541&amp;"'!I23:I200")=$A$2)*(INDIRECT("'"&amp;$B541&amp;"'!O23:O200")=$D541)*(INDIRECT("'"&amp;$B541&amp;"'!O23:O200")&lt;&gt;"")*(INDIRECT("'"&amp;$B541&amp;"'!H23:H200")=$E$5),INDIRECT("'"&amp;$B541&amp;"'!p23:p200"),0)))</f>
        <v>0</v>
      </c>
      <c r="G541" s="564">
        <f t="array" aca="1" ref="G541" ca="1">IF($B541="N","",SUM(IF((INDIRECT("'"&amp;$B541&amp;"'!I23:I200")=$A$2)*(INDIRECT("'"&amp;$B541&amp;"'!O23:O200")=$D541)*(INDIRECT("'"&amp;$B541&amp;"'!O23:O200")&lt;&gt;"")*(INDIRECT("'"&amp;$B541&amp;"'!H23:H200")=$G$5),1,0)))</f>
        <v>0</v>
      </c>
      <c r="H541" s="565">
        <f t="array" aca="1" ref="H541" ca="1">IF($B541="N","",SUM(IF((INDIRECT("'"&amp;$B541&amp;"'!I23:I200")=$A$2)*(INDIRECT("'"&amp;$B541&amp;"'!O23:O200")=$D541)*(INDIRECT("'"&amp;$B541&amp;"'!O23:O200")&lt;&gt;"")*(INDIRECT("'"&amp;$B541&amp;"'!H23:H200")=$G$5),INDIRECT("'"&amp;$B541&amp;"'!p23:p200"),0)))</f>
        <v>0</v>
      </c>
      <c r="I541" s="515">
        <f t="shared" ca="1" si="84"/>
        <v>0</v>
      </c>
      <c r="J541" s="513">
        <f t="shared" ca="1" si="85"/>
        <v>0</v>
      </c>
    </row>
    <row r="542" spans="2:10">
      <c r="B542" s="563" t="str">
        <f t="shared" si="86"/>
        <v>Tokyo Verdy</v>
      </c>
      <c r="D542" s="528">
        <v>2</v>
      </c>
      <c r="E542" s="564">
        <f t="array" aca="1" ref="E542" ca="1">IF($B542="N","",SUM(IF((INDIRECT("'"&amp;$B542&amp;"'!I23:I200")=$A$2)*(INDIRECT("'"&amp;$B542&amp;"'!O23:O200")=$D542)*(INDIRECT("'"&amp;$B542&amp;"'!O23:O200")&lt;&gt;"")*(INDIRECT("'"&amp;$B542&amp;"'!H23:H200")=$E$5),1,0)))</f>
        <v>0</v>
      </c>
      <c r="F542" s="565">
        <f t="array" aca="1" ref="F542" ca="1">IF($B542="N","",SUM(IF((INDIRECT("'"&amp;$B542&amp;"'!I23:I200")=$A$2)*(INDIRECT("'"&amp;$B542&amp;"'!O23:O200")=$D542)*(INDIRECT("'"&amp;$B542&amp;"'!O23:O200")&lt;&gt;"")*(INDIRECT("'"&amp;$B542&amp;"'!H23:H200")=$E$5),INDIRECT("'"&amp;$B542&amp;"'!p23:p200"),0)))</f>
        <v>0</v>
      </c>
      <c r="G542" s="564">
        <f t="array" aca="1" ref="G542" ca="1">IF($B542="N","",SUM(IF((INDIRECT("'"&amp;$B542&amp;"'!I23:I200")=$A$2)*(INDIRECT("'"&amp;$B542&amp;"'!O23:O200")=$D542)*(INDIRECT("'"&amp;$B542&amp;"'!O23:O200")&lt;&gt;"")*(INDIRECT("'"&amp;$B542&amp;"'!H23:H200")=$G$5),1,0)))</f>
        <v>0</v>
      </c>
      <c r="H542" s="565">
        <f t="array" aca="1" ref="H542" ca="1">IF($B542="N","",SUM(IF((INDIRECT("'"&amp;$B542&amp;"'!I23:I200")=$A$2)*(INDIRECT("'"&amp;$B542&amp;"'!O23:O200")=$D542)*(INDIRECT("'"&amp;$B542&amp;"'!O23:O200")&lt;&gt;"")*(INDIRECT("'"&amp;$B542&amp;"'!H23:H200")=$G$5),INDIRECT("'"&amp;$B542&amp;"'!p23:p200"),0)))</f>
        <v>0</v>
      </c>
      <c r="I542" s="515">
        <f t="shared" ca="1" si="84"/>
        <v>0</v>
      </c>
      <c r="J542" s="513">
        <f t="shared" ca="1" si="85"/>
        <v>0</v>
      </c>
    </row>
    <row r="543" spans="2:10">
      <c r="B543" s="563" t="str">
        <f t="shared" si="86"/>
        <v>Tokyo Verdy</v>
      </c>
      <c r="D543" s="528">
        <v>2.25</v>
      </c>
      <c r="E543" s="564">
        <f t="array" aca="1" ref="E543" ca="1">IF($B543="N","",SUM(IF((INDIRECT("'"&amp;$B543&amp;"'!I23:I200")=$A$2)*(INDIRECT("'"&amp;$B543&amp;"'!O23:O200")=$D543)*(INDIRECT("'"&amp;$B543&amp;"'!O23:O200")&lt;&gt;"")*(INDIRECT("'"&amp;$B543&amp;"'!H23:H200")=$E$5),1,0)))</f>
        <v>0</v>
      </c>
      <c r="F543" s="565">
        <f t="array" aca="1" ref="F543" ca="1">IF($B543="N","",SUM(IF((INDIRECT("'"&amp;$B543&amp;"'!I23:I200")=$A$2)*(INDIRECT("'"&amp;$B543&amp;"'!O23:O200")=$D543)*(INDIRECT("'"&amp;$B543&amp;"'!O23:O200")&lt;&gt;"")*(INDIRECT("'"&amp;$B543&amp;"'!H23:H200")=$E$5),INDIRECT("'"&amp;$B543&amp;"'!p23:p200"),0)))</f>
        <v>0</v>
      </c>
      <c r="G543" s="564">
        <f t="array" aca="1" ref="G543" ca="1">IF($B543="N","",SUM(IF((INDIRECT("'"&amp;$B543&amp;"'!I23:I200")=$A$2)*(INDIRECT("'"&amp;$B543&amp;"'!O23:O200")=$D543)*(INDIRECT("'"&amp;$B543&amp;"'!O23:O200")&lt;&gt;"")*(INDIRECT("'"&amp;$B543&amp;"'!H23:H200")=$G$5),1,0)))</f>
        <v>0</v>
      </c>
      <c r="H543" s="565">
        <f t="array" aca="1" ref="H543" ca="1">IF($B543="N","",SUM(IF((INDIRECT("'"&amp;$B543&amp;"'!I23:I200")=$A$2)*(INDIRECT("'"&amp;$B543&amp;"'!O23:O200")=$D543)*(INDIRECT("'"&amp;$B543&amp;"'!O23:O200")&lt;&gt;"")*(INDIRECT("'"&amp;$B543&amp;"'!H23:H200")=$G$5),INDIRECT("'"&amp;$B543&amp;"'!p23:p200"),0)))</f>
        <v>0</v>
      </c>
      <c r="I543" s="515">
        <f t="shared" ca="1" si="84"/>
        <v>0</v>
      </c>
      <c r="J543" s="513">
        <f t="shared" ca="1" si="85"/>
        <v>0</v>
      </c>
    </row>
    <row r="544" spans="2:10">
      <c r="B544" s="563" t="str">
        <f t="shared" si="86"/>
        <v>Tokyo Verdy</v>
      </c>
      <c r="D544" s="528">
        <v>2.5</v>
      </c>
      <c r="E544" s="564">
        <f t="array" aca="1" ref="E544" ca="1">IF($B544="N","",SUM(IF((INDIRECT("'"&amp;$B544&amp;"'!I23:I200")=$A$2)*(INDIRECT("'"&amp;$B544&amp;"'!O23:O200")=$D544)*(INDIRECT("'"&amp;$B544&amp;"'!O23:O200")&lt;&gt;"")*(INDIRECT("'"&amp;$B544&amp;"'!H23:H200")=$E$5),1,0)))</f>
        <v>0</v>
      </c>
      <c r="F544" s="565">
        <f t="array" aca="1" ref="F544" ca="1">IF($B544="N","",SUM(IF((INDIRECT("'"&amp;$B544&amp;"'!I23:I200")=$A$2)*(INDIRECT("'"&amp;$B544&amp;"'!O23:O200")=$D544)*(INDIRECT("'"&amp;$B544&amp;"'!O23:O200")&lt;&gt;"")*(INDIRECT("'"&amp;$B544&amp;"'!H23:H200")=$E$5),INDIRECT("'"&amp;$B544&amp;"'!p23:p200"),0)))</f>
        <v>0</v>
      </c>
      <c r="G544" s="564">
        <f t="array" aca="1" ref="G544" ca="1">IF($B544="N","",SUM(IF((INDIRECT("'"&amp;$B544&amp;"'!I23:I200")=$A$2)*(INDIRECT("'"&amp;$B544&amp;"'!O23:O200")=$D544)*(INDIRECT("'"&amp;$B544&amp;"'!O23:O200")&lt;&gt;"")*(INDIRECT("'"&amp;$B544&amp;"'!H23:H200")=$G$5),1,0)))</f>
        <v>0</v>
      </c>
      <c r="H544" s="565">
        <f t="array" aca="1" ref="H544" ca="1">IF($B544="N","",SUM(IF((INDIRECT("'"&amp;$B544&amp;"'!I23:I200")=$A$2)*(INDIRECT("'"&amp;$B544&amp;"'!O23:O200")=$D544)*(INDIRECT("'"&amp;$B544&amp;"'!O23:O200")&lt;&gt;"")*(INDIRECT("'"&amp;$B544&amp;"'!H23:H200")=$G$5),INDIRECT("'"&amp;$B544&amp;"'!p23:p200"),0)))</f>
        <v>0</v>
      </c>
      <c r="I544" s="515">
        <f t="shared" ca="1" si="84"/>
        <v>0</v>
      </c>
      <c r="J544" s="513">
        <f t="shared" ca="1" si="85"/>
        <v>0</v>
      </c>
    </row>
    <row r="545" spans="1:10" ht="15" thickBot="1">
      <c r="B545" s="563" t="str">
        <f t="shared" si="86"/>
        <v>Tokyo Verdy</v>
      </c>
      <c r="D545" s="511">
        <v>2.75</v>
      </c>
      <c r="E545" s="564">
        <f t="array" aca="1" ref="E545" ca="1">IF($B545="N","",SUM(IF((INDIRECT("'"&amp;$B545&amp;"'!I23:I200")=$A$2)*(INDIRECT("'"&amp;$B545&amp;"'!O23:O200")=$D545)*(INDIRECT("'"&amp;$B545&amp;"'!O23:O200")&lt;&gt;"")*(INDIRECT("'"&amp;$B545&amp;"'!H23:H200")=$E$5),1,0)))</f>
        <v>0</v>
      </c>
      <c r="F545" s="565">
        <f t="array" aca="1" ref="F545" ca="1">IF($B545="N","",SUM(IF((INDIRECT("'"&amp;$B545&amp;"'!I23:I200")=$A$2)*(INDIRECT("'"&amp;$B545&amp;"'!O23:O200")=$D545)*(INDIRECT("'"&amp;$B545&amp;"'!O23:O200")&lt;&gt;"")*(INDIRECT("'"&amp;$B545&amp;"'!H23:H200")=$E$5),INDIRECT("'"&amp;$B545&amp;"'!p23:p200"),0)))</f>
        <v>0</v>
      </c>
      <c r="G545" s="564">
        <f t="array" aca="1" ref="G545" ca="1">IF($B545="N","",SUM(IF((INDIRECT("'"&amp;$B545&amp;"'!I23:I200")=$A$2)*(INDIRECT("'"&amp;$B545&amp;"'!O23:O200")=$D545)*(INDIRECT("'"&amp;$B545&amp;"'!O23:O200")&lt;&gt;"")*(INDIRECT("'"&amp;$B545&amp;"'!H23:H200")=$G$5),1,0)))</f>
        <v>0</v>
      </c>
      <c r="H545" s="565">
        <f t="array" aca="1" ref="H545" ca="1">IF($B545="N","",SUM(IF((INDIRECT("'"&amp;$B545&amp;"'!I23:I200")=$A$2)*(INDIRECT("'"&amp;$B545&amp;"'!O23:O200")=$D545)*(INDIRECT("'"&amp;$B545&amp;"'!O23:O200")&lt;&gt;"")*(INDIRECT("'"&amp;$B545&amp;"'!H23:H200")=$G$5),INDIRECT("'"&amp;$B545&amp;"'!p23:p200"),0)))</f>
        <v>0</v>
      </c>
      <c r="I545" s="515">
        <f t="shared" ca="1" si="84"/>
        <v>0</v>
      </c>
      <c r="J545" s="513">
        <f t="shared" ca="1" si="85"/>
        <v>0</v>
      </c>
    </row>
    <row r="546" spans="1:10" ht="15" thickBot="1">
      <c r="A546" s="567"/>
      <c r="B546" s="568"/>
      <c r="C546" s="569" t="str">
        <f>D521</f>
        <v>Tokyo Verdy</v>
      </c>
      <c r="D546" s="570" t="s">
        <v>115</v>
      </c>
      <c r="E546" s="571">
        <f t="shared" ref="E546:J546" ca="1" si="87">SUM(E523:E545)</f>
        <v>21</v>
      </c>
      <c r="F546" s="572">
        <f t="shared" ca="1" si="87"/>
        <v>5.5</v>
      </c>
      <c r="G546" s="571">
        <f t="shared" ca="1" si="87"/>
        <v>21</v>
      </c>
      <c r="H546" s="572">
        <f t="shared" ca="1" si="87"/>
        <v>-1.5</v>
      </c>
      <c r="I546" s="573">
        <f t="shared" ca="1" si="87"/>
        <v>42</v>
      </c>
      <c r="J546" s="572">
        <f t="shared" ca="1" si="87"/>
        <v>4</v>
      </c>
    </row>
    <row r="547" spans="1:10" ht="15" thickBot="1">
      <c r="A547" s="567"/>
      <c r="C547" s="576"/>
    </row>
    <row r="548" spans="1:10">
      <c r="A548" s="567"/>
      <c r="B548" s="357"/>
      <c r="C548" s="569"/>
      <c r="D548" s="562" t="str">
        <f>K2</f>
        <v>V-Varen Nagasaki</v>
      </c>
      <c r="E548" s="490" t="s">
        <v>80</v>
      </c>
      <c r="F548" s="491"/>
      <c r="G548" s="490" t="s">
        <v>81</v>
      </c>
      <c r="H548" s="491"/>
      <c r="I548" s="490" t="s">
        <v>82</v>
      </c>
      <c r="J548" s="492"/>
    </row>
    <row r="549" spans="1:10" ht="15" thickBot="1">
      <c r="B549" s="357"/>
      <c r="C549" s="357"/>
      <c r="D549" s="499" t="s">
        <v>120</v>
      </c>
      <c r="E549" s="497" t="s">
        <v>123</v>
      </c>
      <c r="F549" s="552" t="s">
        <v>124</v>
      </c>
      <c r="G549" s="497" t="s">
        <v>123</v>
      </c>
      <c r="H549" s="552" t="s">
        <v>124</v>
      </c>
      <c r="I549" s="501" t="s">
        <v>123</v>
      </c>
      <c r="J549" s="552" t="s">
        <v>124</v>
      </c>
    </row>
    <row r="550" spans="1:10">
      <c r="B550" s="563" t="str">
        <f>IF(D548=0,"N",D548)</f>
        <v>V-Varen Nagasaki</v>
      </c>
      <c r="D550" s="511">
        <v>-2.75</v>
      </c>
      <c r="E550" s="564">
        <f t="array" aca="1" ref="E550" ca="1">IF($B550="N","",SUM(IF((INDIRECT("'"&amp;$B550&amp;"'!I23:I200")=$A$2)*(INDIRECT("'"&amp;$B550&amp;"'!O23:O200")=$D550)*(INDIRECT("'"&amp;$B550&amp;"'!O23:O200")&lt;&gt;"")*(INDIRECT("'"&amp;$B550&amp;"'!H23:H200")=$E$5),1,0)))</f>
        <v>0</v>
      </c>
      <c r="F550" s="565">
        <f t="array" aca="1" ref="F550" ca="1">IF($B550="N","",SUM(IF((INDIRECT("'"&amp;$B550&amp;"'!I23:I200")=$A$2)*(INDIRECT("'"&amp;$B550&amp;"'!O23:O200")=$D550)*(INDIRECT("'"&amp;$B550&amp;"'!O23:O200")&lt;&gt;"")*(INDIRECT("'"&amp;$B550&amp;"'!H23:H200")=$E$5),INDIRECT("'"&amp;$B550&amp;"'!p23:p200"),0)))</f>
        <v>0</v>
      </c>
      <c r="G550" s="564">
        <f t="array" aca="1" ref="G550" ca="1">IF($B550="N","",SUM(IF((INDIRECT("'"&amp;$B550&amp;"'!I23:I200")=$A$2)*(INDIRECT("'"&amp;$B550&amp;"'!O23:O200")=$D550)*(INDIRECT("'"&amp;$B550&amp;"'!O23:O200")&lt;&gt;"")*(INDIRECT("'"&amp;$B550&amp;"'!H23:H200")=$G$5),1,0)))</f>
        <v>0</v>
      </c>
      <c r="H550" s="565">
        <f t="array" aca="1" ref="H550" ca="1">IF($B550="N","",SUM(IF((INDIRECT("'"&amp;$B550&amp;"'!I23:I200")=$A$2)*(INDIRECT("'"&amp;$B550&amp;"'!O23:O200")=$D550)*(INDIRECT("'"&amp;$B550&amp;"'!O23:O200")&lt;&gt;"")*(INDIRECT("'"&amp;$B550&amp;"'!H23:H200")=$G$5),INDIRECT("'"&amp;$B550&amp;"'!p23:p200"),0)))</f>
        <v>0</v>
      </c>
      <c r="I550" s="515">
        <f t="shared" ref="I550:I572" ca="1" si="88">IF(B550="N","",G550+E550)</f>
        <v>0</v>
      </c>
      <c r="J550" s="513">
        <f t="shared" ref="J550:J572" ca="1" si="89">IF(I550="","",F550+H550)</f>
        <v>0</v>
      </c>
    </row>
    <row r="551" spans="1:10">
      <c r="B551" s="563" t="str">
        <f>B550</f>
        <v>V-Varen Nagasaki</v>
      </c>
      <c r="D551" s="520">
        <v>-2.5</v>
      </c>
      <c r="E551" s="564">
        <f t="array" aca="1" ref="E551" ca="1">IF($B551="N","",SUM(IF((INDIRECT("'"&amp;$B551&amp;"'!I23:I200")=$A$2)*(INDIRECT("'"&amp;$B551&amp;"'!O23:O200")=$D551)*(INDIRECT("'"&amp;$B551&amp;"'!O23:O200")&lt;&gt;"")*(INDIRECT("'"&amp;$B551&amp;"'!H23:H200")=$E$5),1,0)))</f>
        <v>0</v>
      </c>
      <c r="F551" s="565">
        <f t="array" aca="1" ref="F551" ca="1">IF($B551="N","",SUM(IF((INDIRECT("'"&amp;$B551&amp;"'!I23:I200")=$A$2)*(INDIRECT("'"&amp;$B551&amp;"'!O23:O200")=$D551)*(INDIRECT("'"&amp;$B551&amp;"'!O23:O200")&lt;&gt;"")*(INDIRECT("'"&amp;$B551&amp;"'!H23:H200")=$E$5),INDIRECT("'"&amp;$B551&amp;"'!p23:p200"),0)))</f>
        <v>0</v>
      </c>
      <c r="G551" s="564">
        <f t="array" aca="1" ref="G551" ca="1">IF($B551="N","",SUM(IF((INDIRECT("'"&amp;$B551&amp;"'!I23:I200")=$A$2)*(INDIRECT("'"&amp;$B551&amp;"'!O23:O200")=$D551)*(INDIRECT("'"&amp;$B551&amp;"'!O23:O200")&lt;&gt;"")*(INDIRECT("'"&amp;$B551&amp;"'!H23:H200")=$G$5),1,0)))</f>
        <v>0</v>
      </c>
      <c r="H551" s="565">
        <f t="array" aca="1" ref="H551" ca="1">IF($B551="N","",SUM(IF((INDIRECT("'"&amp;$B551&amp;"'!I23:I200")=$A$2)*(INDIRECT("'"&amp;$B551&amp;"'!O23:O200")=$D551)*(INDIRECT("'"&amp;$B551&amp;"'!O23:O200")&lt;&gt;"")*(INDIRECT("'"&amp;$B551&amp;"'!H23:H200")=$G$5),INDIRECT("'"&amp;$B551&amp;"'!p23:p200"),0)))</f>
        <v>0</v>
      </c>
      <c r="I551" s="515">
        <f t="shared" ca="1" si="88"/>
        <v>0</v>
      </c>
      <c r="J551" s="513">
        <f t="shared" ca="1" si="89"/>
        <v>0</v>
      </c>
    </row>
    <row r="552" spans="1:10">
      <c r="B552" s="563" t="str">
        <f t="shared" ref="B552:B572" si="90">B551</f>
        <v>V-Varen Nagasaki</v>
      </c>
      <c r="D552" s="520">
        <v>-2.25</v>
      </c>
      <c r="E552" s="564">
        <f t="array" aca="1" ref="E552" ca="1">IF($B552="N","",SUM(IF((INDIRECT("'"&amp;$B552&amp;"'!I23:I200")=$A$2)*(INDIRECT("'"&amp;$B552&amp;"'!O23:O200")=$D552)*(INDIRECT("'"&amp;$B552&amp;"'!O23:O200")&lt;&gt;"")*(INDIRECT("'"&amp;$B552&amp;"'!H23:H200")=$E$5),1,0)))</f>
        <v>0</v>
      </c>
      <c r="F552" s="565">
        <f t="array" aca="1" ref="F552" ca="1">IF($B552="N","",SUM(IF((INDIRECT("'"&amp;$B552&amp;"'!I23:I200")=$A$2)*(INDIRECT("'"&amp;$B552&amp;"'!O23:O200")=$D552)*(INDIRECT("'"&amp;$B552&amp;"'!O23:O200")&lt;&gt;"")*(INDIRECT("'"&amp;$B552&amp;"'!H23:H200")=$E$5),INDIRECT("'"&amp;$B552&amp;"'!p23:p200"),0)))</f>
        <v>0</v>
      </c>
      <c r="G552" s="564">
        <f t="array" aca="1" ref="G552" ca="1">IF($B552="N","",SUM(IF((INDIRECT("'"&amp;$B552&amp;"'!I23:I200")=$A$2)*(INDIRECT("'"&amp;$B552&amp;"'!O23:O200")=$D552)*(INDIRECT("'"&amp;$B552&amp;"'!O23:O200")&lt;&gt;"")*(INDIRECT("'"&amp;$B552&amp;"'!H23:H200")=$G$5),1,0)))</f>
        <v>0</v>
      </c>
      <c r="H552" s="565">
        <f t="array" aca="1" ref="H552" ca="1">IF($B552="N","",SUM(IF((INDIRECT("'"&amp;$B552&amp;"'!I23:I200")=$A$2)*(INDIRECT("'"&amp;$B552&amp;"'!O23:O200")=$D552)*(INDIRECT("'"&amp;$B552&amp;"'!O23:O200")&lt;&gt;"")*(INDIRECT("'"&amp;$B552&amp;"'!H23:H200")=$G$5),INDIRECT("'"&amp;$B552&amp;"'!p23:p200"),0)))</f>
        <v>0</v>
      </c>
      <c r="I552" s="515">
        <f t="shared" ca="1" si="88"/>
        <v>0</v>
      </c>
      <c r="J552" s="513">
        <f t="shared" ca="1" si="89"/>
        <v>0</v>
      </c>
    </row>
    <row r="553" spans="1:10">
      <c r="B553" s="563" t="str">
        <f t="shared" si="90"/>
        <v>V-Varen Nagasaki</v>
      </c>
      <c r="D553" s="520">
        <v>-2</v>
      </c>
      <c r="E553" s="564">
        <f t="array" aca="1" ref="E553" ca="1">IF($B553="N","",SUM(IF((INDIRECT("'"&amp;$B553&amp;"'!I23:I200")=$A$2)*(INDIRECT("'"&amp;$B553&amp;"'!O23:O200")=$D553)*(INDIRECT("'"&amp;$B553&amp;"'!O23:O200")&lt;&gt;"")*(INDIRECT("'"&amp;$B553&amp;"'!H23:H200")=$E$5),1,0)))</f>
        <v>0</v>
      </c>
      <c r="F553" s="565">
        <f t="array" aca="1" ref="F553" ca="1">IF($B553="N","",SUM(IF((INDIRECT("'"&amp;$B553&amp;"'!I23:I200")=$A$2)*(INDIRECT("'"&amp;$B553&amp;"'!O23:O200")=$D553)*(INDIRECT("'"&amp;$B553&amp;"'!O23:O200")&lt;&gt;"")*(INDIRECT("'"&amp;$B553&amp;"'!H23:H200")=$E$5),INDIRECT("'"&amp;$B553&amp;"'!p23:p200"),0)))</f>
        <v>0</v>
      </c>
      <c r="G553" s="564">
        <f t="array" aca="1" ref="G553" ca="1">IF($B553="N","",SUM(IF((INDIRECT("'"&amp;$B553&amp;"'!I23:I200")=$A$2)*(INDIRECT("'"&amp;$B553&amp;"'!O23:O200")=$D553)*(INDIRECT("'"&amp;$B553&amp;"'!O23:O200")&lt;&gt;"")*(INDIRECT("'"&amp;$B553&amp;"'!H23:H200")=$G$5),1,0)))</f>
        <v>0</v>
      </c>
      <c r="H553" s="565">
        <f t="array" aca="1" ref="H553" ca="1">IF($B553="N","",SUM(IF((INDIRECT("'"&amp;$B553&amp;"'!I23:I200")=$A$2)*(INDIRECT("'"&amp;$B553&amp;"'!O23:O200")=$D553)*(INDIRECT("'"&amp;$B553&amp;"'!O23:O200")&lt;&gt;"")*(INDIRECT("'"&amp;$B553&amp;"'!H23:H200")=$G$5),INDIRECT("'"&amp;$B553&amp;"'!p23:p200"),0)))</f>
        <v>0</v>
      </c>
      <c r="I553" s="515">
        <f t="shared" ca="1" si="88"/>
        <v>0</v>
      </c>
      <c r="J553" s="513">
        <f t="shared" ca="1" si="89"/>
        <v>0</v>
      </c>
    </row>
    <row r="554" spans="1:10">
      <c r="B554" s="563" t="str">
        <f t="shared" si="90"/>
        <v>V-Varen Nagasaki</v>
      </c>
      <c r="D554" s="520">
        <v>-1.75</v>
      </c>
      <c r="E554" s="564">
        <f t="array" aca="1" ref="E554" ca="1">IF($B554="N","",SUM(IF((INDIRECT("'"&amp;$B554&amp;"'!I23:I200")=$A$2)*(INDIRECT("'"&amp;$B554&amp;"'!O23:O200")=$D554)*(INDIRECT("'"&amp;$B554&amp;"'!O23:O200")&lt;&gt;"")*(INDIRECT("'"&amp;$B554&amp;"'!H23:H200")=$E$5),1,0)))</f>
        <v>0</v>
      </c>
      <c r="F554" s="565">
        <f t="array" aca="1" ref="F554" ca="1">IF($B554="N","",SUM(IF((INDIRECT("'"&amp;$B554&amp;"'!I23:I200")=$A$2)*(INDIRECT("'"&amp;$B554&amp;"'!O23:O200")=$D554)*(INDIRECT("'"&amp;$B554&amp;"'!O23:O200")&lt;&gt;"")*(INDIRECT("'"&amp;$B554&amp;"'!H23:H200")=$E$5),INDIRECT("'"&amp;$B554&amp;"'!p23:p200"),0)))</f>
        <v>0</v>
      </c>
      <c r="G554" s="564">
        <f t="array" aca="1" ref="G554" ca="1">IF($B554="N","",SUM(IF((INDIRECT("'"&amp;$B554&amp;"'!I23:I200")=$A$2)*(INDIRECT("'"&amp;$B554&amp;"'!O23:O200")=$D554)*(INDIRECT("'"&amp;$B554&amp;"'!O23:O200")&lt;&gt;"")*(INDIRECT("'"&amp;$B554&amp;"'!H23:H200")=$G$5),1,0)))</f>
        <v>0</v>
      </c>
      <c r="H554" s="565">
        <f t="array" aca="1" ref="H554" ca="1">IF($B554="N","",SUM(IF((INDIRECT("'"&amp;$B554&amp;"'!I23:I200")=$A$2)*(INDIRECT("'"&amp;$B554&amp;"'!O23:O200")=$D554)*(INDIRECT("'"&amp;$B554&amp;"'!O23:O200")&lt;&gt;"")*(INDIRECT("'"&amp;$B554&amp;"'!H23:H200")=$G$5),INDIRECT("'"&amp;$B554&amp;"'!p23:p200"),0)))</f>
        <v>0</v>
      </c>
      <c r="I554" s="515">
        <f t="shared" ca="1" si="88"/>
        <v>0</v>
      </c>
      <c r="J554" s="513">
        <f t="shared" ca="1" si="89"/>
        <v>0</v>
      </c>
    </row>
    <row r="555" spans="1:10">
      <c r="B555" s="563" t="str">
        <f t="shared" si="90"/>
        <v>V-Varen Nagasaki</v>
      </c>
      <c r="D555" s="511">
        <v>-1.5</v>
      </c>
      <c r="E555" s="564">
        <f t="array" aca="1" ref="E555" ca="1">IF($B555="N","",SUM(IF((INDIRECT("'"&amp;$B555&amp;"'!I23:I200")=$A$2)*(INDIRECT("'"&amp;$B555&amp;"'!O23:O200")=$D555)*(INDIRECT("'"&amp;$B555&amp;"'!O23:O200")&lt;&gt;"")*(INDIRECT("'"&amp;$B555&amp;"'!H23:H200")=$E$5),1,0)))</f>
        <v>0</v>
      </c>
      <c r="F555" s="565">
        <f t="array" aca="1" ref="F555" ca="1">IF($B555="N","",SUM(IF((INDIRECT("'"&amp;$B555&amp;"'!I23:I200")=$A$2)*(INDIRECT("'"&amp;$B555&amp;"'!O23:O200")=$D555)*(INDIRECT("'"&amp;$B555&amp;"'!O23:O200")&lt;&gt;"")*(INDIRECT("'"&amp;$B555&amp;"'!H23:H200")=$E$5),INDIRECT("'"&amp;$B555&amp;"'!p23:p200"),0)))</f>
        <v>0</v>
      </c>
      <c r="G555" s="564">
        <f t="array" aca="1" ref="G555" ca="1">IF($B555="N","",SUM(IF((INDIRECT("'"&amp;$B555&amp;"'!I23:I200")=$A$2)*(INDIRECT("'"&amp;$B555&amp;"'!O23:O200")=$D555)*(INDIRECT("'"&amp;$B555&amp;"'!O23:O200")&lt;&gt;"")*(INDIRECT("'"&amp;$B555&amp;"'!H23:H200")=$G$5),1,0)))</f>
        <v>0</v>
      </c>
      <c r="H555" s="565">
        <f t="array" aca="1" ref="H555" ca="1">IF($B555="N","",SUM(IF((INDIRECT("'"&amp;$B555&amp;"'!I23:I200")=$A$2)*(INDIRECT("'"&amp;$B555&amp;"'!O23:O200")=$D555)*(INDIRECT("'"&amp;$B555&amp;"'!O23:O200")&lt;&gt;"")*(INDIRECT("'"&amp;$B555&amp;"'!H23:H200")=$G$5),INDIRECT("'"&amp;$B555&amp;"'!p23:p200"),0)))</f>
        <v>0</v>
      </c>
      <c r="I555" s="515">
        <f t="shared" ca="1" si="88"/>
        <v>0</v>
      </c>
      <c r="J555" s="513">
        <f t="shared" ca="1" si="89"/>
        <v>0</v>
      </c>
    </row>
    <row r="556" spans="1:10">
      <c r="B556" s="563" t="str">
        <f t="shared" si="90"/>
        <v>V-Varen Nagasaki</v>
      </c>
      <c r="D556" s="511">
        <v>-1.25</v>
      </c>
      <c r="E556" s="564">
        <f t="array" aca="1" ref="E556" ca="1">IF($B556="N","",SUM(IF((INDIRECT("'"&amp;$B556&amp;"'!I23:I200")=$A$2)*(INDIRECT("'"&amp;$B556&amp;"'!O23:O200")=$D556)*(INDIRECT("'"&amp;$B556&amp;"'!O23:O200")&lt;&gt;"")*(INDIRECT("'"&amp;$B556&amp;"'!H23:H200")=$E$5),1,0)))</f>
        <v>0</v>
      </c>
      <c r="F556" s="565">
        <f t="array" aca="1" ref="F556" ca="1">IF($B556="N","",SUM(IF((INDIRECT("'"&amp;$B556&amp;"'!I23:I200")=$A$2)*(INDIRECT("'"&amp;$B556&amp;"'!O23:O200")=$D556)*(INDIRECT("'"&amp;$B556&amp;"'!O23:O200")&lt;&gt;"")*(INDIRECT("'"&amp;$B556&amp;"'!H23:H200")=$E$5),INDIRECT("'"&amp;$B556&amp;"'!p23:p200"),0)))</f>
        <v>0</v>
      </c>
      <c r="G556" s="564">
        <f t="array" aca="1" ref="G556" ca="1">IF($B556="N","",SUM(IF((INDIRECT("'"&amp;$B556&amp;"'!I23:I200")=$A$2)*(INDIRECT("'"&amp;$B556&amp;"'!O23:O200")=$D556)*(INDIRECT("'"&amp;$B556&amp;"'!O23:O200")&lt;&gt;"")*(INDIRECT("'"&amp;$B556&amp;"'!H23:H200")=$G$5),1,0)))</f>
        <v>0</v>
      </c>
      <c r="H556" s="565">
        <f t="array" aca="1" ref="H556" ca="1">IF($B556="N","",SUM(IF((INDIRECT("'"&amp;$B556&amp;"'!I23:I200")=$A$2)*(INDIRECT("'"&amp;$B556&amp;"'!O23:O200")=$D556)*(INDIRECT("'"&amp;$B556&amp;"'!O23:O200")&lt;&gt;"")*(INDIRECT("'"&amp;$B556&amp;"'!H23:H200")=$G$5),INDIRECT("'"&amp;$B556&amp;"'!p23:p200"),0)))</f>
        <v>0</v>
      </c>
      <c r="I556" s="515">
        <f t="shared" ca="1" si="88"/>
        <v>0</v>
      </c>
      <c r="J556" s="513">
        <f t="shared" ca="1" si="89"/>
        <v>0</v>
      </c>
    </row>
    <row r="557" spans="1:10">
      <c r="B557" s="563" t="str">
        <f t="shared" si="90"/>
        <v>V-Varen Nagasaki</v>
      </c>
      <c r="D557" s="511">
        <v>-1</v>
      </c>
      <c r="E557" s="564">
        <f t="array" aca="1" ref="E557" ca="1">IF($B557="N","",SUM(IF((INDIRECT("'"&amp;$B557&amp;"'!I23:I200")=$A$2)*(INDIRECT("'"&amp;$B557&amp;"'!O23:O200")=$D557)*(INDIRECT("'"&amp;$B557&amp;"'!O23:O200")&lt;&gt;"")*(INDIRECT("'"&amp;$B557&amp;"'!H23:H200")=$E$5),1,0)))</f>
        <v>0</v>
      </c>
      <c r="F557" s="565">
        <f t="array" aca="1" ref="F557" ca="1">IF($B557="N","",SUM(IF((INDIRECT("'"&amp;$B557&amp;"'!I23:I200")=$A$2)*(INDIRECT("'"&amp;$B557&amp;"'!O23:O200")=$D557)*(INDIRECT("'"&amp;$B557&amp;"'!O23:O200")&lt;&gt;"")*(INDIRECT("'"&amp;$B557&amp;"'!H23:H200")=$E$5),INDIRECT("'"&amp;$B557&amp;"'!p23:p200"),0)))</f>
        <v>0</v>
      </c>
      <c r="G557" s="564">
        <f t="array" aca="1" ref="G557" ca="1">IF($B557="N","",SUM(IF((INDIRECT("'"&amp;$B557&amp;"'!I23:I200")=$A$2)*(INDIRECT("'"&amp;$B557&amp;"'!O23:O200")=$D557)*(INDIRECT("'"&amp;$B557&amp;"'!O23:O200")&lt;&gt;"")*(INDIRECT("'"&amp;$B557&amp;"'!H23:H200")=$G$5),1,0)))</f>
        <v>0</v>
      </c>
      <c r="H557" s="565">
        <f t="array" aca="1" ref="H557" ca="1">IF($B557="N","",SUM(IF((INDIRECT("'"&amp;$B557&amp;"'!I23:I200")=$A$2)*(INDIRECT("'"&amp;$B557&amp;"'!O23:O200")=$D557)*(INDIRECT("'"&amp;$B557&amp;"'!O23:O200")&lt;&gt;"")*(INDIRECT("'"&amp;$B557&amp;"'!H23:H200")=$G$5),INDIRECT("'"&amp;$B557&amp;"'!p23:p200"),0)))</f>
        <v>0</v>
      </c>
      <c r="I557" s="515">
        <f t="shared" ca="1" si="88"/>
        <v>0</v>
      </c>
      <c r="J557" s="513">
        <f t="shared" ca="1" si="89"/>
        <v>0</v>
      </c>
    </row>
    <row r="558" spans="1:10">
      <c r="B558" s="563" t="str">
        <f t="shared" si="90"/>
        <v>V-Varen Nagasaki</v>
      </c>
      <c r="D558" s="511">
        <v>-0.75</v>
      </c>
      <c r="E558" s="564">
        <f t="array" aca="1" ref="E558" ca="1">IF($B558="N","",SUM(IF((INDIRECT("'"&amp;$B558&amp;"'!I23:I200")=$A$2)*(INDIRECT("'"&amp;$B558&amp;"'!O23:O200")=$D558)*(INDIRECT("'"&amp;$B558&amp;"'!O23:O200")&lt;&gt;"")*(INDIRECT("'"&amp;$B558&amp;"'!H23:H200")=$E$5),1,0)))</f>
        <v>1</v>
      </c>
      <c r="F558" s="565">
        <f t="array" aca="1" ref="F558" ca="1">IF($B558="N","",SUM(IF((INDIRECT("'"&amp;$B558&amp;"'!I23:I200")=$A$2)*(INDIRECT("'"&amp;$B558&amp;"'!O23:O200")=$D558)*(INDIRECT("'"&amp;$B558&amp;"'!O23:O200")&lt;&gt;"")*(INDIRECT("'"&amp;$B558&amp;"'!H23:H200")=$E$5),INDIRECT("'"&amp;$B558&amp;"'!p23:p200"),0)))</f>
        <v>1</v>
      </c>
      <c r="G558" s="564">
        <f t="array" aca="1" ref="G558" ca="1">IF($B558="N","",SUM(IF((INDIRECT("'"&amp;$B558&amp;"'!I23:I200")=$A$2)*(INDIRECT("'"&amp;$B558&amp;"'!O23:O200")=$D558)*(INDIRECT("'"&amp;$B558&amp;"'!O23:O200")&lt;&gt;"")*(INDIRECT("'"&amp;$B558&amp;"'!H23:H200")=$G$5),1,0)))</f>
        <v>0</v>
      </c>
      <c r="H558" s="565">
        <f t="array" aca="1" ref="H558" ca="1">IF($B558="N","",SUM(IF((INDIRECT("'"&amp;$B558&amp;"'!I23:I200")=$A$2)*(INDIRECT("'"&amp;$B558&amp;"'!O23:O200")=$D558)*(INDIRECT("'"&amp;$B558&amp;"'!O23:O200")&lt;&gt;"")*(INDIRECT("'"&amp;$B558&amp;"'!H23:H200")=$G$5),INDIRECT("'"&amp;$B558&amp;"'!p23:p200"),0)))</f>
        <v>0</v>
      </c>
      <c r="I558" s="515">
        <f t="shared" ca="1" si="88"/>
        <v>1</v>
      </c>
      <c r="J558" s="513">
        <f t="shared" ca="1" si="89"/>
        <v>1</v>
      </c>
    </row>
    <row r="559" spans="1:10">
      <c r="B559" s="563" t="str">
        <f t="shared" si="90"/>
        <v>V-Varen Nagasaki</v>
      </c>
      <c r="D559" s="511">
        <v>-0.5</v>
      </c>
      <c r="E559" s="564">
        <f t="array" aca="1" ref="E559" ca="1">IF($B559="N","",SUM(IF((INDIRECT("'"&amp;$B559&amp;"'!I23:I200")=$A$2)*(INDIRECT("'"&amp;$B559&amp;"'!O23:O200")=$D559)*(INDIRECT("'"&amp;$B559&amp;"'!O23:O200")&lt;&gt;"")*(INDIRECT("'"&amp;$B559&amp;"'!H23:H200")=$E$5),1,0)))</f>
        <v>2</v>
      </c>
      <c r="F559" s="565">
        <f t="array" aca="1" ref="F559" ca="1">IF($B559="N","",SUM(IF((INDIRECT("'"&amp;$B559&amp;"'!I23:I200")=$A$2)*(INDIRECT("'"&amp;$B559&amp;"'!O23:O200")=$D559)*(INDIRECT("'"&amp;$B559&amp;"'!O23:O200")&lt;&gt;"")*(INDIRECT("'"&amp;$B559&amp;"'!H23:H200")=$E$5),INDIRECT("'"&amp;$B559&amp;"'!p23:p200"),0)))</f>
        <v>2</v>
      </c>
      <c r="G559" s="564">
        <f t="array" aca="1" ref="G559" ca="1">IF($B559="N","",SUM(IF((INDIRECT("'"&amp;$B559&amp;"'!I23:I200")=$A$2)*(INDIRECT("'"&amp;$B559&amp;"'!O23:O200")=$D559)*(INDIRECT("'"&amp;$B559&amp;"'!O23:O200")&lt;&gt;"")*(INDIRECT("'"&amp;$B559&amp;"'!H23:H200")=$G$5),1,0)))</f>
        <v>2</v>
      </c>
      <c r="H559" s="565">
        <f t="array" aca="1" ref="H559" ca="1">IF($B559="N","",SUM(IF((INDIRECT("'"&amp;$B559&amp;"'!I23:I200")=$A$2)*(INDIRECT("'"&amp;$B559&amp;"'!O23:O200")=$D559)*(INDIRECT("'"&amp;$B559&amp;"'!O23:O200")&lt;&gt;"")*(INDIRECT("'"&amp;$B559&amp;"'!H23:H200")=$G$5),INDIRECT("'"&amp;$B559&amp;"'!p23:p200"),0)))</f>
        <v>2</v>
      </c>
      <c r="I559" s="515">
        <f t="shared" ca="1" si="88"/>
        <v>4</v>
      </c>
      <c r="J559" s="513">
        <f t="shared" ca="1" si="89"/>
        <v>4</v>
      </c>
    </row>
    <row r="560" spans="1:10">
      <c r="B560" s="563" t="str">
        <f t="shared" si="90"/>
        <v>V-Varen Nagasaki</v>
      </c>
      <c r="D560" s="511">
        <v>-0.25</v>
      </c>
      <c r="E560" s="564">
        <f t="array" aca="1" ref="E560" ca="1">IF($B560="N","",SUM(IF((INDIRECT("'"&amp;$B560&amp;"'!I23:I200")=$A$2)*(INDIRECT("'"&amp;$B560&amp;"'!O23:O200")=$D560)*(INDIRECT("'"&amp;$B560&amp;"'!O23:O200")&lt;&gt;"")*(INDIRECT("'"&amp;$B560&amp;"'!H23:H200")=$E$5),1,0)))</f>
        <v>5</v>
      </c>
      <c r="F560" s="565">
        <f t="array" aca="1" ref="F560" ca="1">IF($B560="N","",SUM(IF((INDIRECT("'"&amp;$B560&amp;"'!I23:I200")=$A$2)*(INDIRECT("'"&amp;$B560&amp;"'!O23:O200")=$D560)*(INDIRECT("'"&amp;$B560&amp;"'!O23:O200")&lt;&gt;"")*(INDIRECT("'"&amp;$B560&amp;"'!H23:H200")=$E$5),INDIRECT("'"&amp;$B560&amp;"'!p23:p200"),0)))</f>
        <v>3.5</v>
      </c>
      <c r="G560" s="564">
        <f t="array" aca="1" ref="G560" ca="1">IF($B560="N","",SUM(IF((INDIRECT("'"&amp;$B560&amp;"'!I23:I200")=$A$2)*(INDIRECT("'"&amp;$B560&amp;"'!O23:O200")=$D560)*(INDIRECT("'"&amp;$B560&amp;"'!O23:O200")&lt;&gt;"")*(INDIRECT("'"&amp;$B560&amp;"'!H23:H200")=$G$5),1,0)))</f>
        <v>4</v>
      </c>
      <c r="H560" s="565">
        <f t="array" aca="1" ref="H560" ca="1">IF($B560="N","",SUM(IF((INDIRECT("'"&amp;$B560&amp;"'!I23:I200")=$A$2)*(INDIRECT("'"&amp;$B560&amp;"'!O23:O200")=$D560)*(INDIRECT("'"&amp;$B560&amp;"'!O23:O200")&lt;&gt;"")*(INDIRECT("'"&amp;$B560&amp;"'!H23:H200")=$G$5),INDIRECT("'"&amp;$B560&amp;"'!p23:p200"),0)))</f>
        <v>2.5</v>
      </c>
      <c r="I560" s="515">
        <f t="shared" ca="1" si="88"/>
        <v>9</v>
      </c>
      <c r="J560" s="513">
        <f t="shared" ca="1" si="89"/>
        <v>6</v>
      </c>
    </row>
    <row r="561" spans="1:10">
      <c r="B561" s="563" t="str">
        <f t="shared" si="90"/>
        <v>V-Varen Nagasaki</v>
      </c>
      <c r="D561" s="511">
        <v>0</v>
      </c>
      <c r="E561" s="564">
        <f t="array" aca="1" ref="E561" ca="1">IF($B561="N","",SUM(IF((INDIRECT("'"&amp;$B561&amp;"'!I23:I200")=$A$2)*(INDIRECT("'"&amp;$B561&amp;"'!O23:O200")=$D561)*(INDIRECT("'"&amp;$B561&amp;"'!O23:O200")&lt;&gt;"")*(INDIRECT("'"&amp;$B561&amp;"'!H23:H200")=$E$5),1,0)))</f>
        <v>7</v>
      </c>
      <c r="F561" s="565">
        <f t="array" aca="1" ref="F561" ca="1">IF($B561="N","",SUM(IF((INDIRECT("'"&amp;$B561&amp;"'!I23:I200")=$A$2)*(INDIRECT("'"&amp;$B561&amp;"'!O23:O200")=$D561)*(INDIRECT("'"&amp;$B561&amp;"'!O23:O200")&lt;&gt;"")*(INDIRECT("'"&amp;$B561&amp;"'!H23:H200")=$E$5),INDIRECT("'"&amp;$B561&amp;"'!p23:p200"),0)))</f>
        <v>4</v>
      </c>
      <c r="G561" s="564">
        <f t="array" aca="1" ref="G561" ca="1">IF($B561="N","",SUM(IF((INDIRECT("'"&amp;$B561&amp;"'!I23:I200")=$A$2)*(INDIRECT("'"&amp;$B561&amp;"'!O23:O200")=$D561)*(INDIRECT("'"&amp;$B561&amp;"'!O23:O200")&lt;&gt;"")*(INDIRECT("'"&amp;$B561&amp;"'!H23:H200")=$G$5),1,0)))</f>
        <v>2</v>
      </c>
      <c r="H561" s="565">
        <f t="array" aca="1" ref="H561" ca="1">IF($B561="N","",SUM(IF((INDIRECT("'"&amp;$B561&amp;"'!I23:I200")=$A$2)*(INDIRECT("'"&amp;$B561&amp;"'!O23:O200")=$D561)*(INDIRECT("'"&amp;$B561&amp;"'!O23:O200")&lt;&gt;"")*(INDIRECT("'"&amp;$B561&amp;"'!H23:H200")=$G$5),INDIRECT("'"&amp;$B561&amp;"'!p23:p200"),0)))</f>
        <v>0</v>
      </c>
      <c r="I561" s="515">
        <f t="shared" ca="1" si="88"/>
        <v>9</v>
      </c>
      <c r="J561" s="513">
        <f t="shared" ca="1" si="89"/>
        <v>4</v>
      </c>
    </row>
    <row r="562" spans="1:10">
      <c r="B562" s="563" t="str">
        <f t="shared" si="90"/>
        <v>V-Varen Nagasaki</v>
      </c>
      <c r="D562" s="511">
        <v>0.25</v>
      </c>
      <c r="E562" s="564">
        <f t="array" aca="1" ref="E562" ca="1">IF($B562="N","",SUM(IF((INDIRECT("'"&amp;$B562&amp;"'!I23:I200")=$A$2)*(INDIRECT("'"&amp;$B562&amp;"'!O23:O200")=$D562)*(INDIRECT("'"&amp;$B562&amp;"'!O23:O200")&lt;&gt;"")*(INDIRECT("'"&amp;$B562&amp;"'!H23:H200")=$E$5),1,0)))</f>
        <v>6</v>
      </c>
      <c r="F562" s="565">
        <f t="array" aca="1" ref="F562" ca="1">IF($B562="N","",SUM(IF((INDIRECT("'"&amp;$B562&amp;"'!I23:I200")=$A$2)*(INDIRECT("'"&amp;$B562&amp;"'!O23:O200")=$D562)*(INDIRECT("'"&amp;$B562&amp;"'!O23:O200")&lt;&gt;"")*(INDIRECT("'"&amp;$B562&amp;"'!H23:H200")=$E$5),INDIRECT("'"&amp;$B562&amp;"'!p23:p200"),0)))</f>
        <v>2</v>
      </c>
      <c r="G562" s="564">
        <f t="array" aca="1" ref="G562" ca="1">IF($B562="N","",SUM(IF((INDIRECT("'"&amp;$B562&amp;"'!I23:I200")=$A$2)*(INDIRECT("'"&amp;$B562&amp;"'!O23:O200")=$D562)*(INDIRECT("'"&amp;$B562&amp;"'!O23:O200")&lt;&gt;"")*(INDIRECT("'"&amp;$B562&amp;"'!H23:H200")=$G$5),1,0)))</f>
        <v>10</v>
      </c>
      <c r="H562" s="565">
        <f t="array" aca="1" ref="H562" ca="1">IF($B562="N","",SUM(IF((INDIRECT("'"&amp;$B562&amp;"'!I23:I200")=$A$2)*(INDIRECT("'"&amp;$B562&amp;"'!O23:O200")=$D562)*(INDIRECT("'"&amp;$B562&amp;"'!O23:O200")&lt;&gt;"")*(INDIRECT("'"&amp;$B562&amp;"'!H23:H200")=$G$5),INDIRECT("'"&amp;$B562&amp;"'!p23:p200"),0)))</f>
        <v>-3</v>
      </c>
      <c r="I562" s="515">
        <f t="shared" ca="1" si="88"/>
        <v>16</v>
      </c>
      <c r="J562" s="513">
        <f t="shared" ca="1" si="89"/>
        <v>-1</v>
      </c>
    </row>
    <row r="563" spans="1:10">
      <c r="B563" s="563" t="str">
        <f t="shared" si="90"/>
        <v>V-Varen Nagasaki</v>
      </c>
      <c r="D563" s="511">
        <v>0.5</v>
      </c>
      <c r="E563" s="564">
        <f t="array" aca="1" ref="E563" ca="1">IF($B563="N","",SUM(IF((INDIRECT("'"&amp;$B563&amp;"'!I23:I200")=$A$2)*(INDIRECT("'"&amp;$B563&amp;"'!O23:O200")=$D563)*(INDIRECT("'"&amp;$B563&amp;"'!O23:O200")&lt;&gt;"")*(INDIRECT("'"&amp;$B563&amp;"'!H23:H200")=$E$5),1,0)))</f>
        <v>0</v>
      </c>
      <c r="F563" s="565">
        <f t="array" aca="1" ref="F563" ca="1">IF($B563="N","",SUM(IF((INDIRECT("'"&amp;$B563&amp;"'!I23:I200")=$A$2)*(INDIRECT("'"&amp;$B563&amp;"'!O23:O200")=$D563)*(INDIRECT("'"&amp;$B563&amp;"'!O23:O200")&lt;&gt;"")*(INDIRECT("'"&amp;$B563&amp;"'!H23:H200")=$E$5),INDIRECT("'"&amp;$B563&amp;"'!p23:p200"),0)))</f>
        <v>0</v>
      </c>
      <c r="G563" s="564">
        <f t="array" aca="1" ref="G563" ca="1">IF($B563="N","",SUM(IF((INDIRECT("'"&amp;$B563&amp;"'!I23:I200")=$A$2)*(INDIRECT("'"&amp;$B563&amp;"'!O23:O200")=$D563)*(INDIRECT("'"&amp;$B563&amp;"'!O23:O200")&lt;&gt;"")*(INDIRECT("'"&amp;$B563&amp;"'!H23:H200")=$G$5),1,0)))</f>
        <v>3</v>
      </c>
      <c r="H563" s="565">
        <f t="array" aca="1" ref="H563" ca="1">IF($B563="N","",SUM(IF((INDIRECT("'"&amp;$B563&amp;"'!I23:I200")=$A$2)*(INDIRECT("'"&amp;$B563&amp;"'!O23:O200")=$D563)*(INDIRECT("'"&amp;$B563&amp;"'!O23:O200")&lt;&gt;"")*(INDIRECT("'"&amp;$B563&amp;"'!H23:H200")=$G$5),INDIRECT("'"&amp;$B563&amp;"'!p23:p200"),0)))</f>
        <v>1</v>
      </c>
      <c r="I563" s="515">
        <f t="shared" ca="1" si="88"/>
        <v>3</v>
      </c>
      <c r="J563" s="513">
        <f t="shared" ca="1" si="89"/>
        <v>1</v>
      </c>
    </row>
    <row r="564" spans="1:10">
      <c r="B564" s="563" t="str">
        <f t="shared" si="90"/>
        <v>V-Varen Nagasaki</v>
      </c>
      <c r="D564" s="511">
        <v>0.75</v>
      </c>
      <c r="E564" s="564">
        <f t="array" aca="1" ref="E564" ca="1">IF($B564="N","",SUM(IF((INDIRECT("'"&amp;$B564&amp;"'!I23:I200")=$A$2)*(INDIRECT("'"&amp;$B564&amp;"'!O23:O200")=$D564)*(INDIRECT("'"&amp;$B564&amp;"'!O23:O200")&lt;&gt;"")*(INDIRECT("'"&amp;$B564&amp;"'!H23:H200")=$E$5),1,0)))</f>
        <v>0</v>
      </c>
      <c r="F564" s="565">
        <f t="array" aca="1" ref="F564" ca="1">IF($B564="N","",SUM(IF((INDIRECT("'"&amp;$B564&amp;"'!I23:I200")=$A$2)*(INDIRECT("'"&amp;$B564&amp;"'!O23:O200")=$D564)*(INDIRECT("'"&amp;$B564&amp;"'!O23:O200")&lt;&gt;"")*(INDIRECT("'"&amp;$B564&amp;"'!H23:H200")=$E$5),INDIRECT("'"&amp;$B564&amp;"'!p23:p200"),0)))</f>
        <v>0</v>
      </c>
      <c r="G564" s="564">
        <f t="array" aca="1" ref="G564" ca="1">IF($B564="N","",SUM(IF((INDIRECT("'"&amp;$B564&amp;"'!I23:I200")=$A$2)*(INDIRECT("'"&amp;$B564&amp;"'!O23:O200")=$D564)*(INDIRECT("'"&amp;$B564&amp;"'!O23:O200")&lt;&gt;"")*(INDIRECT("'"&amp;$B564&amp;"'!H23:H200")=$G$5),1,0)))</f>
        <v>0</v>
      </c>
      <c r="H564" s="565">
        <f t="array" aca="1" ref="H564" ca="1">IF($B564="N","",SUM(IF((INDIRECT("'"&amp;$B564&amp;"'!I23:I200")=$A$2)*(INDIRECT("'"&amp;$B564&amp;"'!O23:O200")=$D564)*(INDIRECT("'"&amp;$B564&amp;"'!O23:O200")&lt;&gt;"")*(INDIRECT("'"&amp;$B564&amp;"'!H23:H200")=$G$5),INDIRECT("'"&amp;$B564&amp;"'!p23:p200"),0)))</f>
        <v>0</v>
      </c>
      <c r="I564" s="515">
        <f t="shared" ca="1" si="88"/>
        <v>0</v>
      </c>
      <c r="J564" s="513">
        <f t="shared" ca="1" si="89"/>
        <v>0</v>
      </c>
    </row>
    <row r="565" spans="1:10">
      <c r="B565" s="563" t="str">
        <f t="shared" si="90"/>
        <v>V-Varen Nagasaki</v>
      </c>
      <c r="D565" s="511">
        <v>1</v>
      </c>
      <c r="E565" s="564">
        <f t="array" aca="1" ref="E565" ca="1">IF($B565="N","",SUM(IF((INDIRECT("'"&amp;$B565&amp;"'!I23:I200")=$A$2)*(INDIRECT("'"&amp;$B565&amp;"'!O23:O200")=$D565)*(INDIRECT("'"&amp;$B565&amp;"'!O23:O200")&lt;&gt;"")*(INDIRECT("'"&amp;$B565&amp;"'!H23:H200")=$E$5),1,0)))</f>
        <v>0</v>
      </c>
      <c r="F565" s="565">
        <f t="array" aca="1" ref="F565" ca="1">IF($B565="N","",SUM(IF((INDIRECT("'"&amp;$B565&amp;"'!I23:I200")=$A$2)*(INDIRECT("'"&amp;$B565&amp;"'!O23:O200")=$D565)*(INDIRECT("'"&amp;$B565&amp;"'!O23:O200")&lt;&gt;"")*(INDIRECT("'"&amp;$B565&amp;"'!H23:H200")=$E$5),INDIRECT("'"&amp;$B565&amp;"'!p23:p200"),0)))</f>
        <v>0</v>
      </c>
      <c r="G565" s="564">
        <f t="array" aca="1" ref="G565" ca="1">IF($B565="N","",SUM(IF((INDIRECT("'"&amp;$B565&amp;"'!I23:I200")=$A$2)*(INDIRECT("'"&amp;$B565&amp;"'!O23:O200")=$D565)*(INDIRECT("'"&amp;$B565&amp;"'!O23:O200")&lt;&gt;"")*(INDIRECT("'"&amp;$B565&amp;"'!H23:H200")=$G$5),1,0)))</f>
        <v>0</v>
      </c>
      <c r="H565" s="565">
        <f t="array" aca="1" ref="H565" ca="1">IF($B565="N","",SUM(IF((INDIRECT("'"&amp;$B565&amp;"'!I23:I200")=$A$2)*(INDIRECT("'"&amp;$B565&amp;"'!O23:O200")=$D565)*(INDIRECT("'"&amp;$B565&amp;"'!O23:O200")&lt;&gt;"")*(INDIRECT("'"&amp;$B565&amp;"'!H23:H200")=$G$5),INDIRECT("'"&amp;$B565&amp;"'!p23:p200"),0)))</f>
        <v>0</v>
      </c>
      <c r="I565" s="515">
        <f t="shared" ca="1" si="88"/>
        <v>0</v>
      </c>
      <c r="J565" s="513">
        <f t="shared" ca="1" si="89"/>
        <v>0</v>
      </c>
    </row>
    <row r="566" spans="1:10">
      <c r="B566" s="563" t="str">
        <f t="shared" si="90"/>
        <v>V-Varen Nagasaki</v>
      </c>
      <c r="D566" s="511">
        <v>1.25</v>
      </c>
      <c r="E566" s="564">
        <f t="array" aca="1" ref="E566" ca="1">IF($B566="N","",SUM(IF((INDIRECT("'"&amp;$B566&amp;"'!I23:I200")=$A$2)*(INDIRECT("'"&amp;$B566&amp;"'!O23:O200")=$D566)*(INDIRECT("'"&amp;$B566&amp;"'!O23:O200")&lt;&gt;"")*(INDIRECT("'"&amp;$B566&amp;"'!H23:H200")=$E$5),1,0)))</f>
        <v>0</v>
      </c>
      <c r="F566" s="565">
        <f t="array" aca="1" ref="F566" ca="1">IF($B566="N","",SUM(IF((INDIRECT("'"&amp;$B566&amp;"'!I23:I200")=$A$2)*(INDIRECT("'"&amp;$B566&amp;"'!O23:O200")=$D566)*(INDIRECT("'"&amp;$B566&amp;"'!O23:O200")&lt;&gt;"")*(INDIRECT("'"&amp;$B566&amp;"'!H23:H200")=$E$5),INDIRECT("'"&amp;$B566&amp;"'!p23:p200"),0)))</f>
        <v>0</v>
      </c>
      <c r="G566" s="564">
        <f t="array" aca="1" ref="G566" ca="1">IF($B566="N","",SUM(IF((INDIRECT("'"&amp;$B566&amp;"'!I23:I200")=$A$2)*(INDIRECT("'"&amp;$B566&amp;"'!O23:O200")=$D566)*(INDIRECT("'"&amp;$B566&amp;"'!O23:O200")&lt;&gt;"")*(INDIRECT("'"&amp;$B566&amp;"'!H23:H200")=$G$5),1,0)))</f>
        <v>0</v>
      </c>
      <c r="H566" s="565">
        <f t="array" aca="1" ref="H566" ca="1">IF($B566="N","",SUM(IF((INDIRECT("'"&amp;$B566&amp;"'!I23:I200")=$A$2)*(INDIRECT("'"&amp;$B566&amp;"'!O23:O200")=$D566)*(INDIRECT("'"&amp;$B566&amp;"'!O23:O200")&lt;&gt;"")*(INDIRECT("'"&amp;$B566&amp;"'!H23:H200")=$G$5),INDIRECT("'"&amp;$B566&amp;"'!p23:p200"),0)))</f>
        <v>0</v>
      </c>
      <c r="I566" s="515">
        <f t="shared" ca="1" si="88"/>
        <v>0</v>
      </c>
      <c r="J566" s="513">
        <f t="shared" ca="1" si="89"/>
        <v>0</v>
      </c>
    </row>
    <row r="567" spans="1:10">
      <c r="B567" s="563" t="str">
        <f t="shared" si="90"/>
        <v>V-Varen Nagasaki</v>
      </c>
      <c r="D567" s="511">
        <v>1.5</v>
      </c>
      <c r="E567" s="564">
        <f t="array" aca="1" ref="E567" ca="1">IF($B567="N","",SUM(IF((INDIRECT("'"&amp;$B567&amp;"'!I23:I200")=$A$2)*(INDIRECT("'"&amp;$B567&amp;"'!O23:O200")=$D567)*(INDIRECT("'"&amp;$B567&amp;"'!O23:O200")&lt;&gt;"")*(INDIRECT("'"&amp;$B567&amp;"'!H23:H200")=$E$5),1,0)))</f>
        <v>0</v>
      </c>
      <c r="F567" s="565">
        <f t="array" aca="1" ref="F567" ca="1">IF($B567="N","",SUM(IF((INDIRECT("'"&amp;$B567&amp;"'!I23:I200")=$A$2)*(INDIRECT("'"&amp;$B567&amp;"'!O23:O200")=$D567)*(INDIRECT("'"&amp;$B567&amp;"'!O23:O200")&lt;&gt;"")*(INDIRECT("'"&amp;$B567&amp;"'!H23:H200")=$E$5),INDIRECT("'"&amp;$B567&amp;"'!p23:p200"),0)))</f>
        <v>0</v>
      </c>
      <c r="G567" s="564">
        <f t="array" aca="1" ref="G567" ca="1">IF($B567="N","",SUM(IF((INDIRECT("'"&amp;$B567&amp;"'!I23:I200")=$A$2)*(INDIRECT("'"&amp;$B567&amp;"'!O23:O200")=$D567)*(INDIRECT("'"&amp;$B567&amp;"'!O23:O200")&lt;&gt;"")*(INDIRECT("'"&amp;$B567&amp;"'!H23:H200")=$G$5),1,0)))</f>
        <v>0</v>
      </c>
      <c r="H567" s="565">
        <f t="array" aca="1" ref="H567" ca="1">IF($B567="N","",SUM(IF((INDIRECT("'"&amp;$B567&amp;"'!I23:I200")=$A$2)*(INDIRECT("'"&amp;$B567&amp;"'!O23:O200")=$D567)*(INDIRECT("'"&amp;$B567&amp;"'!O23:O200")&lt;&gt;"")*(INDIRECT("'"&amp;$B567&amp;"'!H23:H200")=$G$5),INDIRECT("'"&amp;$B567&amp;"'!p23:p200"),0)))</f>
        <v>0</v>
      </c>
      <c r="I567" s="515">
        <f t="shared" ca="1" si="88"/>
        <v>0</v>
      </c>
      <c r="J567" s="513">
        <f t="shared" ca="1" si="89"/>
        <v>0</v>
      </c>
    </row>
    <row r="568" spans="1:10">
      <c r="B568" s="563" t="str">
        <f t="shared" si="90"/>
        <v>V-Varen Nagasaki</v>
      </c>
      <c r="D568" s="528">
        <v>1.75</v>
      </c>
      <c r="E568" s="564">
        <f t="array" aca="1" ref="E568" ca="1">IF($B568="N","",SUM(IF((INDIRECT("'"&amp;$B568&amp;"'!I23:I200")=$A$2)*(INDIRECT("'"&amp;$B568&amp;"'!O23:O200")=$D568)*(INDIRECT("'"&amp;$B568&amp;"'!O23:O200")&lt;&gt;"")*(INDIRECT("'"&amp;$B568&amp;"'!H23:H200")=$E$5),1,0)))</f>
        <v>0</v>
      </c>
      <c r="F568" s="565">
        <f t="array" aca="1" ref="F568" ca="1">IF($B568="N","",SUM(IF((INDIRECT("'"&amp;$B568&amp;"'!I23:I200")=$A$2)*(INDIRECT("'"&amp;$B568&amp;"'!O23:O200")=$D568)*(INDIRECT("'"&amp;$B568&amp;"'!O23:O200")&lt;&gt;"")*(INDIRECT("'"&amp;$B568&amp;"'!H23:H200")=$E$5),INDIRECT("'"&amp;$B568&amp;"'!p23:p200"),0)))</f>
        <v>0</v>
      </c>
      <c r="G568" s="564">
        <f t="array" aca="1" ref="G568" ca="1">IF($B568="N","",SUM(IF((INDIRECT("'"&amp;$B568&amp;"'!I23:I200")=$A$2)*(INDIRECT("'"&amp;$B568&amp;"'!O23:O200")=$D568)*(INDIRECT("'"&amp;$B568&amp;"'!O23:O200")&lt;&gt;"")*(INDIRECT("'"&amp;$B568&amp;"'!H23:H200")=$G$5),1,0)))</f>
        <v>0</v>
      </c>
      <c r="H568" s="565">
        <f t="array" aca="1" ref="H568" ca="1">IF($B568="N","",SUM(IF((INDIRECT("'"&amp;$B568&amp;"'!I23:I200")=$A$2)*(INDIRECT("'"&amp;$B568&amp;"'!O23:O200")=$D568)*(INDIRECT("'"&amp;$B568&amp;"'!O23:O200")&lt;&gt;"")*(INDIRECT("'"&amp;$B568&amp;"'!H23:H200")=$G$5),INDIRECT("'"&amp;$B568&amp;"'!p23:p200"),0)))</f>
        <v>0</v>
      </c>
      <c r="I568" s="515">
        <f t="shared" ca="1" si="88"/>
        <v>0</v>
      </c>
      <c r="J568" s="513">
        <f t="shared" ca="1" si="89"/>
        <v>0</v>
      </c>
    </row>
    <row r="569" spans="1:10">
      <c r="B569" s="563" t="str">
        <f t="shared" si="90"/>
        <v>V-Varen Nagasaki</v>
      </c>
      <c r="D569" s="528">
        <v>2</v>
      </c>
      <c r="E569" s="564">
        <f t="array" aca="1" ref="E569" ca="1">IF($B569="N","",SUM(IF((INDIRECT("'"&amp;$B569&amp;"'!I23:I200")=$A$2)*(INDIRECT("'"&amp;$B569&amp;"'!O23:O200")=$D569)*(INDIRECT("'"&amp;$B569&amp;"'!O23:O200")&lt;&gt;"")*(INDIRECT("'"&amp;$B569&amp;"'!H23:H200")=$E$5),1,0)))</f>
        <v>0</v>
      </c>
      <c r="F569" s="565">
        <f t="array" aca="1" ref="F569" ca="1">IF($B569="N","",SUM(IF((INDIRECT("'"&amp;$B569&amp;"'!I23:I200")=$A$2)*(INDIRECT("'"&amp;$B569&amp;"'!O23:O200")=$D569)*(INDIRECT("'"&amp;$B569&amp;"'!O23:O200")&lt;&gt;"")*(INDIRECT("'"&amp;$B569&amp;"'!H23:H200")=$E$5),INDIRECT("'"&amp;$B569&amp;"'!p23:p200"),0)))</f>
        <v>0</v>
      </c>
      <c r="G569" s="564">
        <f t="array" aca="1" ref="G569" ca="1">IF($B569="N","",SUM(IF((INDIRECT("'"&amp;$B569&amp;"'!I23:I200")=$A$2)*(INDIRECT("'"&amp;$B569&amp;"'!O23:O200")=$D569)*(INDIRECT("'"&amp;$B569&amp;"'!O23:O200")&lt;&gt;"")*(INDIRECT("'"&amp;$B569&amp;"'!H23:H200")=$G$5),1,0)))</f>
        <v>0</v>
      </c>
      <c r="H569" s="565">
        <f t="array" aca="1" ref="H569" ca="1">IF($B569="N","",SUM(IF((INDIRECT("'"&amp;$B569&amp;"'!I23:I200")=$A$2)*(INDIRECT("'"&amp;$B569&amp;"'!O23:O200")=$D569)*(INDIRECT("'"&amp;$B569&amp;"'!O23:O200")&lt;&gt;"")*(INDIRECT("'"&amp;$B569&amp;"'!H23:H200")=$G$5),INDIRECT("'"&amp;$B569&amp;"'!p23:p200"),0)))</f>
        <v>0</v>
      </c>
      <c r="I569" s="515">
        <f t="shared" ca="1" si="88"/>
        <v>0</v>
      </c>
      <c r="J569" s="513">
        <f t="shared" ca="1" si="89"/>
        <v>0</v>
      </c>
    </row>
    <row r="570" spans="1:10">
      <c r="B570" s="563" t="str">
        <f t="shared" si="90"/>
        <v>V-Varen Nagasaki</v>
      </c>
      <c r="D570" s="528">
        <v>2.25</v>
      </c>
      <c r="E570" s="564">
        <f t="array" aca="1" ref="E570" ca="1">IF($B570="N","",SUM(IF((INDIRECT("'"&amp;$B570&amp;"'!I23:I200")=$A$2)*(INDIRECT("'"&amp;$B570&amp;"'!O23:O200")=$D570)*(INDIRECT("'"&amp;$B570&amp;"'!O23:O200")&lt;&gt;"")*(INDIRECT("'"&amp;$B570&amp;"'!H23:H200")=$E$5),1,0)))</f>
        <v>0</v>
      </c>
      <c r="F570" s="565">
        <f t="array" aca="1" ref="F570" ca="1">IF($B570="N","",SUM(IF((INDIRECT("'"&amp;$B570&amp;"'!I23:I200")=$A$2)*(INDIRECT("'"&amp;$B570&amp;"'!O23:O200")=$D570)*(INDIRECT("'"&amp;$B570&amp;"'!O23:O200")&lt;&gt;"")*(INDIRECT("'"&amp;$B570&amp;"'!H23:H200")=$E$5),INDIRECT("'"&amp;$B570&amp;"'!p23:p200"),0)))</f>
        <v>0</v>
      </c>
      <c r="G570" s="564">
        <f t="array" aca="1" ref="G570" ca="1">IF($B570="N","",SUM(IF((INDIRECT("'"&amp;$B570&amp;"'!I23:I200")=$A$2)*(INDIRECT("'"&amp;$B570&amp;"'!O23:O200")=$D570)*(INDIRECT("'"&amp;$B570&amp;"'!O23:O200")&lt;&gt;"")*(INDIRECT("'"&amp;$B570&amp;"'!H23:H200")=$G$5),1,0)))</f>
        <v>0</v>
      </c>
      <c r="H570" s="565">
        <f t="array" aca="1" ref="H570" ca="1">IF($B570="N","",SUM(IF((INDIRECT("'"&amp;$B570&amp;"'!I23:I200")=$A$2)*(INDIRECT("'"&amp;$B570&amp;"'!O23:O200")=$D570)*(INDIRECT("'"&amp;$B570&amp;"'!O23:O200")&lt;&gt;"")*(INDIRECT("'"&amp;$B570&amp;"'!H23:H200")=$G$5),INDIRECT("'"&amp;$B570&amp;"'!p23:p200"),0)))</f>
        <v>0</v>
      </c>
      <c r="I570" s="515">
        <f t="shared" ca="1" si="88"/>
        <v>0</v>
      </c>
      <c r="J570" s="513">
        <f t="shared" ca="1" si="89"/>
        <v>0</v>
      </c>
    </row>
    <row r="571" spans="1:10">
      <c r="B571" s="563" t="str">
        <f t="shared" si="90"/>
        <v>V-Varen Nagasaki</v>
      </c>
      <c r="D571" s="528">
        <v>2.5</v>
      </c>
      <c r="E571" s="564">
        <f t="array" aca="1" ref="E571" ca="1">IF($B571="N","",SUM(IF((INDIRECT("'"&amp;$B571&amp;"'!I23:I200")=$A$2)*(INDIRECT("'"&amp;$B571&amp;"'!O23:O200")=$D571)*(INDIRECT("'"&amp;$B571&amp;"'!O23:O200")&lt;&gt;"")*(INDIRECT("'"&amp;$B571&amp;"'!H23:H200")=$E$5),1,0)))</f>
        <v>0</v>
      </c>
      <c r="F571" s="565">
        <f t="array" aca="1" ref="F571" ca="1">IF($B571="N","",SUM(IF((INDIRECT("'"&amp;$B571&amp;"'!I23:I200")=$A$2)*(INDIRECT("'"&amp;$B571&amp;"'!O23:O200")=$D571)*(INDIRECT("'"&amp;$B571&amp;"'!O23:O200")&lt;&gt;"")*(INDIRECT("'"&amp;$B571&amp;"'!H23:H200")=$E$5),INDIRECT("'"&amp;$B571&amp;"'!p23:p200"),0)))</f>
        <v>0</v>
      </c>
      <c r="G571" s="564">
        <f t="array" aca="1" ref="G571" ca="1">IF($B571="N","",SUM(IF((INDIRECT("'"&amp;$B571&amp;"'!I23:I200")=$A$2)*(INDIRECT("'"&amp;$B571&amp;"'!O23:O200")=$D571)*(INDIRECT("'"&amp;$B571&amp;"'!O23:O200")&lt;&gt;"")*(INDIRECT("'"&amp;$B571&amp;"'!H23:H200")=$G$5),1,0)))</f>
        <v>0</v>
      </c>
      <c r="H571" s="565">
        <f t="array" aca="1" ref="H571" ca="1">IF($B571="N","",SUM(IF((INDIRECT("'"&amp;$B571&amp;"'!I23:I200")=$A$2)*(INDIRECT("'"&amp;$B571&amp;"'!O23:O200")=$D571)*(INDIRECT("'"&amp;$B571&amp;"'!O23:O200")&lt;&gt;"")*(INDIRECT("'"&amp;$B571&amp;"'!H23:H200")=$G$5),INDIRECT("'"&amp;$B571&amp;"'!p23:p200"),0)))</f>
        <v>0</v>
      </c>
      <c r="I571" s="515">
        <f t="shared" ca="1" si="88"/>
        <v>0</v>
      </c>
      <c r="J571" s="513">
        <f t="shared" ca="1" si="89"/>
        <v>0</v>
      </c>
    </row>
    <row r="572" spans="1:10" ht="15" thickBot="1">
      <c r="B572" s="563" t="str">
        <f t="shared" si="90"/>
        <v>V-Varen Nagasaki</v>
      </c>
      <c r="D572" s="511">
        <v>2.75</v>
      </c>
      <c r="E572" s="564">
        <f t="array" aca="1" ref="E572" ca="1">IF($B572="N","",SUM(IF((INDIRECT("'"&amp;$B572&amp;"'!I23:I200")=$A$2)*(INDIRECT("'"&amp;$B572&amp;"'!O23:O200")=$D572)*(INDIRECT("'"&amp;$B572&amp;"'!O23:O200")&lt;&gt;"")*(INDIRECT("'"&amp;$B572&amp;"'!H23:H200")=$E$5),1,0)))</f>
        <v>0</v>
      </c>
      <c r="F572" s="565">
        <f t="array" aca="1" ref="F572" ca="1">IF($B572="N","",SUM(IF((INDIRECT("'"&amp;$B572&amp;"'!I23:I200")=$A$2)*(INDIRECT("'"&amp;$B572&amp;"'!O23:O200")=$D572)*(INDIRECT("'"&amp;$B572&amp;"'!O23:O200")&lt;&gt;"")*(INDIRECT("'"&amp;$B572&amp;"'!H23:H200")=$E$5),INDIRECT("'"&amp;$B572&amp;"'!p23:p200"),0)))</f>
        <v>0</v>
      </c>
      <c r="G572" s="564">
        <f t="array" aca="1" ref="G572" ca="1">IF($B572="N","",SUM(IF((INDIRECT("'"&amp;$B572&amp;"'!I23:I200")=$A$2)*(INDIRECT("'"&amp;$B572&amp;"'!O23:O200")=$D572)*(INDIRECT("'"&amp;$B572&amp;"'!O23:O200")&lt;&gt;"")*(INDIRECT("'"&amp;$B572&amp;"'!H23:H200")=$G$5),1,0)))</f>
        <v>0</v>
      </c>
      <c r="H572" s="565">
        <f t="array" aca="1" ref="H572" ca="1">IF($B572="N","",SUM(IF((INDIRECT("'"&amp;$B572&amp;"'!I23:I200")=$A$2)*(INDIRECT("'"&amp;$B572&amp;"'!O23:O200")=$D572)*(INDIRECT("'"&amp;$B572&amp;"'!O23:O200")&lt;&gt;"")*(INDIRECT("'"&amp;$B572&amp;"'!H23:H200")=$G$5),INDIRECT("'"&amp;$B572&amp;"'!p23:p200"),0)))</f>
        <v>0</v>
      </c>
      <c r="I572" s="515">
        <f t="shared" ca="1" si="88"/>
        <v>0</v>
      </c>
      <c r="J572" s="513">
        <f t="shared" ca="1" si="89"/>
        <v>0</v>
      </c>
    </row>
    <row r="573" spans="1:10" ht="15" thickBot="1">
      <c r="A573" s="567"/>
      <c r="B573" s="568"/>
      <c r="C573" s="569" t="str">
        <f>D548</f>
        <v>V-Varen Nagasaki</v>
      </c>
      <c r="D573" s="570" t="s">
        <v>115</v>
      </c>
      <c r="E573" s="571">
        <f t="shared" ref="E573:J573" ca="1" si="91">SUM(E550:E572)</f>
        <v>21</v>
      </c>
      <c r="F573" s="572">
        <f t="shared" ca="1" si="91"/>
        <v>12.5</v>
      </c>
      <c r="G573" s="571">
        <f t="shared" ca="1" si="91"/>
        <v>21</v>
      </c>
      <c r="H573" s="572">
        <f t="shared" ca="1" si="91"/>
        <v>2.5</v>
      </c>
      <c r="I573" s="573">
        <f t="shared" ca="1" si="91"/>
        <v>42</v>
      </c>
      <c r="J573" s="572">
        <f t="shared" ca="1" si="91"/>
        <v>15</v>
      </c>
    </row>
    <row r="574" spans="1:10" ht="15" thickBot="1">
      <c r="A574" s="567"/>
      <c r="C574" s="576"/>
    </row>
    <row r="575" spans="1:10">
      <c r="A575" s="567"/>
      <c r="B575" s="357"/>
      <c r="C575" s="569"/>
      <c r="D575" s="562">
        <f>L2</f>
        <v>0</v>
      </c>
      <c r="E575" s="490" t="s">
        <v>80</v>
      </c>
      <c r="F575" s="491"/>
      <c r="G575" s="490" t="s">
        <v>81</v>
      </c>
      <c r="H575" s="491"/>
      <c r="I575" s="490" t="s">
        <v>82</v>
      </c>
      <c r="J575" s="492"/>
    </row>
    <row r="576" spans="1:10" ht="15" thickBot="1">
      <c r="B576" s="357"/>
      <c r="C576" s="357"/>
      <c r="D576" s="499" t="s">
        <v>120</v>
      </c>
      <c r="E576" s="497" t="s">
        <v>123</v>
      </c>
      <c r="F576" s="552" t="s">
        <v>124</v>
      </c>
      <c r="G576" s="497" t="s">
        <v>123</v>
      </c>
      <c r="H576" s="552" t="s">
        <v>124</v>
      </c>
      <c r="I576" s="501" t="s">
        <v>123</v>
      </c>
      <c r="J576" s="552" t="s">
        <v>124</v>
      </c>
    </row>
    <row r="577" spans="2:10">
      <c r="B577" s="563" t="str">
        <f>IF(D575=0,"N",D575)</f>
        <v>N</v>
      </c>
      <c r="D577" s="511">
        <v>-2.75</v>
      </c>
      <c r="E577" s="564" t="str">
        <f t="array" aca="1" ref="E577" ca="1">IF($B577="N","",SUM(IF((INDIRECT($B577&amp;"!I23:I200")=$A$2)*(INDIRECT($B577&amp;"!O23:O200")=$D577)*(INDIRECT($B577&amp;"!O23:O200")&lt;&gt;"")*(INDIRECT($B577&amp;"!H23:H200")=$E$5),1,0)))</f>
        <v/>
      </c>
      <c r="F577" s="565" t="str">
        <f t="array" aca="1" ref="F577" ca="1">IF($B577="N","",SUM(IF((INDIRECT($B577&amp;"!I23:I200")=$A$2)*(INDIRECT($B577&amp;"!O23:O200")=$D577)*(INDIRECT($B577&amp;"!O23:O200")&lt;&gt;"")*(INDIRECT($B577&amp;"!H23:H200")=$E$5),INDIRECT($B577&amp;"!p23:p200"),0)))</f>
        <v/>
      </c>
      <c r="G577" s="564" t="str">
        <f t="array" aca="1" ref="G577" ca="1">IF($B577="N","",SUM(IF((INDIRECT($B577&amp;"!I23:I200")=$A$2)*(INDIRECT($B577&amp;"!O23:O200")=$D577)*(INDIRECT($B577&amp;"!O23:O200")&lt;&gt;"")*(INDIRECT($B577&amp;"!H23:H200")=$G$5),1,0)))</f>
        <v/>
      </c>
      <c r="H577" s="565" t="str">
        <f t="array" aca="1" ref="H577" ca="1">IF($B577="N","",SUM(IF((INDIRECT($B577&amp;"!I23:I200")=$A$2)*(INDIRECT($B577&amp;"!O23:O200")=$D577)*(INDIRECT($B577&amp;"!O23:O200")&lt;&gt;"")*(INDIRECT($B577&amp;"!H23:H200")=$G$5),INDIRECT($B577&amp;"!p23:p200"),0)))</f>
        <v/>
      </c>
      <c r="I577" s="515" t="str">
        <f t="shared" ref="I577:I599" si="92">IF(B577="N","",G577+E577)</f>
        <v/>
      </c>
      <c r="J577" s="513" t="str">
        <f>IF(I577="","",F577+H577)</f>
        <v/>
      </c>
    </row>
    <row r="578" spans="2:10">
      <c r="B578" s="563" t="str">
        <f>B577</f>
        <v>N</v>
      </c>
      <c r="D578" s="520">
        <v>-2.5</v>
      </c>
      <c r="E578" s="521" t="str">
        <f t="array" aca="1" ref="E578" ca="1">IF($B578="N","",SUM(IF((INDIRECT($B578&amp;"!I23:I200")=$A$2)*(INDIRECT($B578&amp;"!O23:O200")=$D578)*(INDIRECT($B578&amp;"!O23:O200")&lt;&gt;"")*(INDIRECT($B578&amp;"!H23:H200")=$E$5),1,0)))</f>
        <v/>
      </c>
      <c r="F578" s="513" t="str">
        <f t="array" aca="1" ref="F578" ca="1">IF($B578="N","",SUM(IF((INDIRECT($B578&amp;"!I23:I200")=$A$2)*(INDIRECT($B578&amp;"!O23:O200")=$D578)*(INDIRECT($B578&amp;"!O23:O200")&lt;&gt;"")*(INDIRECT($B578&amp;"!H23:H200")=$E$5),INDIRECT($B578&amp;"!p23:p200"),0)))</f>
        <v/>
      </c>
      <c r="G578" s="521" t="str">
        <f t="array" aca="1" ref="G578" ca="1">IF($B578="N","",SUM(IF((INDIRECT($B578&amp;"!I23:I200")=$A$2)*(INDIRECT($B578&amp;"!O23:O200")=$D578)*(INDIRECT($B578&amp;"!O23:O200")&lt;&gt;"")*(INDIRECT($B578&amp;"!H23:H200")=$G$5),1,0)))</f>
        <v/>
      </c>
      <c r="H578" s="513" t="str">
        <f t="array" aca="1" ref="H578" ca="1">IF($B578="N","",SUM(IF((INDIRECT($B578&amp;"!I23:I200")=$A$2)*(INDIRECT($B578&amp;"!O23:O200")=$D578)*(INDIRECT($B578&amp;"!O23:O200")&lt;&gt;"")*(INDIRECT($B578&amp;"!H23:H200")=$G$5),INDIRECT($B578&amp;"!p23:p200"),0)))</f>
        <v/>
      </c>
      <c r="I578" s="515" t="str">
        <f t="shared" si="92"/>
        <v/>
      </c>
      <c r="J578" s="513" t="str">
        <f t="shared" ref="J578:J599" si="93">IF(I578="","",F578+H578)</f>
        <v/>
      </c>
    </row>
    <row r="579" spans="2:10">
      <c r="B579" s="563" t="str">
        <f t="shared" ref="B579:B599" si="94">B578</f>
        <v>N</v>
      </c>
      <c r="D579" s="520">
        <v>-2.25</v>
      </c>
      <c r="E579" s="521" t="str">
        <f t="array" aca="1" ref="E579" ca="1">IF($B579="N","",SUM(IF((INDIRECT($B579&amp;"!I23:I200")=$A$2)*(INDIRECT($B579&amp;"!O23:O200")=$D579)*(INDIRECT($B579&amp;"!O23:O200")&lt;&gt;"")*(INDIRECT($B579&amp;"!H23:H200")=$E$5),1,0)))</f>
        <v/>
      </c>
      <c r="F579" s="513" t="str">
        <f t="array" aca="1" ref="F579" ca="1">IF($B579="N","",SUM(IF((INDIRECT($B579&amp;"!I23:I200")=$A$2)*(INDIRECT($B579&amp;"!O23:O200")=$D579)*(INDIRECT($B579&amp;"!O23:O200")&lt;&gt;"")*(INDIRECT($B579&amp;"!H23:H200")=$E$5),INDIRECT($B579&amp;"!p23:p200"),0)))</f>
        <v/>
      </c>
      <c r="G579" s="521" t="str">
        <f t="array" aca="1" ref="G579" ca="1">IF($B579="N","",SUM(IF((INDIRECT($B579&amp;"!I23:I200")=$A$2)*(INDIRECT($B579&amp;"!O23:O200")=$D579)*(INDIRECT($B579&amp;"!O23:O200")&lt;&gt;"")*(INDIRECT($B579&amp;"!H23:H200")=$G$5),1,0)))</f>
        <v/>
      </c>
      <c r="H579" s="513" t="str">
        <f t="array" aca="1" ref="H579" ca="1">IF($B579="N","",SUM(IF((INDIRECT($B579&amp;"!I23:I200")=$A$2)*(INDIRECT($B579&amp;"!O23:O200")=$D579)*(INDIRECT($B579&amp;"!O23:O200")&lt;&gt;"")*(INDIRECT($B579&amp;"!H23:H200")=$G$5),INDIRECT($B579&amp;"!p23:p200"),0)))</f>
        <v/>
      </c>
      <c r="I579" s="515" t="str">
        <f t="shared" si="92"/>
        <v/>
      </c>
      <c r="J579" s="513" t="str">
        <f t="shared" si="93"/>
        <v/>
      </c>
    </row>
    <row r="580" spans="2:10">
      <c r="B580" s="563" t="str">
        <f t="shared" si="94"/>
        <v>N</v>
      </c>
      <c r="D580" s="520">
        <v>-2</v>
      </c>
      <c r="E580" s="521" t="str">
        <f t="array" aca="1" ref="E580" ca="1">IF($B580="N","",SUM(IF((INDIRECT($B580&amp;"!I23:I200")=$A$2)*(INDIRECT($B580&amp;"!O23:O200")=$D580)*(INDIRECT($B580&amp;"!O23:O200")&lt;&gt;"")*(INDIRECT($B580&amp;"!H23:H200")=$E$5),1,0)))</f>
        <v/>
      </c>
      <c r="F580" s="513" t="str">
        <f t="array" aca="1" ref="F580" ca="1">IF($B580="N","",SUM(IF((INDIRECT($B580&amp;"!I23:I200")=$A$2)*(INDIRECT($B580&amp;"!O23:O200")=$D580)*(INDIRECT($B580&amp;"!O23:O200")&lt;&gt;"")*(INDIRECT($B580&amp;"!H23:H200")=$E$5),INDIRECT($B580&amp;"!p23:p200"),0)))</f>
        <v/>
      </c>
      <c r="G580" s="521" t="str">
        <f t="array" aca="1" ref="G580" ca="1">IF($B580="N","",SUM(IF((INDIRECT($B580&amp;"!I23:I200")=$A$2)*(INDIRECT($B580&amp;"!O23:O200")=$D580)*(INDIRECT($B580&amp;"!O23:O200")&lt;&gt;"")*(INDIRECT($B580&amp;"!H23:H200")=$G$5),1,0)))</f>
        <v/>
      </c>
      <c r="H580" s="513" t="str">
        <f t="array" aca="1" ref="H580" ca="1">IF($B580="N","",SUM(IF((INDIRECT($B580&amp;"!I23:I200")=$A$2)*(INDIRECT($B580&amp;"!O23:O200")=$D580)*(INDIRECT($B580&amp;"!O23:O200")&lt;&gt;"")*(INDIRECT($B580&amp;"!H23:H200")=$G$5),INDIRECT($B580&amp;"!p23:p200"),0)))</f>
        <v/>
      </c>
      <c r="I580" s="515" t="str">
        <f t="shared" si="92"/>
        <v/>
      </c>
      <c r="J580" s="513" t="str">
        <f t="shared" si="93"/>
        <v/>
      </c>
    </row>
    <row r="581" spans="2:10">
      <c r="B581" s="563" t="str">
        <f t="shared" si="94"/>
        <v>N</v>
      </c>
      <c r="D581" s="520">
        <v>-1.75</v>
      </c>
      <c r="E581" s="521" t="str">
        <f t="array" aca="1" ref="E581" ca="1">IF($B581="N","",SUM(IF((INDIRECT($B581&amp;"!I23:I200")=$A$2)*(INDIRECT($B581&amp;"!O23:O200")=$D581)*(INDIRECT($B581&amp;"!O23:O200")&lt;&gt;"")*(INDIRECT($B581&amp;"!H23:H200")=$E$5),1,0)))</f>
        <v/>
      </c>
      <c r="F581" s="513" t="str">
        <f t="array" aca="1" ref="F581" ca="1">IF($B581="N","",SUM(IF((INDIRECT($B581&amp;"!I23:I200")=$A$2)*(INDIRECT($B581&amp;"!O23:O200")=$D581)*(INDIRECT($B581&amp;"!O23:O200")&lt;&gt;"")*(INDIRECT($B581&amp;"!H23:H200")=$E$5),INDIRECT($B581&amp;"!p23:p200"),0)))</f>
        <v/>
      </c>
      <c r="G581" s="521" t="str">
        <f t="array" aca="1" ref="G581" ca="1">IF($B581="N","",SUM(IF((INDIRECT($B581&amp;"!I23:I200")=$A$2)*(INDIRECT($B581&amp;"!O23:O200")=$D581)*(INDIRECT($B581&amp;"!O23:O200")&lt;&gt;"")*(INDIRECT($B581&amp;"!H23:H200")=$G$5),1,0)))</f>
        <v/>
      </c>
      <c r="H581" s="513" t="str">
        <f t="array" aca="1" ref="H581" ca="1">IF($B581="N","",SUM(IF((INDIRECT($B581&amp;"!I23:I200")=$A$2)*(INDIRECT($B581&amp;"!O23:O200")=$D581)*(INDIRECT($B581&amp;"!O23:O200")&lt;&gt;"")*(INDIRECT($B581&amp;"!H23:H200")=$G$5),INDIRECT($B581&amp;"!p23:p200"),0)))</f>
        <v/>
      </c>
      <c r="I581" s="515" t="str">
        <f t="shared" si="92"/>
        <v/>
      </c>
      <c r="J581" s="513" t="str">
        <f t="shared" si="93"/>
        <v/>
      </c>
    </row>
    <row r="582" spans="2:10">
      <c r="B582" s="563" t="str">
        <f t="shared" si="94"/>
        <v>N</v>
      </c>
      <c r="D582" s="511">
        <v>-1.5</v>
      </c>
      <c r="E582" s="521" t="str">
        <f t="array" aca="1" ref="E582" ca="1">IF($B582="N","",SUM(IF((INDIRECT($B582&amp;"!I23:I200")=$A$2)*(INDIRECT($B582&amp;"!O23:O200")=$D582)*(INDIRECT($B582&amp;"!O23:O200")&lt;&gt;"")*(INDIRECT($B582&amp;"!H23:H200")=$E$5),1,0)))</f>
        <v/>
      </c>
      <c r="F582" s="513" t="str">
        <f t="array" aca="1" ref="F582" ca="1">IF($B582="N","",SUM(IF((INDIRECT($B582&amp;"!I23:I200")=$A$2)*(INDIRECT($B582&amp;"!O23:O200")=$D582)*(INDIRECT($B582&amp;"!O23:O200")&lt;&gt;"")*(INDIRECT($B582&amp;"!H23:H200")=$E$5),INDIRECT($B582&amp;"!p23:p200"),0)))</f>
        <v/>
      </c>
      <c r="G582" s="521" t="str">
        <f t="array" aca="1" ref="G582" ca="1">IF($B582="N","",SUM(IF((INDIRECT($B582&amp;"!I23:I200")=$A$2)*(INDIRECT($B582&amp;"!O23:O200")=$D582)*(INDIRECT($B582&amp;"!O23:O200")&lt;&gt;"")*(INDIRECT($B582&amp;"!H23:H200")=$G$5),1,0)))</f>
        <v/>
      </c>
      <c r="H582" s="513" t="str">
        <f t="array" aca="1" ref="H582" ca="1">IF($B582="N","",SUM(IF((INDIRECT($B582&amp;"!I23:I200")=$A$2)*(INDIRECT($B582&amp;"!O23:O200")=$D582)*(INDIRECT($B582&amp;"!O23:O200")&lt;&gt;"")*(INDIRECT($B582&amp;"!H23:H200")=$G$5),INDIRECT($B582&amp;"!p23:p200"),0)))</f>
        <v/>
      </c>
      <c r="I582" s="515" t="str">
        <f t="shared" si="92"/>
        <v/>
      </c>
      <c r="J582" s="513" t="str">
        <f t="shared" si="93"/>
        <v/>
      </c>
    </row>
    <row r="583" spans="2:10">
      <c r="B583" s="563" t="str">
        <f t="shared" si="94"/>
        <v>N</v>
      </c>
      <c r="D583" s="511">
        <v>-1.25</v>
      </c>
      <c r="E583" s="521" t="str">
        <f t="array" aca="1" ref="E583" ca="1">IF($B583="N","",SUM(IF((INDIRECT($B583&amp;"!I23:I200")=$A$2)*(INDIRECT($B583&amp;"!O23:O200")=$D583)*(INDIRECT($B583&amp;"!O23:O200")&lt;&gt;"")*(INDIRECT($B583&amp;"!H23:H200")=$E$5),1,0)))</f>
        <v/>
      </c>
      <c r="F583" s="513" t="str">
        <f t="array" aca="1" ref="F583" ca="1">IF($B583="N","",SUM(IF((INDIRECT($B583&amp;"!I23:I200")=$A$2)*(INDIRECT($B583&amp;"!O23:O200")=$D583)*(INDIRECT($B583&amp;"!O23:O200")&lt;&gt;"")*(INDIRECT($B583&amp;"!H23:H200")=$E$5),INDIRECT($B583&amp;"!p23:p200"),0)))</f>
        <v/>
      </c>
      <c r="G583" s="521" t="str">
        <f t="array" aca="1" ref="G583" ca="1">IF($B583="N","",SUM(IF((INDIRECT($B583&amp;"!I23:I200")=$A$2)*(INDIRECT($B583&amp;"!O23:O200")=$D583)*(INDIRECT($B583&amp;"!O23:O200")&lt;&gt;"")*(INDIRECT($B583&amp;"!H23:H200")=$G$5),1,0)))</f>
        <v/>
      </c>
      <c r="H583" s="513" t="str">
        <f t="array" aca="1" ref="H583" ca="1">IF($B583="N","",SUM(IF((INDIRECT($B583&amp;"!I23:I200")=$A$2)*(INDIRECT($B583&amp;"!O23:O200")=$D583)*(INDIRECT($B583&amp;"!O23:O200")&lt;&gt;"")*(INDIRECT($B583&amp;"!H23:H200")=$G$5),INDIRECT($B583&amp;"!p23:p200"),0)))</f>
        <v/>
      </c>
      <c r="I583" s="515" t="str">
        <f t="shared" si="92"/>
        <v/>
      </c>
      <c r="J583" s="513" t="str">
        <f t="shared" si="93"/>
        <v/>
      </c>
    </row>
    <row r="584" spans="2:10">
      <c r="B584" s="563" t="str">
        <f t="shared" si="94"/>
        <v>N</v>
      </c>
      <c r="D584" s="511">
        <v>-1</v>
      </c>
      <c r="E584" s="521" t="str">
        <f t="array" aca="1" ref="E584" ca="1">IF($B584="N","",SUM(IF((INDIRECT($B584&amp;"!I23:I200")=$A$2)*(INDIRECT($B584&amp;"!O23:O200")=$D584)*(INDIRECT($B584&amp;"!O23:O200")&lt;&gt;"")*(INDIRECT($B584&amp;"!H23:H200")=$E$5),1,0)))</f>
        <v/>
      </c>
      <c r="F584" s="513" t="str">
        <f t="array" aca="1" ref="F584" ca="1">IF($B584="N","",SUM(IF((INDIRECT($B584&amp;"!I23:I200")=$A$2)*(INDIRECT($B584&amp;"!O23:O200")=$D584)*(INDIRECT($B584&amp;"!O23:O200")&lt;&gt;"")*(INDIRECT($B584&amp;"!H23:H200")=$E$5),INDIRECT($B584&amp;"!p23:p200"),0)))</f>
        <v/>
      </c>
      <c r="G584" s="521" t="str">
        <f t="array" aca="1" ref="G584" ca="1">IF($B584="N","",SUM(IF((INDIRECT($B584&amp;"!I23:I200")=$A$2)*(INDIRECT($B584&amp;"!O23:O200")=$D584)*(INDIRECT($B584&amp;"!O23:O200")&lt;&gt;"")*(INDIRECT($B584&amp;"!H23:H200")=$G$5),1,0)))</f>
        <v/>
      </c>
      <c r="H584" s="513" t="str">
        <f t="array" aca="1" ref="H584" ca="1">IF($B584="N","",SUM(IF((INDIRECT($B584&amp;"!I23:I200")=$A$2)*(INDIRECT($B584&amp;"!O23:O200")=$D584)*(INDIRECT($B584&amp;"!O23:O200")&lt;&gt;"")*(INDIRECT($B584&amp;"!H23:H200")=$G$5),INDIRECT($B584&amp;"!p23:p200"),0)))</f>
        <v/>
      </c>
      <c r="I584" s="515" t="str">
        <f t="shared" si="92"/>
        <v/>
      </c>
      <c r="J584" s="513" t="str">
        <f t="shared" si="93"/>
        <v/>
      </c>
    </row>
    <row r="585" spans="2:10">
      <c r="B585" s="563" t="str">
        <f t="shared" si="94"/>
        <v>N</v>
      </c>
      <c r="D585" s="511">
        <v>-0.75</v>
      </c>
      <c r="E585" s="521" t="str">
        <f t="array" aca="1" ref="E585" ca="1">IF($B585="N","",SUM(IF((INDIRECT($B585&amp;"!I23:I200")=$A$2)*(INDIRECT($B585&amp;"!O23:O200")=$D585)*(INDIRECT($B585&amp;"!O23:O200")&lt;&gt;"")*(INDIRECT($B585&amp;"!H23:H200")=$E$5),1,0)))</f>
        <v/>
      </c>
      <c r="F585" s="513" t="str">
        <f t="array" aca="1" ref="F585" ca="1">IF($B585="N","",SUM(IF((INDIRECT($B585&amp;"!I23:I200")=$A$2)*(INDIRECT($B585&amp;"!O23:O200")=$D585)*(INDIRECT($B585&amp;"!O23:O200")&lt;&gt;"")*(INDIRECT($B585&amp;"!H23:H200")=$E$5),INDIRECT($B585&amp;"!p23:p200"),0)))</f>
        <v/>
      </c>
      <c r="G585" s="521" t="str">
        <f t="array" aca="1" ref="G585" ca="1">IF($B585="N","",SUM(IF((INDIRECT($B585&amp;"!I23:I200")=$A$2)*(INDIRECT($B585&amp;"!O23:O200")=$D585)*(INDIRECT($B585&amp;"!O23:O200")&lt;&gt;"")*(INDIRECT($B585&amp;"!H23:H200")=$G$5),1,0)))</f>
        <v/>
      </c>
      <c r="H585" s="513" t="str">
        <f t="array" aca="1" ref="H585" ca="1">IF($B585="N","",SUM(IF((INDIRECT($B585&amp;"!I23:I200")=$A$2)*(INDIRECT($B585&amp;"!O23:O200")=$D585)*(INDIRECT($B585&amp;"!O23:O200")&lt;&gt;"")*(INDIRECT($B585&amp;"!H23:H200")=$G$5),INDIRECT($B585&amp;"!p23:p200"),0)))</f>
        <v/>
      </c>
      <c r="I585" s="515" t="str">
        <f t="shared" si="92"/>
        <v/>
      </c>
      <c r="J585" s="513" t="str">
        <f t="shared" si="93"/>
        <v/>
      </c>
    </row>
    <row r="586" spans="2:10">
      <c r="B586" s="563" t="str">
        <f t="shared" si="94"/>
        <v>N</v>
      </c>
      <c r="D586" s="511">
        <v>-0.5</v>
      </c>
      <c r="E586" s="521" t="str">
        <f t="array" aca="1" ref="E586" ca="1">IF($B586="N","",SUM(IF((INDIRECT($B586&amp;"!I23:I200")=$A$2)*(INDIRECT($B586&amp;"!O23:O200")=$D586)*(INDIRECT($B586&amp;"!O23:O200")&lt;&gt;"")*(INDIRECT($B586&amp;"!H23:H200")=$E$5),1,0)))</f>
        <v/>
      </c>
      <c r="F586" s="513" t="str">
        <f t="array" aca="1" ref="F586" ca="1">IF($B586="N","",SUM(IF((INDIRECT($B586&amp;"!I23:I200")=$A$2)*(INDIRECT($B586&amp;"!O23:O200")=$D586)*(INDIRECT($B586&amp;"!O23:O200")&lt;&gt;"")*(INDIRECT($B586&amp;"!H23:H200")=$E$5),INDIRECT($B586&amp;"!p23:p200"),0)))</f>
        <v/>
      </c>
      <c r="G586" s="521" t="str">
        <f t="array" aca="1" ref="G586" ca="1">IF($B586="N","",SUM(IF((INDIRECT($B586&amp;"!I23:I200")=$A$2)*(INDIRECT($B586&amp;"!O23:O200")=$D586)*(INDIRECT($B586&amp;"!O23:O200")&lt;&gt;"")*(INDIRECT($B586&amp;"!H23:H200")=$G$5),1,0)))</f>
        <v/>
      </c>
      <c r="H586" s="513" t="str">
        <f t="array" aca="1" ref="H586" ca="1">IF($B586="N","",SUM(IF((INDIRECT($B586&amp;"!I23:I200")=$A$2)*(INDIRECT($B586&amp;"!O23:O200")=$D586)*(INDIRECT($B586&amp;"!O23:O200")&lt;&gt;"")*(INDIRECT($B586&amp;"!H23:H200")=$G$5),INDIRECT($B586&amp;"!p23:p200"),0)))</f>
        <v/>
      </c>
      <c r="I586" s="515" t="str">
        <f t="shared" si="92"/>
        <v/>
      </c>
      <c r="J586" s="513" t="str">
        <f t="shared" si="93"/>
        <v/>
      </c>
    </row>
    <row r="587" spans="2:10">
      <c r="B587" s="563" t="str">
        <f t="shared" si="94"/>
        <v>N</v>
      </c>
      <c r="D587" s="511">
        <v>-0.25</v>
      </c>
      <c r="E587" s="521" t="str">
        <f t="array" aca="1" ref="E587" ca="1">IF($B587="N","",SUM(IF((INDIRECT($B587&amp;"!I23:I200")=$A$2)*(INDIRECT($B587&amp;"!O23:O200")=$D587)*(INDIRECT($B587&amp;"!O23:O200")&lt;&gt;"")*(INDIRECT($B587&amp;"!H23:H200")=$E$5),1,0)))</f>
        <v/>
      </c>
      <c r="F587" s="513" t="str">
        <f t="array" aca="1" ref="F587" ca="1">IF($B587="N","",SUM(IF((INDIRECT($B587&amp;"!I23:I200")=$A$2)*(INDIRECT($B587&amp;"!O23:O200")=$D587)*(INDIRECT($B587&amp;"!O23:O200")&lt;&gt;"")*(INDIRECT($B587&amp;"!H23:H200")=$E$5),INDIRECT($B587&amp;"!p23:p200"),0)))</f>
        <v/>
      </c>
      <c r="G587" s="521" t="str">
        <f t="array" aca="1" ref="G587" ca="1">IF($B587="N","",SUM(IF((INDIRECT($B587&amp;"!I23:I200")=$A$2)*(INDIRECT($B587&amp;"!O23:O200")=$D587)*(INDIRECT($B587&amp;"!O23:O200")&lt;&gt;"")*(INDIRECT($B587&amp;"!H23:H200")=$G$5),1,0)))</f>
        <v/>
      </c>
      <c r="H587" s="513" t="str">
        <f t="array" aca="1" ref="H587" ca="1">IF($B587="N","",SUM(IF((INDIRECT($B587&amp;"!I23:I200")=$A$2)*(INDIRECT($B587&amp;"!O23:O200")=$D587)*(INDIRECT($B587&amp;"!O23:O200")&lt;&gt;"")*(INDIRECT($B587&amp;"!H23:H200")=$G$5),INDIRECT($B587&amp;"!p23:p200"),0)))</f>
        <v/>
      </c>
      <c r="I587" s="515" t="str">
        <f t="shared" si="92"/>
        <v/>
      </c>
      <c r="J587" s="513" t="str">
        <f t="shared" si="93"/>
        <v/>
      </c>
    </row>
    <row r="588" spans="2:10">
      <c r="B588" s="563" t="str">
        <f t="shared" si="94"/>
        <v>N</v>
      </c>
      <c r="D588" s="511">
        <v>0</v>
      </c>
      <c r="E588" s="521" t="str">
        <f t="array" aca="1" ref="E588" ca="1">IF($B588="N","",SUM(IF((INDIRECT($B588&amp;"!I23:I200")=$A$2)*(INDIRECT($B588&amp;"!O23:O200")=$D588)*(INDIRECT($B588&amp;"!O23:O200")&lt;&gt;"")*(INDIRECT($B588&amp;"!H23:H200")=$E$5),1,0)))</f>
        <v/>
      </c>
      <c r="F588" s="513" t="str">
        <f t="array" aca="1" ref="F588" ca="1">IF($B588="N","",SUM(IF((INDIRECT($B588&amp;"!I23:I200")=$A$2)*(INDIRECT($B588&amp;"!O23:O200")=$D588)*(INDIRECT($B588&amp;"!O23:O200")&lt;&gt;"")*(INDIRECT($B588&amp;"!H23:H200")=$E$5),INDIRECT($B588&amp;"!p23:p200"),0)))</f>
        <v/>
      </c>
      <c r="G588" s="521" t="str">
        <f t="array" aca="1" ref="G588" ca="1">IF($B588="N","",SUM(IF((INDIRECT($B588&amp;"!I23:I200")=$A$2)*(INDIRECT($B588&amp;"!O23:O200")=$D588)*(INDIRECT($B588&amp;"!O23:O200")&lt;&gt;"")*(INDIRECT($B588&amp;"!H23:H200")=$G$5),1,0)))</f>
        <v/>
      </c>
      <c r="H588" s="513" t="str">
        <f t="array" aca="1" ref="H588" ca="1">IF($B588="N","",SUM(IF((INDIRECT($B588&amp;"!I23:I200")=$A$2)*(INDIRECT($B588&amp;"!O23:O200")=$D588)*(INDIRECT($B588&amp;"!O23:O200")&lt;&gt;"")*(INDIRECT($B588&amp;"!H23:H200")=$G$5),INDIRECT($B588&amp;"!p23:p200"),0)))</f>
        <v/>
      </c>
      <c r="I588" s="515" t="str">
        <f t="shared" si="92"/>
        <v/>
      </c>
      <c r="J588" s="513" t="str">
        <f t="shared" si="93"/>
        <v/>
      </c>
    </row>
    <row r="589" spans="2:10">
      <c r="B589" s="563" t="str">
        <f t="shared" si="94"/>
        <v>N</v>
      </c>
      <c r="D589" s="511">
        <v>0.25</v>
      </c>
      <c r="E589" s="521" t="str">
        <f t="array" aca="1" ref="E589" ca="1">IF($B589="N","",SUM(IF((INDIRECT($B589&amp;"!I23:I200")=$A$2)*(INDIRECT($B589&amp;"!O23:O200")=$D589)*(INDIRECT($B589&amp;"!O23:O200")&lt;&gt;"")*(INDIRECT($B589&amp;"!H23:H200")=$E$5),1,0)))</f>
        <v/>
      </c>
      <c r="F589" s="513" t="str">
        <f t="array" aca="1" ref="F589" ca="1">IF($B589="N","",SUM(IF((INDIRECT($B589&amp;"!I23:I200")=$A$2)*(INDIRECT($B589&amp;"!O23:O200")=$D589)*(INDIRECT($B589&amp;"!O23:O200")&lt;&gt;"")*(INDIRECT($B589&amp;"!H23:H200")=$E$5),INDIRECT($B589&amp;"!p23:p200"),0)))</f>
        <v/>
      </c>
      <c r="G589" s="521" t="str">
        <f t="array" aca="1" ref="G589" ca="1">IF($B589="N","",SUM(IF((INDIRECT($B589&amp;"!I23:I200")=$A$2)*(INDIRECT($B589&amp;"!O23:O200")=$D589)*(INDIRECT($B589&amp;"!O23:O200")&lt;&gt;"")*(INDIRECT($B589&amp;"!H23:H200")=$G$5),1,0)))</f>
        <v/>
      </c>
      <c r="H589" s="513" t="str">
        <f t="array" aca="1" ref="H589" ca="1">IF($B589="N","",SUM(IF((INDIRECT($B589&amp;"!I23:I200")=$A$2)*(INDIRECT($B589&amp;"!O23:O200")=$D589)*(INDIRECT($B589&amp;"!O23:O200")&lt;&gt;"")*(INDIRECT($B589&amp;"!H23:H200")=$G$5),INDIRECT($B589&amp;"!p23:p200"),0)))</f>
        <v/>
      </c>
      <c r="I589" s="515" t="str">
        <f t="shared" si="92"/>
        <v/>
      </c>
      <c r="J589" s="513" t="str">
        <f t="shared" si="93"/>
        <v/>
      </c>
    </row>
    <row r="590" spans="2:10">
      <c r="B590" s="563" t="str">
        <f t="shared" si="94"/>
        <v>N</v>
      </c>
      <c r="D590" s="511">
        <v>0.5</v>
      </c>
      <c r="E590" s="521" t="str">
        <f t="array" aca="1" ref="E590" ca="1">IF($B590="N","",SUM(IF((INDIRECT($B590&amp;"!I23:I200")=$A$2)*(INDIRECT($B590&amp;"!O23:O200")=$D590)*(INDIRECT($B590&amp;"!O23:O200")&lt;&gt;"")*(INDIRECT($B590&amp;"!H23:H200")=$E$5),1,0)))</f>
        <v/>
      </c>
      <c r="F590" s="513" t="str">
        <f t="array" aca="1" ref="F590" ca="1">IF($B590="N","",SUM(IF((INDIRECT($B590&amp;"!I23:I200")=$A$2)*(INDIRECT($B590&amp;"!O23:O200")=$D590)*(INDIRECT($B590&amp;"!O23:O200")&lt;&gt;"")*(INDIRECT($B590&amp;"!H23:H200")=$E$5),INDIRECT($B590&amp;"!p23:p200"),0)))</f>
        <v/>
      </c>
      <c r="G590" s="521" t="str">
        <f t="array" aca="1" ref="G590" ca="1">IF($B590="N","",SUM(IF((INDIRECT($B590&amp;"!I23:I200")=$A$2)*(INDIRECT($B590&amp;"!O23:O200")=$D590)*(INDIRECT($B590&amp;"!O23:O200")&lt;&gt;"")*(INDIRECT($B590&amp;"!H23:H200")=$G$5),1,0)))</f>
        <v/>
      </c>
      <c r="H590" s="513" t="str">
        <f t="array" aca="1" ref="H590" ca="1">IF($B590="N","",SUM(IF((INDIRECT($B590&amp;"!I23:I200")=$A$2)*(INDIRECT($B590&amp;"!O23:O200")=$D590)*(INDIRECT($B590&amp;"!O23:O200")&lt;&gt;"")*(INDIRECT($B590&amp;"!H23:H200")=$G$5),INDIRECT($B590&amp;"!p23:p200"),0)))</f>
        <v/>
      </c>
      <c r="I590" s="515" t="str">
        <f t="shared" si="92"/>
        <v/>
      </c>
      <c r="J590" s="513" t="str">
        <f t="shared" si="93"/>
        <v/>
      </c>
    </row>
    <row r="591" spans="2:10">
      <c r="B591" s="563" t="str">
        <f t="shared" si="94"/>
        <v>N</v>
      </c>
      <c r="D591" s="511">
        <v>0.75</v>
      </c>
      <c r="E591" s="521" t="str">
        <f t="array" aca="1" ref="E591" ca="1">IF($B591="N","",SUM(IF((INDIRECT($B591&amp;"!I23:I200")=$A$2)*(INDIRECT($B591&amp;"!O23:O200")=$D591)*(INDIRECT($B591&amp;"!O23:O200")&lt;&gt;"")*(INDIRECT($B591&amp;"!H23:H200")=$E$5),1,0)))</f>
        <v/>
      </c>
      <c r="F591" s="513" t="str">
        <f t="array" aca="1" ref="F591" ca="1">IF($B591="N","",SUM(IF((INDIRECT($B591&amp;"!I23:I200")=$A$2)*(INDIRECT($B591&amp;"!O23:O200")=$D591)*(INDIRECT($B591&amp;"!O23:O200")&lt;&gt;"")*(INDIRECT($B591&amp;"!H23:H200")=$E$5),INDIRECT($B591&amp;"!p23:p200"),0)))</f>
        <v/>
      </c>
      <c r="G591" s="521" t="str">
        <f t="array" aca="1" ref="G591" ca="1">IF($B591="N","",SUM(IF((INDIRECT($B591&amp;"!I23:I200")=$A$2)*(INDIRECT($B591&amp;"!O23:O200")=$D591)*(INDIRECT($B591&amp;"!O23:O200")&lt;&gt;"")*(INDIRECT($B591&amp;"!H23:H200")=$G$5),1,0)))</f>
        <v/>
      </c>
      <c r="H591" s="513" t="str">
        <f t="array" aca="1" ref="H591" ca="1">IF($B591="N","",SUM(IF((INDIRECT($B591&amp;"!I23:I200")=$A$2)*(INDIRECT($B591&amp;"!O23:O200")=$D591)*(INDIRECT($B591&amp;"!O23:O200")&lt;&gt;"")*(INDIRECT($B591&amp;"!H23:H200")=$G$5),INDIRECT($B591&amp;"!p23:p200"),0)))</f>
        <v/>
      </c>
      <c r="I591" s="515" t="str">
        <f t="shared" si="92"/>
        <v/>
      </c>
      <c r="J591" s="513" t="str">
        <f t="shared" si="93"/>
        <v/>
      </c>
    </row>
    <row r="592" spans="2:10">
      <c r="B592" s="563" t="str">
        <f t="shared" si="94"/>
        <v>N</v>
      </c>
      <c r="D592" s="511">
        <v>1</v>
      </c>
      <c r="E592" s="521" t="str">
        <f t="array" aca="1" ref="E592" ca="1">IF($B592="N","",SUM(IF((INDIRECT($B592&amp;"!I23:I200")=$A$2)*(INDIRECT($B592&amp;"!O23:O200")=$D592)*(INDIRECT($B592&amp;"!O23:O200")&lt;&gt;"")*(INDIRECT($B592&amp;"!H23:H200")=$E$5),1,0)))</f>
        <v/>
      </c>
      <c r="F592" s="513" t="str">
        <f t="array" aca="1" ref="F592" ca="1">IF($B592="N","",SUM(IF((INDIRECT($B592&amp;"!I23:I200")=$A$2)*(INDIRECT($B592&amp;"!O23:O200")=$D592)*(INDIRECT($B592&amp;"!O23:O200")&lt;&gt;"")*(INDIRECT($B592&amp;"!H23:H200")=$E$5),INDIRECT($B592&amp;"!p23:p200"),0)))</f>
        <v/>
      </c>
      <c r="G592" s="521" t="str">
        <f t="array" aca="1" ref="G592" ca="1">IF($B592="N","",SUM(IF((INDIRECT($B592&amp;"!I23:I200")=$A$2)*(INDIRECT($B592&amp;"!O23:O200")=$D592)*(INDIRECT($B592&amp;"!O23:O200")&lt;&gt;"")*(INDIRECT($B592&amp;"!H23:H200")=$G$5),1,0)))</f>
        <v/>
      </c>
      <c r="H592" s="513" t="str">
        <f t="array" aca="1" ref="H592" ca="1">IF($B592="N","",SUM(IF((INDIRECT($B592&amp;"!I23:I200")=$A$2)*(INDIRECT($B592&amp;"!O23:O200")=$D592)*(INDIRECT($B592&amp;"!O23:O200")&lt;&gt;"")*(INDIRECT($B592&amp;"!H23:H200")=$G$5),INDIRECT($B592&amp;"!p23:p200"),0)))</f>
        <v/>
      </c>
      <c r="I592" s="515" t="str">
        <f t="shared" si="92"/>
        <v/>
      </c>
      <c r="J592" s="513" t="str">
        <f t="shared" si="93"/>
        <v/>
      </c>
    </row>
    <row r="593" spans="1:10">
      <c r="B593" s="563" t="str">
        <f t="shared" si="94"/>
        <v>N</v>
      </c>
      <c r="D593" s="511">
        <v>1.25</v>
      </c>
      <c r="E593" s="521" t="str">
        <f t="array" aca="1" ref="E593" ca="1">IF($B593="N","",SUM(IF((INDIRECT($B593&amp;"!I23:I200")=$A$2)*(INDIRECT($B593&amp;"!O23:O200")=$D593)*(INDIRECT($B593&amp;"!O23:O200")&lt;&gt;"")*(INDIRECT($B593&amp;"!H23:H200")=$E$5),1,0)))</f>
        <v/>
      </c>
      <c r="F593" s="513" t="str">
        <f t="array" aca="1" ref="F593" ca="1">IF($B593="N","",SUM(IF((INDIRECT($B593&amp;"!I23:I200")=$A$2)*(INDIRECT($B593&amp;"!O23:O200")=$D593)*(INDIRECT($B593&amp;"!O23:O200")&lt;&gt;"")*(INDIRECT($B593&amp;"!H23:H200")=$E$5),INDIRECT($B593&amp;"!p23:p200"),0)))</f>
        <v/>
      </c>
      <c r="G593" s="521" t="str">
        <f t="array" aca="1" ref="G593" ca="1">IF($B593="N","",SUM(IF((INDIRECT($B593&amp;"!I23:I200")=$A$2)*(INDIRECT($B593&amp;"!O23:O200")=$D593)*(INDIRECT($B593&amp;"!O23:O200")&lt;&gt;"")*(INDIRECT($B593&amp;"!H23:H200")=$G$5),1,0)))</f>
        <v/>
      </c>
      <c r="H593" s="513" t="str">
        <f t="array" aca="1" ref="H593" ca="1">IF($B593="N","",SUM(IF((INDIRECT($B593&amp;"!I23:I200")=$A$2)*(INDIRECT($B593&amp;"!O23:O200")=$D593)*(INDIRECT($B593&amp;"!O23:O200")&lt;&gt;"")*(INDIRECT($B593&amp;"!H23:H200")=$G$5),INDIRECT($B593&amp;"!p23:p200"),0)))</f>
        <v/>
      </c>
      <c r="I593" s="515" t="str">
        <f t="shared" si="92"/>
        <v/>
      </c>
      <c r="J593" s="513" t="str">
        <f t="shared" si="93"/>
        <v/>
      </c>
    </row>
    <row r="594" spans="1:10">
      <c r="B594" s="563" t="str">
        <f t="shared" si="94"/>
        <v>N</v>
      </c>
      <c r="D594" s="511">
        <v>1.5</v>
      </c>
      <c r="E594" s="521" t="str">
        <f t="array" aca="1" ref="E594" ca="1">IF($B594="N","",SUM(IF((INDIRECT($B594&amp;"!I23:I200")=$A$2)*(INDIRECT($B594&amp;"!O23:O200")=$D594)*(INDIRECT($B594&amp;"!O23:O200")&lt;&gt;"")*(INDIRECT($B594&amp;"!H23:H200")=$E$5),1,0)))</f>
        <v/>
      </c>
      <c r="F594" s="513" t="str">
        <f t="array" aca="1" ref="F594" ca="1">IF($B594="N","",SUM(IF((INDIRECT($B594&amp;"!I23:I200")=$A$2)*(INDIRECT($B594&amp;"!O23:O200")=$D594)*(INDIRECT($B594&amp;"!O23:O200")&lt;&gt;"")*(INDIRECT($B594&amp;"!H23:H200")=$E$5),INDIRECT($B594&amp;"!p23:p200"),0)))</f>
        <v/>
      </c>
      <c r="G594" s="521" t="str">
        <f t="array" aca="1" ref="G594" ca="1">IF($B594="N","",SUM(IF((INDIRECT($B594&amp;"!I23:I200")=$A$2)*(INDIRECT($B594&amp;"!O23:O200")=$D594)*(INDIRECT($B594&amp;"!O23:O200")&lt;&gt;"")*(INDIRECT($B594&amp;"!H23:H200")=$G$5),1,0)))</f>
        <v/>
      </c>
      <c r="H594" s="513" t="str">
        <f t="array" aca="1" ref="H594" ca="1">IF($B594="N","",SUM(IF((INDIRECT($B594&amp;"!I23:I200")=$A$2)*(INDIRECT($B594&amp;"!O23:O200")=$D594)*(INDIRECT($B594&amp;"!O23:O200")&lt;&gt;"")*(INDIRECT($B594&amp;"!H23:H200")=$G$5),INDIRECT($B594&amp;"!p23:p200"),0)))</f>
        <v/>
      </c>
      <c r="I594" s="515" t="str">
        <f t="shared" si="92"/>
        <v/>
      </c>
      <c r="J594" s="513" t="str">
        <f t="shared" si="93"/>
        <v/>
      </c>
    </row>
    <row r="595" spans="1:10">
      <c r="B595" s="563" t="str">
        <f t="shared" si="94"/>
        <v>N</v>
      </c>
      <c r="D595" s="528">
        <v>1.75</v>
      </c>
      <c r="E595" s="495" t="str">
        <f t="array" aca="1" ref="E595" ca="1">IF($B595="N","",SUM(IF((INDIRECT($B595&amp;"!I23:I200")=$A$2)*(INDIRECT($B595&amp;"!O23:O200")=$D595)*(INDIRECT($B595&amp;"!O23:O200")&lt;&gt;"")*(INDIRECT($B595&amp;"!H23:H200")=$E$5),1,0)))</f>
        <v/>
      </c>
      <c r="F595" s="577" t="str">
        <f t="array" aca="1" ref="F595" ca="1">IF($B595="N","",SUM(IF((INDIRECT($B595&amp;"!I23:I200")=$A$2)*(INDIRECT($B595&amp;"!O23:O200")=$D595)*(INDIRECT($B595&amp;"!O23:O200")&lt;&gt;"")*(INDIRECT($B595&amp;"!H23:H200")=$E$5),INDIRECT($B595&amp;"!p23:p200"),0)))</f>
        <v/>
      </c>
      <c r="G595" s="495" t="str">
        <f t="array" aca="1" ref="G595" ca="1">IF($B595="N","",SUM(IF((INDIRECT($B595&amp;"!I23:I200")=$A$2)*(INDIRECT($B595&amp;"!O23:O200")=$D595)*(INDIRECT($B595&amp;"!O23:O200")&lt;&gt;"")*(INDIRECT($B595&amp;"!H23:H200")=$G$5),1,0)))</f>
        <v/>
      </c>
      <c r="H595" s="577" t="str">
        <f t="array" aca="1" ref="H595" ca="1">IF($B595="N","",SUM(IF((INDIRECT($B595&amp;"!I23:I200")=$A$2)*(INDIRECT($B595&amp;"!O23:O200")=$D595)*(INDIRECT($B595&amp;"!O23:O200")&lt;&gt;"")*(INDIRECT($B595&amp;"!H23:H200")=$G$5),INDIRECT($B595&amp;"!p23:p200"),0)))</f>
        <v/>
      </c>
      <c r="I595" s="515" t="str">
        <f t="shared" si="92"/>
        <v/>
      </c>
      <c r="J595" s="513" t="str">
        <f t="shared" si="93"/>
        <v/>
      </c>
    </row>
    <row r="596" spans="1:10">
      <c r="B596" s="563" t="str">
        <f t="shared" si="94"/>
        <v>N</v>
      </c>
      <c r="D596" s="528">
        <v>2</v>
      </c>
      <c r="E596" s="495" t="str">
        <f t="array" aca="1" ref="E596" ca="1">IF($B596="N","",SUM(IF((INDIRECT($B596&amp;"!I23:I200")=$A$2)*(INDIRECT($B596&amp;"!O23:O200")=$D596)*(INDIRECT($B596&amp;"!O23:O200")&lt;&gt;"")*(INDIRECT($B596&amp;"!H23:H200")=$E$5),1,0)))</f>
        <v/>
      </c>
      <c r="F596" s="577" t="str">
        <f t="array" aca="1" ref="F596" ca="1">IF($B596="N","",SUM(IF((INDIRECT($B596&amp;"!I23:I200")=$A$2)*(INDIRECT($B596&amp;"!O23:O200")=$D596)*(INDIRECT($B596&amp;"!O23:O200")&lt;&gt;"")*(INDIRECT($B596&amp;"!H23:H200")=$E$5),INDIRECT($B596&amp;"!p23:p200"),0)))</f>
        <v/>
      </c>
      <c r="G596" s="495" t="str">
        <f t="array" aca="1" ref="G596" ca="1">IF($B596="N","",SUM(IF((INDIRECT($B596&amp;"!I23:I200")=$A$2)*(INDIRECT($B596&amp;"!O23:O200")=$D596)*(INDIRECT($B596&amp;"!O23:O200")&lt;&gt;"")*(INDIRECT($B596&amp;"!H23:H200")=$G$5),1,0)))</f>
        <v/>
      </c>
      <c r="H596" s="577" t="str">
        <f t="array" aca="1" ref="H596" ca="1">IF($B596="N","",SUM(IF((INDIRECT($B596&amp;"!I23:I200")=$A$2)*(INDIRECT($B596&amp;"!O23:O200")=$D596)*(INDIRECT($B596&amp;"!O23:O200")&lt;&gt;"")*(INDIRECT($B596&amp;"!H23:H200")=$G$5),INDIRECT($B596&amp;"!p23:p200"),0)))</f>
        <v/>
      </c>
      <c r="I596" s="515" t="str">
        <f t="shared" si="92"/>
        <v/>
      </c>
      <c r="J596" s="513" t="str">
        <f t="shared" si="93"/>
        <v/>
      </c>
    </row>
    <row r="597" spans="1:10">
      <c r="B597" s="563" t="str">
        <f t="shared" si="94"/>
        <v>N</v>
      </c>
      <c r="D597" s="528">
        <v>2.25</v>
      </c>
      <c r="E597" s="495" t="str">
        <f t="array" aca="1" ref="E597" ca="1">IF($B597="N","",SUM(IF((INDIRECT($B597&amp;"!I23:I200")=$A$2)*(INDIRECT($B597&amp;"!O23:O200")=$D597)*(INDIRECT($B597&amp;"!O23:O200")&lt;&gt;"")*(INDIRECT($B597&amp;"!H23:H200")=$E$5),1,0)))</f>
        <v/>
      </c>
      <c r="F597" s="577" t="str">
        <f t="array" aca="1" ref="F597" ca="1">IF($B597="N","",SUM(IF((INDIRECT($B597&amp;"!I23:I200")=$A$2)*(INDIRECT($B597&amp;"!O23:O200")=$D597)*(INDIRECT($B597&amp;"!O23:O200")&lt;&gt;"")*(INDIRECT($B597&amp;"!H23:H200")=$E$5),INDIRECT($B597&amp;"!p23:p200"),0)))</f>
        <v/>
      </c>
      <c r="G597" s="495" t="str">
        <f t="array" aca="1" ref="G597" ca="1">IF($B597="N","",SUM(IF((INDIRECT($B597&amp;"!I23:I200")=$A$2)*(INDIRECT($B597&amp;"!O23:O200")=$D597)*(INDIRECT($B597&amp;"!O23:O200")&lt;&gt;"")*(INDIRECT($B597&amp;"!H23:H200")=$G$5),1,0)))</f>
        <v/>
      </c>
      <c r="H597" s="577" t="str">
        <f t="array" aca="1" ref="H597" ca="1">IF($B597="N","",SUM(IF((INDIRECT($B597&amp;"!I23:I200")=$A$2)*(INDIRECT($B597&amp;"!O23:O200")=$D597)*(INDIRECT($B597&amp;"!O23:O200")&lt;&gt;"")*(INDIRECT($B597&amp;"!H23:H200")=$G$5),INDIRECT($B597&amp;"!p23:p200"),0)))</f>
        <v/>
      </c>
      <c r="I597" s="515" t="str">
        <f t="shared" si="92"/>
        <v/>
      </c>
      <c r="J597" s="513" t="str">
        <f t="shared" si="93"/>
        <v/>
      </c>
    </row>
    <row r="598" spans="1:10">
      <c r="B598" s="563" t="str">
        <f t="shared" si="94"/>
        <v>N</v>
      </c>
      <c r="D598" s="528">
        <v>2.5</v>
      </c>
      <c r="E598" s="495" t="str">
        <f t="array" aca="1" ref="E598" ca="1">IF($B598="N","",SUM(IF((INDIRECT($B598&amp;"!I23:I200")=$A$2)*(INDIRECT($B598&amp;"!O23:O200")=$D598)*(INDIRECT($B598&amp;"!O23:O200")&lt;&gt;"")*(INDIRECT($B598&amp;"!H23:H200")=$E$5),1,0)))</f>
        <v/>
      </c>
      <c r="F598" s="577" t="str">
        <f t="array" aca="1" ref="F598" ca="1">IF($B598="N","",SUM(IF((INDIRECT($B598&amp;"!I23:I200")=$A$2)*(INDIRECT($B598&amp;"!O23:O200")=$D598)*(INDIRECT($B598&amp;"!O23:O200")&lt;&gt;"")*(INDIRECT($B598&amp;"!H23:H200")=$E$5),INDIRECT($B598&amp;"!p23:p200"),0)))</f>
        <v/>
      </c>
      <c r="G598" s="495" t="str">
        <f t="array" aca="1" ref="G598" ca="1">IF($B598="N","",SUM(IF((INDIRECT($B598&amp;"!I23:I200")=$A$2)*(INDIRECT($B598&amp;"!O23:O200")=$D598)*(INDIRECT($B598&amp;"!O23:O200")&lt;&gt;"")*(INDIRECT($B598&amp;"!H23:H200")=$G$5),1,0)))</f>
        <v/>
      </c>
      <c r="H598" s="577" t="str">
        <f t="array" aca="1" ref="H598" ca="1">IF($B598="N","",SUM(IF((INDIRECT($B598&amp;"!I23:I200")=$A$2)*(INDIRECT($B598&amp;"!O23:O200")=$D598)*(INDIRECT($B598&amp;"!O23:O200")&lt;&gt;"")*(INDIRECT($B598&amp;"!H23:H200")=$G$5),INDIRECT($B598&amp;"!p23:p200"),0)))</f>
        <v/>
      </c>
      <c r="I598" s="515" t="str">
        <f t="shared" si="92"/>
        <v/>
      </c>
      <c r="J598" s="513" t="str">
        <f t="shared" si="93"/>
        <v/>
      </c>
    </row>
    <row r="599" spans="1:10" ht="15" thickBot="1">
      <c r="B599" s="563" t="str">
        <f t="shared" si="94"/>
        <v>N</v>
      </c>
      <c r="D599" s="511">
        <v>2.75</v>
      </c>
      <c r="E599" s="495" t="str">
        <f t="array" aca="1" ref="E599" ca="1">IF($B599="N","",SUM(IF((INDIRECT($B599&amp;"!I23:I200")=$A$2)*(INDIRECT($B599&amp;"!O23:O200")=$D599)*(INDIRECT($B599&amp;"!O23:O200")&lt;&gt;"")*(INDIRECT($B599&amp;"!H23:H200")=$E$5),1,0)))</f>
        <v/>
      </c>
      <c r="F599" s="577" t="str">
        <f t="array" aca="1" ref="F599" ca="1">IF($B599="N","",SUM(IF((INDIRECT($B599&amp;"!I23:I200")=$A$2)*(INDIRECT($B599&amp;"!O23:O200")=$D599)*(INDIRECT($B599&amp;"!O23:O200")&lt;&gt;"")*(INDIRECT($B599&amp;"!H23:H200")=$E$5),INDIRECT($B599&amp;"!p23:p200"),0)))</f>
        <v/>
      </c>
      <c r="G599" s="495" t="str">
        <f t="array" aca="1" ref="G599" ca="1">IF($B599="N","",SUM(IF((INDIRECT($B599&amp;"!I23:I200")=$A$2)*(INDIRECT($B599&amp;"!O23:O200")=$D599)*(INDIRECT($B599&amp;"!O23:O200")&lt;&gt;"")*(INDIRECT($B599&amp;"!H23:H200")=$G$5),1,0)))</f>
        <v/>
      </c>
      <c r="H599" s="577" t="str">
        <f t="array" aca="1" ref="H599" ca="1">IF($B599="N","",SUM(IF((INDIRECT($B599&amp;"!I23:I200")=$A$2)*(INDIRECT($B599&amp;"!O23:O200")=$D599)*(INDIRECT($B599&amp;"!O23:O200")&lt;&gt;"")*(INDIRECT($B599&amp;"!H23:H200")=$G$5),INDIRECT($B599&amp;"!p23:p200"),0)))</f>
        <v/>
      </c>
      <c r="I599" s="553" t="str">
        <f t="shared" si="92"/>
        <v/>
      </c>
      <c r="J599" s="552" t="str">
        <f t="shared" si="93"/>
        <v/>
      </c>
    </row>
    <row r="600" spans="1:10" ht="15" thickBot="1">
      <c r="A600" s="567"/>
      <c r="B600" s="568"/>
      <c r="C600" s="569">
        <f>D575</f>
        <v>0</v>
      </c>
      <c r="D600" s="570" t="s">
        <v>115</v>
      </c>
      <c r="E600" s="571">
        <f t="shared" ref="E600:J600" ca="1" si="95">SUM(E577:E599)</f>
        <v>0</v>
      </c>
      <c r="F600" s="572">
        <f t="shared" ca="1" si="95"/>
        <v>0</v>
      </c>
      <c r="G600" s="571">
        <f t="shared" ca="1" si="95"/>
        <v>0</v>
      </c>
      <c r="H600" s="572">
        <f t="shared" ca="1" si="95"/>
        <v>0</v>
      </c>
      <c r="I600" s="573">
        <f t="shared" si="95"/>
        <v>0</v>
      </c>
      <c r="J600" s="572">
        <f t="shared" si="95"/>
        <v>0</v>
      </c>
    </row>
    <row r="601" spans="1:10" ht="15" thickBot="1">
      <c r="A601" s="567"/>
      <c r="C601" s="576"/>
    </row>
    <row r="602" spans="1:10">
      <c r="A602" s="567"/>
      <c r="B602" s="357"/>
      <c r="C602" s="569"/>
      <c r="D602" s="562">
        <f>M2</f>
        <v>0</v>
      </c>
      <c r="E602" s="490" t="s">
        <v>80</v>
      </c>
      <c r="F602" s="491"/>
      <c r="G602" s="490" t="s">
        <v>81</v>
      </c>
      <c r="H602" s="491"/>
      <c r="I602" s="490" t="s">
        <v>82</v>
      </c>
      <c r="J602" s="492"/>
    </row>
    <row r="603" spans="1:10" ht="15" thickBot="1">
      <c r="B603" s="357"/>
      <c r="C603" s="357"/>
      <c r="D603" s="499" t="s">
        <v>120</v>
      </c>
      <c r="E603" s="497" t="s">
        <v>123</v>
      </c>
      <c r="F603" s="552" t="s">
        <v>124</v>
      </c>
      <c r="G603" s="497" t="s">
        <v>123</v>
      </c>
      <c r="H603" s="552" t="s">
        <v>124</v>
      </c>
      <c r="I603" s="501" t="s">
        <v>123</v>
      </c>
      <c r="J603" s="552" t="s">
        <v>124</v>
      </c>
    </row>
    <row r="604" spans="1:10">
      <c r="B604" s="563" t="str">
        <f>IF(D602=0,"N",D602)</f>
        <v>N</v>
      </c>
      <c r="D604" s="511">
        <v>-2.75</v>
      </c>
      <c r="E604" s="564" t="str">
        <f t="array" aca="1" ref="E604" ca="1">IF($B604="N","",SUM(IF((INDIRECT($B604&amp;"!I23:I200")=$A$2)*(INDIRECT($B604&amp;"!O23:O200")=$D604)*(INDIRECT($B604&amp;"!O23:O200")&lt;&gt;"")*(INDIRECT($B604&amp;"!H23:H200")=$E$5),1,0)))</f>
        <v/>
      </c>
      <c r="F604" s="565" t="str">
        <f t="array" aca="1" ref="F604" ca="1">IF($B604="N","",SUM(IF((INDIRECT($B604&amp;"!I23:I200")=$A$2)*(INDIRECT($B604&amp;"!O23:O200")=$D604)*(INDIRECT($B604&amp;"!O23:O200")&lt;&gt;"")*(INDIRECT($B604&amp;"!H23:H200")=$E$5),INDIRECT($B604&amp;"!p23:p200"),0)))</f>
        <v/>
      </c>
      <c r="G604" s="564" t="str">
        <f t="array" aca="1" ref="G604" ca="1">IF($B604="N","",SUM(IF((INDIRECT($B604&amp;"!I23:I200")=$A$2)*(INDIRECT($B604&amp;"!O23:O200")=$D604)*(INDIRECT($B604&amp;"!O23:O200")&lt;&gt;"")*(INDIRECT($B604&amp;"!H23:H200")=$G$5),1,0)))</f>
        <v/>
      </c>
      <c r="H604" s="565" t="str">
        <f t="array" aca="1" ref="H604" ca="1">IF($B604="N","",SUM(IF((INDIRECT($B604&amp;"!I23:I200")=$A$2)*(INDIRECT($B604&amp;"!O23:O200")=$D604)*(INDIRECT($B604&amp;"!O23:O200")&lt;&gt;"")*(INDIRECT($B604&amp;"!H23:H200")=$G$5),INDIRECT($B604&amp;"!p23:p200"),0)))</f>
        <v/>
      </c>
      <c r="I604" s="515" t="str">
        <f t="shared" ref="I604:I626" si="96">IF(B604="N","",G604+E604)</f>
        <v/>
      </c>
      <c r="J604" s="513" t="str">
        <f>IF(I604="","",F604+H604)</f>
        <v/>
      </c>
    </row>
    <row r="605" spans="1:10">
      <c r="B605" s="563" t="str">
        <f>B604</f>
        <v>N</v>
      </c>
      <c r="D605" s="520">
        <v>-2.5</v>
      </c>
      <c r="E605" s="521" t="str">
        <f t="array" aca="1" ref="E605" ca="1">IF($B605="N","",SUM(IF((INDIRECT($B605&amp;"!I23:I200")=$A$2)*(INDIRECT($B605&amp;"!O23:O200")=$D605)*(INDIRECT($B605&amp;"!O23:O200")&lt;&gt;"")*(INDIRECT($B605&amp;"!H23:H200")=$E$5),1,0)))</f>
        <v/>
      </c>
      <c r="F605" s="513" t="str">
        <f t="array" aca="1" ref="F605" ca="1">IF($B605="N","",SUM(IF((INDIRECT($B605&amp;"!I23:I200")=$A$2)*(INDIRECT($B605&amp;"!O23:O200")=$D605)*(INDIRECT($B605&amp;"!O23:O200")&lt;&gt;"")*(INDIRECT($B605&amp;"!H23:H200")=$E$5),INDIRECT($B605&amp;"!p23:p200"),0)))</f>
        <v/>
      </c>
      <c r="G605" s="521" t="str">
        <f t="array" aca="1" ref="G605" ca="1">IF($B605="N","",SUM(IF((INDIRECT($B605&amp;"!I23:I200")=$A$2)*(INDIRECT($B605&amp;"!O23:O200")=$D605)*(INDIRECT($B605&amp;"!O23:O200")&lt;&gt;"")*(INDIRECT($B605&amp;"!H23:H200")=$G$5),1,0)))</f>
        <v/>
      </c>
      <c r="H605" s="513" t="str">
        <f t="array" aca="1" ref="H605" ca="1">IF($B605="N","",SUM(IF((INDIRECT($B605&amp;"!I23:I200")=$A$2)*(INDIRECT($B605&amp;"!O23:O200")=$D605)*(INDIRECT($B605&amp;"!O23:O200")&lt;&gt;"")*(INDIRECT($B605&amp;"!H23:H200")=$G$5),INDIRECT($B605&amp;"!p23:p200"),0)))</f>
        <v/>
      </c>
      <c r="I605" s="515" t="str">
        <f t="shared" si="96"/>
        <v/>
      </c>
      <c r="J605" s="513" t="str">
        <f t="shared" ref="J605:J626" si="97">IF(I605="","",F605+H605)</f>
        <v/>
      </c>
    </row>
    <row r="606" spans="1:10">
      <c r="B606" s="563" t="str">
        <f t="shared" ref="B606:B626" si="98">B605</f>
        <v>N</v>
      </c>
      <c r="D606" s="520">
        <v>-2.25</v>
      </c>
      <c r="E606" s="521" t="str">
        <f t="array" aca="1" ref="E606" ca="1">IF($B606="N","",SUM(IF((INDIRECT($B606&amp;"!I23:I200")=$A$2)*(INDIRECT($B606&amp;"!O23:O200")=$D606)*(INDIRECT($B606&amp;"!O23:O200")&lt;&gt;"")*(INDIRECT($B606&amp;"!H23:H200")=$E$5),1,0)))</f>
        <v/>
      </c>
      <c r="F606" s="513" t="str">
        <f t="array" aca="1" ref="F606" ca="1">IF($B606="N","",SUM(IF((INDIRECT($B606&amp;"!I23:I200")=$A$2)*(INDIRECT($B606&amp;"!O23:O200")=$D606)*(INDIRECT($B606&amp;"!O23:O200")&lt;&gt;"")*(INDIRECT($B606&amp;"!H23:H200")=$E$5),INDIRECT($B606&amp;"!p23:p200"),0)))</f>
        <v/>
      </c>
      <c r="G606" s="521" t="str">
        <f t="array" aca="1" ref="G606" ca="1">IF($B606="N","",SUM(IF((INDIRECT($B606&amp;"!I23:I200")=$A$2)*(INDIRECT($B606&amp;"!O23:O200")=$D606)*(INDIRECT($B606&amp;"!O23:O200")&lt;&gt;"")*(INDIRECT($B606&amp;"!H23:H200")=$G$5),1,0)))</f>
        <v/>
      </c>
      <c r="H606" s="513" t="str">
        <f t="array" aca="1" ref="H606" ca="1">IF($B606="N","",SUM(IF((INDIRECT($B606&amp;"!I23:I200")=$A$2)*(INDIRECT($B606&amp;"!O23:O200")=$D606)*(INDIRECT($B606&amp;"!O23:O200")&lt;&gt;"")*(INDIRECT($B606&amp;"!H23:H200")=$G$5),INDIRECT($B606&amp;"!p23:p200"),0)))</f>
        <v/>
      </c>
      <c r="I606" s="515" t="str">
        <f t="shared" si="96"/>
        <v/>
      </c>
      <c r="J606" s="513" t="str">
        <f t="shared" si="97"/>
        <v/>
      </c>
    </row>
    <row r="607" spans="1:10">
      <c r="B607" s="563" t="str">
        <f t="shared" si="98"/>
        <v>N</v>
      </c>
      <c r="D607" s="520">
        <v>-2</v>
      </c>
      <c r="E607" s="521" t="str">
        <f t="array" aca="1" ref="E607" ca="1">IF($B607="N","",SUM(IF((INDIRECT($B607&amp;"!I23:I200")=$A$2)*(INDIRECT($B607&amp;"!O23:O200")=$D607)*(INDIRECT($B607&amp;"!O23:O200")&lt;&gt;"")*(INDIRECT($B607&amp;"!H23:H200")=$E$5),1,0)))</f>
        <v/>
      </c>
      <c r="F607" s="513" t="str">
        <f t="array" aca="1" ref="F607" ca="1">IF($B607="N","",SUM(IF((INDIRECT($B607&amp;"!I23:I200")=$A$2)*(INDIRECT($B607&amp;"!O23:O200")=$D607)*(INDIRECT($B607&amp;"!O23:O200")&lt;&gt;"")*(INDIRECT($B607&amp;"!H23:H200")=$E$5),INDIRECT($B607&amp;"!p23:p200"),0)))</f>
        <v/>
      </c>
      <c r="G607" s="521" t="str">
        <f t="array" aca="1" ref="G607" ca="1">IF($B607="N","",SUM(IF((INDIRECT($B607&amp;"!I23:I200")=$A$2)*(INDIRECT($B607&amp;"!O23:O200")=$D607)*(INDIRECT($B607&amp;"!O23:O200")&lt;&gt;"")*(INDIRECT($B607&amp;"!H23:H200")=$G$5),1,0)))</f>
        <v/>
      </c>
      <c r="H607" s="513" t="str">
        <f t="array" aca="1" ref="H607" ca="1">IF($B607="N","",SUM(IF((INDIRECT($B607&amp;"!I23:I200")=$A$2)*(INDIRECT($B607&amp;"!O23:O200")=$D607)*(INDIRECT($B607&amp;"!O23:O200")&lt;&gt;"")*(INDIRECT($B607&amp;"!H23:H200")=$G$5),INDIRECT($B607&amp;"!p23:p200"),0)))</f>
        <v/>
      </c>
      <c r="I607" s="515" t="str">
        <f t="shared" si="96"/>
        <v/>
      </c>
      <c r="J607" s="513" t="str">
        <f t="shared" si="97"/>
        <v/>
      </c>
    </row>
    <row r="608" spans="1:10">
      <c r="B608" s="563" t="str">
        <f t="shared" si="98"/>
        <v>N</v>
      </c>
      <c r="D608" s="520">
        <v>-1.75</v>
      </c>
      <c r="E608" s="521" t="str">
        <f t="array" aca="1" ref="E608" ca="1">IF($B608="N","",SUM(IF((INDIRECT($B608&amp;"!I23:I200")=$A$2)*(INDIRECT($B608&amp;"!O23:O200")=$D608)*(INDIRECT($B608&amp;"!O23:O200")&lt;&gt;"")*(INDIRECT($B608&amp;"!H23:H200")=$E$5),1,0)))</f>
        <v/>
      </c>
      <c r="F608" s="513" t="str">
        <f t="array" aca="1" ref="F608" ca="1">IF($B608="N","",SUM(IF((INDIRECT($B608&amp;"!I23:I200")=$A$2)*(INDIRECT($B608&amp;"!O23:O200")=$D608)*(INDIRECT($B608&amp;"!O23:O200")&lt;&gt;"")*(INDIRECT($B608&amp;"!H23:H200")=$E$5),INDIRECT($B608&amp;"!p23:p200"),0)))</f>
        <v/>
      </c>
      <c r="G608" s="521" t="str">
        <f t="array" aca="1" ref="G608" ca="1">IF($B608="N","",SUM(IF((INDIRECT($B608&amp;"!I23:I200")=$A$2)*(INDIRECT($B608&amp;"!O23:O200")=$D608)*(INDIRECT($B608&amp;"!O23:O200")&lt;&gt;"")*(INDIRECT($B608&amp;"!H23:H200")=$G$5),1,0)))</f>
        <v/>
      </c>
      <c r="H608" s="513" t="str">
        <f t="array" aca="1" ref="H608" ca="1">IF($B608="N","",SUM(IF((INDIRECT($B608&amp;"!I23:I200")=$A$2)*(INDIRECT($B608&amp;"!O23:O200")=$D608)*(INDIRECT($B608&amp;"!O23:O200")&lt;&gt;"")*(INDIRECT($B608&amp;"!H23:H200")=$G$5),INDIRECT($B608&amp;"!p23:p200"),0)))</f>
        <v/>
      </c>
      <c r="I608" s="515" t="str">
        <f t="shared" si="96"/>
        <v/>
      </c>
      <c r="J608" s="513" t="str">
        <f t="shared" si="97"/>
        <v/>
      </c>
    </row>
    <row r="609" spans="2:10">
      <c r="B609" s="563" t="str">
        <f t="shared" si="98"/>
        <v>N</v>
      </c>
      <c r="D609" s="511">
        <v>-1.5</v>
      </c>
      <c r="E609" s="521" t="str">
        <f t="array" aca="1" ref="E609" ca="1">IF($B609="N","",SUM(IF((INDIRECT($B609&amp;"!I23:I200")=$A$2)*(INDIRECT($B609&amp;"!O23:O200")=$D609)*(INDIRECT($B609&amp;"!O23:O200")&lt;&gt;"")*(INDIRECT($B609&amp;"!H23:H200")=$E$5),1,0)))</f>
        <v/>
      </c>
      <c r="F609" s="513" t="str">
        <f t="array" aca="1" ref="F609" ca="1">IF($B609="N","",SUM(IF((INDIRECT($B609&amp;"!I23:I200")=$A$2)*(INDIRECT($B609&amp;"!O23:O200")=$D609)*(INDIRECT($B609&amp;"!O23:O200")&lt;&gt;"")*(INDIRECT($B609&amp;"!H23:H200")=$E$5),INDIRECT($B609&amp;"!p23:p200"),0)))</f>
        <v/>
      </c>
      <c r="G609" s="521" t="str">
        <f t="array" aca="1" ref="G609" ca="1">IF($B609="N","",SUM(IF((INDIRECT($B609&amp;"!I23:I200")=$A$2)*(INDIRECT($B609&amp;"!O23:O200")=$D609)*(INDIRECT($B609&amp;"!O23:O200")&lt;&gt;"")*(INDIRECT($B609&amp;"!H23:H200")=$G$5),1,0)))</f>
        <v/>
      </c>
      <c r="H609" s="513" t="str">
        <f t="array" aca="1" ref="H609" ca="1">IF($B609="N","",SUM(IF((INDIRECT($B609&amp;"!I23:I200")=$A$2)*(INDIRECT($B609&amp;"!O23:O200")=$D609)*(INDIRECT($B609&amp;"!O23:O200")&lt;&gt;"")*(INDIRECT($B609&amp;"!H23:H200")=$G$5),INDIRECT($B609&amp;"!p23:p200"),0)))</f>
        <v/>
      </c>
      <c r="I609" s="515" t="str">
        <f t="shared" si="96"/>
        <v/>
      </c>
      <c r="J609" s="513" t="str">
        <f t="shared" si="97"/>
        <v/>
      </c>
    </row>
    <row r="610" spans="2:10">
      <c r="B610" s="563" t="str">
        <f t="shared" si="98"/>
        <v>N</v>
      </c>
      <c r="D610" s="511">
        <v>-1.25</v>
      </c>
      <c r="E610" s="521" t="str">
        <f t="array" aca="1" ref="E610" ca="1">IF($B610="N","",SUM(IF((INDIRECT($B610&amp;"!I23:I200")=$A$2)*(INDIRECT($B610&amp;"!O23:O200")=$D610)*(INDIRECT($B610&amp;"!O23:O200")&lt;&gt;"")*(INDIRECT($B610&amp;"!H23:H200")=$E$5),1,0)))</f>
        <v/>
      </c>
      <c r="F610" s="513" t="str">
        <f t="array" aca="1" ref="F610" ca="1">IF($B610="N","",SUM(IF((INDIRECT($B610&amp;"!I23:I200")=$A$2)*(INDIRECT($B610&amp;"!O23:O200")=$D610)*(INDIRECT($B610&amp;"!O23:O200")&lt;&gt;"")*(INDIRECT($B610&amp;"!H23:H200")=$E$5),INDIRECT($B610&amp;"!p23:p200"),0)))</f>
        <v/>
      </c>
      <c r="G610" s="521" t="str">
        <f t="array" aca="1" ref="G610" ca="1">IF($B610="N","",SUM(IF((INDIRECT($B610&amp;"!I23:I200")=$A$2)*(INDIRECT($B610&amp;"!O23:O200")=$D610)*(INDIRECT($B610&amp;"!O23:O200")&lt;&gt;"")*(INDIRECT($B610&amp;"!H23:H200")=$G$5),1,0)))</f>
        <v/>
      </c>
      <c r="H610" s="513" t="str">
        <f t="array" aca="1" ref="H610" ca="1">IF($B610="N","",SUM(IF((INDIRECT($B610&amp;"!I23:I200")=$A$2)*(INDIRECT($B610&amp;"!O23:O200")=$D610)*(INDIRECT($B610&amp;"!O23:O200")&lt;&gt;"")*(INDIRECT($B610&amp;"!H23:H200")=$G$5),INDIRECT($B610&amp;"!p23:p200"),0)))</f>
        <v/>
      </c>
      <c r="I610" s="515" t="str">
        <f t="shared" si="96"/>
        <v/>
      </c>
      <c r="J610" s="513" t="str">
        <f t="shared" si="97"/>
        <v/>
      </c>
    </row>
    <row r="611" spans="2:10">
      <c r="B611" s="563" t="str">
        <f t="shared" si="98"/>
        <v>N</v>
      </c>
      <c r="D611" s="511">
        <v>-1</v>
      </c>
      <c r="E611" s="521" t="str">
        <f t="array" aca="1" ref="E611" ca="1">IF($B611="N","",SUM(IF((INDIRECT($B611&amp;"!I23:I200")=$A$2)*(INDIRECT($B611&amp;"!O23:O200")=$D611)*(INDIRECT($B611&amp;"!O23:O200")&lt;&gt;"")*(INDIRECT($B611&amp;"!H23:H200")=$E$5),1,0)))</f>
        <v/>
      </c>
      <c r="F611" s="513" t="str">
        <f t="array" aca="1" ref="F611" ca="1">IF($B611="N","",SUM(IF((INDIRECT($B611&amp;"!I23:I200")=$A$2)*(INDIRECT($B611&amp;"!O23:O200")=$D611)*(INDIRECT($B611&amp;"!O23:O200")&lt;&gt;"")*(INDIRECT($B611&amp;"!H23:H200")=$E$5),INDIRECT($B611&amp;"!p23:p200"),0)))</f>
        <v/>
      </c>
      <c r="G611" s="521" t="str">
        <f t="array" aca="1" ref="G611" ca="1">IF($B611="N","",SUM(IF((INDIRECT($B611&amp;"!I23:I200")=$A$2)*(INDIRECT($B611&amp;"!O23:O200")=$D611)*(INDIRECT($B611&amp;"!O23:O200")&lt;&gt;"")*(INDIRECT($B611&amp;"!H23:H200")=$G$5),1,0)))</f>
        <v/>
      </c>
      <c r="H611" s="513" t="str">
        <f t="array" aca="1" ref="H611" ca="1">IF($B611="N","",SUM(IF((INDIRECT($B611&amp;"!I23:I200")=$A$2)*(INDIRECT($B611&amp;"!O23:O200")=$D611)*(INDIRECT($B611&amp;"!O23:O200")&lt;&gt;"")*(INDIRECT($B611&amp;"!H23:H200")=$G$5),INDIRECT($B611&amp;"!p23:p200"),0)))</f>
        <v/>
      </c>
      <c r="I611" s="515" t="str">
        <f t="shared" si="96"/>
        <v/>
      </c>
      <c r="J611" s="513" t="str">
        <f t="shared" si="97"/>
        <v/>
      </c>
    </row>
    <row r="612" spans="2:10">
      <c r="B612" s="563" t="str">
        <f t="shared" si="98"/>
        <v>N</v>
      </c>
      <c r="D612" s="511">
        <v>-0.75</v>
      </c>
      <c r="E612" s="521" t="str">
        <f t="array" aca="1" ref="E612" ca="1">IF($B612="N","",SUM(IF((INDIRECT($B612&amp;"!I23:I200")=$A$2)*(INDIRECT($B612&amp;"!O23:O200")=$D612)*(INDIRECT($B612&amp;"!O23:O200")&lt;&gt;"")*(INDIRECT($B612&amp;"!H23:H200")=$E$5),1,0)))</f>
        <v/>
      </c>
      <c r="F612" s="513" t="str">
        <f t="array" aca="1" ref="F612" ca="1">IF($B612="N","",SUM(IF((INDIRECT($B612&amp;"!I23:I200")=$A$2)*(INDIRECT($B612&amp;"!O23:O200")=$D612)*(INDIRECT($B612&amp;"!O23:O200")&lt;&gt;"")*(INDIRECT($B612&amp;"!H23:H200")=$E$5),INDIRECT($B612&amp;"!p23:p200"),0)))</f>
        <v/>
      </c>
      <c r="G612" s="521" t="str">
        <f t="array" aca="1" ref="G612" ca="1">IF($B612="N","",SUM(IF((INDIRECT($B612&amp;"!I23:I200")=$A$2)*(INDIRECT($B612&amp;"!O23:O200")=$D612)*(INDIRECT($B612&amp;"!O23:O200")&lt;&gt;"")*(INDIRECT($B612&amp;"!H23:H200")=$G$5),1,0)))</f>
        <v/>
      </c>
      <c r="H612" s="513" t="str">
        <f t="array" aca="1" ref="H612" ca="1">IF($B612="N","",SUM(IF((INDIRECT($B612&amp;"!I23:I200")=$A$2)*(INDIRECT($B612&amp;"!O23:O200")=$D612)*(INDIRECT($B612&amp;"!O23:O200")&lt;&gt;"")*(INDIRECT($B612&amp;"!H23:H200")=$G$5),INDIRECT($B612&amp;"!p23:p200"),0)))</f>
        <v/>
      </c>
      <c r="I612" s="515" t="str">
        <f t="shared" si="96"/>
        <v/>
      </c>
      <c r="J612" s="513" t="str">
        <f t="shared" si="97"/>
        <v/>
      </c>
    </row>
    <row r="613" spans="2:10">
      <c r="B613" s="563" t="str">
        <f t="shared" si="98"/>
        <v>N</v>
      </c>
      <c r="D613" s="511">
        <v>-0.5</v>
      </c>
      <c r="E613" s="521" t="str">
        <f t="array" aca="1" ref="E613" ca="1">IF($B613="N","",SUM(IF((INDIRECT($B613&amp;"!I23:I200")=$A$2)*(INDIRECT($B613&amp;"!O23:O200")=$D613)*(INDIRECT($B613&amp;"!O23:O200")&lt;&gt;"")*(INDIRECT($B613&amp;"!H23:H200")=$E$5),1,0)))</f>
        <v/>
      </c>
      <c r="F613" s="513" t="str">
        <f t="array" aca="1" ref="F613" ca="1">IF($B613="N","",SUM(IF((INDIRECT($B613&amp;"!I23:I200")=$A$2)*(INDIRECT($B613&amp;"!O23:O200")=$D613)*(INDIRECT($B613&amp;"!O23:O200")&lt;&gt;"")*(INDIRECT($B613&amp;"!H23:H200")=$E$5),INDIRECT($B613&amp;"!p23:p200"),0)))</f>
        <v/>
      </c>
      <c r="G613" s="521" t="str">
        <f t="array" aca="1" ref="G613" ca="1">IF($B613="N","",SUM(IF((INDIRECT($B613&amp;"!I23:I200")=$A$2)*(INDIRECT($B613&amp;"!O23:O200")=$D613)*(INDIRECT($B613&amp;"!O23:O200")&lt;&gt;"")*(INDIRECT($B613&amp;"!H23:H200")=$G$5),1,0)))</f>
        <v/>
      </c>
      <c r="H613" s="513" t="str">
        <f t="array" aca="1" ref="H613" ca="1">IF($B613="N","",SUM(IF((INDIRECT($B613&amp;"!I23:I200")=$A$2)*(INDIRECT($B613&amp;"!O23:O200")=$D613)*(INDIRECT($B613&amp;"!O23:O200")&lt;&gt;"")*(INDIRECT($B613&amp;"!H23:H200")=$G$5),INDIRECT($B613&amp;"!p23:p200"),0)))</f>
        <v/>
      </c>
      <c r="I613" s="515" t="str">
        <f t="shared" si="96"/>
        <v/>
      </c>
      <c r="J613" s="513" t="str">
        <f t="shared" si="97"/>
        <v/>
      </c>
    </row>
    <row r="614" spans="2:10">
      <c r="B614" s="563" t="str">
        <f t="shared" si="98"/>
        <v>N</v>
      </c>
      <c r="D614" s="511">
        <v>-0.25</v>
      </c>
      <c r="E614" s="521" t="str">
        <f t="array" aca="1" ref="E614" ca="1">IF($B614="N","",SUM(IF((INDIRECT($B614&amp;"!I23:I200")=$A$2)*(INDIRECT($B614&amp;"!O23:O200")=$D614)*(INDIRECT($B614&amp;"!O23:O200")&lt;&gt;"")*(INDIRECT($B614&amp;"!H23:H200")=$E$5),1,0)))</f>
        <v/>
      </c>
      <c r="F614" s="513" t="str">
        <f t="array" aca="1" ref="F614" ca="1">IF($B614="N","",SUM(IF((INDIRECT($B614&amp;"!I23:I200")=$A$2)*(INDIRECT($B614&amp;"!O23:O200")=$D614)*(INDIRECT($B614&amp;"!O23:O200")&lt;&gt;"")*(INDIRECT($B614&amp;"!H23:H200")=$E$5),INDIRECT($B614&amp;"!p23:p200"),0)))</f>
        <v/>
      </c>
      <c r="G614" s="521" t="str">
        <f t="array" aca="1" ref="G614" ca="1">IF($B614="N","",SUM(IF((INDIRECT($B614&amp;"!I23:I200")=$A$2)*(INDIRECT($B614&amp;"!O23:O200")=$D614)*(INDIRECT($B614&amp;"!O23:O200")&lt;&gt;"")*(INDIRECT($B614&amp;"!H23:H200")=$G$5),1,0)))</f>
        <v/>
      </c>
      <c r="H614" s="513" t="str">
        <f t="array" aca="1" ref="H614" ca="1">IF($B614="N","",SUM(IF((INDIRECT($B614&amp;"!I23:I200")=$A$2)*(INDIRECT($B614&amp;"!O23:O200")=$D614)*(INDIRECT($B614&amp;"!O23:O200")&lt;&gt;"")*(INDIRECT($B614&amp;"!H23:H200")=$G$5),INDIRECT($B614&amp;"!p23:p200"),0)))</f>
        <v/>
      </c>
      <c r="I614" s="515" t="str">
        <f t="shared" si="96"/>
        <v/>
      </c>
      <c r="J614" s="513" t="str">
        <f t="shared" si="97"/>
        <v/>
      </c>
    </row>
    <row r="615" spans="2:10">
      <c r="B615" s="563" t="str">
        <f t="shared" si="98"/>
        <v>N</v>
      </c>
      <c r="D615" s="511">
        <v>0</v>
      </c>
      <c r="E615" s="521" t="str">
        <f t="array" aca="1" ref="E615" ca="1">IF($B615="N","",SUM(IF((INDIRECT($B615&amp;"!I23:I200")=$A$2)*(INDIRECT($B615&amp;"!O23:O200")=$D615)*(INDIRECT($B615&amp;"!O23:O200")&lt;&gt;"")*(INDIRECT($B615&amp;"!H23:H200")=$E$5),1,0)))</f>
        <v/>
      </c>
      <c r="F615" s="513" t="str">
        <f t="array" aca="1" ref="F615" ca="1">IF($B615="N","",SUM(IF((INDIRECT($B615&amp;"!I23:I200")=$A$2)*(INDIRECT($B615&amp;"!O23:O200")=$D615)*(INDIRECT($B615&amp;"!O23:O200")&lt;&gt;"")*(INDIRECT($B615&amp;"!H23:H200")=$E$5),INDIRECT($B615&amp;"!p23:p200"),0)))</f>
        <v/>
      </c>
      <c r="G615" s="521" t="str">
        <f t="array" aca="1" ref="G615" ca="1">IF($B615="N","",SUM(IF((INDIRECT($B615&amp;"!I23:I200")=$A$2)*(INDIRECT($B615&amp;"!O23:O200")=$D615)*(INDIRECT($B615&amp;"!O23:O200")&lt;&gt;"")*(INDIRECT($B615&amp;"!H23:H200")=$G$5),1,0)))</f>
        <v/>
      </c>
      <c r="H615" s="513" t="str">
        <f t="array" aca="1" ref="H615" ca="1">IF($B615="N","",SUM(IF((INDIRECT($B615&amp;"!I23:I200")=$A$2)*(INDIRECT($B615&amp;"!O23:O200")=$D615)*(INDIRECT($B615&amp;"!O23:O200")&lt;&gt;"")*(INDIRECT($B615&amp;"!H23:H200")=$G$5),INDIRECT($B615&amp;"!p23:p200"),0)))</f>
        <v/>
      </c>
      <c r="I615" s="515" t="str">
        <f t="shared" si="96"/>
        <v/>
      </c>
      <c r="J615" s="513" t="str">
        <f t="shared" si="97"/>
        <v/>
      </c>
    </row>
    <row r="616" spans="2:10">
      <c r="B616" s="563" t="str">
        <f t="shared" si="98"/>
        <v>N</v>
      </c>
      <c r="D616" s="511">
        <v>0.25</v>
      </c>
      <c r="E616" s="521" t="str">
        <f t="array" aca="1" ref="E616" ca="1">IF($B616="N","",SUM(IF((INDIRECT($B616&amp;"!I23:I200")=$A$2)*(INDIRECT($B616&amp;"!O23:O200")=$D616)*(INDIRECT($B616&amp;"!O23:O200")&lt;&gt;"")*(INDIRECT($B616&amp;"!H23:H200")=$E$5),1,0)))</f>
        <v/>
      </c>
      <c r="F616" s="513" t="str">
        <f t="array" aca="1" ref="F616" ca="1">IF($B616="N","",SUM(IF((INDIRECT($B616&amp;"!I23:I200")=$A$2)*(INDIRECT($B616&amp;"!O23:O200")=$D616)*(INDIRECT($B616&amp;"!O23:O200")&lt;&gt;"")*(INDIRECT($B616&amp;"!H23:H200")=$E$5),INDIRECT($B616&amp;"!p23:p200"),0)))</f>
        <v/>
      </c>
      <c r="G616" s="521" t="str">
        <f t="array" aca="1" ref="G616" ca="1">IF($B616="N","",SUM(IF((INDIRECT($B616&amp;"!I23:I200")=$A$2)*(INDIRECT($B616&amp;"!O23:O200")=$D616)*(INDIRECT($B616&amp;"!O23:O200")&lt;&gt;"")*(INDIRECT($B616&amp;"!H23:H200")=$G$5),1,0)))</f>
        <v/>
      </c>
      <c r="H616" s="513" t="str">
        <f t="array" aca="1" ref="H616" ca="1">IF($B616="N","",SUM(IF((INDIRECT($B616&amp;"!I23:I200")=$A$2)*(INDIRECT($B616&amp;"!O23:O200")=$D616)*(INDIRECT($B616&amp;"!O23:O200")&lt;&gt;"")*(INDIRECT($B616&amp;"!H23:H200")=$G$5),INDIRECT($B616&amp;"!p23:p200"),0)))</f>
        <v/>
      </c>
      <c r="I616" s="515" t="str">
        <f t="shared" si="96"/>
        <v/>
      </c>
      <c r="J616" s="513" t="str">
        <f t="shared" si="97"/>
        <v/>
      </c>
    </row>
    <row r="617" spans="2:10">
      <c r="B617" s="563" t="str">
        <f t="shared" si="98"/>
        <v>N</v>
      </c>
      <c r="D617" s="511">
        <v>0.5</v>
      </c>
      <c r="E617" s="521" t="str">
        <f t="array" aca="1" ref="E617" ca="1">IF($B617="N","",SUM(IF((INDIRECT($B617&amp;"!I23:I200")=$A$2)*(INDIRECT($B617&amp;"!O23:O200")=$D617)*(INDIRECT($B617&amp;"!O23:O200")&lt;&gt;"")*(INDIRECT($B617&amp;"!H23:H200")=$E$5),1,0)))</f>
        <v/>
      </c>
      <c r="F617" s="513" t="str">
        <f t="array" aca="1" ref="F617" ca="1">IF($B617="N","",SUM(IF((INDIRECT($B617&amp;"!I23:I200")=$A$2)*(INDIRECT($B617&amp;"!O23:O200")=$D617)*(INDIRECT($B617&amp;"!O23:O200")&lt;&gt;"")*(INDIRECT($B617&amp;"!H23:H200")=$E$5),INDIRECT($B617&amp;"!p23:p200"),0)))</f>
        <v/>
      </c>
      <c r="G617" s="521" t="str">
        <f t="array" aca="1" ref="G617" ca="1">IF($B617="N","",SUM(IF((INDIRECT($B617&amp;"!I23:I200")=$A$2)*(INDIRECT($B617&amp;"!O23:O200")=$D617)*(INDIRECT($B617&amp;"!O23:O200")&lt;&gt;"")*(INDIRECT($B617&amp;"!H23:H200")=$G$5),1,0)))</f>
        <v/>
      </c>
      <c r="H617" s="513" t="str">
        <f t="array" aca="1" ref="H617" ca="1">IF($B617="N","",SUM(IF((INDIRECT($B617&amp;"!I23:I200")=$A$2)*(INDIRECT($B617&amp;"!O23:O200")=$D617)*(INDIRECT($B617&amp;"!O23:O200")&lt;&gt;"")*(INDIRECT($B617&amp;"!H23:H200")=$G$5),INDIRECT($B617&amp;"!p23:p200"),0)))</f>
        <v/>
      </c>
      <c r="I617" s="515" t="str">
        <f t="shared" si="96"/>
        <v/>
      </c>
      <c r="J617" s="513" t="str">
        <f t="shared" si="97"/>
        <v/>
      </c>
    </row>
    <row r="618" spans="2:10">
      <c r="B618" s="563" t="str">
        <f t="shared" si="98"/>
        <v>N</v>
      </c>
      <c r="D618" s="511">
        <v>0.75</v>
      </c>
      <c r="E618" s="521" t="str">
        <f t="array" aca="1" ref="E618" ca="1">IF($B618="N","",SUM(IF((INDIRECT($B618&amp;"!I23:I200")=$A$2)*(INDIRECT($B618&amp;"!O23:O200")=$D618)*(INDIRECT($B618&amp;"!O23:O200")&lt;&gt;"")*(INDIRECT($B618&amp;"!H23:H200")=$E$5),1,0)))</f>
        <v/>
      </c>
      <c r="F618" s="513" t="str">
        <f t="array" aca="1" ref="F618" ca="1">IF($B618="N","",SUM(IF((INDIRECT($B618&amp;"!I23:I200")=$A$2)*(INDIRECT($B618&amp;"!O23:O200")=$D618)*(INDIRECT($B618&amp;"!O23:O200")&lt;&gt;"")*(INDIRECT($B618&amp;"!H23:H200")=$E$5),INDIRECT($B618&amp;"!p23:p200"),0)))</f>
        <v/>
      </c>
      <c r="G618" s="521" t="str">
        <f t="array" aca="1" ref="G618" ca="1">IF($B618="N","",SUM(IF((INDIRECT($B618&amp;"!I23:I200")=$A$2)*(INDIRECT($B618&amp;"!O23:O200")=$D618)*(INDIRECT($B618&amp;"!O23:O200")&lt;&gt;"")*(INDIRECT($B618&amp;"!H23:H200")=$G$5),1,0)))</f>
        <v/>
      </c>
      <c r="H618" s="513" t="str">
        <f t="array" aca="1" ref="H618" ca="1">IF($B618="N","",SUM(IF((INDIRECT($B618&amp;"!I23:I200")=$A$2)*(INDIRECT($B618&amp;"!O23:O200")=$D618)*(INDIRECT($B618&amp;"!O23:O200")&lt;&gt;"")*(INDIRECT($B618&amp;"!H23:H200")=$G$5),INDIRECT($B618&amp;"!p23:p200"),0)))</f>
        <v/>
      </c>
      <c r="I618" s="515" t="str">
        <f t="shared" si="96"/>
        <v/>
      </c>
      <c r="J618" s="513" t="str">
        <f t="shared" si="97"/>
        <v/>
      </c>
    </row>
    <row r="619" spans="2:10">
      <c r="B619" s="563" t="str">
        <f t="shared" si="98"/>
        <v>N</v>
      </c>
      <c r="D619" s="511">
        <v>1</v>
      </c>
      <c r="E619" s="521" t="str">
        <f t="array" aca="1" ref="E619" ca="1">IF($B619="N","",SUM(IF((INDIRECT($B619&amp;"!I23:I200")=$A$2)*(INDIRECT($B619&amp;"!O23:O200")=$D619)*(INDIRECT($B619&amp;"!O23:O200")&lt;&gt;"")*(INDIRECT($B619&amp;"!H23:H200")=$E$5),1,0)))</f>
        <v/>
      </c>
      <c r="F619" s="513" t="str">
        <f t="array" aca="1" ref="F619" ca="1">IF($B619="N","",SUM(IF((INDIRECT($B619&amp;"!I23:I200")=$A$2)*(INDIRECT($B619&amp;"!O23:O200")=$D619)*(INDIRECT($B619&amp;"!O23:O200")&lt;&gt;"")*(INDIRECT($B619&amp;"!H23:H200")=$E$5),INDIRECT($B619&amp;"!p23:p200"),0)))</f>
        <v/>
      </c>
      <c r="G619" s="521" t="str">
        <f t="array" aca="1" ref="G619" ca="1">IF($B619="N","",SUM(IF((INDIRECT($B619&amp;"!I23:I200")=$A$2)*(INDIRECT($B619&amp;"!O23:O200")=$D619)*(INDIRECT($B619&amp;"!O23:O200")&lt;&gt;"")*(INDIRECT($B619&amp;"!H23:H200")=$G$5),1,0)))</f>
        <v/>
      </c>
      <c r="H619" s="513" t="str">
        <f t="array" aca="1" ref="H619" ca="1">IF($B619="N","",SUM(IF((INDIRECT($B619&amp;"!I23:I200")=$A$2)*(INDIRECT($B619&amp;"!O23:O200")=$D619)*(INDIRECT($B619&amp;"!O23:O200")&lt;&gt;"")*(INDIRECT($B619&amp;"!H23:H200")=$G$5),INDIRECT($B619&amp;"!p23:p200"),0)))</f>
        <v/>
      </c>
      <c r="I619" s="515" t="str">
        <f t="shared" si="96"/>
        <v/>
      </c>
      <c r="J619" s="513" t="str">
        <f t="shared" si="97"/>
        <v/>
      </c>
    </row>
    <row r="620" spans="2:10">
      <c r="B620" s="563" t="str">
        <f t="shared" si="98"/>
        <v>N</v>
      </c>
      <c r="D620" s="511">
        <v>1.25</v>
      </c>
      <c r="E620" s="521" t="str">
        <f t="array" aca="1" ref="E620" ca="1">IF($B620="N","",SUM(IF((INDIRECT($B620&amp;"!I23:I200")=$A$2)*(INDIRECT($B620&amp;"!O23:O200")=$D620)*(INDIRECT($B620&amp;"!O23:O200")&lt;&gt;"")*(INDIRECT($B620&amp;"!H23:H200")=$E$5),1,0)))</f>
        <v/>
      </c>
      <c r="F620" s="513" t="str">
        <f t="array" aca="1" ref="F620" ca="1">IF($B620="N","",SUM(IF((INDIRECT($B620&amp;"!I23:I200")=$A$2)*(INDIRECT($B620&amp;"!O23:O200")=$D620)*(INDIRECT($B620&amp;"!O23:O200")&lt;&gt;"")*(INDIRECT($B620&amp;"!H23:H200")=$E$5),INDIRECT($B620&amp;"!p23:p200"),0)))</f>
        <v/>
      </c>
      <c r="G620" s="521" t="str">
        <f t="array" aca="1" ref="G620" ca="1">IF($B620="N","",SUM(IF((INDIRECT($B620&amp;"!I23:I200")=$A$2)*(INDIRECT($B620&amp;"!O23:O200")=$D620)*(INDIRECT($B620&amp;"!O23:O200")&lt;&gt;"")*(INDIRECT($B620&amp;"!H23:H200")=$G$5),1,0)))</f>
        <v/>
      </c>
      <c r="H620" s="513" t="str">
        <f t="array" aca="1" ref="H620" ca="1">IF($B620="N","",SUM(IF((INDIRECT($B620&amp;"!I23:I200")=$A$2)*(INDIRECT($B620&amp;"!O23:O200")=$D620)*(INDIRECT($B620&amp;"!O23:O200")&lt;&gt;"")*(INDIRECT($B620&amp;"!H23:H200")=$G$5),INDIRECT($B620&amp;"!p23:p200"),0)))</f>
        <v/>
      </c>
      <c r="I620" s="515" t="str">
        <f t="shared" si="96"/>
        <v/>
      </c>
      <c r="J620" s="513" t="str">
        <f t="shared" si="97"/>
        <v/>
      </c>
    </row>
    <row r="621" spans="2:10">
      <c r="B621" s="563" t="str">
        <f t="shared" si="98"/>
        <v>N</v>
      </c>
      <c r="D621" s="511">
        <v>1.5</v>
      </c>
      <c r="E621" s="521" t="str">
        <f t="array" aca="1" ref="E621" ca="1">IF($B621="N","",SUM(IF((INDIRECT($B621&amp;"!I23:I200")=$A$2)*(INDIRECT($B621&amp;"!O23:O200")=$D621)*(INDIRECT($B621&amp;"!O23:O200")&lt;&gt;"")*(INDIRECT($B621&amp;"!H23:H200")=$E$5),1,0)))</f>
        <v/>
      </c>
      <c r="F621" s="513" t="str">
        <f t="array" aca="1" ref="F621" ca="1">IF($B621="N","",SUM(IF((INDIRECT($B621&amp;"!I23:I200")=$A$2)*(INDIRECT($B621&amp;"!O23:O200")=$D621)*(INDIRECT($B621&amp;"!O23:O200")&lt;&gt;"")*(INDIRECT($B621&amp;"!H23:H200")=$E$5),INDIRECT($B621&amp;"!p23:p200"),0)))</f>
        <v/>
      </c>
      <c r="G621" s="521" t="str">
        <f t="array" aca="1" ref="G621" ca="1">IF($B621="N","",SUM(IF((INDIRECT($B621&amp;"!I23:I200")=$A$2)*(INDIRECT($B621&amp;"!O23:O200")=$D621)*(INDIRECT($B621&amp;"!O23:O200")&lt;&gt;"")*(INDIRECT($B621&amp;"!H23:H200")=$G$5),1,0)))</f>
        <v/>
      </c>
      <c r="H621" s="513" t="str">
        <f t="array" aca="1" ref="H621" ca="1">IF($B621="N","",SUM(IF((INDIRECT($B621&amp;"!I23:I200")=$A$2)*(INDIRECT($B621&amp;"!O23:O200")=$D621)*(INDIRECT($B621&amp;"!O23:O200")&lt;&gt;"")*(INDIRECT($B621&amp;"!H23:H200")=$G$5),INDIRECT($B621&amp;"!p23:p200"),0)))</f>
        <v/>
      </c>
      <c r="I621" s="515" t="str">
        <f t="shared" si="96"/>
        <v/>
      </c>
      <c r="J621" s="513" t="str">
        <f t="shared" si="97"/>
        <v/>
      </c>
    </row>
    <row r="622" spans="2:10">
      <c r="B622" s="563" t="str">
        <f t="shared" si="98"/>
        <v>N</v>
      </c>
      <c r="D622" s="528">
        <v>1.75</v>
      </c>
      <c r="E622" s="495" t="str">
        <f t="array" aca="1" ref="E622" ca="1">IF($B622="N","",SUM(IF((INDIRECT($B622&amp;"!I23:I200")=$A$2)*(INDIRECT($B622&amp;"!O23:O200")=$D622)*(INDIRECT($B622&amp;"!O23:O200")&lt;&gt;"")*(INDIRECT($B622&amp;"!H23:H200")=$E$5),1,0)))</f>
        <v/>
      </c>
      <c r="F622" s="577" t="str">
        <f t="array" aca="1" ref="F622" ca="1">IF($B622="N","",SUM(IF((INDIRECT($B622&amp;"!I23:I200")=$A$2)*(INDIRECT($B622&amp;"!O23:O200")=$D622)*(INDIRECT($B622&amp;"!O23:O200")&lt;&gt;"")*(INDIRECT($B622&amp;"!H23:H200")=$E$5),INDIRECT($B622&amp;"!p23:p200"),0)))</f>
        <v/>
      </c>
      <c r="G622" s="495" t="str">
        <f t="array" aca="1" ref="G622" ca="1">IF($B622="N","",SUM(IF((INDIRECT($B622&amp;"!I23:I200")=$A$2)*(INDIRECT($B622&amp;"!O23:O200")=$D622)*(INDIRECT($B622&amp;"!O23:O200")&lt;&gt;"")*(INDIRECT($B622&amp;"!H23:H200")=$G$5),1,0)))</f>
        <v/>
      </c>
      <c r="H622" s="577" t="str">
        <f t="array" aca="1" ref="H622" ca="1">IF($B622="N","",SUM(IF((INDIRECT($B622&amp;"!I23:I200")=$A$2)*(INDIRECT($B622&amp;"!O23:O200")=$D622)*(INDIRECT($B622&amp;"!O23:O200")&lt;&gt;"")*(INDIRECT($B622&amp;"!H23:H200")=$G$5),INDIRECT($B622&amp;"!p23:p200"),0)))</f>
        <v/>
      </c>
      <c r="I622" s="515" t="str">
        <f t="shared" si="96"/>
        <v/>
      </c>
      <c r="J622" s="513" t="str">
        <f t="shared" si="97"/>
        <v/>
      </c>
    </row>
    <row r="623" spans="2:10">
      <c r="B623" s="563" t="str">
        <f t="shared" si="98"/>
        <v>N</v>
      </c>
      <c r="D623" s="528">
        <v>2</v>
      </c>
      <c r="E623" s="495" t="str">
        <f t="array" aca="1" ref="E623" ca="1">IF($B623="N","",SUM(IF((INDIRECT($B623&amp;"!I23:I200")=$A$2)*(INDIRECT($B623&amp;"!O23:O200")=$D623)*(INDIRECT($B623&amp;"!O23:O200")&lt;&gt;"")*(INDIRECT($B623&amp;"!H23:H200")=$E$5),1,0)))</f>
        <v/>
      </c>
      <c r="F623" s="577" t="str">
        <f t="array" aca="1" ref="F623" ca="1">IF($B623="N","",SUM(IF((INDIRECT($B623&amp;"!I23:I200")=$A$2)*(INDIRECT($B623&amp;"!O23:O200")=$D623)*(INDIRECT($B623&amp;"!O23:O200")&lt;&gt;"")*(INDIRECT($B623&amp;"!H23:H200")=$E$5),INDIRECT($B623&amp;"!p23:p200"),0)))</f>
        <v/>
      </c>
      <c r="G623" s="495" t="str">
        <f t="array" aca="1" ref="G623" ca="1">IF($B623="N","",SUM(IF((INDIRECT($B623&amp;"!I23:I200")=$A$2)*(INDIRECT($B623&amp;"!O23:O200")=$D623)*(INDIRECT($B623&amp;"!O23:O200")&lt;&gt;"")*(INDIRECT($B623&amp;"!H23:H200")=$G$5),1,0)))</f>
        <v/>
      </c>
      <c r="H623" s="577" t="str">
        <f t="array" aca="1" ref="H623" ca="1">IF($B623="N","",SUM(IF((INDIRECT($B623&amp;"!I23:I200")=$A$2)*(INDIRECT($B623&amp;"!O23:O200")=$D623)*(INDIRECT($B623&amp;"!O23:O200")&lt;&gt;"")*(INDIRECT($B623&amp;"!H23:H200")=$G$5),INDIRECT($B623&amp;"!p23:p200"),0)))</f>
        <v/>
      </c>
      <c r="I623" s="515" t="str">
        <f t="shared" si="96"/>
        <v/>
      </c>
      <c r="J623" s="513" t="str">
        <f t="shared" si="97"/>
        <v/>
      </c>
    </row>
    <row r="624" spans="2:10">
      <c r="B624" s="563" t="str">
        <f t="shared" si="98"/>
        <v>N</v>
      </c>
      <c r="D624" s="528">
        <v>2.25</v>
      </c>
      <c r="E624" s="495" t="str">
        <f t="array" aca="1" ref="E624" ca="1">IF($B624="N","",SUM(IF((INDIRECT($B624&amp;"!I23:I200")=$A$2)*(INDIRECT($B624&amp;"!O23:O200")=$D624)*(INDIRECT($B624&amp;"!O23:O200")&lt;&gt;"")*(INDIRECT($B624&amp;"!H23:H200")=$E$5),1,0)))</f>
        <v/>
      </c>
      <c r="F624" s="577" t="str">
        <f t="array" aca="1" ref="F624" ca="1">IF($B624="N","",SUM(IF((INDIRECT($B624&amp;"!I23:I200")=$A$2)*(INDIRECT($B624&amp;"!O23:O200")=$D624)*(INDIRECT($B624&amp;"!O23:O200")&lt;&gt;"")*(INDIRECT($B624&amp;"!H23:H200")=$E$5),INDIRECT($B624&amp;"!p23:p200"),0)))</f>
        <v/>
      </c>
      <c r="G624" s="495" t="str">
        <f t="array" aca="1" ref="G624" ca="1">IF($B624="N","",SUM(IF((INDIRECT($B624&amp;"!I23:I200")=$A$2)*(INDIRECT($B624&amp;"!O23:O200")=$D624)*(INDIRECT($B624&amp;"!O23:O200")&lt;&gt;"")*(INDIRECT($B624&amp;"!H23:H200")=$G$5),1,0)))</f>
        <v/>
      </c>
      <c r="H624" s="577" t="str">
        <f t="array" aca="1" ref="H624" ca="1">IF($B624="N","",SUM(IF((INDIRECT($B624&amp;"!I23:I200")=$A$2)*(INDIRECT($B624&amp;"!O23:O200")=$D624)*(INDIRECT($B624&amp;"!O23:O200")&lt;&gt;"")*(INDIRECT($B624&amp;"!H23:H200")=$G$5),INDIRECT($B624&amp;"!p23:p200"),0)))</f>
        <v/>
      </c>
      <c r="I624" s="515" t="str">
        <f t="shared" si="96"/>
        <v/>
      </c>
      <c r="J624" s="513" t="str">
        <f t="shared" si="97"/>
        <v/>
      </c>
    </row>
    <row r="625" spans="1:10">
      <c r="B625" s="563" t="str">
        <f t="shared" si="98"/>
        <v>N</v>
      </c>
      <c r="D625" s="528">
        <v>2.5</v>
      </c>
      <c r="E625" s="495" t="str">
        <f t="array" aca="1" ref="E625" ca="1">IF($B625="N","",SUM(IF((INDIRECT($B625&amp;"!I23:I200")=$A$2)*(INDIRECT($B625&amp;"!O23:O200")=$D625)*(INDIRECT($B625&amp;"!O23:O200")&lt;&gt;"")*(INDIRECT($B625&amp;"!H23:H200")=$E$5),1,0)))</f>
        <v/>
      </c>
      <c r="F625" s="577" t="str">
        <f t="array" aca="1" ref="F625" ca="1">IF($B625="N","",SUM(IF((INDIRECT($B625&amp;"!I23:I200")=$A$2)*(INDIRECT($B625&amp;"!O23:O200")=$D625)*(INDIRECT($B625&amp;"!O23:O200")&lt;&gt;"")*(INDIRECT($B625&amp;"!H23:H200")=$E$5),INDIRECT($B625&amp;"!p23:p200"),0)))</f>
        <v/>
      </c>
      <c r="G625" s="495" t="str">
        <f t="array" aca="1" ref="G625" ca="1">IF($B625="N","",SUM(IF((INDIRECT($B625&amp;"!I23:I200")=$A$2)*(INDIRECT($B625&amp;"!O23:O200")=$D625)*(INDIRECT($B625&amp;"!O23:O200")&lt;&gt;"")*(INDIRECT($B625&amp;"!H23:H200")=$G$5),1,0)))</f>
        <v/>
      </c>
      <c r="H625" s="577" t="str">
        <f t="array" aca="1" ref="H625" ca="1">IF($B625="N","",SUM(IF((INDIRECT($B625&amp;"!I23:I200")=$A$2)*(INDIRECT($B625&amp;"!O23:O200")=$D625)*(INDIRECT($B625&amp;"!O23:O200")&lt;&gt;"")*(INDIRECT($B625&amp;"!H23:H200")=$G$5),INDIRECT($B625&amp;"!p23:p200"),0)))</f>
        <v/>
      </c>
      <c r="I625" s="515" t="str">
        <f t="shared" si="96"/>
        <v/>
      </c>
      <c r="J625" s="513" t="str">
        <f t="shared" si="97"/>
        <v/>
      </c>
    </row>
    <row r="626" spans="1:10" ht="15" thickBot="1">
      <c r="B626" s="563" t="str">
        <f t="shared" si="98"/>
        <v>N</v>
      </c>
      <c r="D626" s="511">
        <v>2.75</v>
      </c>
      <c r="E626" s="495" t="str">
        <f t="array" aca="1" ref="E626" ca="1">IF($B626="N","",SUM(IF((INDIRECT($B626&amp;"!I23:I200")=$A$2)*(INDIRECT($B626&amp;"!O23:O200")=$D626)*(INDIRECT($B626&amp;"!O23:O200")&lt;&gt;"")*(INDIRECT($B626&amp;"!H23:H200")=$E$5),1,0)))</f>
        <v/>
      </c>
      <c r="F626" s="577" t="str">
        <f t="array" aca="1" ref="F626" ca="1">IF($B626="N","",SUM(IF((INDIRECT($B626&amp;"!I23:I200")=$A$2)*(INDIRECT($B626&amp;"!O23:O200")=$D626)*(INDIRECT($B626&amp;"!O23:O200")&lt;&gt;"")*(INDIRECT($B626&amp;"!H23:H200")=$E$5),INDIRECT($B626&amp;"!p23:p200"),0)))</f>
        <v/>
      </c>
      <c r="G626" s="495" t="str">
        <f t="array" aca="1" ref="G626" ca="1">IF($B626="N","",SUM(IF((INDIRECT($B626&amp;"!I23:I200")=$A$2)*(INDIRECT($B626&amp;"!O23:O200")=$D626)*(INDIRECT($B626&amp;"!O23:O200")&lt;&gt;"")*(INDIRECT($B626&amp;"!H23:H200")=$G$5),1,0)))</f>
        <v/>
      </c>
      <c r="H626" s="577" t="str">
        <f t="array" aca="1" ref="H626" ca="1">IF($B626="N","",SUM(IF((INDIRECT($B626&amp;"!I23:I200")=$A$2)*(INDIRECT($B626&amp;"!O23:O200")=$D626)*(INDIRECT($B626&amp;"!O23:O200")&lt;&gt;"")*(INDIRECT($B626&amp;"!H23:H200")=$G$5),INDIRECT($B626&amp;"!p23:p200"),0)))</f>
        <v/>
      </c>
      <c r="I626" s="553" t="str">
        <f t="shared" si="96"/>
        <v/>
      </c>
      <c r="J626" s="552" t="str">
        <f t="shared" si="97"/>
        <v/>
      </c>
    </row>
    <row r="627" spans="1:10" ht="15" thickBot="1">
      <c r="A627" s="567"/>
      <c r="B627" s="568"/>
      <c r="C627" s="569">
        <f>D602</f>
        <v>0</v>
      </c>
      <c r="D627" s="570" t="s">
        <v>115</v>
      </c>
      <c r="E627" s="571">
        <f t="shared" ref="E627:J627" ca="1" si="99">SUM(E604:E626)</f>
        <v>0</v>
      </c>
      <c r="F627" s="572">
        <f t="shared" ca="1" si="99"/>
        <v>0</v>
      </c>
      <c r="G627" s="571">
        <f t="shared" ca="1" si="99"/>
        <v>0</v>
      </c>
      <c r="H627" s="572">
        <f t="shared" ca="1" si="99"/>
        <v>0</v>
      </c>
      <c r="I627" s="573">
        <f t="shared" si="99"/>
        <v>0</v>
      </c>
      <c r="J627" s="572">
        <f t="shared" si="99"/>
        <v>0</v>
      </c>
    </row>
    <row r="628" spans="1:10" ht="15" thickBot="1">
      <c r="A628" s="567"/>
      <c r="C628" s="576"/>
    </row>
    <row r="629" spans="1:10">
      <c r="A629" s="567"/>
      <c r="B629" s="357"/>
      <c r="C629" s="569"/>
      <c r="D629" s="562">
        <f>N2</f>
        <v>0</v>
      </c>
      <c r="E629" s="490" t="s">
        <v>80</v>
      </c>
      <c r="F629" s="491"/>
      <c r="G629" s="490" t="s">
        <v>81</v>
      </c>
      <c r="H629" s="491"/>
      <c r="I629" s="490" t="s">
        <v>82</v>
      </c>
      <c r="J629" s="492"/>
    </row>
    <row r="630" spans="1:10" ht="15" thickBot="1">
      <c r="B630" s="357"/>
      <c r="C630" s="357"/>
      <c r="D630" s="499" t="s">
        <v>120</v>
      </c>
      <c r="E630" s="497" t="s">
        <v>123</v>
      </c>
      <c r="F630" s="552" t="s">
        <v>124</v>
      </c>
      <c r="G630" s="497" t="s">
        <v>123</v>
      </c>
      <c r="H630" s="552" t="s">
        <v>124</v>
      </c>
      <c r="I630" s="501" t="s">
        <v>123</v>
      </c>
      <c r="J630" s="552" t="s">
        <v>124</v>
      </c>
    </row>
    <row r="631" spans="1:10">
      <c r="B631" s="563" t="str">
        <f>IF(D629=0,"N",D629)</f>
        <v>N</v>
      </c>
      <c r="D631" s="511">
        <v>-2.75</v>
      </c>
      <c r="E631" s="564" t="str">
        <f t="array" aca="1" ref="E631" ca="1">IF($B631="N","",SUM(IF((INDIRECT($B631&amp;"!I23:I200")=$A$2)*(INDIRECT($B631&amp;"!O23:O200")=$D631)*(INDIRECT($B631&amp;"!O23:O200")&lt;&gt;"")*(INDIRECT($B631&amp;"!H23:H200")=$E$5),1,0)))</f>
        <v/>
      </c>
      <c r="F631" s="565" t="str">
        <f t="array" aca="1" ref="F631" ca="1">IF($B631="N","",SUM(IF((INDIRECT($B631&amp;"!I23:I200")=$A$2)*(INDIRECT($B631&amp;"!O23:O200")=$D631)*(INDIRECT($B631&amp;"!O23:O200")&lt;&gt;"")*(INDIRECT($B631&amp;"!H23:H200")=$E$5),INDIRECT($B631&amp;"!p23:p200"),0)))</f>
        <v/>
      </c>
      <c r="G631" s="564" t="str">
        <f t="array" aca="1" ref="G631" ca="1">IF($B631="N","",SUM(IF((INDIRECT($B631&amp;"!I23:I200")=$A$2)*(INDIRECT($B631&amp;"!O23:O200")=$D631)*(INDIRECT($B631&amp;"!O23:O200")&lt;&gt;"")*(INDIRECT($B631&amp;"!H23:H200")=$G$5),1,0)))</f>
        <v/>
      </c>
      <c r="H631" s="565" t="str">
        <f t="array" aca="1" ref="H631" ca="1">IF($B631="N","",SUM(IF((INDIRECT($B631&amp;"!I23:I200")=$A$2)*(INDIRECT($B631&amp;"!O23:O200")=$D631)*(INDIRECT($B631&amp;"!O23:O200")&lt;&gt;"")*(INDIRECT($B631&amp;"!H23:H200")=$G$5),INDIRECT($B631&amp;"!p23:p200"),0)))</f>
        <v/>
      </c>
      <c r="I631" s="515" t="str">
        <f t="shared" ref="I631:I653" si="100">IF(B631="N","",G631+E631)</f>
        <v/>
      </c>
      <c r="J631" s="513" t="str">
        <f>IF(I631="","",F631+H631)</f>
        <v/>
      </c>
    </row>
    <row r="632" spans="1:10">
      <c r="B632" s="563" t="str">
        <f>B631</f>
        <v>N</v>
      </c>
      <c r="D632" s="520">
        <v>-2.5</v>
      </c>
      <c r="E632" s="521" t="str">
        <f t="array" aca="1" ref="E632" ca="1">IF($B632="N","",SUM(IF((INDIRECT($B632&amp;"!I23:I200")=$A$2)*(INDIRECT($B632&amp;"!O23:O200")=$D632)*(INDIRECT($B632&amp;"!O23:O200")&lt;&gt;"")*(INDIRECT($B632&amp;"!H23:H200")=$E$5),1,0)))</f>
        <v/>
      </c>
      <c r="F632" s="513" t="str">
        <f t="array" aca="1" ref="F632" ca="1">IF($B632="N","",SUM(IF((INDIRECT($B632&amp;"!I23:I200")=$A$2)*(INDIRECT($B632&amp;"!O23:O200")=$D632)*(INDIRECT($B632&amp;"!O23:O200")&lt;&gt;"")*(INDIRECT($B632&amp;"!H23:H200")=$E$5),INDIRECT($B632&amp;"!p23:p200"),0)))</f>
        <v/>
      </c>
      <c r="G632" s="521" t="str">
        <f t="array" aca="1" ref="G632" ca="1">IF($B632="N","",SUM(IF((INDIRECT($B632&amp;"!I23:I200")=$A$2)*(INDIRECT($B632&amp;"!O23:O200")=$D632)*(INDIRECT($B632&amp;"!O23:O200")&lt;&gt;"")*(INDIRECT($B632&amp;"!H23:H200")=$G$5),1,0)))</f>
        <v/>
      </c>
      <c r="H632" s="513" t="str">
        <f t="array" aca="1" ref="H632" ca="1">IF($B632="N","",SUM(IF((INDIRECT($B632&amp;"!I23:I200")=$A$2)*(INDIRECT($B632&amp;"!O23:O200")=$D632)*(INDIRECT($B632&amp;"!O23:O200")&lt;&gt;"")*(INDIRECT($B632&amp;"!H23:H200")=$G$5),INDIRECT($B632&amp;"!p23:p200"),0)))</f>
        <v/>
      </c>
      <c r="I632" s="515" t="str">
        <f t="shared" si="100"/>
        <v/>
      </c>
      <c r="J632" s="513" t="str">
        <f t="shared" ref="J632:J653" si="101">IF(I632="","",F632+H632)</f>
        <v/>
      </c>
    </row>
    <row r="633" spans="1:10">
      <c r="B633" s="563" t="str">
        <f t="shared" ref="B633:B653" si="102">B632</f>
        <v>N</v>
      </c>
      <c r="D633" s="520">
        <v>-2.25</v>
      </c>
      <c r="E633" s="521" t="str">
        <f t="array" aca="1" ref="E633" ca="1">IF($B633="N","",SUM(IF((INDIRECT($B633&amp;"!I23:I200")=$A$2)*(INDIRECT($B633&amp;"!O23:O200")=$D633)*(INDIRECT($B633&amp;"!O23:O200")&lt;&gt;"")*(INDIRECT($B633&amp;"!H23:H200")=$E$5),1,0)))</f>
        <v/>
      </c>
      <c r="F633" s="513" t="str">
        <f t="array" aca="1" ref="F633" ca="1">IF($B633="N","",SUM(IF((INDIRECT($B633&amp;"!I23:I200")=$A$2)*(INDIRECT($B633&amp;"!O23:O200")=$D633)*(INDIRECT($B633&amp;"!O23:O200")&lt;&gt;"")*(INDIRECT($B633&amp;"!H23:H200")=$E$5),INDIRECT($B633&amp;"!p23:p200"),0)))</f>
        <v/>
      </c>
      <c r="G633" s="521" t="str">
        <f t="array" aca="1" ref="G633" ca="1">IF($B633="N","",SUM(IF((INDIRECT($B633&amp;"!I23:I200")=$A$2)*(INDIRECT($B633&amp;"!O23:O200")=$D633)*(INDIRECT($B633&amp;"!O23:O200")&lt;&gt;"")*(INDIRECT($B633&amp;"!H23:H200")=$G$5),1,0)))</f>
        <v/>
      </c>
      <c r="H633" s="513" t="str">
        <f t="array" aca="1" ref="H633" ca="1">IF($B633="N","",SUM(IF((INDIRECT($B633&amp;"!I23:I200")=$A$2)*(INDIRECT($B633&amp;"!O23:O200")=$D633)*(INDIRECT($B633&amp;"!O23:O200")&lt;&gt;"")*(INDIRECT($B633&amp;"!H23:H200")=$G$5),INDIRECT($B633&amp;"!p23:p200"),0)))</f>
        <v/>
      </c>
      <c r="I633" s="515" t="str">
        <f t="shared" si="100"/>
        <v/>
      </c>
      <c r="J633" s="513" t="str">
        <f t="shared" si="101"/>
        <v/>
      </c>
    </row>
    <row r="634" spans="1:10">
      <c r="B634" s="563" t="str">
        <f t="shared" si="102"/>
        <v>N</v>
      </c>
      <c r="D634" s="520">
        <v>-2</v>
      </c>
      <c r="E634" s="521" t="str">
        <f t="array" aca="1" ref="E634" ca="1">IF($B634="N","",SUM(IF((INDIRECT($B634&amp;"!I23:I200")=$A$2)*(INDIRECT($B634&amp;"!O23:O200")=$D634)*(INDIRECT($B634&amp;"!O23:O200")&lt;&gt;"")*(INDIRECT($B634&amp;"!H23:H200")=$E$5),1,0)))</f>
        <v/>
      </c>
      <c r="F634" s="513" t="str">
        <f t="array" aca="1" ref="F634" ca="1">IF($B634="N","",SUM(IF((INDIRECT($B634&amp;"!I23:I200")=$A$2)*(INDIRECT($B634&amp;"!O23:O200")=$D634)*(INDIRECT($B634&amp;"!O23:O200")&lt;&gt;"")*(INDIRECT($B634&amp;"!H23:H200")=$E$5),INDIRECT($B634&amp;"!p23:p200"),0)))</f>
        <v/>
      </c>
      <c r="G634" s="521" t="str">
        <f t="array" aca="1" ref="G634" ca="1">IF($B634="N","",SUM(IF((INDIRECT($B634&amp;"!I23:I200")=$A$2)*(INDIRECT($B634&amp;"!O23:O200")=$D634)*(INDIRECT($B634&amp;"!O23:O200")&lt;&gt;"")*(INDIRECT($B634&amp;"!H23:H200")=$G$5),1,0)))</f>
        <v/>
      </c>
      <c r="H634" s="513" t="str">
        <f t="array" aca="1" ref="H634" ca="1">IF($B634="N","",SUM(IF((INDIRECT($B634&amp;"!I23:I200")=$A$2)*(INDIRECT($B634&amp;"!O23:O200")=$D634)*(INDIRECT($B634&amp;"!O23:O200")&lt;&gt;"")*(INDIRECT($B634&amp;"!H23:H200")=$G$5),INDIRECT($B634&amp;"!p23:p200"),0)))</f>
        <v/>
      </c>
      <c r="I634" s="515" t="str">
        <f t="shared" si="100"/>
        <v/>
      </c>
      <c r="J634" s="513" t="str">
        <f t="shared" si="101"/>
        <v/>
      </c>
    </row>
    <row r="635" spans="1:10">
      <c r="B635" s="563" t="str">
        <f t="shared" si="102"/>
        <v>N</v>
      </c>
      <c r="D635" s="520">
        <v>-1.75</v>
      </c>
      <c r="E635" s="521" t="str">
        <f t="array" aca="1" ref="E635" ca="1">IF($B635="N","",SUM(IF((INDIRECT($B635&amp;"!I23:I200")=$A$2)*(INDIRECT($B635&amp;"!O23:O200")=$D635)*(INDIRECT($B635&amp;"!O23:O200")&lt;&gt;"")*(INDIRECT($B635&amp;"!H23:H200")=$E$5),1,0)))</f>
        <v/>
      </c>
      <c r="F635" s="513" t="str">
        <f t="array" aca="1" ref="F635" ca="1">IF($B635="N","",SUM(IF((INDIRECT($B635&amp;"!I23:I200")=$A$2)*(INDIRECT($B635&amp;"!O23:O200")=$D635)*(INDIRECT($B635&amp;"!O23:O200")&lt;&gt;"")*(INDIRECT($B635&amp;"!H23:H200")=$E$5),INDIRECT($B635&amp;"!p23:p200"),0)))</f>
        <v/>
      </c>
      <c r="G635" s="521" t="str">
        <f t="array" aca="1" ref="G635" ca="1">IF($B635="N","",SUM(IF((INDIRECT($B635&amp;"!I23:I200")=$A$2)*(INDIRECT($B635&amp;"!O23:O200")=$D635)*(INDIRECT($B635&amp;"!O23:O200")&lt;&gt;"")*(INDIRECT($B635&amp;"!H23:H200")=$G$5),1,0)))</f>
        <v/>
      </c>
      <c r="H635" s="513" t="str">
        <f t="array" aca="1" ref="H635" ca="1">IF($B635="N","",SUM(IF((INDIRECT($B635&amp;"!I23:I200")=$A$2)*(INDIRECT($B635&amp;"!O23:O200")=$D635)*(INDIRECT($B635&amp;"!O23:O200")&lt;&gt;"")*(INDIRECT($B635&amp;"!H23:H200")=$G$5),INDIRECT($B635&amp;"!p23:p200"),0)))</f>
        <v/>
      </c>
      <c r="I635" s="515" t="str">
        <f t="shared" si="100"/>
        <v/>
      </c>
      <c r="J635" s="513" t="str">
        <f t="shared" si="101"/>
        <v/>
      </c>
    </row>
    <row r="636" spans="1:10">
      <c r="B636" s="563" t="str">
        <f t="shared" si="102"/>
        <v>N</v>
      </c>
      <c r="D636" s="511">
        <v>-1.5</v>
      </c>
      <c r="E636" s="521" t="str">
        <f t="array" aca="1" ref="E636" ca="1">IF($B636="N","",SUM(IF((INDIRECT($B636&amp;"!I23:I200")=$A$2)*(INDIRECT($B636&amp;"!O23:O200")=$D636)*(INDIRECT($B636&amp;"!O23:O200")&lt;&gt;"")*(INDIRECT($B636&amp;"!H23:H200")=$E$5),1,0)))</f>
        <v/>
      </c>
      <c r="F636" s="513" t="str">
        <f t="array" aca="1" ref="F636" ca="1">IF($B636="N","",SUM(IF((INDIRECT($B636&amp;"!I23:I200")=$A$2)*(INDIRECT($B636&amp;"!O23:O200")=$D636)*(INDIRECT($B636&amp;"!O23:O200")&lt;&gt;"")*(INDIRECT($B636&amp;"!H23:H200")=$E$5),INDIRECT($B636&amp;"!p23:p200"),0)))</f>
        <v/>
      </c>
      <c r="G636" s="521" t="str">
        <f t="array" aca="1" ref="G636" ca="1">IF($B636="N","",SUM(IF((INDIRECT($B636&amp;"!I23:I200")=$A$2)*(INDIRECT($B636&amp;"!O23:O200")=$D636)*(INDIRECT($B636&amp;"!O23:O200")&lt;&gt;"")*(INDIRECT($B636&amp;"!H23:H200")=$G$5),1,0)))</f>
        <v/>
      </c>
      <c r="H636" s="513" t="str">
        <f t="array" aca="1" ref="H636" ca="1">IF($B636="N","",SUM(IF((INDIRECT($B636&amp;"!I23:I200")=$A$2)*(INDIRECT($B636&amp;"!O23:O200")=$D636)*(INDIRECT($B636&amp;"!O23:O200")&lt;&gt;"")*(INDIRECT($B636&amp;"!H23:H200")=$G$5),INDIRECT($B636&amp;"!p23:p200"),0)))</f>
        <v/>
      </c>
      <c r="I636" s="515" t="str">
        <f t="shared" si="100"/>
        <v/>
      </c>
      <c r="J636" s="513" t="str">
        <f t="shared" si="101"/>
        <v/>
      </c>
    </row>
    <row r="637" spans="1:10">
      <c r="B637" s="563" t="str">
        <f t="shared" si="102"/>
        <v>N</v>
      </c>
      <c r="D637" s="511">
        <v>-1.25</v>
      </c>
      <c r="E637" s="521" t="str">
        <f t="array" aca="1" ref="E637" ca="1">IF($B637="N","",SUM(IF((INDIRECT($B637&amp;"!I23:I200")=$A$2)*(INDIRECT($B637&amp;"!O23:O200")=$D637)*(INDIRECT($B637&amp;"!O23:O200")&lt;&gt;"")*(INDIRECT($B637&amp;"!H23:H200")=$E$5),1,0)))</f>
        <v/>
      </c>
      <c r="F637" s="513" t="str">
        <f t="array" aca="1" ref="F637" ca="1">IF($B637="N","",SUM(IF((INDIRECT($B637&amp;"!I23:I200")=$A$2)*(INDIRECT($B637&amp;"!O23:O200")=$D637)*(INDIRECT($B637&amp;"!O23:O200")&lt;&gt;"")*(INDIRECT($B637&amp;"!H23:H200")=$E$5),INDIRECT($B637&amp;"!p23:p200"),0)))</f>
        <v/>
      </c>
      <c r="G637" s="521" t="str">
        <f t="array" aca="1" ref="G637" ca="1">IF($B637="N","",SUM(IF((INDIRECT($B637&amp;"!I23:I200")=$A$2)*(INDIRECT($B637&amp;"!O23:O200")=$D637)*(INDIRECT($B637&amp;"!O23:O200")&lt;&gt;"")*(INDIRECT($B637&amp;"!H23:H200")=$G$5),1,0)))</f>
        <v/>
      </c>
      <c r="H637" s="513" t="str">
        <f t="array" aca="1" ref="H637" ca="1">IF($B637="N","",SUM(IF((INDIRECT($B637&amp;"!I23:I200")=$A$2)*(INDIRECT($B637&amp;"!O23:O200")=$D637)*(INDIRECT($B637&amp;"!O23:O200")&lt;&gt;"")*(INDIRECT($B637&amp;"!H23:H200")=$G$5),INDIRECT($B637&amp;"!p23:p200"),0)))</f>
        <v/>
      </c>
      <c r="I637" s="515" t="str">
        <f t="shared" si="100"/>
        <v/>
      </c>
      <c r="J637" s="513" t="str">
        <f t="shared" si="101"/>
        <v/>
      </c>
    </row>
    <row r="638" spans="1:10">
      <c r="B638" s="563" t="str">
        <f t="shared" si="102"/>
        <v>N</v>
      </c>
      <c r="D638" s="511">
        <v>-1</v>
      </c>
      <c r="E638" s="521" t="str">
        <f t="array" aca="1" ref="E638" ca="1">IF($B638="N","",SUM(IF((INDIRECT($B638&amp;"!I23:I200")=$A$2)*(INDIRECT($B638&amp;"!O23:O200")=$D638)*(INDIRECT($B638&amp;"!O23:O200")&lt;&gt;"")*(INDIRECT($B638&amp;"!H23:H200")=$E$5),1,0)))</f>
        <v/>
      </c>
      <c r="F638" s="513" t="str">
        <f t="array" aca="1" ref="F638" ca="1">IF($B638="N","",SUM(IF((INDIRECT($B638&amp;"!I23:I200")=$A$2)*(INDIRECT($B638&amp;"!O23:O200")=$D638)*(INDIRECT($B638&amp;"!O23:O200")&lt;&gt;"")*(INDIRECT($B638&amp;"!H23:H200")=$E$5),INDIRECT($B638&amp;"!p23:p200"),0)))</f>
        <v/>
      </c>
      <c r="G638" s="521" t="str">
        <f t="array" aca="1" ref="G638" ca="1">IF($B638="N","",SUM(IF((INDIRECT($B638&amp;"!I23:I200")=$A$2)*(INDIRECT($B638&amp;"!O23:O200")=$D638)*(INDIRECT($B638&amp;"!O23:O200")&lt;&gt;"")*(INDIRECT($B638&amp;"!H23:H200")=$G$5),1,0)))</f>
        <v/>
      </c>
      <c r="H638" s="513" t="str">
        <f t="array" aca="1" ref="H638" ca="1">IF($B638="N","",SUM(IF((INDIRECT($B638&amp;"!I23:I200")=$A$2)*(INDIRECT($B638&amp;"!O23:O200")=$D638)*(INDIRECT($B638&amp;"!O23:O200")&lt;&gt;"")*(INDIRECT($B638&amp;"!H23:H200")=$G$5),INDIRECT($B638&amp;"!p23:p200"),0)))</f>
        <v/>
      </c>
      <c r="I638" s="515" t="str">
        <f t="shared" si="100"/>
        <v/>
      </c>
      <c r="J638" s="513" t="str">
        <f t="shared" si="101"/>
        <v/>
      </c>
    </row>
    <row r="639" spans="1:10">
      <c r="B639" s="563" t="str">
        <f t="shared" si="102"/>
        <v>N</v>
      </c>
      <c r="D639" s="511">
        <v>-0.75</v>
      </c>
      <c r="E639" s="521" t="str">
        <f t="array" aca="1" ref="E639" ca="1">IF($B639="N","",SUM(IF((INDIRECT($B639&amp;"!I23:I200")=$A$2)*(INDIRECT($B639&amp;"!O23:O200")=$D639)*(INDIRECT($B639&amp;"!O23:O200")&lt;&gt;"")*(INDIRECT($B639&amp;"!H23:H200")=$E$5),1,0)))</f>
        <v/>
      </c>
      <c r="F639" s="513" t="str">
        <f t="array" aca="1" ref="F639" ca="1">IF($B639="N","",SUM(IF((INDIRECT($B639&amp;"!I23:I200")=$A$2)*(INDIRECT($B639&amp;"!O23:O200")=$D639)*(INDIRECT($B639&amp;"!O23:O200")&lt;&gt;"")*(INDIRECT($B639&amp;"!H23:H200")=$E$5),INDIRECT($B639&amp;"!p23:p200"),0)))</f>
        <v/>
      </c>
      <c r="G639" s="521" t="str">
        <f t="array" aca="1" ref="G639" ca="1">IF($B639="N","",SUM(IF((INDIRECT($B639&amp;"!I23:I200")=$A$2)*(INDIRECT($B639&amp;"!O23:O200")=$D639)*(INDIRECT($B639&amp;"!O23:O200")&lt;&gt;"")*(INDIRECT($B639&amp;"!H23:H200")=$G$5),1,0)))</f>
        <v/>
      </c>
      <c r="H639" s="513" t="str">
        <f t="array" aca="1" ref="H639" ca="1">IF($B639="N","",SUM(IF((INDIRECT($B639&amp;"!I23:I200")=$A$2)*(INDIRECT($B639&amp;"!O23:O200")=$D639)*(INDIRECT($B639&amp;"!O23:O200")&lt;&gt;"")*(INDIRECT($B639&amp;"!H23:H200")=$G$5),INDIRECT($B639&amp;"!p23:p200"),0)))</f>
        <v/>
      </c>
      <c r="I639" s="515" t="str">
        <f t="shared" si="100"/>
        <v/>
      </c>
      <c r="J639" s="513" t="str">
        <f t="shared" si="101"/>
        <v/>
      </c>
    </row>
    <row r="640" spans="1:10">
      <c r="B640" s="563" t="str">
        <f t="shared" si="102"/>
        <v>N</v>
      </c>
      <c r="D640" s="511">
        <v>-0.5</v>
      </c>
      <c r="E640" s="521" t="str">
        <f t="array" aca="1" ref="E640" ca="1">IF($B640="N","",SUM(IF((INDIRECT($B640&amp;"!I23:I200")=$A$2)*(INDIRECT($B640&amp;"!O23:O200")=$D640)*(INDIRECT($B640&amp;"!O23:O200")&lt;&gt;"")*(INDIRECT($B640&amp;"!H23:H200")=$E$5),1,0)))</f>
        <v/>
      </c>
      <c r="F640" s="513" t="str">
        <f t="array" aca="1" ref="F640" ca="1">IF($B640="N","",SUM(IF((INDIRECT($B640&amp;"!I23:I200")=$A$2)*(INDIRECT($B640&amp;"!O23:O200")=$D640)*(INDIRECT($B640&amp;"!O23:O200")&lt;&gt;"")*(INDIRECT($B640&amp;"!H23:H200")=$E$5),INDIRECT($B640&amp;"!p23:p200"),0)))</f>
        <v/>
      </c>
      <c r="G640" s="521" t="str">
        <f t="array" aca="1" ref="G640" ca="1">IF($B640="N","",SUM(IF((INDIRECT($B640&amp;"!I23:I200")=$A$2)*(INDIRECT($B640&amp;"!O23:O200")=$D640)*(INDIRECT($B640&amp;"!O23:O200")&lt;&gt;"")*(INDIRECT($B640&amp;"!H23:H200")=$G$5),1,0)))</f>
        <v/>
      </c>
      <c r="H640" s="513" t="str">
        <f t="array" aca="1" ref="H640" ca="1">IF($B640="N","",SUM(IF((INDIRECT($B640&amp;"!I23:I200")=$A$2)*(INDIRECT($B640&amp;"!O23:O200")=$D640)*(INDIRECT($B640&amp;"!O23:O200")&lt;&gt;"")*(INDIRECT($B640&amp;"!H23:H200")=$G$5),INDIRECT($B640&amp;"!p23:p200"),0)))</f>
        <v/>
      </c>
      <c r="I640" s="515" t="str">
        <f t="shared" si="100"/>
        <v/>
      </c>
      <c r="J640" s="513" t="str">
        <f t="shared" si="101"/>
        <v/>
      </c>
    </row>
    <row r="641" spans="1:10">
      <c r="B641" s="563" t="str">
        <f t="shared" si="102"/>
        <v>N</v>
      </c>
      <c r="D641" s="511">
        <v>-0.25</v>
      </c>
      <c r="E641" s="521" t="str">
        <f t="array" aca="1" ref="E641" ca="1">IF($B641="N","",SUM(IF((INDIRECT($B641&amp;"!I23:I200")=$A$2)*(INDIRECT($B641&amp;"!O23:O200")=$D641)*(INDIRECT($B641&amp;"!O23:O200")&lt;&gt;"")*(INDIRECT($B641&amp;"!H23:H200")=$E$5),1,0)))</f>
        <v/>
      </c>
      <c r="F641" s="513" t="str">
        <f t="array" aca="1" ref="F641" ca="1">IF($B641="N","",SUM(IF((INDIRECT($B641&amp;"!I23:I200")=$A$2)*(INDIRECT($B641&amp;"!O23:O200")=$D641)*(INDIRECT($B641&amp;"!O23:O200")&lt;&gt;"")*(INDIRECT($B641&amp;"!H23:H200")=$E$5),INDIRECT($B641&amp;"!p23:p200"),0)))</f>
        <v/>
      </c>
      <c r="G641" s="521" t="str">
        <f t="array" aca="1" ref="G641" ca="1">IF($B641="N","",SUM(IF((INDIRECT($B641&amp;"!I23:I200")=$A$2)*(INDIRECT($B641&amp;"!O23:O200")=$D641)*(INDIRECT($B641&amp;"!O23:O200")&lt;&gt;"")*(INDIRECT($B641&amp;"!H23:H200")=$G$5),1,0)))</f>
        <v/>
      </c>
      <c r="H641" s="513" t="str">
        <f t="array" aca="1" ref="H641" ca="1">IF($B641="N","",SUM(IF((INDIRECT($B641&amp;"!I23:I200")=$A$2)*(INDIRECT($B641&amp;"!O23:O200")=$D641)*(INDIRECT($B641&amp;"!O23:O200")&lt;&gt;"")*(INDIRECT($B641&amp;"!H23:H200")=$G$5),INDIRECT($B641&amp;"!p23:p200"),0)))</f>
        <v/>
      </c>
      <c r="I641" s="515" t="str">
        <f t="shared" si="100"/>
        <v/>
      </c>
      <c r="J641" s="513" t="str">
        <f t="shared" si="101"/>
        <v/>
      </c>
    </row>
    <row r="642" spans="1:10">
      <c r="B642" s="563" t="str">
        <f t="shared" si="102"/>
        <v>N</v>
      </c>
      <c r="D642" s="511">
        <v>0</v>
      </c>
      <c r="E642" s="521" t="str">
        <f t="array" aca="1" ref="E642" ca="1">IF($B642="N","",SUM(IF((INDIRECT($B642&amp;"!I23:I200")=$A$2)*(INDIRECT($B642&amp;"!O23:O200")=$D642)*(INDIRECT($B642&amp;"!O23:O200")&lt;&gt;"")*(INDIRECT($B642&amp;"!H23:H200")=$E$5),1,0)))</f>
        <v/>
      </c>
      <c r="F642" s="513" t="str">
        <f t="array" aca="1" ref="F642" ca="1">IF($B642="N","",SUM(IF((INDIRECT($B642&amp;"!I23:I200")=$A$2)*(INDIRECT($B642&amp;"!O23:O200")=$D642)*(INDIRECT($B642&amp;"!O23:O200")&lt;&gt;"")*(INDIRECT($B642&amp;"!H23:H200")=$E$5),INDIRECT($B642&amp;"!p23:p200"),0)))</f>
        <v/>
      </c>
      <c r="G642" s="521" t="str">
        <f t="array" aca="1" ref="G642" ca="1">IF($B642="N","",SUM(IF((INDIRECT($B642&amp;"!I23:I200")=$A$2)*(INDIRECT($B642&amp;"!O23:O200")=$D642)*(INDIRECT($B642&amp;"!O23:O200")&lt;&gt;"")*(INDIRECT($B642&amp;"!H23:H200")=$G$5),1,0)))</f>
        <v/>
      </c>
      <c r="H642" s="513" t="str">
        <f t="array" aca="1" ref="H642" ca="1">IF($B642="N","",SUM(IF((INDIRECT($B642&amp;"!I23:I200")=$A$2)*(INDIRECT($B642&amp;"!O23:O200")=$D642)*(INDIRECT($B642&amp;"!O23:O200")&lt;&gt;"")*(INDIRECT($B642&amp;"!H23:H200")=$G$5),INDIRECT($B642&amp;"!p23:p200"),0)))</f>
        <v/>
      </c>
      <c r="I642" s="515" t="str">
        <f t="shared" si="100"/>
        <v/>
      </c>
      <c r="J642" s="513" t="str">
        <f t="shared" si="101"/>
        <v/>
      </c>
    </row>
    <row r="643" spans="1:10">
      <c r="B643" s="563" t="str">
        <f t="shared" si="102"/>
        <v>N</v>
      </c>
      <c r="D643" s="511">
        <v>0.25</v>
      </c>
      <c r="E643" s="521" t="str">
        <f t="array" aca="1" ref="E643" ca="1">IF($B643="N","",SUM(IF((INDIRECT($B643&amp;"!I23:I200")=$A$2)*(INDIRECT($B643&amp;"!O23:O200")=$D643)*(INDIRECT($B643&amp;"!O23:O200")&lt;&gt;"")*(INDIRECT($B643&amp;"!H23:H200")=$E$5),1,0)))</f>
        <v/>
      </c>
      <c r="F643" s="513" t="str">
        <f t="array" aca="1" ref="F643" ca="1">IF($B643="N","",SUM(IF((INDIRECT($B643&amp;"!I23:I200")=$A$2)*(INDIRECT($B643&amp;"!O23:O200")=$D643)*(INDIRECT($B643&amp;"!O23:O200")&lt;&gt;"")*(INDIRECT($B643&amp;"!H23:H200")=$E$5),INDIRECT($B643&amp;"!p23:p200"),0)))</f>
        <v/>
      </c>
      <c r="G643" s="521" t="str">
        <f t="array" aca="1" ref="G643" ca="1">IF($B643="N","",SUM(IF((INDIRECT($B643&amp;"!I23:I200")=$A$2)*(INDIRECT($B643&amp;"!O23:O200")=$D643)*(INDIRECT($B643&amp;"!O23:O200")&lt;&gt;"")*(INDIRECT($B643&amp;"!H23:H200")=$G$5),1,0)))</f>
        <v/>
      </c>
      <c r="H643" s="513" t="str">
        <f t="array" aca="1" ref="H643" ca="1">IF($B643="N","",SUM(IF((INDIRECT($B643&amp;"!I23:I200")=$A$2)*(INDIRECT($B643&amp;"!O23:O200")=$D643)*(INDIRECT($B643&amp;"!O23:O200")&lt;&gt;"")*(INDIRECT($B643&amp;"!H23:H200")=$G$5),INDIRECT($B643&amp;"!p23:p200"),0)))</f>
        <v/>
      </c>
      <c r="I643" s="515" t="str">
        <f t="shared" si="100"/>
        <v/>
      </c>
      <c r="J643" s="513" t="str">
        <f t="shared" si="101"/>
        <v/>
      </c>
    </row>
    <row r="644" spans="1:10">
      <c r="B644" s="563" t="str">
        <f t="shared" si="102"/>
        <v>N</v>
      </c>
      <c r="D644" s="511">
        <v>0.5</v>
      </c>
      <c r="E644" s="521" t="str">
        <f t="array" aca="1" ref="E644" ca="1">IF($B644="N","",SUM(IF((INDIRECT($B644&amp;"!I23:I200")=$A$2)*(INDIRECT($B644&amp;"!O23:O200")=$D644)*(INDIRECT($B644&amp;"!O23:O200")&lt;&gt;"")*(INDIRECT($B644&amp;"!H23:H200")=$E$5),1,0)))</f>
        <v/>
      </c>
      <c r="F644" s="513" t="str">
        <f t="array" aca="1" ref="F644" ca="1">IF($B644="N","",SUM(IF((INDIRECT($B644&amp;"!I23:I200")=$A$2)*(INDIRECT($B644&amp;"!O23:O200")=$D644)*(INDIRECT($B644&amp;"!O23:O200")&lt;&gt;"")*(INDIRECT($B644&amp;"!H23:H200")=$E$5),INDIRECT($B644&amp;"!p23:p200"),0)))</f>
        <v/>
      </c>
      <c r="G644" s="521" t="str">
        <f t="array" aca="1" ref="G644" ca="1">IF($B644="N","",SUM(IF((INDIRECT($B644&amp;"!I23:I200")=$A$2)*(INDIRECT($B644&amp;"!O23:O200")=$D644)*(INDIRECT($B644&amp;"!O23:O200")&lt;&gt;"")*(INDIRECT($B644&amp;"!H23:H200")=$G$5),1,0)))</f>
        <v/>
      </c>
      <c r="H644" s="513" t="str">
        <f t="array" aca="1" ref="H644" ca="1">IF($B644="N","",SUM(IF((INDIRECT($B644&amp;"!I23:I200")=$A$2)*(INDIRECT($B644&amp;"!O23:O200")=$D644)*(INDIRECT($B644&amp;"!O23:O200")&lt;&gt;"")*(INDIRECT($B644&amp;"!H23:H200")=$G$5),INDIRECT($B644&amp;"!p23:p200"),0)))</f>
        <v/>
      </c>
      <c r="I644" s="515" t="str">
        <f t="shared" si="100"/>
        <v/>
      </c>
      <c r="J644" s="513" t="str">
        <f t="shared" si="101"/>
        <v/>
      </c>
    </row>
    <row r="645" spans="1:10">
      <c r="B645" s="563" t="str">
        <f t="shared" si="102"/>
        <v>N</v>
      </c>
      <c r="D645" s="511">
        <v>0.75</v>
      </c>
      <c r="E645" s="521" t="str">
        <f t="array" aca="1" ref="E645" ca="1">IF($B645="N","",SUM(IF((INDIRECT($B645&amp;"!I23:I200")=$A$2)*(INDIRECT($B645&amp;"!O23:O200")=$D645)*(INDIRECT($B645&amp;"!O23:O200")&lt;&gt;"")*(INDIRECT($B645&amp;"!H23:H200")=$E$5),1,0)))</f>
        <v/>
      </c>
      <c r="F645" s="513" t="str">
        <f t="array" aca="1" ref="F645" ca="1">IF($B645="N","",SUM(IF((INDIRECT($B645&amp;"!I23:I200")=$A$2)*(INDIRECT($B645&amp;"!O23:O200")=$D645)*(INDIRECT($B645&amp;"!O23:O200")&lt;&gt;"")*(INDIRECT($B645&amp;"!H23:H200")=$E$5),INDIRECT($B645&amp;"!p23:p200"),0)))</f>
        <v/>
      </c>
      <c r="G645" s="521" t="str">
        <f t="array" aca="1" ref="G645" ca="1">IF($B645="N","",SUM(IF((INDIRECT($B645&amp;"!I23:I200")=$A$2)*(INDIRECT($B645&amp;"!O23:O200")=$D645)*(INDIRECT($B645&amp;"!O23:O200")&lt;&gt;"")*(INDIRECT($B645&amp;"!H23:H200")=$G$5),1,0)))</f>
        <v/>
      </c>
      <c r="H645" s="513" t="str">
        <f t="array" aca="1" ref="H645" ca="1">IF($B645="N","",SUM(IF((INDIRECT($B645&amp;"!I23:I200")=$A$2)*(INDIRECT($B645&amp;"!O23:O200")=$D645)*(INDIRECT($B645&amp;"!O23:O200")&lt;&gt;"")*(INDIRECT($B645&amp;"!H23:H200")=$G$5),INDIRECT($B645&amp;"!p23:p200"),0)))</f>
        <v/>
      </c>
      <c r="I645" s="515" t="str">
        <f t="shared" si="100"/>
        <v/>
      </c>
      <c r="J645" s="513" t="str">
        <f t="shared" si="101"/>
        <v/>
      </c>
    </row>
    <row r="646" spans="1:10">
      <c r="B646" s="563" t="str">
        <f t="shared" si="102"/>
        <v>N</v>
      </c>
      <c r="D646" s="511">
        <v>1</v>
      </c>
      <c r="E646" s="521" t="str">
        <f t="array" aca="1" ref="E646" ca="1">IF($B646="N","",SUM(IF((INDIRECT($B646&amp;"!I23:I200")=$A$2)*(INDIRECT($B646&amp;"!O23:O200")=$D646)*(INDIRECT($B646&amp;"!O23:O200")&lt;&gt;"")*(INDIRECT($B646&amp;"!H23:H200")=$E$5),1,0)))</f>
        <v/>
      </c>
      <c r="F646" s="513" t="str">
        <f t="array" aca="1" ref="F646" ca="1">IF($B646="N","",SUM(IF((INDIRECT($B646&amp;"!I23:I200")=$A$2)*(INDIRECT($B646&amp;"!O23:O200")=$D646)*(INDIRECT($B646&amp;"!O23:O200")&lt;&gt;"")*(INDIRECT($B646&amp;"!H23:H200")=$E$5),INDIRECT($B646&amp;"!p23:p200"),0)))</f>
        <v/>
      </c>
      <c r="G646" s="521" t="str">
        <f t="array" aca="1" ref="G646" ca="1">IF($B646="N","",SUM(IF((INDIRECT($B646&amp;"!I23:I200")=$A$2)*(INDIRECT($B646&amp;"!O23:O200")=$D646)*(INDIRECT($B646&amp;"!O23:O200")&lt;&gt;"")*(INDIRECT($B646&amp;"!H23:H200")=$G$5),1,0)))</f>
        <v/>
      </c>
      <c r="H646" s="513" t="str">
        <f t="array" aca="1" ref="H646" ca="1">IF($B646="N","",SUM(IF((INDIRECT($B646&amp;"!I23:I200")=$A$2)*(INDIRECT($B646&amp;"!O23:O200")=$D646)*(INDIRECT($B646&amp;"!O23:O200")&lt;&gt;"")*(INDIRECT($B646&amp;"!H23:H200")=$G$5),INDIRECT($B646&amp;"!p23:p200"),0)))</f>
        <v/>
      </c>
      <c r="I646" s="515" t="str">
        <f t="shared" si="100"/>
        <v/>
      </c>
      <c r="J646" s="513" t="str">
        <f t="shared" si="101"/>
        <v/>
      </c>
    </row>
    <row r="647" spans="1:10">
      <c r="B647" s="563" t="str">
        <f t="shared" si="102"/>
        <v>N</v>
      </c>
      <c r="D647" s="511">
        <v>1.25</v>
      </c>
      <c r="E647" s="521" t="str">
        <f t="array" aca="1" ref="E647" ca="1">IF($B647="N","",SUM(IF((INDIRECT($B647&amp;"!I23:I200")=$A$2)*(INDIRECT($B647&amp;"!O23:O200")=$D647)*(INDIRECT($B647&amp;"!O23:O200")&lt;&gt;"")*(INDIRECT($B647&amp;"!H23:H200")=$E$5),1,0)))</f>
        <v/>
      </c>
      <c r="F647" s="513" t="str">
        <f t="array" aca="1" ref="F647" ca="1">IF($B647="N","",SUM(IF((INDIRECT($B647&amp;"!I23:I200")=$A$2)*(INDIRECT($B647&amp;"!O23:O200")=$D647)*(INDIRECT($B647&amp;"!O23:O200")&lt;&gt;"")*(INDIRECT($B647&amp;"!H23:H200")=$E$5),INDIRECT($B647&amp;"!p23:p200"),0)))</f>
        <v/>
      </c>
      <c r="G647" s="521" t="str">
        <f t="array" aca="1" ref="G647" ca="1">IF($B647="N","",SUM(IF((INDIRECT($B647&amp;"!I23:I200")=$A$2)*(INDIRECT($B647&amp;"!O23:O200")=$D647)*(INDIRECT($B647&amp;"!O23:O200")&lt;&gt;"")*(INDIRECT($B647&amp;"!H23:H200")=$G$5),1,0)))</f>
        <v/>
      </c>
      <c r="H647" s="513" t="str">
        <f t="array" aca="1" ref="H647" ca="1">IF($B647="N","",SUM(IF((INDIRECT($B647&amp;"!I23:I200")=$A$2)*(INDIRECT($B647&amp;"!O23:O200")=$D647)*(INDIRECT($B647&amp;"!O23:O200")&lt;&gt;"")*(INDIRECT($B647&amp;"!H23:H200")=$G$5),INDIRECT($B647&amp;"!p23:p200"),0)))</f>
        <v/>
      </c>
      <c r="I647" s="515" t="str">
        <f t="shared" si="100"/>
        <v/>
      </c>
      <c r="J647" s="513" t="str">
        <f t="shared" si="101"/>
        <v/>
      </c>
    </row>
    <row r="648" spans="1:10">
      <c r="B648" s="563" t="str">
        <f t="shared" si="102"/>
        <v>N</v>
      </c>
      <c r="D648" s="511">
        <v>1.5</v>
      </c>
      <c r="E648" s="521" t="str">
        <f t="array" aca="1" ref="E648" ca="1">IF($B648="N","",SUM(IF((INDIRECT($B648&amp;"!I23:I200")=$A$2)*(INDIRECT($B648&amp;"!O23:O200")=$D648)*(INDIRECT($B648&amp;"!O23:O200")&lt;&gt;"")*(INDIRECT($B648&amp;"!H23:H200")=$E$5),1,0)))</f>
        <v/>
      </c>
      <c r="F648" s="513" t="str">
        <f t="array" aca="1" ref="F648" ca="1">IF($B648="N","",SUM(IF((INDIRECT($B648&amp;"!I23:I200")=$A$2)*(INDIRECT($B648&amp;"!O23:O200")=$D648)*(INDIRECT($B648&amp;"!O23:O200")&lt;&gt;"")*(INDIRECT($B648&amp;"!H23:H200")=$E$5),INDIRECT($B648&amp;"!p23:p200"),0)))</f>
        <v/>
      </c>
      <c r="G648" s="521" t="str">
        <f t="array" aca="1" ref="G648" ca="1">IF($B648="N","",SUM(IF((INDIRECT($B648&amp;"!I23:I200")=$A$2)*(INDIRECT($B648&amp;"!O23:O200")=$D648)*(INDIRECT($B648&amp;"!O23:O200")&lt;&gt;"")*(INDIRECT($B648&amp;"!H23:H200")=$G$5),1,0)))</f>
        <v/>
      </c>
      <c r="H648" s="513" t="str">
        <f t="array" aca="1" ref="H648" ca="1">IF($B648="N","",SUM(IF((INDIRECT($B648&amp;"!I23:I200")=$A$2)*(INDIRECT($B648&amp;"!O23:O200")=$D648)*(INDIRECT($B648&amp;"!O23:O200")&lt;&gt;"")*(INDIRECT($B648&amp;"!H23:H200")=$G$5),INDIRECT($B648&amp;"!p23:p200"),0)))</f>
        <v/>
      </c>
      <c r="I648" s="515" t="str">
        <f t="shared" si="100"/>
        <v/>
      </c>
      <c r="J648" s="513" t="str">
        <f t="shared" si="101"/>
        <v/>
      </c>
    </row>
    <row r="649" spans="1:10">
      <c r="B649" s="563" t="str">
        <f t="shared" si="102"/>
        <v>N</v>
      </c>
      <c r="D649" s="528">
        <v>1.75</v>
      </c>
      <c r="E649" s="495" t="str">
        <f t="array" aca="1" ref="E649" ca="1">IF($B649="N","",SUM(IF((INDIRECT($B649&amp;"!I23:I200")=$A$2)*(INDIRECT($B649&amp;"!O23:O200")=$D649)*(INDIRECT($B649&amp;"!O23:O200")&lt;&gt;"")*(INDIRECT($B649&amp;"!H23:H200")=$E$5),1,0)))</f>
        <v/>
      </c>
      <c r="F649" s="577" t="str">
        <f t="array" aca="1" ref="F649" ca="1">IF($B649="N","",SUM(IF((INDIRECT($B649&amp;"!I23:I200")=$A$2)*(INDIRECT($B649&amp;"!O23:O200")=$D649)*(INDIRECT($B649&amp;"!O23:O200")&lt;&gt;"")*(INDIRECT($B649&amp;"!H23:H200")=$E$5),INDIRECT($B649&amp;"!p23:p200"),0)))</f>
        <v/>
      </c>
      <c r="G649" s="495" t="str">
        <f t="array" aca="1" ref="G649" ca="1">IF($B649="N","",SUM(IF((INDIRECT($B649&amp;"!I23:I200")=$A$2)*(INDIRECT($B649&amp;"!O23:O200")=$D649)*(INDIRECT($B649&amp;"!O23:O200")&lt;&gt;"")*(INDIRECT($B649&amp;"!H23:H200")=$G$5),1,0)))</f>
        <v/>
      </c>
      <c r="H649" s="577" t="str">
        <f t="array" aca="1" ref="H649" ca="1">IF($B649="N","",SUM(IF((INDIRECT($B649&amp;"!I23:I200")=$A$2)*(INDIRECT($B649&amp;"!O23:O200")=$D649)*(INDIRECT($B649&amp;"!O23:O200")&lt;&gt;"")*(INDIRECT($B649&amp;"!H23:H200")=$G$5),INDIRECT($B649&amp;"!p23:p200"),0)))</f>
        <v/>
      </c>
      <c r="I649" s="515" t="str">
        <f t="shared" si="100"/>
        <v/>
      </c>
      <c r="J649" s="513" t="str">
        <f t="shared" si="101"/>
        <v/>
      </c>
    </row>
    <row r="650" spans="1:10">
      <c r="B650" s="563" t="str">
        <f t="shared" si="102"/>
        <v>N</v>
      </c>
      <c r="D650" s="528">
        <v>2</v>
      </c>
      <c r="E650" s="495" t="str">
        <f t="array" aca="1" ref="E650" ca="1">IF($B650="N","",SUM(IF((INDIRECT($B650&amp;"!I23:I200")=$A$2)*(INDIRECT($B650&amp;"!O23:O200")=$D650)*(INDIRECT($B650&amp;"!O23:O200")&lt;&gt;"")*(INDIRECT($B650&amp;"!H23:H200")=$E$5),1,0)))</f>
        <v/>
      </c>
      <c r="F650" s="577" t="str">
        <f t="array" aca="1" ref="F650" ca="1">IF($B650="N","",SUM(IF((INDIRECT($B650&amp;"!I23:I200")=$A$2)*(INDIRECT($B650&amp;"!O23:O200")=$D650)*(INDIRECT($B650&amp;"!O23:O200")&lt;&gt;"")*(INDIRECT($B650&amp;"!H23:H200")=$E$5),INDIRECT($B650&amp;"!p23:p200"),0)))</f>
        <v/>
      </c>
      <c r="G650" s="495" t="str">
        <f t="array" aca="1" ref="G650" ca="1">IF($B650="N","",SUM(IF((INDIRECT($B650&amp;"!I23:I200")=$A$2)*(INDIRECT($B650&amp;"!O23:O200")=$D650)*(INDIRECT($B650&amp;"!O23:O200")&lt;&gt;"")*(INDIRECT($B650&amp;"!H23:H200")=$G$5),1,0)))</f>
        <v/>
      </c>
      <c r="H650" s="577" t="str">
        <f t="array" aca="1" ref="H650" ca="1">IF($B650="N","",SUM(IF((INDIRECT($B650&amp;"!I23:I200")=$A$2)*(INDIRECT($B650&amp;"!O23:O200")=$D650)*(INDIRECT($B650&amp;"!O23:O200")&lt;&gt;"")*(INDIRECT($B650&amp;"!H23:H200")=$G$5),INDIRECT($B650&amp;"!p23:p200"),0)))</f>
        <v/>
      </c>
      <c r="I650" s="515" t="str">
        <f t="shared" si="100"/>
        <v/>
      </c>
      <c r="J650" s="513" t="str">
        <f t="shared" si="101"/>
        <v/>
      </c>
    </row>
    <row r="651" spans="1:10">
      <c r="B651" s="563" t="str">
        <f t="shared" si="102"/>
        <v>N</v>
      </c>
      <c r="D651" s="528">
        <v>2.25</v>
      </c>
      <c r="E651" s="495" t="str">
        <f t="array" aca="1" ref="E651" ca="1">IF($B651="N","",SUM(IF((INDIRECT($B651&amp;"!I23:I200")=$A$2)*(INDIRECT($B651&amp;"!O23:O200")=$D651)*(INDIRECT($B651&amp;"!O23:O200")&lt;&gt;"")*(INDIRECT($B651&amp;"!H23:H200")=$E$5),1,0)))</f>
        <v/>
      </c>
      <c r="F651" s="577" t="str">
        <f t="array" aca="1" ref="F651" ca="1">IF($B651="N","",SUM(IF((INDIRECT($B651&amp;"!I23:I200")=$A$2)*(INDIRECT($B651&amp;"!O23:O200")=$D651)*(INDIRECT($B651&amp;"!O23:O200")&lt;&gt;"")*(INDIRECT($B651&amp;"!H23:H200")=$E$5),INDIRECT($B651&amp;"!p23:p200"),0)))</f>
        <v/>
      </c>
      <c r="G651" s="495" t="str">
        <f t="array" aca="1" ref="G651" ca="1">IF($B651="N","",SUM(IF((INDIRECT($B651&amp;"!I23:I200")=$A$2)*(INDIRECT($B651&amp;"!O23:O200")=$D651)*(INDIRECT($B651&amp;"!O23:O200")&lt;&gt;"")*(INDIRECT($B651&amp;"!H23:H200")=$G$5),1,0)))</f>
        <v/>
      </c>
      <c r="H651" s="577" t="str">
        <f t="array" aca="1" ref="H651" ca="1">IF($B651="N","",SUM(IF((INDIRECT($B651&amp;"!I23:I200")=$A$2)*(INDIRECT($B651&amp;"!O23:O200")=$D651)*(INDIRECT($B651&amp;"!O23:O200")&lt;&gt;"")*(INDIRECT($B651&amp;"!H23:H200")=$G$5),INDIRECT($B651&amp;"!p23:p200"),0)))</f>
        <v/>
      </c>
      <c r="I651" s="515" t="str">
        <f t="shared" si="100"/>
        <v/>
      </c>
      <c r="J651" s="513" t="str">
        <f t="shared" si="101"/>
        <v/>
      </c>
    </row>
    <row r="652" spans="1:10">
      <c r="B652" s="563" t="str">
        <f t="shared" si="102"/>
        <v>N</v>
      </c>
      <c r="D652" s="528">
        <v>2.5</v>
      </c>
      <c r="E652" s="495" t="str">
        <f t="array" aca="1" ref="E652" ca="1">IF($B652="N","",SUM(IF((INDIRECT($B652&amp;"!I23:I200")=$A$2)*(INDIRECT($B652&amp;"!O23:O200")=$D652)*(INDIRECT($B652&amp;"!O23:O200")&lt;&gt;"")*(INDIRECT($B652&amp;"!H23:H200")=$E$5),1,0)))</f>
        <v/>
      </c>
      <c r="F652" s="577" t="str">
        <f t="array" aca="1" ref="F652" ca="1">IF($B652="N","",SUM(IF((INDIRECT($B652&amp;"!I23:I200")=$A$2)*(INDIRECT($B652&amp;"!O23:O200")=$D652)*(INDIRECT($B652&amp;"!O23:O200")&lt;&gt;"")*(INDIRECT($B652&amp;"!H23:H200")=$E$5),INDIRECT($B652&amp;"!p23:p200"),0)))</f>
        <v/>
      </c>
      <c r="G652" s="495" t="str">
        <f t="array" aca="1" ref="G652" ca="1">IF($B652="N","",SUM(IF((INDIRECT($B652&amp;"!I23:I200")=$A$2)*(INDIRECT($B652&amp;"!O23:O200")=$D652)*(INDIRECT($B652&amp;"!O23:O200")&lt;&gt;"")*(INDIRECT($B652&amp;"!H23:H200")=$G$5),1,0)))</f>
        <v/>
      </c>
      <c r="H652" s="577" t="str">
        <f t="array" aca="1" ref="H652" ca="1">IF($B652="N","",SUM(IF((INDIRECT($B652&amp;"!I23:I200")=$A$2)*(INDIRECT($B652&amp;"!O23:O200")=$D652)*(INDIRECT($B652&amp;"!O23:O200")&lt;&gt;"")*(INDIRECT($B652&amp;"!H23:H200")=$G$5),INDIRECT($B652&amp;"!p23:p200"),0)))</f>
        <v/>
      </c>
      <c r="I652" s="515" t="str">
        <f t="shared" si="100"/>
        <v/>
      </c>
      <c r="J652" s="513" t="str">
        <f t="shared" si="101"/>
        <v/>
      </c>
    </row>
    <row r="653" spans="1:10" ht="15" thickBot="1">
      <c r="B653" s="563" t="str">
        <f t="shared" si="102"/>
        <v>N</v>
      </c>
      <c r="D653" s="511">
        <v>2.75</v>
      </c>
      <c r="E653" s="495" t="str">
        <f t="array" aca="1" ref="E653" ca="1">IF($B653="N","",SUM(IF((INDIRECT($B653&amp;"!I23:I200")=$A$2)*(INDIRECT($B653&amp;"!O23:O200")=$D653)*(INDIRECT($B653&amp;"!O23:O200")&lt;&gt;"")*(INDIRECT($B653&amp;"!H23:H200")=$E$5),1,0)))</f>
        <v/>
      </c>
      <c r="F653" s="577" t="str">
        <f t="array" aca="1" ref="F653" ca="1">IF($B653="N","",SUM(IF((INDIRECT($B653&amp;"!I23:I200")=$A$2)*(INDIRECT($B653&amp;"!O23:O200")=$D653)*(INDIRECT($B653&amp;"!O23:O200")&lt;&gt;"")*(INDIRECT($B653&amp;"!H23:H200")=$E$5),INDIRECT($B653&amp;"!p23:p200"),0)))</f>
        <v/>
      </c>
      <c r="G653" s="495" t="str">
        <f t="array" aca="1" ref="G653" ca="1">IF($B653="N","",SUM(IF((INDIRECT($B653&amp;"!I23:I200")=$A$2)*(INDIRECT($B653&amp;"!O23:O200")=$D653)*(INDIRECT($B653&amp;"!O23:O200")&lt;&gt;"")*(INDIRECT($B653&amp;"!H23:H200")=$G$5),1,0)))</f>
        <v/>
      </c>
      <c r="H653" s="577" t="str">
        <f t="array" aca="1" ref="H653" ca="1">IF($B653="N","",SUM(IF((INDIRECT($B653&amp;"!I23:I200")=$A$2)*(INDIRECT($B653&amp;"!O23:O200")=$D653)*(INDIRECT($B653&amp;"!O23:O200")&lt;&gt;"")*(INDIRECT($B653&amp;"!H23:H200")=$G$5),INDIRECT($B653&amp;"!p23:p200"),0)))</f>
        <v/>
      </c>
      <c r="I653" s="553" t="str">
        <f t="shared" si="100"/>
        <v/>
      </c>
      <c r="J653" s="552" t="str">
        <f t="shared" si="101"/>
        <v/>
      </c>
    </row>
    <row r="654" spans="1:10" ht="15" thickBot="1">
      <c r="A654" s="567"/>
      <c r="B654" s="568"/>
      <c r="C654" s="569">
        <f>D629</f>
        <v>0</v>
      </c>
      <c r="D654" s="570" t="s">
        <v>115</v>
      </c>
      <c r="E654" s="571">
        <f t="shared" ref="E654:J654" ca="1" si="103">SUM(E631:E653)</f>
        <v>0</v>
      </c>
      <c r="F654" s="572">
        <f t="shared" ca="1" si="103"/>
        <v>0</v>
      </c>
      <c r="G654" s="571">
        <f t="shared" ca="1" si="103"/>
        <v>0</v>
      </c>
      <c r="H654" s="572">
        <f t="shared" ca="1" si="103"/>
        <v>0</v>
      </c>
      <c r="I654" s="573">
        <f t="shared" si="103"/>
        <v>0</v>
      </c>
      <c r="J654" s="572">
        <f t="shared" si="103"/>
        <v>0</v>
      </c>
    </row>
    <row r="655" spans="1:10" ht="15" thickBot="1">
      <c r="A655" s="567"/>
      <c r="C655" s="576"/>
    </row>
    <row r="656" spans="1:10">
      <c r="A656" s="567"/>
      <c r="B656" s="357"/>
      <c r="C656" s="569"/>
      <c r="D656" s="562">
        <f>O2</f>
        <v>0</v>
      </c>
      <c r="E656" s="490" t="s">
        <v>80</v>
      </c>
      <c r="F656" s="491"/>
      <c r="G656" s="490" t="s">
        <v>81</v>
      </c>
      <c r="H656" s="491"/>
      <c r="I656" s="490" t="s">
        <v>82</v>
      </c>
      <c r="J656" s="492"/>
    </row>
    <row r="657" spans="2:10" ht="15" thickBot="1">
      <c r="B657" s="357"/>
      <c r="C657" s="357"/>
      <c r="D657" s="499" t="s">
        <v>120</v>
      </c>
      <c r="E657" s="497" t="s">
        <v>123</v>
      </c>
      <c r="F657" s="552" t="s">
        <v>124</v>
      </c>
      <c r="G657" s="497" t="s">
        <v>123</v>
      </c>
      <c r="H657" s="552" t="s">
        <v>124</v>
      </c>
      <c r="I657" s="501" t="s">
        <v>123</v>
      </c>
      <c r="J657" s="552" t="s">
        <v>124</v>
      </c>
    </row>
    <row r="658" spans="2:10">
      <c r="B658" s="563" t="str">
        <f>IF(D656=0,"N",D656)</f>
        <v>N</v>
      </c>
      <c r="D658" s="511">
        <v>-2.75</v>
      </c>
      <c r="E658" s="564" t="str">
        <f t="array" aca="1" ref="E658" ca="1">IF($B658="N","",SUM(IF((INDIRECT($B658&amp;"!I23:I200")=$A$2)*(INDIRECT($B658&amp;"!O23:O200")=$D658)*(INDIRECT($B658&amp;"!O23:O200")&lt;&gt;"")*(INDIRECT($B658&amp;"!H23:H200")=$E$5),1,0)))</f>
        <v/>
      </c>
      <c r="F658" s="565" t="str">
        <f t="array" aca="1" ref="F658" ca="1">IF($B658="N","",SUM(IF((INDIRECT($B658&amp;"!I23:I200")=$A$2)*(INDIRECT($B658&amp;"!O23:O200")=$D658)*(INDIRECT($B658&amp;"!O23:O200")&lt;&gt;"")*(INDIRECT($B658&amp;"!H23:H200")=$E$5),INDIRECT($B658&amp;"!p23:p200"),0)))</f>
        <v/>
      </c>
      <c r="G658" s="564" t="str">
        <f t="array" aca="1" ref="G658" ca="1">IF($B658="N","",SUM(IF((INDIRECT($B658&amp;"!I23:I200")=$A$2)*(INDIRECT($B658&amp;"!O23:O200")=$D658)*(INDIRECT($B658&amp;"!O23:O200")&lt;&gt;"")*(INDIRECT($B658&amp;"!H23:H200")=$G$5),1,0)))</f>
        <v/>
      </c>
      <c r="H658" s="565" t="str">
        <f t="array" aca="1" ref="H658" ca="1">IF($B658="N","",SUM(IF((INDIRECT($B658&amp;"!I23:I200")=$A$2)*(INDIRECT($B658&amp;"!O23:O200")=$D658)*(INDIRECT($B658&amp;"!O23:O200")&lt;&gt;"")*(INDIRECT($B658&amp;"!H23:H200")=$G$5),INDIRECT($B658&amp;"!p23:p200"),0)))</f>
        <v/>
      </c>
      <c r="I658" s="515" t="str">
        <f t="shared" ref="I658:I680" si="104">IF(B658="N","",G658+E658)</f>
        <v/>
      </c>
      <c r="J658" s="513" t="str">
        <f>IF(I658="","",F658+H658)</f>
        <v/>
      </c>
    </row>
    <row r="659" spans="2:10">
      <c r="B659" s="563" t="str">
        <f>B658</f>
        <v>N</v>
      </c>
      <c r="D659" s="520">
        <v>-2.5</v>
      </c>
      <c r="E659" s="521" t="str">
        <f t="array" aca="1" ref="E659" ca="1">IF($B659="N","",SUM(IF((INDIRECT($B659&amp;"!I23:I200")=$A$2)*(INDIRECT($B659&amp;"!O23:O200")=$D659)*(INDIRECT($B659&amp;"!O23:O200")&lt;&gt;"")*(INDIRECT($B659&amp;"!H23:H200")=$E$5),1,0)))</f>
        <v/>
      </c>
      <c r="F659" s="513" t="str">
        <f t="array" aca="1" ref="F659" ca="1">IF($B659="N","",SUM(IF((INDIRECT($B659&amp;"!I23:I200")=$A$2)*(INDIRECT($B659&amp;"!O23:O200")=$D659)*(INDIRECT($B659&amp;"!O23:O200")&lt;&gt;"")*(INDIRECT($B659&amp;"!H23:H200")=$E$5),INDIRECT($B659&amp;"!p23:p200"),0)))</f>
        <v/>
      </c>
      <c r="G659" s="521" t="str">
        <f t="array" aca="1" ref="G659" ca="1">IF($B659="N","",SUM(IF((INDIRECT($B659&amp;"!I23:I200")=$A$2)*(INDIRECT($B659&amp;"!O23:O200")=$D659)*(INDIRECT($B659&amp;"!O23:O200")&lt;&gt;"")*(INDIRECT($B659&amp;"!H23:H200")=$G$5),1,0)))</f>
        <v/>
      </c>
      <c r="H659" s="513" t="str">
        <f t="array" aca="1" ref="H659" ca="1">IF($B659="N","",SUM(IF((INDIRECT($B659&amp;"!I23:I200")=$A$2)*(INDIRECT($B659&amp;"!O23:O200")=$D659)*(INDIRECT($B659&amp;"!O23:O200")&lt;&gt;"")*(INDIRECT($B659&amp;"!H23:H200")=$G$5),INDIRECT($B659&amp;"!p23:p200"),0)))</f>
        <v/>
      </c>
      <c r="I659" s="515" t="str">
        <f t="shared" si="104"/>
        <v/>
      </c>
      <c r="J659" s="513" t="str">
        <f t="shared" ref="J659:J680" si="105">IF(I659="","",F659+H659)</f>
        <v/>
      </c>
    </row>
    <row r="660" spans="2:10">
      <c r="B660" s="563" t="str">
        <f t="shared" ref="B660:B680" si="106">B659</f>
        <v>N</v>
      </c>
      <c r="D660" s="520">
        <v>-2.25</v>
      </c>
      <c r="E660" s="521" t="str">
        <f t="array" aca="1" ref="E660" ca="1">IF($B660="N","",SUM(IF((INDIRECT($B660&amp;"!I23:I200")=$A$2)*(INDIRECT($B660&amp;"!O23:O200")=$D660)*(INDIRECT($B660&amp;"!O23:O200")&lt;&gt;"")*(INDIRECT($B660&amp;"!H23:H200")=$E$5),1,0)))</f>
        <v/>
      </c>
      <c r="F660" s="513" t="str">
        <f t="array" aca="1" ref="F660" ca="1">IF($B660="N","",SUM(IF((INDIRECT($B660&amp;"!I23:I200")=$A$2)*(INDIRECT($B660&amp;"!O23:O200")=$D660)*(INDIRECT($B660&amp;"!O23:O200")&lt;&gt;"")*(INDIRECT($B660&amp;"!H23:H200")=$E$5),INDIRECT($B660&amp;"!p23:p200"),0)))</f>
        <v/>
      </c>
      <c r="G660" s="521" t="str">
        <f t="array" aca="1" ref="G660" ca="1">IF($B660="N","",SUM(IF((INDIRECT($B660&amp;"!I23:I200")=$A$2)*(INDIRECT($B660&amp;"!O23:O200")=$D660)*(INDIRECT($B660&amp;"!O23:O200")&lt;&gt;"")*(INDIRECT($B660&amp;"!H23:H200")=$G$5),1,0)))</f>
        <v/>
      </c>
      <c r="H660" s="513" t="str">
        <f t="array" aca="1" ref="H660" ca="1">IF($B660="N","",SUM(IF((INDIRECT($B660&amp;"!I23:I200")=$A$2)*(INDIRECT($B660&amp;"!O23:O200")=$D660)*(INDIRECT($B660&amp;"!O23:O200")&lt;&gt;"")*(INDIRECT($B660&amp;"!H23:H200")=$G$5),INDIRECT($B660&amp;"!p23:p200"),0)))</f>
        <v/>
      </c>
      <c r="I660" s="515" t="str">
        <f t="shared" si="104"/>
        <v/>
      </c>
      <c r="J660" s="513" t="str">
        <f t="shared" si="105"/>
        <v/>
      </c>
    </row>
    <row r="661" spans="2:10">
      <c r="B661" s="563" t="str">
        <f t="shared" si="106"/>
        <v>N</v>
      </c>
      <c r="D661" s="520">
        <v>-2</v>
      </c>
      <c r="E661" s="521" t="str">
        <f t="array" aca="1" ref="E661" ca="1">IF($B661="N","",SUM(IF((INDIRECT($B661&amp;"!I23:I200")=$A$2)*(INDIRECT($B661&amp;"!O23:O200")=$D661)*(INDIRECT($B661&amp;"!O23:O200")&lt;&gt;"")*(INDIRECT($B661&amp;"!H23:H200")=$E$5),1,0)))</f>
        <v/>
      </c>
      <c r="F661" s="513" t="str">
        <f t="array" aca="1" ref="F661" ca="1">IF($B661="N","",SUM(IF((INDIRECT($B661&amp;"!I23:I200")=$A$2)*(INDIRECT($B661&amp;"!O23:O200")=$D661)*(INDIRECT($B661&amp;"!O23:O200")&lt;&gt;"")*(INDIRECT($B661&amp;"!H23:H200")=$E$5),INDIRECT($B661&amp;"!p23:p200"),0)))</f>
        <v/>
      </c>
      <c r="G661" s="521" t="str">
        <f t="array" aca="1" ref="G661" ca="1">IF($B661="N","",SUM(IF((INDIRECT($B661&amp;"!I23:I200")=$A$2)*(INDIRECT($B661&amp;"!O23:O200")=$D661)*(INDIRECT($B661&amp;"!O23:O200")&lt;&gt;"")*(INDIRECT($B661&amp;"!H23:H200")=$G$5),1,0)))</f>
        <v/>
      </c>
      <c r="H661" s="513" t="str">
        <f t="array" aca="1" ref="H661" ca="1">IF($B661="N","",SUM(IF((INDIRECT($B661&amp;"!I23:I200")=$A$2)*(INDIRECT($B661&amp;"!O23:O200")=$D661)*(INDIRECT($B661&amp;"!O23:O200")&lt;&gt;"")*(INDIRECT($B661&amp;"!H23:H200")=$G$5),INDIRECT($B661&amp;"!p23:p200"),0)))</f>
        <v/>
      </c>
      <c r="I661" s="515" t="str">
        <f t="shared" si="104"/>
        <v/>
      </c>
      <c r="J661" s="513" t="str">
        <f t="shared" si="105"/>
        <v/>
      </c>
    </row>
    <row r="662" spans="2:10">
      <c r="B662" s="563" t="str">
        <f t="shared" si="106"/>
        <v>N</v>
      </c>
      <c r="D662" s="520">
        <v>-1.75</v>
      </c>
      <c r="E662" s="521" t="str">
        <f t="array" aca="1" ref="E662" ca="1">IF($B662="N","",SUM(IF((INDIRECT($B662&amp;"!I23:I200")=$A$2)*(INDIRECT($B662&amp;"!O23:O200")=$D662)*(INDIRECT($B662&amp;"!O23:O200")&lt;&gt;"")*(INDIRECT($B662&amp;"!H23:H200")=$E$5),1,0)))</f>
        <v/>
      </c>
      <c r="F662" s="513" t="str">
        <f t="array" aca="1" ref="F662" ca="1">IF($B662="N","",SUM(IF((INDIRECT($B662&amp;"!I23:I200")=$A$2)*(INDIRECT($B662&amp;"!O23:O200")=$D662)*(INDIRECT($B662&amp;"!O23:O200")&lt;&gt;"")*(INDIRECT($B662&amp;"!H23:H200")=$E$5),INDIRECT($B662&amp;"!p23:p200"),0)))</f>
        <v/>
      </c>
      <c r="G662" s="521" t="str">
        <f t="array" aca="1" ref="G662" ca="1">IF($B662="N","",SUM(IF((INDIRECT($B662&amp;"!I23:I200")=$A$2)*(INDIRECT($B662&amp;"!O23:O200")=$D662)*(INDIRECT($B662&amp;"!O23:O200")&lt;&gt;"")*(INDIRECT($B662&amp;"!H23:H200")=$G$5),1,0)))</f>
        <v/>
      </c>
      <c r="H662" s="513" t="str">
        <f t="array" aca="1" ref="H662" ca="1">IF($B662="N","",SUM(IF((INDIRECT($B662&amp;"!I23:I200")=$A$2)*(INDIRECT($B662&amp;"!O23:O200")=$D662)*(INDIRECT($B662&amp;"!O23:O200")&lt;&gt;"")*(INDIRECT($B662&amp;"!H23:H200")=$G$5),INDIRECT($B662&amp;"!p23:p200"),0)))</f>
        <v/>
      </c>
      <c r="I662" s="515" t="str">
        <f t="shared" si="104"/>
        <v/>
      </c>
      <c r="J662" s="513" t="str">
        <f t="shared" si="105"/>
        <v/>
      </c>
    </row>
    <row r="663" spans="2:10">
      <c r="B663" s="563" t="str">
        <f t="shared" si="106"/>
        <v>N</v>
      </c>
      <c r="D663" s="511">
        <v>-1.5</v>
      </c>
      <c r="E663" s="521" t="str">
        <f t="array" aca="1" ref="E663" ca="1">IF($B663="N","",SUM(IF((INDIRECT($B663&amp;"!I23:I200")=$A$2)*(INDIRECT($B663&amp;"!O23:O200")=$D663)*(INDIRECT($B663&amp;"!O23:O200")&lt;&gt;"")*(INDIRECT($B663&amp;"!H23:H200")=$E$5),1,0)))</f>
        <v/>
      </c>
      <c r="F663" s="513" t="str">
        <f t="array" aca="1" ref="F663" ca="1">IF($B663="N","",SUM(IF((INDIRECT($B663&amp;"!I23:I200")=$A$2)*(INDIRECT($B663&amp;"!O23:O200")=$D663)*(INDIRECT($B663&amp;"!O23:O200")&lt;&gt;"")*(INDIRECT($B663&amp;"!H23:H200")=$E$5),INDIRECT($B663&amp;"!p23:p200"),0)))</f>
        <v/>
      </c>
      <c r="G663" s="521" t="str">
        <f t="array" aca="1" ref="G663" ca="1">IF($B663="N","",SUM(IF((INDIRECT($B663&amp;"!I23:I200")=$A$2)*(INDIRECT($B663&amp;"!O23:O200")=$D663)*(INDIRECT($B663&amp;"!O23:O200")&lt;&gt;"")*(INDIRECT($B663&amp;"!H23:H200")=$G$5),1,0)))</f>
        <v/>
      </c>
      <c r="H663" s="513" t="str">
        <f t="array" aca="1" ref="H663" ca="1">IF($B663="N","",SUM(IF((INDIRECT($B663&amp;"!I23:I200")=$A$2)*(INDIRECT($B663&amp;"!O23:O200")=$D663)*(INDIRECT($B663&amp;"!O23:O200")&lt;&gt;"")*(INDIRECT($B663&amp;"!H23:H200")=$G$5),INDIRECT($B663&amp;"!p23:p200"),0)))</f>
        <v/>
      </c>
      <c r="I663" s="515" t="str">
        <f t="shared" si="104"/>
        <v/>
      </c>
      <c r="J663" s="513" t="str">
        <f t="shared" si="105"/>
        <v/>
      </c>
    </row>
    <row r="664" spans="2:10">
      <c r="B664" s="563" t="str">
        <f t="shared" si="106"/>
        <v>N</v>
      </c>
      <c r="D664" s="511">
        <v>-1.25</v>
      </c>
      <c r="E664" s="521" t="str">
        <f t="array" aca="1" ref="E664" ca="1">IF($B664="N","",SUM(IF((INDIRECT($B664&amp;"!I23:I200")=$A$2)*(INDIRECT($B664&amp;"!O23:O200")=$D664)*(INDIRECT($B664&amp;"!O23:O200")&lt;&gt;"")*(INDIRECT($B664&amp;"!H23:H200")=$E$5),1,0)))</f>
        <v/>
      </c>
      <c r="F664" s="513" t="str">
        <f t="array" aca="1" ref="F664" ca="1">IF($B664="N","",SUM(IF((INDIRECT($B664&amp;"!I23:I200")=$A$2)*(INDIRECT($B664&amp;"!O23:O200")=$D664)*(INDIRECT($B664&amp;"!O23:O200")&lt;&gt;"")*(INDIRECT($B664&amp;"!H23:H200")=$E$5),INDIRECT($B664&amp;"!p23:p200"),0)))</f>
        <v/>
      </c>
      <c r="G664" s="521" t="str">
        <f t="array" aca="1" ref="G664" ca="1">IF($B664="N","",SUM(IF((INDIRECT($B664&amp;"!I23:I200")=$A$2)*(INDIRECT($B664&amp;"!O23:O200")=$D664)*(INDIRECT($B664&amp;"!O23:O200")&lt;&gt;"")*(INDIRECT($B664&amp;"!H23:H200")=$G$5),1,0)))</f>
        <v/>
      </c>
      <c r="H664" s="513" t="str">
        <f t="array" aca="1" ref="H664" ca="1">IF($B664="N","",SUM(IF((INDIRECT($B664&amp;"!I23:I200")=$A$2)*(INDIRECT($B664&amp;"!O23:O200")=$D664)*(INDIRECT($B664&amp;"!O23:O200")&lt;&gt;"")*(INDIRECT($B664&amp;"!H23:H200")=$G$5),INDIRECT($B664&amp;"!p23:p200"),0)))</f>
        <v/>
      </c>
      <c r="I664" s="515" t="str">
        <f t="shared" si="104"/>
        <v/>
      </c>
      <c r="J664" s="513" t="str">
        <f t="shared" si="105"/>
        <v/>
      </c>
    </row>
    <row r="665" spans="2:10">
      <c r="B665" s="563" t="str">
        <f t="shared" si="106"/>
        <v>N</v>
      </c>
      <c r="D665" s="511">
        <v>-1</v>
      </c>
      <c r="E665" s="521" t="str">
        <f t="array" aca="1" ref="E665" ca="1">IF($B665="N","",SUM(IF((INDIRECT($B665&amp;"!I23:I200")=$A$2)*(INDIRECT($B665&amp;"!O23:O200")=$D665)*(INDIRECT($B665&amp;"!O23:O200")&lt;&gt;"")*(INDIRECT($B665&amp;"!H23:H200")=$E$5),1,0)))</f>
        <v/>
      </c>
      <c r="F665" s="513" t="str">
        <f t="array" aca="1" ref="F665" ca="1">IF($B665="N","",SUM(IF((INDIRECT($B665&amp;"!I23:I200")=$A$2)*(INDIRECT($B665&amp;"!O23:O200")=$D665)*(INDIRECT($B665&amp;"!O23:O200")&lt;&gt;"")*(INDIRECT($B665&amp;"!H23:H200")=$E$5),INDIRECT($B665&amp;"!p23:p200"),0)))</f>
        <v/>
      </c>
      <c r="G665" s="521" t="str">
        <f t="array" aca="1" ref="G665" ca="1">IF($B665="N","",SUM(IF((INDIRECT($B665&amp;"!I23:I200")=$A$2)*(INDIRECT($B665&amp;"!O23:O200")=$D665)*(INDIRECT($B665&amp;"!O23:O200")&lt;&gt;"")*(INDIRECT($B665&amp;"!H23:H200")=$G$5),1,0)))</f>
        <v/>
      </c>
      <c r="H665" s="513" t="str">
        <f t="array" aca="1" ref="H665" ca="1">IF($B665="N","",SUM(IF((INDIRECT($B665&amp;"!I23:I200")=$A$2)*(INDIRECT($B665&amp;"!O23:O200")=$D665)*(INDIRECT($B665&amp;"!O23:O200")&lt;&gt;"")*(INDIRECT($B665&amp;"!H23:H200")=$G$5),INDIRECT($B665&amp;"!p23:p200"),0)))</f>
        <v/>
      </c>
      <c r="I665" s="515" t="str">
        <f t="shared" si="104"/>
        <v/>
      </c>
      <c r="J665" s="513" t="str">
        <f t="shared" si="105"/>
        <v/>
      </c>
    </row>
    <row r="666" spans="2:10">
      <c r="B666" s="563" t="str">
        <f t="shared" si="106"/>
        <v>N</v>
      </c>
      <c r="D666" s="511">
        <v>-0.75</v>
      </c>
      <c r="E666" s="521" t="str">
        <f t="array" aca="1" ref="E666" ca="1">IF($B666="N","",SUM(IF((INDIRECT($B666&amp;"!I23:I200")=$A$2)*(INDIRECT($B666&amp;"!O23:O200")=$D666)*(INDIRECT($B666&amp;"!O23:O200")&lt;&gt;"")*(INDIRECT($B666&amp;"!H23:H200")=$E$5),1,0)))</f>
        <v/>
      </c>
      <c r="F666" s="513" t="str">
        <f t="array" aca="1" ref="F666" ca="1">IF($B666="N","",SUM(IF((INDIRECT($B666&amp;"!I23:I200")=$A$2)*(INDIRECT($B666&amp;"!O23:O200")=$D666)*(INDIRECT($B666&amp;"!O23:O200")&lt;&gt;"")*(INDIRECT($B666&amp;"!H23:H200")=$E$5),INDIRECT($B666&amp;"!p23:p200"),0)))</f>
        <v/>
      </c>
      <c r="G666" s="521" t="str">
        <f t="array" aca="1" ref="G666" ca="1">IF($B666="N","",SUM(IF((INDIRECT($B666&amp;"!I23:I200")=$A$2)*(INDIRECT($B666&amp;"!O23:O200")=$D666)*(INDIRECT($B666&amp;"!O23:O200")&lt;&gt;"")*(INDIRECT($B666&amp;"!H23:H200")=$G$5),1,0)))</f>
        <v/>
      </c>
      <c r="H666" s="513" t="str">
        <f t="array" aca="1" ref="H666" ca="1">IF($B666="N","",SUM(IF((INDIRECT($B666&amp;"!I23:I200")=$A$2)*(INDIRECT($B666&amp;"!O23:O200")=$D666)*(INDIRECT($B666&amp;"!O23:O200")&lt;&gt;"")*(INDIRECT($B666&amp;"!H23:H200")=$G$5),INDIRECT($B666&amp;"!p23:p200"),0)))</f>
        <v/>
      </c>
      <c r="I666" s="515" t="str">
        <f t="shared" si="104"/>
        <v/>
      </c>
      <c r="J666" s="513" t="str">
        <f t="shared" si="105"/>
        <v/>
      </c>
    </row>
    <row r="667" spans="2:10">
      <c r="B667" s="563" t="str">
        <f t="shared" si="106"/>
        <v>N</v>
      </c>
      <c r="D667" s="511">
        <v>-0.5</v>
      </c>
      <c r="E667" s="521" t="str">
        <f t="array" aca="1" ref="E667" ca="1">IF($B667="N","",SUM(IF((INDIRECT($B667&amp;"!I23:I200")=$A$2)*(INDIRECT($B667&amp;"!O23:O200")=$D667)*(INDIRECT($B667&amp;"!O23:O200")&lt;&gt;"")*(INDIRECT($B667&amp;"!H23:H200")=$E$5),1,0)))</f>
        <v/>
      </c>
      <c r="F667" s="513" t="str">
        <f t="array" aca="1" ref="F667" ca="1">IF($B667="N","",SUM(IF((INDIRECT($B667&amp;"!I23:I200")=$A$2)*(INDIRECT($B667&amp;"!O23:O200")=$D667)*(INDIRECT($B667&amp;"!O23:O200")&lt;&gt;"")*(INDIRECT($B667&amp;"!H23:H200")=$E$5),INDIRECT($B667&amp;"!p23:p200"),0)))</f>
        <v/>
      </c>
      <c r="G667" s="521" t="str">
        <f t="array" aca="1" ref="G667" ca="1">IF($B667="N","",SUM(IF((INDIRECT($B667&amp;"!I23:I200")=$A$2)*(INDIRECT($B667&amp;"!O23:O200")=$D667)*(INDIRECT($B667&amp;"!O23:O200")&lt;&gt;"")*(INDIRECT($B667&amp;"!H23:H200")=$G$5),1,0)))</f>
        <v/>
      </c>
      <c r="H667" s="513" t="str">
        <f t="array" aca="1" ref="H667" ca="1">IF($B667="N","",SUM(IF((INDIRECT($B667&amp;"!I23:I200")=$A$2)*(INDIRECT($B667&amp;"!O23:O200")=$D667)*(INDIRECT($B667&amp;"!O23:O200")&lt;&gt;"")*(INDIRECT($B667&amp;"!H23:H200")=$G$5),INDIRECT($B667&amp;"!p23:p200"),0)))</f>
        <v/>
      </c>
      <c r="I667" s="515" t="str">
        <f t="shared" si="104"/>
        <v/>
      </c>
      <c r="J667" s="513" t="str">
        <f t="shared" si="105"/>
        <v/>
      </c>
    </row>
    <row r="668" spans="2:10">
      <c r="B668" s="563" t="str">
        <f t="shared" si="106"/>
        <v>N</v>
      </c>
      <c r="D668" s="511">
        <v>-0.25</v>
      </c>
      <c r="E668" s="521" t="str">
        <f t="array" aca="1" ref="E668" ca="1">IF($B668="N","",SUM(IF((INDIRECT($B668&amp;"!I23:I200")=$A$2)*(INDIRECT($B668&amp;"!O23:O200")=$D668)*(INDIRECT($B668&amp;"!O23:O200")&lt;&gt;"")*(INDIRECT($B668&amp;"!H23:H200")=$E$5),1,0)))</f>
        <v/>
      </c>
      <c r="F668" s="513" t="str">
        <f t="array" aca="1" ref="F668" ca="1">IF($B668="N","",SUM(IF((INDIRECT($B668&amp;"!I23:I200")=$A$2)*(INDIRECT($B668&amp;"!O23:O200")=$D668)*(INDIRECT($B668&amp;"!O23:O200")&lt;&gt;"")*(INDIRECT($B668&amp;"!H23:H200")=$E$5),INDIRECT($B668&amp;"!p23:p200"),0)))</f>
        <v/>
      </c>
      <c r="G668" s="521" t="str">
        <f t="array" aca="1" ref="G668" ca="1">IF($B668="N","",SUM(IF((INDIRECT($B668&amp;"!I23:I200")=$A$2)*(INDIRECT($B668&amp;"!O23:O200")=$D668)*(INDIRECT($B668&amp;"!O23:O200")&lt;&gt;"")*(INDIRECT($B668&amp;"!H23:H200")=$G$5),1,0)))</f>
        <v/>
      </c>
      <c r="H668" s="513" t="str">
        <f t="array" aca="1" ref="H668" ca="1">IF($B668="N","",SUM(IF((INDIRECT($B668&amp;"!I23:I200")=$A$2)*(INDIRECT($B668&amp;"!O23:O200")=$D668)*(INDIRECT($B668&amp;"!O23:O200")&lt;&gt;"")*(INDIRECT($B668&amp;"!H23:H200")=$G$5),INDIRECT($B668&amp;"!p23:p200"),0)))</f>
        <v/>
      </c>
      <c r="I668" s="515" t="str">
        <f t="shared" si="104"/>
        <v/>
      </c>
      <c r="J668" s="513" t="str">
        <f t="shared" si="105"/>
        <v/>
      </c>
    </row>
    <row r="669" spans="2:10">
      <c r="B669" s="563" t="str">
        <f t="shared" si="106"/>
        <v>N</v>
      </c>
      <c r="D669" s="511">
        <v>0</v>
      </c>
      <c r="E669" s="521" t="str">
        <f t="array" aca="1" ref="E669" ca="1">IF($B669="N","",SUM(IF((INDIRECT($B669&amp;"!I23:I200")=$A$2)*(INDIRECT($B669&amp;"!O23:O200")=$D669)*(INDIRECT($B669&amp;"!O23:O200")&lt;&gt;"")*(INDIRECT($B669&amp;"!H23:H200")=$E$5),1,0)))</f>
        <v/>
      </c>
      <c r="F669" s="513" t="str">
        <f t="array" aca="1" ref="F669" ca="1">IF($B669="N","",SUM(IF((INDIRECT($B669&amp;"!I23:I200")=$A$2)*(INDIRECT($B669&amp;"!O23:O200")=$D669)*(INDIRECT($B669&amp;"!O23:O200")&lt;&gt;"")*(INDIRECT($B669&amp;"!H23:H200")=$E$5),INDIRECT($B669&amp;"!p23:p200"),0)))</f>
        <v/>
      </c>
      <c r="G669" s="521" t="str">
        <f t="array" aca="1" ref="G669" ca="1">IF($B669="N","",SUM(IF((INDIRECT($B669&amp;"!I23:I200")=$A$2)*(INDIRECT($B669&amp;"!O23:O200")=$D669)*(INDIRECT($B669&amp;"!O23:O200")&lt;&gt;"")*(INDIRECT($B669&amp;"!H23:H200")=$G$5),1,0)))</f>
        <v/>
      </c>
      <c r="H669" s="513" t="str">
        <f t="array" aca="1" ref="H669" ca="1">IF($B669="N","",SUM(IF((INDIRECT($B669&amp;"!I23:I200")=$A$2)*(INDIRECT($B669&amp;"!O23:O200")=$D669)*(INDIRECT($B669&amp;"!O23:O200")&lt;&gt;"")*(INDIRECT($B669&amp;"!H23:H200")=$G$5),INDIRECT($B669&amp;"!p23:p200"),0)))</f>
        <v/>
      </c>
      <c r="I669" s="515" t="str">
        <f t="shared" si="104"/>
        <v/>
      </c>
      <c r="J669" s="513" t="str">
        <f t="shared" si="105"/>
        <v/>
      </c>
    </row>
    <row r="670" spans="2:10">
      <c r="B670" s="563" t="str">
        <f t="shared" si="106"/>
        <v>N</v>
      </c>
      <c r="D670" s="511">
        <v>0.25</v>
      </c>
      <c r="E670" s="521" t="str">
        <f t="array" aca="1" ref="E670" ca="1">IF($B670="N","",SUM(IF((INDIRECT($B670&amp;"!I23:I200")=$A$2)*(INDIRECT($B670&amp;"!O23:O200")=$D670)*(INDIRECT($B670&amp;"!O23:O200")&lt;&gt;"")*(INDIRECT($B670&amp;"!H23:H200")=$E$5),1,0)))</f>
        <v/>
      </c>
      <c r="F670" s="513" t="str">
        <f t="array" aca="1" ref="F670" ca="1">IF($B670="N","",SUM(IF((INDIRECT($B670&amp;"!I23:I200")=$A$2)*(INDIRECT($B670&amp;"!O23:O200")=$D670)*(INDIRECT($B670&amp;"!O23:O200")&lt;&gt;"")*(INDIRECT($B670&amp;"!H23:H200")=$E$5),INDIRECT($B670&amp;"!p23:p200"),0)))</f>
        <v/>
      </c>
      <c r="G670" s="521" t="str">
        <f t="array" aca="1" ref="G670" ca="1">IF($B670="N","",SUM(IF((INDIRECT($B670&amp;"!I23:I200")=$A$2)*(INDIRECT($B670&amp;"!O23:O200")=$D670)*(INDIRECT($B670&amp;"!O23:O200")&lt;&gt;"")*(INDIRECT($B670&amp;"!H23:H200")=$G$5),1,0)))</f>
        <v/>
      </c>
      <c r="H670" s="513" t="str">
        <f t="array" aca="1" ref="H670" ca="1">IF($B670="N","",SUM(IF((INDIRECT($B670&amp;"!I23:I200")=$A$2)*(INDIRECT($B670&amp;"!O23:O200")=$D670)*(INDIRECT($B670&amp;"!O23:O200")&lt;&gt;"")*(INDIRECT($B670&amp;"!H23:H200")=$G$5),INDIRECT($B670&amp;"!p23:p200"),0)))</f>
        <v/>
      </c>
      <c r="I670" s="515" t="str">
        <f t="shared" si="104"/>
        <v/>
      </c>
      <c r="J670" s="513" t="str">
        <f t="shared" si="105"/>
        <v/>
      </c>
    </row>
    <row r="671" spans="2:10">
      <c r="B671" s="563" t="str">
        <f t="shared" si="106"/>
        <v>N</v>
      </c>
      <c r="D671" s="511">
        <v>0.5</v>
      </c>
      <c r="E671" s="521" t="str">
        <f t="array" aca="1" ref="E671" ca="1">IF($B671="N","",SUM(IF((INDIRECT($B671&amp;"!I23:I200")=$A$2)*(INDIRECT($B671&amp;"!O23:O200")=$D671)*(INDIRECT($B671&amp;"!O23:O200")&lt;&gt;"")*(INDIRECT($B671&amp;"!H23:H200")=$E$5),1,0)))</f>
        <v/>
      </c>
      <c r="F671" s="513" t="str">
        <f t="array" aca="1" ref="F671" ca="1">IF($B671="N","",SUM(IF((INDIRECT($B671&amp;"!I23:I200")=$A$2)*(INDIRECT($B671&amp;"!O23:O200")=$D671)*(INDIRECT($B671&amp;"!O23:O200")&lt;&gt;"")*(INDIRECT($B671&amp;"!H23:H200")=$E$5),INDIRECT($B671&amp;"!p23:p200"),0)))</f>
        <v/>
      </c>
      <c r="G671" s="521" t="str">
        <f t="array" aca="1" ref="G671" ca="1">IF($B671="N","",SUM(IF((INDIRECT($B671&amp;"!I23:I200")=$A$2)*(INDIRECT($B671&amp;"!O23:O200")=$D671)*(INDIRECT($B671&amp;"!O23:O200")&lt;&gt;"")*(INDIRECT($B671&amp;"!H23:H200")=$G$5),1,0)))</f>
        <v/>
      </c>
      <c r="H671" s="513" t="str">
        <f t="array" aca="1" ref="H671" ca="1">IF($B671="N","",SUM(IF((INDIRECT($B671&amp;"!I23:I200")=$A$2)*(INDIRECT($B671&amp;"!O23:O200")=$D671)*(INDIRECT($B671&amp;"!O23:O200")&lt;&gt;"")*(INDIRECT($B671&amp;"!H23:H200")=$G$5),INDIRECT($B671&amp;"!p23:p200"),0)))</f>
        <v/>
      </c>
      <c r="I671" s="515" t="str">
        <f t="shared" si="104"/>
        <v/>
      </c>
      <c r="J671" s="513" t="str">
        <f t="shared" si="105"/>
        <v/>
      </c>
    </row>
    <row r="672" spans="2:10">
      <c r="B672" s="563" t="str">
        <f t="shared" si="106"/>
        <v>N</v>
      </c>
      <c r="D672" s="511">
        <v>0.75</v>
      </c>
      <c r="E672" s="521" t="str">
        <f t="array" aca="1" ref="E672" ca="1">IF($B672="N","",SUM(IF((INDIRECT($B672&amp;"!I23:I200")=$A$2)*(INDIRECT($B672&amp;"!O23:O200")=$D672)*(INDIRECT($B672&amp;"!O23:O200")&lt;&gt;"")*(INDIRECT($B672&amp;"!H23:H200")=$E$5),1,0)))</f>
        <v/>
      </c>
      <c r="F672" s="513" t="str">
        <f t="array" aca="1" ref="F672" ca="1">IF($B672="N","",SUM(IF((INDIRECT($B672&amp;"!I23:I200")=$A$2)*(INDIRECT($B672&amp;"!O23:O200")=$D672)*(INDIRECT($B672&amp;"!O23:O200")&lt;&gt;"")*(INDIRECT($B672&amp;"!H23:H200")=$E$5),INDIRECT($B672&amp;"!p23:p200"),0)))</f>
        <v/>
      </c>
      <c r="G672" s="521" t="str">
        <f t="array" aca="1" ref="G672" ca="1">IF($B672="N","",SUM(IF((INDIRECT($B672&amp;"!I23:I200")=$A$2)*(INDIRECT($B672&amp;"!O23:O200")=$D672)*(INDIRECT($B672&amp;"!O23:O200")&lt;&gt;"")*(INDIRECT($B672&amp;"!H23:H200")=$G$5),1,0)))</f>
        <v/>
      </c>
      <c r="H672" s="513" t="str">
        <f t="array" aca="1" ref="H672" ca="1">IF($B672="N","",SUM(IF((INDIRECT($B672&amp;"!I23:I200")=$A$2)*(INDIRECT($B672&amp;"!O23:O200")=$D672)*(INDIRECT($B672&amp;"!O23:O200")&lt;&gt;"")*(INDIRECT($B672&amp;"!H23:H200")=$G$5),INDIRECT($B672&amp;"!p23:p200"),0)))</f>
        <v/>
      </c>
      <c r="I672" s="515" t="str">
        <f t="shared" si="104"/>
        <v/>
      </c>
      <c r="J672" s="513" t="str">
        <f t="shared" si="105"/>
        <v/>
      </c>
    </row>
    <row r="673" spans="1:10">
      <c r="B673" s="563" t="str">
        <f t="shared" si="106"/>
        <v>N</v>
      </c>
      <c r="D673" s="511">
        <v>1</v>
      </c>
      <c r="E673" s="521" t="str">
        <f t="array" aca="1" ref="E673" ca="1">IF($B673="N","",SUM(IF((INDIRECT($B673&amp;"!I23:I200")=$A$2)*(INDIRECT($B673&amp;"!O23:O200")=$D673)*(INDIRECT($B673&amp;"!O23:O200")&lt;&gt;"")*(INDIRECT($B673&amp;"!H23:H200")=$E$5),1,0)))</f>
        <v/>
      </c>
      <c r="F673" s="513" t="str">
        <f t="array" aca="1" ref="F673" ca="1">IF($B673="N","",SUM(IF((INDIRECT($B673&amp;"!I23:I200")=$A$2)*(INDIRECT($B673&amp;"!O23:O200")=$D673)*(INDIRECT($B673&amp;"!O23:O200")&lt;&gt;"")*(INDIRECT($B673&amp;"!H23:H200")=$E$5),INDIRECT($B673&amp;"!p23:p200"),0)))</f>
        <v/>
      </c>
      <c r="G673" s="521" t="str">
        <f t="array" aca="1" ref="G673" ca="1">IF($B673="N","",SUM(IF((INDIRECT($B673&amp;"!I23:I200")=$A$2)*(INDIRECT($B673&amp;"!O23:O200")=$D673)*(INDIRECT($B673&amp;"!O23:O200")&lt;&gt;"")*(INDIRECT($B673&amp;"!H23:H200")=$G$5),1,0)))</f>
        <v/>
      </c>
      <c r="H673" s="513" t="str">
        <f t="array" aca="1" ref="H673" ca="1">IF($B673="N","",SUM(IF((INDIRECT($B673&amp;"!I23:I200")=$A$2)*(INDIRECT($B673&amp;"!O23:O200")=$D673)*(INDIRECT($B673&amp;"!O23:O200")&lt;&gt;"")*(INDIRECT($B673&amp;"!H23:H200")=$G$5),INDIRECT($B673&amp;"!p23:p200"),0)))</f>
        <v/>
      </c>
      <c r="I673" s="515" t="str">
        <f t="shared" si="104"/>
        <v/>
      </c>
      <c r="J673" s="513" t="str">
        <f t="shared" si="105"/>
        <v/>
      </c>
    </row>
    <row r="674" spans="1:10">
      <c r="B674" s="563" t="str">
        <f t="shared" si="106"/>
        <v>N</v>
      </c>
      <c r="D674" s="511">
        <v>1.25</v>
      </c>
      <c r="E674" s="521" t="str">
        <f t="array" aca="1" ref="E674" ca="1">IF($B674="N","",SUM(IF((INDIRECT($B674&amp;"!I23:I200")=$A$2)*(INDIRECT($B674&amp;"!O23:O200")=$D674)*(INDIRECT($B674&amp;"!O23:O200")&lt;&gt;"")*(INDIRECT($B674&amp;"!H23:H200")=$E$5),1,0)))</f>
        <v/>
      </c>
      <c r="F674" s="513" t="str">
        <f t="array" aca="1" ref="F674" ca="1">IF($B674="N","",SUM(IF((INDIRECT($B674&amp;"!I23:I200")=$A$2)*(INDIRECT($B674&amp;"!O23:O200")=$D674)*(INDIRECT($B674&amp;"!O23:O200")&lt;&gt;"")*(INDIRECT($B674&amp;"!H23:H200")=$E$5),INDIRECT($B674&amp;"!p23:p200"),0)))</f>
        <v/>
      </c>
      <c r="G674" s="521" t="str">
        <f t="array" aca="1" ref="G674" ca="1">IF($B674="N","",SUM(IF((INDIRECT($B674&amp;"!I23:I200")=$A$2)*(INDIRECT($B674&amp;"!O23:O200")=$D674)*(INDIRECT($B674&amp;"!O23:O200")&lt;&gt;"")*(INDIRECT($B674&amp;"!H23:H200")=$G$5),1,0)))</f>
        <v/>
      </c>
      <c r="H674" s="513" t="str">
        <f t="array" aca="1" ref="H674" ca="1">IF($B674="N","",SUM(IF((INDIRECT($B674&amp;"!I23:I200")=$A$2)*(INDIRECT($B674&amp;"!O23:O200")=$D674)*(INDIRECT($B674&amp;"!O23:O200")&lt;&gt;"")*(INDIRECT($B674&amp;"!H23:H200")=$G$5),INDIRECT($B674&amp;"!p23:p200"),0)))</f>
        <v/>
      </c>
      <c r="I674" s="515" t="str">
        <f t="shared" si="104"/>
        <v/>
      </c>
      <c r="J674" s="513" t="str">
        <f t="shared" si="105"/>
        <v/>
      </c>
    </row>
    <row r="675" spans="1:10">
      <c r="B675" s="563" t="str">
        <f t="shared" si="106"/>
        <v>N</v>
      </c>
      <c r="D675" s="511">
        <v>1.5</v>
      </c>
      <c r="E675" s="521" t="str">
        <f t="array" aca="1" ref="E675" ca="1">IF($B675="N","",SUM(IF((INDIRECT($B675&amp;"!I23:I200")=$A$2)*(INDIRECT($B675&amp;"!O23:O200")=$D675)*(INDIRECT($B675&amp;"!O23:O200")&lt;&gt;"")*(INDIRECT($B675&amp;"!H23:H200")=$E$5),1,0)))</f>
        <v/>
      </c>
      <c r="F675" s="513" t="str">
        <f t="array" aca="1" ref="F675" ca="1">IF($B675="N","",SUM(IF((INDIRECT($B675&amp;"!I23:I200")=$A$2)*(INDIRECT($B675&amp;"!O23:O200")=$D675)*(INDIRECT($B675&amp;"!O23:O200")&lt;&gt;"")*(INDIRECT($B675&amp;"!H23:H200")=$E$5),INDIRECT($B675&amp;"!p23:p200"),0)))</f>
        <v/>
      </c>
      <c r="G675" s="521" t="str">
        <f t="array" aca="1" ref="G675" ca="1">IF($B675="N","",SUM(IF((INDIRECT($B675&amp;"!I23:I200")=$A$2)*(INDIRECT($B675&amp;"!O23:O200")=$D675)*(INDIRECT($B675&amp;"!O23:O200")&lt;&gt;"")*(INDIRECT($B675&amp;"!H23:H200")=$G$5),1,0)))</f>
        <v/>
      </c>
      <c r="H675" s="513" t="str">
        <f t="array" aca="1" ref="H675" ca="1">IF($B675="N","",SUM(IF((INDIRECT($B675&amp;"!I23:I200")=$A$2)*(INDIRECT($B675&amp;"!O23:O200")=$D675)*(INDIRECT($B675&amp;"!O23:O200")&lt;&gt;"")*(INDIRECT($B675&amp;"!H23:H200")=$G$5),INDIRECT($B675&amp;"!p23:p200"),0)))</f>
        <v/>
      </c>
      <c r="I675" s="515" t="str">
        <f t="shared" si="104"/>
        <v/>
      </c>
      <c r="J675" s="513" t="str">
        <f t="shared" si="105"/>
        <v/>
      </c>
    </row>
    <row r="676" spans="1:10">
      <c r="B676" s="563" t="str">
        <f t="shared" si="106"/>
        <v>N</v>
      </c>
      <c r="D676" s="528">
        <v>1.75</v>
      </c>
      <c r="E676" s="495" t="str">
        <f t="array" aca="1" ref="E676" ca="1">IF($B676="N","",SUM(IF((INDIRECT($B676&amp;"!I23:I200")=$A$2)*(INDIRECT($B676&amp;"!O23:O200")=$D676)*(INDIRECT($B676&amp;"!O23:O200")&lt;&gt;"")*(INDIRECT($B676&amp;"!H23:H200")=$E$5),1,0)))</f>
        <v/>
      </c>
      <c r="F676" s="577" t="str">
        <f t="array" aca="1" ref="F676" ca="1">IF($B676="N","",SUM(IF((INDIRECT($B676&amp;"!I23:I200")=$A$2)*(INDIRECT($B676&amp;"!O23:O200")=$D676)*(INDIRECT($B676&amp;"!O23:O200")&lt;&gt;"")*(INDIRECT($B676&amp;"!H23:H200")=$E$5),INDIRECT($B676&amp;"!p23:p200"),0)))</f>
        <v/>
      </c>
      <c r="G676" s="495" t="str">
        <f t="array" aca="1" ref="G676" ca="1">IF($B676="N","",SUM(IF((INDIRECT($B676&amp;"!I23:I200")=$A$2)*(INDIRECT($B676&amp;"!O23:O200")=$D676)*(INDIRECT($B676&amp;"!O23:O200")&lt;&gt;"")*(INDIRECT($B676&amp;"!H23:H200")=$G$5),1,0)))</f>
        <v/>
      </c>
      <c r="H676" s="577" t="str">
        <f t="array" aca="1" ref="H676" ca="1">IF($B676="N","",SUM(IF((INDIRECT($B676&amp;"!I23:I200")=$A$2)*(INDIRECT($B676&amp;"!O23:O200")=$D676)*(INDIRECT($B676&amp;"!O23:O200")&lt;&gt;"")*(INDIRECT($B676&amp;"!H23:H200")=$G$5),INDIRECT($B676&amp;"!p23:p200"),0)))</f>
        <v/>
      </c>
      <c r="I676" s="515" t="str">
        <f t="shared" si="104"/>
        <v/>
      </c>
      <c r="J676" s="513" t="str">
        <f t="shared" si="105"/>
        <v/>
      </c>
    </row>
    <row r="677" spans="1:10">
      <c r="B677" s="563" t="str">
        <f t="shared" si="106"/>
        <v>N</v>
      </c>
      <c r="D677" s="528">
        <v>2</v>
      </c>
      <c r="E677" s="495" t="str">
        <f t="array" aca="1" ref="E677" ca="1">IF($B677="N","",SUM(IF((INDIRECT($B677&amp;"!I23:I200")=$A$2)*(INDIRECT($B677&amp;"!O23:O200")=$D677)*(INDIRECT($B677&amp;"!O23:O200")&lt;&gt;"")*(INDIRECT($B677&amp;"!H23:H200")=$E$5),1,0)))</f>
        <v/>
      </c>
      <c r="F677" s="577" t="str">
        <f t="array" aca="1" ref="F677" ca="1">IF($B677="N","",SUM(IF((INDIRECT($B677&amp;"!I23:I200")=$A$2)*(INDIRECT($B677&amp;"!O23:O200")=$D677)*(INDIRECT($B677&amp;"!O23:O200")&lt;&gt;"")*(INDIRECT($B677&amp;"!H23:H200")=$E$5),INDIRECT($B677&amp;"!p23:p200"),0)))</f>
        <v/>
      </c>
      <c r="G677" s="495" t="str">
        <f t="array" aca="1" ref="G677" ca="1">IF($B677="N","",SUM(IF((INDIRECT($B677&amp;"!I23:I200")=$A$2)*(INDIRECT($B677&amp;"!O23:O200")=$D677)*(INDIRECT($B677&amp;"!O23:O200")&lt;&gt;"")*(INDIRECT($B677&amp;"!H23:H200")=$G$5),1,0)))</f>
        <v/>
      </c>
      <c r="H677" s="577" t="str">
        <f t="array" aca="1" ref="H677" ca="1">IF($B677="N","",SUM(IF((INDIRECT($B677&amp;"!I23:I200")=$A$2)*(INDIRECT($B677&amp;"!O23:O200")=$D677)*(INDIRECT($B677&amp;"!O23:O200")&lt;&gt;"")*(INDIRECT($B677&amp;"!H23:H200")=$G$5),INDIRECT($B677&amp;"!p23:p200"),0)))</f>
        <v/>
      </c>
      <c r="I677" s="515" t="str">
        <f t="shared" si="104"/>
        <v/>
      </c>
      <c r="J677" s="513" t="str">
        <f t="shared" si="105"/>
        <v/>
      </c>
    </row>
    <row r="678" spans="1:10">
      <c r="B678" s="563" t="str">
        <f t="shared" si="106"/>
        <v>N</v>
      </c>
      <c r="D678" s="528">
        <v>2.25</v>
      </c>
      <c r="E678" s="495" t="str">
        <f t="array" aca="1" ref="E678" ca="1">IF($B678="N","",SUM(IF((INDIRECT($B678&amp;"!I23:I200")=$A$2)*(INDIRECT($B678&amp;"!O23:O200")=$D678)*(INDIRECT($B678&amp;"!O23:O200")&lt;&gt;"")*(INDIRECT($B678&amp;"!H23:H200")=$E$5),1,0)))</f>
        <v/>
      </c>
      <c r="F678" s="577" t="str">
        <f t="array" aca="1" ref="F678" ca="1">IF($B678="N","",SUM(IF((INDIRECT($B678&amp;"!I23:I200")=$A$2)*(INDIRECT($B678&amp;"!O23:O200")=$D678)*(INDIRECT($B678&amp;"!O23:O200")&lt;&gt;"")*(INDIRECT($B678&amp;"!H23:H200")=$E$5),INDIRECT($B678&amp;"!p23:p200"),0)))</f>
        <v/>
      </c>
      <c r="G678" s="495" t="str">
        <f t="array" aca="1" ref="G678" ca="1">IF($B678="N","",SUM(IF((INDIRECT($B678&amp;"!I23:I200")=$A$2)*(INDIRECT($B678&amp;"!O23:O200")=$D678)*(INDIRECT($B678&amp;"!O23:O200")&lt;&gt;"")*(INDIRECT($B678&amp;"!H23:H200")=$G$5),1,0)))</f>
        <v/>
      </c>
      <c r="H678" s="577" t="str">
        <f t="array" aca="1" ref="H678" ca="1">IF($B678="N","",SUM(IF((INDIRECT($B678&amp;"!I23:I200")=$A$2)*(INDIRECT($B678&amp;"!O23:O200")=$D678)*(INDIRECT($B678&amp;"!O23:O200")&lt;&gt;"")*(INDIRECT($B678&amp;"!H23:H200")=$G$5),INDIRECT($B678&amp;"!p23:p200"),0)))</f>
        <v/>
      </c>
      <c r="I678" s="515" t="str">
        <f t="shared" si="104"/>
        <v/>
      </c>
      <c r="J678" s="513" t="str">
        <f t="shared" si="105"/>
        <v/>
      </c>
    </row>
    <row r="679" spans="1:10">
      <c r="B679" s="563" t="str">
        <f t="shared" si="106"/>
        <v>N</v>
      </c>
      <c r="D679" s="528">
        <v>2.5</v>
      </c>
      <c r="E679" s="495" t="str">
        <f t="array" aca="1" ref="E679" ca="1">IF($B679="N","",SUM(IF((INDIRECT($B679&amp;"!I23:I200")=$A$2)*(INDIRECT($B679&amp;"!O23:O200")=$D679)*(INDIRECT($B679&amp;"!O23:O200")&lt;&gt;"")*(INDIRECT($B679&amp;"!H23:H200")=$E$5),1,0)))</f>
        <v/>
      </c>
      <c r="F679" s="577" t="str">
        <f t="array" aca="1" ref="F679" ca="1">IF($B679="N","",SUM(IF((INDIRECT($B679&amp;"!I23:I200")=$A$2)*(INDIRECT($B679&amp;"!O23:O200")=$D679)*(INDIRECT($B679&amp;"!O23:O200")&lt;&gt;"")*(INDIRECT($B679&amp;"!H23:H200")=$E$5),INDIRECT($B679&amp;"!p23:p200"),0)))</f>
        <v/>
      </c>
      <c r="G679" s="495" t="str">
        <f t="array" aca="1" ref="G679" ca="1">IF($B679="N","",SUM(IF((INDIRECT($B679&amp;"!I23:I200")=$A$2)*(INDIRECT($B679&amp;"!O23:O200")=$D679)*(INDIRECT($B679&amp;"!O23:O200")&lt;&gt;"")*(INDIRECT($B679&amp;"!H23:H200")=$G$5),1,0)))</f>
        <v/>
      </c>
      <c r="H679" s="577" t="str">
        <f t="array" aca="1" ref="H679" ca="1">IF($B679="N","",SUM(IF((INDIRECT($B679&amp;"!I23:I200")=$A$2)*(INDIRECT($B679&amp;"!O23:O200")=$D679)*(INDIRECT($B679&amp;"!O23:O200")&lt;&gt;"")*(INDIRECT($B679&amp;"!H23:H200")=$G$5),INDIRECT($B679&amp;"!p23:p200"),0)))</f>
        <v/>
      </c>
      <c r="I679" s="515" t="str">
        <f t="shared" si="104"/>
        <v/>
      </c>
      <c r="J679" s="513" t="str">
        <f t="shared" si="105"/>
        <v/>
      </c>
    </row>
    <row r="680" spans="1:10" ht="15" thickBot="1">
      <c r="B680" s="563" t="str">
        <f t="shared" si="106"/>
        <v>N</v>
      </c>
      <c r="D680" s="511">
        <v>2.75</v>
      </c>
      <c r="E680" s="495" t="str">
        <f t="array" aca="1" ref="E680" ca="1">IF($B680="N","",SUM(IF((INDIRECT($B680&amp;"!I23:I200")=$A$2)*(INDIRECT($B680&amp;"!O23:O200")=$D680)*(INDIRECT($B680&amp;"!O23:O200")&lt;&gt;"")*(INDIRECT($B680&amp;"!H23:H200")=$E$5),1,0)))</f>
        <v/>
      </c>
      <c r="F680" s="577" t="str">
        <f t="array" aca="1" ref="F680" ca="1">IF($B680="N","",SUM(IF((INDIRECT($B680&amp;"!I23:I200")=$A$2)*(INDIRECT($B680&amp;"!O23:O200")=$D680)*(INDIRECT($B680&amp;"!O23:O200")&lt;&gt;"")*(INDIRECT($B680&amp;"!H23:H200")=$E$5),INDIRECT($B680&amp;"!p23:p200"),0)))</f>
        <v/>
      </c>
      <c r="G680" s="495" t="str">
        <f t="array" aca="1" ref="G680" ca="1">IF($B680="N","",SUM(IF((INDIRECT($B680&amp;"!I23:I200")=$A$2)*(INDIRECT($B680&amp;"!O23:O200")=$D680)*(INDIRECT($B680&amp;"!O23:O200")&lt;&gt;"")*(INDIRECT($B680&amp;"!H23:H200")=$G$5),1,0)))</f>
        <v/>
      </c>
      <c r="H680" s="577" t="str">
        <f t="array" aca="1" ref="H680" ca="1">IF($B680="N","",SUM(IF((INDIRECT($B680&amp;"!I23:I200")=$A$2)*(INDIRECT($B680&amp;"!O23:O200")=$D680)*(INDIRECT($B680&amp;"!O23:O200")&lt;&gt;"")*(INDIRECT($B680&amp;"!H23:H200")=$G$5),INDIRECT($B680&amp;"!p23:p200"),0)))</f>
        <v/>
      </c>
      <c r="I680" s="553" t="str">
        <f t="shared" si="104"/>
        <v/>
      </c>
      <c r="J680" s="552" t="str">
        <f t="shared" si="105"/>
        <v/>
      </c>
    </row>
    <row r="681" spans="1:10" ht="15" thickBot="1">
      <c r="A681" s="567"/>
      <c r="B681" s="568"/>
      <c r="C681" s="569">
        <f>D656</f>
        <v>0</v>
      </c>
      <c r="D681" s="570" t="s">
        <v>115</v>
      </c>
      <c r="E681" s="571">
        <f t="shared" ref="E681:J681" ca="1" si="107">SUM(E658:E680)</f>
        <v>0</v>
      </c>
      <c r="F681" s="572">
        <f t="shared" ca="1" si="107"/>
        <v>0</v>
      </c>
      <c r="G681" s="571">
        <f t="shared" ca="1" si="107"/>
        <v>0</v>
      </c>
      <c r="H681" s="572">
        <f t="shared" ca="1" si="107"/>
        <v>0</v>
      </c>
      <c r="I681" s="573">
        <f t="shared" si="107"/>
        <v>0</v>
      </c>
      <c r="J681" s="572">
        <f t="shared" si="107"/>
        <v>0</v>
      </c>
    </row>
    <row r="682" spans="1:10">
      <c r="A682" s="567"/>
      <c r="C682" s="576"/>
    </row>
    <row r="683" spans="1:10">
      <c r="A683" s="567"/>
      <c r="C683" s="576"/>
    </row>
    <row r="684" spans="1:10">
      <c r="A684" s="567"/>
      <c r="C684" s="576"/>
    </row>
    <row r="685" spans="1:10">
      <c r="A685" s="567"/>
      <c r="C685" s="576"/>
    </row>
    <row r="686" spans="1:10">
      <c r="A686" s="567"/>
      <c r="C686" s="576"/>
    </row>
    <row r="687" spans="1:10">
      <c r="A687" s="567"/>
      <c r="C687" s="576"/>
    </row>
    <row r="688" spans="1:10">
      <c r="A688" s="567"/>
      <c r="C688" s="576"/>
    </row>
    <row r="689" spans="1:3">
      <c r="A689" s="567"/>
      <c r="C689" s="576"/>
    </row>
    <row r="690" spans="1:3">
      <c r="A690" s="567"/>
      <c r="C690" s="576"/>
    </row>
    <row r="691" spans="1:3">
      <c r="A691" s="567"/>
      <c r="C691" s="576"/>
    </row>
    <row r="692" spans="1:3">
      <c r="C692" s="576"/>
    </row>
    <row r="693" spans="1:3">
      <c r="C693" s="576"/>
    </row>
    <row r="694" spans="1:3">
      <c r="C694" s="576"/>
    </row>
    <row r="695" spans="1:3">
      <c r="C695" s="576"/>
    </row>
    <row r="696" spans="1:3">
      <c r="C696" s="576"/>
    </row>
    <row r="697" spans="1:3">
      <c r="C697" s="576"/>
    </row>
    <row r="698" spans="1:3">
      <c r="C698" s="576"/>
    </row>
    <row r="699" spans="1:3">
      <c r="C699" s="576"/>
    </row>
    <row r="700" spans="1:3">
      <c r="C700" s="576"/>
    </row>
    <row r="701" spans="1:3">
      <c r="C701" s="576"/>
    </row>
    <row r="702" spans="1:3">
      <c r="C702" s="576"/>
    </row>
    <row r="703" spans="1:3">
      <c r="C703" s="576"/>
    </row>
    <row r="704" spans="1:3">
      <c r="C704" s="576"/>
    </row>
    <row r="705" spans="3:3">
      <c r="C705" s="576"/>
    </row>
    <row r="706" spans="3:3">
      <c r="C706" s="576"/>
    </row>
    <row r="707" spans="3:3">
      <c r="C707" s="576"/>
    </row>
    <row r="708" spans="3:3">
      <c r="C708" s="576"/>
    </row>
    <row r="709" spans="3:3">
      <c r="C709" s="576"/>
    </row>
    <row r="710" spans="3:3">
      <c r="C710" s="576"/>
    </row>
    <row r="711" spans="3:3">
      <c r="C711" s="576"/>
    </row>
    <row r="712" spans="3:3">
      <c r="C712" s="576"/>
    </row>
    <row r="713" spans="3:3">
      <c r="C713" s="576"/>
    </row>
    <row r="714" spans="3:3">
      <c r="C714" s="576"/>
    </row>
    <row r="715" spans="3:3">
      <c r="C715" s="576"/>
    </row>
    <row r="716" spans="3:3">
      <c r="C716" s="576"/>
    </row>
    <row r="717" spans="3:3">
      <c r="C717" s="576"/>
    </row>
    <row r="718" spans="3:3">
      <c r="C718" s="576"/>
    </row>
    <row r="719" spans="3:3">
      <c r="C719" s="576"/>
    </row>
    <row r="720" spans="3:3">
      <c r="C720" s="576"/>
    </row>
    <row r="721" spans="3:3">
      <c r="C721" s="576"/>
    </row>
    <row r="722" spans="3:3">
      <c r="C722" s="576"/>
    </row>
    <row r="723" spans="3:3">
      <c r="C723" s="576"/>
    </row>
    <row r="724" spans="3:3">
      <c r="C724" s="576"/>
    </row>
    <row r="725" spans="3:3">
      <c r="C725" s="576"/>
    </row>
    <row r="726" spans="3:3">
      <c r="C726" s="576"/>
    </row>
    <row r="727" spans="3:3">
      <c r="C727" s="576"/>
    </row>
    <row r="728" spans="3:3">
      <c r="C728" s="576"/>
    </row>
    <row r="729" spans="3:3">
      <c r="C729" s="576"/>
    </row>
    <row r="730" spans="3:3">
      <c r="C730" s="576"/>
    </row>
    <row r="731" spans="3:3">
      <c r="C731" s="576"/>
    </row>
    <row r="732" spans="3:3">
      <c r="C732" s="576"/>
    </row>
    <row r="733" spans="3:3">
      <c r="C733" s="576"/>
    </row>
    <row r="734" spans="3:3">
      <c r="C734" s="576"/>
    </row>
    <row r="735" spans="3:3">
      <c r="C735" s="576"/>
    </row>
    <row r="736" spans="3:3">
      <c r="C736" s="576"/>
    </row>
    <row r="737" spans="3:3">
      <c r="C737" s="576"/>
    </row>
    <row r="738" spans="3:3">
      <c r="C738" s="576"/>
    </row>
    <row r="739" spans="3:3">
      <c r="C739" s="576"/>
    </row>
    <row r="740" spans="3:3">
      <c r="C740" s="576"/>
    </row>
    <row r="741" spans="3:3">
      <c r="C741" s="576"/>
    </row>
    <row r="742" spans="3:3">
      <c r="C742" s="576"/>
    </row>
    <row r="743" spans="3:3">
      <c r="C743" s="576"/>
    </row>
    <row r="744" spans="3:3">
      <c r="C744" s="576"/>
    </row>
    <row r="745" spans="3:3">
      <c r="C745" s="576"/>
    </row>
    <row r="746" spans="3:3">
      <c r="C746" s="576"/>
    </row>
    <row r="747" spans="3:3">
      <c r="C747" s="576"/>
    </row>
    <row r="748" spans="3:3">
      <c r="C748" s="576"/>
    </row>
    <row r="749" spans="3:3">
      <c r="C749" s="576"/>
    </row>
    <row r="750" spans="3:3">
      <c r="C750" s="576"/>
    </row>
    <row r="751" spans="3:3">
      <c r="C751" s="576"/>
    </row>
    <row r="752" spans="3:3">
      <c r="C752" s="576"/>
    </row>
    <row r="753" spans="3:3">
      <c r="C753" s="576"/>
    </row>
    <row r="754" spans="3:3">
      <c r="C754" s="576"/>
    </row>
    <row r="755" spans="3:3">
      <c r="C755" s="576"/>
    </row>
    <row r="756" spans="3:3">
      <c r="C756" s="576"/>
    </row>
    <row r="757" spans="3:3">
      <c r="C757" s="576"/>
    </row>
    <row r="758" spans="3:3">
      <c r="C758" s="576"/>
    </row>
    <row r="759" spans="3:3">
      <c r="C759" s="576"/>
    </row>
    <row r="760" spans="3:3">
      <c r="C760" s="576"/>
    </row>
    <row r="761" spans="3:3">
      <c r="C761" s="576"/>
    </row>
    <row r="762" spans="3:3">
      <c r="C762" s="576"/>
    </row>
    <row r="763" spans="3:3">
      <c r="C763" s="576"/>
    </row>
    <row r="764" spans="3:3">
      <c r="C764" s="576"/>
    </row>
    <row r="765" spans="3:3">
      <c r="C765" s="576"/>
    </row>
    <row r="766" spans="3:3">
      <c r="C766" s="576"/>
    </row>
    <row r="767" spans="3:3">
      <c r="C767" s="576"/>
    </row>
    <row r="768" spans="3:3">
      <c r="C768" s="576"/>
    </row>
    <row r="769" spans="3:3">
      <c r="C769" s="576"/>
    </row>
    <row r="770" spans="3:3">
      <c r="C770" s="576"/>
    </row>
    <row r="771" spans="3:3">
      <c r="C771" s="576"/>
    </row>
    <row r="772" spans="3:3">
      <c r="C772" s="576"/>
    </row>
    <row r="773" spans="3:3">
      <c r="C773" s="576"/>
    </row>
    <row r="774" spans="3:3">
      <c r="C774" s="576"/>
    </row>
    <row r="775" spans="3:3">
      <c r="C775" s="576"/>
    </row>
    <row r="776" spans="3:3">
      <c r="C776" s="576"/>
    </row>
    <row r="777" spans="3:3">
      <c r="C777" s="576"/>
    </row>
    <row r="778" spans="3:3">
      <c r="C778" s="576"/>
    </row>
    <row r="779" spans="3:3">
      <c r="C779" s="576"/>
    </row>
    <row r="780" spans="3:3">
      <c r="C780" s="576"/>
    </row>
    <row r="781" spans="3:3">
      <c r="C781" s="576"/>
    </row>
    <row r="782" spans="3:3">
      <c r="C782" s="576"/>
    </row>
    <row r="783" spans="3:3">
      <c r="C783" s="576"/>
    </row>
    <row r="784" spans="3:3">
      <c r="C784" s="576"/>
    </row>
    <row r="785" spans="3:3">
      <c r="C785" s="576"/>
    </row>
    <row r="786" spans="3:3">
      <c r="C786" s="576"/>
    </row>
    <row r="787" spans="3:3">
      <c r="C787" s="576"/>
    </row>
    <row r="788" spans="3:3">
      <c r="C788" s="576"/>
    </row>
    <row r="789" spans="3:3">
      <c r="C789" s="576"/>
    </row>
    <row r="790" spans="3:3">
      <c r="C790" s="576"/>
    </row>
    <row r="791" spans="3:3">
      <c r="C791" s="576"/>
    </row>
    <row r="792" spans="3:3">
      <c r="C792" s="576"/>
    </row>
    <row r="793" spans="3:3">
      <c r="C793" s="576"/>
    </row>
    <row r="794" spans="3:3">
      <c r="C794" s="576"/>
    </row>
    <row r="795" spans="3:3">
      <c r="C795" s="576"/>
    </row>
    <row r="796" spans="3:3">
      <c r="C796" s="576"/>
    </row>
    <row r="797" spans="3:3">
      <c r="C797" s="576"/>
    </row>
    <row r="798" spans="3:3">
      <c r="C798" s="576"/>
    </row>
    <row r="799" spans="3:3">
      <c r="C799" s="576"/>
    </row>
    <row r="800" spans="3:3">
      <c r="C800" s="576"/>
    </row>
    <row r="801" spans="3:3">
      <c r="C801" s="576"/>
    </row>
    <row r="802" spans="3:3">
      <c r="C802" s="576"/>
    </row>
    <row r="803" spans="3:3">
      <c r="C803" s="576"/>
    </row>
    <row r="804" spans="3:3">
      <c r="C804" s="576"/>
    </row>
    <row r="805" spans="3:3">
      <c r="C805" s="576"/>
    </row>
    <row r="806" spans="3:3">
      <c r="C806" s="576"/>
    </row>
    <row r="807" spans="3:3">
      <c r="C807" s="576"/>
    </row>
    <row r="808" spans="3:3">
      <c r="C808" s="576"/>
    </row>
    <row r="809" spans="3:3">
      <c r="C809" s="576"/>
    </row>
    <row r="810" spans="3:3">
      <c r="C810" s="576"/>
    </row>
    <row r="811" spans="3:3">
      <c r="C811" s="576"/>
    </row>
    <row r="812" spans="3:3">
      <c r="C812" s="576"/>
    </row>
    <row r="813" spans="3:3">
      <c r="C813" s="576"/>
    </row>
    <row r="814" spans="3:3">
      <c r="C814" s="576"/>
    </row>
    <row r="815" spans="3:3">
      <c r="C815" s="576"/>
    </row>
    <row r="816" spans="3:3">
      <c r="C816" s="576"/>
    </row>
    <row r="817" spans="3:3">
      <c r="C817" s="576"/>
    </row>
    <row r="818" spans="3:3">
      <c r="C818" s="576"/>
    </row>
    <row r="819" spans="3:3">
      <c r="C819" s="576"/>
    </row>
    <row r="820" spans="3:3">
      <c r="C820" s="576"/>
    </row>
    <row r="821" spans="3:3">
      <c r="C821" s="576"/>
    </row>
    <row r="822" spans="3:3">
      <c r="C822" s="576"/>
    </row>
    <row r="823" spans="3:3">
      <c r="C823" s="576"/>
    </row>
    <row r="824" spans="3:3">
      <c r="C824" s="576"/>
    </row>
    <row r="825" spans="3:3">
      <c r="C825" s="576"/>
    </row>
    <row r="826" spans="3:3">
      <c r="C826" s="576"/>
    </row>
    <row r="827" spans="3:3">
      <c r="C827" s="576"/>
    </row>
    <row r="828" spans="3:3">
      <c r="C828" s="576"/>
    </row>
    <row r="829" spans="3:3">
      <c r="C829" s="576"/>
    </row>
    <row r="830" spans="3:3">
      <c r="C830" s="576"/>
    </row>
    <row r="831" spans="3:3">
      <c r="C831" s="576"/>
    </row>
    <row r="832" spans="3:3">
      <c r="C832" s="576"/>
    </row>
    <row r="833" spans="3:3">
      <c r="C833" s="576"/>
    </row>
    <row r="834" spans="3:3">
      <c r="C834" s="576"/>
    </row>
    <row r="835" spans="3:3">
      <c r="C835" s="576"/>
    </row>
    <row r="836" spans="3:3">
      <c r="C836" s="576"/>
    </row>
    <row r="837" spans="3:3">
      <c r="C837" s="576"/>
    </row>
    <row r="838" spans="3:3">
      <c r="C838" s="576"/>
    </row>
    <row r="839" spans="3:3">
      <c r="C839" s="576"/>
    </row>
    <row r="840" spans="3:3">
      <c r="C840" s="576"/>
    </row>
    <row r="841" spans="3:3">
      <c r="C841" s="576"/>
    </row>
    <row r="842" spans="3:3">
      <c r="C842" s="576"/>
    </row>
    <row r="843" spans="3:3">
      <c r="C843" s="576"/>
    </row>
    <row r="844" spans="3:3">
      <c r="C844" s="576"/>
    </row>
    <row r="845" spans="3:3">
      <c r="C845" s="576"/>
    </row>
    <row r="846" spans="3:3">
      <c r="C846" s="576"/>
    </row>
    <row r="847" spans="3:3">
      <c r="C847" s="576"/>
    </row>
    <row r="848" spans="3:3">
      <c r="C848" s="576"/>
    </row>
    <row r="849" spans="3:3">
      <c r="C849" s="576"/>
    </row>
    <row r="850" spans="3:3">
      <c r="C850" s="576"/>
    </row>
    <row r="851" spans="3:3">
      <c r="C851" s="576"/>
    </row>
    <row r="852" spans="3:3">
      <c r="C852" s="576"/>
    </row>
    <row r="853" spans="3:3">
      <c r="C853" s="576"/>
    </row>
    <row r="854" spans="3:3">
      <c r="C854" s="576"/>
    </row>
    <row r="855" spans="3:3">
      <c r="C855" s="576"/>
    </row>
    <row r="856" spans="3:3">
      <c r="C856" s="576"/>
    </row>
    <row r="857" spans="3:3">
      <c r="C857" s="576"/>
    </row>
    <row r="858" spans="3:3">
      <c r="C858" s="576"/>
    </row>
    <row r="859" spans="3:3">
      <c r="C859" s="576"/>
    </row>
    <row r="860" spans="3:3">
      <c r="C860" s="576"/>
    </row>
    <row r="861" spans="3:3">
      <c r="C861" s="576"/>
    </row>
    <row r="862" spans="3:3">
      <c r="C862" s="576"/>
    </row>
    <row r="863" spans="3:3">
      <c r="C863" s="576"/>
    </row>
    <row r="864" spans="3:3">
      <c r="C864" s="576"/>
    </row>
    <row r="865" spans="3:3">
      <c r="C865" s="576"/>
    </row>
    <row r="866" spans="3:3">
      <c r="C866" s="576"/>
    </row>
    <row r="867" spans="3:3">
      <c r="C867" s="576"/>
    </row>
    <row r="868" spans="3:3">
      <c r="C868" s="576"/>
    </row>
    <row r="869" spans="3:3">
      <c r="C869" s="576"/>
    </row>
    <row r="870" spans="3:3">
      <c r="C870" s="576"/>
    </row>
    <row r="871" spans="3:3">
      <c r="C871" s="576"/>
    </row>
    <row r="872" spans="3:3">
      <c r="C872" s="576"/>
    </row>
    <row r="873" spans="3:3">
      <c r="C873" s="576"/>
    </row>
    <row r="874" spans="3:3">
      <c r="C874" s="576"/>
    </row>
    <row r="875" spans="3:3">
      <c r="C875" s="576"/>
    </row>
    <row r="876" spans="3:3">
      <c r="C876" s="576"/>
    </row>
    <row r="877" spans="3:3">
      <c r="C877" s="576"/>
    </row>
    <row r="878" spans="3:3">
      <c r="C878" s="576"/>
    </row>
    <row r="879" spans="3:3">
      <c r="C879" s="576"/>
    </row>
    <row r="880" spans="3:3">
      <c r="C880" s="576"/>
    </row>
    <row r="881" spans="3:3">
      <c r="C881" s="576"/>
    </row>
    <row r="882" spans="3:3">
      <c r="C882" s="576"/>
    </row>
    <row r="883" spans="3:3">
      <c r="C883" s="576"/>
    </row>
    <row r="884" spans="3:3">
      <c r="C884" s="576"/>
    </row>
    <row r="885" spans="3:3">
      <c r="C885" s="576"/>
    </row>
    <row r="886" spans="3:3">
      <c r="C886" s="576"/>
    </row>
    <row r="887" spans="3:3">
      <c r="C887" s="576"/>
    </row>
    <row r="888" spans="3:3">
      <c r="C888" s="576"/>
    </row>
    <row r="889" spans="3:3">
      <c r="C889" s="576"/>
    </row>
    <row r="890" spans="3:3">
      <c r="C890" s="576"/>
    </row>
    <row r="891" spans="3:3">
      <c r="C891" s="576"/>
    </row>
    <row r="892" spans="3:3">
      <c r="C892" s="576"/>
    </row>
    <row r="893" spans="3:3">
      <c r="C893" s="576"/>
    </row>
    <row r="894" spans="3:3">
      <c r="C894" s="576"/>
    </row>
    <row r="895" spans="3:3">
      <c r="C895" s="576"/>
    </row>
    <row r="896" spans="3:3">
      <c r="C896" s="576"/>
    </row>
    <row r="897" spans="3:3">
      <c r="C897" s="576"/>
    </row>
    <row r="898" spans="3:3">
      <c r="C898" s="576"/>
    </row>
    <row r="899" spans="3:3">
      <c r="C899" s="576"/>
    </row>
    <row r="900" spans="3:3">
      <c r="C900" s="576"/>
    </row>
    <row r="901" spans="3:3">
      <c r="C901" s="576"/>
    </row>
    <row r="902" spans="3:3">
      <c r="C902" s="576"/>
    </row>
    <row r="903" spans="3:3">
      <c r="C903" s="576"/>
    </row>
    <row r="904" spans="3:3">
      <c r="C904" s="576"/>
    </row>
    <row r="905" spans="3:3">
      <c r="C905" s="576"/>
    </row>
    <row r="906" spans="3:3">
      <c r="C906" s="576"/>
    </row>
    <row r="907" spans="3:3">
      <c r="C907" s="576"/>
    </row>
    <row r="908" spans="3:3">
      <c r="C908" s="576"/>
    </row>
    <row r="909" spans="3:3">
      <c r="C909" s="576"/>
    </row>
    <row r="910" spans="3:3">
      <c r="C910" s="576"/>
    </row>
    <row r="911" spans="3:3">
      <c r="C911" s="576"/>
    </row>
    <row r="912" spans="3:3">
      <c r="C912" s="576"/>
    </row>
    <row r="913" spans="3:3">
      <c r="C913" s="576"/>
    </row>
    <row r="914" spans="3:3">
      <c r="C914" s="576"/>
    </row>
    <row r="915" spans="3:3">
      <c r="C915" s="576"/>
    </row>
    <row r="916" spans="3:3">
      <c r="C916" s="576"/>
    </row>
    <row r="917" spans="3:3">
      <c r="C917" s="576"/>
    </row>
    <row r="918" spans="3:3">
      <c r="C918" s="576"/>
    </row>
    <row r="919" spans="3:3">
      <c r="C919" s="576"/>
    </row>
    <row r="920" spans="3:3">
      <c r="C920" s="576"/>
    </row>
    <row r="921" spans="3:3">
      <c r="C921" s="576"/>
    </row>
    <row r="922" spans="3:3">
      <c r="C922" s="576"/>
    </row>
    <row r="923" spans="3:3">
      <c r="C923" s="576"/>
    </row>
    <row r="924" spans="3:3">
      <c r="C924" s="576"/>
    </row>
    <row r="925" spans="3:3">
      <c r="C925" s="576"/>
    </row>
    <row r="926" spans="3:3">
      <c r="C926" s="576"/>
    </row>
    <row r="927" spans="3:3">
      <c r="C927" s="576"/>
    </row>
    <row r="928" spans="3:3">
      <c r="C928" s="576"/>
    </row>
    <row r="929" spans="3:3">
      <c r="C929" s="576"/>
    </row>
    <row r="930" spans="3:3">
      <c r="C930" s="576"/>
    </row>
    <row r="931" spans="3:3">
      <c r="C931" s="576"/>
    </row>
    <row r="932" spans="3:3">
      <c r="C932" s="576"/>
    </row>
    <row r="933" spans="3:3">
      <c r="C933" s="576"/>
    </row>
    <row r="934" spans="3:3">
      <c r="C934" s="576"/>
    </row>
    <row r="935" spans="3:3">
      <c r="C935" s="576"/>
    </row>
    <row r="936" spans="3:3">
      <c r="C936" s="576"/>
    </row>
    <row r="937" spans="3:3">
      <c r="C937" s="576"/>
    </row>
    <row r="938" spans="3:3">
      <c r="C938" s="576"/>
    </row>
    <row r="939" spans="3:3">
      <c r="C939" s="576"/>
    </row>
    <row r="940" spans="3:3">
      <c r="C940" s="576"/>
    </row>
    <row r="941" spans="3:3">
      <c r="C941" s="576"/>
    </row>
    <row r="942" spans="3:3">
      <c r="C942" s="576"/>
    </row>
    <row r="943" spans="3:3">
      <c r="C943" s="576"/>
    </row>
    <row r="944" spans="3:3">
      <c r="C944" s="576"/>
    </row>
    <row r="945" spans="3:3">
      <c r="C945" s="576"/>
    </row>
    <row r="946" spans="3:3">
      <c r="C946" s="576"/>
    </row>
    <row r="947" spans="3:3">
      <c r="C947" s="576"/>
    </row>
    <row r="948" spans="3:3">
      <c r="C948" s="576"/>
    </row>
    <row r="949" spans="3:3">
      <c r="C949" s="576"/>
    </row>
    <row r="950" spans="3:3">
      <c r="C950" s="576"/>
    </row>
    <row r="951" spans="3:3">
      <c r="C951" s="576"/>
    </row>
    <row r="952" spans="3:3">
      <c r="C952" s="576"/>
    </row>
    <row r="953" spans="3:3">
      <c r="C953" s="576"/>
    </row>
    <row r="954" spans="3:3">
      <c r="C954" s="576"/>
    </row>
    <row r="955" spans="3:3">
      <c r="C955" s="576"/>
    </row>
    <row r="956" spans="3:3">
      <c r="C956" s="576"/>
    </row>
    <row r="957" spans="3:3">
      <c r="C957" s="576"/>
    </row>
    <row r="958" spans="3:3">
      <c r="C958" s="576"/>
    </row>
    <row r="959" spans="3:3">
      <c r="C959" s="576"/>
    </row>
    <row r="960" spans="3:3">
      <c r="C960" s="576"/>
    </row>
    <row r="961" spans="3:3">
      <c r="C961" s="576"/>
    </row>
    <row r="962" spans="3:3">
      <c r="C962" s="576"/>
    </row>
    <row r="963" spans="3:3">
      <c r="C963" s="576"/>
    </row>
    <row r="964" spans="3:3">
      <c r="C964" s="576"/>
    </row>
    <row r="965" spans="3:3">
      <c r="C965" s="576"/>
    </row>
    <row r="966" spans="3:3">
      <c r="C966" s="576"/>
    </row>
    <row r="967" spans="3:3">
      <c r="C967" s="576"/>
    </row>
    <row r="968" spans="3:3">
      <c r="C968" s="576"/>
    </row>
    <row r="969" spans="3:3">
      <c r="C969" s="576"/>
    </row>
    <row r="970" spans="3:3">
      <c r="C970" s="576"/>
    </row>
    <row r="971" spans="3:3">
      <c r="C971" s="576"/>
    </row>
    <row r="972" spans="3:3">
      <c r="C972" s="576"/>
    </row>
    <row r="973" spans="3:3">
      <c r="C973" s="576"/>
    </row>
    <row r="974" spans="3:3">
      <c r="C974" s="576"/>
    </row>
    <row r="975" spans="3:3">
      <c r="C975" s="576"/>
    </row>
    <row r="976" spans="3:3">
      <c r="C976" s="576"/>
    </row>
    <row r="977" spans="3:3">
      <c r="C977" s="576"/>
    </row>
    <row r="978" spans="3:3">
      <c r="C978" s="576"/>
    </row>
    <row r="979" spans="3:3">
      <c r="C979" s="576"/>
    </row>
    <row r="980" spans="3:3">
      <c r="C980" s="576"/>
    </row>
    <row r="981" spans="3:3">
      <c r="C981" s="576"/>
    </row>
    <row r="982" spans="3:3">
      <c r="C982" s="576"/>
    </row>
    <row r="983" spans="3:3">
      <c r="C983" s="576"/>
    </row>
    <row r="984" spans="3:3">
      <c r="C984" s="576"/>
    </row>
    <row r="985" spans="3:3">
      <c r="C985" s="576"/>
    </row>
    <row r="986" spans="3:3">
      <c r="C986" s="576"/>
    </row>
    <row r="987" spans="3:3">
      <c r="C987" s="576"/>
    </row>
    <row r="988" spans="3:3">
      <c r="C988" s="576"/>
    </row>
    <row r="989" spans="3:3">
      <c r="C989" s="576"/>
    </row>
    <row r="990" spans="3:3">
      <c r="C990" s="576"/>
    </row>
    <row r="991" spans="3:3">
      <c r="C991" s="576"/>
    </row>
    <row r="992" spans="3:3">
      <c r="C992" s="576"/>
    </row>
    <row r="993" spans="3:3">
      <c r="C993" s="576"/>
    </row>
    <row r="994" spans="3:3">
      <c r="C994" s="576"/>
    </row>
    <row r="995" spans="3:3">
      <c r="C995" s="576"/>
    </row>
    <row r="996" spans="3:3">
      <c r="C996" s="576"/>
    </row>
    <row r="997" spans="3:3">
      <c r="C997" s="576"/>
    </row>
    <row r="998" spans="3:3">
      <c r="C998" s="576"/>
    </row>
    <row r="999" spans="3:3">
      <c r="C999" s="576"/>
    </row>
    <row r="1000" spans="3:3">
      <c r="C1000" s="576"/>
    </row>
    <row r="1001" spans="3:3">
      <c r="C1001" s="576"/>
    </row>
    <row r="1002" spans="3:3">
      <c r="C1002" s="576"/>
    </row>
    <row r="1003" spans="3:3">
      <c r="C1003" s="576"/>
    </row>
    <row r="1004" spans="3:3">
      <c r="C1004" s="576"/>
    </row>
    <row r="1005" spans="3:3">
      <c r="C1005" s="576"/>
    </row>
    <row r="1006" spans="3:3">
      <c r="C1006" s="576"/>
    </row>
    <row r="1007" spans="3:3">
      <c r="C1007" s="576"/>
    </row>
    <row r="1008" spans="3:3">
      <c r="C1008" s="576"/>
    </row>
    <row r="1009" spans="3:3">
      <c r="C1009" s="576"/>
    </row>
    <row r="1010" spans="3:3">
      <c r="C1010" s="576"/>
    </row>
    <row r="1011" spans="3:3">
      <c r="C1011" s="576"/>
    </row>
    <row r="1012" spans="3:3">
      <c r="C1012" s="576"/>
    </row>
    <row r="1013" spans="3:3">
      <c r="C1013" s="576"/>
    </row>
    <row r="1014" spans="3:3">
      <c r="C1014" s="576"/>
    </row>
    <row r="1015" spans="3:3">
      <c r="C1015" s="576"/>
    </row>
    <row r="1016" spans="3:3">
      <c r="C1016" s="576"/>
    </row>
    <row r="1017" spans="3:3">
      <c r="C1017" s="576"/>
    </row>
    <row r="1018" spans="3:3">
      <c r="C1018" s="576"/>
    </row>
    <row r="1019" spans="3:3">
      <c r="C1019" s="576"/>
    </row>
    <row r="1020" spans="3:3">
      <c r="C1020" s="576"/>
    </row>
    <row r="1021" spans="3:3">
      <c r="C1021" s="576"/>
    </row>
    <row r="1022" spans="3:3">
      <c r="C1022" s="576"/>
    </row>
    <row r="1023" spans="3:3">
      <c r="C1023" s="576"/>
    </row>
    <row r="1024" spans="3:3">
      <c r="C1024" s="576"/>
    </row>
    <row r="1025" spans="3:3">
      <c r="C1025" s="576"/>
    </row>
    <row r="1026" spans="3:3">
      <c r="C1026" s="576"/>
    </row>
    <row r="1027" spans="3:3">
      <c r="C1027" s="576"/>
    </row>
    <row r="1028" spans="3:3">
      <c r="C1028" s="576"/>
    </row>
    <row r="1029" spans="3:3">
      <c r="C1029" s="576"/>
    </row>
    <row r="1030" spans="3:3">
      <c r="C1030" s="576"/>
    </row>
    <row r="1031" spans="3:3">
      <c r="C1031" s="576"/>
    </row>
    <row r="1032" spans="3:3">
      <c r="C1032" s="576"/>
    </row>
    <row r="1033" spans="3:3">
      <c r="C1033" s="576"/>
    </row>
    <row r="1034" spans="3:3">
      <c r="C1034" s="576"/>
    </row>
    <row r="1035" spans="3:3">
      <c r="C1035" s="576"/>
    </row>
    <row r="1036" spans="3:3">
      <c r="C1036" s="576"/>
    </row>
    <row r="1037" spans="3:3">
      <c r="C1037" s="576"/>
    </row>
    <row r="1038" spans="3:3">
      <c r="C1038" s="576"/>
    </row>
    <row r="1039" spans="3:3">
      <c r="C1039" s="576"/>
    </row>
    <row r="1040" spans="3:3">
      <c r="C1040" s="576"/>
    </row>
    <row r="1041" spans="3:3">
      <c r="C1041" s="576"/>
    </row>
    <row r="1042" spans="3:3">
      <c r="C1042" s="576"/>
    </row>
    <row r="1043" spans="3:3">
      <c r="C1043" s="576"/>
    </row>
    <row r="1044" spans="3:3">
      <c r="C1044" s="576"/>
    </row>
    <row r="1045" spans="3:3">
      <c r="C1045" s="576"/>
    </row>
    <row r="1046" spans="3:3">
      <c r="C1046" s="576"/>
    </row>
    <row r="1047" spans="3:3">
      <c r="C1047" s="576"/>
    </row>
    <row r="1048" spans="3:3">
      <c r="C1048" s="576"/>
    </row>
    <row r="1049" spans="3:3">
      <c r="C1049" s="576"/>
    </row>
    <row r="1050" spans="3:3">
      <c r="C1050" s="576"/>
    </row>
    <row r="1051" spans="3:3">
      <c r="C1051" s="576"/>
    </row>
    <row r="1052" spans="3:3">
      <c r="C1052" s="576"/>
    </row>
    <row r="1053" spans="3:3">
      <c r="C1053" s="576"/>
    </row>
    <row r="1054" spans="3:3">
      <c r="C1054" s="576"/>
    </row>
    <row r="1055" spans="3:3">
      <c r="C1055" s="576"/>
    </row>
    <row r="1056" spans="3:3">
      <c r="C1056" s="576"/>
    </row>
    <row r="1057" spans="3:3">
      <c r="C1057" s="576"/>
    </row>
    <row r="1058" spans="3:3">
      <c r="C1058" s="576"/>
    </row>
    <row r="1059" spans="3:3">
      <c r="C1059" s="576"/>
    </row>
    <row r="1060" spans="3:3">
      <c r="C1060" s="576"/>
    </row>
    <row r="1061" spans="3:3">
      <c r="C1061" s="576"/>
    </row>
    <row r="1062" spans="3:3">
      <c r="C1062" s="576"/>
    </row>
    <row r="1063" spans="3:3">
      <c r="C1063" s="576"/>
    </row>
    <row r="1064" spans="3:3">
      <c r="C1064" s="576"/>
    </row>
    <row r="1065" spans="3:3">
      <c r="C1065" s="576"/>
    </row>
    <row r="1066" spans="3:3">
      <c r="C1066" s="576"/>
    </row>
    <row r="1067" spans="3:3">
      <c r="C1067" s="576"/>
    </row>
    <row r="1068" spans="3:3">
      <c r="C1068" s="576"/>
    </row>
    <row r="1069" spans="3:3">
      <c r="C1069" s="576"/>
    </row>
    <row r="1070" spans="3:3">
      <c r="C1070" s="576"/>
    </row>
    <row r="1071" spans="3:3">
      <c r="C1071" s="576"/>
    </row>
    <row r="1072" spans="3:3">
      <c r="C1072" s="576"/>
    </row>
    <row r="1073" spans="3:3">
      <c r="C1073" s="576"/>
    </row>
    <row r="1074" spans="3:3">
      <c r="C1074" s="576"/>
    </row>
    <row r="1075" spans="3:3">
      <c r="C1075" s="576"/>
    </row>
    <row r="1076" spans="3:3">
      <c r="C1076" s="576"/>
    </row>
    <row r="1077" spans="3:3">
      <c r="C1077" s="576"/>
    </row>
    <row r="1078" spans="3:3">
      <c r="C1078" s="576"/>
    </row>
    <row r="1079" spans="3:3">
      <c r="C1079" s="576"/>
    </row>
    <row r="1080" spans="3:3">
      <c r="C1080" s="576"/>
    </row>
    <row r="1081" spans="3:3">
      <c r="C1081" s="576"/>
    </row>
    <row r="1082" spans="3:3">
      <c r="C1082" s="576"/>
    </row>
    <row r="1083" spans="3:3">
      <c r="C1083" s="576"/>
    </row>
    <row r="1084" spans="3:3">
      <c r="C1084" s="576"/>
    </row>
    <row r="1085" spans="3:3">
      <c r="C1085" s="576"/>
    </row>
    <row r="1086" spans="3:3">
      <c r="C1086" s="576"/>
    </row>
    <row r="1087" spans="3:3">
      <c r="C1087" s="576"/>
    </row>
    <row r="1088" spans="3:3">
      <c r="C1088" s="576"/>
    </row>
    <row r="1089" spans="3:3">
      <c r="C1089" s="576"/>
    </row>
    <row r="1090" spans="3:3">
      <c r="C1090" s="576"/>
    </row>
    <row r="1091" spans="3:3">
      <c r="C1091" s="576"/>
    </row>
    <row r="1092" spans="3:3">
      <c r="C1092" s="576"/>
    </row>
    <row r="1093" spans="3:3">
      <c r="C1093" s="576"/>
    </row>
    <row r="1094" spans="3:3">
      <c r="C1094" s="576"/>
    </row>
    <row r="1095" spans="3:3">
      <c r="C1095" s="576"/>
    </row>
    <row r="1096" spans="3:3">
      <c r="C1096" s="576"/>
    </row>
    <row r="1097" spans="3:3">
      <c r="C1097" s="576"/>
    </row>
    <row r="1098" spans="3:3">
      <c r="C1098" s="576"/>
    </row>
    <row r="1099" spans="3:3">
      <c r="C1099" s="576"/>
    </row>
    <row r="1100" spans="3:3">
      <c r="C1100" s="576"/>
    </row>
    <row r="1101" spans="3:3">
      <c r="C1101" s="576"/>
    </row>
    <row r="1102" spans="3:3">
      <c r="C1102" s="576"/>
    </row>
    <row r="1103" spans="3:3">
      <c r="C1103" s="576"/>
    </row>
    <row r="1104" spans="3:3">
      <c r="C1104" s="576"/>
    </row>
    <row r="1105" spans="3:3">
      <c r="C1105" s="576"/>
    </row>
    <row r="1106" spans="3:3">
      <c r="C1106" s="576"/>
    </row>
    <row r="1107" spans="3:3">
      <c r="C1107" s="576"/>
    </row>
    <row r="1108" spans="3:3">
      <c r="C1108" s="576"/>
    </row>
    <row r="1109" spans="3:3">
      <c r="C1109" s="576"/>
    </row>
    <row r="1110" spans="3:3">
      <c r="C1110" s="576"/>
    </row>
    <row r="1111" spans="3:3">
      <c r="C1111" s="576"/>
    </row>
    <row r="1112" spans="3:3">
      <c r="C1112" s="576"/>
    </row>
    <row r="1113" spans="3:3">
      <c r="C1113" s="576"/>
    </row>
    <row r="1114" spans="3:3">
      <c r="C1114" s="576"/>
    </row>
    <row r="1115" spans="3:3">
      <c r="C1115" s="576"/>
    </row>
    <row r="1116" spans="3:3">
      <c r="C1116" s="576"/>
    </row>
    <row r="1117" spans="3:3">
      <c r="C1117" s="576"/>
    </row>
    <row r="1118" spans="3:3">
      <c r="C1118" s="576"/>
    </row>
    <row r="1119" spans="3:3">
      <c r="C1119" s="576"/>
    </row>
    <row r="1120" spans="3:3">
      <c r="C1120" s="576"/>
    </row>
    <row r="1121" spans="3:3">
      <c r="C1121" s="576"/>
    </row>
    <row r="1122" spans="3:3">
      <c r="C1122" s="576"/>
    </row>
    <row r="1123" spans="3:3">
      <c r="C1123" s="576"/>
    </row>
    <row r="1124" spans="3:3">
      <c r="C1124" s="576"/>
    </row>
    <row r="1125" spans="3:3">
      <c r="C1125" s="576"/>
    </row>
    <row r="1126" spans="3:3">
      <c r="C1126" s="576"/>
    </row>
    <row r="1127" spans="3:3">
      <c r="C1127" s="576"/>
    </row>
    <row r="1128" spans="3:3">
      <c r="C1128" s="576"/>
    </row>
    <row r="1129" spans="3:3">
      <c r="C1129" s="576"/>
    </row>
    <row r="1130" spans="3:3">
      <c r="C1130" s="576"/>
    </row>
    <row r="1131" spans="3:3">
      <c r="C1131" s="576"/>
    </row>
    <row r="1132" spans="3:3">
      <c r="C1132" s="576"/>
    </row>
    <row r="1133" spans="3:3">
      <c r="C1133" s="576"/>
    </row>
    <row r="1134" spans="3:3">
      <c r="C1134" s="576"/>
    </row>
    <row r="1135" spans="3:3">
      <c r="C1135" s="576"/>
    </row>
    <row r="1136" spans="3:3">
      <c r="C1136" s="576"/>
    </row>
    <row r="1137" spans="3:3">
      <c r="C1137" s="576"/>
    </row>
    <row r="1138" spans="3:3">
      <c r="C1138" s="576"/>
    </row>
    <row r="1139" spans="3:3">
      <c r="C1139" s="576"/>
    </row>
    <row r="1140" spans="3:3">
      <c r="C1140" s="576"/>
    </row>
    <row r="1141" spans="3:3">
      <c r="C1141" s="576"/>
    </row>
    <row r="1142" spans="3:3">
      <c r="C1142" s="576"/>
    </row>
    <row r="1143" spans="3:3">
      <c r="C1143" s="576"/>
    </row>
    <row r="1144" spans="3:3">
      <c r="C1144" s="576"/>
    </row>
    <row r="1145" spans="3:3">
      <c r="C1145" s="576"/>
    </row>
    <row r="1146" spans="3:3">
      <c r="C1146" s="576"/>
    </row>
    <row r="1147" spans="3:3">
      <c r="C1147" s="576"/>
    </row>
    <row r="1148" spans="3:3">
      <c r="C1148" s="576"/>
    </row>
    <row r="1149" spans="3:3">
      <c r="C1149" s="576"/>
    </row>
    <row r="1150" spans="3:3">
      <c r="C1150" s="576"/>
    </row>
    <row r="1151" spans="3:3">
      <c r="C1151" s="576"/>
    </row>
    <row r="1152" spans="3:3">
      <c r="C1152" s="576"/>
    </row>
    <row r="1153" spans="3:3">
      <c r="C1153" s="576"/>
    </row>
    <row r="1154" spans="3:3">
      <c r="C1154" s="576"/>
    </row>
    <row r="1155" spans="3:3">
      <c r="C1155" s="576"/>
    </row>
    <row r="1156" spans="3:3">
      <c r="C1156" s="576"/>
    </row>
    <row r="1157" spans="3:3">
      <c r="C1157" s="576"/>
    </row>
    <row r="1158" spans="3:3">
      <c r="C1158" s="576"/>
    </row>
    <row r="1159" spans="3:3">
      <c r="C1159" s="576"/>
    </row>
    <row r="1160" spans="3:3">
      <c r="C1160" s="576"/>
    </row>
    <row r="1161" spans="3:3">
      <c r="C1161" s="576"/>
    </row>
    <row r="1162" spans="3:3">
      <c r="C1162" s="576"/>
    </row>
    <row r="1163" spans="3:3">
      <c r="C1163" s="576"/>
    </row>
    <row r="1164" spans="3:3">
      <c r="C1164" s="576"/>
    </row>
    <row r="1165" spans="3:3">
      <c r="C1165" s="576"/>
    </row>
    <row r="1166" spans="3:3">
      <c r="C1166" s="576"/>
    </row>
    <row r="1167" spans="3:3">
      <c r="C1167" s="576"/>
    </row>
    <row r="1168" spans="3:3">
      <c r="C1168" s="576"/>
    </row>
    <row r="1169" spans="3:3">
      <c r="C1169" s="576"/>
    </row>
    <row r="1170" spans="3:3">
      <c r="C1170" s="576"/>
    </row>
    <row r="1171" spans="3:3">
      <c r="C1171" s="576"/>
    </row>
    <row r="1172" spans="3:3">
      <c r="C1172" s="576"/>
    </row>
    <row r="1173" spans="3:3">
      <c r="C1173" s="576"/>
    </row>
    <row r="1174" spans="3:3">
      <c r="C1174" s="576"/>
    </row>
    <row r="1175" spans="3:3">
      <c r="C1175" s="576"/>
    </row>
    <row r="1176" spans="3:3">
      <c r="C1176" s="576"/>
    </row>
    <row r="1177" spans="3:3">
      <c r="C1177" s="576"/>
    </row>
    <row r="1178" spans="3:3">
      <c r="C1178" s="576"/>
    </row>
    <row r="1179" spans="3:3">
      <c r="C1179" s="576"/>
    </row>
    <row r="1180" spans="3:3">
      <c r="C1180" s="576"/>
    </row>
    <row r="1181" spans="3:3">
      <c r="C1181" s="576"/>
    </row>
    <row r="1182" spans="3:3">
      <c r="C1182" s="576"/>
    </row>
    <row r="1183" spans="3:3">
      <c r="C1183" s="576"/>
    </row>
    <row r="1184" spans="3:3">
      <c r="C1184" s="576"/>
    </row>
    <row r="1185" spans="3:3">
      <c r="C1185" s="576"/>
    </row>
    <row r="1186" spans="3:3">
      <c r="C1186" s="576"/>
    </row>
    <row r="1187" spans="3:3">
      <c r="C1187" s="576"/>
    </row>
    <row r="1188" spans="3:3">
      <c r="C1188" s="576"/>
    </row>
    <row r="1189" spans="3:3">
      <c r="C1189" s="576"/>
    </row>
    <row r="1190" spans="3:3">
      <c r="C1190" s="576"/>
    </row>
    <row r="1191" spans="3:3">
      <c r="C1191" s="576"/>
    </row>
    <row r="1192" spans="3:3">
      <c r="C1192" s="576"/>
    </row>
    <row r="1193" spans="3:3">
      <c r="C1193" s="576"/>
    </row>
    <row r="1194" spans="3:3">
      <c r="C1194" s="576"/>
    </row>
    <row r="1195" spans="3:3">
      <c r="C1195" s="576"/>
    </row>
    <row r="1196" spans="3:3">
      <c r="C1196" s="576"/>
    </row>
    <row r="1197" spans="3:3">
      <c r="C1197" s="576"/>
    </row>
    <row r="1198" spans="3:3">
      <c r="C1198" s="576"/>
    </row>
    <row r="1199" spans="3:3">
      <c r="C1199" s="576"/>
    </row>
    <row r="1200" spans="3:3">
      <c r="C1200" s="576"/>
    </row>
    <row r="1201" spans="3:3">
      <c r="C1201" s="576"/>
    </row>
    <row r="1202" spans="3:3">
      <c r="C1202" s="576"/>
    </row>
    <row r="1203" spans="3:3">
      <c r="C1203" s="576"/>
    </row>
    <row r="1204" spans="3:3">
      <c r="C1204" s="576"/>
    </row>
    <row r="1205" spans="3:3">
      <c r="C1205" s="576"/>
    </row>
    <row r="1206" spans="3:3">
      <c r="C1206" s="576"/>
    </row>
    <row r="1207" spans="3:3">
      <c r="C1207" s="576"/>
    </row>
    <row r="1208" spans="3:3">
      <c r="C1208" s="576"/>
    </row>
    <row r="1209" spans="3:3">
      <c r="C1209" s="576"/>
    </row>
    <row r="1210" spans="3:3">
      <c r="C1210" s="576"/>
    </row>
    <row r="1211" spans="3:3">
      <c r="C1211" s="576"/>
    </row>
    <row r="1212" spans="3:3">
      <c r="C1212" s="576"/>
    </row>
    <row r="1213" spans="3:3">
      <c r="C1213" s="576"/>
    </row>
    <row r="1214" spans="3:3">
      <c r="C1214" s="576"/>
    </row>
    <row r="1215" spans="3:3">
      <c r="C1215" s="576"/>
    </row>
    <row r="1216" spans="3:3">
      <c r="C1216" s="576"/>
    </row>
    <row r="1217" spans="3:3">
      <c r="C1217" s="576"/>
    </row>
    <row r="1218" spans="3:3">
      <c r="C1218" s="576"/>
    </row>
    <row r="1219" spans="3:3">
      <c r="C1219" s="576"/>
    </row>
    <row r="1220" spans="3:3">
      <c r="C1220" s="576"/>
    </row>
    <row r="1221" spans="3:3">
      <c r="C1221" s="576"/>
    </row>
    <row r="1222" spans="3:3">
      <c r="C1222" s="576"/>
    </row>
    <row r="1223" spans="3:3">
      <c r="C1223" s="576"/>
    </row>
    <row r="1224" spans="3:3">
      <c r="C1224" s="576"/>
    </row>
    <row r="1225" spans="3:3">
      <c r="C1225" s="576"/>
    </row>
    <row r="1226" spans="3:3">
      <c r="C1226" s="576"/>
    </row>
    <row r="1227" spans="3:3">
      <c r="C1227" s="576"/>
    </row>
    <row r="1228" spans="3:3">
      <c r="C1228" s="576"/>
    </row>
    <row r="1229" spans="3:3">
      <c r="C1229" s="576"/>
    </row>
    <row r="1230" spans="3:3">
      <c r="C1230" s="576"/>
    </row>
    <row r="1231" spans="3:3">
      <c r="C1231" s="576"/>
    </row>
    <row r="1232" spans="3:3">
      <c r="C1232" s="576"/>
    </row>
    <row r="1233" spans="3:3">
      <c r="C1233" s="576"/>
    </row>
    <row r="1234" spans="3:3">
      <c r="C1234" s="576"/>
    </row>
    <row r="1235" spans="3:3">
      <c r="C1235" s="576"/>
    </row>
    <row r="1236" spans="3:3">
      <c r="C1236" s="576"/>
    </row>
    <row r="1237" spans="3:3">
      <c r="C1237" s="576"/>
    </row>
    <row r="1238" spans="3:3">
      <c r="C1238" s="576"/>
    </row>
    <row r="1239" spans="3:3">
      <c r="C1239" s="576"/>
    </row>
    <row r="1240" spans="3:3">
      <c r="C1240" s="576"/>
    </row>
    <row r="1241" spans="3:3">
      <c r="C1241" s="576"/>
    </row>
    <row r="1242" spans="3:3">
      <c r="C1242" s="576"/>
    </row>
    <row r="1243" spans="3:3">
      <c r="C1243" s="576"/>
    </row>
    <row r="1244" spans="3:3">
      <c r="C1244" s="576"/>
    </row>
    <row r="1245" spans="3:3">
      <c r="C1245" s="576"/>
    </row>
    <row r="1246" spans="3:3">
      <c r="C1246" s="576"/>
    </row>
    <row r="1247" spans="3:3">
      <c r="C1247" s="576"/>
    </row>
    <row r="1248" spans="3:3">
      <c r="C1248" s="576"/>
    </row>
    <row r="1249" spans="3:3">
      <c r="C1249" s="576"/>
    </row>
    <row r="1250" spans="3:3">
      <c r="C1250" s="576"/>
    </row>
    <row r="1251" spans="3:3">
      <c r="C1251" s="576"/>
    </row>
    <row r="1252" spans="3:3">
      <c r="C1252" s="576"/>
    </row>
    <row r="1253" spans="3:3">
      <c r="C1253" s="576"/>
    </row>
    <row r="1254" spans="3:3">
      <c r="C1254" s="576"/>
    </row>
    <row r="1255" spans="3:3">
      <c r="C1255" s="576"/>
    </row>
    <row r="1256" spans="3:3">
      <c r="C1256" s="576"/>
    </row>
    <row r="1257" spans="3:3">
      <c r="C1257" s="576"/>
    </row>
    <row r="1258" spans="3:3">
      <c r="C1258" s="576"/>
    </row>
    <row r="1259" spans="3:3">
      <c r="C1259" s="576"/>
    </row>
    <row r="1260" spans="3:3">
      <c r="C1260" s="576"/>
    </row>
    <row r="1261" spans="3:3">
      <c r="C1261" s="576"/>
    </row>
    <row r="1262" spans="3:3">
      <c r="C1262" s="576"/>
    </row>
    <row r="1263" spans="3:3">
      <c r="C1263" s="576"/>
    </row>
    <row r="1264" spans="3:3">
      <c r="C1264" s="576"/>
    </row>
    <row r="1265" spans="3:3">
      <c r="C1265" s="576"/>
    </row>
    <row r="1266" spans="3:3">
      <c r="C1266" s="576"/>
    </row>
    <row r="1267" spans="3:3">
      <c r="C1267" s="576"/>
    </row>
    <row r="1268" spans="3:3">
      <c r="C1268" s="576"/>
    </row>
    <row r="1269" spans="3:3">
      <c r="C1269" s="576"/>
    </row>
    <row r="1270" spans="3:3">
      <c r="C1270" s="576"/>
    </row>
    <row r="1271" spans="3:3">
      <c r="C1271" s="576"/>
    </row>
    <row r="1272" spans="3:3">
      <c r="C1272" s="576"/>
    </row>
    <row r="1273" spans="3:3">
      <c r="C1273" s="576"/>
    </row>
    <row r="1274" spans="3:3">
      <c r="C1274" s="576"/>
    </row>
    <row r="1275" spans="3:3">
      <c r="C1275" s="576"/>
    </row>
    <row r="1276" spans="3:3">
      <c r="C1276" s="576"/>
    </row>
    <row r="1277" spans="3:3">
      <c r="C1277" s="576"/>
    </row>
    <row r="1278" spans="3:3">
      <c r="C1278" s="576"/>
    </row>
    <row r="1279" spans="3:3">
      <c r="C1279" s="576"/>
    </row>
    <row r="1280" spans="3:3">
      <c r="C1280" s="576"/>
    </row>
    <row r="1281" spans="3:3">
      <c r="C1281" s="576"/>
    </row>
    <row r="1282" spans="3:3">
      <c r="C1282" s="576"/>
    </row>
    <row r="1283" spans="3:3">
      <c r="C1283" s="576"/>
    </row>
    <row r="1284" spans="3:3">
      <c r="C1284" s="576"/>
    </row>
    <row r="1285" spans="3:3">
      <c r="C1285" s="576"/>
    </row>
    <row r="1286" spans="3:3">
      <c r="C1286" s="576"/>
    </row>
    <row r="1287" spans="3:3">
      <c r="C1287" s="576"/>
    </row>
    <row r="1288" spans="3:3">
      <c r="C1288" s="576"/>
    </row>
    <row r="1289" spans="3:3">
      <c r="C1289" s="576"/>
    </row>
    <row r="1290" spans="3:3">
      <c r="C1290" s="576"/>
    </row>
    <row r="1291" spans="3:3">
      <c r="C1291" s="576"/>
    </row>
    <row r="1292" spans="3:3">
      <c r="C1292" s="576"/>
    </row>
    <row r="1293" spans="3:3">
      <c r="C1293" s="576"/>
    </row>
    <row r="1294" spans="3:3">
      <c r="C1294" s="576"/>
    </row>
    <row r="1295" spans="3:3">
      <c r="C1295" s="576"/>
    </row>
    <row r="1296" spans="3:3">
      <c r="C1296" s="576"/>
    </row>
    <row r="1297" spans="3:3">
      <c r="C1297" s="576"/>
    </row>
    <row r="1298" spans="3:3">
      <c r="C1298" s="576"/>
    </row>
    <row r="1299" spans="3:3">
      <c r="C1299" s="576"/>
    </row>
    <row r="1300" spans="3:3">
      <c r="C1300" s="576"/>
    </row>
    <row r="1301" spans="3:3">
      <c r="C1301" s="576"/>
    </row>
    <row r="1302" spans="3:3">
      <c r="C1302" s="576"/>
    </row>
    <row r="1303" spans="3:3">
      <c r="C1303" s="576"/>
    </row>
    <row r="1304" spans="3:3">
      <c r="C1304" s="576"/>
    </row>
    <row r="1305" spans="3:3">
      <c r="C1305" s="576"/>
    </row>
    <row r="1306" spans="3:3">
      <c r="C1306" s="576"/>
    </row>
    <row r="1307" spans="3:3">
      <c r="C1307" s="576"/>
    </row>
    <row r="1308" spans="3:3">
      <c r="C1308" s="576"/>
    </row>
    <row r="1309" spans="3:3">
      <c r="C1309" s="576"/>
    </row>
    <row r="1310" spans="3:3">
      <c r="C1310" s="576"/>
    </row>
    <row r="1311" spans="3:3">
      <c r="C1311" s="576"/>
    </row>
    <row r="1312" spans="3:3">
      <c r="C1312" s="576"/>
    </row>
    <row r="1313" spans="3:3">
      <c r="C1313" s="576"/>
    </row>
    <row r="1314" spans="3:3">
      <c r="C1314" s="576"/>
    </row>
    <row r="1315" spans="3:3">
      <c r="C1315" s="576"/>
    </row>
    <row r="1316" spans="3:3">
      <c r="C1316" s="576"/>
    </row>
    <row r="1317" spans="3:3">
      <c r="C1317" s="576"/>
    </row>
    <row r="1318" spans="3:3">
      <c r="C1318" s="576"/>
    </row>
    <row r="1319" spans="3:3">
      <c r="C1319" s="576"/>
    </row>
    <row r="1320" spans="3:3">
      <c r="C1320" s="576"/>
    </row>
    <row r="1321" spans="3:3">
      <c r="C1321" s="576"/>
    </row>
    <row r="1322" spans="3:3">
      <c r="C1322" s="576"/>
    </row>
    <row r="1323" spans="3:3">
      <c r="C1323" s="576"/>
    </row>
    <row r="1324" spans="3:3">
      <c r="C1324" s="576"/>
    </row>
    <row r="1325" spans="3:3">
      <c r="C1325" s="576"/>
    </row>
    <row r="1326" spans="3:3">
      <c r="C1326" s="576"/>
    </row>
    <row r="1327" spans="3:3">
      <c r="C1327" s="576"/>
    </row>
    <row r="1328" spans="3:3">
      <c r="C1328" s="576"/>
    </row>
    <row r="1329" spans="3:3">
      <c r="C1329" s="576"/>
    </row>
    <row r="1330" spans="3:3">
      <c r="C1330" s="576"/>
    </row>
    <row r="1331" spans="3:3">
      <c r="C1331" s="576"/>
    </row>
    <row r="1332" spans="3:3">
      <c r="C1332" s="576"/>
    </row>
    <row r="1333" spans="3:3">
      <c r="C1333" s="576"/>
    </row>
    <row r="1334" spans="3:3">
      <c r="C1334" s="576"/>
    </row>
    <row r="1335" spans="3:3">
      <c r="C1335" s="576"/>
    </row>
    <row r="1336" spans="3:3">
      <c r="C1336" s="576"/>
    </row>
    <row r="1337" spans="3:3">
      <c r="C1337" s="576"/>
    </row>
    <row r="1338" spans="3:3">
      <c r="C1338" s="576"/>
    </row>
    <row r="1339" spans="3:3">
      <c r="C1339" s="576"/>
    </row>
    <row r="1340" spans="3:3">
      <c r="C1340" s="576"/>
    </row>
    <row r="1341" spans="3:3">
      <c r="C1341" s="576"/>
    </row>
    <row r="1342" spans="3:3">
      <c r="C1342" s="576"/>
    </row>
    <row r="1343" spans="3:3">
      <c r="C1343" s="576"/>
    </row>
    <row r="1344" spans="3:3">
      <c r="C1344" s="576"/>
    </row>
    <row r="1345" spans="3:3">
      <c r="C1345" s="576"/>
    </row>
    <row r="1346" spans="3:3">
      <c r="C1346" s="576"/>
    </row>
    <row r="1347" spans="3:3">
      <c r="C1347" s="576"/>
    </row>
    <row r="1348" spans="3:3">
      <c r="C1348" s="576"/>
    </row>
    <row r="1349" spans="3:3">
      <c r="C1349" s="576"/>
    </row>
    <row r="1350" spans="3:3">
      <c r="C1350" s="576"/>
    </row>
    <row r="1351" spans="3:3">
      <c r="C1351" s="576"/>
    </row>
    <row r="1352" spans="3:3">
      <c r="C1352" s="576"/>
    </row>
    <row r="1353" spans="3:3">
      <c r="C1353" s="576"/>
    </row>
    <row r="1354" spans="3:3">
      <c r="C1354" s="576"/>
    </row>
    <row r="1355" spans="3:3">
      <c r="C1355" s="576"/>
    </row>
    <row r="1356" spans="3:3">
      <c r="C1356" s="576"/>
    </row>
    <row r="1357" spans="3:3">
      <c r="C1357" s="576"/>
    </row>
    <row r="1358" spans="3:3">
      <c r="C1358" s="576"/>
    </row>
    <row r="1359" spans="3:3">
      <c r="C1359" s="576"/>
    </row>
    <row r="1360" spans="3:3">
      <c r="C1360" s="576"/>
    </row>
    <row r="1361" spans="3:3">
      <c r="C1361" s="576"/>
    </row>
    <row r="1362" spans="3:3">
      <c r="C1362" s="576"/>
    </row>
    <row r="1363" spans="3:3">
      <c r="C1363" s="576"/>
    </row>
    <row r="1364" spans="3:3">
      <c r="C1364" s="576"/>
    </row>
    <row r="1365" spans="3:3">
      <c r="C1365" s="576"/>
    </row>
    <row r="1366" spans="3:3">
      <c r="C1366" s="576"/>
    </row>
    <row r="1367" spans="3:3">
      <c r="C1367" s="576"/>
    </row>
    <row r="1368" spans="3:3">
      <c r="C1368" s="576"/>
    </row>
    <row r="1369" spans="3:3">
      <c r="C1369" s="576"/>
    </row>
    <row r="1370" spans="3:3">
      <c r="C1370" s="576"/>
    </row>
    <row r="1371" spans="3:3">
      <c r="C1371" s="576"/>
    </row>
    <row r="1372" spans="3:3">
      <c r="C1372" s="576"/>
    </row>
    <row r="1373" spans="3:3">
      <c r="C1373" s="576"/>
    </row>
    <row r="1374" spans="3:3">
      <c r="C1374" s="576"/>
    </row>
    <row r="1375" spans="3:3">
      <c r="C1375" s="576"/>
    </row>
    <row r="1376" spans="3:3">
      <c r="C1376" s="576"/>
    </row>
    <row r="1377" spans="3:3">
      <c r="C1377" s="576"/>
    </row>
    <row r="1378" spans="3:3">
      <c r="C1378" s="576"/>
    </row>
    <row r="1379" spans="3:3">
      <c r="C1379" s="576"/>
    </row>
    <row r="1380" spans="3:3">
      <c r="C1380" s="576"/>
    </row>
    <row r="1381" spans="3:3">
      <c r="C1381" s="576"/>
    </row>
    <row r="1382" spans="3:3">
      <c r="C1382" s="576"/>
    </row>
    <row r="1383" spans="3:3">
      <c r="C1383" s="576"/>
    </row>
    <row r="1384" spans="3:3">
      <c r="C1384" s="576"/>
    </row>
    <row r="1385" spans="3:3">
      <c r="C1385" s="576"/>
    </row>
    <row r="1386" spans="3:3">
      <c r="C1386" s="576"/>
    </row>
    <row r="1387" spans="3:3">
      <c r="C1387" s="576"/>
    </row>
    <row r="1388" spans="3:3">
      <c r="C1388" s="576"/>
    </row>
    <row r="1389" spans="3:3">
      <c r="C1389" s="576"/>
    </row>
    <row r="1390" spans="3:3">
      <c r="C1390" s="576"/>
    </row>
    <row r="1391" spans="3:3">
      <c r="C1391" s="576"/>
    </row>
    <row r="1392" spans="3:3">
      <c r="C1392" s="576"/>
    </row>
    <row r="1393" spans="3:3">
      <c r="C1393" s="576"/>
    </row>
    <row r="1394" spans="3:3">
      <c r="C1394" s="576"/>
    </row>
    <row r="1395" spans="3:3">
      <c r="C1395" s="576"/>
    </row>
    <row r="1396" spans="3:3">
      <c r="C1396" s="576"/>
    </row>
    <row r="1397" spans="3:3">
      <c r="C1397" s="576"/>
    </row>
    <row r="1398" spans="3:3">
      <c r="C1398" s="576"/>
    </row>
    <row r="1399" spans="3:3">
      <c r="C1399" s="576"/>
    </row>
    <row r="1400" spans="3:3">
      <c r="C1400" s="576"/>
    </row>
    <row r="1401" spans="3:3">
      <c r="C1401" s="576"/>
    </row>
    <row r="1402" spans="3:3">
      <c r="C1402" s="576"/>
    </row>
    <row r="1403" spans="3:3">
      <c r="C1403" s="576"/>
    </row>
    <row r="1404" spans="3:3">
      <c r="C1404" s="576"/>
    </row>
    <row r="1405" spans="3:3">
      <c r="C1405" s="576"/>
    </row>
    <row r="1406" spans="3:3">
      <c r="C1406" s="576"/>
    </row>
    <row r="1407" spans="3:3">
      <c r="C1407" s="576"/>
    </row>
    <row r="1408" spans="3:3">
      <c r="C1408" s="576"/>
    </row>
    <row r="1409" spans="3:3">
      <c r="C1409" s="576"/>
    </row>
    <row r="1410" spans="3:3">
      <c r="C1410" s="576"/>
    </row>
    <row r="1411" spans="3:3">
      <c r="C1411" s="576"/>
    </row>
    <row r="1412" spans="3:3">
      <c r="C1412" s="576"/>
    </row>
    <row r="1413" spans="3:3">
      <c r="C1413" s="576"/>
    </row>
    <row r="1414" spans="3:3">
      <c r="C1414" s="576"/>
    </row>
    <row r="1415" spans="3:3">
      <c r="C1415" s="576"/>
    </row>
    <row r="1416" spans="3:3">
      <c r="C1416" s="576"/>
    </row>
    <row r="1417" spans="3:3">
      <c r="C1417" s="576"/>
    </row>
    <row r="1418" spans="3:3">
      <c r="C1418" s="576"/>
    </row>
    <row r="1419" spans="3:3">
      <c r="C1419" s="576"/>
    </row>
    <row r="1420" spans="3:3">
      <c r="C1420" s="576"/>
    </row>
    <row r="1421" spans="3:3">
      <c r="C1421" s="576"/>
    </row>
    <row r="1422" spans="3:3">
      <c r="C1422" s="576"/>
    </row>
    <row r="1423" spans="3:3">
      <c r="C1423" s="576"/>
    </row>
    <row r="1424" spans="3:3">
      <c r="C1424" s="576"/>
    </row>
    <row r="1425" spans="3:3">
      <c r="C1425" s="576"/>
    </row>
    <row r="1426" spans="3:3">
      <c r="C1426" s="576"/>
    </row>
    <row r="1427" spans="3:3">
      <c r="C1427" s="576"/>
    </row>
    <row r="1428" spans="3:3">
      <c r="C1428" s="576"/>
    </row>
    <row r="1429" spans="3:3">
      <c r="C1429" s="576"/>
    </row>
    <row r="1430" spans="3:3">
      <c r="C1430" s="576"/>
    </row>
    <row r="1431" spans="3:3">
      <c r="C1431" s="576"/>
    </row>
    <row r="1432" spans="3:3">
      <c r="C1432" s="576"/>
    </row>
    <row r="1433" spans="3:3">
      <c r="C1433" s="576"/>
    </row>
    <row r="1434" spans="3:3">
      <c r="C1434" s="576"/>
    </row>
    <row r="1435" spans="3:3">
      <c r="C1435" s="576"/>
    </row>
    <row r="1436" spans="3:3">
      <c r="C1436" s="576"/>
    </row>
    <row r="1437" spans="3:3">
      <c r="C1437" s="576"/>
    </row>
    <row r="1438" spans="3:3">
      <c r="C1438" s="576"/>
    </row>
    <row r="1439" spans="3:3">
      <c r="C1439" s="576"/>
    </row>
    <row r="1440" spans="3:3">
      <c r="C1440" s="576"/>
    </row>
    <row r="1441" spans="3:3">
      <c r="C1441" s="576"/>
    </row>
    <row r="1442" spans="3:3">
      <c r="C1442" s="576"/>
    </row>
    <row r="1443" spans="3:3">
      <c r="C1443" s="576"/>
    </row>
    <row r="1444" spans="3:3">
      <c r="C1444" s="576"/>
    </row>
    <row r="1445" spans="3:3">
      <c r="C1445" s="576"/>
    </row>
    <row r="1446" spans="3:3">
      <c r="C1446" s="576"/>
    </row>
    <row r="1447" spans="3:3">
      <c r="C1447" s="576"/>
    </row>
    <row r="1448" spans="3:3">
      <c r="C1448" s="576"/>
    </row>
    <row r="1449" spans="3:3">
      <c r="C1449" s="576"/>
    </row>
    <row r="1450" spans="3:3">
      <c r="C1450" s="576"/>
    </row>
    <row r="1451" spans="3:3">
      <c r="C1451" s="576"/>
    </row>
    <row r="1452" spans="3:3">
      <c r="C1452" s="576"/>
    </row>
    <row r="1453" spans="3:3">
      <c r="C1453" s="576"/>
    </row>
    <row r="1454" spans="3:3">
      <c r="C1454" s="576"/>
    </row>
    <row r="1455" spans="3:3">
      <c r="C1455" s="576"/>
    </row>
    <row r="1456" spans="3:3">
      <c r="C1456" s="576"/>
    </row>
    <row r="1457" spans="3:3">
      <c r="C1457" s="576"/>
    </row>
    <row r="1458" spans="3:3">
      <c r="C1458" s="576"/>
    </row>
    <row r="1459" spans="3:3">
      <c r="C1459" s="576"/>
    </row>
    <row r="1460" spans="3:3">
      <c r="C1460" s="576"/>
    </row>
    <row r="1461" spans="3:3">
      <c r="C1461" s="576"/>
    </row>
    <row r="1462" spans="3:3">
      <c r="C1462" s="576"/>
    </row>
    <row r="1463" spans="3:3">
      <c r="C1463" s="576"/>
    </row>
    <row r="1464" spans="3:3">
      <c r="C1464" s="576"/>
    </row>
    <row r="1465" spans="3:3">
      <c r="C1465" s="576"/>
    </row>
    <row r="1466" spans="3:3">
      <c r="C1466" s="576"/>
    </row>
    <row r="1467" spans="3:3">
      <c r="C1467" s="576"/>
    </row>
    <row r="1468" spans="3:3">
      <c r="C1468" s="576"/>
    </row>
    <row r="1469" spans="3:3">
      <c r="C1469" s="576"/>
    </row>
    <row r="1470" spans="3:3">
      <c r="C1470" s="576"/>
    </row>
    <row r="1471" spans="3:3">
      <c r="C1471" s="576"/>
    </row>
    <row r="1472" spans="3:3">
      <c r="C1472" s="576"/>
    </row>
    <row r="1473" spans="3:3">
      <c r="C1473" s="576"/>
    </row>
    <row r="1474" spans="3:3">
      <c r="C1474" s="576"/>
    </row>
    <row r="1475" spans="3:3">
      <c r="C1475" s="576"/>
    </row>
    <row r="1476" spans="3:3">
      <c r="C1476" s="576"/>
    </row>
    <row r="1477" spans="3:3">
      <c r="C1477" s="576"/>
    </row>
    <row r="1478" spans="3:3">
      <c r="C1478" s="576"/>
    </row>
    <row r="1479" spans="3:3">
      <c r="C1479" s="576"/>
    </row>
    <row r="1480" spans="3:3">
      <c r="C1480" s="576"/>
    </row>
    <row r="1481" spans="3:3">
      <c r="C1481" s="576"/>
    </row>
    <row r="1482" spans="3:3">
      <c r="C1482" s="576"/>
    </row>
    <row r="1483" spans="3:3">
      <c r="C1483" s="576"/>
    </row>
    <row r="1484" spans="3:3">
      <c r="C1484" s="576"/>
    </row>
    <row r="1485" spans="3:3">
      <c r="C1485" s="576"/>
    </row>
    <row r="1486" spans="3:3">
      <c r="C1486" s="576"/>
    </row>
    <row r="1487" spans="3:3">
      <c r="C1487" s="576"/>
    </row>
    <row r="1488" spans="3:3">
      <c r="C1488" s="576"/>
    </row>
    <row r="1489" spans="3:3">
      <c r="C1489" s="576"/>
    </row>
    <row r="1490" spans="3:3">
      <c r="C1490" s="576"/>
    </row>
    <row r="1491" spans="3:3">
      <c r="C1491" s="576"/>
    </row>
    <row r="1492" spans="3:3">
      <c r="C1492" s="576"/>
    </row>
    <row r="1493" spans="3:3">
      <c r="C1493" s="576"/>
    </row>
    <row r="1494" spans="3:3">
      <c r="C1494" s="576"/>
    </row>
    <row r="1495" spans="3:3">
      <c r="C1495" s="576"/>
    </row>
    <row r="1496" spans="3:3">
      <c r="C1496" s="576"/>
    </row>
    <row r="1497" spans="3:3">
      <c r="C1497" s="576"/>
    </row>
    <row r="1498" spans="3:3">
      <c r="C1498" s="576"/>
    </row>
    <row r="1499" spans="3:3">
      <c r="C1499" s="576"/>
    </row>
    <row r="1500" spans="3:3">
      <c r="C1500" s="576"/>
    </row>
    <row r="1501" spans="3:3">
      <c r="C1501" s="576"/>
    </row>
    <row r="1502" spans="3:3">
      <c r="C1502" s="576"/>
    </row>
    <row r="1503" spans="3:3">
      <c r="C1503" s="576"/>
    </row>
    <row r="1504" spans="3:3">
      <c r="C1504" s="576"/>
    </row>
    <row r="1505" spans="3:3">
      <c r="C1505" s="576"/>
    </row>
    <row r="1506" spans="3:3">
      <c r="C1506" s="576"/>
    </row>
    <row r="1507" spans="3:3">
      <c r="C1507" s="576"/>
    </row>
    <row r="1508" spans="3:3">
      <c r="C1508" s="576"/>
    </row>
    <row r="1509" spans="3:3">
      <c r="C1509" s="576"/>
    </row>
    <row r="1510" spans="3:3">
      <c r="C1510" s="576"/>
    </row>
    <row r="1511" spans="3:3">
      <c r="C1511" s="576"/>
    </row>
    <row r="1512" spans="3:3">
      <c r="C1512" s="576"/>
    </row>
    <row r="1513" spans="3:3">
      <c r="C1513" s="576"/>
    </row>
    <row r="1514" spans="3:3">
      <c r="C1514" s="576"/>
    </row>
    <row r="1515" spans="3:3">
      <c r="C1515" s="576"/>
    </row>
    <row r="1516" spans="3:3">
      <c r="C1516" s="576"/>
    </row>
    <row r="1517" spans="3:3">
      <c r="C1517" s="576"/>
    </row>
    <row r="1518" spans="3:3">
      <c r="C1518" s="576"/>
    </row>
    <row r="1519" spans="3:3">
      <c r="C1519" s="576"/>
    </row>
    <row r="1520" spans="3:3">
      <c r="C1520" s="576"/>
    </row>
    <row r="1521" spans="3:3">
      <c r="C1521" s="576"/>
    </row>
    <row r="1522" spans="3:3">
      <c r="C1522" s="576"/>
    </row>
    <row r="1523" spans="3:3">
      <c r="C1523" s="576"/>
    </row>
    <row r="1524" spans="3:3">
      <c r="C1524" s="576"/>
    </row>
    <row r="1525" spans="3:3">
      <c r="C1525" s="576"/>
    </row>
    <row r="1526" spans="3:3">
      <c r="C1526" s="576"/>
    </row>
    <row r="1527" spans="3:3">
      <c r="C1527" s="576"/>
    </row>
    <row r="1528" spans="3:3">
      <c r="C1528" s="576"/>
    </row>
    <row r="1529" spans="3:3">
      <c r="C1529" s="576"/>
    </row>
    <row r="1530" spans="3:3">
      <c r="C1530" s="576"/>
    </row>
    <row r="1531" spans="3:3">
      <c r="C1531" s="576"/>
    </row>
    <row r="1532" spans="3:3">
      <c r="C1532" s="576"/>
    </row>
    <row r="1533" spans="3:3">
      <c r="C1533" s="576"/>
    </row>
    <row r="1534" spans="3:3">
      <c r="C1534" s="576"/>
    </row>
    <row r="1535" spans="3:3">
      <c r="C1535" s="576"/>
    </row>
    <row r="1536" spans="3:3">
      <c r="C1536" s="576"/>
    </row>
    <row r="1537" spans="3:3">
      <c r="C1537" s="576"/>
    </row>
    <row r="1538" spans="3:3">
      <c r="C1538" s="576"/>
    </row>
    <row r="1539" spans="3:3">
      <c r="C1539" s="576"/>
    </row>
    <row r="1540" spans="3:3">
      <c r="C1540" s="576"/>
    </row>
    <row r="1541" spans="3:3">
      <c r="C1541" s="576"/>
    </row>
    <row r="1542" spans="3:3">
      <c r="C1542" s="576"/>
    </row>
    <row r="1543" spans="3:3">
      <c r="C1543" s="576"/>
    </row>
    <row r="1544" spans="3:3">
      <c r="C1544" s="576"/>
    </row>
    <row r="1545" spans="3:3">
      <c r="C1545" s="576"/>
    </row>
    <row r="1546" spans="3:3">
      <c r="C1546" s="576"/>
    </row>
    <row r="1547" spans="3:3">
      <c r="C1547" s="576"/>
    </row>
    <row r="1548" spans="3:3">
      <c r="C1548" s="576"/>
    </row>
    <row r="1549" spans="3:3">
      <c r="C1549" s="576"/>
    </row>
    <row r="1550" spans="3:3">
      <c r="C1550" s="576"/>
    </row>
    <row r="1551" spans="3:3">
      <c r="C1551" s="576"/>
    </row>
    <row r="1552" spans="3:3">
      <c r="C1552" s="576"/>
    </row>
    <row r="1553" spans="3:3">
      <c r="C1553" s="576"/>
    </row>
    <row r="1554" spans="3:3">
      <c r="C1554" s="576"/>
    </row>
    <row r="1555" spans="3:3">
      <c r="C1555" s="576"/>
    </row>
    <row r="1556" spans="3:3">
      <c r="C1556" s="576"/>
    </row>
    <row r="1557" spans="3:3">
      <c r="C1557" s="576"/>
    </row>
    <row r="1558" spans="3:3">
      <c r="C1558" s="576"/>
    </row>
    <row r="1559" spans="3:3">
      <c r="C1559" s="576"/>
    </row>
    <row r="1560" spans="3:3">
      <c r="C1560" s="576"/>
    </row>
    <row r="1561" spans="3:3">
      <c r="C1561" s="576"/>
    </row>
    <row r="1562" spans="3:3">
      <c r="C1562" s="576"/>
    </row>
    <row r="1563" spans="3:3">
      <c r="C1563" s="576"/>
    </row>
    <row r="1564" spans="3:3">
      <c r="C1564" s="576"/>
    </row>
    <row r="1565" spans="3:3">
      <c r="C1565" s="576"/>
    </row>
    <row r="1566" spans="3:3">
      <c r="C1566" s="576"/>
    </row>
    <row r="1567" spans="3:3">
      <c r="C1567" s="576"/>
    </row>
    <row r="1568" spans="3:3">
      <c r="C1568" s="576"/>
    </row>
    <row r="1569" spans="3:3">
      <c r="C1569" s="576"/>
    </row>
    <row r="1570" spans="3:3">
      <c r="C1570" s="576"/>
    </row>
    <row r="1571" spans="3:3">
      <c r="C1571" s="576"/>
    </row>
    <row r="1572" spans="3:3">
      <c r="C1572" s="576"/>
    </row>
    <row r="1573" spans="3:3">
      <c r="C1573" s="576"/>
    </row>
    <row r="1574" spans="3:3">
      <c r="C1574" s="576"/>
    </row>
    <row r="1575" spans="3:3">
      <c r="C1575" s="576"/>
    </row>
    <row r="1576" spans="3:3">
      <c r="C1576" s="576"/>
    </row>
    <row r="1577" spans="3:3">
      <c r="C1577" s="576"/>
    </row>
    <row r="1578" spans="3:3">
      <c r="C1578" s="576"/>
    </row>
    <row r="1579" spans="3:3">
      <c r="C1579" s="576"/>
    </row>
    <row r="1580" spans="3:3">
      <c r="C1580" s="576"/>
    </row>
    <row r="1581" spans="3:3">
      <c r="C1581" s="576"/>
    </row>
    <row r="1582" spans="3:3">
      <c r="C1582" s="576"/>
    </row>
    <row r="1583" spans="3:3">
      <c r="C1583" s="576"/>
    </row>
    <row r="1584" spans="3:3">
      <c r="C1584" s="576"/>
    </row>
    <row r="1585" spans="3:3">
      <c r="C1585" s="576"/>
    </row>
    <row r="1586" spans="3:3">
      <c r="C1586" s="576"/>
    </row>
    <row r="1587" spans="3:3">
      <c r="C1587" s="576"/>
    </row>
    <row r="1588" spans="3:3">
      <c r="C1588" s="576"/>
    </row>
    <row r="1589" spans="3:3">
      <c r="C1589" s="576"/>
    </row>
    <row r="1590" spans="3:3">
      <c r="C1590" s="576"/>
    </row>
    <row r="1591" spans="3:3">
      <c r="C1591" s="576"/>
    </row>
    <row r="1592" spans="3:3">
      <c r="C1592" s="576"/>
    </row>
    <row r="1593" spans="3:3">
      <c r="C1593" s="576"/>
    </row>
    <row r="1594" spans="3:3">
      <c r="C1594" s="576"/>
    </row>
    <row r="1595" spans="3:3">
      <c r="C1595" s="576"/>
    </row>
    <row r="1596" spans="3:3">
      <c r="C1596" s="576"/>
    </row>
    <row r="1597" spans="3:3">
      <c r="C1597" s="576"/>
    </row>
    <row r="1598" spans="3:3">
      <c r="C1598" s="576"/>
    </row>
    <row r="1599" spans="3:3">
      <c r="C1599" s="576"/>
    </row>
    <row r="1600" spans="3:3">
      <c r="C1600" s="576"/>
    </row>
    <row r="1601" spans="3:3">
      <c r="C1601" s="576"/>
    </row>
    <row r="1602" spans="3:3">
      <c r="C1602" s="576"/>
    </row>
    <row r="1603" spans="3:3">
      <c r="C1603" s="576"/>
    </row>
    <row r="1604" spans="3:3">
      <c r="C1604" s="576"/>
    </row>
    <row r="1605" spans="3:3">
      <c r="C1605" s="576"/>
    </row>
    <row r="1606" spans="3:3">
      <c r="C1606" s="576"/>
    </row>
    <row r="1607" spans="3:3">
      <c r="C1607" s="576"/>
    </row>
    <row r="1608" spans="3:3">
      <c r="C1608" s="576"/>
    </row>
    <row r="1609" spans="3:3">
      <c r="C1609" s="576"/>
    </row>
    <row r="1610" spans="3:3">
      <c r="C1610" s="576"/>
    </row>
    <row r="1611" spans="3:3">
      <c r="C1611" s="576"/>
    </row>
    <row r="1612" spans="3:3">
      <c r="C1612" s="576"/>
    </row>
    <row r="1613" spans="3:3">
      <c r="C1613" s="576"/>
    </row>
    <row r="1614" spans="3:3">
      <c r="C1614" s="576"/>
    </row>
    <row r="1615" spans="3:3">
      <c r="C1615" s="576"/>
    </row>
    <row r="1616" spans="3:3">
      <c r="C1616" s="576"/>
    </row>
    <row r="1617" spans="3:3">
      <c r="C1617" s="576"/>
    </row>
    <row r="1618" spans="3:3">
      <c r="C1618" s="576"/>
    </row>
    <row r="1619" spans="3:3">
      <c r="C1619" s="576"/>
    </row>
    <row r="1620" spans="3:3">
      <c r="C1620" s="576"/>
    </row>
    <row r="1621" spans="3:3">
      <c r="C1621" s="576"/>
    </row>
    <row r="1622" spans="3:3">
      <c r="C1622" s="576"/>
    </row>
    <row r="1623" spans="3:3">
      <c r="C1623" s="576"/>
    </row>
    <row r="1624" spans="3:3">
      <c r="C1624" s="576"/>
    </row>
    <row r="1625" spans="3:3">
      <c r="C1625" s="576"/>
    </row>
    <row r="1626" spans="3:3">
      <c r="C1626" s="576"/>
    </row>
    <row r="1627" spans="3:3">
      <c r="C1627" s="576"/>
    </row>
    <row r="1628" spans="3:3">
      <c r="C1628" s="576"/>
    </row>
    <row r="1629" spans="3:3">
      <c r="C1629" s="576"/>
    </row>
    <row r="1630" spans="3:3">
      <c r="C1630" s="576"/>
    </row>
    <row r="1631" spans="3:3">
      <c r="C1631" s="576"/>
    </row>
    <row r="1632" spans="3:3">
      <c r="C1632" s="576"/>
    </row>
    <row r="1633" spans="3:3">
      <c r="C1633" s="576"/>
    </row>
    <row r="1634" spans="3:3">
      <c r="C1634" s="576"/>
    </row>
    <row r="1635" spans="3:3">
      <c r="C1635" s="576"/>
    </row>
    <row r="1636" spans="3:3">
      <c r="C1636" s="576"/>
    </row>
    <row r="1637" spans="3:3">
      <c r="C1637" s="576"/>
    </row>
    <row r="1638" spans="3:3">
      <c r="C1638" s="576"/>
    </row>
    <row r="1639" spans="3:3">
      <c r="C1639" s="576"/>
    </row>
    <row r="1640" spans="3:3">
      <c r="C1640" s="576"/>
    </row>
    <row r="1641" spans="3:3">
      <c r="C1641" s="576"/>
    </row>
    <row r="1642" spans="3:3">
      <c r="C1642" s="576"/>
    </row>
    <row r="1643" spans="3:3">
      <c r="C1643" s="576"/>
    </row>
    <row r="1644" spans="3:3">
      <c r="C1644" s="576"/>
    </row>
    <row r="1645" spans="3:3">
      <c r="C1645" s="576"/>
    </row>
    <row r="1646" spans="3:3">
      <c r="C1646" s="576"/>
    </row>
    <row r="1647" spans="3:3">
      <c r="C1647" s="576"/>
    </row>
    <row r="1648" spans="3:3">
      <c r="C1648" s="576"/>
    </row>
    <row r="1649" spans="3:3">
      <c r="C1649" s="576"/>
    </row>
    <row r="1650" spans="3:3">
      <c r="C1650" s="576"/>
    </row>
    <row r="1651" spans="3:3">
      <c r="C1651" s="576"/>
    </row>
    <row r="1652" spans="3:3">
      <c r="C1652" s="576"/>
    </row>
    <row r="1653" spans="3:3">
      <c r="C1653" s="576"/>
    </row>
    <row r="1654" spans="3:3">
      <c r="C1654" s="576"/>
    </row>
    <row r="1655" spans="3:3">
      <c r="C1655" s="576"/>
    </row>
    <row r="1656" spans="3:3">
      <c r="C1656" s="576"/>
    </row>
    <row r="1657" spans="3:3">
      <c r="C1657" s="576"/>
    </row>
    <row r="1658" spans="3:3">
      <c r="C1658" s="576"/>
    </row>
    <row r="1659" spans="3:3">
      <c r="C1659" s="576"/>
    </row>
    <row r="1660" spans="3:3">
      <c r="C1660" s="576"/>
    </row>
    <row r="1661" spans="3:3">
      <c r="C1661" s="576"/>
    </row>
    <row r="1662" spans="3:3">
      <c r="C1662" s="576"/>
    </row>
    <row r="1663" spans="3:3">
      <c r="C1663" s="576"/>
    </row>
    <row r="1664" spans="3:3">
      <c r="C1664" s="576"/>
    </row>
    <row r="1665" spans="3:3">
      <c r="C1665" s="576"/>
    </row>
    <row r="1666" spans="3:3">
      <c r="C1666" s="576"/>
    </row>
    <row r="1667" spans="3:3">
      <c r="C1667" s="576"/>
    </row>
    <row r="1668" spans="3:3">
      <c r="C1668" s="576"/>
    </row>
    <row r="1669" spans="3:3">
      <c r="C1669" s="576"/>
    </row>
    <row r="1670" spans="3:3">
      <c r="C1670" s="576"/>
    </row>
    <row r="1671" spans="3:3">
      <c r="C1671" s="576"/>
    </row>
    <row r="1672" spans="3:3">
      <c r="C1672" s="576"/>
    </row>
    <row r="1673" spans="3:3">
      <c r="C1673" s="576"/>
    </row>
    <row r="1674" spans="3:3">
      <c r="C1674" s="576"/>
    </row>
    <row r="1675" spans="3:3">
      <c r="C1675" s="576"/>
    </row>
    <row r="1676" spans="3:3">
      <c r="C1676" s="576"/>
    </row>
    <row r="1677" spans="3:3">
      <c r="C1677" s="576"/>
    </row>
    <row r="1678" spans="3:3">
      <c r="C1678" s="576"/>
    </row>
    <row r="1679" spans="3:3">
      <c r="C1679" s="576"/>
    </row>
    <row r="1680" spans="3:3">
      <c r="C1680" s="576"/>
    </row>
    <row r="1681" spans="3:3">
      <c r="C1681" s="576"/>
    </row>
    <row r="1682" spans="3:3">
      <c r="C1682" s="576"/>
    </row>
    <row r="1683" spans="3:3">
      <c r="C1683" s="576"/>
    </row>
    <row r="1684" spans="3:3">
      <c r="C1684" s="576"/>
    </row>
    <row r="1685" spans="3:3">
      <c r="C1685" s="576"/>
    </row>
    <row r="1686" spans="3:3">
      <c r="C1686" s="576"/>
    </row>
    <row r="1687" spans="3:3">
      <c r="C1687" s="576"/>
    </row>
    <row r="1688" spans="3:3">
      <c r="C1688" s="576"/>
    </row>
    <row r="1689" spans="3:3">
      <c r="C1689" s="576"/>
    </row>
    <row r="1690" spans="3:3">
      <c r="C1690" s="576"/>
    </row>
    <row r="1691" spans="3:3">
      <c r="C1691" s="576"/>
    </row>
    <row r="1692" spans="3:3">
      <c r="C1692" s="576"/>
    </row>
    <row r="1693" spans="3:3">
      <c r="C1693" s="576"/>
    </row>
    <row r="1694" spans="3:3">
      <c r="C1694" s="576"/>
    </row>
    <row r="1695" spans="3:3">
      <c r="C1695" s="576"/>
    </row>
    <row r="1696" spans="3:3">
      <c r="C1696" s="576"/>
    </row>
    <row r="1697" spans="3:3">
      <c r="C1697" s="576"/>
    </row>
    <row r="1698" spans="3:3">
      <c r="C1698" s="576"/>
    </row>
    <row r="1699" spans="3:3">
      <c r="C1699" s="576"/>
    </row>
    <row r="1700" spans="3:3">
      <c r="C1700" s="576"/>
    </row>
    <row r="1701" spans="3:3">
      <c r="C1701" s="576"/>
    </row>
    <row r="1702" spans="3:3">
      <c r="C1702" s="576"/>
    </row>
    <row r="1703" spans="3:3">
      <c r="C1703" s="576"/>
    </row>
    <row r="1704" spans="3:3">
      <c r="C1704" s="576"/>
    </row>
    <row r="1705" spans="3:3">
      <c r="C1705" s="576"/>
    </row>
    <row r="1706" spans="3:3">
      <c r="C1706" s="576"/>
    </row>
    <row r="1707" spans="3:3">
      <c r="C1707" s="576"/>
    </row>
    <row r="1708" spans="3:3">
      <c r="C1708" s="576"/>
    </row>
    <row r="1709" spans="3:3">
      <c r="C1709" s="576"/>
    </row>
    <row r="1710" spans="3:3">
      <c r="C1710" s="576"/>
    </row>
    <row r="1711" spans="3:3">
      <c r="C1711" s="576"/>
    </row>
    <row r="1712" spans="3:3">
      <c r="C1712" s="576"/>
    </row>
    <row r="1713" spans="3:3">
      <c r="C1713" s="576"/>
    </row>
    <row r="1714" spans="3:3">
      <c r="C1714" s="576"/>
    </row>
    <row r="1715" spans="3:3">
      <c r="C1715" s="576"/>
    </row>
    <row r="1716" spans="3:3">
      <c r="C1716" s="576"/>
    </row>
    <row r="1717" spans="3:3">
      <c r="C1717" s="576"/>
    </row>
    <row r="1718" spans="3:3">
      <c r="C1718" s="576"/>
    </row>
    <row r="1719" spans="3:3">
      <c r="C1719" s="576"/>
    </row>
    <row r="1720" spans="3:3">
      <c r="C1720" s="576"/>
    </row>
    <row r="1721" spans="3:3">
      <c r="C1721" s="576"/>
    </row>
    <row r="1722" spans="3:3">
      <c r="C1722" s="576"/>
    </row>
    <row r="1723" spans="3:3">
      <c r="C1723" s="576"/>
    </row>
    <row r="1724" spans="3:3">
      <c r="C1724" s="576"/>
    </row>
    <row r="1725" spans="3:3">
      <c r="C1725" s="576"/>
    </row>
    <row r="1726" spans="3:3">
      <c r="C1726" s="576"/>
    </row>
    <row r="1727" spans="3:3">
      <c r="C1727" s="576"/>
    </row>
    <row r="1728" spans="3:3">
      <c r="C1728" s="576"/>
    </row>
    <row r="1729" spans="3:3">
      <c r="C1729" s="576"/>
    </row>
    <row r="1730" spans="3:3">
      <c r="C1730" s="576"/>
    </row>
    <row r="1731" spans="3:3">
      <c r="C1731" s="576"/>
    </row>
    <row r="1732" spans="3:3">
      <c r="C1732" s="576"/>
    </row>
    <row r="1733" spans="3:3">
      <c r="C1733" s="576"/>
    </row>
    <row r="1734" spans="3:3">
      <c r="C1734" s="576"/>
    </row>
    <row r="1735" spans="3:3">
      <c r="C1735" s="576"/>
    </row>
    <row r="1736" spans="3:3">
      <c r="C1736" s="576"/>
    </row>
    <row r="1737" spans="3:3">
      <c r="C1737" s="576"/>
    </row>
    <row r="1738" spans="3:3">
      <c r="C1738" s="576"/>
    </row>
    <row r="1739" spans="3:3">
      <c r="C1739" s="576"/>
    </row>
    <row r="1740" spans="3:3">
      <c r="C1740" s="576"/>
    </row>
    <row r="1741" spans="3:3">
      <c r="C1741" s="576"/>
    </row>
    <row r="1742" spans="3:3">
      <c r="C1742" s="576"/>
    </row>
    <row r="1743" spans="3:3">
      <c r="C1743" s="576"/>
    </row>
    <row r="1744" spans="3:3">
      <c r="C1744" s="576"/>
    </row>
    <row r="1745" spans="3:3">
      <c r="C1745" s="576"/>
    </row>
    <row r="1746" spans="3:3">
      <c r="C1746" s="576"/>
    </row>
    <row r="1747" spans="3:3">
      <c r="C1747" s="576"/>
    </row>
    <row r="1748" spans="3:3">
      <c r="C1748" s="576"/>
    </row>
    <row r="1749" spans="3:3">
      <c r="C1749" s="576"/>
    </row>
    <row r="1750" spans="3:3">
      <c r="C1750" s="576"/>
    </row>
    <row r="1751" spans="3:3">
      <c r="C1751" s="576"/>
    </row>
    <row r="1752" spans="3:3">
      <c r="C1752" s="576"/>
    </row>
    <row r="1753" spans="3:3">
      <c r="C1753" s="576"/>
    </row>
    <row r="1754" spans="3:3">
      <c r="C1754" s="576"/>
    </row>
    <row r="1755" spans="3:3">
      <c r="C1755" s="576"/>
    </row>
    <row r="1756" spans="3:3">
      <c r="C1756" s="576"/>
    </row>
    <row r="1757" spans="3:3">
      <c r="C1757" s="576"/>
    </row>
    <row r="1758" spans="3:3">
      <c r="C1758" s="576"/>
    </row>
    <row r="1759" spans="3:3">
      <c r="C1759" s="576"/>
    </row>
    <row r="1760" spans="3:3">
      <c r="C1760" s="576"/>
    </row>
    <row r="1761" spans="3:3">
      <c r="C1761" s="576"/>
    </row>
    <row r="1762" spans="3:3">
      <c r="C1762" s="576"/>
    </row>
    <row r="1763" spans="3:3">
      <c r="C1763" s="576"/>
    </row>
    <row r="1764" spans="3:3">
      <c r="C1764" s="576"/>
    </row>
    <row r="1765" spans="3:3">
      <c r="C1765" s="576"/>
    </row>
    <row r="1766" spans="3:3">
      <c r="C1766" s="576"/>
    </row>
    <row r="1767" spans="3:3">
      <c r="C1767" s="576"/>
    </row>
    <row r="1768" spans="3:3">
      <c r="C1768" s="576"/>
    </row>
    <row r="1769" spans="3:3">
      <c r="C1769" s="576"/>
    </row>
    <row r="1770" spans="3:3">
      <c r="C1770" s="576"/>
    </row>
    <row r="1771" spans="3:3">
      <c r="C1771" s="576"/>
    </row>
    <row r="1772" spans="3:3">
      <c r="C1772" s="576"/>
    </row>
    <row r="1773" spans="3:3">
      <c r="C1773" s="576"/>
    </row>
    <row r="1774" spans="3:3">
      <c r="C1774" s="576"/>
    </row>
    <row r="1775" spans="3:3">
      <c r="C1775" s="576"/>
    </row>
    <row r="1776" spans="3:3">
      <c r="C1776" s="576"/>
    </row>
    <row r="1777" spans="3:3">
      <c r="C1777" s="576"/>
    </row>
    <row r="1778" spans="3:3">
      <c r="C1778" s="576"/>
    </row>
    <row r="1779" spans="3:3">
      <c r="C1779" s="576"/>
    </row>
    <row r="1780" spans="3:3">
      <c r="C1780" s="576"/>
    </row>
    <row r="1781" spans="3:3">
      <c r="C1781" s="576"/>
    </row>
    <row r="1782" spans="3:3">
      <c r="C1782" s="576"/>
    </row>
    <row r="1783" spans="3:3">
      <c r="C1783" s="576"/>
    </row>
    <row r="1784" spans="3:3">
      <c r="C1784" s="576"/>
    </row>
    <row r="1785" spans="3:3">
      <c r="C1785" s="576"/>
    </row>
    <row r="1786" spans="3:3">
      <c r="C1786" s="576"/>
    </row>
    <row r="1787" spans="3:3">
      <c r="C1787" s="576"/>
    </row>
    <row r="1788" spans="3:3">
      <c r="C1788" s="576"/>
    </row>
    <row r="1789" spans="3:3">
      <c r="C1789" s="576"/>
    </row>
    <row r="1790" spans="3:3">
      <c r="C1790" s="576"/>
    </row>
    <row r="1791" spans="3:3">
      <c r="C1791" s="576"/>
    </row>
    <row r="1792" spans="3:3">
      <c r="C1792" s="576"/>
    </row>
    <row r="1793" spans="3:3">
      <c r="C1793" s="576"/>
    </row>
    <row r="1794" spans="3:3">
      <c r="C1794" s="576"/>
    </row>
    <row r="1795" spans="3:3">
      <c r="C1795" s="576"/>
    </row>
    <row r="1796" spans="3:3">
      <c r="C1796" s="576"/>
    </row>
    <row r="1797" spans="3:3">
      <c r="C1797" s="576"/>
    </row>
    <row r="1798" spans="3:3">
      <c r="C1798" s="576"/>
    </row>
    <row r="1799" spans="3:3">
      <c r="C1799" s="576"/>
    </row>
    <row r="1800" spans="3:3">
      <c r="C1800" s="576"/>
    </row>
    <row r="1801" spans="3:3">
      <c r="C1801" s="576"/>
    </row>
    <row r="1802" spans="3:3">
      <c r="C1802" s="576"/>
    </row>
    <row r="1803" spans="3:3">
      <c r="C1803" s="576"/>
    </row>
    <row r="1804" spans="3:3">
      <c r="C1804" s="576"/>
    </row>
    <row r="1805" spans="3:3">
      <c r="C1805" s="576"/>
    </row>
    <row r="1806" spans="3:3">
      <c r="C1806" s="576"/>
    </row>
    <row r="1807" spans="3:3">
      <c r="C1807" s="576"/>
    </row>
    <row r="1808" spans="3:3">
      <c r="C1808" s="576"/>
    </row>
    <row r="1809" spans="3:3">
      <c r="C1809" s="576"/>
    </row>
    <row r="1810" spans="3:3">
      <c r="C1810" s="576"/>
    </row>
    <row r="1811" spans="3:3">
      <c r="C1811" s="576"/>
    </row>
    <row r="1812" spans="3:3">
      <c r="C1812" s="576"/>
    </row>
    <row r="1813" spans="3:3">
      <c r="C1813" s="576"/>
    </row>
    <row r="1814" spans="3:3">
      <c r="C1814" s="576"/>
    </row>
    <row r="1815" spans="3:3">
      <c r="C1815" s="576"/>
    </row>
    <row r="1816" spans="3:3">
      <c r="C1816" s="576"/>
    </row>
    <row r="1817" spans="3:3">
      <c r="C1817" s="576"/>
    </row>
    <row r="1818" spans="3:3">
      <c r="C1818" s="576"/>
    </row>
    <row r="1819" spans="3:3">
      <c r="C1819" s="576"/>
    </row>
    <row r="1820" spans="3:3">
      <c r="C1820" s="576"/>
    </row>
    <row r="1821" spans="3:3">
      <c r="C1821" s="576"/>
    </row>
    <row r="1822" spans="3:3">
      <c r="C1822" s="576"/>
    </row>
    <row r="1823" spans="3:3">
      <c r="C1823" s="576"/>
    </row>
    <row r="1824" spans="3:3">
      <c r="C1824" s="576"/>
    </row>
    <row r="1825" spans="3:3">
      <c r="C1825" s="576"/>
    </row>
    <row r="1826" spans="3:3">
      <c r="C1826" s="576"/>
    </row>
    <row r="1827" spans="3:3">
      <c r="C1827" s="576"/>
    </row>
    <row r="1828" spans="3:3">
      <c r="C1828" s="576"/>
    </row>
    <row r="1829" spans="3:3">
      <c r="C1829" s="576"/>
    </row>
    <row r="1830" spans="3:3">
      <c r="C1830" s="576"/>
    </row>
    <row r="1831" spans="3:3">
      <c r="C1831" s="576"/>
    </row>
    <row r="1832" spans="3:3">
      <c r="C1832" s="576"/>
    </row>
    <row r="1833" spans="3:3">
      <c r="C1833" s="576"/>
    </row>
    <row r="1834" spans="3:3">
      <c r="C1834" s="576"/>
    </row>
    <row r="1835" spans="3:3">
      <c r="C1835" s="576"/>
    </row>
    <row r="1836" spans="3:3">
      <c r="C1836" s="576"/>
    </row>
    <row r="1837" spans="3:3">
      <c r="C1837" s="576"/>
    </row>
    <row r="1838" spans="3:3">
      <c r="C1838" s="576"/>
    </row>
    <row r="1839" spans="3:3">
      <c r="C1839" s="576"/>
    </row>
    <row r="1840" spans="3:3">
      <c r="C1840" s="576"/>
    </row>
    <row r="1841" spans="3:3">
      <c r="C1841" s="576"/>
    </row>
    <row r="1842" spans="3:3">
      <c r="C1842" s="576"/>
    </row>
    <row r="1843" spans="3:3">
      <c r="C1843" s="576"/>
    </row>
    <row r="1844" spans="3:3">
      <c r="C1844" s="576"/>
    </row>
    <row r="1845" spans="3:3">
      <c r="C1845" s="576"/>
    </row>
    <row r="1846" spans="3:3">
      <c r="C1846" s="576"/>
    </row>
    <row r="1847" spans="3:3">
      <c r="C1847" s="576"/>
    </row>
    <row r="1848" spans="3:3">
      <c r="C1848" s="576"/>
    </row>
    <row r="1849" spans="3:3">
      <c r="C1849" s="576"/>
    </row>
    <row r="1850" spans="3:3">
      <c r="C1850" s="576"/>
    </row>
    <row r="1851" spans="3:3">
      <c r="C1851" s="576"/>
    </row>
    <row r="1852" spans="3:3">
      <c r="C1852" s="576"/>
    </row>
    <row r="1853" spans="3:3">
      <c r="C1853" s="576"/>
    </row>
    <row r="1854" spans="3:3">
      <c r="C1854" s="576"/>
    </row>
    <row r="1855" spans="3:3">
      <c r="C1855" s="576"/>
    </row>
    <row r="1856" spans="3:3">
      <c r="C1856" s="576"/>
    </row>
    <row r="1857" spans="3:3">
      <c r="C1857" s="576"/>
    </row>
    <row r="1858" spans="3:3">
      <c r="C1858" s="576"/>
    </row>
    <row r="1859" spans="3:3">
      <c r="C1859" s="576"/>
    </row>
    <row r="1860" spans="3:3">
      <c r="C1860" s="576"/>
    </row>
    <row r="1861" spans="3:3">
      <c r="C1861" s="576"/>
    </row>
    <row r="1862" spans="3:3">
      <c r="C1862" s="576"/>
    </row>
    <row r="1863" spans="3:3">
      <c r="C1863" s="576"/>
    </row>
    <row r="1864" spans="3:3">
      <c r="C1864" s="576"/>
    </row>
    <row r="1865" spans="3:3">
      <c r="C1865" s="576"/>
    </row>
    <row r="1866" spans="3:3">
      <c r="C1866" s="576"/>
    </row>
    <row r="1867" spans="3:3">
      <c r="C1867" s="576"/>
    </row>
    <row r="1868" spans="3:3">
      <c r="C1868" s="576"/>
    </row>
    <row r="1869" spans="3:3">
      <c r="C1869" s="576"/>
    </row>
    <row r="1870" spans="3:3">
      <c r="C1870" s="576"/>
    </row>
    <row r="1871" spans="3:3">
      <c r="C1871" s="576"/>
    </row>
    <row r="1872" spans="3:3">
      <c r="C1872" s="576"/>
    </row>
    <row r="1873" spans="3:3">
      <c r="C1873" s="576"/>
    </row>
    <row r="1874" spans="3:3">
      <c r="C1874" s="576"/>
    </row>
    <row r="1875" spans="3:3">
      <c r="C1875" s="576"/>
    </row>
    <row r="1876" spans="3:3">
      <c r="C1876" s="576"/>
    </row>
    <row r="1877" spans="3:3">
      <c r="C1877" s="576"/>
    </row>
    <row r="1878" spans="3:3">
      <c r="C1878" s="576"/>
    </row>
    <row r="1879" spans="3:3">
      <c r="C1879" s="576"/>
    </row>
    <row r="1880" spans="3:3">
      <c r="C1880" s="576"/>
    </row>
    <row r="1881" spans="3:3">
      <c r="C1881" s="576"/>
    </row>
    <row r="1882" spans="3:3">
      <c r="C1882" s="576"/>
    </row>
    <row r="1883" spans="3:3">
      <c r="C1883" s="576"/>
    </row>
    <row r="1884" spans="3:3">
      <c r="C1884" s="576"/>
    </row>
    <row r="1885" spans="3:3">
      <c r="C1885" s="576"/>
    </row>
    <row r="1886" spans="3:3">
      <c r="C1886" s="576"/>
    </row>
    <row r="1887" spans="3:3">
      <c r="C1887" s="576"/>
    </row>
    <row r="1888" spans="3:3">
      <c r="C1888" s="576"/>
    </row>
    <row r="1889" spans="3:3">
      <c r="C1889" s="576"/>
    </row>
    <row r="1890" spans="3:3">
      <c r="C1890" s="576"/>
    </row>
    <row r="1891" spans="3:3">
      <c r="C1891" s="576"/>
    </row>
    <row r="1892" spans="3:3">
      <c r="C1892" s="576"/>
    </row>
    <row r="1893" spans="3:3">
      <c r="C1893" s="576"/>
    </row>
    <row r="1894" spans="3:3">
      <c r="C1894" s="576"/>
    </row>
    <row r="1895" spans="3:3">
      <c r="C1895" s="576"/>
    </row>
    <row r="1896" spans="3:3">
      <c r="C1896" s="576"/>
    </row>
    <row r="1897" spans="3:3">
      <c r="C1897" s="576"/>
    </row>
    <row r="1898" spans="3:3">
      <c r="C1898" s="576"/>
    </row>
    <row r="1899" spans="3:3">
      <c r="C1899" s="576"/>
    </row>
    <row r="1900" spans="3:3">
      <c r="C1900" s="576"/>
    </row>
    <row r="1901" spans="3:3">
      <c r="C1901" s="576"/>
    </row>
    <row r="1902" spans="3:3">
      <c r="C1902" s="576"/>
    </row>
    <row r="1903" spans="3:3">
      <c r="C1903" s="576"/>
    </row>
    <row r="1904" spans="3:3">
      <c r="C1904" s="576"/>
    </row>
    <row r="1905" spans="3:3">
      <c r="C1905" s="576"/>
    </row>
    <row r="1906" spans="3:3">
      <c r="C1906" s="576"/>
    </row>
    <row r="1907" spans="3:3">
      <c r="C1907" s="576"/>
    </row>
    <row r="1908" spans="3:3">
      <c r="C1908" s="576"/>
    </row>
    <row r="1909" spans="3:3">
      <c r="C1909" s="576"/>
    </row>
    <row r="1910" spans="3:3">
      <c r="C1910" s="576"/>
    </row>
    <row r="1911" spans="3:3">
      <c r="C1911" s="576"/>
    </row>
    <row r="1912" spans="3:3">
      <c r="C1912" s="576"/>
    </row>
    <row r="1913" spans="3:3">
      <c r="C1913" s="576"/>
    </row>
    <row r="1914" spans="3:3">
      <c r="C1914" s="576"/>
    </row>
    <row r="1915" spans="3:3">
      <c r="C1915" s="576"/>
    </row>
    <row r="1916" spans="3:3">
      <c r="C1916" s="576"/>
    </row>
    <row r="1917" spans="3:3">
      <c r="C1917" s="576"/>
    </row>
    <row r="1918" spans="3:3">
      <c r="C1918" s="576"/>
    </row>
    <row r="1919" spans="3:3">
      <c r="C1919" s="576"/>
    </row>
    <row r="1920" spans="3:3">
      <c r="C1920" s="576"/>
    </row>
    <row r="1921" spans="3:3">
      <c r="C1921" s="576"/>
    </row>
    <row r="1922" spans="3:3">
      <c r="C1922" s="576"/>
    </row>
    <row r="1923" spans="3:3">
      <c r="C1923" s="576"/>
    </row>
    <row r="1924" spans="3:3">
      <c r="C1924" s="576"/>
    </row>
    <row r="1925" spans="3:3">
      <c r="C1925" s="576"/>
    </row>
    <row r="1926" spans="3:3">
      <c r="C1926" s="576"/>
    </row>
    <row r="1927" spans="3:3">
      <c r="C1927" s="576"/>
    </row>
    <row r="1928" spans="3:3">
      <c r="C1928" s="576"/>
    </row>
    <row r="1929" spans="3:3">
      <c r="C1929" s="576"/>
    </row>
    <row r="1930" spans="3:3">
      <c r="C1930" s="576"/>
    </row>
    <row r="1931" spans="3:3">
      <c r="C1931" s="576"/>
    </row>
    <row r="1932" spans="3:3">
      <c r="C1932" s="576"/>
    </row>
    <row r="1933" spans="3:3">
      <c r="C1933" s="576"/>
    </row>
    <row r="1934" spans="3:3">
      <c r="C1934" s="576"/>
    </row>
    <row r="1935" spans="3:3">
      <c r="C1935" s="576"/>
    </row>
    <row r="1936" spans="3:3">
      <c r="C1936" s="576"/>
    </row>
    <row r="1937" spans="3:3">
      <c r="C1937" s="576"/>
    </row>
    <row r="1938" spans="3:3">
      <c r="C1938" s="576"/>
    </row>
    <row r="1939" spans="3:3">
      <c r="C1939" s="576"/>
    </row>
    <row r="1940" spans="3:3">
      <c r="C1940" s="576"/>
    </row>
    <row r="1941" spans="3:3">
      <c r="C1941" s="576"/>
    </row>
    <row r="1942" spans="3:3">
      <c r="C1942" s="576"/>
    </row>
    <row r="1943" spans="3:3">
      <c r="C1943" s="576"/>
    </row>
    <row r="1944" spans="3:3">
      <c r="C1944" s="576"/>
    </row>
    <row r="1945" spans="3:3">
      <c r="C1945" s="576"/>
    </row>
    <row r="1946" spans="3:3">
      <c r="C1946" s="576"/>
    </row>
    <row r="1947" spans="3:3">
      <c r="C1947" s="576"/>
    </row>
    <row r="1948" spans="3:3">
      <c r="C1948" s="576"/>
    </row>
    <row r="1949" spans="3:3">
      <c r="C1949" s="576"/>
    </row>
    <row r="1950" spans="3:3">
      <c r="C1950" s="576"/>
    </row>
    <row r="1951" spans="3:3">
      <c r="C1951" s="576"/>
    </row>
    <row r="1952" spans="3:3">
      <c r="C1952" s="576"/>
    </row>
    <row r="1953" spans="3:3">
      <c r="C1953" s="576"/>
    </row>
    <row r="1954" spans="3:3">
      <c r="C1954" s="576"/>
    </row>
    <row r="1955" spans="3:3">
      <c r="C1955" s="576"/>
    </row>
    <row r="1956" spans="3:3">
      <c r="C1956" s="576"/>
    </row>
    <row r="1957" spans="3:3">
      <c r="C1957" s="576"/>
    </row>
    <row r="1958" spans="3:3">
      <c r="C1958" s="576"/>
    </row>
    <row r="1959" spans="3:3">
      <c r="C1959" s="576"/>
    </row>
    <row r="1960" spans="3:3">
      <c r="C1960" s="576"/>
    </row>
    <row r="1961" spans="3:3">
      <c r="C1961" s="576"/>
    </row>
    <row r="1962" spans="3:3">
      <c r="C1962" s="576"/>
    </row>
    <row r="1963" spans="3:3">
      <c r="C1963" s="576"/>
    </row>
    <row r="1964" spans="3:3">
      <c r="C1964" s="576"/>
    </row>
    <row r="1965" spans="3:3">
      <c r="C1965" s="576"/>
    </row>
    <row r="1966" spans="3:3">
      <c r="C1966" s="576"/>
    </row>
    <row r="1967" spans="3:3">
      <c r="C1967" s="576"/>
    </row>
    <row r="1968" spans="3:3">
      <c r="C1968" s="576"/>
    </row>
    <row r="1969" spans="3:3">
      <c r="C1969" s="576"/>
    </row>
    <row r="1970" spans="3:3">
      <c r="C1970" s="576"/>
    </row>
    <row r="1971" spans="3:3">
      <c r="C1971" s="576"/>
    </row>
    <row r="1972" spans="3:3">
      <c r="C1972" s="576"/>
    </row>
    <row r="1973" spans="3:3">
      <c r="C1973" s="576"/>
    </row>
    <row r="1974" spans="3:3">
      <c r="C1974" s="576"/>
    </row>
    <row r="1975" spans="3:3">
      <c r="C1975" s="576"/>
    </row>
    <row r="1976" spans="3:3">
      <c r="C1976" s="576"/>
    </row>
    <row r="1977" spans="3:3">
      <c r="C1977" s="576"/>
    </row>
    <row r="1978" spans="3:3">
      <c r="C1978" s="576"/>
    </row>
    <row r="1979" spans="3:3">
      <c r="C1979" s="576"/>
    </row>
    <row r="1980" spans="3:3">
      <c r="C1980" s="576"/>
    </row>
    <row r="1981" spans="3:3">
      <c r="C1981" s="576"/>
    </row>
    <row r="1982" spans="3:3">
      <c r="C1982" s="576"/>
    </row>
    <row r="1983" spans="3:3">
      <c r="C1983" s="576"/>
    </row>
    <row r="1984" spans="3:3">
      <c r="C1984" s="576"/>
    </row>
    <row r="1985" spans="3:3">
      <c r="C1985" s="576"/>
    </row>
    <row r="1986" spans="3:3">
      <c r="C1986" s="576"/>
    </row>
    <row r="1987" spans="3:3">
      <c r="C1987" s="576"/>
    </row>
    <row r="1988" spans="3:3">
      <c r="C1988" s="576"/>
    </row>
    <row r="1989" spans="3:3">
      <c r="C1989" s="576"/>
    </row>
    <row r="1990" spans="3:3">
      <c r="C1990" s="576"/>
    </row>
    <row r="1991" spans="3:3">
      <c r="C1991" s="576"/>
    </row>
    <row r="1992" spans="3:3">
      <c r="C1992" s="576"/>
    </row>
    <row r="1993" spans="3:3">
      <c r="C1993" s="576"/>
    </row>
    <row r="1994" spans="3:3">
      <c r="C1994" s="576"/>
    </row>
    <row r="1995" spans="3:3">
      <c r="C1995" s="576"/>
    </row>
    <row r="1996" spans="3:3">
      <c r="C1996" s="576"/>
    </row>
    <row r="1997" spans="3:3">
      <c r="C1997" s="576"/>
    </row>
    <row r="1998" spans="3:3">
      <c r="C1998" s="576"/>
    </row>
    <row r="1999" spans="3:3">
      <c r="C1999" s="576"/>
    </row>
    <row r="2000" spans="3:3">
      <c r="C2000" s="576"/>
    </row>
    <row r="2001" spans="3:3">
      <c r="C2001" s="576"/>
    </row>
    <row r="2002" spans="3:3">
      <c r="C2002" s="576"/>
    </row>
    <row r="2003" spans="3:3">
      <c r="C2003" s="576"/>
    </row>
    <row r="2004" spans="3:3">
      <c r="C2004" s="576"/>
    </row>
    <row r="2005" spans="3:3">
      <c r="C2005" s="576"/>
    </row>
    <row r="2006" spans="3:3">
      <c r="C2006" s="576"/>
    </row>
    <row r="2007" spans="3:3">
      <c r="C2007" s="576"/>
    </row>
    <row r="2008" spans="3:3">
      <c r="C2008" s="576"/>
    </row>
    <row r="2009" spans="3:3">
      <c r="C2009" s="576"/>
    </row>
    <row r="2010" spans="3:3">
      <c r="C2010" s="576"/>
    </row>
    <row r="2011" spans="3:3">
      <c r="C2011" s="576"/>
    </row>
    <row r="2012" spans="3:3">
      <c r="C2012" s="576"/>
    </row>
    <row r="2013" spans="3:3">
      <c r="C2013" s="576"/>
    </row>
    <row r="2014" spans="3:3">
      <c r="C2014" s="576"/>
    </row>
    <row r="2015" spans="3:3">
      <c r="C2015" s="576"/>
    </row>
    <row r="2016" spans="3:3">
      <c r="C2016" s="576"/>
    </row>
    <row r="2017" spans="3:3">
      <c r="C2017" s="576"/>
    </row>
    <row r="2018" spans="3:3">
      <c r="C2018" s="576"/>
    </row>
    <row r="2019" spans="3:3">
      <c r="C2019" s="576"/>
    </row>
    <row r="2020" spans="3:3">
      <c r="C2020" s="576"/>
    </row>
    <row r="2021" spans="3:3">
      <c r="C2021" s="576"/>
    </row>
    <row r="2022" spans="3:3">
      <c r="C2022" s="576"/>
    </row>
    <row r="2023" spans="3:3">
      <c r="C2023" s="576"/>
    </row>
    <row r="2024" spans="3:3">
      <c r="C2024" s="576"/>
    </row>
    <row r="2025" spans="3:3">
      <c r="C2025" s="576"/>
    </row>
    <row r="2026" spans="3:3">
      <c r="C2026" s="576"/>
    </row>
    <row r="2027" spans="3:3">
      <c r="C2027" s="576"/>
    </row>
    <row r="2028" spans="3:3">
      <c r="C2028" s="576"/>
    </row>
    <row r="2029" spans="3:3">
      <c r="C2029" s="576"/>
    </row>
    <row r="2030" spans="3:3">
      <c r="C2030" s="576"/>
    </row>
    <row r="2031" spans="3:3">
      <c r="C2031" s="576"/>
    </row>
    <row r="2032" spans="3:3">
      <c r="C2032" s="576"/>
    </row>
    <row r="2033" spans="3:3">
      <c r="C2033" s="576"/>
    </row>
    <row r="2034" spans="3:3">
      <c r="C2034" s="576"/>
    </row>
    <row r="2035" spans="3:3">
      <c r="C2035" s="576"/>
    </row>
    <row r="2036" spans="3:3">
      <c r="C2036" s="576"/>
    </row>
    <row r="2037" spans="3:3">
      <c r="C2037" s="576"/>
    </row>
    <row r="2038" spans="3:3">
      <c r="C2038" s="576"/>
    </row>
    <row r="2039" spans="3:3">
      <c r="C2039" s="576"/>
    </row>
    <row r="2040" spans="3:3">
      <c r="C2040" s="576"/>
    </row>
    <row r="2041" spans="3:3">
      <c r="C2041" s="576"/>
    </row>
    <row r="2042" spans="3:3">
      <c r="C2042" s="576"/>
    </row>
    <row r="2043" spans="3:3">
      <c r="C2043" s="576"/>
    </row>
    <row r="2044" spans="3:3">
      <c r="C2044" s="576"/>
    </row>
    <row r="2045" spans="3:3">
      <c r="C2045" s="576"/>
    </row>
    <row r="2046" spans="3:3">
      <c r="C2046" s="576"/>
    </row>
    <row r="2047" spans="3:3">
      <c r="C2047" s="576"/>
    </row>
    <row r="2048" spans="3:3">
      <c r="C2048" s="576"/>
    </row>
    <row r="2049" spans="3:3">
      <c r="C2049" s="576"/>
    </row>
    <row r="2050" spans="3:3">
      <c r="C2050" s="576"/>
    </row>
    <row r="2051" spans="3:3">
      <c r="C2051" s="576"/>
    </row>
    <row r="2052" spans="3:3">
      <c r="C2052" s="576"/>
    </row>
    <row r="2053" spans="3:3">
      <c r="C2053" s="576"/>
    </row>
    <row r="2054" spans="3:3">
      <c r="C2054" s="576"/>
    </row>
    <row r="2055" spans="3:3">
      <c r="C2055" s="576"/>
    </row>
    <row r="2056" spans="3:3">
      <c r="C2056" s="576"/>
    </row>
    <row r="2057" spans="3:3">
      <c r="C2057" s="576"/>
    </row>
  </sheetData>
  <phoneticPr fontId="21" type="noConversion"/>
  <conditionalFormatting sqref="K36:K86">
    <cfRule type="cellIs" dxfId="319" priority="99" stopIfTrue="1" operator="equal">
      <formula>"U"</formula>
    </cfRule>
    <cfRule type="cellIs" dxfId="318" priority="100" stopIfTrue="1" operator="equal">
      <formula>"O"</formula>
    </cfRule>
  </conditionalFormatting>
  <conditionalFormatting sqref="G31 P30 P18">
    <cfRule type="cellIs" dxfId="317" priority="98" stopIfTrue="1" operator="notEqual">
      <formula>E18</formula>
    </cfRule>
  </conditionalFormatting>
  <conditionalFormatting sqref="H31 Q30">
    <cfRule type="expression" dxfId="316" priority="97" stopIfTrue="1">
      <formula>(H30+F30)&lt;&gt;0</formula>
    </cfRule>
  </conditionalFormatting>
  <conditionalFormatting sqref="P29">
    <cfRule type="cellIs" dxfId="315" priority="96" stopIfTrue="1" operator="notEqual">
      <formula>N7</formula>
    </cfRule>
  </conditionalFormatting>
  <conditionalFormatting sqref="N7">
    <cfRule type="cellIs" dxfId="314" priority="95" stopIfTrue="1" operator="notEqual">
      <formula>P29</formula>
    </cfRule>
  </conditionalFormatting>
  <conditionalFormatting sqref="N8">
    <cfRule type="cellIs" dxfId="313" priority="94" stopIfTrue="1" operator="notEqual">
      <formula>P28</formula>
    </cfRule>
  </conditionalFormatting>
  <conditionalFormatting sqref="N9">
    <cfRule type="cellIs" dxfId="312" priority="93" stopIfTrue="1" operator="notEqual">
      <formula>P27</formula>
    </cfRule>
  </conditionalFormatting>
  <conditionalFormatting sqref="N10">
    <cfRule type="cellIs" dxfId="311" priority="92" stopIfTrue="1" operator="notEqual">
      <formula>P26</formula>
    </cfRule>
  </conditionalFormatting>
  <conditionalFormatting sqref="N11">
    <cfRule type="cellIs" dxfId="310" priority="91" stopIfTrue="1" operator="notEqual">
      <formula>P25</formula>
    </cfRule>
  </conditionalFormatting>
  <conditionalFormatting sqref="N12">
    <cfRule type="cellIs" dxfId="309" priority="90" stopIfTrue="1" operator="notEqual">
      <formula>P24</formula>
    </cfRule>
  </conditionalFormatting>
  <conditionalFormatting sqref="N13">
    <cfRule type="cellIs" dxfId="308" priority="89" stopIfTrue="1" operator="notEqual">
      <formula>P23</formula>
    </cfRule>
  </conditionalFormatting>
  <conditionalFormatting sqref="N14">
    <cfRule type="cellIs" dxfId="307" priority="88" stopIfTrue="1" operator="notEqual">
      <formula>P22</formula>
    </cfRule>
  </conditionalFormatting>
  <conditionalFormatting sqref="N15">
    <cfRule type="cellIs" dxfId="306" priority="87" stopIfTrue="1" operator="notEqual">
      <formula>P21</formula>
    </cfRule>
  </conditionalFormatting>
  <conditionalFormatting sqref="N16">
    <cfRule type="cellIs" dxfId="305" priority="86" stopIfTrue="1" operator="notEqual">
      <formula>P20</formula>
    </cfRule>
  </conditionalFormatting>
  <conditionalFormatting sqref="N17">
    <cfRule type="cellIs" dxfId="304" priority="85" stopIfTrue="1" operator="notEqual">
      <formula>P19</formula>
    </cfRule>
  </conditionalFormatting>
  <conditionalFormatting sqref="N18">
    <cfRule type="cellIs" dxfId="303" priority="84" stopIfTrue="1" operator="notEqual">
      <formula>P18</formula>
    </cfRule>
  </conditionalFormatting>
  <conditionalFormatting sqref="N19">
    <cfRule type="cellIs" dxfId="302" priority="83" stopIfTrue="1" operator="notEqual">
      <formula>P17</formula>
    </cfRule>
  </conditionalFormatting>
  <conditionalFormatting sqref="N20">
    <cfRule type="cellIs" dxfId="301" priority="82" stopIfTrue="1" operator="notEqual">
      <formula>P16</formula>
    </cfRule>
  </conditionalFormatting>
  <conditionalFormatting sqref="N21">
    <cfRule type="cellIs" dxfId="300" priority="81" stopIfTrue="1" operator="notEqual">
      <formula>P15</formula>
    </cfRule>
  </conditionalFormatting>
  <conditionalFormatting sqref="N22">
    <cfRule type="cellIs" dxfId="299" priority="80" stopIfTrue="1" operator="notEqual">
      <formula>P14</formula>
    </cfRule>
  </conditionalFormatting>
  <conditionalFormatting sqref="N23">
    <cfRule type="cellIs" dxfId="298" priority="79" stopIfTrue="1" operator="notEqual">
      <formula>P13</formula>
    </cfRule>
  </conditionalFormatting>
  <conditionalFormatting sqref="N24">
    <cfRule type="cellIs" dxfId="297" priority="78" stopIfTrue="1" operator="notEqual">
      <formula>P12</formula>
    </cfRule>
  </conditionalFormatting>
  <conditionalFormatting sqref="N25">
    <cfRule type="cellIs" dxfId="296" priority="77" stopIfTrue="1" operator="notEqual">
      <formula>P11</formula>
    </cfRule>
  </conditionalFormatting>
  <conditionalFormatting sqref="N26">
    <cfRule type="cellIs" dxfId="295" priority="76" stopIfTrue="1" operator="notEqual">
      <formula>P10</formula>
    </cfRule>
  </conditionalFormatting>
  <conditionalFormatting sqref="N27">
    <cfRule type="cellIs" dxfId="294" priority="75" stopIfTrue="1" operator="notEqual">
      <formula>P9</formula>
    </cfRule>
  </conditionalFormatting>
  <conditionalFormatting sqref="N28">
    <cfRule type="cellIs" dxfId="293" priority="74" stopIfTrue="1" operator="notEqual">
      <formula>P8</formula>
    </cfRule>
  </conditionalFormatting>
  <conditionalFormatting sqref="N29">
    <cfRule type="cellIs" dxfId="292" priority="73" stopIfTrue="1" operator="notEqual">
      <formula>P7</formula>
    </cfRule>
  </conditionalFormatting>
  <conditionalFormatting sqref="P7">
    <cfRule type="cellIs" dxfId="291" priority="72" stopIfTrue="1" operator="notEqual">
      <formula>N29</formula>
    </cfRule>
  </conditionalFormatting>
  <conditionalFormatting sqref="P8">
    <cfRule type="cellIs" dxfId="290" priority="71" stopIfTrue="1" operator="notEqual">
      <formula>N28</formula>
    </cfRule>
  </conditionalFormatting>
  <conditionalFormatting sqref="P9">
    <cfRule type="cellIs" dxfId="289" priority="70" stopIfTrue="1" operator="notEqual">
      <formula>N27</formula>
    </cfRule>
  </conditionalFormatting>
  <conditionalFormatting sqref="P10">
    <cfRule type="cellIs" dxfId="288" priority="69" stopIfTrue="1" operator="notEqual">
      <formula>N26</formula>
    </cfRule>
  </conditionalFormatting>
  <conditionalFormatting sqref="P11">
    <cfRule type="cellIs" dxfId="287" priority="68" stopIfTrue="1" operator="notEqual">
      <formula>N25</formula>
    </cfRule>
  </conditionalFormatting>
  <conditionalFormatting sqref="P12">
    <cfRule type="cellIs" dxfId="286" priority="67" stopIfTrue="1" operator="notEqual">
      <formula>N24</formula>
    </cfRule>
  </conditionalFormatting>
  <conditionalFormatting sqref="P13">
    <cfRule type="cellIs" dxfId="285" priority="66" stopIfTrue="1" operator="notEqual">
      <formula>N23</formula>
    </cfRule>
  </conditionalFormatting>
  <conditionalFormatting sqref="P14">
    <cfRule type="cellIs" dxfId="284" priority="65" stopIfTrue="1" operator="notEqual">
      <formula>N22</formula>
    </cfRule>
  </conditionalFormatting>
  <conditionalFormatting sqref="P15">
    <cfRule type="cellIs" dxfId="283" priority="64" stopIfTrue="1" operator="notEqual">
      <formula>N21</formula>
    </cfRule>
  </conditionalFormatting>
  <conditionalFormatting sqref="P16">
    <cfRule type="cellIs" dxfId="282" priority="63" stopIfTrue="1" operator="notEqual">
      <formula>N20</formula>
    </cfRule>
  </conditionalFormatting>
  <conditionalFormatting sqref="P17">
    <cfRule type="cellIs" dxfId="281" priority="62" stopIfTrue="1" operator="notEqual">
      <formula>N19</formula>
    </cfRule>
  </conditionalFormatting>
  <conditionalFormatting sqref="P19">
    <cfRule type="cellIs" dxfId="280" priority="61" stopIfTrue="1" operator="notEqual">
      <formula>N17</formula>
    </cfRule>
  </conditionalFormatting>
  <conditionalFormatting sqref="P20">
    <cfRule type="cellIs" dxfId="279" priority="60" stopIfTrue="1" operator="notEqual">
      <formula>N16</formula>
    </cfRule>
  </conditionalFormatting>
  <conditionalFormatting sqref="P21">
    <cfRule type="cellIs" dxfId="278" priority="59" stopIfTrue="1" operator="notEqual">
      <formula>N15</formula>
    </cfRule>
  </conditionalFormatting>
  <conditionalFormatting sqref="P22">
    <cfRule type="cellIs" dxfId="277" priority="58" stopIfTrue="1" operator="notEqual">
      <formula>N14</formula>
    </cfRule>
  </conditionalFormatting>
  <conditionalFormatting sqref="P23">
    <cfRule type="cellIs" dxfId="276" priority="57" stopIfTrue="1" operator="notEqual">
      <formula>N13</formula>
    </cfRule>
  </conditionalFormatting>
  <conditionalFormatting sqref="P24">
    <cfRule type="cellIs" dxfId="275" priority="56" stopIfTrue="1" operator="notEqual">
      <formula>N12</formula>
    </cfRule>
  </conditionalFormatting>
  <conditionalFormatting sqref="P25">
    <cfRule type="cellIs" dxfId="274" priority="55" stopIfTrue="1" operator="notEqual">
      <formula>N11</formula>
    </cfRule>
  </conditionalFormatting>
  <conditionalFormatting sqref="P26">
    <cfRule type="cellIs" dxfId="273" priority="54" stopIfTrue="1" operator="notEqual">
      <formula>N10</formula>
    </cfRule>
  </conditionalFormatting>
  <conditionalFormatting sqref="P27">
    <cfRule type="cellIs" dxfId="272" priority="53" stopIfTrue="1" operator="notEqual">
      <formula>N9</formula>
    </cfRule>
  </conditionalFormatting>
  <conditionalFormatting sqref="P28">
    <cfRule type="cellIs" dxfId="271" priority="52" stopIfTrue="1" operator="notEqual">
      <formula>N8</formula>
    </cfRule>
  </conditionalFormatting>
  <conditionalFormatting sqref="O7">
    <cfRule type="cellIs" dxfId="270" priority="51" stopIfTrue="1" operator="notEqual">
      <formula>Q29*-1</formula>
    </cfRule>
  </conditionalFormatting>
  <conditionalFormatting sqref="O8">
    <cfRule type="cellIs" dxfId="269" priority="50" stopIfTrue="1" operator="notEqual">
      <formula>Q28*-1</formula>
    </cfRule>
  </conditionalFormatting>
  <conditionalFormatting sqref="O9">
    <cfRule type="cellIs" dxfId="268" priority="49" stopIfTrue="1" operator="notEqual">
      <formula>Q27*-1</formula>
    </cfRule>
  </conditionalFormatting>
  <conditionalFormatting sqref="O10">
    <cfRule type="cellIs" dxfId="267" priority="48" stopIfTrue="1" operator="notEqual">
      <formula>Q26*-1</formula>
    </cfRule>
  </conditionalFormatting>
  <conditionalFormatting sqref="O11">
    <cfRule type="cellIs" dxfId="266" priority="47" stopIfTrue="1" operator="notEqual">
      <formula>Q25*-1</formula>
    </cfRule>
  </conditionalFormatting>
  <conditionalFormatting sqref="O12">
    <cfRule type="cellIs" dxfId="265" priority="46" stopIfTrue="1" operator="notEqual">
      <formula>Q24*-1</formula>
    </cfRule>
  </conditionalFormatting>
  <conditionalFormatting sqref="O13">
    <cfRule type="cellIs" dxfId="264" priority="45" stopIfTrue="1" operator="notEqual">
      <formula>Q23*-1</formula>
    </cfRule>
  </conditionalFormatting>
  <conditionalFormatting sqref="O14">
    <cfRule type="cellIs" dxfId="263" priority="44" stopIfTrue="1" operator="notEqual">
      <formula>Q22*-1</formula>
    </cfRule>
  </conditionalFormatting>
  <conditionalFormatting sqref="O15">
    <cfRule type="cellIs" dxfId="262" priority="43" stopIfTrue="1" operator="notEqual">
      <formula>Q21*-1</formula>
    </cfRule>
  </conditionalFormatting>
  <conditionalFormatting sqref="O16">
    <cfRule type="cellIs" dxfId="261" priority="42" stopIfTrue="1" operator="notEqual">
      <formula>Q20*-1</formula>
    </cfRule>
  </conditionalFormatting>
  <conditionalFormatting sqref="O17">
    <cfRule type="cellIs" dxfId="260" priority="41" stopIfTrue="1" operator="notEqual">
      <formula>Q19*-1</formula>
    </cfRule>
  </conditionalFormatting>
  <conditionalFormatting sqref="O18">
    <cfRule type="cellIs" dxfId="259" priority="40" stopIfTrue="1" operator="notEqual">
      <formula>Q18*-1</formula>
    </cfRule>
  </conditionalFormatting>
  <conditionalFormatting sqref="O19">
    <cfRule type="cellIs" dxfId="258" priority="39" stopIfTrue="1" operator="notEqual">
      <formula>Q17*-1</formula>
    </cfRule>
  </conditionalFormatting>
  <conditionalFormatting sqref="O20">
    <cfRule type="cellIs" dxfId="257" priority="38" stopIfTrue="1" operator="notEqual">
      <formula>Q16*-1</formula>
    </cfRule>
  </conditionalFormatting>
  <conditionalFormatting sqref="O21">
    <cfRule type="cellIs" dxfId="256" priority="37" stopIfTrue="1" operator="notEqual">
      <formula>Q15*-1</formula>
    </cfRule>
  </conditionalFormatting>
  <conditionalFormatting sqref="O22">
    <cfRule type="cellIs" dxfId="255" priority="36" stopIfTrue="1" operator="notEqual">
      <formula>Q14*-1</formula>
    </cfRule>
  </conditionalFormatting>
  <conditionalFormatting sqref="O23">
    <cfRule type="cellIs" dxfId="254" priority="35" stopIfTrue="1" operator="notEqual">
      <formula>Q13*-1</formula>
    </cfRule>
  </conditionalFormatting>
  <conditionalFormatting sqref="O24">
    <cfRule type="cellIs" dxfId="253" priority="34" stopIfTrue="1" operator="notEqual">
      <formula>Q12*-1</formula>
    </cfRule>
  </conditionalFormatting>
  <conditionalFormatting sqref="O25">
    <cfRule type="cellIs" dxfId="252" priority="33" stopIfTrue="1" operator="notEqual">
      <formula>Q11*-1</formula>
    </cfRule>
  </conditionalFormatting>
  <conditionalFormatting sqref="O26">
    <cfRule type="cellIs" dxfId="251" priority="32" stopIfTrue="1" operator="notEqual">
      <formula>Q10*-1</formula>
    </cfRule>
  </conditionalFormatting>
  <conditionalFormatting sqref="O27">
    <cfRule type="cellIs" dxfId="250" priority="31" stopIfTrue="1" operator="notEqual">
      <formula>Q9*-1</formula>
    </cfRule>
  </conditionalFormatting>
  <conditionalFormatting sqref="O28">
    <cfRule type="cellIs" dxfId="249" priority="30" stopIfTrue="1" operator="notEqual">
      <formula>Q8*-1</formula>
    </cfRule>
  </conditionalFormatting>
  <conditionalFormatting sqref="O29">
    <cfRule type="cellIs" dxfId="248" priority="29" stopIfTrue="1" operator="notEqual">
      <formula>Q7*-1</formula>
    </cfRule>
  </conditionalFormatting>
  <conditionalFormatting sqref="Q7">
    <cfRule type="cellIs" dxfId="247" priority="28" stopIfTrue="1" operator="notEqual">
      <formula>O29*-1</formula>
    </cfRule>
  </conditionalFormatting>
  <conditionalFormatting sqref="Q8">
    <cfRule type="cellIs" dxfId="246" priority="27" stopIfTrue="1" operator="notEqual">
      <formula>O28*-1</formula>
    </cfRule>
  </conditionalFormatting>
  <conditionalFormatting sqref="Q9">
    <cfRule type="cellIs" dxfId="245" priority="26" stopIfTrue="1" operator="notEqual">
      <formula>O27*-1</formula>
    </cfRule>
  </conditionalFormatting>
  <conditionalFormatting sqref="Q10">
    <cfRule type="cellIs" dxfId="244" priority="25" stopIfTrue="1" operator="notEqual">
      <formula>O26*-1</formula>
    </cfRule>
  </conditionalFormatting>
  <conditionalFormatting sqref="Q11">
    <cfRule type="cellIs" dxfId="243" priority="24" stopIfTrue="1" operator="notEqual">
      <formula>O25*-1</formula>
    </cfRule>
  </conditionalFormatting>
  <conditionalFormatting sqref="Q12">
    <cfRule type="cellIs" dxfId="242" priority="23" stopIfTrue="1" operator="notEqual">
      <formula>O24*-1</formula>
    </cfRule>
  </conditionalFormatting>
  <conditionalFormatting sqref="Q13">
    <cfRule type="cellIs" dxfId="241" priority="22" stopIfTrue="1" operator="notEqual">
      <formula>O23*-1</formula>
    </cfRule>
  </conditionalFormatting>
  <conditionalFormatting sqref="Q14">
    <cfRule type="cellIs" dxfId="240" priority="21" stopIfTrue="1" operator="notEqual">
      <formula>O22*-1</formula>
    </cfRule>
  </conditionalFormatting>
  <conditionalFormatting sqref="Q15">
    <cfRule type="cellIs" dxfId="239" priority="20" stopIfTrue="1" operator="notEqual">
      <formula>O21*-1</formula>
    </cfRule>
  </conditionalFormatting>
  <conditionalFormatting sqref="Q16">
    <cfRule type="cellIs" dxfId="238" priority="19" stopIfTrue="1" operator="notEqual">
      <formula>O20*-1</formula>
    </cfRule>
  </conditionalFormatting>
  <conditionalFormatting sqref="Q17">
    <cfRule type="cellIs" dxfId="237" priority="18" stopIfTrue="1" operator="notEqual">
      <formula>O19*-1</formula>
    </cfRule>
  </conditionalFormatting>
  <conditionalFormatting sqref="Q18">
    <cfRule type="cellIs" dxfId="236" priority="17" stopIfTrue="1" operator="notEqual">
      <formula>O18*-1</formula>
    </cfRule>
  </conditionalFormatting>
  <conditionalFormatting sqref="Q19">
    <cfRule type="cellIs" dxfId="235" priority="16" stopIfTrue="1" operator="notEqual">
      <formula>O17*-1</formula>
    </cfRule>
  </conditionalFormatting>
  <conditionalFormatting sqref="Q20">
    <cfRule type="cellIs" dxfId="234" priority="15" stopIfTrue="1" operator="notEqual">
      <formula>O16*-1</formula>
    </cfRule>
  </conditionalFormatting>
  <conditionalFormatting sqref="Q21">
    <cfRule type="cellIs" dxfId="233" priority="14" stopIfTrue="1" operator="notEqual">
      <formula>O15*-1</formula>
    </cfRule>
  </conditionalFormatting>
  <conditionalFormatting sqref="Q22">
    <cfRule type="cellIs" dxfId="232" priority="13" stopIfTrue="1" operator="notEqual">
      <formula>O14*-1</formula>
    </cfRule>
  </conditionalFormatting>
  <conditionalFormatting sqref="Q23">
    <cfRule type="cellIs" dxfId="231" priority="12" stopIfTrue="1" operator="notEqual">
      <formula>O13*-1</formula>
    </cfRule>
  </conditionalFormatting>
  <conditionalFormatting sqref="Q24">
    <cfRule type="cellIs" dxfId="230" priority="11" stopIfTrue="1" operator="notEqual">
      <formula>O12*-1</formula>
    </cfRule>
  </conditionalFormatting>
  <conditionalFormatting sqref="Q25">
    <cfRule type="cellIs" dxfId="229" priority="10" stopIfTrue="1" operator="notEqual">
      <formula>O11*-1</formula>
    </cfRule>
  </conditionalFormatting>
  <conditionalFormatting sqref="Q26">
    <cfRule type="cellIs" dxfId="228" priority="9" stopIfTrue="1" operator="notEqual">
      <formula>O10*-1</formula>
    </cfRule>
  </conditionalFormatting>
  <conditionalFormatting sqref="Q27">
    <cfRule type="cellIs" dxfId="227" priority="8" stopIfTrue="1" operator="notEqual">
      <formula>O9*-1</formula>
    </cfRule>
  </conditionalFormatting>
  <conditionalFormatting sqref="Q28">
    <cfRule type="cellIs" dxfId="226" priority="7" stopIfTrue="1" operator="notEqual">
      <formula>O8*-1</formula>
    </cfRule>
  </conditionalFormatting>
  <conditionalFormatting sqref="Q29">
    <cfRule type="cellIs" dxfId="225" priority="6" stopIfTrue="1" operator="notEqual">
      <formula>O7*-1</formula>
    </cfRule>
  </conditionalFormatting>
  <conditionalFormatting sqref="R7:S29 I7:J30">
    <cfRule type="cellIs" dxfId="224" priority="5" stopIfTrue="1" operator="notEqual">
      <formula>E7+G7</formula>
    </cfRule>
  </conditionalFormatting>
  <conditionalFormatting sqref="N20">
    <cfRule type="cellIs" dxfId="223" priority="4" stopIfTrue="1" operator="notEqual">
      <formula>P14</formula>
    </cfRule>
  </conditionalFormatting>
  <conditionalFormatting sqref="P20">
    <cfRule type="cellIs" dxfId="222" priority="3" stopIfTrue="1" operator="notEqual">
      <formula>N14</formula>
    </cfRule>
  </conditionalFormatting>
  <conditionalFormatting sqref="O20">
    <cfRule type="cellIs" dxfId="221" priority="2" stopIfTrue="1" operator="notEqual">
      <formula>Q14*-1</formula>
    </cfRule>
  </conditionalFormatting>
  <conditionalFormatting sqref="Q20">
    <cfRule type="cellIs" dxfId="220" priority="1" stopIfTrue="1" operator="notEqual">
      <formula>O14*-1</formula>
    </cfRule>
  </conditionalFormatting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G100"/>
  <sheetViews>
    <sheetView topLeftCell="A19" workbookViewId="0">
      <selection activeCell="C8" sqref="C8"/>
    </sheetView>
  </sheetViews>
  <sheetFormatPr defaultColWidth="9.125" defaultRowHeight="14.25"/>
  <cols>
    <col min="1" max="1" width="10.375" style="215" customWidth="1"/>
    <col min="2" max="2" width="20.625" style="334" customWidth="1"/>
    <col min="3" max="3" width="19.125" style="215" customWidth="1"/>
    <col min="4" max="4" width="9.125" style="215" customWidth="1"/>
    <col min="5" max="5" width="7.375" style="215" customWidth="1"/>
    <col min="6" max="6" width="8.875" style="215" customWidth="1"/>
    <col min="7" max="7" width="8.25" style="215" customWidth="1"/>
    <col min="8" max="9" width="8.375" style="215" customWidth="1"/>
    <col min="10" max="10" width="8" style="215" customWidth="1"/>
    <col min="11" max="11" width="8.875" style="215" customWidth="1"/>
    <col min="12" max="12" width="8.125" style="215" customWidth="1"/>
    <col min="13" max="13" width="8.625" style="215" customWidth="1"/>
    <col min="14" max="14" width="9.25" style="215" customWidth="1"/>
    <col min="15" max="15" width="8.875" style="215" customWidth="1"/>
    <col min="16" max="16" width="9.125" style="215" customWidth="1"/>
    <col min="17" max="17" width="8.25" style="215" customWidth="1"/>
    <col min="18" max="18" width="7.75" style="215" customWidth="1"/>
    <col min="19" max="19" width="6.75" style="215" customWidth="1"/>
    <col min="20" max="20" width="7" style="215" customWidth="1"/>
    <col min="21" max="21" width="8.75" style="215" customWidth="1"/>
    <col min="22" max="22" width="7.125" style="215" customWidth="1"/>
    <col min="23" max="23" width="7.625" style="215" customWidth="1"/>
    <col min="24" max="24" width="8.125" style="215" customWidth="1"/>
    <col min="25" max="25" width="7.25" style="215" customWidth="1"/>
    <col min="26" max="26" width="7.625" style="215" customWidth="1"/>
    <col min="27" max="28" width="10.25" style="215" customWidth="1"/>
    <col min="29" max="29" width="10.25" style="359" customWidth="1"/>
    <col min="30" max="30" width="10.25" style="215" customWidth="1"/>
    <col min="31" max="16384" width="9.125" style="215"/>
  </cols>
  <sheetData>
    <row r="1" spans="1:31">
      <c r="A1" s="354" t="s">
        <v>76</v>
      </c>
      <c r="C1" s="354"/>
      <c r="I1" s="355" t="s">
        <v>203</v>
      </c>
      <c r="J1" s="356">
        <f ca="1">Table!C2</f>
        <v>42.18181818181818</v>
      </c>
      <c r="K1" s="357" t="s">
        <v>204</v>
      </c>
      <c r="O1" s="215" t="s">
        <v>77</v>
      </c>
      <c r="Q1" s="358">
        <v>2.5</v>
      </c>
    </row>
    <row r="2" spans="1:31">
      <c r="A2" s="354" t="s">
        <v>78</v>
      </c>
      <c r="B2" s="360" t="str">
        <f>Table!C1</f>
        <v>J2L</v>
      </c>
    </row>
    <row r="3" spans="1:31" ht="15" thickBot="1">
      <c r="C3" s="357">
        <v>2</v>
      </c>
      <c r="D3" s="357">
        <v>3</v>
      </c>
      <c r="E3" s="357">
        <v>4</v>
      </c>
      <c r="F3" s="357">
        <v>5</v>
      </c>
      <c r="G3" s="357">
        <v>6</v>
      </c>
      <c r="H3" s="357">
        <v>7</v>
      </c>
      <c r="I3" s="357">
        <v>8</v>
      </c>
      <c r="J3" s="357">
        <v>9</v>
      </c>
      <c r="K3" s="357">
        <v>10</v>
      </c>
      <c r="L3" s="357">
        <v>11</v>
      </c>
      <c r="M3" s="357">
        <v>12</v>
      </c>
      <c r="N3" s="357">
        <v>13</v>
      </c>
      <c r="O3" s="357">
        <v>14</v>
      </c>
      <c r="P3" s="357">
        <v>15</v>
      </c>
      <c r="Q3" s="357">
        <v>16</v>
      </c>
      <c r="R3" s="357">
        <v>17</v>
      </c>
      <c r="S3" s="357">
        <v>18</v>
      </c>
      <c r="T3" s="357">
        <v>19</v>
      </c>
      <c r="U3" s="357">
        <v>20</v>
      </c>
      <c r="V3" s="357">
        <v>21</v>
      </c>
      <c r="W3" s="357">
        <v>22</v>
      </c>
      <c r="X3" s="357">
        <v>23</v>
      </c>
      <c r="Y3" s="357">
        <v>24</v>
      </c>
      <c r="Z3" s="357">
        <v>25</v>
      </c>
      <c r="AA3" s="357">
        <v>26</v>
      </c>
      <c r="AB3" s="357">
        <v>27</v>
      </c>
      <c r="AC3" s="357">
        <v>28</v>
      </c>
      <c r="AD3" s="357">
        <v>29</v>
      </c>
      <c r="AE3" s="357">
        <v>30</v>
      </c>
    </row>
    <row r="4" spans="1:31">
      <c r="A4" s="361" t="s">
        <v>59</v>
      </c>
      <c r="B4" s="362" t="s">
        <v>79</v>
      </c>
      <c r="C4" s="363"/>
      <c r="D4" s="364" t="s">
        <v>80</v>
      </c>
      <c r="E4" s="364"/>
      <c r="F4" s="365"/>
      <c r="G4" s="366"/>
      <c r="H4" s="367"/>
      <c r="I4" s="367"/>
      <c r="J4" s="367"/>
      <c r="K4" s="367"/>
      <c r="L4" s="368" t="s">
        <v>81</v>
      </c>
      <c r="M4" s="367"/>
      <c r="N4" s="365"/>
      <c r="O4" s="367"/>
      <c r="P4" s="367"/>
      <c r="Q4" s="367"/>
      <c r="R4" s="367"/>
      <c r="S4" s="366"/>
      <c r="T4" s="368" t="s">
        <v>82</v>
      </c>
      <c r="U4" s="367"/>
      <c r="V4" s="369"/>
      <c r="W4" s="367"/>
      <c r="X4" s="370"/>
      <c r="Y4" s="371"/>
      <c r="Z4" s="371"/>
      <c r="AA4" s="372"/>
      <c r="AB4" s="373"/>
      <c r="AC4" s="374" t="str">
        <f>A4</f>
        <v>Pos</v>
      </c>
      <c r="AD4" s="375"/>
    </row>
    <row r="5" spans="1:31">
      <c r="A5" s="376"/>
      <c r="B5" s="362" t="s">
        <v>83</v>
      </c>
      <c r="C5" s="377" t="s">
        <v>84</v>
      </c>
      <c r="D5" s="378" t="s">
        <v>85</v>
      </c>
      <c r="E5" s="379"/>
      <c r="F5" s="380" t="s">
        <v>86</v>
      </c>
      <c r="G5" s="381"/>
      <c r="H5" s="382"/>
      <c r="I5" s="255" t="s">
        <v>87</v>
      </c>
      <c r="J5" s="255"/>
      <c r="K5" s="255"/>
      <c r="L5" s="378" t="s">
        <v>85</v>
      </c>
      <c r="M5" s="379"/>
      <c r="N5" s="380" t="s">
        <v>86</v>
      </c>
      <c r="O5" s="381"/>
      <c r="P5" s="382"/>
      <c r="Q5" s="383" t="s">
        <v>87</v>
      </c>
      <c r="R5" s="255"/>
      <c r="S5" s="384"/>
      <c r="T5" s="378" t="s">
        <v>85</v>
      </c>
      <c r="U5" s="379"/>
      <c r="V5" s="380" t="s">
        <v>86</v>
      </c>
      <c r="W5" s="381"/>
      <c r="X5" s="385"/>
      <c r="Y5" s="383" t="s">
        <v>87</v>
      </c>
      <c r="Z5" s="255"/>
      <c r="AA5" s="256"/>
      <c r="AB5" s="386"/>
      <c r="AC5" s="387"/>
      <c r="AD5" s="388" t="s">
        <v>88</v>
      </c>
    </row>
    <row r="6" spans="1:31" ht="15" thickBot="1">
      <c r="A6" s="389"/>
      <c r="B6" s="362"/>
      <c r="C6" s="389"/>
      <c r="D6" s="390" t="s">
        <v>89</v>
      </c>
      <c r="E6" s="391" t="s">
        <v>90</v>
      </c>
      <c r="F6" s="392" t="s">
        <v>89</v>
      </c>
      <c r="G6" s="393" t="s">
        <v>91</v>
      </c>
      <c r="H6" s="394"/>
      <c r="I6" s="394" t="s">
        <v>17</v>
      </c>
      <c r="J6" s="394" t="s">
        <v>18</v>
      </c>
      <c r="K6" s="395" t="s">
        <v>92</v>
      </c>
      <c r="L6" s="390" t="s">
        <v>89</v>
      </c>
      <c r="M6" s="391" t="s">
        <v>90</v>
      </c>
      <c r="N6" s="392" t="s">
        <v>89</v>
      </c>
      <c r="O6" s="393" t="s">
        <v>91</v>
      </c>
      <c r="P6" s="394"/>
      <c r="Q6" s="396" t="s">
        <v>17</v>
      </c>
      <c r="R6" s="394" t="s">
        <v>18</v>
      </c>
      <c r="S6" s="395" t="s">
        <v>92</v>
      </c>
      <c r="T6" s="390" t="s">
        <v>89</v>
      </c>
      <c r="U6" s="391" t="s">
        <v>90</v>
      </c>
      <c r="V6" s="392" t="s">
        <v>89</v>
      </c>
      <c r="W6" s="397" t="s">
        <v>91</v>
      </c>
      <c r="X6" s="396"/>
      <c r="Y6" s="396" t="s">
        <v>17</v>
      </c>
      <c r="Z6" s="394" t="s">
        <v>18</v>
      </c>
      <c r="AA6" s="398" t="s">
        <v>92</v>
      </c>
      <c r="AB6" s="399"/>
      <c r="AC6" s="387"/>
      <c r="AD6" s="400" t="s">
        <v>90</v>
      </c>
    </row>
    <row r="7" spans="1:31" s="412" customFormat="1">
      <c r="A7" s="401" t="e">
        <f ca="1">AC7</f>
        <v>#REF!</v>
      </c>
      <c r="B7" s="402">
        <v>1</v>
      </c>
      <c r="C7" s="401" t="e">
        <f ca="1">VLOOKUP($AB7,$B$38:$AD$61,C$34,FALSE)</f>
        <v>#REF!</v>
      </c>
      <c r="D7" s="403" t="e">
        <f t="shared" ref="D7:S22" ca="1" si="0">VLOOKUP($AB7,$B$35:$AD$61,D$34,FALSE)</f>
        <v>#REF!</v>
      </c>
      <c r="E7" s="404" t="e">
        <f t="shared" ca="1" si="0"/>
        <v>#REF!</v>
      </c>
      <c r="F7" s="405" t="e">
        <f t="shared" ca="1" si="0"/>
        <v>#REF!</v>
      </c>
      <c r="G7" s="406" t="e">
        <f t="shared" ca="1" si="0"/>
        <v>#REF!</v>
      </c>
      <c r="H7" s="407" t="e">
        <f t="shared" ca="1" si="0"/>
        <v>#REF!</v>
      </c>
      <c r="I7" s="408" t="e">
        <f t="shared" ca="1" si="0"/>
        <v>#REF!</v>
      </c>
      <c r="J7" s="408" t="e">
        <f t="shared" ca="1" si="0"/>
        <v>#REF!</v>
      </c>
      <c r="K7" s="408" t="e">
        <f t="shared" ca="1" si="0"/>
        <v>#REF!</v>
      </c>
      <c r="L7" s="403" t="e">
        <f t="shared" ca="1" si="0"/>
        <v>#REF!</v>
      </c>
      <c r="M7" s="404" t="e">
        <f t="shared" ca="1" si="0"/>
        <v>#REF!</v>
      </c>
      <c r="N7" s="405" t="e">
        <f t="shared" ca="1" si="0"/>
        <v>#REF!</v>
      </c>
      <c r="O7" s="406" t="e">
        <f t="shared" ca="1" si="0"/>
        <v>#REF!</v>
      </c>
      <c r="P7" s="407" t="e">
        <f t="shared" ca="1" si="0"/>
        <v>#REF!</v>
      </c>
      <c r="Q7" s="408" t="e">
        <f t="shared" ca="1" si="0"/>
        <v>#REF!</v>
      </c>
      <c r="R7" s="408" t="e">
        <f t="shared" ca="1" si="0"/>
        <v>#REF!</v>
      </c>
      <c r="S7" s="408" t="e">
        <f t="shared" ca="1" si="0"/>
        <v>#REF!</v>
      </c>
      <c r="T7" s="409" t="e">
        <f t="shared" ref="T7:AA21" ca="1" si="1">VLOOKUP($AB7,$B$35:$AD$61,T$34,FALSE)</f>
        <v>#REF!</v>
      </c>
      <c r="U7" s="404" t="e">
        <f t="shared" ca="1" si="1"/>
        <v>#REF!</v>
      </c>
      <c r="V7" s="405" t="e">
        <f t="shared" ca="1" si="1"/>
        <v>#REF!</v>
      </c>
      <c r="W7" s="406" t="e">
        <f t="shared" ca="1" si="1"/>
        <v>#REF!</v>
      </c>
      <c r="X7" s="407" t="e">
        <f t="shared" ca="1" si="1"/>
        <v>#REF!</v>
      </c>
      <c r="Y7" s="408" t="e">
        <f t="shared" ca="1" si="1"/>
        <v>#REF!</v>
      </c>
      <c r="Z7" s="408" t="e">
        <f t="shared" ca="1" si="1"/>
        <v>#REF!</v>
      </c>
      <c r="AA7" s="408" t="e">
        <f t="shared" ca="1" si="1"/>
        <v>#REF!</v>
      </c>
      <c r="AB7" s="401" t="e">
        <f t="array" aca="1" ref="AB7" ca="1">IF(B7&gt;$B$34,"",LARGE($B$38:$B$61,B7))</f>
        <v>#REF!</v>
      </c>
      <c r="AC7" s="410" t="e">
        <f t="shared" ref="AC7:AC26" ca="1" si="2">IF($AB7="","",VLOOKUP($AB7,$B$35:$AD$61,AC$34,FALSE))</f>
        <v>#REF!</v>
      </c>
      <c r="AD7" s="411" t="e">
        <f ca="1">VLOOKUP($AB7,$B$35:$AD$53,AD$34,FALSE)</f>
        <v>#REF!</v>
      </c>
      <c r="AE7" s="215"/>
    </row>
    <row r="8" spans="1:31" s="412" customFormat="1">
      <c r="A8" s="413" t="e">
        <f t="shared" ref="A8:A26" ca="1" si="3">AC8</f>
        <v>#REF!</v>
      </c>
      <c r="B8" s="402">
        <v>2</v>
      </c>
      <c r="C8" s="401" t="e">
        <f t="shared" ref="C8:C26" ca="1" si="4">VLOOKUP($AB8,$B$38:$AD$61,C$34,FALSE)</f>
        <v>#REF!</v>
      </c>
      <c r="D8" s="414" t="e">
        <f t="shared" ca="1" si="0"/>
        <v>#REF!</v>
      </c>
      <c r="E8" s="415" t="e">
        <f t="shared" ca="1" si="0"/>
        <v>#REF!</v>
      </c>
      <c r="F8" s="416" t="e">
        <f t="shared" ca="1" si="0"/>
        <v>#REF!</v>
      </c>
      <c r="G8" s="406" t="e">
        <f t="shared" ca="1" si="0"/>
        <v>#REF!</v>
      </c>
      <c r="H8" s="417" t="e">
        <f t="shared" ca="1" si="0"/>
        <v>#REF!</v>
      </c>
      <c r="I8" s="418" t="e">
        <f t="shared" ca="1" si="0"/>
        <v>#REF!</v>
      </c>
      <c r="J8" s="418" t="e">
        <f t="shared" ca="1" si="0"/>
        <v>#REF!</v>
      </c>
      <c r="K8" s="408" t="e">
        <f t="shared" ca="1" si="0"/>
        <v>#REF!</v>
      </c>
      <c r="L8" s="414" t="e">
        <f t="shared" ca="1" si="0"/>
        <v>#REF!</v>
      </c>
      <c r="M8" s="415" t="e">
        <f t="shared" ca="1" si="0"/>
        <v>#REF!</v>
      </c>
      <c r="N8" s="416" t="e">
        <f t="shared" ca="1" si="0"/>
        <v>#REF!</v>
      </c>
      <c r="O8" s="406" t="e">
        <f t="shared" ca="1" si="0"/>
        <v>#REF!</v>
      </c>
      <c r="P8" s="417" t="e">
        <f t="shared" ca="1" si="0"/>
        <v>#REF!</v>
      </c>
      <c r="Q8" s="418" t="e">
        <f t="shared" ca="1" si="0"/>
        <v>#REF!</v>
      </c>
      <c r="R8" s="418" t="e">
        <f t="shared" ca="1" si="0"/>
        <v>#REF!</v>
      </c>
      <c r="S8" s="408" t="e">
        <f t="shared" ca="1" si="0"/>
        <v>#REF!</v>
      </c>
      <c r="T8" s="419" t="e">
        <f t="shared" ca="1" si="1"/>
        <v>#REF!</v>
      </c>
      <c r="U8" s="415" t="e">
        <f t="shared" ca="1" si="1"/>
        <v>#REF!</v>
      </c>
      <c r="V8" s="416" t="e">
        <f t="shared" ca="1" si="1"/>
        <v>#REF!</v>
      </c>
      <c r="W8" s="406" t="e">
        <f t="shared" ca="1" si="1"/>
        <v>#REF!</v>
      </c>
      <c r="X8" s="417" t="e">
        <f t="shared" ca="1" si="1"/>
        <v>#REF!</v>
      </c>
      <c r="Y8" s="418" t="e">
        <f t="shared" ca="1" si="1"/>
        <v>#REF!</v>
      </c>
      <c r="Z8" s="418" t="e">
        <f t="shared" ca="1" si="1"/>
        <v>#REF!</v>
      </c>
      <c r="AA8" s="408" t="e">
        <f t="shared" ca="1" si="1"/>
        <v>#REF!</v>
      </c>
      <c r="AB8" s="413" t="e">
        <f t="shared" ref="AB8:AB26" ca="1" si="5">IF(B8&gt;$B$34,"",LARGE($B$38:$B$61,B8))</f>
        <v>#REF!</v>
      </c>
      <c r="AC8" s="420" t="e">
        <f t="shared" ca="1" si="2"/>
        <v>#REF!</v>
      </c>
      <c r="AD8" s="421" t="e">
        <f t="shared" ref="AD8:AD26" ca="1" si="6">VLOOKUP($AB8,$B$35:$AD$61,AD$34,FALSE)</f>
        <v>#REF!</v>
      </c>
      <c r="AE8" s="215"/>
    </row>
    <row r="9" spans="1:31" s="412" customFormat="1">
      <c r="A9" s="413" t="e">
        <f t="shared" ca="1" si="3"/>
        <v>#REF!</v>
      </c>
      <c r="B9" s="402">
        <v>3</v>
      </c>
      <c r="C9" s="401" t="e">
        <f t="shared" ca="1" si="4"/>
        <v>#REF!</v>
      </c>
      <c r="D9" s="414" t="e">
        <f t="shared" ca="1" si="0"/>
        <v>#REF!</v>
      </c>
      <c r="E9" s="415" t="e">
        <f t="shared" ca="1" si="0"/>
        <v>#REF!</v>
      </c>
      <c r="F9" s="416" t="e">
        <f t="shared" ca="1" si="0"/>
        <v>#REF!</v>
      </c>
      <c r="G9" s="406" t="e">
        <f t="shared" ca="1" si="0"/>
        <v>#REF!</v>
      </c>
      <c r="H9" s="417" t="e">
        <f t="shared" ca="1" si="0"/>
        <v>#REF!</v>
      </c>
      <c r="I9" s="418" t="e">
        <f t="shared" ca="1" si="0"/>
        <v>#REF!</v>
      </c>
      <c r="J9" s="418" t="e">
        <f t="shared" ca="1" si="0"/>
        <v>#REF!</v>
      </c>
      <c r="K9" s="408" t="e">
        <f t="shared" ca="1" si="0"/>
        <v>#REF!</v>
      </c>
      <c r="L9" s="414" t="e">
        <f t="shared" ca="1" si="0"/>
        <v>#REF!</v>
      </c>
      <c r="M9" s="415" t="e">
        <f t="shared" ca="1" si="0"/>
        <v>#REF!</v>
      </c>
      <c r="N9" s="416" t="e">
        <f t="shared" ca="1" si="0"/>
        <v>#REF!</v>
      </c>
      <c r="O9" s="406" t="e">
        <f t="shared" ca="1" si="0"/>
        <v>#REF!</v>
      </c>
      <c r="P9" s="417" t="e">
        <f t="shared" ca="1" si="0"/>
        <v>#REF!</v>
      </c>
      <c r="Q9" s="418" t="e">
        <f t="shared" ca="1" si="0"/>
        <v>#REF!</v>
      </c>
      <c r="R9" s="418" t="e">
        <f t="shared" ca="1" si="0"/>
        <v>#REF!</v>
      </c>
      <c r="S9" s="408" t="e">
        <f t="shared" ca="1" si="0"/>
        <v>#REF!</v>
      </c>
      <c r="T9" s="419" t="e">
        <f t="shared" ca="1" si="1"/>
        <v>#REF!</v>
      </c>
      <c r="U9" s="415" t="e">
        <f t="shared" ca="1" si="1"/>
        <v>#REF!</v>
      </c>
      <c r="V9" s="416" t="e">
        <f t="shared" ca="1" si="1"/>
        <v>#REF!</v>
      </c>
      <c r="W9" s="406" t="e">
        <f t="shared" ca="1" si="1"/>
        <v>#REF!</v>
      </c>
      <c r="X9" s="417" t="e">
        <f t="shared" ca="1" si="1"/>
        <v>#REF!</v>
      </c>
      <c r="Y9" s="418" t="e">
        <f t="shared" ca="1" si="1"/>
        <v>#REF!</v>
      </c>
      <c r="Z9" s="418" t="e">
        <f t="shared" ca="1" si="1"/>
        <v>#REF!</v>
      </c>
      <c r="AA9" s="408" t="e">
        <f t="shared" ca="1" si="1"/>
        <v>#REF!</v>
      </c>
      <c r="AB9" s="413" t="e">
        <f t="shared" ca="1" si="5"/>
        <v>#REF!</v>
      </c>
      <c r="AC9" s="420" t="e">
        <f t="shared" ca="1" si="2"/>
        <v>#REF!</v>
      </c>
      <c r="AD9" s="421" t="e">
        <f t="shared" ca="1" si="6"/>
        <v>#REF!</v>
      </c>
      <c r="AE9" s="215"/>
    </row>
    <row r="10" spans="1:31" s="412" customFormat="1">
      <c r="A10" s="413" t="e">
        <f t="shared" ca="1" si="3"/>
        <v>#REF!</v>
      </c>
      <c r="B10" s="402">
        <v>4</v>
      </c>
      <c r="C10" s="401" t="e">
        <f t="shared" ca="1" si="4"/>
        <v>#REF!</v>
      </c>
      <c r="D10" s="414" t="e">
        <f t="shared" ca="1" si="0"/>
        <v>#REF!</v>
      </c>
      <c r="E10" s="415" t="e">
        <f t="shared" ca="1" si="0"/>
        <v>#REF!</v>
      </c>
      <c r="F10" s="416" t="e">
        <f t="shared" ca="1" si="0"/>
        <v>#REF!</v>
      </c>
      <c r="G10" s="406" t="e">
        <f t="shared" ca="1" si="0"/>
        <v>#REF!</v>
      </c>
      <c r="H10" s="417" t="e">
        <f t="shared" ca="1" si="0"/>
        <v>#REF!</v>
      </c>
      <c r="I10" s="418" t="e">
        <f t="shared" ca="1" si="0"/>
        <v>#REF!</v>
      </c>
      <c r="J10" s="418" t="e">
        <f t="shared" ca="1" si="0"/>
        <v>#REF!</v>
      </c>
      <c r="K10" s="408" t="e">
        <f t="shared" ca="1" si="0"/>
        <v>#REF!</v>
      </c>
      <c r="L10" s="414" t="e">
        <f t="shared" ca="1" si="0"/>
        <v>#REF!</v>
      </c>
      <c r="M10" s="415" t="e">
        <f t="shared" ca="1" si="0"/>
        <v>#REF!</v>
      </c>
      <c r="N10" s="416" t="e">
        <f t="shared" ca="1" si="0"/>
        <v>#REF!</v>
      </c>
      <c r="O10" s="406" t="e">
        <f t="shared" ca="1" si="0"/>
        <v>#REF!</v>
      </c>
      <c r="P10" s="417" t="e">
        <f t="shared" ca="1" si="0"/>
        <v>#REF!</v>
      </c>
      <c r="Q10" s="418" t="e">
        <f t="shared" ca="1" si="0"/>
        <v>#REF!</v>
      </c>
      <c r="R10" s="418" t="e">
        <f t="shared" ca="1" si="0"/>
        <v>#REF!</v>
      </c>
      <c r="S10" s="408" t="e">
        <f t="shared" ca="1" si="0"/>
        <v>#REF!</v>
      </c>
      <c r="T10" s="419" t="e">
        <f t="shared" ca="1" si="1"/>
        <v>#REF!</v>
      </c>
      <c r="U10" s="415" t="e">
        <f t="shared" ca="1" si="1"/>
        <v>#REF!</v>
      </c>
      <c r="V10" s="416" t="e">
        <f t="shared" ca="1" si="1"/>
        <v>#REF!</v>
      </c>
      <c r="W10" s="406" t="e">
        <f t="shared" ca="1" si="1"/>
        <v>#REF!</v>
      </c>
      <c r="X10" s="417" t="e">
        <f t="shared" ca="1" si="1"/>
        <v>#REF!</v>
      </c>
      <c r="Y10" s="418" t="e">
        <f t="shared" ca="1" si="1"/>
        <v>#REF!</v>
      </c>
      <c r="Z10" s="418" t="e">
        <f t="shared" ca="1" si="1"/>
        <v>#REF!</v>
      </c>
      <c r="AA10" s="408" t="e">
        <f t="shared" ca="1" si="1"/>
        <v>#REF!</v>
      </c>
      <c r="AB10" s="413" t="e">
        <f t="shared" ca="1" si="5"/>
        <v>#REF!</v>
      </c>
      <c r="AC10" s="420" t="e">
        <f t="shared" ca="1" si="2"/>
        <v>#REF!</v>
      </c>
      <c r="AD10" s="421" t="e">
        <f t="shared" ca="1" si="6"/>
        <v>#REF!</v>
      </c>
      <c r="AE10" s="215"/>
    </row>
    <row r="11" spans="1:31" s="412" customFormat="1">
      <c r="A11" s="413" t="e">
        <f t="shared" ca="1" si="3"/>
        <v>#REF!</v>
      </c>
      <c r="B11" s="402">
        <v>5</v>
      </c>
      <c r="C11" s="401" t="e">
        <f t="shared" ca="1" si="4"/>
        <v>#REF!</v>
      </c>
      <c r="D11" s="414" t="e">
        <f t="shared" ca="1" si="0"/>
        <v>#REF!</v>
      </c>
      <c r="E11" s="415" t="e">
        <f t="shared" ca="1" si="0"/>
        <v>#REF!</v>
      </c>
      <c r="F11" s="416" t="e">
        <f t="shared" ca="1" si="0"/>
        <v>#REF!</v>
      </c>
      <c r="G11" s="406" t="e">
        <f t="shared" ca="1" si="0"/>
        <v>#REF!</v>
      </c>
      <c r="H11" s="417" t="e">
        <f t="shared" ca="1" si="0"/>
        <v>#REF!</v>
      </c>
      <c r="I11" s="418" t="e">
        <f t="shared" ca="1" si="0"/>
        <v>#REF!</v>
      </c>
      <c r="J11" s="418" t="e">
        <f t="shared" ca="1" si="0"/>
        <v>#REF!</v>
      </c>
      <c r="K11" s="408" t="e">
        <f t="shared" ca="1" si="0"/>
        <v>#REF!</v>
      </c>
      <c r="L11" s="414" t="e">
        <f t="shared" ca="1" si="0"/>
        <v>#REF!</v>
      </c>
      <c r="M11" s="415" t="e">
        <f t="shared" ca="1" si="0"/>
        <v>#REF!</v>
      </c>
      <c r="N11" s="416" t="e">
        <f t="shared" ca="1" si="0"/>
        <v>#REF!</v>
      </c>
      <c r="O11" s="406" t="e">
        <f t="shared" ca="1" si="0"/>
        <v>#REF!</v>
      </c>
      <c r="P11" s="417" t="e">
        <f t="shared" ca="1" si="0"/>
        <v>#REF!</v>
      </c>
      <c r="Q11" s="418" t="e">
        <f t="shared" ca="1" si="0"/>
        <v>#REF!</v>
      </c>
      <c r="R11" s="418" t="e">
        <f t="shared" ca="1" si="0"/>
        <v>#REF!</v>
      </c>
      <c r="S11" s="408" t="e">
        <f t="shared" ca="1" si="0"/>
        <v>#REF!</v>
      </c>
      <c r="T11" s="419" t="e">
        <f t="shared" ca="1" si="1"/>
        <v>#REF!</v>
      </c>
      <c r="U11" s="415" t="e">
        <f t="shared" ca="1" si="1"/>
        <v>#REF!</v>
      </c>
      <c r="V11" s="416" t="e">
        <f t="shared" ca="1" si="1"/>
        <v>#REF!</v>
      </c>
      <c r="W11" s="406" t="e">
        <f t="shared" ca="1" si="1"/>
        <v>#REF!</v>
      </c>
      <c r="X11" s="417" t="e">
        <f t="shared" ca="1" si="1"/>
        <v>#REF!</v>
      </c>
      <c r="Y11" s="418" t="e">
        <f t="shared" ca="1" si="1"/>
        <v>#REF!</v>
      </c>
      <c r="Z11" s="418" t="e">
        <f t="shared" ca="1" si="1"/>
        <v>#REF!</v>
      </c>
      <c r="AA11" s="408" t="e">
        <f t="shared" ca="1" si="1"/>
        <v>#REF!</v>
      </c>
      <c r="AB11" s="413" t="e">
        <f t="shared" ca="1" si="5"/>
        <v>#REF!</v>
      </c>
      <c r="AC11" s="420" t="e">
        <f t="shared" ca="1" si="2"/>
        <v>#REF!</v>
      </c>
      <c r="AD11" s="421" t="e">
        <f t="shared" ca="1" si="6"/>
        <v>#REF!</v>
      </c>
      <c r="AE11" s="215"/>
    </row>
    <row r="12" spans="1:31" s="412" customFormat="1">
      <c r="A12" s="413" t="e">
        <f t="shared" ca="1" si="3"/>
        <v>#REF!</v>
      </c>
      <c r="B12" s="402">
        <v>6</v>
      </c>
      <c r="C12" s="401" t="e">
        <f t="shared" ca="1" si="4"/>
        <v>#REF!</v>
      </c>
      <c r="D12" s="414" t="e">
        <f t="shared" ca="1" si="0"/>
        <v>#REF!</v>
      </c>
      <c r="E12" s="415" t="e">
        <f t="shared" ca="1" si="0"/>
        <v>#REF!</v>
      </c>
      <c r="F12" s="416" t="e">
        <f t="shared" ca="1" si="0"/>
        <v>#REF!</v>
      </c>
      <c r="G12" s="406" t="e">
        <f t="shared" ca="1" si="0"/>
        <v>#REF!</v>
      </c>
      <c r="H12" s="417" t="e">
        <f t="shared" ca="1" si="0"/>
        <v>#REF!</v>
      </c>
      <c r="I12" s="418" t="e">
        <f t="shared" ca="1" si="0"/>
        <v>#REF!</v>
      </c>
      <c r="J12" s="418" t="e">
        <f t="shared" ca="1" si="0"/>
        <v>#REF!</v>
      </c>
      <c r="K12" s="408" t="e">
        <f t="shared" ca="1" si="0"/>
        <v>#REF!</v>
      </c>
      <c r="L12" s="414" t="e">
        <f t="shared" ca="1" si="0"/>
        <v>#REF!</v>
      </c>
      <c r="M12" s="415" t="e">
        <f t="shared" ca="1" si="0"/>
        <v>#REF!</v>
      </c>
      <c r="N12" s="416" t="e">
        <f t="shared" ca="1" si="0"/>
        <v>#REF!</v>
      </c>
      <c r="O12" s="406" t="e">
        <f t="shared" ca="1" si="0"/>
        <v>#REF!</v>
      </c>
      <c r="P12" s="417" t="e">
        <f t="shared" ca="1" si="0"/>
        <v>#REF!</v>
      </c>
      <c r="Q12" s="418" t="e">
        <f t="shared" ca="1" si="0"/>
        <v>#REF!</v>
      </c>
      <c r="R12" s="418" t="e">
        <f t="shared" ca="1" si="0"/>
        <v>#REF!</v>
      </c>
      <c r="S12" s="408" t="e">
        <f t="shared" ca="1" si="0"/>
        <v>#REF!</v>
      </c>
      <c r="T12" s="419" t="e">
        <f t="shared" ca="1" si="1"/>
        <v>#REF!</v>
      </c>
      <c r="U12" s="415" t="e">
        <f t="shared" ca="1" si="1"/>
        <v>#REF!</v>
      </c>
      <c r="V12" s="416" t="e">
        <f t="shared" ca="1" si="1"/>
        <v>#REF!</v>
      </c>
      <c r="W12" s="406" t="e">
        <f t="shared" ca="1" si="1"/>
        <v>#REF!</v>
      </c>
      <c r="X12" s="417" t="e">
        <f t="shared" ca="1" si="1"/>
        <v>#REF!</v>
      </c>
      <c r="Y12" s="418" t="e">
        <f t="shared" ca="1" si="1"/>
        <v>#REF!</v>
      </c>
      <c r="Z12" s="418" t="e">
        <f t="shared" ca="1" si="1"/>
        <v>#REF!</v>
      </c>
      <c r="AA12" s="408" t="e">
        <f t="shared" ca="1" si="1"/>
        <v>#REF!</v>
      </c>
      <c r="AB12" s="413" t="e">
        <f t="shared" ca="1" si="5"/>
        <v>#REF!</v>
      </c>
      <c r="AC12" s="420" t="e">
        <f t="shared" ca="1" si="2"/>
        <v>#REF!</v>
      </c>
      <c r="AD12" s="421" t="e">
        <f t="shared" ca="1" si="6"/>
        <v>#REF!</v>
      </c>
      <c r="AE12" s="215"/>
    </row>
    <row r="13" spans="1:31" s="412" customFormat="1">
      <c r="A13" s="413" t="e">
        <f t="shared" ca="1" si="3"/>
        <v>#REF!</v>
      </c>
      <c r="B13" s="402">
        <v>7</v>
      </c>
      <c r="C13" s="401" t="e">
        <f t="shared" ca="1" si="4"/>
        <v>#REF!</v>
      </c>
      <c r="D13" s="414" t="e">
        <f t="shared" ca="1" si="0"/>
        <v>#REF!</v>
      </c>
      <c r="E13" s="415" t="e">
        <f t="shared" ca="1" si="0"/>
        <v>#REF!</v>
      </c>
      <c r="F13" s="416" t="e">
        <f t="shared" ca="1" si="0"/>
        <v>#REF!</v>
      </c>
      <c r="G13" s="406" t="e">
        <f t="shared" ca="1" si="0"/>
        <v>#REF!</v>
      </c>
      <c r="H13" s="417" t="e">
        <f t="shared" ca="1" si="0"/>
        <v>#REF!</v>
      </c>
      <c r="I13" s="418" t="e">
        <f t="shared" ca="1" si="0"/>
        <v>#REF!</v>
      </c>
      <c r="J13" s="418" t="e">
        <f t="shared" ca="1" si="0"/>
        <v>#REF!</v>
      </c>
      <c r="K13" s="408" t="e">
        <f t="shared" ca="1" si="0"/>
        <v>#REF!</v>
      </c>
      <c r="L13" s="414" t="e">
        <f t="shared" ca="1" si="0"/>
        <v>#REF!</v>
      </c>
      <c r="M13" s="415" t="e">
        <f t="shared" ca="1" si="0"/>
        <v>#REF!</v>
      </c>
      <c r="N13" s="416" t="e">
        <f t="shared" ca="1" si="0"/>
        <v>#REF!</v>
      </c>
      <c r="O13" s="406" t="e">
        <f t="shared" ca="1" si="0"/>
        <v>#REF!</v>
      </c>
      <c r="P13" s="417" t="e">
        <f t="shared" ca="1" si="0"/>
        <v>#REF!</v>
      </c>
      <c r="Q13" s="418" t="e">
        <f t="shared" ca="1" si="0"/>
        <v>#REF!</v>
      </c>
      <c r="R13" s="418" t="e">
        <f t="shared" ca="1" si="0"/>
        <v>#REF!</v>
      </c>
      <c r="S13" s="408" t="e">
        <f t="shared" ca="1" si="0"/>
        <v>#REF!</v>
      </c>
      <c r="T13" s="419" t="e">
        <f t="shared" ca="1" si="1"/>
        <v>#REF!</v>
      </c>
      <c r="U13" s="415" t="e">
        <f t="shared" ca="1" si="1"/>
        <v>#REF!</v>
      </c>
      <c r="V13" s="416" t="e">
        <f t="shared" ca="1" si="1"/>
        <v>#REF!</v>
      </c>
      <c r="W13" s="406" t="e">
        <f t="shared" ca="1" si="1"/>
        <v>#REF!</v>
      </c>
      <c r="X13" s="417" t="e">
        <f t="shared" ca="1" si="1"/>
        <v>#REF!</v>
      </c>
      <c r="Y13" s="418" t="e">
        <f t="shared" ca="1" si="1"/>
        <v>#REF!</v>
      </c>
      <c r="Z13" s="418" t="e">
        <f t="shared" ca="1" si="1"/>
        <v>#REF!</v>
      </c>
      <c r="AA13" s="408" t="e">
        <f t="shared" ca="1" si="1"/>
        <v>#REF!</v>
      </c>
      <c r="AB13" s="413" t="e">
        <f t="shared" ca="1" si="5"/>
        <v>#REF!</v>
      </c>
      <c r="AC13" s="420" t="e">
        <f t="shared" ca="1" si="2"/>
        <v>#REF!</v>
      </c>
      <c r="AD13" s="421" t="e">
        <f t="shared" ca="1" si="6"/>
        <v>#REF!</v>
      </c>
      <c r="AE13" s="215"/>
    </row>
    <row r="14" spans="1:31" s="412" customFormat="1">
      <c r="A14" s="413" t="e">
        <f t="shared" ca="1" si="3"/>
        <v>#REF!</v>
      </c>
      <c r="B14" s="402">
        <v>8</v>
      </c>
      <c r="C14" s="401" t="e">
        <f t="shared" ca="1" si="4"/>
        <v>#REF!</v>
      </c>
      <c r="D14" s="414" t="e">
        <f t="shared" ca="1" si="0"/>
        <v>#REF!</v>
      </c>
      <c r="E14" s="415" t="e">
        <f t="shared" ca="1" si="0"/>
        <v>#REF!</v>
      </c>
      <c r="F14" s="416" t="e">
        <f t="shared" ca="1" si="0"/>
        <v>#REF!</v>
      </c>
      <c r="G14" s="406" t="e">
        <f t="shared" ca="1" si="0"/>
        <v>#REF!</v>
      </c>
      <c r="H14" s="417" t="e">
        <f t="shared" ca="1" si="0"/>
        <v>#REF!</v>
      </c>
      <c r="I14" s="418" t="e">
        <f t="shared" ca="1" si="0"/>
        <v>#REF!</v>
      </c>
      <c r="J14" s="418" t="e">
        <f t="shared" ca="1" si="0"/>
        <v>#REF!</v>
      </c>
      <c r="K14" s="408" t="e">
        <f t="shared" ca="1" si="0"/>
        <v>#REF!</v>
      </c>
      <c r="L14" s="414" t="e">
        <f t="shared" ca="1" si="0"/>
        <v>#REF!</v>
      </c>
      <c r="M14" s="415" t="e">
        <f t="shared" ca="1" si="0"/>
        <v>#REF!</v>
      </c>
      <c r="N14" s="416" t="e">
        <f t="shared" ca="1" si="0"/>
        <v>#REF!</v>
      </c>
      <c r="O14" s="406" t="e">
        <f t="shared" ca="1" si="0"/>
        <v>#REF!</v>
      </c>
      <c r="P14" s="417" t="e">
        <f t="shared" ca="1" si="0"/>
        <v>#REF!</v>
      </c>
      <c r="Q14" s="418" t="e">
        <f t="shared" ca="1" si="0"/>
        <v>#REF!</v>
      </c>
      <c r="R14" s="418" t="e">
        <f t="shared" ca="1" si="0"/>
        <v>#REF!</v>
      </c>
      <c r="S14" s="408" t="e">
        <f t="shared" ca="1" si="0"/>
        <v>#REF!</v>
      </c>
      <c r="T14" s="419" t="e">
        <f t="shared" ca="1" si="1"/>
        <v>#REF!</v>
      </c>
      <c r="U14" s="415" t="e">
        <f t="shared" ca="1" si="1"/>
        <v>#REF!</v>
      </c>
      <c r="V14" s="416" t="e">
        <f t="shared" ca="1" si="1"/>
        <v>#REF!</v>
      </c>
      <c r="W14" s="406" t="e">
        <f t="shared" ca="1" si="1"/>
        <v>#REF!</v>
      </c>
      <c r="X14" s="417" t="e">
        <f t="shared" ca="1" si="1"/>
        <v>#REF!</v>
      </c>
      <c r="Y14" s="418" t="e">
        <f t="shared" ca="1" si="1"/>
        <v>#REF!</v>
      </c>
      <c r="Z14" s="418" t="e">
        <f t="shared" ca="1" si="1"/>
        <v>#REF!</v>
      </c>
      <c r="AA14" s="408" t="e">
        <f t="shared" ca="1" si="1"/>
        <v>#REF!</v>
      </c>
      <c r="AB14" s="413" t="e">
        <f t="shared" ca="1" si="5"/>
        <v>#REF!</v>
      </c>
      <c r="AC14" s="420" t="e">
        <f t="shared" ca="1" si="2"/>
        <v>#REF!</v>
      </c>
      <c r="AD14" s="421" t="e">
        <f t="shared" ca="1" si="6"/>
        <v>#REF!</v>
      </c>
      <c r="AE14" s="215"/>
    </row>
    <row r="15" spans="1:31" s="412" customFormat="1">
      <c r="A15" s="413" t="e">
        <f t="shared" ca="1" si="3"/>
        <v>#REF!</v>
      </c>
      <c r="B15" s="402">
        <v>9</v>
      </c>
      <c r="C15" s="401" t="e">
        <f t="shared" ca="1" si="4"/>
        <v>#REF!</v>
      </c>
      <c r="D15" s="414" t="e">
        <f t="shared" ca="1" si="0"/>
        <v>#REF!</v>
      </c>
      <c r="E15" s="415" t="e">
        <f t="shared" ca="1" si="0"/>
        <v>#REF!</v>
      </c>
      <c r="F15" s="416" t="e">
        <f t="shared" ca="1" si="0"/>
        <v>#REF!</v>
      </c>
      <c r="G15" s="406" t="e">
        <f t="shared" ca="1" si="0"/>
        <v>#REF!</v>
      </c>
      <c r="H15" s="417" t="e">
        <f t="shared" ca="1" si="0"/>
        <v>#REF!</v>
      </c>
      <c r="I15" s="418" t="e">
        <f t="shared" ca="1" si="0"/>
        <v>#REF!</v>
      </c>
      <c r="J15" s="418" t="e">
        <f t="shared" ca="1" si="0"/>
        <v>#REF!</v>
      </c>
      <c r="K15" s="408" t="e">
        <f t="shared" ca="1" si="0"/>
        <v>#REF!</v>
      </c>
      <c r="L15" s="414" t="e">
        <f t="shared" ca="1" si="0"/>
        <v>#REF!</v>
      </c>
      <c r="M15" s="415" t="e">
        <f t="shared" ca="1" si="0"/>
        <v>#REF!</v>
      </c>
      <c r="N15" s="416" t="e">
        <f t="shared" ca="1" si="0"/>
        <v>#REF!</v>
      </c>
      <c r="O15" s="406" t="e">
        <f t="shared" ca="1" si="0"/>
        <v>#REF!</v>
      </c>
      <c r="P15" s="417" t="e">
        <f t="shared" ca="1" si="0"/>
        <v>#REF!</v>
      </c>
      <c r="Q15" s="418" t="e">
        <f t="shared" ca="1" si="0"/>
        <v>#REF!</v>
      </c>
      <c r="R15" s="418" t="e">
        <f t="shared" ca="1" si="0"/>
        <v>#REF!</v>
      </c>
      <c r="S15" s="408" t="e">
        <f t="shared" ca="1" si="0"/>
        <v>#REF!</v>
      </c>
      <c r="T15" s="419" t="e">
        <f t="shared" ca="1" si="1"/>
        <v>#REF!</v>
      </c>
      <c r="U15" s="415" t="e">
        <f t="shared" ca="1" si="1"/>
        <v>#REF!</v>
      </c>
      <c r="V15" s="416" t="e">
        <f t="shared" ca="1" si="1"/>
        <v>#REF!</v>
      </c>
      <c r="W15" s="406" t="e">
        <f t="shared" ca="1" si="1"/>
        <v>#REF!</v>
      </c>
      <c r="X15" s="417" t="e">
        <f t="shared" ca="1" si="1"/>
        <v>#REF!</v>
      </c>
      <c r="Y15" s="418" t="e">
        <f t="shared" ca="1" si="1"/>
        <v>#REF!</v>
      </c>
      <c r="Z15" s="418" t="e">
        <f t="shared" ca="1" si="1"/>
        <v>#REF!</v>
      </c>
      <c r="AA15" s="408" t="e">
        <f t="shared" ca="1" si="1"/>
        <v>#REF!</v>
      </c>
      <c r="AB15" s="413" t="e">
        <f t="shared" ca="1" si="5"/>
        <v>#REF!</v>
      </c>
      <c r="AC15" s="420" t="e">
        <f t="shared" ca="1" si="2"/>
        <v>#REF!</v>
      </c>
      <c r="AD15" s="421" t="e">
        <f t="shared" ca="1" si="6"/>
        <v>#REF!</v>
      </c>
      <c r="AE15" s="215"/>
    </row>
    <row r="16" spans="1:31" s="412" customFormat="1">
      <c r="A16" s="413" t="e">
        <f t="shared" ca="1" si="3"/>
        <v>#REF!</v>
      </c>
      <c r="B16" s="402">
        <v>10</v>
      </c>
      <c r="C16" s="401" t="e">
        <f t="shared" ca="1" si="4"/>
        <v>#REF!</v>
      </c>
      <c r="D16" s="414" t="e">
        <f t="shared" ca="1" si="0"/>
        <v>#REF!</v>
      </c>
      <c r="E16" s="415" t="e">
        <f t="shared" ca="1" si="0"/>
        <v>#REF!</v>
      </c>
      <c r="F16" s="416" t="e">
        <f t="shared" ca="1" si="0"/>
        <v>#REF!</v>
      </c>
      <c r="G16" s="406" t="e">
        <f t="shared" ca="1" si="0"/>
        <v>#REF!</v>
      </c>
      <c r="H16" s="417" t="e">
        <f t="shared" ca="1" si="0"/>
        <v>#REF!</v>
      </c>
      <c r="I16" s="418" t="e">
        <f t="shared" ca="1" si="0"/>
        <v>#REF!</v>
      </c>
      <c r="J16" s="418" t="e">
        <f t="shared" ca="1" si="0"/>
        <v>#REF!</v>
      </c>
      <c r="K16" s="408" t="e">
        <f t="shared" ca="1" si="0"/>
        <v>#REF!</v>
      </c>
      <c r="L16" s="414" t="e">
        <f t="shared" ca="1" si="0"/>
        <v>#REF!</v>
      </c>
      <c r="M16" s="415" t="e">
        <f t="shared" ca="1" si="0"/>
        <v>#REF!</v>
      </c>
      <c r="N16" s="416" t="e">
        <f t="shared" ca="1" si="0"/>
        <v>#REF!</v>
      </c>
      <c r="O16" s="406" t="e">
        <f t="shared" ca="1" si="0"/>
        <v>#REF!</v>
      </c>
      <c r="P16" s="417" t="e">
        <f t="shared" ca="1" si="0"/>
        <v>#REF!</v>
      </c>
      <c r="Q16" s="418" t="e">
        <f t="shared" ca="1" si="0"/>
        <v>#REF!</v>
      </c>
      <c r="R16" s="418" t="e">
        <f t="shared" ca="1" si="0"/>
        <v>#REF!</v>
      </c>
      <c r="S16" s="408" t="e">
        <f t="shared" ca="1" si="0"/>
        <v>#REF!</v>
      </c>
      <c r="T16" s="419" t="e">
        <f t="shared" ca="1" si="1"/>
        <v>#REF!</v>
      </c>
      <c r="U16" s="415" t="e">
        <f t="shared" ca="1" si="1"/>
        <v>#REF!</v>
      </c>
      <c r="V16" s="416" t="e">
        <f t="shared" ca="1" si="1"/>
        <v>#REF!</v>
      </c>
      <c r="W16" s="406" t="e">
        <f t="shared" ca="1" si="1"/>
        <v>#REF!</v>
      </c>
      <c r="X16" s="417" t="e">
        <f t="shared" ca="1" si="1"/>
        <v>#REF!</v>
      </c>
      <c r="Y16" s="418" t="e">
        <f t="shared" ca="1" si="1"/>
        <v>#REF!</v>
      </c>
      <c r="Z16" s="418" t="e">
        <f t="shared" ca="1" si="1"/>
        <v>#REF!</v>
      </c>
      <c r="AA16" s="408" t="e">
        <f t="shared" ca="1" si="1"/>
        <v>#REF!</v>
      </c>
      <c r="AB16" s="413" t="e">
        <f t="shared" ca="1" si="5"/>
        <v>#REF!</v>
      </c>
      <c r="AC16" s="420" t="e">
        <f t="shared" ca="1" si="2"/>
        <v>#REF!</v>
      </c>
      <c r="AD16" s="421" t="e">
        <f t="shared" ca="1" si="6"/>
        <v>#REF!</v>
      </c>
      <c r="AE16" s="215"/>
    </row>
    <row r="17" spans="1:59" s="412" customFormat="1">
      <c r="A17" s="413" t="e">
        <f t="shared" ca="1" si="3"/>
        <v>#REF!</v>
      </c>
      <c r="B17" s="402">
        <v>11</v>
      </c>
      <c r="C17" s="401" t="e">
        <f t="shared" ca="1" si="4"/>
        <v>#REF!</v>
      </c>
      <c r="D17" s="414" t="e">
        <f t="shared" ca="1" si="0"/>
        <v>#REF!</v>
      </c>
      <c r="E17" s="415" t="e">
        <f t="shared" ca="1" si="0"/>
        <v>#REF!</v>
      </c>
      <c r="F17" s="416" t="e">
        <f t="shared" ca="1" si="0"/>
        <v>#REF!</v>
      </c>
      <c r="G17" s="406" t="e">
        <f t="shared" ca="1" si="0"/>
        <v>#REF!</v>
      </c>
      <c r="H17" s="417" t="e">
        <f t="shared" ca="1" si="0"/>
        <v>#REF!</v>
      </c>
      <c r="I17" s="418" t="e">
        <f t="shared" ca="1" si="0"/>
        <v>#REF!</v>
      </c>
      <c r="J17" s="418" t="e">
        <f t="shared" ca="1" si="0"/>
        <v>#REF!</v>
      </c>
      <c r="K17" s="408" t="e">
        <f t="shared" ca="1" si="0"/>
        <v>#REF!</v>
      </c>
      <c r="L17" s="414" t="e">
        <f t="shared" ca="1" si="0"/>
        <v>#REF!</v>
      </c>
      <c r="M17" s="415" t="e">
        <f t="shared" ca="1" si="0"/>
        <v>#REF!</v>
      </c>
      <c r="N17" s="416" t="e">
        <f t="shared" ca="1" si="0"/>
        <v>#REF!</v>
      </c>
      <c r="O17" s="406" t="e">
        <f t="shared" ca="1" si="0"/>
        <v>#REF!</v>
      </c>
      <c r="P17" s="417" t="e">
        <f t="shared" ca="1" si="0"/>
        <v>#REF!</v>
      </c>
      <c r="Q17" s="418" t="e">
        <f t="shared" ca="1" si="0"/>
        <v>#REF!</v>
      </c>
      <c r="R17" s="418" t="e">
        <f t="shared" ca="1" si="0"/>
        <v>#REF!</v>
      </c>
      <c r="S17" s="408" t="e">
        <f t="shared" ca="1" si="0"/>
        <v>#REF!</v>
      </c>
      <c r="T17" s="419" t="e">
        <f t="shared" ca="1" si="1"/>
        <v>#REF!</v>
      </c>
      <c r="U17" s="415" t="e">
        <f t="shared" ca="1" si="1"/>
        <v>#REF!</v>
      </c>
      <c r="V17" s="416" t="e">
        <f t="shared" ca="1" si="1"/>
        <v>#REF!</v>
      </c>
      <c r="W17" s="406" t="e">
        <f t="shared" ca="1" si="1"/>
        <v>#REF!</v>
      </c>
      <c r="X17" s="417" t="e">
        <f t="shared" ca="1" si="1"/>
        <v>#REF!</v>
      </c>
      <c r="Y17" s="418" t="e">
        <f t="shared" ca="1" si="1"/>
        <v>#REF!</v>
      </c>
      <c r="Z17" s="418" t="e">
        <f t="shared" ca="1" si="1"/>
        <v>#REF!</v>
      </c>
      <c r="AA17" s="408" t="e">
        <f t="shared" ca="1" si="1"/>
        <v>#REF!</v>
      </c>
      <c r="AB17" s="413" t="e">
        <f t="shared" ca="1" si="5"/>
        <v>#REF!</v>
      </c>
      <c r="AC17" s="420" t="e">
        <f t="shared" ca="1" si="2"/>
        <v>#REF!</v>
      </c>
      <c r="AD17" s="421" t="e">
        <f t="shared" ca="1" si="6"/>
        <v>#REF!</v>
      </c>
      <c r="AE17" s="215"/>
    </row>
    <row r="18" spans="1:59" s="412" customFormat="1">
      <c r="A18" s="413" t="e">
        <f t="shared" ca="1" si="3"/>
        <v>#REF!</v>
      </c>
      <c r="B18" s="402">
        <v>12</v>
      </c>
      <c r="C18" s="401" t="e">
        <f t="shared" ca="1" si="4"/>
        <v>#REF!</v>
      </c>
      <c r="D18" s="414" t="e">
        <f t="shared" ca="1" si="0"/>
        <v>#REF!</v>
      </c>
      <c r="E18" s="415" t="e">
        <f t="shared" ca="1" si="0"/>
        <v>#REF!</v>
      </c>
      <c r="F18" s="416" t="e">
        <f t="shared" ca="1" si="0"/>
        <v>#REF!</v>
      </c>
      <c r="G18" s="406" t="e">
        <f t="shared" ca="1" si="0"/>
        <v>#REF!</v>
      </c>
      <c r="H18" s="417" t="e">
        <f t="shared" ca="1" si="0"/>
        <v>#REF!</v>
      </c>
      <c r="I18" s="418" t="e">
        <f t="shared" ca="1" si="0"/>
        <v>#REF!</v>
      </c>
      <c r="J18" s="418" t="e">
        <f t="shared" ca="1" si="0"/>
        <v>#REF!</v>
      </c>
      <c r="K18" s="408" t="e">
        <f t="shared" ca="1" si="0"/>
        <v>#REF!</v>
      </c>
      <c r="L18" s="414" t="e">
        <f t="shared" ca="1" si="0"/>
        <v>#REF!</v>
      </c>
      <c r="M18" s="415" t="e">
        <f t="shared" ca="1" si="0"/>
        <v>#REF!</v>
      </c>
      <c r="N18" s="416" t="e">
        <f t="shared" ca="1" si="0"/>
        <v>#REF!</v>
      </c>
      <c r="O18" s="406" t="e">
        <f t="shared" ca="1" si="0"/>
        <v>#REF!</v>
      </c>
      <c r="P18" s="417" t="e">
        <f t="shared" ca="1" si="0"/>
        <v>#REF!</v>
      </c>
      <c r="Q18" s="418" t="e">
        <f t="shared" ca="1" si="0"/>
        <v>#REF!</v>
      </c>
      <c r="R18" s="418" t="e">
        <f t="shared" ca="1" si="0"/>
        <v>#REF!</v>
      </c>
      <c r="S18" s="408" t="e">
        <f t="shared" ca="1" si="0"/>
        <v>#REF!</v>
      </c>
      <c r="T18" s="419" t="e">
        <f t="shared" ca="1" si="1"/>
        <v>#REF!</v>
      </c>
      <c r="U18" s="415" t="e">
        <f t="shared" ca="1" si="1"/>
        <v>#REF!</v>
      </c>
      <c r="V18" s="416" t="e">
        <f t="shared" ca="1" si="1"/>
        <v>#REF!</v>
      </c>
      <c r="W18" s="406" t="e">
        <f t="shared" ca="1" si="1"/>
        <v>#REF!</v>
      </c>
      <c r="X18" s="417" t="e">
        <f t="shared" ca="1" si="1"/>
        <v>#REF!</v>
      </c>
      <c r="Y18" s="418" t="e">
        <f t="shared" ca="1" si="1"/>
        <v>#REF!</v>
      </c>
      <c r="Z18" s="418" t="e">
        <f t="shared" ca="1" si="1"/>
        <v>#REF!</v>
      </c>
      <c r="AA18" s="408" t="e">
        <f t="shared" ca="1" si="1"/>
        <v>#REF!</v>
      </c>
      <c r="AB18" s="413" t="e">
        <f t="shared" ca="1" si="5"/>
        <v>#REF!</v>
      </c>
      <c r="AC18" s="420" t="e">
        <f t="shared" ca="1" si="2"/>
        <v>#REF!</v>
      </c>
      <c r="AD18" s="421" t="e">
        <f t="shared" ca="1" si="6"/>
        <v>#REF!</v>
      </c>
      <c r="AE18" s="215"/>
    </row>
    <row r="19" spans="1:59" s="412" customFormat="1">
      <c r="A19" s="413" t="e">
        <f t="shared" ca="1" si="3"/>
        <v>#REF!</v>
      </c>
      <c r="B19" s="402">
        <v>13</v>
      </c>
      <c r="C19" s="401" t="e">
        <f t="shared" ca="1" si="4"/>
        <v>#REF!</v>
      </c>
      <c r="D19" s="414" t="e">
        <f t="shared" ca="1" si="0"/>
        <v>#REF!</v>
      </c>
      <c r="E19" s="415" t="e">
        <f t="shared" ca="1" si="0"/>
        <v>#REF!</v>
      </c>
      <c r="F19" s="416" t="e">
        <f t="shared" ca="1" si="0"/>
        <v>#REF!</v>
      </c>
      <c r="G19" s="406" t="e">
        <f t="shared" ca="1" si="0"/>
        <v>#REF!</v>
      </c>
      <c r="H19" s="417" t="e">
        <f t="shared" ca="1" si="0"/>
        <v>#REF!</v>
      </c>
      <c r="I19" s="418" t="e">
        <f t="shared" ca="1" si="0"/>
        <v>#REF!</v>
      </c>
      <c r="J19" s="418" t="e">
        <f t="shared" ca="1" si="0"/>
        <v>#REF!</v>
      </c>
      <c r="K19" s="408" t="e">
        <f t="shared" ca="1" si="0"/>
        <v>#REF!</v>
      </c>
      <c r="L19" s="414" t="e">
        <f t="shared" ca="1" si="0"/>
        <v>#REF!</v>
      </c>
      <c r="M19" s="415" t="e">
        <f t="shared" ca="1" si="0"/>
        <v>#REF!</v>
      </c>
      <c r="N19" s="416" t="e">
        <f t="shared" ca="1" si="0"/>
        <v>#REF!</v>
      </c>
      <c r="O19" s="406" t="e">
        <f t="shared" ca="1" si="0"/>
        <v>#REF!</v>
      </c>
      <c r="P19" s="417" t="e">
        <f t="shared" ca="1" si="0"/>
        <v>#REF!</v>
      </c>
      <c r="Q19" s="418" t="e">
        <f t="shared" ca="1" si="0"/>
        <v>#REF!</v>
      </c>
      <c r="R19" s="418" t="e">
        <f t="shared" ca="1" si="0"/>
        <v>#REF!</v>
      </c>
      <c r="S19" s="408" t="e">
        <f t="shared" ca="1" si="0"/>
        <v>#REF!</v>
      </c>
      <c r="T19" s="419" t="e">
        <f t="shared" ca="1" si="1"/>
        <v>#REF!</v>
      </c>
      <c r="U19" s="415" t="e">
        <f t="shared" ca="1" si="1"/>
        <v>#REF!</v>
      </c>
      <c r="V19" s="416" t="e">
        <f t="shared" ca="1" si="1"/>
        <v>#REF!</v>
      </c>
      <c r="W19" s="406" t="e">
        <f t="shared" ca="1" si="1"/>
        <v>#REF!</v>
      </c>
      <c r="X19" s="417" t="e">
        <f t="shared" ca="1" si="1"/>
        <v>#REF!</v>
      </c>
      <c r="Y19" s="418" t="e">
        <f t="shared" ca="1" si="1"/>
        <v>#REF!</v>
      </c>
      <c r="Z19" s="418" t="e">
        <f t="shared" ca="1" si="1"/>
        <v>#REF!</v>
      </c>
      <c r="AA19" s="408" t="e">
        <f t="shared" ca="1" si="1"/>
        <v>#REF!</v>
      </c>
      <c r="AB19" s="413" t="e">
        <f t="shared" ca="1" si="5"/>
        <v>#REF!</v>
      </c>
      <c r="AC19" s="420" t="e">
        <f t="shared" ca="1" si="2"/>
        <v>#REF!</v>
      </c>
      <c r="AD19" s="421" t="e">
        <f t="shared" ca="1" si="6"/>
        <v>#REF!</v>
      </c>
      <c r="AE19" s="215"/>
    </row>
    <row r="20" spans="1:59" s="412" customFormat="1">
      <c r="A20" s="413" t="e">
        <f t="shared" ca="1" si="3"/>
        <v>#REF!</v>
      </c>
      <c r="B20" s="402">
        <v>14</v>
      </c>
      <c r="C20" s="401" t="e">
        <f t="shared" ca="1" si="4"/>
        <v>#REF!</v>
      </c>
      <c r="D20" s="414" t="e">
        <f t="shared" ca="1" si="0"/>
        <v>#REF!</v>
      </c>
      <c r="E20" s="415" t="e">
        <f t="shared" ca="1" si="0"/>
        <v>#REF!</v>
      </c>
      <c r="F20" s="416" t="e">
        <f t="shared" ca="1" si="0"/>
        <v>#REF!</v>
      </c>
      <c r="G20" s="406" t="e">
        <f t="shared" ca="1" si="0"/>
        <v>#REF!</v>
      </c>
      <c r="H20" s="417" t="e">
        <f t="shared" ca="1" si="0"/>
        <v>#REF!</v>
      </c>
      <c r="I20" s="418" t="e">
        <f t="shared" ca="1" si="0"/>
        <v>#REF!</v>
      </c>
      <c r="J20" s="418" t="e">
        <f t="shared" ca="1" si="0"/>
        <v>#REF!</v>
      </c>
      <c r="K20" s="408" t="e">
        <f t="shared" ca="1" si="0"/>
        <v>#REF!</v>
      </c>
      <c r="L20" s="414" t="e">
        <f t="shared" ca="1" si="0"/>
        <v>#REF!</v>
      </c>
      <c r="M20" s="415" t="e">
        <f t="shared" ca="1" si="0"/>
        <v>#REF!</v>
      </c>
      <c r="N20" s="416" t="e">
        <f t="shared" ca="1" si="0"/>
        <v>#REF!</v>
      </c>
      <c r="O20" s="406" t="e">
        <f t="shared" ca="1" si="0"/>
        <v>#REF!</v>
      </c>
      <c r="P20" s="417" t="e">
        <f t="shared" ca="1" si="0"/>
        <v>#REF!</v>
      </c>
      <c r="Q20" s="418" t="e">
        <f t="shared" ca="1" si="0"/>
        <v>#REF!</v>
      </c>
      <c r="R20" s="418" t="e">
        <f t="shared" ca="1" si="0"/>
        <v>#REF!</v>
      </c>
      <c r="S20" s="408" t="e">
        <f t="shared" ca="1" si="0"/>
        <v>#REF!</v>
      </c>
      <c r="T20" s="419" t="e">
        <f t="shared" ca="1" si="1"/>
        <v>#REF!</v>
      </c>
      <c r="U20" s="415" t="e">
        <f t="shared" ca="1" si="1"/>
        <v>#REF!</v>
      </c>
      <c r="V20" s="416" t="e">
        <f t="shared" ca="1" si="1"/>
        <v>#REF!</v>
      </c>
      <c r="W20" s="406" t="e">
        <f t="shared" ca="1" si="1"/>
        <v>#REF!</v>
      </c>
      <c r="X20" s="417" t="e">
        <f t="shared" ca="1" si="1"/>
        <v>#REF!</v>
      </c>
      <c r="Y20" s="418" t="e">
        <f t="shared" ca="1" si="1"/>
        <v>#REF!</v>
      </c>
      <c r="Z20" s="418" t="e">
        <f t="shared" ca="1" si="1"/>
        <v>#REF!</v>
      </c>
      <c r="AA20" s="408" t="e">
        <f t="shared" ca="1" si="1"/>
        <v>#REF!</v>
      </c>
      <c r="AB20" s="413" t="e">
        <f t="shared" ca="1" si="5"/>
        <v>#REF!</v>
      </c>
      <c r="AC20" s="420" t="e">
        <f t="shared" ca="1" si="2"/>
        <v>#REF!</v>
      </c>
      <c r="AD20" s="421" t="e">
        <f t="shared" ca="1" si="6"/>
        <v>#REF!</v>
      </c>
      <c r="AE20" s="215"/>
    </row>
    <row r="21" spans="1:59" s="412" customFormat="1">
      <c r="A21" s="413" t="e">
        <f t="shared" ca="1" si="3"/>
        <v>#REF!</v>
      </c>
      <c r="B21" s="402">
        <v>15</v>
      </c>
      <c r="C21" s="401" t="e">
        <f t="shared" ca="1" si="4"/>
        <v>#REF!</v>
      </c>
      <c r="D21" s="414" t="e">
        <f t="shared" ca="1" si="0"/>
        <v>#REF!</v>
      </c>
      <c r="E21" s="415" t="e">
        <f t="shared" ca="1" si="0"/>
        <v>#REF!</v>
      </c>
      <c r="F21" s="416" t="e">
        <f t="shared" ca="1" si="0"/>
        <v>#REF!</v>
      </c>
      <c r="G21" s="406" t="e">
        <f t="shared" ca="1" si="0"/>
        <v>#REF!</v>
      </c>
      <c r="H21" s="417" t="e">
        <f t="shared" ca="1" si="0"/>
        <v>#REF!</v>
      </c>
      <c r="I21" s="418" t="e">
        <f t="shared" ca="1" si="0"/>
        <v>#REF!</v>
      </c>
      <c r="J21" s="418" t="e">
        <f t="shared" ca="1" si="0"/>
        <v>#REF!</v>
      </c>
      <c r="K21" s="408" t="e">
        <f t="shared" ca="1" si="0"/>
        <v>#REF!</v>
      </c>
      <c r="L21" s="414" t="e">
        <f t="shared" ca="1" si="0"/>
        <v>#REF!</v>
      </c>
      <c r="M21" s="415" t="e">
        <f t="shared" ca="1" si="0"/>
        <v>#REF!</v>
      </c>
      <c r="N21" s="416" t="e">
        <f t="shared" ca="1" si="0"/>
        <v>#REF!</v>
      </c>
      <c r="O21" s="406" t="e">
        <f t="shared" ca="1" si="0"/>
        <v>#REF!</v>
      </c>
      <c r="P21" s="417" t="e">
        <f t="shared" ca="1" si="0"/>
        <v>#REF!</v>
      </c>
      <c r="Q21" s="418" t="e">
        <f t="shared" ca="1" si="0"/>
        <v>#REF!</v>
      </c>
      <c r="R21" s="418" t="e">
        <f t="shared" ca="1" si="0"/>
        <v>#REF!</v>
      </c>
      <c r="S21" s="408" t="e">
        <f t="shared" ca="1" si="0"/>
        <v>#REF!</v>
      </c>
      <c r="T21" s="419" t="e">
        <f t="shared" ca="1" si="1"/>
        <v>#REF!</v>
      </c>
      <c r="U21" s="415" t="e">
        <f t="shared" ca="1" si="1"/>
        <v>#REF!</v>
      </c>
      <c r="V21" s="416" t="e">
        <f t="shared" ca="1" si="1"/>
        <v>#REF!</v>
      </c>
      <c r="W21" s="406" t="e">
        <f t="shared" ca="1" si="1"/>
        <v>#REF!</v>
      </c>
      <c r="X21" s="417" t="e">
        <f t="shared" ca="1" si="1"/>
        <v>#REF!</v>
      </c>
      <c r="Y21" s="418" t="e">
        <f t="shared" ca="1" si="1"/>
        <v>#REF!</v>
      </c>
      <c r="Z21" s="418" t="e">
        <f t="shared" ca="1" si="1"/>
        <v>#REF!</v>
      </c>
      <c r="AA21" s="408" t="e">
        <f t="shared" ca="1" si="1"/>
        <v>#REF!</v>
      </c>
      <c r="AB21" s="413" t="e">
        <f t="shared" ca="1" si="5"/>
        <v>#REF!</v>
      </c>
      <c r="AC21" s="420" t="e">
        <f t="shared" ca="1" si="2"/>
        <v>#REF!</v>
      </c>
      <c r="AD21" s="421" t="e">
        <f t="shared" ca="1" si="6"/>
        <v>#REF!</v>
      </c>
      <c r="AE21" s="215"/>
    </row>
    <row r="22" spans="1:59" s="412" customFormat="1">
      <c r="A22" s="413" t="e">
        <f t="shared" ca="1" si="3"/>
        <v>#REF!</v>
      </c>
      <c r="B22" s="402">
        <v>16</v>
      </c>
      <c r="C22" s="401" t="e">
        <f t="shared" ca="1" si="4"/>
        <v>#REF!</v>
      </c>
      <c r="D22" s="414" t="e">
        <f t="shared" ca="1" si="0"/>
        <v>#REF!</v>
      </c>
      <c r="E22" s="415" t="e">
        <f t="shared" ca="1" si="0"/>
        <v>#REF!</v>
      </c>
      <c r="F22" s="416" t="e">
        <f t="shared" ca="1" si="0"/>
        <v>#REF!</v>
      </c>
      <c r="G22" s="406" t="e">
        <f t="shared" ca="1" si="0"/>
        <v>#REF!</v>
      </c>
      <c r="H22" s="417" t="e">
        <f t="shared" ca="1" si="0"/>
        <v>#REF!</v>
      </c>
      <c r="I22" s="418" t="e">
        <f t="shared" ca="1" si="0"/>
        <v>#REF!</v>
      </c>
      <c r="J22" s="418" t="e">
        <f t="shared" ca="1" si="0"/>
        <v>#REF!</v>
      </c>
      <c r="K22" s="408" t="e">
        <f t="shared" ca="1" si="0"/>
        <v>#REF!</v>
      </c>
      <c r="L22" s="414" t="e">
        <f t="shared" ca="1" si="0"/>
        <v>#REF!</v>
      </c>
      <c r="M22" s="415" t="e">
        <f t="shared" ca="1" si="0"/>
        <v>#REF!</v>
      </c>
      <c r="N22" s="416" t="e">
        <f t="shared" ca="1" si="0"/>
        <v>#REF!</v>
      </c>
      <c r="O22" s="406" t="e">
        <f t="shared" ca="1" si="0"/>
        <v>#REF!</v>
      </c>
      <c r="P22" s="417" t="e">
        <f t="shared" ca="1" si="0"/>
        <v>#REF!</v>
      </c>
      <c r="Q22" s="418" t="e">
        <f t="shared" ca="1" si="0"/>
        <v>#REF!</v>
      </c>
      <c r="R22" s="418" t="e">
        <f t="shared" ca="1" si="0"/>
        <v>#REF!</v>
      </c>
      <c r="S22" s="408" t="e">
        <f t="shared" ref="S22:AA26" ca="1" si="7">VLOOKUP($AB22,$B$35:$AD$61,S$34,FALSE)</f>
        <v>#REF!</v>
      </c>
      <c r="T22" s="419" t="e">
        <f t="shared" ca="1" si="7"/>
        <v>#REF!</v>
      </c>
      <c r="U22" s="415" t="e">
        <f t="shared" ca="1" si="7"/>
        <v>#REF!</v>
      </c>
      <c r="V22" s="416" t="e">
        <f t="shared" ca="1" si="7"/>
        <v>#REF!</v>
      </c>
      <c r="W22" s="406" t="e">
        <f t="shared" ca="1" si="7"/>
        <v>#REF!</v>
      </c>
      <c r="X22" s="417" t="e">
        <f t="shared" ca="1" si="7"/>
        <v>#REF!</v>
      </c>
      <c r="Y22" s="418" t="e">
        <f t="shared" ca="1" si="7"/>
        <v>#REF!</v>
      </c>
      <c r="Z22" s="418" t="e">
        <f t="shared" ca="1" si="7"/>
        <v>#REF!</v>
      </c>
      <c r="AA22" s="408" t="e">
        <f t="shared" ca="1" si="7"/>
        <v>#REF!</v>
      </c>
      <c r="AB22" s="413" t="e">
        <f t="shared" ca="1" si="5"/>
        <v>#REF!</v>
      </c>
      <c r="AC22" s="420" t="e">
        <f t="shared" ca="1" si="2"/>
        <v>#REF!</v>
      </c>
      <c r="AD22" s="421" t="e">
        <f t="shared" ca="1" si="6"/>
        <v>#REF!</v>
      </c>
      <c r="AE22" s="215"/>
    </row>
    <row r="23" spans="1:59" s="412" customFormat="1">
      <c r="A23" s="413" t="e">
        <f t="shared" ca="1" si="3"/>
        <v>#REF!</v>
      </c>
      <c r="B23" s="402">
        <v>17</v>
      </c>
      <c r="C23" s="401" t="e">
        <f t="shared" ca="1" si="4"/>
        <v>#REF!</v>
      </c>
      <c r="D23" s="414" t="e">
        <f t="shared" ref="D23:S26" ca="1" si="8">VLOOKUP($AB23,$B$35:$AD$61,D$34,FALSE)</f>
        <v>#REF!</v>
      </c>
      <c r="E23" s="415" t="e">
        <f t="shared" ca="1" si="8"/>
        <v>#REF!</v>
      </c>
      <c r="F23" s="416" t="e">
        <f t="shared" ca="1" si="8"/>
        <v>#REF!</v>
      </c>
      <c r="G23" s="406" t="e">
        <f t="shared" ca="1" si="8"/>
        <v>#REF!</v>
      </c>
      <c r="H23" s="417" t="e">
        <f t="shared" ca="1" si="8"/>
        <v>#REF!</v>
      </c>
      <c r="I23" s="418" t="e">
        <f t="shared" ca="1" si="8"/>
        <v>#REF!</v>
      </c>
      <c r="J23" s="418" t="e">
        <f t="shared" ca="1" si="8"/>
        <v>#REF!</v>
      </c>
      <c r="K23" s="408" t="e">
        <f t="shared" ca="1" si="8"/>
        <v>#REF!</v>
      </c>
      <c r="L23" s="414" t="e">
        <f t="shared" ca="1" si="8"/>
        <v>#REF!</v>
      </c>
      <c r="M23" s="415" t="e">
        <f t="shared" ca="1" si="8"/>
        <v>#REF!</v>
      </c>
      <c r="N23" s="416" t="e">
        <f t="shared" ca="1" si="8"/>
        <v>#REF!</v>
      </c>
      <c r="O23" s="406" t="e">
        <f t="shared" ca="1" si="8"/>
        <v>#REF!</v>
      </c>
      <c r="P23" s="417" t="e">
        <f t="shared" ca="1" si="8"/>
        <v>#REF!</v>
      </c>
      <c r="Q23" s="418" t="e">
        <f t="shared" ca="1" si="8"/>
        <v>#REF!</v>
      </c>
      <c r="R23" s="418" t="e">
        <f t="shared" ca="1" si="8"/>
        <v>#REF!</v>
      </c>
      <c r="S23" s="408" t="e">
        <f t="shared" ca="1" si="8"/>
        <v>#REF!</v>
      </c>
      <c r="T23" s="419" t="e">
        <f t="shared" ca="1" si="7"/>
        <v>#REF!</v>
      </c>
      <c r="U23" s="415" t="e">
        <f t="shared" ca="1" si="7"/>
        <v>#REF!</v>
      </c>
      <c r="V23" s="416" t="e">
        <f t="shared" ca="1" si="7"/>
        <v>#REF!</v>
      </c>
      <c r="W23" s="406" t="e">
        <f t="shared" ca="1" si="7"/>
        <v>#REF!</v>
      </c>
      <c r="X23" s="422" t="e">
        <f t="shared" ca="1" si="7"/>
        <v>#REF!</v>
      </c>
      <c r="Y23" s="423" t="e">
        <f t="shared" ca="1" si="7"/>
        <v>#REF!</v>
      </c>
      <c r="Z23" s="423" t="e">
        <f t="shared" ca="1" si="7"/>
        <v>#REF!</v>
      </c>
      <c r="AA23" s="424" t="e">
        <f t="shared" ca="1" si="7"/>
        <v>#REF!</v>
      </c>
      <c r="AB23" s="425" t="e">
        <f t="shared" ca="1" si="5"/>
        <v>#REF!</v>
      </c>
      <c r="AC23" s="426" t="e">
        <f t="shared" ca="1" si="2"/>
        <v>#REF!</v>
      </c>
      <c r="AD23" s="427" t="e">
        <f t="shared" ca="1" si="6"/>
        <v>#REF!</v>
      </c>
      <c r="AE23" s="230"/>
      <c r="AF23" s="428"/>
      <c r="AG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28"/>
      <c r="AS23" s="428"/>
      <c r="AT23" s="428"/>
      <c r="AU23" s="428"/>
      <c r="AV23" s="428"/>
      <c r="AW23" s="428"/>
      <c r="AX23" s="428"/>
      <c r="AY23" s="428"/>
      <c r="AZ23" s="428"/>
      <c r="BA23" s="428"/>
      <c r="BB23" s="428"/>
      <c r="BC23" s="428"/>
      <c r="BD23" s="428"/>
      <c r="BE23" s="428"/>
      <c r="BF23" s="428"/>
      <c r="BG23" s="428"/>
    </row>
    <row r="24" spans="1:59" s="412" customFormat="1">
      <c r="A24" s="413" t="e">
        <f t="shared" ca="1" si="3"/>
        <v>#REF!</v>
      </c>
      <c r="B24" s="402">
        <v>18</v>
      </c>
      <c r="C24" s="401" t="e">
        <f t="shared" ca="1" si="4"/>
        <v>#REF!</v>
      </c>
      <c r="D24" s="414" t="e">
        <f t="shared" ca="1" si="8"/>
        <v>#REF!</v>
      </c>
      <c r="E24" s="415" t="e">
        <f t="shared" ca="1" si="8"/>
        <v>#REF!</v>
      </c>
      <c r="F24" s="416" t="e">
        <f t="shared" ca="1" si="8"/>
        <v>#REF!</v>
      </c>
      <c r="G24" s="406" t="e">
        <f t="shared" ca="1" si="8"/>
        <v>#REF!</v>
      </c>
      <c r="H24" s="417" t="e">
        <f t="shared" ca="1" si="8"/>
        <v>#REF!</v>
      </c>
      <c r="I24" s="418" t="e">
        <f t="shared" ca="1" si="8"/>
        <v>#REF!</v>
      </c>
      <c r="J24" s="418" t="e">
        <f t="shared" ca="1" si="8"/>
        <v>#REF!</v>
      </c>
      <c r="K24" s="408" t="e">
        <f t="shared" ca="1" si="8"/>
        <v>#REF!</v>
      </c>
      <c r="L24" s="414" t="e">
        <f t="shared" ca="1" si="8"/>
        <v>#REF!</v>
      </c>
      <c r="M24" s="415" t="e">
        <f t="shared" ca="1" si="8"/>
        <v>#REF!</v>
      </c>
      <c r="N24" s="416" t="e">
        <f t="shared" ca="1" si="8"/>
        <v>#REF!</v>
      </c>
      <c r="O24" s="406" t="e">
        <f t="shared" ca="1" si="8"/>
        <v>#REF!</v>
      </c>
      <c r="P24" s="417" t="e">
        <f t="shared" ca="1" si="8"/>
        <v>#REF!</v>
      </c>
      <c r="Q24" s="418" t="e">
        <f t="shared" ca="1" si="8"/>
        <v>#REF!</v>
      </c>
      <c r="R24" s="418" t="e">
        <f t="shared" ca="1" si="8"/>
        <v>#REF!</v>
      </c>
      <c r="S24" s="408" t="e">
        <f t="shared" ca="1" si="8"/>
        <v>#REF!</v>
      </c>
      <c r="T24" s="419" t="e">
        <f t="shared" ca="1" si="7"/>
        <v>#REF!</v>
      </c>
      <c r="U24" s="415" t="e">
        <f t="shared" ca="1" si="7"/>
        <v>#REF!</v>
      </c>
      <c r="V24" s="416" t="e">
        <f t="shared" ca="1" si="7"/>
        <v>#REF!</v>
      </c>
      <c r="W24" s="406" t="e">
        <f t="shared" ca="1" si="7"/>
        <v>#REF!</v>
      </c>
      <c r="X24" s="422" t="e">
        <f t="shared" ca="1" si="7"/>
        <v>#REF!</v>
      </c>
      <c r="Y24" s="423" t="e">
        <f t="shared" ca="1" si="7"/>
        <v>#REF!</v>
      </c>
      <c r="Z24" s="423" t="e">
        <f t="shared" ca="1" si="7"/>
        <v>#REF!</v>
      </c>
      <c r="AA24" s="424" t="e">
        <f t="shared" ca="1" si="7"/>
        <v>#REF!</v>
      </c>
      <c r="AB24" s="425" t="e">
        <f t="shared" ca="1" si="5"/>
        <v>#REF!</v>
      </c>
      <c r="AC24" s="426" t="e">
        <f t="shared" ca="1" si="2"/>
        <v>#REF!</v>
      </c>
      <c r="AD24" s="427" t="e">
        <f t="shared" ca="1" si="6"/>
        <v>#REF!</v>
      </c>
      <c r="AE24" s="230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28"/>
      <c r="AS24" s="428"/>
      <c r="AT24" s="428"/>
      <c r="AU24" s="428"/>
      <c r="AV24" s="428"/>
      <c r="AW24" s="428"/>
      <c r="AX24" s="428"/>
      <c r="AY24" s="428"/>
      <c r="AZ24" s="428"/>
      <c r="BA24" s="428"/>
      <c r="BB24" s="428"/>
      <c r="BC24" s="428"/>
      <c r="BD24" s="428"/>
      <c r="BE24" s="428"/>
      <c r="BF24" s="428"/>
      <c r="BG24" s="428"/>
    </row>
    <row r="25" spans="1:59" s="412" customFormat="1">
      <c r="A25" s="413" t="e">
        <f t="shared" ca="1" si="3"/>
        <v>#REF!</v>
      </c>
      <c r="B25" s="402">
        <v>19</v>
      </c>
      <c r="C25" s="401" t="e">
        <f t="shared" ca="1" si="4"/>
        <v>#REF!</v>
      </c>
      <c r="D25" s="414" t="e">
        <f t="shared" ca="1" si="8"/>
        <v>#REF!</v>
      </c>
      <c r="E25" s="415" t="e">
        <f t="shared" ca="1" si="8"/>
        <v>#REF!</v>
      </c>
      <c r="F25" s="416" t="e">
        <f t="shared" ca="1" si="8"/>
        <v>#REF!</v>
      </c>
      <c r="G25" s="406" t="e">
        <f t="shared" ca="1" si="8"/>
        <v>#REF!</v>
      </c>
      <c r="H25" s="417" t="e">
        <f t="shared" ca="1" si="8"/>
        <v>#REF!</v>
      </c>
      <c r="I25" s="418" t="e">
        <f t="shared" ca="1" si="8"/>
        <v>#REF!</v>
      </c>
      <c r="J25" s="418" t="e">
        <f t="shared" ca="1" si="8"/>
        <v>#REF!</v>
      </c>
      <c r="K25" s="408" t="e">
        <f t="shared" ca="1" si="8"/>
        <v>#REF!</v>
      </c>
      <c r="L25" s="414" t="e">
        <f t="shared" ca="1" si="8"/>
        <v>#REF!</v>
      </c>
      <c r="M25" s="415" t="e">
        <f t="shared" ca="1" si="8"/>
        <v>#REF!</v>
      </c>
      <c r="N25" s="416" t="e">
        <f t="shared" ca="1" si="8"/>
        <v>#REF!</v>
      </c>
      <c r="O25" s="406" t="e">
        <f t="shared" ca="1" si="8"/>
        <v>#REF!</v>
      </c>
      <c r="P25" s="417" t="e">
        <f t="shared" ca="1" si="8"/>
        <v>#REF!</v>
      </c>
      <c r="Q25" s="418" t="e">
        <f t="shared" ca="1" si="8"/>
        <v>#REF!</v>
      </c>
      <c r="R25" s="418" t="e">
        <f t="shared" ca="1" si="8"/>
        <v>#REF!</v>
      </c>
      <c r="S25" s="408" t="e">
        <f t="shared" ca="1" si="8"/>
        <v>#REF!</v>
      </c>
      <c r="T25" s="419" t="e">
        <f t="shared" ca="1" si="7"/>
        <v>#REF!</v>
      </c>
      <c r="U25" s="415" t="e">
        <f t="shared" ca="1" si="7"/>
        <v>#REF!</v>
      </c>
      <c r="V25" s="416" t="e">
        <f t="shared" ca="1" si="7"/>
        <v>#REF!</v>
      </c>
      <c r="W25" s="406" t="e">
        <f t="shared" ca="1" si="7"/>
        <v>#REF!</v>
      </c>
      <c r="X25" s="422" t="e">
        <f t="shared" ca="1" si="7"/>
        <v>#REF!</v>
      </c>
      <c r="Y25" s="423" t="e">
        <f t="shared" ca="1" si="7"/>
        <v>#REF!</v>
      </c>
      <c r="Z25" s="423" t="e">
        <f t="shared" ca="1" si="7"/>
        <v>#REF!</v>
      </c>
      <c r="AA25" s="424" t="e">
        <f t="shared" ca="1" si="7"/>
        <v>#REF!</v>
      </c>
      <c r="AB25" s="425" t="e">
        <f t="shared" ca="1" si="5"/>
        <v>#REF!</v>
      </c>
      <c r="AC25" s="426" t="e">
        <f t="shared" ca="1" si="2"/>
        <v>#REF!</v>
      </c>
      <c r="AD25" s="427" t="e">
        <f t="shared" ca="1" si="6"/>
        <v>#REF!</v>
      </c>
      <c r="AE25" s="230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28"/>
      <c r="AS25" s="428"/>
      <c r="AT25" s="428"/>
      <c r="AU25" s="428"/>
      <c r="AV25" s="428"/>
      <c r="AW25" s="428"/>
      <c r="AX25" s="428"/>
      <c r="AY25" s="428"/>
      <c r="AZ25" s="428"/>
      <c r="BA25" s="428"/>
      <c r="BB25" s="428"/>
      <c r="BC25" s="428"/>
      <c r="BD25" s="428"/>
      <c r="BE25" s="428"/>
      <c r="BF25" s="428"/>
      <c r="BG25" s="428"/>
    </row>
    <row r="26" spans="1:59" s="412" customFormat="1">
      <c r="A26" s="413" t="e">
        <f t="shared" ca="1" si="3"/>
        <v>#REF!</v>
      </c>
      <c r="B26" s="402">
        <v>20</v>
      </c>
      <c r="C26" s="401" t="e">
        <f t="shared" ca="1" si="4"/>
        <v>#REF!</v>
      </c>
      <c r="D26" s="414" t="e">
        <f t="shared" ca="1" si="8"/>
        <v>#REF!</v>
      </c>
      <c r="E26" s="415" t="e">
        <f t="shared" ca="1" si="8"/>
        <v>#REF!</v>
      </c>
      <c r="F26" s="416" t="e">
        <f t="shared" ca="1" si="8"/>
        <v>#REF!</v>
      </c>
      <c r="G26" s="406" t="e">
        <f t="shared" ca="1" si="8"/>
        <v>#REF!</v>
      </c>
      <c r="H26" s="417" t="e">
        <f t="shared" ca="1" si="8"/>
        <v>#REF!</v>
      </c>
      <c r="I26" s="418" t="e">
        <f t="shared" ca="1" si="8"/>
        <v>#REF!</v>
      </c>
      <c r="J26" s="418" t="e">
        <f t="shared" ca="1" si="8"/>
        <v>#REF!</v>
      </c>
      <c r="K26" s="408" t="e">
        <f t="shared" ca="1" si="8"/>
        <v>#REF!</v>
      </c>
      <c r="L26" s="414" t="e">
        <f t="shared" ca="1" si="8"/>
        <v>#REF!</v>
      </c>
      <c r="M26" s="415" t="e">
        <f t="shared" ca="1" si="8"/>
        <v>#REF!</v>
      </c>
      <c r="N26" s="416" t="e">
        <f t="shared" ca="1" si="8"/>
        <v>#REF!</v>
      </c>
      <c r="O26" s="406" t="e">
        <f t="shared" ca="1" si="8"/>
        <v>#REF!</v>
      </c>
      <c r="P26" s="417" t="e">
        <f t="shared" ca="1" si="8"/>
        <v>#REF!</v>
      </c>
      <c r="Q26" s="418" t="e">
        <f t="shared" ca="1" si="8"/>
        <v>#REF!</v>
      </c>
      <c r="R26" s="418" t="e">
        <f t="shared" ca="1" si="8"/>
        <v>#REF!</v>
      </c>
      <c r="S26" s="408" t="e">
        <f t="shared" ca="1" si="7"/>
        <v>#REF!</v>
      </c>
      <c r="T26" s="419" t="e">
        <f t="shared" ca="1" si="7"/>
        <v>#REF!</v>
      </c>
      <c r="U26" s="415" t="e">
        <f t="shared" ca="1" si="7"/>
        <v>#REF!</v>
      </c>
      <c r="V26" s="416" t="e">
        <f t="shared" ca="1" si="7"/>
        <v>#REF!</v>
      </c>
      <c r="W26" s="406" t="e">
        <f t="shared" ca="1" si="7"/>
        <v>#REF!</v>
      </c>
      <c r="X26" s="422" t="e">
        <f t="shared" ca="1" si="7"/>
        <v>#REF!</v>
      </c>
      <c r="Y26" s="423" t="e">
        <f t="shared" ca="1" si="7"/>
        <v>#REF!</v>
      </c>
      <c r="Z26" s="423" t="e">
        <f t="shared" ca="1" si="7"/>
        <v>#REF!</v>
      </c>
      <c r="AA26" s="424" t="e">
        <f t="shared" ca="1" si="7"/>
        <v>#REF!</v>
      </c>
      <c r="AB26" s="425" t="e">
        <f t="shared" ca="1" si="5"/>
        <v>#REF!</v>
      </c>
      <c r="AC26" s="426" t="e">
        <f t="shared" ca="1" si="2"/>
        <v>#REF!</v>
      </c>
      <c r="AD26" s="427" t="e">
        <f t="shared" ca="1" si="6"/>
        <v>#REF!</v>
      </c>
      <c r="AE26" s="230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28"/>
      <c r="AS26" s="428"/>
      <c r="AT26" s="428"/>
      <c r="AU26" s="428"/>
      <c r="AV26" s="428"/>
      <c r="AW26" s="428"/>
      <c r="AX26" s="428"/>
      <c r="AY26" s="428"/>
      <c r="AZ26" s="428"/>
      <c r="BA26" s="428"/>
      <c r="BB26" s="428"/>
      <c r="BC26" s="428"/>
      <c r="BD26" s="428"/>
      <c r="BE26" s="428"/>
      <c r="BF26" s="428"/>
      <c r="BG26" s="428"/>
    </row>
    <row r="27" spans="1:59" s="412" customFormat="1">
      <c r="A27" s="413"/>
      <c r="B27" s="402">
        <v>21</v>
      </c>
      <c r="C27" s="429"/>
      <c r="D27" s="414"/>
      <c r="E27" s="415"/>
      <c r="F27" s="416"/>
      <c r="G27" s="406"/>
      <c r="H27" s="417"/>
      <c r="I27" s="418"/>
      <c r="J27" s="418"/>
      <c r="K27" s="408"/>
      <c r="L27" s="414"/>
      <c r="M27" s="415"/>
      <c r="N27" s="416"/>
      <c r="O27" s="406"/>
      <c r="P27" s="417"/>
      <c r="Q27" s="418"/>
      <c r="R27" s="418"/>
      <c r="S27" s="408"/>
      <c r="T27" s="419"/>
      <c r="U27" s="415"/>
      <c r="V27" s="416"/>
      <c r="W27" s="406"/>
      <c r="X27" s="422"/>
      <c r="Y27" s="423"/>
      <c r="Z27" s="423"/>
      <c r="AA27" s="424"/>
      <c r="AB27" s="425"/>
      <c r="AC27" s="426"/>
      <c r="AD27" s="427"/>
      <c r="AE27" s="230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28"/>
      <c r="AS27" s="428"/>
      <c r="AT27" s="428"/>
      <c r="AU27" s="428"/>
      <c r="AV27" s="428"/>
      <c r="AW27" s="428"/>
      <c r="AX27" s="428"/>
      <c r="AY27" s="428"/>
      <c r="AZ27" s="428"/>
      <c r="BA27" s="428"/>
      <c r="BB27" s="428"/>
      <c r="BC27" s="428"/>
      <c r="BD27" s="428"/>
      <c r="BE27" s="428"/>
      <c r="BF27" s="428"/>
      <c r="BG27" s="428"/>
    </row>
    <row r="28" spans="1:59" s="412" customFormat="1">
      <c r="A28" s="413" t="e">
        <f ca="1">AC28</f>
        <v>#REF!</v>
      </c>
      <c r="B28" s="402">
        <v>22</v>
      </c>
      <c r="C28" s="429" t="e">
        <f t="shared" ref="C28:R30" ca="1" si="9">VLOOKUP($AB28,$B$35:$AD$61,C$34,FALSE)</f>
        <v>#REF!</v>
      </c>
      <c r="D28" s="414" t="e">
        <f t="shared" ca="1" si="9"/>
        <v>#REF!</v>
      </c>
      <c r="E28" s="415" t="e">
        <f t="shared" ca="1" si="9"/>
        <v>#REF!</v>
      </c>
      <c r="F28" s="416" t="e">
        <f t="shared" ca="1" si="9"/>
        <v>#REF!</v>
      </c>
      <c r="G28" s="406" t="e">
        <f t="shared" ca="1" si="9"/>
        <v>#REF!</v>
      </c>
      <c r="H28" s="417" t="e">
        <f t="shared" ca="1" si="9"/>
        <v>#REF!</v>
      </c>
      <c r="I28" s="418" t="e">
        <f t="shared" ca="1" si="9"/>
        <v>#REF!</v>
      </c>
      <c r="J28" s="418" t="e">
        <f t="shared" ca="1" si="9"/>
        <v>#REF!</v>
      </c>
      <c r="K28" s="408" t="e">
        <f t="shared" ca="1" si="9"/>
        <v>#REF!</v>
      </c>
      <c r="L28" s="414" t="e">
        <f t="shared" ca="1" si="9"/>
        <v>#REF!</v>
      </c>
      <c r="M28" s="415" t="e">
        <f t="shared" ca="1" si="9"/>
        <v>#REF!</v>
      </c>
      <c r="N28" s="416" t="e">
        <f t="shared" ca="1" si="9"/>
        <v>#REF!</v>
      </c>
      <c r="O28" s="406" t="e">
        <f t="shared" ca="1" si="9"/>
        <v>#REF!</v>
      </c>
      <c r="P28" s="417" t="e">
        <f t="shared" ca="1" si="9"/>
        <v>#REF!</v>
      </c>
      <c r="Q28" s="418" t="e">
        <f t="shared" ca="1" si="9"/>
        <v>#REF!</v>
      </c>
      <c r="R28" s="418" t="e">
        <f t="shared" ca="1" si="9"/>
        <v>#REF!</v>
      </c>
      <c r="S28" s="408" t="e">
        <f t="shared" ref="S28:AA30" ca="1" si="10">VLOOKUP($AB28,$B$35:$AD$61,S$34,FALSE)</f>
        <v>#REF!</v>
      </c>
      <c r="T28" s="419" t="e">
        <f t="shared" ca="1" si="10"/>
        <v>#REF!</v>
      </c>
      <c r="U28" s="415" t="e">
        <f t="shared" ca="1" si="10"/>
        <v>#REF!</v>
      </c>
      <c r="V28" s="416" t="e">
        <f t="shared" ca="1" si="10"/>
        <v>#REF!</v>
      </c>
      <c r="W28" s="406" t="e">
        <f t="shared" ca="1" si="10"/>
        <v>#REF!</v>
      </c>
      <c r="X28" s="422" t="e">
        <f t="shared" ca="1" si="10"/>
        <v>#REF!</v>
      </c>
      <c r="Y28" s="423" t="e">
        <f t="shared" ca="1" si="10"/>
        <v>#REF!</v>
      </c>
      <c r="Z28" s="423" t="e">
        <f t="shared" ca="1" si="10"/>
        <v>#REF!</v>
      </c>
      <c r="AA28" s="424" t="e">
        <f t="shared" ca="1" si="10"/>
        <v>#REF!</v>
      </c>
      <c r="AB28" s="425" t="e">
        <f ca="1">IF(B28&gt;$B$34,"",LARGE($B$38:$B$61,B28))</f>
        <v>#REF!</v>
      </c>
      <c r="AC28" s="426" t="e">
        <f ca="1">IF($AB28="","",VLOOKUP($AB28,$B$35:$AD$61,AC$34,FALSE))</f>
        <v>#REF!</v>
      </c>
      <c r="AD28" s="427" t="e">
        <f ca="1">VLOOKUP($AB28,$B$35:$AD$61,AD$34,FALSE)</f>
        <v>#REF!</v>
      </c>
      <c r="AE28" s="230"/>
      <c r="AF28" s="428"/>
      <c r="AG28" s="428"/>
      <c r="AH28" s="428"/>
      <c r="AI28" s="428"/>
      <c r="AJ28" s="428"/>
      <c r="AK28" s="428"/>
      <c r="AL28" s="428"/>
      <c r="AM28" s="428"/>
      <c r="AN28" s="428"/>
      <c r="AO28" s="428"/>
      <c r="AP28" s="428"/>
      <c r="AQ28" s="428"/>
      <c r="AR28" s="428"/>
      <c r="AS28" s="428"/>
      <c r="AT28" s="428"/>
      <c r="AU28" s="428"/>
      <c r="AV28" s="428"/>
      <c r="AW28" s="428"/>
      <c r="AX28" s="428"/>
      <c r="AY28" s="428"/>
      <c r="AZ28" s="428"/>
      <c r="BA28" s="428"/>
      <c r="BB28" s="428"/>
      <c r="BC28" s="428"/>
      <c r="BD28" s="428"/>
      <c r="BE28" s="428"/>
      <c r="BF28" s="428"/>
      <c r="BG28" s="428"/>
    </row>
    <row r="29" spans="1:59" s="412" customFormat="1">
      <c r="A29" s="413" t="str">
        <f>AC29</f>
        <v/>
      </c>
      <c r="B29" s="402">
        <v>23</v>
      </c>
      <c r="C29" s="429" t="str">
        <f t="shared" ca="1" si="9"/>
        <v/>
      </c>
      <c r="D29" s="414" t="str">
        <f t="shared" ca="1" si="9"/>
        <v/>
      </c>
      <c r="E29" s="415" t="str">
        <f t="shared" ca="1" si="9"/>
        <v/>
      </c>
      <c r="F29" s="416" t="str">
        <f t="shared" ca="1" si="9"/>
        <v/>
      </c>
      <c r="G29" s="406" t="str">
        <f t="shared" ca="1" si="9"/>
        <v/>
      </c>
      <c r="H29" s="417" t="str">
        <f t="shared" ca="1" si="9"/>
        <v/>
      </c>
      <c r="I29" s="418" t="str">
        <f t="shared" ca="1" si="9"/>
        <v/>
      </c>
      <c r="J29" s="418" t="str">
        <f t="shared" ca="1" si="9"/>
        <v/>
      </c>
      <c r="K29" s="408" t="str">
        <f t="shared" ca="1" si="9"/>
        <v/>
      </c>
      <c r="L29" s="414" t="str">
        <f t="shared" ca="1" si="9"/>
        <v/>
      </c>
      <c r="M29" s="415" t="str">
        <f t="shared" ca="1" si="9"/>
        <v/>
      </c>
      <c r="N29" s="416" t="str">
        <f t="shared" ca="1" si="9"/>
        <v/>
      </c>
      <c r="O29" s="406" t="str">
        <f t="shared" ca="1" si="9"/>
        <v/>
      </c>
      <c r="P29" s="417" t="str">
        <f t="shared" ca="1" si="9"/>
        <v/>
      </c>
      <c r="Q29" s="418" t="str">
        <f t="shared" ca="1" si="9"/>
        <v/>
      </c>
      <c r="R29" s="418" t="str">
        <f t="shared" ca="1" si="9"/>
        <v/>
      </c>
      <c r="S29" s="408" t="str">
        <f t="shared" ca="1" si="10"/>
        <v/>
      </c>
      <c r="T29" s="419" t="str">
        <f t="shared" ca="1" si="10"/>
        <v/>
      </c>
      <c r="U29" s="415" t="str">
        <f t="shared" ca="1" si="10"/>
        <v/>
      </c>
      <c r="V29" s="416" t="str">
        <f t="shared" ca="1" si="10"/>
        <v/>
      </c>
      <c r="W29" s="406" t="str">
        <f t="shared" ca="1" si="10"/>
        <v/>
      </c>
      <c r="X29" s="422" t="str">
        <f t="shared" ca="1" si="10"/>
        <v/>
      </c>
      <c r="Y29" s="423" t="str">
        <f t="shared" ca="1" si="10"/>
        <v/>
      </c>
      <c r="Z29" s="423" t="str">
        <f t="shared" ca="1" si="10"/>
        <v/>
      </c>
      <c r="AA29" s="424" t="str">
        <f t="shared" ca="1" si="10"/>
        <v/>
      </c>
      <c r="AB29" s="425" t="str">
        <f>IF(B29&gt;$B$34,"",LARGE($B$38:$B$61,B29))</f>
        <v/>
      </c>
      <c r="AC29" s="426" t="str">
        <f>IF($AB29="","",VLOOKUP($AB29,$B$35:$AD$61,AC$34,FALSE))</f>
        <v/>
      </c>
      <c r="AD29" s="427" t="str">
        <f ca="1">VLOOKUP($AB29,$B$35:$AD$61,AD$34,FALSE)</f>
        <v/>
      </c>
      <c r="AE29" s="230"/>
      <c r="AF29" s="428"/>
      <c r="AG29" s="428"/>
      <c r="AH29" s="428"/>
      <c r="AI29" s="428"/>
      <c r="AJ29" s="428"/>
      <c r="AK29" s="428"/>
      <c r="AL29" s="428"/>
      <c r="AM29" s="428"/>
      <c r="AN29" s="428"/>
      <c r="AO29" s="428"/>
      <c r="AP29" s="428"/>
      <c r="AQ29" s="428"/>
      <c r="AR29" s="428"/>
      <c r="AS29" s="428"/>
      <c r="AT29" s="428"/>
      <c r="AU29" s="428"/>
      <c r="AV29" s="428"/>
      <c r="AW29" s="428"/>
      <c r="AX29" s="428"/>
      <c r="AY29" s="428"/>
      <c r="AZ29" s="428"/>
      <c r="BA29" s="428"/>
      <c r="BB29" s="428"/>
      <c r="BC29" s="428"/>
      <c r="BD29" s="428"/>
      <c r="BE29" s="428"/>
      <c r="BF29" s="428"/>
      <c r="BG29" s="428"/>
    </row>
    <row r="30" spans="1:59" s="412" customFormat="1" ht="15" thickBot="1">
      <c r="A30" s="413" t="str">
        <f>AC30</f>
        <v/>
      </c>
      <c r="B30" s="402">
        <v>24</v>
      </c>
      <c r="C30" s="429" t="str">
        <f t="shared" ca="1" si="9"/>
        <v/>
      </c>
      <c r="D30" s="414" t="str">
        <f t="shared" ca="1" si="9"/>
        <v/>
      </c>
      <c r="E30" s="415" t="str">
        <f t="shared" ca="1" si="9"/>
        <v/>
      </c>
      <c r="F30" s="416" t="str">
        <f t="shared" ca="1" si="9"/>
        <v/>
      </c>
      <c r="G30" s="406" t="str">
        <f t="shared" ca="1" si="9"/>
        <v/>
      </c>
      <c r="H30" s="417" t="str">
        <f t="shared" ca="1" si="9"/>
        <v/>
      </c>
      <c r="I30" s="418" t="str">
        <f t="shared" ca="1" si="9"/>
        <v/>
      </c>
      <c r="J30" s="418" t="str">
        <f t="shared" ca="1" si="9"/>
        <v/>
      </c>
      <c r="K30" s="408" t="str">
        <f t="shared" ca="1" si="9"/>
        <v/>
      </c>
      <c r="L30" s="414" t="str">
        <f t="shared" ca="1" si="9"/>
        <v/>
      </c>
      <c r="M30" s="415" t="str">
        <f t="shared" ca="1" si="9"/>
        <v/>
      </c>
      <c r="N30" s="416" t="str">
        <f t="shared" ca="1" si="9"/>
        <v/>
      </c>
      <c r="O30" s="406" t="str">
        <f t="shared" ca="1" si="9"/>
        <v/>
      </c>
      <c r="P30" s="417" t="str">
        <f t="shared" ca="1" si="9"/>
        <v/>
      </c>
      <c r="Q30" s="418" t="str">
        <f t="shared" ca="1" si="9"/>
        <v/>
      </c>
      <c r="R30" s="418" t="str">
        <f t="shared" ca="1" si="9"/>
        <v/>
      </c>
      <c r="S30" s="408" t="str">
        <f t="shared" ca="1" si="10"/>
        <v/>
      </c>
      <c r="T30" s="419" t="str">
        <f t="shared" ca="1" si="10"/>
        <v/>
      </c>
      <c r="U30" s="415" t="str">
        <f t="shared" ca="1" si="10"/>
        <v/>
      </c>
      <c r="V30" s="416" t="str">
        <f t="shared" ca="1" si="10"/>
        <v/>
      </c>
      <c r="W30" s="406" t="str">
        <f t="shared" ca="1" si="10"/>
        <v/>
      </c>
      <c r="X30" s="422" t="str">
        <f t="shared" ca="1" si="10"/>
        <v/>
      </c>
      <c r="Y30" s="423" t="str">
        <f t="shared" ca="1" si="10"/>
        <v/>
      </c>
      <c r="Z30" s="423" t="str">
        <f t="shared" ca="1" si="10"/>
        <v/>
      </c>
      <c r="AA30" s="424" t="str">
        <f t="shared" ca="1" si="10"/>
        <v/>
      </c>
      <c r="AB30" s="425" t="str">
        <f>IF(B30&gt;$B$34,"",LARGE($B$38:$B$61,B30))</f>
        <v/>
      </c>
      <c r="AC30" s="426" t="str">
        <f>IF($AB30="","",VLOOKUP($AB30,$B$35:$AD$61,AC$34,FALSE))</f>
        <v/>
      </c>
      <c r="AD30" s="427" t="str">
        <f ca="1">VLOOKUP($AB30,$B$35:$AD$61,AD$34,FALSE)</f>
        <v/>
      </c>
      <c r="AE30" s="230"/>
      <c r="AF30" s="428"/>
      <c r="AG30" s="428"/>
      <c r="AH30" s="428"/>
      <c r="AI30" s="428"/>
      <c r="AJ30" s="428"/>
      <c r="AK30" s="428"/>
      <c r="AL30" s="428"/>
      <c r="AM30" s="428"/>
      <c r="AN30" s="428"/>
      <c r="AO30" s="428"/>
      <c r="AP30" s="428"/>
      <c r="AQ30" s="428"/>
      <c r="AR30" s="428"/>
      <c r="AS30" s="428"/>
      <c r="AT30" s="428"/>
      <c r="AU30" s="428"/>
      <c r="AV30" s="428"/>
      <c r="AW30" s="428"/>
      <c r="AX30" s="428"/>
      <c r="AY30" s="428"/>
      <c r="AZ30" s="428"/>
      <c r="BA30" s="428"/>
      <c r="BB30" s="428"/>
      <c r="BC30" s="428"/>
      <c r="BD30" s="428"/>
      <c r="BE30" s="428"/>
      <c r="BF30" s="428"/>
      <c r="BG30" s="428"/>
    </row>
    <row r="31" spans="1:59" s="412" customFormat="1" ht="15" thickBot="1">
      <c r="B31" s="430"/>
      <c r="C31" s="431" t="str">
        <f t="shared" ref="C31:AD31" si="11">C62</f>
        <v>Average</v>
      </c>
      <c r="D31" s="432" t="e">
        <f t="shared" ca="1" si="11"/>
        <v>#REF!</v>
      </c>
      <c r="E31" s="433" t="e">
        <f t="shared" ca="1" si="11"/>
        <v>#REF!</v>
      </c>
      <c r="F31" s="434" t="e">
        <f t="shared" ca="1" si="11"/>
        <v>#REF!</v>
      </c>
      <c r="G31" s="435" t="e">
        <f t="shared" ca="1" si="11"/>
        <v>#REF!</v>
      </c>
      <c r="H31" s="436" t="e">
        <f t="shared" ca="1" si="11"/>
        <v>#REF!</v>
      </c>
      <c r="I31" s="437" t="e">
        <f t="shared" si="11"/>
        <v>#DIV/0!</v>
      </c>
      <c r="J31" s="438" t="e">
        <f t="shared" si="11"/>
        <v>#DIV/0!</v>
      </c>
      <c r="K31" s="437" t="e">
        <f t="shared" ca="1" si="11"/>
        <v>#REF!</v>
      </c>
      <c r="L31" s="432" t="e">
        <f t="shared" ca="1" si="11"/>
        <v>#REF!</v>
      </c>
      <c r="M31" s="433" t="e">
        <f t="shared" ca="1" si="11"/>
        <v>#REF!</v>
      </c>
      <c r="N31" s="434" t="e">
        <f t="shared" ca="1" si="11"/>
        <v>#REF!</v>
      </c>
      <c r="O31" s="435" t="e">
        <f t="shared" ca="1" si="11"/>
        <v>#REF!</v>
      </c>
      <c r="P31" s="436" t="e">
        <f t="shared" ca="1" si="11"/>
        <v>#REF!</v>
      </c>
      <c r="Q31" s="437" t="e">
        <f t="shared" si="11"/>
        <v>#DIV/0!</v>
      </c>
      <c r="R31" s="438" t="e">
        <f t="shared" si="11"/>
        <v>#DIV/0!</v>
      </c>
      <c r="S31" s="439" t="e">
        <f t="shared" ca="1" si="11"/>
        <v>#REF!</v>
      </c>
      <c r="T31" s="432" t="e">
        <f t="shared" ca="1" si="11"/>
        <v>#REF!</v>
      </c>
      <c r="U31" s="433" t="e">
        <f ca="1">U62</f>
        <v>#REF!</v>
      </c>
      <c r="V31" s="434" t="e">
        <f t="shared" ca="1" si="11"/>
        <v>#REF!</v>
      </c>
      <c r="W31" s="435" t="e">
        <f t="shared" ca="1" si="11"/>
        <v>#REF!</v>
      </c>
      <c r="X31" s="440" t="e">
        <f t="shared" ca="1" si="11"/>
        <v>#REF!</v>
      </c>
      <c r="Y31" s="441">
        <f t="shared" si="11"/>
        <v>1.3633333333333333</v>
      </c>
      <c r="Z31" s="442">
        <f t="shared" si="11"/>
        <v>1.3633333333333333</v>
      </c>
      <c r="AA31" s="443">
        <f t="shared" si="11"/>
        <v>2.7266666666666666</v>
      </c>
      <c r="AB31" s="444"/>
      <c r="AC31" s="445"/>
      <c r="AD31" s="446">
        <f t="shared" si="11"/>
        <v>0.28666666666666668</v>
      </c>
      <c r="AE31" s="428"/>
      <c r="AF31" s="428"/>
      <c r="AG31" s="428"/>
      <c r="AH31" s="428"/>
      <c r="AI31" s="428"/>
      <c r="AJ31" s="428"/>
      <c r="AK31" s="428"/>
      <c r="AL31" s="428"/>
      <c r="AM31" s="428"/>
      <c r="AN31" s="428"/>
      <c r="AO31" s="428"/>
      <c r="AP31" s="428"/>
      <c r="AQ31" s="428"/>
      <c r="AR31" s="428"/>
      <c r="AS31" s="428"/>
      <c r="AT31" s="428"/>
      <c r="AU31" s="428"/>
      <c r="AV31" s="428"/>
      <c r="AW31" s="428"/>
      <c r="AX31" s="428"/>
      <c r="AY31" s="428"/>
      <c r="AZ31" s="428"/>
      <c r="BA31" s="428"/>
      <c r="BB31" s="428"/>
      <c r="BC31" s="428"/>
      <c r="BD31" s="428"/>
      <c r="BE31" s="428"/>
      <c r="BF31" s="428"/>
      <c r="BG31" s="428"/>
    </row>
    <row r="32" spans="1:59" s="412" customFormat="1" ht="15" thickTop="1">
      <c r="B32" s="402"/>
      <c r="C32" s="447"/>
      <c r="D32" s="448"/>
      <c r="E32" s="449"/>
      <c r="F32" s="448"/>
      <c r="G32" s="449"/>
      <c r="H32" s="448"/>
      <c r="I32" s="450"/>
      <c r="J32" s="450"/>
      <c r="K32" s="450"/>
      <c r="L32" s="448"/>
      <c r="M32" s="449"/>
      <c r="N32" s="448"/>
      <c r="O32" s="449"/>
      <c r="P32" s="448"/>
      <c r="Q32" s="450"/>
      <c r="R32" s="450"/>
      <c r="S32" s="450"/>
      <c r="T32" s="448"/>
      <c r="U32" s="449"/>
      <c r="V32" s="448"/>
      <c r="W32" s="449"/>
      <c r="X32" s="451"/>
      <c r="Y32" s="452"/>
      <c r="Z32" s="452"/>
      <c r="AA32" s="452"/>
      <c r="AB32" s="328"/>
      <c r="AC32" s="453"/>
      <c r="AD32" s="428"/>
      <c r="AE32" s="230"/>
      <c r="AF32" s="428"/>
      <c r="AG32" s="428"/>
      <c r="AH32" s="428"/>
      <c r="AI32" s="428"/>
      <c r="AJ32" s="428"/>
      <c r="AK32" s="428"/>
      <c r="AL32" s="428"/>
      <c r="AM32" s="428"/>
      <c r="AN32" s="428"/>
      <c r="AO32" s="428"/>
      <c r="AP32" s="428"/>
      <c r="AQ32" s="428"/>
      <c r="AR32" s="428"/>
      <c r="AS32" s="428"/>
      <c r="AT32" s="428"/>
      <c r="AU32" s="428"/>
      <c r="AV32" s="428"/>
      <c r="AW32" s="428"/>
      <c r="AX32" s="428"/>
      <c r="AY32" s="428"/>
      <c r="AZ32" s="428"/>
      <c r="BA32" s="428"/>
      <c r="BB32" s="428"/>
      <c r="BC32" s="428"/>
      <c r="BD32" s="428"/>
      <c r="BE32" s="428"/>
      <c r="BF32" s="428"/>
      <c r="BG32" s="428"/>
    </row>
    <row r="33" spans="1:59" ht="15" thickBot="1">
      <c r="A33" s="354" t="s">
        <v>93</v>
      </c>
      <c r="C33" s="354"/>
      <c r="X33" s="230"/>
      <c r="Y33" s="230"/>
      <c r="Z33" s="230"/>
      <c r="AA33" s="230"/>
      <c r="AB33" s="230"/>
      <c r="AC33" s="454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:59" s="357" customFormat="1" ht="15" thickBot="1">
      <c r="B34" s="455">
        <f>Table!C3</f>
        <v>22</v>
      </c>
      <c r="C34" s="357">
        <v>2</v>
      </c>
      <c r="D34" s="357">
        <v>3</v>
      </c>
      <c r="E34" s="357">
        <v>4</v>
      </c>
      <c r="F34" s="357">
        <v>5</v>
      </c>
      <c r="G34" s="357">
        <v>6</v>
      </c>
      <c r="H34" s="357">
        <v>7</v>
      </c>
      <c r="I34" s="357">
        <v>8</v>
      </c>
      <c r="J34" s="357">
        <v>9</v>
      </c>
      <c r="K34" s="357">
        <v>10</v>
      </c>
      <c r="L34" s="357">
        <v>11</v>
      </c>
      <c r="M34" s="357">
        <v>12</v>
      </c>
      <c r="N34" s="357">
        <v>13</v>
      </c>
      <c r="O34" s="357">
        <v>14</v>
      </c>
      <c r="P34" s="357">
        <v>15</v>
      </c>
      <c r="Q34" s="357">
        <v>16</v>
      </c>
      <c r="R34" s="357">
        <v>17</v>
      </c>
      <c r="S34" s="357">
        <v>18</v>
      </c>
      <c r="T34" s="357">
        <v>19</v>
      </c>
      <c r="U34" s="357">
        <v>20</v>
      </c>
      <c r="V34" s="357">
        <v>21</v>
      </c>
      <c r="W34" s="357">
        <v>22</v>
      </c>
      <c r="X34" s="456">
        <v>23</v>
      </c>
      <c r="Y34" s="456">
        <v>24</v>
      </c>
      <c r="Z34" s="456">
        <v>25</v>
      </c>
      <c r="AA34" s="456">
        <v>26</v>
      </c>
      <c r="AB34" s="456">
        <v>27</v>
      </c>
      <c r="AC34" s="456">
        <v>28</v>
      </c>
      <c r="AD34" s="456">
        <v>29</v>
      </c>
      <c r="AE34" s="230"/>
      <c r="AF34" s="456"/>
      <c r="AG34" s="456"/>
      <c r="AH34" s="456"/>
      <c r="AI34" s="456"/>
      <c r="AJ34" s="456"/>
      <c r="AK34" s="456"/>
      <c r="AL34" s="456"/>
      <c r="AM34" s="456"/>
      <c r="AN34" s="456"/>
      <c r="AO34" s="456"/>
      <c r="AP34" s="456"/>
      <c r="AQ34" s="456"/>
      <c r="AR34" s="456"/>
      <c r="AS34" s="456"/>
      <c r="AT34" s="456"/>
      <c r="AU34" s="456"/>
      <c r="AV34" s="456"/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</row>
    <row r="35" spans="1:59">
      <c r="A35" s="361" t="s">
        <v>59</v>
      </c>
      <c r="B35" s="362" t="s">
        <v>94</v>
      </c>
      <c r="C35" s="457"/>
      <c r="D35" s="364" t="s">
        <v>80</v>
      </c>
      <c r="E35" s="364"/>
      <c r="F35" s="365"/>
      <c r="G35" s="366"/>
      <c r="H35" s="367"/>
      <c r="I35" s="367"/>
      <c r="J35" s="367"/>
      <c r="K35" s="367"/>
      <c r="L35" s="368" t="s">
        <v>81</v>
      </c>
      <c r="M35" s="367"/>
      <c r="N35" s="365"/>
      <c r="O35" s="367"/>
      <c r="P35" s="367"/>
      <c r="Q35" s="367"/>
      <c r="R35" s="367"/>
      <c r="S35" s="366"/>
      <c r="T35" s="368" t="s">
        <v>82</v>
      </c>
      <c r="U35" s="367"/>
      <c r="V35" s="369"/>
      <c r="W35" s="367"/>
      <c r="X35" s="458"/>
      <c r="Y35" s="459"/>
      <c r="Z35" s="459"/>
      <c r="AA35" s="460"/>
      <c r="AB35" s="461"/>
      <c r="AC35" s="462" t="str">
        <f>A35</f>
        <v>Pos</v>
      </c>
      <c r="AD35" s="463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:59">
      <c r="A36" s="376"/>
      <c r="B36" s="362"/>
      <c r="C36" s="377" t="s">
        <v>84</v>
      </c>
      <c r="D36" s="378" t="s">
        <v>85</v>
      </c>
      <c r="E36" s="379"/>
      <c r="F36" s="380" t="s">
        <v>86</v>
      </c>
      <c r="G36" s="381"/>
      <c r="H36" s="382"/>
      <c r="I36" s="255" t="s">
        <v>87</v>
      </c>
      <c r="J36" s="255"/>
      <c r="K36" s="255"/>
      <c r="L36" s="378" t="s">
        <v>85</v>
      </c>
      <c r="M36" s="379"/>
      <c r="N36" s="380" t="s">
        <v>86</v>
      </c>
      <c r="O36" s="381"/>
      <c r="P36" s="382"/>
      <c r="Q36" s="383" t="s">
        <v>87</v>
      </c>
      <c r="R36" s="255"/>
      <c r="S36" s="384"/>
      <c r="T36" s="378" t="s">
        <v>85</v>
      </c>
      <c r="U36" s="379"/>
      <c r="V36" s="380" t="s">
        <v>86</v>
      </c>
      <c r="W36" s="381"/>
      <c r="X36" s="464"/>
      <c r="Y36" s="465" t="s">
        <v>87</v>
      </c>
      <c r="Z36" s="298"/>
      <c r="AA36" s="318"/>
      <c r="AB36" s="466" t="s">
        <v>95</v>
      </c>
      <c r="AC36" s="467"/>
      <c r="AD36" s="468" t="s">
        <v>88</v>
      </c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:59" ht="15" thickBot="1">
      <c r="A37" s="389"/>
      <c r="B37" s="362"/>
      <c r="C37" s="389"/>
      <c r="D37" s="390" t="s">
        <v>89</v>
      </c>
      <c r="E37" s="391" t="s">
        <v>90</v>
      </c>
      <c r="F37" s="392" t="s">
        <v>89</v>
      </c>
      <c r="G37" s="393" t="s">
        <v>91</v>
      </c>
      <c r="H37" s="394"/>
      <c r="I37" s="394" t="s">
        <v>17</v>
      </c>
      <c r="J37" s="394" t="s">
        <v>18</v>
      </c>
      <c r="K37" s="395" t="s">
        <v>96</v>
      </c>
      <c r="L37" s="390" t="s">
        <v>89</v>
      </c>
      <c r="M37" s="391" t="s">
        <v>90</v>
      </c>
      <c r="N37" s="392" t="s">
        <v>89</v>
      </c>
      <c r="O37" s="393" t="s">
        <v>91</v>
      </c>
      <c r="P37" s="394"/>
      <c r="Q37" s="396" t="s">
        <v>17</v>
      </c>
      <c r="R37" s="394" t="s">
        <v>18</v>
      </c>
      <c r="S37" s="395" t="s">
        <v>92</v>
      </c>
      <c r="T37" s="390" t="s">
        <v>89</v>
      </c>
      <c r="U37" s="391" t="s">
        <v>90</v>
      </c>
      <c r="V37" s="392" t="s">
        <v>89</v>
      </c>
      <c r="W37" s="397" t="s">
        <v>91</v>
      </c>
      <c r="X37" s="469"/>
      <c r="Y37" s="469" t="s">
        <v>17</v>
      </c>
      <c r="Z37" s="470" t="s">
        <v>18</v>
      </c>
      <c r="AA37" s="471" t="s">
        <v>92</v>
      </c>
      <c r="AB37" s="472"/>
      <c r="AC37" s="467"/>
      <c r="AD37" s="473" t="s">
        <v>90</v>
      </c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:59" s="412" customFormat="1">
      <c r="A38" s="401">
        <v>1</v>
      </c>
      <c r="B38" s="430">
        <f ca="1">IF(C38="","",AA38+U38/100-A38/10000000)</f>
        <v>2.2416665666666669</v>
      </c>
      <c r="C38" s="401" t="str">
        <f ca="1">VLOOKUP(A38,Table!A:C,2,FALSE)</f>
        <v>Shonan Bellmare</v>
      </c>
      <c r="D38" s="403">
        <f t="array" aca="1" ref="D38" ca="1">IF($C38="","",SUM(IF((INDIRECT("'"&amp;$AB38&amp;"'!I23:I200")=$B$2)*(INDIRECT("'"&amp;$AB38&amp;"'!H23:H200")="H")*(INDIRECT("'"&amp;$AB38&amp;"'!N23:N200")=D$36),1,0)))</f>
        <v>8</v>
      </c>
      <c r="E38" s="404">
        <f ca="1">IF($C38="","",D38/H38)</f>
        <v>0.38095238095238093</v>
      </c>
      <c r="F38" s="405">
        <f t="array" aca="1" ref="F38" ca="1">IF(C38="","",SUM(IF((INDIRECT("'"&amp;$AB38&amp;"'!I23:I200")=$B$2)*(INDIRECT("'"&amp;$AB38&amp;"'!H23:H200")="H")*(INDIRECT("'"&amp;$AB38&amp;"'!N23:N200")=F$36),1,0)))</f>
        <v>13</v>
      </c>
      <c r="G38" s="406">
        <f ca="1">IF($C38="","",F38/H38)</f>
        <v>0.61904761904761907</v>
      </c>
      <c r="H38" s="407">
        <f ca="1">IF($C38="","",D38+F38)</f>
        <v>21</v>
      </c>
      <c r="I38" s="418">
        <f t="array" aca="1" ref="I38" ca="1">IF($C38="","",VLOOKUP($A38,Table!$A:$AE,Table!H$6,FALSE)/$H38)</f>
        <v>1.5238095238095237</v>
      </c>
      <c r="J38" s="418">
        <f t="array" aca="1" ref="J38" ca="1">IF($C38="","",VLOOKUP($A38,Table!$A:$AE,Table!I$6,FALSE)/$H38)</f>
        <v>0.8571428571428571</v>
      </c>
      <c r="K38" s="408">
        <f ca="1">IF($C38="","",I38+J38)</f>
        <v>2.3809523809523809</v>
      </c>
      <c r="L38" s="403">
        <f t="array" aca="1" ref="L38" ca="1">IF(C38="","",SUM(IF((INDIRECT("'"&amp;$AB38&amp;"'!I23:I200")=$B$2)*(INDIRECT("'"&amp;$AB38&amp;"'!H23:H200")="A")*(INDIRECT("'"&amp;$AB38&amp;"'!N23:N200")=L$36),1,0)))</f>
        <v>7</v>
      </c>
      <c r="M38" s="404">
        <f ca="1">IF($C38="","",L38/P38)</f>
        <v>0.33333333333333331</v>
      </c>
      <c r="N38" s="405">
        <f t="array" aca="1" ref="N38" ca="1">IF($C38="","",SUM(IF((INDIRECT("'"&amp;$AB38&amp;"'!I23:I200")=$B$2)*(INDIRECT("'"&amp;$AB38&amp;"'!H23:H200")="A")*(INDIRECT("'"&amp;$AB38&amp;"'!N23:N200")=N$36),1,0)))</f>
        <v>14</v>
      </c>
      <c r="O38" s="406">
        <f ca="1">IF($C38="","",N38/P38)</f>
        <v>0.66666666666666663</v>
      </c>
      <c r="P38" s="407">
        <f ca="1">IF($C38="","",L38+N38)</f>
        <v>21</v>
      </c>
      <c r="Q38" s="418">
        <f t="array" aca="1" ref="Q38" ca="1">IF($C38="","",VLOOKUP($A38,Table!$A:$AE,Table!Q$6,FALSE)/$P38)</f>
        <v>1.2380952380952381</v>
      </c>
      <c r="R38" s="418">
        <f t="array" aca="1" ref="R38" ca="1">IF($C38="","",VLOOKUP($A38,Table!$A:$AE,Table!R$6,FALSE)/$P38)</f>
        <v>0.8571428571428571</v>
      </c>
      <c r="S38" s="408">
        <f ca="1">IF($C38="","",Q38+R38)</f>
        <v>2.0952380952380953</v>
      </c>
      <c r="T38" s="409">
        <f ca="1">IF($C38="","",L38+D38)</f>
        <v>15</v>
      </c>
      <c r="U38" s="404">
        <f ca="1">IF($C38="","",T38/X38)</f>
        <v>0.35714285714285715</v>
      </c>
      <c r="V38" s="405">
        <f ca="1">IF($C38="","",N38+F38)</f>
        <v>27</v>
      </c>
      <c r="W38" s="406">
        <f ca="1">IF($C38="","",V38/X38)</f>
        <v>0.6428571428571429</v>
      </c>
      <c r="X38" s="474">
        <f ca="1">IF($C38="","",T38+V38)</f>
        <v>42</v>
      </c>
      <c r="Y38" s="424">
        <f t="array" aca="1" ref="Y38" ca="1">IF($C38="","",VLOOKUP($A38,Table!$A:$AE,Table!Z$6,FALSE)/$X38)</f>
        <v>1.3809523809523809</v>
      </c>
      <c r="Z38" s="424">
        <f t="array" aca="1" ref="Z38" ca="1">IF($C38="","",VLOOKUP($A38,Table!$A:$AE,Table!AA$6,FALSE)/$X38)</f>
        <v>0.8571428571428571</v>
      </c>
      <c r="AA38" s="424">
        <f ca="1">IF($C38="","",Y38+Z38)</f>
        <v>2.2380952380952381</v>
      </c>
      <c r="AB38" s="475" t="str">
        <f ca="1">IF(C38="","",VLOOKUP(A38,Table!A:C,3,FALSE))</f>
        <v>Shonan Bellmare</v>
      </c>
      <c r="AC38" s="476">
        <f>A38</f>
        <v>1</v>
      </c>
      <c r="AD38" s="477" t="e">
        <v>#N/A</v>
      </c>
      <c r="AE38" s="230"/>
      <c r="AF38" s="428"/>
      <c r="AG38" s="428"/>
      <c r="AH38" s="428"/>
      <c r="AI38" s="428"/>
      <c r="AJ38" s="428"/>
      <c r="AK38" s="428"/>
      <c r="AL38" s="428"/>
      <c r="AM38" s="428"/>
      <c r="AN38" s="428"/>
      <c r="AO38" s="428"/>
      <c r="AP38" s="428"/>
      <c r="AQ38" s="428"/>
      <c r="AR38" s="428"/>
      <c r="AS38" s="428"/>
      <c r="AT38" s="428"/>
      <c r="AU38" s="428"/>
      <c r="AV38" s="428"/>
      <c r="AW38" s="428"/>
      <c r="AX38" s="428"/>
      <c r="AY38" s="428"/>
      <c r="AZ38" s="428"/>
      <c r="BA38" s="428"/>
      <c r="BB38" s="428"/>
      <c r="BC38" s="428"/>
      <c r="BD38" s="428"/>
      <c r="BE38" s="428"/>
      <c r="BF38" s="428"/>
      <c r="BG38" s="428"/>
    </row>
    <row r="39" spans="1:59" s="412" customFormat="1">
      <c r="A39" s="413">
        <v>2</v>
      </c>
      <c r="B39" s="430">
        <f t="shared" ref="B39:B61" ca="1" si="12">IF(C39="","",AA39+U39/100-A39/10000000)</f>
        <v>2.3854759904761904</v>
      </c>
      <c r="C39" s="401" t="str">
        <f ca="1">VLOOKUP(A39,Table!A:C,2,FALSE)</f>
        <v>V-Varen Nagasaki</v>
      </c>
      <c r="D39" s="403">
        <f t="array" aca="1" ref="D39" ca="1">IF($C39="","",SUM(IF((INDIRECT("'"&amp;$AB39&amp;"'!I23:I200")=$B$2)*(INDIRECT("'"&amp;$AB39&amp;"'!H23:H200")="H")*(INDIRECT("'"&amp;$AB39&amp;"'!N23:N200")=D$36),1,0)))</f>
        <v>9</v>
      </c>
      <c r="E39" s="415">
        <f t="shared" ref="E39:E60" ca="1" si="13">IF($C39="","",D39/H39)</f>
        <v>0.42857142857142855</v>
      </c>
      <c r="F39" s="405">
        <f t="array" aca="1" ref="F39" ca="1">IF(C39="","",SUM(IF((INDIRECT("'"&amp;$AB39&amp;"'!I23:I200")=$B$2)*(INDIRECT("'"&amp;$AB39&amp;"'!H23:H200")="H")*(INDIRECT("'"&amp;$AB39&amp;"'!N23:N200")=F$36),1,0)))</f>
        <v>12</v>
      </c>
      <c r="G39" s="406">
        <f t="shared" ref="G39:G61" ca="1" si="14">IF($C39="","",F39/H39)</f>
        <v>0.5714285714285714</v>
      </c>
      <c r="H39" s="417">
        <f t="shared" ref="H39:H61" ca="1" si="15">IF($C39="","",D39+F39)</f>
        <v>21</v>
      </c>
      <c r="I39" s="418">
        <f t="array" aca="1" ref="I39" ca="1">IF($C39="","",VLOOKUP($A39,Table!$A:$AE,Table!H$6,FALSE)/$H39)</f>
        <v>1.5238095238095237</v>
      </c>
      <c r="J39" s="418">
        <f t="array" aca="1" ref="J39" ca="1">IF($C39="","",VLOOKUP($A39,Table!$A:$AE,Table!I$6,FALSE)/$H39)</f>
        <v>0.5714285714285714</v>
      </c>
      <c r="K39" s="408">
        <f t="shared" ref="K39:K61" ca="1" si="16">IF($C39="","",I39+J39)</f>
        <v>2.0952380952380949</v>
      </c>
      <c r="L39" s="403">
        <f t="array" aca="1" ref="L39" ca="1">IF(C39="","",SUM(IF((INDIRECT("'"&amp;$AB39&amp;"'!I23:I200")=$B$2)*(INDIRECT("'"&amp;$AB39&amp;"'!H23:H200")="A")*(INDIRECT("'"&amp;$AB39&amp;"'!N23:N200")=L$36),1,0)))</f>
        <v>10</v>
      </c>
      <c r="M39" s="415">
        <f t="shared" ref="M39:M61" ca="1" si="17">IF($C39="","",L39/P39)</f>
        <v>0.47619047619047616</v>
      </c>
      <c r="N39" s="405">
        <f t="array" aca="1" ref="N39" ca="1">IF($C39="","",SUM(IF((INDIRECT("'"&amp;$AB39&amp;"'!I23:I200")=$B$2)*(INDIRECT("'"&amp;$AB39&amp;"'!H23:H200")="A")*(INDIRECT("'"&amp;$AB39&amp;"'!N23:N200")=N$36),1,0)))</f>
        <v>11</v>
      </c>
      <c r="O39" s="406">
        <f t="shared" ref="O39:O61" ca="1" si="18">IF($C39="","",N39/P39)</f>
        <v>0.52380952380952384</v>
      </c>
      <c r="P39" s="417">
        <f t="shared" ref="P39:P57" ca="1" si="19">IF($C39="","",L39+N39)</f>
        <v>21</v>
      </c>
      <c r="Q39" s="418">
        <f t="array" aca="1" ref="Q39" ca="1">IF($C39="","",VLOOKUP($A39,Table!$A:$AE,Table!Q$6,FALSE)/$P39)</f>
        <v>1.2857142857142858</v>
      </c>
      <c r="R39" s="418">
        <f t="array" aca="1" ref="R39" ca="1">IF($C39="","",VLOOKUP($A39,Table!$A:$AE,Table!R$6,FALSE)/$P39)</f>
        <v>1.3809523809523809</v>
      </c>
      <c r="S39" s="408">
        <f t="shared" ref="S39:S57" ca="1" si="20">IF($C39="","",Q39+R39)</f>
        <v>2.666666666666667</v>
      </c>
      <c r="T39" s="419">
        <f t="shared" ref="T39:T61" ca="1" si="21">IF($C39="","",L39+D39)</f>
        <v>19</v>
      </c>
      <c r="U39" s="415">
        <f t="shared" ref="U39:U61" ca="1" si="22">IF($C39="","",T39/X39)</f>
        <v>0.45238095238095238</v>
      </c>
      <c r="V39" s="416">
        <f t="shared" ref="V39:V61" ca="1" si="23">IF($C39="","",N39+F39)</f>
        <v>23</v>
      </c>
      <c r="W39" s="406">
        <f t="shared" ref="W39:W61" ca="1" si="24">IF($C39="","",V39/X39)</f>
        <v>0.54761904761904767</v>
      </c>
      <c r="X39" s="422">
        <f t="shared" ref="X39:X57" ca="1" si="25">IF($C39="","",T39+V39)</f>
        <v>42</v>
      </c>
      <c r="Y39" s="424">
        <f t="array" aca="1" ref="Y39" ca="1">IF($C39="","",VLOOKUP($A39,Table!$A:$AE,Table!Z$6,FALSE)/$X39)</f>
        <v>1.4047619047619047</v>
      </c>
      <c r="Z39" s="424">
        <f t="array" aca="1" ref="Z39" ca="1">IF($C39="","",VLOOKUP($A39,Table!$A:$AE,Table!AA$6,FALSE)/$X39)</f>
        <v>0.97619047619047616</v>
      </c>
      <c r="AA39" s="424">
        <f t="shared" ref="AA39:AA61" ca="1" si="26">IF($C39="","",Y39+Z39)</f>
        <v>2.3809523809523809</v>
      </c>
      <c r="AB39" s="475" t="str">
        <f ca="1">IF(C39="","",VLOOKUP(A39,Table!A:C,3,FALSE))</f>
        <v>V-Varen Nagasaki</v>
      </c>
      <c r="AC39" s="426">
        <f t="shared" ref="AC39:AC61" si="27">A39</f>
        <v>2</v>
      </c>
      <c r="AD39" s="477" t="e">
        <v>#N/A</v>
      </c>
      <c r="AE39" s="230"/>
      <c r="AF39" s="428"/>
      <c r="AG39" s="428"/>
      <c r="AH39" s="428"/>
      <c r="AI39" s="428"/>
      <c r="AJ39" s="428"/>
      <c r="AK39" s="428"/>
      <c r="AL39" s="428"/>
      <c r="AM39" s="428"/>
      <c r="AN39" s="428"/>
      <c r="AO39" s="428"/>
      <c r="AP39" s="428"/>
      <c r="AQ39" s="428"/>
      <c r="AR39" s="428"/>
      <c r="AS39" s="428"/>
      <c r="AT39" s="428"/>
      <c r="AU39" s="428"/>
      <c r="AV39" s="428"/>
      <c r="AW39" s="428"/>
      <c r="AX39" s="428"/>
      <c r="AY39" s="428"/>
      <c r="AZ39" s="428"/>
      <c r="BA39" s="428"/>
      <c r="BB39" s="428"/>
      <c r="BC39" s="428"/>
      <c r="BD39" s="428"/>
      <c r="BE39" s="428"/>
      <c r="BF39" s="428"/>
      <c r="BG39" s="428"/>
    </row>
    <row r="40" spans="1:59" s="412" customFormat="1">
      <c r="A40" s="413">
        <v>3</v>
      </c>
      <c r="B40" s="430">
        <f t="shared" ca="1" si="12"/>
        <v>3.5518178818181823</v>
      </c>
      <c r="C40" s="401" t="str">
        <f ca="1">VLOOKUP(A40,Table!A:C,2,FALSE)</f>
        <v>Nagoya Grampus</v>
      </c>
      <c r="D40" s="403">
        <f t="array" aca="1" ref="D40" ca="1">IF($C40="","",SUM(IF((INDIRECT("'"&amp;$AB40&amp;"'!I23:I200")=$B$2)*(INDIRECT("'"&amp;$AB40&amp;"'!H23:H200")="H")*(INDIRECT("'"&amp;$AB40&amp;"'!N23:N200")=D$36),1,0)))</f>
        <v>14</v>
      </c>
      <c r="E40" s="415">
        <f t="shared" ca="1" si="13"/>
        <v>0.60869565217391308</v>
      </c>
      <c r="F40" s="405">
        <f t="array" aca="1" ref="F40" ca="1">IF(C40="","",SUM(IF((INDIRECT("'"&amp;$AB40&amp;"'!I23:I200")=$B$2)*(INDIRECT("'"&amp;$AB40&amp;"'!H23:H200")="H")*(INDIRECT("'"&amp;$AB40&amp;"'!N23:N200")=F$36),1,0)))</f>
        <v>9</v>
      </c>
      <c r="G40" s="406">
        <f t="shared" ca="1" si="14"/>
        <v>0.39130434782608697</v>
      </c>
      <c r="H40" s="417">
        <f t="shared" ca="1" si="15"/>
        <v>23</v>
      </c>
      <c r="I40" s="418">
        <f t="array" aca="1" ref="I40" ca="1">IF($C40="","",VLOOKUP($A40,Table!$A:$AE,Table!H$6,FALSE)/$H40)</f>
        <v>2.2608695652173911</v>
      </c>
      <c r="J40" s="418">
        <f t="array" aca="1" ref="J40" ca="1">IF($C40="","",VLOOKUP($A40,Table!$A:$AE,Table!I$6,FALSE)/$H40)</f>
        <v>1.4782608695652173</v>
      </c>
      <c r="K40" s="408">
        <f t="shared" ca="1" si="16"/>
        <v>3.7391304347826084</v>
      </c>
      <c r="L40" s="403">
        <f t="array" aca="1" ref="L40" ca="1">IF(C40="","",SUM(IF((INDIRECT("'"&amp;$AB40&amp;"'!I23:I200")=$B$2)*(INDIRECT("'"&amp;$AB40&amp;"'!H23:H200")="A")*(INDIRECT("'"&amp;$AB40&amp;"'!N23:N200")=L$36),1,0)))</f>
        <v>14</v>
      </c>
      <c r="M40" s="415">
        <f t="shared" ca="1" si="17"/>
        <v>0.66666666666666663</v>
      </c>
      <c r="N40" s="405">
        <f t="array" aca="1" ref="N40" ca="1">IF($C40="","",SUM(IF((INDIRECT("'"&amp;$AB40&amp;"'!I23:I200")=$B$2)*(INDIRECT("'"&amp;$AB40&amp;"'!H23:H200")="A")*(INDIRECT("'"&amp;$AB40&amp;"'!N23:N200")=N$36),1,0)))</f>
        <v>7</v>
      </c>
      <c r="O40" s="406">
        <f t="shared" ca="1" si="18"/>
        <v>0.33333333333333331</v>
      </c>
      <c r="P40" s="417">
        <f t="shared" ca="1" si="19"/>
        <v>21</v>
      </c>
      <c r="Q40" s="418">
        <f t="array" aca="1" ref="Q40" ca="1">IF($C40="","",VLOOKUP($A40,Table!$A:$AE,Table!Q$6,FALSE)/$P40)</f>
        <v>1.7619047619047619</v>
      </c>
      <c r="R40" s="418">
        <f t="array" aca="1" ref="R40" ca="1">IF($C40="","",VLOOKUP($A40,Table!$A:$AE,Table!R$6,FALSE)/$P40)</f>
        <v>1.5714285714285714</v>
      </c>
      <c r="S40" s="408">
        <f t="shared" ca="1" si="20"/>
        <v>3.333333333333333</v>
      </c>
      <c r="T40" s="419">
        <f t="shared" ca="1" si="21"/>
        <v>28</v>
      </c>
      <c r="U40" s="415">
        <f t="shared" ca="1" si="22"/>
        <v>0.63636363636363635</v>
      </c>
      <c r="V40" s="416">
        <f t="shared" ca="1" si="23"/>
        <v>16</v>
      </c>
      <c r="W40" s="406">
        <f t="shared" ca="1" si="24"/>
        <v>0.36363636363636365</v>
      </c>
      <c r="X40" s="422">
        <f t="shared" ca="1" si="25"/>
        <v>44</v>
      </c>
      <c r="Y40" s="424">
        <f t="array" aca="1" ref="Y40" ca="1">IF($C40="","",VLOOKUP($A40,Table!$A:$AE,Table!Z$6,FALSE)/$X40)</f>
        <v>2.0227272727272729</v>
      </c>
      <c r="Z40" s="424">
        <f t="array" aca="1" ref="Z40" ca="1">IF($C40="","",VLOOKUP($A40,Table!$A:$AE,Table!AA$6,FALSE)/$X40)</f>
        <v>1.5227272727272727</v>
      </c>
      <c r="AA40" s="424">
        <f t="shared" ca="1" si="26"/>
        <v>3.5454545454545459</v>
      </c>
      <c r="AB40" s="475" t="str">
        <f ca="1">IF(C40="","",VLOOKUP(A40,Table!A:C,3,FALSE))</f>
        <v>Nagoya Grampus</v>
      </c>
      <c r="AC40" s="426">
        <f t="shared" si="27"/>
        <v>3</v>
      </c>
      <c r="AD40" s="477" t="e">
        <v>#N/A</v>
      </c>
      <c r="AE40" s="230"/>
      <c r="AF40" s="428"/>
      <c r="AG40" s="428"/>
      <c r="AH40" s="428"/>
      <c r="AI40" s="428"/>
      <c r="AJ40" s="428"/>
      <c r="AK40" s="428"/>
      <c r="AL40" s="428"/>
      <c r="AM40" s="428"/>
      <c r="AN40" s="428"/>
      <c r="AO40" s="428"/>
      <c r="AP40" s="428"/>
      <c r="AQ40" s="428"/>
      <c r="AR40" s="428"/>
      <c r="AS40" s="428"/>
      <c r="AT40" s="428"/>
      <c r="AU40" s="428"/>
      <c r="AV40" s="428"/>
      <c r="AW40" s="428"/>
      <c r="AX40" s="428"/>
      <c r="AY40" s="428"/>
      <c r="AZ40" s="428"/>
      <c r="BA40" s="428"/>
      <c r="BB40" s="428"/>
      <c r="BC40" s="428"/>
      <c r="BD40" s="428"/>
      <c r="BE40" s="428"/>
      <c r="BF40" s="428"/>
      <c r="BG40" s="428"/>
    </row>
    <row r="41" spans="1:59" s="412" customFormat="1">
      <c r="A41" s="413">
        <v>4</v>
      </c>
      <c r="B41" s="430">
        <f t="shared" ca="1" si="12"/>
        <v>2.1204647162790704</v>
      </c>
      <c r="C41" s="401" t="str">
        <f ca="1">VLOOKUP(A41,Table!A:C,2,FALSE)</f>
        <v>Avispa Fukuoka</v>
      </c>
      <c r="D41" s="403">
        <f t="array" aca="1" ref="D41" ca="1">IF($C41="","",SUM(IF((INDIRECT("'"&amp;$AB41&amp;"'!I23:I200")=$B$2)*(INDIRECT("'"&amp;$AB41&amp;"'!H23:H200")="H")*(INDIRECT("'"&amp;$AB41&amp;"'!N23:N200")=D$36),1,0)))</f>
        <v>9</v>
      </c>
      <c r="E41" s="415">
        <f t="shared" ca="1" si="13"/>
        <v>0.42857142857142855</v>
      </c>
      <c r="F41" s="405">
        <f t="array" aca="1" ref="F41" ca="1">IF(C41="","",SUM(IF((INDIRECT("'"&amp;$AB41&amp;"'!I23:I200")=$B$2)*(INDIRECT("'"&amp;$AB41&amp;"'!H23:H200")="H")*(INDIRECT("'"&amp;$AB41&amp;"'!N23:N200")=F$36),1,0)))</f>
        <v>12</v>
      </c>
      <c r="G41" s="406">
        <f t="shared" ca="1" si="14"/>
        <v>0.5714285714285714</v>
      </c>
      <c r="H41" s="417">
        <f t="shared" ca="1" si="15"/>
        <v>21</v>
      </c>
      <c r="I41" s="418">
        <f t="array" aca="1" ref="I41" ca="1">IF($C41="","",VLOOKUP($A41,Table!$A:$AE,Table!H$6,FALSE)/$H41)</f>
        <v>1.0952380952380953</v>
      </c>
      <c r="J41" s="418">
        <f t="array" aca="1" ref="J41" ca="1">IF($C41="","",VLOOKUP($A41,Table!$A:$AE,Table!I$6,FALSE)/$H41)</f>
        <v>1</v>
      </c>
      <c r="K41" s="408">
        <f t="shared" ca="1" si="16"/>
        <v>2.0952380952380953</v>
      </c>
      <c r="L41" s="403">
        <f t="array" aca="1" ref="L41" ca="1">IF(C41="","",SUM(IF((INDIRECT("'"&amp;$AB41&amp;"'!I23:I200")=$B$2)*(INDIRECT("'"&amp;$AB41&amp;"'!H23:H200")="A")*(INDIRECT("'"&amp;$AB41&amp;"'!N23:N200")=L$36),1,0)))</f>
        <v>9</v>
      </c>
      <c r="M41" s="415">
        <f t="shared" ca="1" si="17"/>
        <v>0.40909090909090912</v>
      </c>
      <c r="N41" s="405">
        <f t="array" aca="1" ref="N41" ca="1">IF($C41="","",SUM(IF((INDIRECT("'"&amp;$AB41&amp;"'!I23:I200")=$B$2)*(INDIRECT("'"&amp;$AB41&amp;"'!H23:H200")="A")*(INDIRECT("'"&amp;$AB41&amp;"'!N23:N200")=N$36),1,0)))</f>
        <v>13</v>
      </c>
      <c r="O41" s="406">
        <f t="shared" ca="1" si="18"/>
        <v>0.59090909090909094</v>
      </c>
      <c r="P41" s="417">
        <f t="shared" ca="1" si="19"/>
        <v>22</v>
      </c>
      <c r="Q41" s="418">
        <f t="array" aca="1" ref="Q41" ca="1">IF($C41="","",VLOOKUP($A41,Table!$A:$AE,Table!Q$6,FALSE)/$P41)</f>
        <v>1.4090909090909092</v>
      </c>
      <c r="R41" s="418">
        <f t="array" aca="1" ref="R41" ca="1">IF($C41="","",VLOOKUP($A41,Table!$A:$AE,Table!R$6,FALSE)/$P41)</f>
        <v>0.68181818181818177</v>
      </c>
      <c r="S41" s="408">
        <f t="shared" ca="1" si="20"/>
        <v>2.0909090909090908</v>
      </c>
      <c r="T41" s="419">
        <f t="shared" ca="1" si="21"/>
        <v>18</v>
      </c>
      <c r="U41" s="415">
        <f t="shared" ca="1" si="22"/>
        <v>0.41860465116279072</v>
      </c>
      <c r="V41" s="416">
        <f t="shared" ca="1" si="23"/>
        <v>25</v>
      </c>
      <c r="W41" s="406">
        <f t="shared" ca="1" si="24"/>
        <v>0.58139534883720934</v>
      </c>
      <c r="X41" s="422">
        <f t="shared" ca="1" si="25"/>
        <v>43</v>
      </c>
      <c r="Y41" s="424">
        <f t="array" aca="1" ref="Y41" ca="1">IF($C41="","",VLOOKUP($A41,Table!$A:$AE,Table!Z$6,FALSE)/$X41)</f>
        <v>1.2790697674418605</v>
      </c>
      <c r="Z41" s="424">
        <f t="array" aca="1" ref="Z41" ca="1">IF($C41="","",VLOOKUP($A41,Table!$A:$AE,Table!AA$6,FALSE)/$X41)</f>
        <v>0.83720930232558144</v>
      </c>
      <c r="AA41" s="424">
        <f t="shared" ca="1" si="26"/>
        <v>2.1162790697674421</v>
      </c>
      <c r="AB41" s="475" t="str">
        <f ca="1">IF(C41="","",VLOOKUP(A41,Table!A:C,3,FALSE))</f>
        <v>Avispa Fukuoka</v>
      </c>
      <c r="AC41" s="426">
        <f t="shared" si="27"/>
        <v>4</v>
      </c>
      <c r="AD41" s="477" t="e">
        <v>#N/A</v>
      </c>
      <c r="AE41" s="230"/>
      <c r="AF41" s="428"/>
      <c r="AG41" s="428"/>
      <c r="AH41" s="428"/>
      <c r="AI41" s="428"/>
      <c r="AJ41" s="428"/>
      <c r="AK41" s="428"/>
      <c r="AL41" s="428"/>
      <c r="AM41" s="428"/>
      <c r="AN41" s="428"/>
      <c r="AO41" s="428"/>
      <c r="AP41" s="428"/>
      <c r="AQ41" s="428"/>
      <c r="AR41" s="428"/>
      <c r="AS41" s="428"/>
      <c r="AT41" s="428"/>
      <c r="AU41" s="428"/>
      <c r="AV41" s="428"/>
      <c r="AW41" s="428"/>
      <c r="AX41" s="428"/>
      <c r="AY41" s="428"/>
      <c r="AZ41" s="428"/>
      <c r="BA41" s="428"/>
      <c r="BB41" s="428"/>
      <c r="BC41" s="428"/>
      <c r="BD41" s="428"/>
      <c r="BE41" s="428"/>
      <c r="BF41" s="428"/>
      <c r="BG41" s="428"/>
    </row>
    <row r="42" spans="1:59" s="412" customFormat="1">
      <c r="A42" s="413">
        <v>5</v>
      </c>
      <c r="B42" s="430">
        <f t="shared" ca="1" si="12"/>
        <v>2.719761404761905</v>
      </c>
      <c r="C42" s="401" t="str">
        <f ca="1">VLOOKUP(A42,Table!A:C,2,FALSE)</f>
        <v>Tokyo Verdy</v>
      </c>
      <c r="D42" s="403">
        <f t="array" aca="1" ref="D42" ca="1">IF($C42="","",SUM(IF((INDIRECT("'"&amp;$AB42&amp;"'!I23:I200")=$B$2)*(INDIRECT("'"&amp;$AB42&amp;"'!H23:H200")="H")*(INDIRECT("'"&amp;$AB42&amp;"'!N23:N200")=D$36),1,0)))</f>
        <v>15</v>
      </c>
      <c r="E42" s="415">
        <f t="shared" ca="1" si="13"/>
        <v>0.7142857142857143</v>
      </c>
      <c r="F42" s="405">
        <f t="array" aca="1" ref="F42" ca="1">IF(C42="","",SUM(IF((INDIRECT("'"&amp;$AB42&amp;"'!I23:I200")=$B$2)*(INDIRECT("'"&amp;$AB42&amp;"'!H23:H200")="H")*(INDIRECT("'"&amp;$AB42&amp;"'!N23:N200")=F$36),1,0)))</f>
        <v>6</v>
      </c>
      <c r="G42" s="406">
        <f t="shared" ca="1" si="14"/>
        <v>0.2857142857142857</v>
      </c>
      <c r="H42" s="417">
        <f t="shared" ca="1" si="15"/>
        <v>21</v>
      </c>
      <c r="I42" s="418">
        <f t="array" aca="1" ref="I42" ca="1">IF($C42="","",VLOOKUP($A42,Table!$A:$AE,Table!H$6,FALSE)/$H42)</f>
        <v>1.9047619047619047</v>
      </c>
      <c r="J42" s="418">
        <f t="array" aca="1" ref="J42" ca="1">IF($C42="","",VLOOKUP($A42,Table!$A:$AE,Table!I$6,FALSE)/$H42)</f>
        <v>1.1428571428571428</v>
      </c>
      <c r="K42" s="408">
        <f t="shared" ca="1" si="16"/>
        <v>3.0476190476190474</v>
      </c>
      <c r="L42" s="403">
        <f t="array" aca="1" ref="L42" ca="1">IF(C42="","",SUM(IF((INDIRECT("'"&amp;$AB42&amp;"'!I23:I200")=$B$2)*(INDIRECT("'"&amp;$AB42&amp;"'!H23:H200")="A")*(INDIRECT("'"&amp;$AB42&amp;"'!N23:N200")=L$36),1,0)))</f>
        <v>8</v>
      </c>
      <c r="M42" s="415">
        <f t="shared" ca="1" si="17"/>
        <v>0.38095238095238093</v>
      </c>
      <c r="N42" s="405">
        <f t="array" aca="1" ref="N42" ca="1">IF($C42="","",SUM(IF((INDIRECT("'"&amp;$AB42&amp;"'!I23:I200")=$B$2)*(INDIRECT("'"&amp;$AB42&amp;"'!H23:H200")="A")*(INDIRECT("'"&amp;$AB42&amp;"'!N23:N200")=N$36),1,0)))</f>
        <v>13</v>
      </c>
      <c r="O42" s="406">
        <f t="shared" ca="1" si="18"/>
        <v>0.61904761904761907</v>
      </c>
      <c r="P42" s="417">
        <f t="shared" ca="1" si="19"/>
        <v>21</v>
      </c>
      <c r="Q42" s="418">
        <f t="array" aca="1" ref="Q42" ca="1">IF($C42="","",VLOOKUP($A42,Table!$A:$AE,Table!Q$6,FALSE)/$P42)</f>
        <v>1.1428571428571428</v>
      </c>
      <c r="R42" s="418">
        <f t="array" aca="1" ref="R42" ca="1">IF($C42="","",VLOOKUP($A42,Table!$A:$AE,Table!R$6,FALSE)/$P42)</f>
        <v>1.1904761904761905</v>
      </c>
      <c r="S42" s="408">
        <f t="shared" ca="1" si="20"/>
        <v>2.333333333333333</v>
      </c>
      <c r="T42" s="419">
        <f t="shared" ca="1" si="21"/>
        <v>23</v>
      </c>
      <c r="U42" s="415">
        <f t="shared" ca="1" si="22"/>
        <v>0.54761904761904767</v>
      </c>
      <c r="V42" s="416">
        <f t="shared" ca="1" si="23"/>
        <v>19</v>
      </c>
      <c r="W42" s="406">
        <f t="shared" ca="1" si="24"/>
        <v>0.45238095238095238</v>
      </c>
      <c r="X42" s="422">
        <f t="shared" ca="1" si="25"/>
        <v>42</v>
      </c>
      <c r="Y42" s="424">
        <f t="array" aca="1" ref="Y42" ca="1">IF($C42="","",VLOOKUP($A42,Table!$A:$AE,Table!Z$6,FALSE)/$X42)</f>
        <v>1.5238095238095237</v>
      </c>
      <c r="Z42" s="424">
        <f t="array" aca="1" ref="Z42" ca="1">IF($C42="","",VLOOKUP($A42,Table!$A:$AE,Table!AA$6,FALSE)/$X42)</f>
        <v>1.1904761904761905</v>
      </c>
      <c r="AA42" s="424">
        <f t="shared" ca="1" si="26"/>
        <v>2.7142857142857144</v>
      </c>
      <c r="AB42" s="475" t="str">
        <f ca="1">IF(C42="","",VLOOKUP(A42,Table!A:C,3,FALSE))</f>
        <v>Tokyo Verdy</v>
      </c>
      <c r="AC42" s="426">
        <f t="shared" si="27"/>
        <v>5</v>
      </c>
      <c r="AD42" s="477" t="e">
        <v>#N/A</v>
      </c>
      <c r="AE42" s="230"/>
      <c r="AF42" s="428"/>
      <c r="AG42" s="428"/>
      <c r="AH42" s="428"/>
      <c r="AI42" s="428"/>
      <c r="AJ42" s="428"/>
      <c r="AK42" s="428"/>
      <c r="AL42" s="428"/>
      <c r="AM42" s="428"/>
      <c r="AN42" s="428"/>
      <c r="AO42" s="428"/>
      <c r="AP42" s="428"/>
      <c r="AQ42" s="428"/>
      <c r="AR42" s="428"/>
      <c r="AS42" s="428"/>
      <c r="AT42" s="428"/>
      <c r="AU42" s="428"/>
      <c r="AV42" s="428"/>
      <c r="AW42" s="428"/>
      <c r="AX42" s="428"/>
      <c r="AY42" s="428"/>
      <c r="AZ42" s="428"/>
      <c r="BA42" s="428"/>
      <c r="BB42" s="428"/>
      <c r="BC42" s="428"/>
      <c r="BD42" s="428"/>
      <c r="BE42" s="428"/>
      <c r="BF42" s="428"/>
      <c r="BG42" s="428"/>
    </row>
    <row r="43" spans="1:59" s="412" customFormat="1">
      <c r="A43" s="413">
        <v>6</v>
      </c>
      <c r="B43" s="430">
        <f t="shared" ca="1" si="12"/>
        <v>3.1220924232558143</v>
      </c>
      <c r="C43" s="401" t="str">
        <f ca="1">VLOOKUP(A43,Table!A:C,2,FALSE)</f>
        <v>JEF United</v>
      </c>
      <c r="D43" s="403">
        <f t="array" aca="1" ref="D43" ca="1">IF($C43="","",SUM(IF((INDIRECT("'"&amp;$AB43&amp;"'!I23:I200")=$B$2)*(INDIRECT("'"&amp;$AB43&amp;"'!H23:H200")="H")*(INDIRECT("'"&amp;$AB43&amp;"'!N23:N200")=D$36),1,0)))</f>
        <v>13</v>
      </c>
      <c r="E43" s="415">
        <f t="shared" ca="1" si="13"/>
        <v>0.61904761904761907</v>
      </c>
      <c r="F43" s="405">
        <f t="array" aca="1" ref="F43" ca="1">IF(C43="","",SUM(IF((INDIRECT("'"&amp;$AB43&amp;"'!I23:I200")=$B$2)*(INDIRECT("'"&amp;$AB43&amp;"'!H23:H200")="H")*(INDIRECT("'"&amp;$AB43&amp;"'!N23:N200")=F$36),1,0)))</f>
        <v>8</v>
      </c>
      <c r="G43" s="406">
        <f t="shared" ca="1" si="14"/>
        <v>0.38095238095238093</v>
      </c>
      <c r="H43" s="417">
        <f t="shared" ca="1" si="15"/>
        <v>21</v>
      </c>
      <c r="I43" s="418">
        <f t="array" aca="1" ref="I43" ca="1">IF($C43="","",VLOOKUP($A43,Table!$A:$AE,Table!H$6,FALSE)/$H43)</f>
        <v>2.2380952380952381</v>
      </c>
      <c r="J43" s="418">
        <f t="array" aca="1" ref="J43" ca="1">IF($C43="","",VLOOKUP($A43,Table!$A:$AE,Table!I$6,FALSE)/$H43)</f>
        <v>1.0952380952380953</v>
      </c>
      <c r="K43" s="408">
        <f t="shared" ca="1" si="16"/>
        <v>3.3333333333333335</v>
      </c>
      <c r="L43" s="403">
        <f t="array" aca="1" ref="L43" ca="1">IF(C43="","",SUM(IF((INDIRECT("'"&amp;$AB43&amp;"'!I23:I200")=$B$2)*(INDIRECT("'"&amp;$AB43&amp;"'!H23:H200")="A")*(INDIRECT("'"&amp;$AB43&amp;"'!N23:N200")=L$36),1,0)))</f>
        <v>12</v>
      </c>
      <c r="M43" s="415">
        <f t="shared" ca="1" si="17"/>
        <v>0.54545454545454541</v>
      </c>
      <c r="N43" s="405">
        <f t="array" aca="1" ref="N43" ca="1">IF($C43="","",SUM(IF((INDIRECT("'"&amp;$AB43&amp;"'!I23:I200")=$B$2)*(INDIRECT("'"&amp;$AB43&amp;"'!H23:H200")="A")*(INDIRECT("'"&amp;$AB43&amp;"'!N23:N200")=N$36),1,0)))</f>
        <v>10</v>
      </c>
      <c r="O43" s="406">
        <f t="shared" ca="1" si="18"/>
        <v>0.45454545454545453</v>
      </c>
      <c r="P43" s="417">
        <f t="shared" ca="1" si="19"/>
        <v>22</v>
      </c>
      <c r="Q43" s="418">
        <f t="array" aca="1" ref="Q43" ca="1">IF($C43="","",VLOOKUP($A43,Table!$A:$AE,Table!Q$6,FALSE)/$P43)</f>
        <v>1.1363636363636365</v>
      </c>
      <c r="R43" s="418">
        <f t="array" aca="1" ref="R43" ca="1">IF($C43="","",VLOOKUP($A43,Table!$A:$AE,Table!R$6,FALSE)/$P43)</f>
        <v>1.7727272727272727</v>
      </c>
      <c r="S43" s="408">
        <f t="shared" ca="1" si="20"/>
        <v>2.9090909090909092</v>
      </c>
      <c r="T43" s="419">
        <f t="shared" ca="1" si="21"/>
        <v>25</v>
      </c>
      <c r="U43" s="415">
        <f t="shared" ca="1" si="22"/>
        <v>0.58139534883720934</v>
      </c>
      <c r="V43" s="416">
        <f t="shared" ca="1" si="23"/>
        <v>18</v>
      </c>
      <c r="W43" s="406">
        <f t="shared" ca="1" si="24"/>
        <v>0.41860465116279072</v>
      </c>
      <c r="X43" s="422">
        <f t="shared" ca="1" si="25"/>
        <v>43</v>
      </c>
      <c r="Y43" s="424">
        <f t="array" aca="1" ref="Y43" ca="1">IF($C43="","",VLOOKUP($A43,Table!$A:$AE,Table!Z$6,FALSE)/$X43)</f>
        <v>1.6744186046511629</v>
      </c>
      <c r="Z43" s="424">
        <f t="array" aca="1" ref="Z43" ca="1">IF($C43="","",VLOOKUP($A43,Table!$A:$AE,Table!AA$6,FALSE)/$X43)</f>
        <v>1.441860465116279</v>
      </c>
      <c r="AA43" s="424">
        <f t="shared" ca="1" si="26"/>
        <v>3.1162790697674421</v>
      </c>
      <c r="AB43" s="475" t="str">
        <f ca="1">IF(C43="","",VLOOKUP(A43,Table!A:C,3,FALSE))</f>
        <v>JEF United</v>
      </c>
      <c r="AC43" s="426">
        <f t="shared" si="27"/>
        <v>6</v>
      </c>
      <c r="AD43" s="477" t="e">
        <v>#N/A</v>
      </c>
      <c r="AE43" s="230"/>
      <c r="AF43" s="428"/>
      <c r="AG43" s="428"/>
      <c r="AH43" s="428"/>
      <c r="AI43" s="428"/>
      <c r="AJ43" s="428"/>
      <c r="AK43" s="428"/>
      <c r="AL43" s="428"/>
      <c r="AM43" s="428"/>
      <c r="AN43" s="428"/>
      <c r="AO43" s="428"/>
      <c r="AP43" s="428"/>
      <c r="AQ43" s="428"/>
      <c r="AR43" s="428"/>
      <c r="AS43" s="428"/>
      <c r="AT43" s="428"/>
      <c r="AU43" s="428"/>
      <c r="AV43" s="428"/>
      <c r="AW43" s="428"/>
      <c r="AX43" s="428"/>
      <c r="AY43" s="428"/>
      <c r="AZ43" s="428"/>
      <c r="BA43" s="428"/>
      <c r="BB43" s="428"/>
      <c r="BC43" s="428"/>
      <c r="BD43" s="428"/>
      <c r="BE43" s="428"/>
      <c r="BF43" s="428"/>
      <c r="BG43" s="428"/>
    </row>
    <row r="44" spans="1:59" s="412" customFormat="1">
      <c r="A44" s="413">
        <v>7</v>
      </c>
      <c r="B44" s="430">
        <f t="shared" ca="1" si="12"/>
        <v>2.7661897761904761</v>
      </c>
      <c r="C44" s="401" t="str">
        <f ca="1">VLOOKUP(A44,Table!A:C,2,FALSE)</f>
        <v>Tokushima Vortis</v>
      </c>
      <c r="D44" s="403">
        <f t="array" aca="1" ref="D44" ca="1">IF($C44="","",SUM(IF((INDIRECT("'"&amp;$AB44&amp;"'!I23:I200")=$B$2)*(INDIRECT("'"&amp;$AB44&amp;"'!H23:H200")="H")*(INDIRECT("'"&amp;$AB44&amp;"'!N23:N200")=D$36),1,0)))</f>
        <v>11</v>
      </c>
      <c r="E44" s="415">
        <f t="shared" ref="E44:E51" ca="1" si="28">IF($C44="","",D44/H44)</f>
        <v>0.52380952380952384</v>
      </c>
      <c r="F44" s="405">
        <f t="array" aca="1" ref="F44" ca="1">IF(C44="","",SUM(IF((INDIRECT("'"&amp;$AB44&amp;"'!I23:I200")=$B$2)*(INDIRECT("'"&amp;$AB44&amp;"'!H23:H200")="H")*(INDIRECT("'"&amp;$AB44&amp;"'!N23:N200")=F$36),1,0)))</f>
        <v>10</v>
      </c>
      <c r="G44" s="406">
        <f t="shared" ref="G44:G51" ca="1" si="29">IF($C44="","",F44/H44)</f>
        <v>0.47619047619047616</v>
      </c>
      <c r="H44" s="417">
        <f t="shared" ref="H44:H51" ca="1" si="30">IF($C44="","",D44+F44)</f>
        <v>21</v>
      </c>
      <c r="I44" s="418">
        <f t="array" aca="1" ref="I44" ca="1">IF($C44="","",VLOOKUP($A44,Table!$A:$AE,Table!H$6,FALSE)/$H44)</f>
        <v>1.8571428571428572</v>
      </c>
      <c r="J44" s="418">
        <f t="array" aca="1" ref="J44" ca="1">IF($C44="","",VLOOKUP($A44,Table!$A:$AE,Table!I$6,FALSE)/$H44)</f>
        <v>1.1904761904761905</v>
      </c>
      <c r="K44" s="408">
        <f t="shared" ref="K44:K51" ca="1" si="31">IF($C44="","",I44+J44)</f>
        <v>3.0476190476190474</v>
      </c>
      <c r="L44" s="403">
        <f t="array" aca="1" ref="L44" ca="1">IF(C44="","",SUM(IF((INDIRECT("'"&amp;$AB44&amp;"'!I23:I200")=$B$2)*(INDIRECT("'"&amp;$AB44&amp;"'!H23:H200")="A")*(INDIRECT("'"&amp;$AB44&amp;"'!N23:N200")=L$36),1,0)))</f>
        <v>7</v>
      </c>
      <c r="M44" s="415">
        <f t="shared" ref="M44:M51" ca="1" si="32">IF($C44="","",L44/P44)</f>
        <v>0.33333333333333331</v>
      </c>
      <c r="N44" s="405">
        <f t="array" aca="1" ref="N44" ca="1">IF($C44="","",SUM(IF((INDIRECT("'"&amp;$AB44&amp;"'!I23:I200")=$B$2)*(INDIRECT("'"&amp;$AB44&amp;"'!H23:H200")="A")*(INDIRECT("'"&amp;$AB44&amp;"'!N23:N200")=N$36),1,0)))</f>
        <v>14</v>
      </c>
      <c r="O44" s="406">
        <f t="shared" ref="O44:O51" ca="1" si="33">IF($C44="","",N44/P44)</f>
        <v>0.66666666666666663</v>
      </c>
      <c r="P44" s="417">
        <f t="shared" ref="P44:P51" ca="1" si="34">IF($C44="","",L44+N44)</f>
        <v>21</v>
      </c>
      <c r="Q44" s="418">
        <f t="array" aca="1" ref="Q44" ca="1">IF($C44="","",VLOOKUP($A44,Table!$A:$AE,Table!Q$6,FALSE)/$P44)</f>
        <v>1.5238095238095237</v>
      </c>
      <c r="R44" s="418">
        <f t="array" aca="1" ref="R44" ca="1">IF($C44="","",VLOOKUP($A44,Table!$A:$AE,Table!R$6,FALSE)/$P44)</f>
        <v>0.95238095238095233</v>
      </c>
      <c r="S44" s="408">
        <f t="shared" ref="S44:S51" ca="1" si="35">IF($C44="","",Q44+R44)</f>
        <v>2.4761904761904763</v>
      </c>
      <c r="T44" s="419">
        <f t="shared" ref="T44:T51" ca="1" si="36">IF($C44="","",L44+D44)</f>
        <v>18</v>
      </c>
      <c r="U44" s="415">
        <f t="shared" ref="U44:U51" ca="1" si="37">IF($C44="","",T44/X44)</f>
        <v>0.42857142857142855</v>
      </c>
      <c r="V44" s="416">
        <f t="shared" ref="V44:V51" ca="1" si="38">IF($C44="","",N44+F44)</f>
        <v>24</v>
      </c>
      <c r="W44" s="406">
        <f t="shared" ref="W44:W51" ca="1" si="39">IF($C44="","",V44/X44)</f>
        <v>0.5714285714285714</v>
      </c>
      <c r="X44" s="422">
        <f t="shared" ref="X44:X51" ca="1" si="40">IF($C44="","",T44+V44)</f>
        <v>42</v>
      </c>
      <c r="Y44" s="424">
        <f t="array" aca="1" ref="Y44" ca="1">IF($C44="","",VLOOKUP($A44,Table!$A:$AE,Table!Z$6,FALSE)/$X44)</f>
        <v>1.6904761904761905</v>
      </c>
      <c r="Z44" s="424">
        <f t="array" aca="1" ref="Z44" ca="1">IF($C44="","",VLOOKUP($A44,Table!$A:$AE,Table!AA$6,FALSE)/$X44)</f>
        <v>1.0714285714285714</v>
      </c>
      <c r="AA44" s="424">
        <f t="shared" ref="AA44:AA51" ca="1" si="41">IF($C44="","",Y44+Z44)</f>
        <v>2.7619047619047619</v>
      </c>
      <c r="AB44" s="475" t="str">
        <f ca="1">IF(C44="","",VLOOKUP(A44,Table!A:C,3,FALSE))</f>
        <v>Tokushima Vortis</v>
      </c>
      <c r="AC44" s="426">
        <f t="shared" ref="AC44:AC51" si="42">A44</f>
        <v>7</v>
      </c>
      <c r="AD44" s="477" t="e">
        <v>#N/A</v>
      </c>
      <c r="AE44" s="230"/>
      <c r="AF44" s="428"/>
      <c r="AG44" s="428"/>
      <c r="AH44" s="428"/>
      <c r="AI44" s="428"/>
      <c r="AJ44" s="428"/>
      <c r="AK44" s="428"/>
      <c r="AL44" s="428"/>
      <c r="AM44" s="428"/>
      <c r="AN44" s="428"/>
      <c r="AO44" s="428"/>
      <c r="AP44" s="428"/>
      <c r="AQ44" s="428"/>
      <c r="AR44" s="428"/>
      <c r="AS44" s="428"/>
      <c r="AT44" s="428"/>
      <c r="AU44" s="428"/>
      <c r="AV44" s="428"/>
      <c r="AW44" s="428"/>
      <c r="AX44" s="428"/>
      <c r="AY44" s="428"/>
      <c r="AZ44" s="428"/>
      <c r="BA44" s="428"/>
      <c r="BB44" s="428"/>
      <c r="BC44" s="428"/>
      <c r="BD44" s="428"/>
      <c r="BE44" s="428"/>
      <c r="BF44" s="428"/>
      <c r="BG44" s="428"/>
    </row>
    <row r="45" spans="1:59" s="412" customFormat="1">
      <c r="A45" s="413">
        <v>8</v>
      </c>
      <c r="B45" s="430">
        <f t="shared" ca="1" si="12"/>
        <v>2.5285706285714284</v>
      </c>
      <c r="C45" s="401" t="str">
        <f ca="1">VLOOKUP(A45,Table!A:C,2,FALSE)</f>
        <v>Matsumoto Yamaga</v>
      </c>
      <c r="D45" s="403">
        <f t="array" aca="1" ref="D45" ca="1">IF($C45="","",SUM(IF((INDIRECT("'"&amp;$AB45&amp;"'!I23:I200")=$B$2)*(INDIRECT("'"&amp;$AB45&amp;"'!H23:H200")="H")*(INDIRECT("'"&amp;$AB45&amp;"'!N23:N200")=D$36),1,0)))</f>
        <v>13</v>
      </c>
      <c r="E45" s="415">
        <f t="shared" ca="1" si="28"/>
        <v>0.61904761904761907</v>
      </c>
      <c r="F45" s="405">
        <f t="array" aca="1" ref="F45" ca="1">IF(C45="","",SUM(IF((INDIRECT("'"&amp;$AB45&amp;"'!I23:I200")=$B$2)*(INDIRECT("'"&amp;$AB45&amp;"'!H23:H200")="H")*(INDIRECT("'"&amp;$AB45&amp;"'!N23:N200")=F$36),1,0)))</f>
        <v>8</v>
      </c>
      <c r="G45" s="406">
        <f t="shared" ca="1" si="29"/>
        <v>0.38095238095238093</v>
      </c>
      <c r="H45" s="417">
        <f t="shared" ca="1" si="30"/>
        <v>21</v>
      </c>
      <c r="I45" s="418">
        <f t="array" aca="1" ref="I45" ca="1">IF($C45="","",VLOOKUP($A45,Table!$A:$AE,Table!H$6,FALSE)/$H45)</f>
        <v>1.8095238095238095</v>
      </c>
      <c r="J45" s="418">
        <f t="array" aca="1" ref="J45" ca="1">IF($C45="","",VLOOKUP($A45,Table!$A:$AE,Table!I$6,FALSE)/$H45)</f>
        <v>1.0476190476190477</v>
      </c>
      <c r="K45" s="408">
        <f t="shared" ca="1" si="31"/>
        <v>2.8571428571428572</v>
      </c>
      <c r="L45" s="403">
        <f t="array" aca="1" ref="L45" ca="1">IF(C45="","",SUM(IF((INDIRECT("'"&amp;$AB45&amp;"'!I23:I200")=$B$2)*(INDIRECT("'"&amp;$AB45&amp;"'!H23:H200")="A")*(INDIRECT("'"&amp;$AB45&amp;"'!N23:N200")=L$36),1,0)))</f>
        <v>7</v>
      </c>
      <c r="M45" s="415">
        <f t="shared" ca="1" si="32"/>
        <v>0.33333333333333331</v>
      </c>
      <c r="N45" s="405">
        <f t="array" aca="1" ref="N45" ca="1">IF($C45="","",SUM(IF((INDIRECT("'"&amp;$AB45&amp;"'!I23:I200")=$B$2)*(INDIRECT("'"&amp;$AB45&amp;"'!H23:H200")="A")*(INDIRECT("'"&amp;$AB45&amp;"'!N23:N200")=N$36),1,0)))</f>
        <v>14</v>
      </c>
      <c r="O45" s="406">
        <f t="shared" ca="1" si="33"/>
        <v>0.66666666666666663</v>
      </c>
      <c r="P45" s="417">
        <f t="shared" ca="1" si="34"/>
        <v>21</v>
      </c>
      <c r="Q45" s="418">
        <f t="array" aca="1" ref="Q45" ca="1">IF($C45="","",VLOOKUP($A45,Table!$A:$AE,Table!Q$6,FALSE)/$P45)</f>
        <v>1.0952380952380953</v>
      </c>
      <c r="R45" s="418">
        <f t="array" aca="1" ref="R45" ca="1">IF($C45="","",VLOOKUP($A45,Table!$A:$AE,Table!R$6,FALSE)/$P45)</f>
        <v>1.0952380952380953</v>
      </c>
      <c r="S45" s="408">
        <f t="shared" ca="1" si="35"/>
        <v>2.1904761904761907</v>
      </c>
      <c r="T45" s="419">
        <f t="shared" ca="1" si="36"/>
        <v>20</v>
      </c>
      <c r="U45" s="415">
        <f t="shared" ca="1" si="37"/>
        <v>0.47619047619047616</v>
      </c>
      <c r="V45" s="416">
        <f t="shared" ca="1" si="38"/>
        <v>22</v>
      </c>
      <c r="W45" s="406">
        <f t="shared" ca="1" si="39"/>
        <v>0.52380952380952384</v>
      </c>
      <c r="X45" s="422">
        <f t="shared" ca="1" si="40"/>
        <v>42</v>
      </c>
      <c r="Y45" s="424">
        <f t="array" aca="1" ref="Y45" ca="1">IF($C45="","",VLOOKUP($A45,Table!$A:$AE,Table!Z$6,FALSE)/$X45)</f>
        <v>1.4523809523809523</v>
      </c>
      <c r="Z45" s="424">
        <f t="array" aca="1" ref="Z45" ca="1">IF($C45="","",VLOOKUP($A45,Table!$A:$AE,Table!AA$6,FALSE)/$X45)</f>
        <v>1.0714285714285714</v>
      </c>
      <c r="AA45" s="424">
        <f t="shared" ca="1" si="41"/>
        <v>2.5238095238095237</v>
      </c>
      <c r="AB45" s="475" t="str">
        <f ca="1">IF(C45="","",VLOOKUP(A45,Table!A:C,3,FALSE))</f>
        <v>Matsumoto Yamaga</v>
      </c>
      <c r="AC45" s="426">
        <f t="shared" si="42"/>
        <v>8</v>
      </c>
      <c r="AD45" s="477" t="e">
        <v>#N/A</v>
      </c>
      <c r="AE45" s="230"/>
      <c r="AF45" s="428"/>
      <c r="AG45" s="428"/>
      <c r="AH45" s="428"/>
      <c r="AI45" s="428"/>
      <c r="AJ45" s="428"/>
      <c r="AK45" s="428"/>
      <c r="AL45" s="428"/>
      <c r="AM45" s="428"/>
      <c r="AN45" s="428"/>
      <c r="AO45" s="428"/>
      <c r="AP45" s="428"/>
      <c r="AQ45" s="428"/>
      <c r="AR45" s="428"/>
      <c r="AS45" s="428"/>
      <c r="AT45" s="428"/>
      <c r="AU45" s="428"/>
      <c r="AV45" s="428"/>
      <c r="AW45" s="428"/>
      <c r="AX45" s="428"/>
      <c r="AY45" s="428"/>
      <c r="AZ45" s="428"/>
      <c r="BA45" s="428"/>
      <c r="BB45" s="428"/>
      <c r="BC45" s="428"/>
      <c r="BD45" s="428"/>
      <c r="BE45" s="428"/>
      <c r="BF45" s="428"/>
      <c r="BG45" s="428"/>
    </row>
    <row r="46" spans="1:59" s="412" customFormat="1">
      <c r="A46" s="413">
        <v>9</v>
      </c>
      <c r="B46" s="430">
        <f t="shared" ca="1" si="12"/>
        <v>2.5764276714285712</v>
      </c>
      <c r="C46" s="401" t="str">
        <f ca="1">VLOOKUP(A46,Table!A:C,2,FALSE)</f>
        <v>Oita Trinita</v>
      </c>
      <c r="D46" s="403">
        <f t="array" aca="1" ref="D46" ca="1">IF($C46="","",SUM(IF((INDIRECT("'"&amp;$AB46&amp;"'!I23:I200")=$B$2)*(INDIRECT("'"&amp;$AB46&amp;"'!H23:H200")="H")*(INDIRECT("'"&amp;$AB46&amp;"'!N23:N200")=D$36),1,0)))</f>
        <v>9</v>
      </c>
      <c r="E46" s="415">
        <f t="shared" ca="1" si="28"/>
        <v>0.42857142857142855</v>
      </c>
      <c r="F46" s="405">
        <f t="array" aca="1" ref="F46" ca="1">IF(C46="","",SUM(IF((INDIRECT("'"&amp;$AB46&amp;"'!I23:I200")=$B$2)*(INDIRECT("'"&amp;$AB46&amp;"'!H23:H200")="H")*(INDIRECT("'"&amp;$AB46&amp;"'!N23:N200")=F$36),1,0)))</f>
        <v>12</v>
      </c>
      <c r="G46" s="406">
        <f t="shared" ca="1" si="29"/>
        <v>0.5714285714285714</v>
      </c>
      <c r="H46" s="417">
        <f t="shared" ca="1" si="30"/>
        <v>21</v>
      </c>
      <c r="I46" s="418">
        <f t="array" aca="1" ref="I46" ca="1">IF($C46="","",VLOOKUP($A46,Table!$A:$AE,Table!H$6,FALSE)/$H46)</f>
        <v>1.1904761904761905</v>
      </c>
      <c r="J46" s="418">
        <f t="array" aca="1" ref="J46" ca="1">IF($C46="","",VLOOKUP($A46,Table!$A:$AE,Table!I$6,FALSE)/$H46)</f>
        <v>1.1904761904761905</v>
      </c>
      <c r="K46" s="408">
        <f t="shared" ca="1" si="31"/>
        <v>2.3809523809523809</v>
      </c>
      <c r="L46" s="403">
        <f t="array" aca="1" ref="L46" ca="1">IF(C46="","",SUM(IF((INDIRECT("'"&amp;$AB46&amp;"'!I23:I200")=$B$2)*(INDIRECT("'"&amp;$AB46&amp;"'!H23:H200")="A")*(INDIRECT("'"&amp;$AB46&amp;"'!N23:N200")=L$36),1,0)))</f>
        <v>12</v>
      </c>
      <c r="M46" s="415">
        <f t="shared" ca="1" si="32"/>
        <v>0.5714285714285714</v>
      </c>
      <c r="N46" s="405">
        <f t="array" aca="1" ref="N46" ca="1">IF($C46="","",SUM(IF((INDIRECT("'"&amp;$AB46&amp;"'!I23:I200")=$B$2)*(INDIRECT("'"&amp;$AB46&amp;"'!H23:H200")="A")*(INDIRECT("'"&amp;$AB46&amp;"'!N23:N200")=N$36),1,0)))</f>
        <v>9</v>
      </c>
      <c r="O46" s="406">
        <f t="shared" ca="1" si="33"/>
        <v>0.42857142857142855</v>
      </c>
      <c r="P46" s="417">
        <f t="shared" ca="1" si="34"/>
        <v>21</v>
      </c>
      <c r="Q46" s="418">
        <f t="array" aca="1" ref="Q46" ca="1">IF($C46="","",VLOOKUP($A46,Table!$A:$AE,Table!Q$6,FALSE)/$P46)</f>
        <v>1.5714285714285714</v>
      </c>
      <c r="R46" s="418">
        <f t="array" aca="1" ref="R46" ca="1">IF($C46="","",VLOOKUP($A46,Table!$A:$AE,Table!R$6,FALSE)/$P46)</f>
        <v>1.1904761904761905</v>
      </c>
      <c r="S46" s="408">
        <f t="shared" ca="1" si="35"/>
        <v>2.7619047619047619</v>
      </c>
      <c r="T46" s="419">
        <f t="shared" ca="1" si="36"/>
        <v>21</v>
      </c>
      <c r="U46" s="415">
        <f t="shared" ca="1" si="37"/>
        <v>0.5</v>
      </c>
      <c r="V46" s="416">
        <f t="shared" ca="1" si="38"/>
        <v>21</v>
      </c>
      <c r="W46" s="406">
        <f t="shared" ca="1" si="39"/>
        <v>0.5</v>
      </c>
      <c r="X46" s="422">
        <f t="shared" ca="1" si="40"/>
        <v>42</v>
      </c>
      <c r="Y46" s="424">
        <f t="array" aca="1" ref="Y46" ca="1">IF($C46="","",VLOOKUP($A46,Table!$A:$AE,Table!Z$6,FALSE)/$X46)</f>
        <v>1.3809523809523809</v>
      </c>
      <c r="Z46" s="424">
        <f t="array" aca="1" ref="Z46" ca="1">IF($C46="","",VLOOKUP($A46,Table!$A:$AE,Table!AA$6,FALSE)/$X46)</f>
        <v>1.1904761904761905</v>
      </c>
      <c r="AA46" s="424">
        <f t="shared" ca="1" si="41"/>
        <v>2.5714285714285712</v>
      </c>
      <c r="AB46" s="475" t="str">
        <f ca="1">IF(C46="","",VLOOKUP(A46,Table!A:C,3,FALSE))</f>
        <v>Oita Trinita</v>
      </c>
      <c r="AC46" s="426">
        <f t="shared" si="42"/>
        <v>9</v>
      </c>
      <c r="AD46" s="477" t="e">
        <v>#N/A</v>
      </c>
      <c r="AE46" s="230"/>
      <c r="AF46" s="428"/>
      <c r="AG46" s="428"/>
      <c r="AH46" s="428"/>
      <c r="AI46" s="428"/>
      <c r="AJ46" s="428"/>
      <c r="AK46" s="428"/>
      <c r="AL46" s="428"/>
      <c r="AM46" s="428"/>
      <c r="AN46" s="428"/>
      <c r="AO46" s="428"/>
      <c r="AP46" s="428"/>
      <c r="AQ46" s="428"/>
      <c r="AR46" s="428"/>
      <c r="AS46" s="428"/>
      <c r="AT46" s="428"/>
      <c r="AU46" s="428"/>
      <c r="AV46" s="428"/>
      <c r="AW46" s="428"/>
      <c r="AX46" s="428"/>
      <c r="AY46" s="428"/>
      <c r="AZ46" s="428"/>
      <c r="BA46" s="428"/>
      <c r="BB46" s="428"/>
      <c r="BC46" s="428"/>
      <c r="BD46" s="428"/>
      <c r="BE46" s="428"/>
      <c r="BF46" s="428"/>
      <c r="BG46" s="428"/>
    </row>
    <row r="47" spans="1:59" s="412" customFormat="1">
      <c r="A47" s="413">
        <v>10</v>
      </c>
      <c r="B47" s="430">
        <f t="shared" ca="1" si="12"/>
        <v>2.6002370952380951</v>
      </c>
      <c r="C47" s="401" t="str">
        <f ca="1">VLOOKUP(A47,Table!A:C,2,FALSE)</f>
        <v>Yokohama</v>
      </c>
      <c r="D47" s="403">
        <f t="array" aca="1" ref="D47" ca="1">IF($C47="","",SUM(IF((INDIRECT("'"&amp;$AB47&amp;"'!I23:I200")=$B$2)*(INDIRECT("'"&amp;$AB47&amp;"'!H23:H200")="H")*(INDIRECT("'"&amp;$AB47&amp;"'!N23:N200")=D$36),1,0)))</f>
        <v>8</v>
      </c>
      <c r="E47" s="415">
        <f t="shared" ca="1" si="28"/>
        <v>0.38095238095238093</v>
      </c>
      <c r="F47" s="405">
        <f t="array" aca="1" ref="F47" ca="1">IF(C47="","",SUM(IF((INDIRECT("'"&amp;$AB47&amp;"'!I23:I200")=$B$2)*(INDIRECT("'"&amp;$AB47&amp;"'!H23:H200")="H")*(INDIRECT("'"&amp;$AB47&amp;"'!N23:N200")=F$36),1,0)))</f>
        <v>13</v>
      </c>
      <c r="G47" s="406">
        <f t="shared" ca="1" si="29"/>
        <v>0.61904761904761907</v>
      </c>
      <c r="H47" s="417">
        <f t="shared" ca="1" si="30"/>
        <v>21</v>
      </c>
      <c r="I47" s="418">
        <f t="array" aca="1" ref="I47" ca="1">IF($C47="","",VLOOKUP($A47,Table!$A:$AE,Table!H$6,FALSE)/$H47)</f>
        <v>1.4285714285714286</v>
      </c>
      <c r="J47" s="418">
        <f t="array" aca="1" ref="J47" ca="1">IF($C47="","",VLOOKUP($A47,Table!$A:$AE,Table!I$6,FALSE)/$H47)</f>
        <v>0.80952380952380953</v>
      </c>
      <c r="K47" s="408">
        <f t="shared" ca="1" si="31"/>
        <v>2.2380952380952381</v>
      </c>
      <c r="L47" s="403">
        <f t="array" aca="1" ref="L47" ca="1">IF(C47="","",SUM(IF((INDIRECT("'"&amp;$AB47&amp;"'!I23:I200")=$B$2)*(INDIRECT("'"&amp;$AB47&amp;"'!H23:H200")="A")*(INDIRECT("'"&amp;$AB47&amp;"'!N23:N200")=L$36),1,0)))</f>
        <v>13</v>
      </c>
      <c r="M47" s="415">
        <f t="shared" ca="1" si="32"/>
        <v>0.61904761904761907</v>
      </c>
      <c r="N47" s="405">
        <f t="array" aca="1" ref="N47" ca="1">IF($C47="","",SUM(IF((INDIRECT("'"&amp;$AB47&amp;"'!I23:I200")=$B$2)*(INDIRECT("'"&amp;$AB47&amp;"'!H23:H200")="A")*(INDIRECT("'"&amp;$AB47&amp;"'!N23:N200")=N$36),1,0)))</f>
        <v>8</v>
      </c>
      <c r="O47" s="406">
        <f t="shared" ca="1" si="33"/>
        <v>0.38095238095238093</v>
      </c>
      <c r="P47" s="417">
        <f t="shared" ca="1" si="34"/>
        <v>21</v>
      </c>
      <c r="Q47" s="418">
        <f t="array" aca="1" ref="Q47" ca="1">IF($C47="","",VLOOKUP($A47,Table!$A:$AE,Table!Q$6,FALSE)/$P47)</f>
        <v>1.4285714285714286</v>
      </c>
      <c r="R47" s="418">
        <f t="array" aca="1" ref="R47" ca="1">IF($C47="","",VLOOKUP($A47,Table!$A:$AE,Table!R$6,FALSE)/$P47)</f>
        <v>1.5238095238095237</v>
      </c>
      <c r="S47" s="408">
        <f t="shared" ca="1" si="35"/>
        <v>2.9523809523809526</v>
      </c>
      <c r="T47" s="419">
        <f t="shared" ca="1" si="36"/>
        <v>21</v>
      </c>
      <c r="U47" s="415">
        <f t="shared" ca="1" si="37"/>
        <v>0.5</v>
      </c>
      <c r="V47" s="416">
        <f t="shared" ca="1" si="38"/>
        <v>21</v>
      </c>
      <c r="W47" s="406">
        <f t="shared" ca="1" si="39"/>
        <v>0.5</v>
      </c>
      <c r="X47" s="422">
        <f t="shared" ca="1" si="40"/>
        <v>42</v>
      </c>
      <c r="Y47" s="424">
        <f t="array" aca="1" ref="Y47" ca="1">IF($C47="","",VLOOKUP($A47,Table!$A:$AE,Table!Z$6,FALSE)/$X47)</f>
        <v>1.4285714285714286</v>
      </c>
      <c r="Z47" s="424">
        <f t="array" aca="1" ref="Z47" ca="1">IF($C47="","",VLOOKUP($A47,Table!$A:$AE,Table!AA$6,FALSE)/$X47)</f>
        <v>1.1666666666666667</v>
      </c>
      <c r="AA47" s="424">
        <f t="shared" ca="1" si="41"/>
        <v>2.5952380952380953</v>
      </c>
      <c r="AB47" s="475" t="str">
        <f ca="1">IF(C47="","",VLOOKUP(A47,Table!A:C,3,FALSE))</f>
        <v>Yokohama</v>
      </c>
      <c r="AC47" s="426">
        <f t="shared" si="42"/>
        <v>10</v>
      </c>
      <c r="AD47" s="477" t="e">
        <v>#N/A</v>
      </c>
      <c r="AE47" s="230"/>
      <c r="AF47" s="428"/>
      <c r="AG47" s="428"/>
      <c r="AH47" s="428"/>
      <c r="AI47" s="428"/>
      <c r="AJ47" s="428"/>
      <c r="AK47" s="428"/>
      <c r="AL47" s="428"/>
      <c r="AM47" s="428"/>
      <c r="AN47" s="428"/>
      <c r="AO47" s="428"/>
      <c r="AP47" s="428"/>
      <c r="AQ47" s="428"/>
      <c r="AR47" s="428"/>
      <c r="AS47" s="428"/>
      <c r="AT47" s="428"/>
      <c r="AU47" s="428"/>
      <c r="AV47" s="428"/>
      <c r="AW47" s="428"/>
      <c r="AX47" s="428"/>
      <c r="AY47" s="428"/>
      <c r="AZ47" s="428"/>
      <c r="BA47" s="428"/>
      <c r="BB47" s="428"/>
      <c r="BC47" s="428"/>
      <c r="BD47" s="428"/>
      <c r="BE47" s="428"/>
      <c r="BF47" s="428"/>
      <c r="BG47" s="428"/>
    </row>
    <row r="48" spans="1:59" s="412" customFormat="1">
      <c r="A48" s="413">
        <v>11</v>
      </c>
      <c r="B48" s="430">
        <f t="shared" ca="1" si="12"/>
        <v>2.1938084238095241</v>
      </c>
      <c r="C48" s="401" t="str">
        <f ca="1">VLOOKUP(A48,Table!A:C,2,FALSE)</f>
        <v>Montedio Yamagata</v>
      </c>
      <c r="D48" s="403">
        <f t="array" aca="1" ref="D48" ca="1">IF($C48="","",SUM(IF((INDIRECT("'"&amp;$AB48&amp;"'!I23:I200")=$B$2)*(INDIRECT("'"&amp;$AB48&amp;"'!H23:H200")="H")*(INDIRECT("'"&amp;$AB48&amp;"'!N23:N200")=D$36),1,0)))</f>
        <v>10</v>
      </c>
      <c r="E48" s="415">
        <f t="shared" ca="1" si="28"/>
        <v>0.47619047619047616</v>
      </c>
      <c r="F48" s="405">
        <f t="array" aca="1" ref="F48" ca="1">IF(C48="","",SUM(IF((INDIRECT("'"&amp;$AB48&amp;"'!I23:I200")=$B$2)*(INDIRECT("'"&amp;$AB48&amp;"'!H23:H200")="H")*(INDIRECT("'"&amp;$AB48&amp;"'!N23:N200")=F$36),1,0)))</f>
        <v>11</v>
      </c>
      <c r="G48" s="406">
        <f t="shared" ca="1" si="29"/>
        <v>0.52380952380952384</v>
      </c>
      <c r="H48" s="417">
        <f t="shared" ca="1" si="30"/>
        <v>21</v>
      </c>
      <c r="I48" s="418">
        <f t="array" aca="1" ref="I48" ca="1">IF($C48="","",VLOOKUP($A48,Table!$A:$AE,Table!H$6,FALSE)/$H48)</f>
        <v>1.3809523809523809</v>
      </c>
      <c r="J48" s="418">
        <f t="array" aca="1" ref="J48" ca="1">IF($C48="","",VLOOKUP($A48,Table!$A:$AE,Table!I$6,FALSE)/$H48)</f>
        <v>1.0952380952380953</v>
      </c>
      <c r="K48" s="408">
        <f t="shared" ca="1" si="31"/>
        <v>2.4761904761904763</v>
      </c>
      <c r="L48" s="403">
        <f t="array" aca="1" ref="L48" ca="1">IF(C48="","",SUM(IF((INDIRECT("'"&amp;$AB48&amp;"'!I23:I200")=$B$2)*(INDIRECT("'"&amp;$AB48&amp;"'!H23:H200")="A")*(INDIRECT("'"&amp;$AB48&amp;"'!N23:N200")=L$36),1,0)))</f>
        <v>4</v>
      </c>
      <c r="M48" s="415">
        <f t="shared" ca="1" si="32"/>
        <v>0.19047619047619047</v>
      </c>
      <c r="N48" s="405">
        <f t="array" aca="1" ref="N48" ca="1">IF($C48="","",SUM(IF((INDIRECT("'"&amp;$AB48&amp;"'!I23:I200")=$B$2)*(INDIRECT("'"&amp;$AB48&amp;"'!H23:H200")="A")*(INDIRECT("'"&amp;$AB48&amp;"'!N23:N200")=N$36),1,0)))</f>
        <v>17</v>
      </c>
      <c r="O48" s="406">
        <f t="shared" ca="1" si="33"/>
        <v>0.80952380952380953</v>
      </c>
      <c r="P48" s="417">
        <f t="shared" ca="1" si="34"/>
        <v>21</v>
      </c>
      <c r="Q48" s="418">
        <f t="array" aca="1" ref="Q48" ca="1">IF($C48="","",VLOOKUP($A48,Table!$A:$AE,Table!Q$6,FALSE)/$P48)</f>
        <v>0.76190476190476186</v>
      </c>
      <c r="R48" s="418">
        <f t="array" aca="1" ref="R48" ca="1">IF($C48="","",VLOOKUP($A48,Table!$A:$AE,Table!R$6,FALSE)/$P48)</f>
        <v>1.1428571428571428</v>
      </c>
      <c r="S48" s="408">
        <f t="shared" ca="1" si="35"/>
        <v>1.9047619047619047</v>
      </c>
      <c r="T48" s="419">
        <f t="shared" ca="1" si="36"/>
        <v>14</v>
      </c>
      <c r="U48" s="415">
        <f t="shared" ca="1" si="37"/>
        <v>0.33333333333333331</v>
      </c>
      <c r="V48" s="416">
        <f t="shared" ca="1" si="38"/>
        <v>28</v>
      </c>
      <c r="W48" s="406">
        <f t="shared" ca="1" si="39"/>
        <v>0.66666666666666663</v>
      </c>
      <c r="X48" s="422">
        <f t="shared" ca="1" si="40"/>
        <v>42</v>
      </c>
      <c r="Y48" s="424">
        <f t="array" aca="1" ref="Y48" ca="1">IF($C48="","",VLOOKUP($A48,Table!$A:$AE,Table!Z$6,FALSE)/$X48)</f>
        <v>1.0714285714285714</v>
      </c>
      <c r="Z48" s="424">
        <f t="array" aca="1" ref="Z48" ca="1">IF($C48="","",VLOOKUP($A48,Table!$A:$AE,Table!AA$6,FALSE)/$X48)</f>
        <v>1.1190476190476191</v>
      </c>
      <c r="AA48" s="424">
        <f t="shared" ca="1" si="41"/>
        <v>2.1904761904761907</v>
      </c>
      <c r="AB48" s="475" t="str">
        <f ca="1">IF(C48="","",VLOOKUP(A48,Table!A:C,3,FALSE))</f>
        <v>Montedio Yamagata</v>
      </c>
      <c r="AC48" s="426">
        <f t="shared" si="42"/>
        <v>11</v>
      </c>
      <c r="AD48" s="477" t="e">
        <v>#N/A</v>
      </c>
      <c r="AE48" s="230"/>
      <c r="AF48" s="428"/>
      <c r="AG48" s="428"/>
      <c r="AH48" s="428"/>
      <c r="AI48" s="428"/>
      <c r="AJ48" s="428"/>
      <c r="AK48" s="428"/>
      <c r="AL48" s="428"/>
      <c r="AM48" s="428"/>
      <c r="AN48" s="428"/>
      <c r="AO48" s="428"/>
      <c r="AP48" s="428"/>
      <c r="AQ48" s="428"/>
      <c r="AR48" s="428"/>
      <c r="AS48" s="428"/>
      <c r="AT48" s="428"/>
      <c r="AU48" s="428"/>
      <c r="AV48" s="428"/>
      <c r="AW48" s="428"/>
      <c r="AX48" s="428"/>
      <c r="AY48" s="428"/>
      <c r="AZ48" s="428"/>
      <c r="BA48" s="428"/>
      <c r="BB48" s="428"/>
      <c r="BC48" s="428"/>
      <c r="BD48" s="428"/>
      <c r="BE48" s="428"/>
      <c r="BF48" s="428"/>
      <c r="BG48" s="428"/>
    </row>
    <row r="49" spans="1:59" s="412" customFormat="1">
      <c r="A49" s="413">
        <v>12</v>
      </c>
      <c r="B49" s="430">
        <f t="shared" ca="1" si="12"/>
        <v>2.4328559428571435</v>
      </c>
      <c r="C49" s="401" t="str">
        <f ca="1">VLOOKUP(A49,Table!A:C,2,FALSE)</f>
        <v>Kyoto Sanga</v>
      </c>
      <c r="D49" s="403">
        <f t="array" aca="1" ref="D49" ca="1">IF($C49="","",SUM(IF((INDIRECT("'"&amp;$AB49&amp;"'!I23:I200")=$B$2)*(INDIRECT("'"&amp;$AB49&amp;"'!H23:H200")="H")*(INDIRECT("'"&amp;$AB49&amp;"'!N23:N200")=D$36),1,0)))</f>
        <v>9</v>
      </c>
      <c r="E49" s="415">
        <f t="shared" ca="1" si="28"/>
        <v>0.42857142857142855</v>
      </c>
      <c r="F49" s="405">
        <f t="array" aca="1" ref="F49" ca="1">IF(C49="","",SUM(IF((INDIRECT("'"&amp;$AB49&amp;"'!I23:I200")=$B$2)*(INDIRECT("'"&amp;$AB49&amp;"'!H23:H200")="H")*(INDIRECT("'"&amp;$AB49&amp;"'!N23:N200")=F$36),1,0)))</f>
        <v>12</v>
      </c>
      <c r="G49" s="406">
        <f t="shared" ca="1" si="29"/>
        <v>0.5714285714285714</v>
      </c>
      <c r="H49" s="417">
        <f t="shared" ca="1" si="30"/>
        <v>21</v>
      </c>
      <c r="I49" s="418">
        <f t="array" aca="1" ref="I49" ca="1">IF($C49="","",VLOOKUP($A49,Table!$A:$AE,Table!H$6,FALSE)/$H49)</f>
        <v>1.2380952380952381</v>
      </c>
      <c r="J49" s="418">
        <f t="array" aca="1" ref="J49" ca="1">IF($C49="","",VLOOKUP($A49,Table!$A:$AE,Table!I$6,FALSE)/$H49)</f>
        <v>1.1428571428571428</v>
      </c>
      <c r="K49" s="408">
        <f t="shared" ca="1" si="31"/>
        <v>2.3809523809523809</v>
      </c>
      <c r="L49" s="403">
        <f t="array" aca="1" ref="L49" ca="1">IF(C49="","",SUM(IF((INDIRECT("'"&amp;$AB49&amp;"'!I23:I200")=$B$2)*(INDIRECT("'"&amp;$AB49&amp;"'!H23:H200")="A")*(INDIRECT("'"&amp;$AB49&amp;"'!N23:N200")=L$36),1,0)))</f>
        <v>9</v>
      </c>
      <c r="M49" s="415">
        <f t="shared" ca="1" si="32"/>
        <v>0.42857142857142855</v>
      </c>
      <c r="N49" s="405">
        <f t="array" aca="1" ref="N49" ca="1">IF($C49="","",SUM(IF((INDIRECT("'"&amp;$AB49&amp;"'!I23:I200")=$B$2)*(INDIRECT("'"&amp;$AB49&amp;"'!H23:H200")="A")*(INDIRECT("'"&amp;$AB49&amp;"'!N23:N200")=N$36),1,0)))</f>
        <v>12</v>
      </c>
      <c r="O49" s="406">
        <f t="shared" ca="1" si="33"/>
        <v>0.5714285714285714</v>
      </c>
      <c r="P49" s="417">
        <f t="shared" ca="1" si="34"/>
        <v>21</v>
      </c>
      <c r="Q49" s="418">
        <f t="array" aca="1" ref="Q49" ca="1">IF($C49="","",VLOOKUP($A49,Table!$A:$AE,Table!Q$6,FALSE)/$P49)</f>
        <v>1.3809523809523809</v>
      </c>
      <c r="R49" s="418">
        <f t="array" aca="1" ref="R49" ca="1">IF($C49="","",VLOOKUP($A49,Table!$A:$AE,Table!R$6,FALSE)/$P49)</f>
        <v>1.0952380952380953</v>
      </c>
      <c r="S49" s="408">
        <f t="shared" ca="1" si="35"/>
        <v>2.4761904761904763</v>
      </c>
      <c r="T49" s="419">
        <f t="shared" ca="1" si="36"/>
        <v>18</v>
      </c>
      <c r="U49" s="415">
        <f t="shared" ca="1" si="37"/>
        <v>0.42857142857142855</v>
      </c>
      <c r="V49" s="416">
        <f t="shared" ca="1" si="38"/>
        <v>24</v>
      </c>
      <c r="W49" s="406">
        <f t="shared" ca="1" si="39"/>
        <v>0.5714285714285714</v>
      </c>
      <c r="X49" s="422">
        <f t="shared" ca="1" si="40"/>
        <v>42</v>
      </c>
      <c r="Y49" s="424">
        <f t="array" aca="1" ref="Y49" ca="1">IF($C49="","",VLOOKUP($A49,Table!$A:$AE,Table!Z$6,FALSE)/$X49)</f>
        <v>1.3095238095238095</v>
      </c>
      <c r="Z49" s="424">
        <f t="array" aca="1" ref="Z49" ca="1">IF($C49="","",VLOOKUP($A49,Table!$A:$AE,Table!AA$6,FALSE)/$X49)</f>
        <v>1.1190476190476191</v>
      </c>
      <c r="AA49" s="424">
        <f t="shared" ca="1" si="41"/>
        <v>2.4285714285714288</v>
      </c>
      <c r="AB49" s="475" t="str">
        <f ca="1">IF(C49="","",VLOOKUP(A49,Table!A:C,3,FALSE))</f>
        <v>Kyoto Sanga</v>
      </c>
      <c r="AC49" s="426">
        <f t="shared" si="42"/>
        <v>12</v>
      </c>
      <c r="AD49" s="477" t="e">
        <v>#N/A</v>
      </c>
      <c r="AE49" s="230"/>
      <c r="AF49" s="428"/>
      <c r="AG49" s="428"/>
      <c r="AH49" s="428"/>
      <c r="AI49" s="428"/>
      <c r="AJ49" s="428"/>
      <c r="AK49" s="428"/>
      <c r="AL49" s="428"/>
      <c r="AM49" s="428"/>
      <c r="AN49" s="428"/>
      <c r="AO49" s="428"/>
      <c r="AP49" s="428"/>
      <c r="AQ49" s="428"/>
      <c r="AR49" s="428"/>
      <c r="AS49" s="428"/>
      <c r="AT49" s="428"/>
      <c r="AU49" s="428"/>
      <c r="AV49" s="428"/>
      <c r="AW49" s="428"/>
      <c r="AX49" s="428"/>
      <c r="AY49" s="428"/>
      <c r="AZ49" s="428"/>
      <c r="BA49" s="428"/>
      <c r="BB49" s="428"/>
      <c r="BC49" s="428"/>
      <c r="BD49" s="428"/>
      <c r="BE49" s="428"/>
      <c r="BF49" s="428"/>
      <c r="BG49" s="428"/>
    </row>
    <row r="50" spans="1:59" s="412" customFormat="1">
      <c r="A50" s="413">
        <v>13</v>
      </c>
      <c r="B50" s="430">
        <f t="shared" ca="1" si="12"/>
        <v>2.2176177476190477</v>
      </c>
      <c r="C50" s="401" t="str">
        <f ca="1">VLOOKUP(A50,Table!A:C,2,FALSE)</f>
        <v>Fagiano Okayama</v>
      </c>
      <c r="D50" s="403">
        <f t="array" aca="1" ref="D50" ca="1">IF($C50="","",SUM(IF((INDIRECT("'"&amp;$AB50&amp;"'!I23:I200")=$B$2)*(INDIRECT("'"&amp;$AB50&amp;"'!H23:H200")="H")*(INDIRECT("'"&amp;$AB50&amp;"'!N23:N200")=D$36),1,0)))</f>
        <v>9</v>
      </c>
      <c r="E50" s="415">
        <f t="shared" ca="1" si="28"/>
        <v>0.42857142857142855</v>
      </c>
      <c r="F50" s="405">
        <f t="array" aca="1" ref="F50" ca="1">IF(C50="","",SUM(IF((INDIRECT("'"&amp;$AB50&amp;"'!I23:I200")=$B$2)*(INDIRECT("'"&amp;$AB50&amp;"'!H23:H200")="H")*(INDIRECT("'"&amp;$AB50&amp;"'!N23:N200")=F$36),1,0)))</f>
        <v>12</v>
      </c>
      <c r="G50" s="406">
        <f t="shared" ca="1" si="29"/>
        <v>0.5714285714285714</v>
      </c>
      <c r="H50" s="417">
        <f t="shared" ca="1" si="30"/>
        <v>21</v>
      </c>
      <c r="I50" s="418">
        <f t="array" aca="1" ref="I50" ca="1">IF($C50="","",VLOOKUP($A50,Table!$A:$AE,Table!H$6,FALSE)/$H50)</f>
        <v>1.1428571428571428</v>
      </c>
      <c r="J50" s="418">
        <f t="array" aca="1" ref="J50" ca="1">IF($C50="","",VLOOKUP($A50,Table!$A:$AE,Table!I$6,FALSE)/$H50)</f>
        <v>1.0476190476190477</v>
      </c>
      <c r="K50" s="408">
        <f t="shared" ca="1" si="31"/>
        <v>2.1904761904761907</v>
      </c>
      <c r="L50" s="403">
        <f t="array" aca="1" ref="L50" ca="1">IF(C50="","",SUM(IF((INDIRECT("'"&amp;$AB50&amp;"'!I23:I200")=$B$2)*(INDIRECT("'"&amp;$AB50&amp;"'!H23:H200")="A")*(INDIRECT("'"&amp;$AB50&amp;"'!N23:N200")=L$36),1,0)))</f>
        <v>5</v>
      </c>
      <c r="M50" s="415">
        <f t="shared" ca="1" si="32"/>
        <v>0.23809523809523808</v>
      </c>
      <c r="N50" s="405">
        <f t="array" aca="1" ref="N50" ca="1">IF($C50="","",SUM(IF((INDIRECT("'"&amp;$AB50&amp;"'!I23:I200")=$B$2)*(INDIRECT("'"&amp;$AB50&amp;"'!H23:H200")="A")*(INDIRECT("'"&amp;$AB50&amp;"'!N23:N200")=N$36),1,0)))</f>
        <v>16</v>
      </c>
      <c r="O50" s="406">
        <f t="shared" ca="1" si="33"/>
        <v>0.76190476190476186</v>
      </c>
      <c r="P50" s="417">
        <f t="shared" ca="1" si="34"/>
        <v>21</v>
      </c>
      <c r="Q50" s="418">
        <f t="array" aca="1" ref="Q50" ca="1">IF($C50="","",VLOOKUP($A50,Table!$A:$AE,Table!Q$6,FALSE)/$P50)</f>
        <v>0.95238095238095233</v>
      </c>
      <c r="R50" s="418">
        <f t="array" aca="1" ref="R50" ca="1">IF($C50="","",VLOOKUP($A50,Table!$A:$AE,Table!R$6,FALSE)/$P50)</f>
        <v>1.2857142857142858</v>
      </c>
      <c r="S50" s="408">
        <f t="shared" ca="1" si="35"/>
        <v>2.2380952380952381</v>
      </c>
      <c r="T50" s="419">
        <f t="shared" ca="1" si="36"/>
        <v>14</v>
      </c>
      <c r="U50" s="415">
        <f t="shared" ca="1" si="37"/>
        <v>0.33333333333333331</v>
      </c>
      <c r="V50" s="416">
        <f t="shared" ca="1" si="38"/>
        <v>28</v>
      </c>
      <c r="W50" s="406">
        <f t="shared" ca="1" si="39"/>
        <v>0.66666666666666663</v>
      </c>
      <c r="X50" s="422">
        <f t="shared" ca="1" si="40"/>
        <v>42</v>
      </c>
      <c r="Y50" s="424">
        <f t="array" aca="1" ref="Y50" ca="1">IF($C50="","",VLOOKUP($A50,Table!$A:$AE,Table!Z$6,FALSE)/$X50)</f>
        <v>1.0476190476190477</v>
      </c>
      <c r="Z50" s="424">
        <f t="array" aca="1" ref="Z50" ca="1">IF($C50="","",VLOOKUP($A50,Table!$A:$AE,Table!AA$6,FALSE)/$X50)</f>
        <v>1.1666666666666667</v>
      </c>
      <c r="AA50" s="424">
        <f t="shared" ca="1" si="41"/>
        <v>2.2142857142857144</v>
      </c>
      <c r="AB50" s="475" t="str">
        <f ca="1">IF(C50="","",VLOOKUP(A50,Table!A:C,3,FALSE))</f>
        <v>Fagiano Okayama</v>
      </c>
      <c r="AC50" s="426">
        <f t="shared" si="42"/>
        <v>13</v>
      </c>
      <c r="AD50" s="477" t="e">
        <v>#N/A</v>
      </c>
      <c r="AE50" s="230"/>
      <c r="AF50" s="428"/>
      <c r="AG50" s="428"/>
      <c r="AH50" s="428"/>
      <c r="AI50" s="428"/>
      <c r="AJ50" s="428"/>
      <c r="AK50" s="428"/>
      <c r="AL50" s="428"/>
      <c r="AM50" s="428"/>
      <c r="AN50" s="428"/>
      <c r="AO50" s="428"/>
      <c r="AP50" s="428"/>
      <c r="AQ50" s="428"/>
      <c r="AR50" s="428"/>
      <c r="AS50" s="428"/>
      <c r="AT50" s="428"/>
      <c r="AU50" s="428"/>
      <c r="AV50" s="428"/>
      <c r="AW50" s="428"/>
      <c r="AX50" s="428"/>
      <c r="AY50" s="428"/>
      <c r="AZ50" s="428"/>
      <c r="BA50" s="428"/>
      <c r="BB50" s="428"/>
      <c r="BC50" s="428"/>
      <c r="BD50" s="428"/>
      <c r="BE50" s="428"/>
      <c r="BF50" s="428"/>
      <c r="BG50" s="428"/>
    </row>
    <row r="51" spans="1:59" s="412" customFormat="1">
      <c r="A51" s="413">
        <v>14</v>
      </c>
      <c r="B51" s="430">
        <f t="shared" ca="1" si="12"/>
        <v>2.2183319333333333</v>
      </c>
      <c r="C51" s="401" t="str">
        <f ca="1">VLOOKUP(A51,Table!A:C,2,FALSE)</f>
        <v>Mito Hollyhock</v>
      </c>
      <c r="D51" s="403">
        <f t="array" aca="1" ref="D51" ca="1">IF($C51="","",SUM(IF((INDIRECT("'"&amp;$AB51&amp;"'!I23:I200")=$B$2)*(INDIRECT("'"&amp;$AB51&amp;"'!H23:H200")="H")*(INDIRECT("'"&amp;$AB51&amp;"'!N23:N200")=D$36),1,0)))</f>
        <v>8</v>
      </c>
      <c r="E51" s="415">
        <f t="shared" ca="1" si="28"/>
        <v>0.38095238095238093</v>
      </c>
      <c r="F51" s="405">
        <f t="array" aca="1" ref="F51" ca="1">IF(C51="","",SUM(IF((INDIRECT("'"&amp;$AB51&amp;"'!I23:I200")=$B$2)*(INDIRECT("'"&amp;$AB51&amp;"'!H23:H200")="H")*(INDIRECT("'"&amp;$AB51&amp;"'!N23:N200")=F$36),1,0)))</f>
        <v>13</v>
      </c>
      <c r="G51" s="406">
        <f t="shared" ca="1" si="29"/>
        <v>0.61904761904761907</v>
      </c>
      <c r="H51" s="417">
        <f t="shared" ca="1" si="30"/>
        <v>21</v>
      </c>
      <c r="I51" s="418">
        <f t="array" aca="1" ref="I51" ca="1">IF($C51="","",VLOOKUP($A51,Table!$A:$AE,Table!H$6,FALSE)/$H51)</f>
        <v>1.5238095238095237</v>
      </c>
      <c r="J51" s="418">
        <f t="array" aca="1" ref="J51" ca="1">IF($C51="","",VLOOKUP($A51,Table!$A:$AE,Table!I$6,FALSE)/$H51)</f>
        <v>0.90476190476190477</v>
      </c>
      <c r="K51" s="408">
        <f t="shared" ca="1" si="31"/>
        <v>2.4285714285714284</v>
      </c>
      <c r="L51" s="403">
        <f t="array" aca="1" ref="L51" ca="1">IF(C51="","",SUM(IF((INDIRECT("'"&amp;$AB51&amp;"'!I23:I200")=$B$2)*(INDIRECT("'"&amp;$AB51&amp;"'!H23:H200")="A")*(INDIRECT("'"&amp;$AB51&amp;"'!N23:N200")=L$36),1,0)))</f>
        <v>9</v>
      </c>
      <c r="M51" s="415">
        <f t="shared" ca="1" si="32"/>
        <v>0.42857142857142855</v>
      </c>
      <c r="N51" s="405">
        <f t="array" aca="1" ref="N51" ca="1">IF($C51="","",SUM(IF((INDIRECT("'"&amp;$AB51&amp;"'!I23:I200")=$B$2)*(INDIRECT("'"&amp;$AB51&amp;"'!H23:H200")="A")*(INDIRECT("'"&amp;$AB51&amp;"'!N23:N200")=N$36),1,0)))</f>
        <v>12</v>
      </c>
      <c r="O51" s="406">
        <f t="shared" ca="1" si="33"/>
        <v>0.5714285714285714</v>
      </c>
      <c r="P51" s="417">
        <f t="shared" ca="1" si="34"/>
        <v>21</v>
      </c>
      <c r="Q51" s="418">
        <f t="array" aca="1" ref="Q51" ca="1">IF($C51="","",VLOOKUP($A51,Table!$A:$AE,Table!Q$6,FALSE)/$P51)</f>
        <v>0.61904761904761907</v>
      </c>
      <c r="R51" s="418">
        <f t="array" aca="1" ref="R51" ca="1">IF($C51="","",VLOOKUP($A51,Table!$A:$AE,Table!R$6,FALSE)/$P51)</f>
        <v>1.3809523809523809</v>
      </c>
      <c r="S51" s="408">
        <f t="shared" ca="1" si="35"/>
        <v>2</v>
      </c>
      <c r="T51" s="419">
        <f t="shared" ca="1" si="36"/>
        <v>17</v>
      </c>
      <c r="U51" s="415">
        <f t="shared" ca="1" si="37"/>
        <v>0.40476190476190477</v>
      </c>
      <c r="V51" s="416">
        <f t="shared" ca="1" si="38"/>
        <v>25</v>
      </c>
      <c r="W51" s="406">
        <f t="shared" ca="1" si="39"/>
        <v>0.59523809523809523</v>
      </c>
      <c r="X51" s="422">
        <f t="shared" ca="1" si="40"/>
        <v>42</v>
      </c>
      <c r="Y51" s="424">
        <f t="array" aca="1" ref="Y51" ca="1">IF($C51="","",VLOOKUP($A51,Table!$A:$AE,Table!Z$6,FALSE)/$X51)</f>
        <v>1.0714285714285714</v>
      </c>
      <c r="Z51" s="424">
        <f t="array" aca="1" ref="Z51" ca="1">IF($C51="","",VLOOKUP($A51,Table!$A:$AE,Table!AA$6,FALSE)/$X51)</f>
        <v>1.1428571428571428</v>
      </c>
      <c r="AA51" s="424">
        <f t="shared" ca="1" si="41"/>
        <v>2.2142857142857144</v>
      </c>
      <c r="AB51" s="475" t="str">
        <f ca="1">IF(C51="","",VLOOKUP(A51,Table!A:C,3,FALSE))</f>
        <v>Mito Hollyhock</v>
      </c>
      <c r="AC51" s="426">
        <f t="shared" si="42"/>
        <v>14</v>
      </c>
      <c r="AD51" s="477" t="e">
        <v>#N/A</v>
      </c>
      <c r="AE51" s="230"/>
      <c r="AF51" s="428"/>
      <c r="AG51" s="428"/>
      <c r="AH51" s="428"/>
      <c r="AI51" s="428"/>
      <c r="AJ51" s="428"/>
      <c r="AK51" s="428"/>
      <c r="AL51" s="428"/>
      <c r="AM51" s="428"/>
      <c r="AN51" s="428"/>
      <c r="AO51" s="428"/>
      <c r="AP51" s="428"/>
      <c r="AQ51" s="428"/>
      <c r="AR51" s="428"/>
      <c r="AS51" s="428"/>
      <c r="AT51" s="428"/>
      <c r="AU51" s="428"/>
      <c r="AV51" s="428"/>
      <c r="AW51" s="428"/>
      <c r="AX51" s="428"/>
      <c r="AY51" s="428"/>
      <c r="AZ51" s="428"/>
      <c r="BA51" s="428"/>
      <c r="BB51" s="428"/>
      <c r="BC51" s="428"/>
      <c r="BD51" s="428"/>
      <c r="BE51" s="428"/>
      <c r="BF51" s="428"/>
      <c r="BG51" s="428"/>
    </row>
    <row r="52" spans="1:59" s="412" customFormat="1">
      <c r="A52" s="413">
        <v>15</v>
      </c>
      <c r="B52" s="430">
        <f t="shared" ca="1" si="12"/>
        <v>2.9099984999999999</v>
      </c>
      <c r="C52" s="401" t="str">
        <f ca="1">VLOOKUP(A52,Table!A:C,2,FALSE)</f>
        <v>Ehime</v>
      </c>
      <c r="D52" s="403">
        <f t="array" aca="1" ref="D52" ca="1">IF($C52="","",SUM(IF((INDIRECT("'"&amp;$AB52&amp;"'!I23:I200")=$B$2)*(INDIRECT("'"&amp;$AB52&amp;"'!H23:H200")="H")*(INDIRECT("'"&amp;$AB52&amp;"'!N23:N200")=D$36),1,0)))</f>
        <v>8</v>
      </c>
      <c r="E52" s="415">
        <f t="shared" ca="1" si="13"/>
        <v>0.38095238095238093</v>
      </c>
      <c r="F52" s="405">
        <f t="array" aca="1" ref="F52" ca="1">IF(C52="","",SUM(IF((INDIRECT("'"&amp;$AB52&amp;"'!I23:I200")=$B$2)*(INDIRECT("'"&amp;$AB52&amp;"'!H23:H200")="H")*(INDIRECT("'"&amp;$AB52&amp;"'!N23:N200")=F$36),1,0)))</f>
        <v>13</v>
      </c>
      <c r="G52" s="406">
        <f t="shared" ca="1" si="14"/>
        <v>0.61904761904761907</v>
      </c>
      <c r="H52" s="417">
        <f t="shared" ca="1" si="15"/>
        <v>21</v>
      </c>
      <c r="I52" s="418">
        <f t="array" aca="1" ref="I52" ca="1">IF($C52="","",VLOOKUP($A52,Table!$A:$AE,Table!H$6,FALSE)/$H52)</f>
        <v>1.1904761904761905</v>
      </c>
      <c r="J52" s="418">
        <f t="array" aca="1" ref="J52" ca="1">IF($C52="","",VLOOKUP($A52,Table!$A:$AE,Table!I$6,FALSE)/$H52)</f>
        <v>1.0476190476190477</v>
      </c>
      <c r="K52" s="408">
        <f t="shared" ca="1" si="16"/>
        <v>2.2380952380952381</v>
      </c>
      <c r="L52" s="403">
        <f t="array" aca="1" ref="L52" ca="1">IF(C52="","",SUM(IF((INDIRECT("'"&amp;$AB52&amp;"'!I23:I200")=$B$2)*(INDIRECT("'"&amp;$AB52&amp;"'!H23:H200")="A")*(INDIRECT("'"&amp;$AB52&amp;"'!N23:N200")=L$36),1,0)))</f>
        <v>14</v>
      </c>
      <c r="M52" s="415">
        <f t="shared" ca="1" si="17"/>
        <v>0.66666666666666663</v>
      </c>
      <c r="N52" s="405">
        <f t="array" aca="1" ref="N52" ca="1">IF($C52="","",SUM(IF((INDIRECT("'"&amp;$AB52&amp;"'!I23:I200")=$B$2)*(INDIRECT("'"&amp;$AB52&amp;"'!H23:H200")="A")*(INDIRECT("'"&amp;$AB52&amp;"'!N23:N200")=N$36),1,0)))</f>
        <v>7</v>
      </c>
      <c r="O52" s="406">
        <f t="shared" ca="1" si="18"/>
        <v>0.33333333333333331</v>
      </c>
      <c r="P52" s="417">
        <f t="shared" ca="1" si="19"/>
        <v>21</v>
      </c>
      <c r="Q52" s="418">
        <f t="array" aca="1" ref="Q52" ca="1">IF($C52="","",VLOOKUP($A52,Table!$A:$AE,Table!Q$6,FALSE)/$P52)</f>
        <v>1.3809523809523809</v>
      </c>
      <c r="R52" s="418">
        <f t="array" aca="1" ref="R52" ca="1">IF($C52="","",VLOOKUP($A52,Table!$A:$AE,Table!R$6,FALSE)/$P52)</f>
        <v>2.1904761904761907</v>
      </c>
      <c r="S52" s="408">
        <f t="shared" ca="1" si="20"/>
        <v>3.5714285714285716</v>
      </c>
      <c r="T52" s="419">
        <f t="shared" ca="1" si="21"/>
        <v>22</v>
      </c>
      <c r="U52" s="415">
        <f t="shared" ca="1" si="22"/>
        <v>0.52380952380952384</v>
      </c>
      <c r="V52" s="416">
        <f t="shared" ca="1" si="23"/>
        <v>20</v>
      </c>
      <c r="W52" s="406">
        <f t="shared" ca="1" si="24"/>
        <v>0.47619047619047616</v>
      </c>
      <c r="X52" s="422">
        <f t="shared" ca="1" si="25"/>
        <v>42</v>
      </c>
      <c r="Y52" s="424">
        <f t="array" aca="1" ref="Y52" ca="1">IF($C52="","",VLOOKUP($A52,Table!$A:$AE,Table!Z$6,FALSE)/$X52)</f>
        <v>1.2857142857142858</v>
      </c>
      <c r="Z52" s="424">
        <f t="array" aca="1" ref="Z52" ca="1">IF($C52="","",VLOOKUP($A52,Table!$A:$AE,Table!AA$6,FALSE)/$X52)</f>
        <v>1.6190476190476191</v>
      </c>
      <c r="AA52" s="424">
        <f t="shared" ca="1" si="26"/>
        <v>2.9047619047619051</v>
      </c>
      <c r="AB52" s="475" t="str">
        <f ca="1">IF(C52="","",VLOOKUP(A52,Table!A:C,3,FALSE))</f>
        <v>Ehime</v>
      </c>
      <c r="AC52" s="426">
        <f t="shared" si="27"/>
        <v>15</v>
      </c>
      <c r="AD52" s="477" t="e">
        <v>#N/A</v>
      </c>
      <c r="AE52" s="230"/>
      <c r="AF52" s="428"/>
      <c r="AG52" s="428"/>
      <c r="AH52" s="428"/>
      <c r="AI52" s="428"/>
      <c r="AJ52" s="428"/>
      <c r="AK52" s="428"/>
      <c r="AL52" s="428"/>
      <c r="AM52" s="428"/>
      <c r="AN52" s="428"/>
      <c r="AO52" s="428"/>
      <c r="AP52" s="428"/>
      <c r="AQ52" s="428"/>
      <c r="AR52" s="428"/>
      <c r="AS52" s="428"/>
      <c r="AT52" s="428"/>
      <c r="AU52" s="428"/>
      <c r="AV52" s="428"/>
      <c r="AW52" s="428"/>
      <c r="AX52" s="428"/>
      <c r="AY52" s="428"/>
      <c r="AZ52" s="428"/>
      <c r="BA52" s="428"/>
      <c r="BB52" s="428"/>
      <c r="BC52" s="428"/>
      <c r="BD52" s="428"/>
      <c r="BE52" s="428"/>
      <c r="BF52" s="428"/>
      <c r="BG52" s="428"/>
    </row>
    <row r="53" spans="1:59" s="412" customFormat="1">
      <c r="A53" s="413">
        <v>16</v>
      </c>
      <c r="B53" s="430">
        <f t="shared" ca="1" si="12"/>
        <v>2.5280936380952381</v>
      </c>
      <c r="C53" s="401" t="str">
        <f ca="1">VLOOKUP(A53,Table!A:C,2,FALSE)</f>
        <v>Machida Zelvia</v>
      </c>
      <c r="D53" s="403">
        <f t="array" aca="1" ref="D53" ca="1">IF($C53="","",SUM(IF((INDIRECT("'"&amp;$AB53&amp;"'!I23:I200")=$B$2)*(INDIRECT("'"&amp;$AB53&amp;"'!H23:H200")="H")*(INDIRECT("'"&amp;$AB53&amp;"'!N23:N200")=D$36),1,0)))</f>
        <v>6</v>
      </c>
      <c r="E53" s="415">
        <f t="shared" ca="1" si="13"/>
        <v>0.2857142857142857</v>
      </c>
      <c r="F53" s="405">
        <f t="array" aca="1" ref="F53" ca="1">IF(C53="","",SUM(IF((INDIRECT("'"&amp;$AB53&amp;"'!I23:I200")=$B$2)*(INDIRECT("'"&amp;$AB53&amp;"'!H23:H200")="H")*(INDIRECT("'"&amp;$AB53&amp;"'!N23:N200")=F$36),1,0)))</f>
        <v>15</v>
      </c>
      <c r="G53" s="406">
        <f t="shared" ca="1" si="14"/>
        <v>0.7142857142857143</v>
      </c>
      <c r="H53" s="417">
        <f t="shared" ca="1" si="15"/>
        <v>21</v>
      </c>
      <c r="I53" s="418">
        <f t="array" aca="1" ref="I53" ca="1">IF($C53="","",VLOOKUP($A53,Table!$A:$AE,Table!H$6,FALSE)/$H53)</f>
        <v>0.95238095238095233</v>
      </c>
      <c r="J53" s="418">
        <f t="array" aca="1" ref="J53" ca="1">IF($C53="","",VLOOKUP($A53,Table!$A:$AE,Table!I$6,FALSE)/$H53)</f>
        <v>1.2380952380952381</v>
      </c>
      <c r="K53" s="408">
        <f t="shared" ca="1" si="16"/>
        <v>2.1904761904761907</v>
      </c>
      <c r="L53" s="403">
        <f t="array" aca="1" ref="L53" ca="1">IF(C53="","",SUM(IF((INDIRECT("'"&amp;$AB53&amp;"'!I23:I200")=$B$2)*(INDIRECT("'"&amp;$AB53&amp;"'!H23:H200")="A")*(INDIRECT("'"&amp;$AB53&amp;"'!N23:N200")=L$36),1,0)))</f>
        <v>12</v>
      </c>
      <c r="M53" s="415">
        <f t="shared" ca="1" si="17"/>
        <v>0.5714285714285714</v>
      </c>
      <c r="N53" s="405">
        <f t="array" aca="1" ref="N53" ca="1">IF($C53="","",SUM(IF((INDIRECT("'"&amp;$AB53&amp;"'!I23:I200")=$B$2)*(INDIRECT("'"&amp;$AB53&amp;"'!H23:H200")="A")*(INDIRECT("'"&amp;$AB53&amp;"'!N23:N200")=N$36),1,0)))</f>
        <v>9</v>
      </c>
      <c r="O53" s="406">
        <f t="shared" ca="1" si="18"/>
        <v>0.42857142857142855</v>
      </c>
      <c r="P53" s="417">
        <f t="shared" ca="1" si="19"/>
        <v>21</v>
      </c>
      <c r="Q53" s="418">
        <f t="array" aca="1" ref="Q53" ca="1">IF($C53="","",VLOOKUP($A53,Table!$A:$AE,Table!Q$6,FALSE)/$P53)</f>
        <v>1.5714285714285714</v>
      </c>
      <c r="R53" s="418">
        <f t="array" aca="1" ref="R53" ca="1">IF($C53="","",VLOOKUP($A53,Table!$A:$AE,Table!R$6,FALSE)/$P53)</f>
        <v>1.2857142857142858</v>
      </c>
      <c r="S53" s="408">
        <f t="shared" ca="1" si="20"/>
        <v>2.8571428571428572</v>
      </c>
      <c r="T53" s="419">
        <f t="shared" ca="1" si="21"/>
        <v>18</v>
      </c>
      <c r="U53" s="415">
        <f t="shared" ca="1" si="22"/>
        <v>0.42857142857142855</v>
      </c>
      <c r="V53" s="416">
        <f t="shared" ca="1" si="23"/>
        <v>24</v>
      </c>
      <c r="W53" s="406">
        <f t="shared" ca="1" si="24"/>
        <v>0.5714285714285714</v>
      </c>
      <c r="X53" s="422">
        <f t="shared" ca="1" si="25"/>
        <v>42</v>
      </c>
      <c r="Y53" s="424">
        <f t="array" aca="1" ref="Y53" ca="1">IF($C53="","",VLOOKUP($A53,Table!$A:$AE,Table!Z$6,FALSE)/$X53)</f>
        <v>1.2619047619047619</v>
      </c>
      <c r="Z53" s="424">
        <f t="array" aca="1" ref="Z53" ca="1">IF($C53="","",VLOOKUP($A53,Table!$A:$AE,Table!AA$6,FALSE)/$X53)</f>
        <v>1.2619047619047619</v>
      </c>
      <c r="AA53" s="424">
        <f t="shared" ca="1" si="26"/>
        <v>2.5238095238095237</v>
      </c>
      <c r="AB53" s="475" t="str">
        <f ca="1">IF(C53="","",VLOOKUP(A53,Table!A:C,3,FALSE))</f>
        <v>Machida Zelvia</v>
      </c>
      <c r="AC53" s="426">
        <f t="shared" si="27"/>
        <v>16</v>
      </c>
      <c r="AD53" s="477" t="e">
        <v>#N/A</v>
      </c>
      <c r="AE53" s="230"/>
      <c r="AF53" s="428"/>
      <c r="AG53" s="428"/>
      <c r="AH53" s="428"/>
      <c r="AI53" s="428"/>
      <c r="AJ53" s="428"/>
      <c r="AK53" s="428"/>
      <c r="AL53" s="428"/>
      <c r="AM53" s="428"/>
      <c r="AN53" s="428"/>
      <c r="AO53" s="428"/>
      <c r="AP53" s="428"/>
      <c r="AQ53" s="428"/>
      <c r="AR53" s="428"/>
      <c r="AS53" s="428"/>
      <c r="AT53" s="428"/>
      <c r="AU53" s="428"/>
      <c r="AV53" s="428"/>
      <c r="AW53" s="428"/>
      <c r="AX53" s="428"/>
      <c r="AY53" s="428"/>
      <c r="AZ53" s="428"/>
      <c r="BA53" s="428"/>
      <c r="BB53" s="428"/>
      <c r="BC53" s="428"/>
      <c r="BD53" s="428"/>
      <c r="BE53" s="428"/>
      <c r="BF53" s="428"/>
      <c r="BG53" s="428"/>
    </row>
    <row r="54" spans="1:59" s="412" customFormat="1">
      <c r="A54" s="413">
        <v>17</v>
      </c>
      <c r="B54" s="430">
        <f t="shared" ca="1" si="12"/>
        <v>2.767141157142857</v>
      </c>
      <c r="C54" s="401" t="str">
        <f ca="1">VLOOKUP(A54,Table!A:C,2,FALSE)</f>
        <v>Zweigen Kanazawa</v>
      </c>
      <c r="D54" s="403">
        <f t="array" aca="1" ref="D54" ca="1">IF($C54="","",SUM(IF((INDIRECT("'"&amp;$AB54&amp;"'!I23:I200")=$B$2)*(INDIRECT("'"&amp;$AB54&amp;"'!H23:H200")="H")*(INDIRECT("'"&amp;$AB54&amp;"'!N23:N200")=D$36),1,0)))</f>
        <v>13</v>
      </c>
      <c r="E54" s="415">
        <f t="shared" ca="1" si="13"/>
        <v>0.61904761904761907</v>
      </c>
      <c r="F54" s="405">
        <f t="array" aca="1" ref="F54" ca="1">IF(C54="","",SUM(IF((INDIRECT("'"&amp;$AB54&amp;"'!I23:I200")=$B$2)*(INDIRECT("'"&amp;$AB54&amp;"'!H23:H200")="H")*(INDIRECT("'"&amp;$AB54&amp;"'!N23:N200")=F$36),1,0)))</f>
        <v>8</v>
      </c>
      <c r="G54" s="406">
        <f t="shared" ca="1" si="14"/>
        <v>0.38095238095238093</v>
      </c>
      <c r="H54" s="417">
        <f t="shared" ca="1" si="15"/>
        <v>21</v>
      </c>
      <c r="I54" s="418">
        <f t="array" aca="1" ref="I54" ca="1">IF($C54="","",VLOOKUP($A54,Table!$A:$AE,Table!H$6,FALSE)/$H54)</f>
        <v>1.2857142857142858</v>
      </c>
      <c r="J54" s="418">
        <f t="array" aca="1" ref="J54" ca="1">IF($C54="","",VLOOKUP($A54,Table!$A:$AE,Table!I$6,FALSE)/$H54)</f>
        <v>1.6190476190476191</v>
      </c>
      <c r="K54" s="408">
        <f t="shared" ca="1" si="16"/>
        <v>2.9047619047619051</v>
      </c>
      <c r="L54" s="403">
        <f t="array" aca="1" ref="L54" ca="1">IF(C54="","",SUM(IF((INDIRECT("'"&amp;$AB54&amp;"'!I23:I200")=$B$2)*(INDIRECT("'"&amp;$AB54&amp;"'!H23:H200")="A")*(INDIRECT("'"&amp;$AB54&amp;"'!N23:N200")=L$36),1,0)))</f>
        <v>9</v>
      </c>
      <c r="M54" s="415">
        <f t="shared" ca="1" si="17"/>
        <v>0.42857142857142855</v>
      </c>
      <c r="N54" s="405">
        <f t="array" aca="1" ref="N54" ca="1">IF($C54="","",SUM(IF((INDIRECT("'"&amp;$AB54&amp;"'!I23:I200")=$B$2)*(INDIRECT("'"&amp;$AB54&amp;"'!H23:H200")="A")*(INDIRECT("'"&amp;$AB54&amp;"'!N23:N200")=N$36),1,0)))</f>
        <v>12</v>
      </c>
      <c r="O54" s="406">
        <f t="shared" ca="1" si="18"/>
        <v>0.5714285714285714</v>
      </c>
      <c r="P54" s="417">
        <f t="shared" ca="1" si="19"/>
        <v>21</v>
      </c>
      <c r="Q54" s="418">
        <f t="array" aca="1" ref="Q54" ca="1">IF($C54="","",VLOOKUP($A54,Table!$A:$AE,Table!Q$6,FALSE)/$P54)</f>
        <v>1.0476190476190477</v>
      </c>
      <c r="R54" s="418">
        <f t="array" aca="1" ref="R54" ca="1">IF($C54="","",VLOOKUP($A54,Table!$A:$AE,Table!R$6,FALSE)/$P54)</f>
        <v>1.5714285714285714</v>
      </c>
      <c r="S54" s="408">
        <f t="shared" ca="1" si="20"/>
        <v>2.6190476190476191</v>
      </c>
      <c r="T54" s="419">
        <f t="shared" ca="1" si="21"/>
        <v>22</v>
      </c>
      <c r="U54" s="415">
        <f t="shared" ca="1" si="22"/>
        <v>0.52380952380952384</v>
      </c>
      <c r="V54" s="416">
        <f t="shared" ca="1" si="23"/>
        <v>20</v>
      </c>
      <c r="W54" s="406">
        <f t="shared" ca="1" si="24"/>
        <v>0.47619047619047616</v>
      </c>
      <c r="X54" s="422">
        <f t="shared" ca="1" si="25"/>
        <v>42</v>
      </c>
      <c r="Y54" s="424">
        <f t="array" aca="1" ref="Y54" ca="1">IF($C54="","",VLOOKUP($A54,Table!$A:$AE,Table!Z$6,FALSE)/$X54)</f>
        <v>1.1666666666666667</v>
      </c>
      <c r="Z54" s="424">
        <f t="array" aca="1" ref="Z54" ca="1">IF($C54="","",VLOOKUP($A54,Table!$A:$AE,Table!AA$6,FALSE)/$X54)</f>
        <v>1.5952380952380953</v>
      </c>
      <c r="AA54" s="424">
        <f t="shared" ca="1" si="26"/>
        <v>2.7619047619047619</v>
      </c>
      <c r="AB54" s="475" t="str">
        <f ca="1">IF(C54="","",VLOOKUP(A54,Table!A:C,3,FALSE))</f>
        <v>Zweigen Kanazawa</v>
      </c>
      <c r="AC54" s="426">
        <f t="shared" si="27"/>
        <v>17</v>
      </c>
      <c r="AD54" s="477" t="e">
        <v>#N/A</v>
      </c>
      <c r="AE54" s="230"/>
      <c r="AF54" s="428"/>
      <c r="AG54" s="428"/>
      <c r="AH54" s="428"/>
      <c r="AI54" s="428"/>
      <c r="AJ54" s="428"/>
      <c r="AK54" s="428"/>
      <c r="AL54" s="428"/>
      <c r="AM54" s="428"/>
      <c r="AN54" s="428"/>
      <c r="AO54" s="428"/>
      <c r="AP54" s="428"/>
      <c r="AQ54" s="428"/>
      <c r="AR54" s="428"/>
      <c r="AS54" s="428"/>
      <c r="AT54" s="428"/>
      <c r="AU54" s="428"/>
      <c r="AV54" s="428"/>
      <c r="AW54" s="428"/>
      <c r="AX54" s="428"/>
      <c r="AY54" s="428"/>
      <c r="AZ54" s="428"/>
      <c r="BA54" s="428"/>
      <c r="BB54" s="428"/>
      <c r="BC54" s="428"/>
      <c r="BD54" s="428"/>
      <c r="BE54" s="428"/>
      <c r="BF54" s="428"/>
      <c r="BG54" s="428"/>
    </row>
    <row r="55" spans="1:59" s="412" customFormat="1">
      <c r="A55" s="413">
        <v>18</v>
      </c>
      <c r="B55" s="430">
        <f t="shared" ca="1" si="12"/>
        <v>2.9571410571428571</v>
      </c>
      <c r="C55" s="401" t="str">
        <f ca="1">VLOOKUP(A55,Table!A:C,2,FALSE)</f>
        <v>Gifu</v>
      </c>
      <c r="D55" s="403">
        <f t="array" aca="1" ref="D55" ca="1">IF($C55="","",SUM(IF((INDIRECT("'"&amp;$AB55&amp;"'!I23:I200")=$B$2)*(INDIRECT("'"&amp;$AB55&amp;"'!H23:H200")="H")*(INDIRECT("'"&amp;$AB55&amp;"'!N23:N200")=D$36),1,0)))</f>
        <v>12</v>
      </c>
      <c r="E55" s="415">
        <f t="shared" ca="1" si="13"/>
        <v>0.5714285714285714</v>
      </c>
      <c r="F55" s="405">
        <f t="array" aca="1" ref="F55" ca="1">IF(C55="","",SUM(IF((INDIRECT("'"&amp;$AB55&amp;"'!I23:I200")=$B$2)*(INDIRECT("'"&amp;$AB55&amp;"'!H23:H200")="H")*(INDIRECT("'"&amp;$AB55&amp;"'!N23:N200")=F$36),1,0)))</f>
        <v>9</v>
      </c>
      <c r="G55" s="406">
        <f t="shared" ca="1" si="14"/>
        <v>0.42857142857142855</v>
      </c>
      <c r="H55" s="417">
        <f t="shared" ca="1" si="15"/>
        <v>21</v>
      </c>
      <c r="I55" s="418">
        <f t="array" aca="1" ref="I55" ca="1">IF($C55="","",VLOOKUP($A55,Table!$A:$AE,Table!H$6,FALSE)/$H55)</f>
        <v>1.4285714285714286</v>
      </c>
      <c r="J55" s="418">
        <f t="array" aca="1" ref="J55" ca="1">IF($C55="","",VLOOKUP($A55,Table!$A:$AE,Table!I$6,FALSE)/$H55)</f>
        <v>1.9523809523809523</v>
      </c>
      <c r="K55" s="408">
        <f t="shared" ca="1" si="16"/>
        <v>3.3809523809523809</v>
      </c>
      <c r="L55" s="403">
        <f t="array" aca="1" ref="L55" ca="1">IF(C55="","",SUM(IF((INDIRECT("'"&amp;$AB55&amp;"'!I23:I200")=$B$2)*(INDIRECT("'"&amp;$AB55&amp;"'!H23:H200")="A")*(INDIRECT("'"&amp;$AB55&amp;"'!N23:N200")=L$36),1,0)))</f>
        <v>8</v>
      </c>
      <c r="M55" s="415">
        <f t="shared" ca="1" si="17"/>
        <v>0.38095238095238093</v>
      </c>
      <c r="N55" s="405">
        <f t="array" aca="1" ref="N55" ca="1">IF($C55="","",SUM(IF((INDIRECT("'"&amp;$AB55&amp;"'!I23:I200")=$B$2)*(INDIRECT("'"&amp;$AB55&amp;"'!H23:H200")="A")*(INDIRECT("'"&amp;$AB55&amp;"'!N23:N200")=N$36),1,0)))</f>
        <v>13</v>
      </c>
      <c r="O55" s="406">
        <f t="shared" ca="1" si="18"/>
        <v>0.61904761904761907</v>
      </c>
      <c r="P55" s="417">
        <f t="shared" ca="1" si="19"/>
        <v>21</v>
      </c>
      <c r="Q55" s="418">
        <f t="array" aca="1" ref="Q55" ca="1">IF($C55="","",VLOOKUP($A55,Table!$A:$AE,Table!Q$6,FALSE)/$P55)</f>
        <v>1.2380952380952381</v>
      </c>
      <c r="R55" s="418">
        <f t="array" aca="1" ref="R55" ca="1">IF($C55="","",VLOOKUP($A55,Table!$A:$AE,Table!R$6,FALSE)/$P55)</f>
        <v>1.2857142857142858</v>
      </c>
      <c r="S55" s="408">
        <f t="shared" ca="1" si="20"/>
        <v>2.5238095238095237</v>
      </c>
      <c r="T55" s="419">
        <f t="shared" ca="1" si="21"/>
        <v>20</v>
      </c>
      <c r="U55" s="415">
        <f t="shared" ca="1" si="22"/>
        <v>0.47619047619047616</v>
      </c>
      <c r="V55" s="416">
        <f t="shared" ca="1" si="23"/>
        <v>22</v>
      </c>
      <c r="W55" s="406">
        <f t="shared" ca="1" si="24"/>
        <v>0.52380952380952384</v>
      </c>
      <c r="X55" s="422">
        <f t="shared" ca="1" si="25"/>
        <v>42</v>
      </c>
      <c r="Y55" s="424">
        <f t="array" aca="1" ref="Y55" ca="1">IF($C55="","",VLOOKUP($A55,Table!$A:$AE,Table!Z$6,FALSE)/$X55)</f>
        <v>1.3333333333333333</v>
      </c>
      <c r="Z55" s="424">
        <f t="array" aca="1" ref="Z55" ca="1">IF($C55="","",VLOOKUP($A55,Table!$A:$AE,Table!AA$6,FALSE)/$X55)</f>
        <v>1.6190476190476191</v>
      </c>
      <c r="AA55" s="424">
        <f t="shared" ca="1" si="26"/>
        <v>2.9523809523809526</v>
      </c>
      <c r="AB55" s="475" t="str">
        <f ca="1">IF(C55="","",VLOOKUP(A55,Table!A:C,3,FALSE))</f>
        <v>Gifu</v>
      </c>
      <c r="AC55" s="426">
        <f t="shared" si="27"/>
        <v>18</v>
      </c>
      <c r="AD55" s="477" t="e">
        <v>#N/A</v>
      </c>
      <c r="AE55" s="230"/>
      <c r="AF55" s="428"/>
      <c r="AG55" s="428"/>
      <c r="AH55" s="428"/>
      <c r="AI55" s="428"/>
      <c r="AJ55" s="428"/>
      <c r="AK55" s="428"/>
      <c r="AL55" s="428"/>
      <c r="AM55" s="428"/>
      <c r="AN55" s="428"/>
      <c r="AO55" s="428"/>
      <c r="AP55" s="428"/>
      <c r="AQ55" s="428"/>
      <c r="AR55" s="428"/>
      <c r="AS55" s="428"/>
      <c r="AT55" s="428"/>
      <c r="AU55" s="428"/>
      <c r="AV55" s="428"/>
      <c r="AW55" s="428"/>
      <c r="AX55" s="428"/>
      <c r="AY55" s="428"/>
      <c r="AZ55" s="428"/>
      <c r="BA55" s="428"/>
      <c r="BB55" s="428"/>
      <c r="BC55" s="428"/>
      <c r="BD55" s="428"/>
      <c r="BE55" s="428"/>
      <c r="BF55" s="428"/>
      <c r="BG55" s="428"/>
    </row>
    <row r="56" spans="1:59" s="412" customFormat="1">
      <c r="A56" s="413">
        <v>19</v>
      </c>
      <c r="B56" s="430">
        <f t="shared" ca="1" si="12"/>
        <v>2.4335695285714283</v>
      </c>
      <c r="C56" s="401" t="str">
        <f ca="1">VLOOKUP(A56,Table!A:C,2,FALSE)</f>
        <v>Kamatamare Sanuki</v>
      </c>
      <c r="D56" s="403">
        <f t="array" aca="1" ref="D56" ca="1">IF($C56="","",SUM(IF((INDIRECT("'"&amp;$AB56&amp;"'!I23:I200")=$B$2)*(INDIRECT("'"&amp;$AB56&amp;"'!H23:H200")="H")*(INDIRECT("'"&amp;$AB56&amp;"'!N23:N200")=D$36),1,0)))</f>
        <v>8</v>
      </c>
      <c r="E56" s="415">
        <f t="shared" ca="1" si="13"/>
        <v>0.38095238095238093</v>
      </c>
      <c r="F56" s="405">
        <f t="array" aca="1" ref="F56" ca="1">IF(C56="","",SUM(IF((INDIRECT("'"&amp;$AB56&amp;"'!I23:I200")=$B$2)*(INDIRECT("'"&amp;$AB56&amp;"'!H23:H200")="H")*(INDIRECT("'"&amp;$AB56&amp;"'!N23:N200")=F$36),1,0)))</f>
        <v>13</v>
      </c>
      <c r="G56" s="406">
        <f t="shared" ca="1" si="14"/>
        <v>0.61904761904761907</v>
      </c>
      <c r="H56" s="417">
        <f t="shared" ca="1" si="15"/>
        <v>21</v>
      </c>
      <c r="I56" s="418">
        <f t="array" aca="1" ref="I56" ca="1">IF($C56="","",VLOOKUP($A56,Table!$A:$AE,Table!H$6,FALSE)/$H56)</f>
        <v>0.90476190476190477</v>
      </c>
      <c r="J56" s="418">
        <f t="array" aca="1" ref="J56" ca="1">IF($C56="","",VLOOKUP($A56,Table!$A:$AE,Table!I$6,FALSE)/$H56)</f>
        <v>1.1904761904761905</v>
      </c>
      <c r="K56" s="408">
        <f t="shared" ca="1" si="16"/>
        <v>2.0952380952380953</v>
      </c>
      <c r="L56" s="403">
        <f t="array" aca="1" ref="L56" ca="1">IF(C56="","",SUM(IF((INDIRECT("'"&amp;$AB56&amp;"'!I23:I200")=$B$2)*(INDIRECT("'"&amp;$AB56&amp;"'!H23:H200")="A")*(INDIRECT("'"&amp;$AB56&amp;"'!N23:N200")=L$36),1,0)))</f>
        <v>13</v>
      </c>
      <c r="M56" s="415">
        <f t="shared" ca="1" si="17"/>
        <v>0.61904761904761907</v>
      </c>
      <c r="N56" s="405">
        <f t="array" aca="1" ref="N56" ca="1">IF($C56="","",SUM(IF((INDIRECT("'"&amp;$AB56&amp;"'!I23:I200")=$B$2)*(INDIRECT("'"&amp;$AB56&amp;"'!H23:H200")="A")*(INDIRECT("'"&amp;$AB56&amp;"'!N23:N200")=N$36),1,0)))</f>
        <v>8</v>
      </c>
      <c r="O56" s="406">
        <f t="shared" ca="1" si="18"/>
        <v>0.38095238095238093</v>
      </c>
      <c r="P56" s="417">
        <f t="shared" ca="1" si="19"/>
        <v>21</v>
      </c>
      <c r="Q56" s="418">
        <f t="array" aca="1" ref="Q56" ca="1">IF($C56="","",VLOOKUP($A56,Table!$A:$AE,Table!Q$6,FALSE)/$P56)</f>
        <v>1.0476190476190477</v>
      </c>
      <c r="R56" s="418">
        <f t="array" aca="1" ref="R56" ca="1">IF($C56="","",VLOOKUP($A56,Table!$A:$AE,Table!R$6,FALSE)/$P56)</f>
        <v>1.7142857142857142</v>
      </c>
      <c r="S56" s="408">
        <f t="shared" ca="1" si="20"/>
        <v>2.7619047619047619</v>
      </c>
      <c r="T56" s="419">
        <f t="shared" ca="1" si="21"/>
        <v>21</v>
      </c>
      <c r="U56" s="415">
        <f t="shared" ca="1" si="22"/>
        <v>0.5</v>
      </c>
      <c r="V56" s="416">
        <f t="shared" ca="1" si="23"/>
        <v>21</v>
      </c>
      <c r="W56" s="406">
        <f t="shared" ca="1" si="24"/>
        <v>0.5</v>
      </c>
      <c r="X56" s="422">
        <f t="shared" ca="1" si="25"/>
        <v>42</v>
      </c>
      <c r="Y56" s="424">
        <f t="array" aca="1" ref="Y56" ca="1">IF($C56="","",VLOOKUP($A56,Table!$A:$AE,Table!Z$6,FALSE)/$X56)</f>
        <v>0.97619047619047616</v>
      </c>
      <c r="Z56" s="424">
        <f t="array" aca="1" ref="Z56" ca="1">IF($C56="","",VLOOKUP($A56,Table!$A:$AE,Table!AA$6,FALSE)/$X56)</f>
        <v>1.4523809523809523</v>
      </c>
      <c r="AA56" s="424">
        <f t="shared" ca="1" si="26"/>
        <v>2.4285714285714284</v>
      </c>
      <c r="AB56" s="475" t="str">
        <f ca="1">IF(C56="","",VLOOKUP(A56,Table!A:C,3,FALSE))</f>
        <v>Kamatamare Sanuki</v>
      </c>
      <c r="AC56" s="426">
        <f t="shared" si="27"/>
        <v>19</v>
      </c>
      <c r="AD56" s="477" t="e">
        <v>#N/A</v>
      </c>
      <c r="AE56" s="230"/>
      <c r="AF56" s="428"/>
      <c r="AG56" s="428"/>
      <c r="AH56" s="428"/>
      <c r="AI56" s="428"/>
      <c r="AJ56" s="428"/>
      <c r="AK56" s="428"/>
      <c r="AL56" s="428"/>
      <c r="AM56" s="428"/>
      <c r="AN56" s="428"/>
      <c r="AO56" s="428"/>
      <c r="AP56" s="428"/>
      <c r="AQ56" s="428"/>
      <c r="AR56" s="428"/>
      <c r="AS56" s="428"/>
      <c r="AT56" s="428"/>
      <c r="AU56" s="428"/>
      <c r="AV56" s="428"/>
      <c r="AW56" s="428"/>
      <c r="AX56" s="428"/>
      <c r="AY56" s="428"/>
      <c r="AZ56" s="428"/>
      <c r="BA56" s="428"/>
      <c r="BB56" s="428"/>
      <c r="BC56" s="428"/>
      <c r="BD56" s="428"/>
      <c r="BE56" s="428"/>
      <c r="BF56" s="428"/>
      <c r="BG56" s="428"/>
    </row>
    <row r="57" spans="1:59" s="412" customFormat="1">
      <c r="A57" s="413">
        <v>20</v>
      </c>
      <c r="B57" s="430">
        <f t="shared" ca="1" si="12"/>
        <v>2.7911884761904764</v>
      </c>
      <c r="C57" s="401" t="str">
        <f ca="1">VLOOKUP(A57,Table!A:C,2,FALSE)</f>
        <v>Renofa Yamaguchi</v>
      </c>
      <c r="D57" s="403">
        <f t="array" aca="1" ref="D57" ca="1">IF($C57="","",SUM(IF((INDIRECT("'"&amp;$AB57&amp;"'!I23:I200")=$B$2)*(INDIRECT("'"&amp;$AB57&amp;"'!H23:H200")="H")*(INDIRECT("'"&amp;$AB57&amp;"'!N23:N200")=D$36),1,0)))</f>
        <v>9</v>
      </c>
      <c r="E57" s="415">
        <f t="shared" ca="1" si="13"/>
        <v>0.42857142857142855</v>
      </c>
      <c r="F57" s="405">
        <f t="array" aca="1" ref="F57" ca="1">IF(C57="","",SUM(IF((INDIRECT("'"&amp;$AB57&amp;"'!I23:I200")=$B$2)*(INDIRECT("'"&amp;$AB57&amp;"'!H23:H200")="H")*(INDIRECT("'"&amp;$AB57&amp;"'!N23:N200")=F$36),1,0)))</f>
        <v>12</v>
      </c>
      <c r="G57" s="406">
        <f t="shared" ca="1" si="14"/>
        <v>0.5714285714285714</v>
      </c>
      <c r="H57" s="417">
        <f t="shared" ca="1" si="15"/>
        <v>21</v>
      </c>
      <c r="I57" s="418">
        <f t="array" aca="1" ref="I57" ca="1">IF($C57="","",VLOOKUP($A57,Table!$A:$AE,Table!H$6,FALSE)/$H57)</f>
        <v>0.95238095238095233</v>
      </c>
      <c r="J57" s="418">
        <f t="array" aca="1" ref="J57" ca="1">IF($C57="","",VLOOKUP($A57,Table!$A:$AE,Table!I$6,FALSE)/$H57)</f>
        <v>1.6190476190476191</v>
      </c>
      <c r="K57" s="408">
        <f t="shared" ca="1" si="16"/>
        <v>2.5714285714285712</v>
      </c>
      <c r="L57" s="403">
        <f t="array" aca="1" ref="L57" ca="1">IF(C57="","",SUM(IF((INDIRECT("'"&amp;$AB57&amp;"'!I23:I200")=$B$2)*(INDIRECT("'"&amp;$AB57&amp;"'!H23:H200")="A")*(INDIRECT("'"&amp;$AB57&amp;"'!N23:N200")=L$36),1,0)))</f>
        <v>14</v>
      </c>
      <c r="M57" s="415">
        <f t="shared" ca="1" si="17"/>
        <v>0.66666666666666663</v>
      </c>
      <c r="N57" s="405">
        <f t="array" aca="1" ref="N57" ca="1">IF($C57="","",SUM(IF((INDIRECT("'"&amp;$AB57&amp;"'!I23:I200")=$B$2)*(INDIRECT("'"&amp;$AB57&amp;"'!H23:H200")="A")*(INDIRECT("'"&amp;$AB57&amp;"'!N23:N200")=N$36),1,0)))</f>
        <v>7</v>
      </c>
      <c r="O57" s="406">
        <f t="shared" ca="1" si="18"/>
        <v>0.33333333333333331</v>
      </c>
      <c r="P57" s="417">
        <f t="shared" ca="1" si="19"/>
        <v>21</v>
      </c>
      <c r="Q57" s="418">
        <f t="array" aca="1" ref="Q57" ca="1">IF($C57="","",VLOOKUP($A57,Table!$A:$AE,Table!Q$6,FALSE)/$P57)</f>
        <v>1.3333333333333333</v>
      </c>
      <c r="R57" s="418">
        <f t="array" aca="1" ref="R57" ca="1">IF($C57="","",VLOOKUP($A57,Table!$A:$AE,Table!R$6,FALSE)/$P57)</f>
        <v>1.6666666666666667</v>
      </c>
      <c r="S57" s="408">
        <f t="shared" ca="1" si="20"/>
        <v>3</v>
      </c>
      <c r="T57" s="419">
        <f t="shared" ca="1" si="21"/>
        <v>23</v>
      </c>
      <c r="U57" s="415">
        <f t="shared" ca="1" si="22"/>
        <v>0.54761904761904767</v>
      </c>
      <c r="V57" s="416">
        <f t="shared" ca="1" si="23"/>
        <v>19</v>
      </c>
      <c r="W57" s="406">
        <f t="shared" ca="1" si="24"/>
        <v>0.45238095238095238</v>
      </c>
      <c r="X57" s="422">
        <f t="shared" ca="1" si="25"/>
        <v>42</v>
      </c>
      <c r="Y57" s="424">
        <f t="array" aca="1" ref="Y57" ca="1">IF($C57="","",VLOOKUP($A57,Table!$A:$AE,Table!Z$6,FALSE)/$X57)</f>
        <v>1.1428571428571428</v>
      </c>
      <c r="Z57" s="424">
        <f t="array" aca="1" ref="Z57" ca="1">IF($C57="","",VLOOKUP($A57,Table!$A:$AE,Table!AA$6,FALSE)/$X57)</f>
        <v>1.6428571428571428</v>
      </c>
      <c r="AA57" s="424">
        <f t="shared" ca="1" si="26"/>
        <v>2.7857142857142856</v>
      </c>
      <c r="AB57" s="475" t="str">
        <f ca="1">IF(C57="","",VLOOKUP(A57,Table!A:C,3,FALSE))</f>
        <v>Renofa Yamaguchi</v>
      </c>
      <c r="AC57" s="426">
        <f t="shared" si="27"/>
        <v>20</v>
      </c>
      <c r="AD57" s="477" t="e">
        <v>#N/A</v>
      </c>
      <c r="AE57" s="230"/>
      <c r="AF57" s="428"/>
      <c r="AG57" s="428"/>
      <c r="AH57" s="428"/>
      <c r="AI57" s="428"/>
      <c r="AJ57" s="428"/>
      <c r="AK57" s="428"/>
      <c r="AL57" s="428"/>
      <c r="AM57" s="428"/>
      <c r="AN57" s="428"/>
      <c r="AO57" s="428"/>
      <c r="AP57" s="428"/>
      <c r="AQ57" s="428"/>
      <c r="AR57" s="428"/>
      <c r="AS57" s="428"/>
      <c r="AT57" s="428"/>
      <c r="AU57" s="428"/>
      <c r="AV57" s="428"/>
      <c r="AW57" s="428"/>
      <c r="AX57" s="428"/>
      <c r="AY57" s="428"/>
      <c r="AZ57" s="428"/>
      <c r="BA57" s="428"/>
      <c r="BB57" s="428"/>
      <c r="BC57" s="428"/>
      <c r="BD57" s="428"/>
      <c r="BE57" s="428"/>
      <c r="BF57" s="428"/>
      <c r="BG57" s="428"/>
    </row>
    <row r="58" spans="1:59" s="412" customFormat="1">
      <c r="A58" s="413">
        <v>21</v>
      </c>
      <c r="B58" s="430" t="e">
        <f t="shared" ca="1" si="12"/>
        <v>#REF!</v>
      </c>
      <c r="C58" s="401" t="str">
        <f ca="1">VLOOKUP(A58,Table!A:C,2,FALSE)</f>
        <v>Roasso Kumamoto</v>
      </c>
      <c r="D58" s="403" t="e">
        <f t="array" aca="1" ref="D58" ca="1">IF($C58="","",SUM(IF((INDIRECT("'"&amp;$AB58&amp;"'!I23:I200")=$B$2)*(INDIRECT("'"&amp;$AB58&amp;"'!H23:H200")="H")*(INDIRECT("'"&amp;$AB58&amp;"'!N23:N200")=D$36),1,0)))</f>
        <v>#REF!</v>
      </c>
      <c r="E58" s="415" t="e">
        <f t="shared" ca="1" si="13"/>
        <v>#REF!</v>
      </c>
      <c r="F58" s="405" t="e">
        <f t="array" aca="1" ref="F58" ca="1">IF(C58="","",SUM(IF((INDIRECT("'"&amp;$AB58&amp;"'!I23:I200")=$B$2)*(INDIRECT("'"&amp;$AB58&amp;"'!H23:H200")="H")*(INDIRECT("'"&amp;$AB58&amp;"'!N23:N200")=F$36),1,0)))</f>
        <v>#REF!</v>
      </c>
      <c r="G58" s="406" t="e">
        <f t="shared" ca="1" si="14"/>
        <v>#REF!</v>
      </c>
      <c r="H58" s="417" t="e">
        <f t="shared" ca="1" si="15"/>
        <v>#REF!</v>
      </c>
      <c r="I58" s="418" t="e">
        <f t="array" aca="1" ref="I58" ca="1">IF($C58="","",VLOOKUP($A58,Table!$A:$AE,Table!H$6,FALSE)/$H58)</f>
        <v>#REF!</v>
      </c>
      <c r="J58" s="418" t="e">
        <f t="array" aca="1" ref="J58" ca="1">IF($C58="","",VLOOKUP($A58,Table!$A:$AE,Table!I$6,FALSE)/$H58)</f>
        <v>#REF!</v>
      </c>
      <c r="K58" s="408" t="e">
        <f t="shared" ca="1" si="16"/>
        <v>#REF!</v>
      </c>
      <c r="L58" s="403" t="e">
        <f t="array" aca="1" ref="L58" ca="1">IF(C58="","",SUM(IF((INDIRECT("'"&amp;$AB58&amp;"'!I23:I200")=$B$2)*(INDIRECT("'"&amp;$AB58&amp;"'!H23:H200")="A")*(INDIRECT("'"&amp;$AB58&amp;"'!N23:N200")=L$36),1,0)))</f>
        <v>#REF!</v>
      </c>
      <c r="M58" s="415" t="e">
        <f t="shared" ca="1" si="17"/>
        <v>#REF!</v>
      </c>
      <c r="N58" s="405" t="e">
        <f t="array" aca="1" ref="N58" ca="1">IF($C58="","",SUM(IF((INDIRECT("'"&amp;$AB58&amp;"'!I23:I200")=$B$2)*(INDIRECT("'"&amp;$AB58&amp;"'!H23:H200")="A")*(INDIRECT("'"&amp;$AB58&amp;"'!N23:N200")=N$36),1,0)))</f>
        <v>#REF!</v>
      </c>
      <c r="O58" s="406" t="e">
        <f t="shared" ca="1" si="18"/>
        <v>#REF!</v>
      </c>
      <c r="P58" s="417" t="e">
        <f t="shared" ref="P58:P61" ca="1" si="43">IF($C58="","",L58+N58)</f>
        <v>#REF!</v>
      </c>
      <c r="Q58" s="418" t="e">
        <f t="array" aca="1" ref="Q58" ca="1">IF($C58="","",VLOOKUP($A58,Table!$A:$AE,Table!Q$6,FALSE)/$P58)</f>
        <v>#REF!</v>
      </c>
      <c r="R58" s="418" t="e">
        <f t="array" aca="1" ref="R58" ca="1">IF($C58="","",VLOOKUP($A58,Table!$A:$AE,Table!R$6,FALSE)/$P58)</f>
        <v>#REF!</v>
      </c>
      <c r="S58" s="408" t="e">
        <f t="shared" ref="S58:S61" ca="1" si="44">IF($C58="","",Q58+R58)</f>
        <v>#REF!</v>
      </c>
      <c r="T58" s="419" t="e">
        <f t="shared" ca="1" si="21"/>
        <v>#REF!</v>
      </c>
      <c r="U58" s="415" t="e">
        <f t="shared" ca="1" si="22"/>
        <v>#REF!</v>
      </c>
      <c r="V58" s="416" t="e">
        <f t="shared" ca="1" si="23"/>
        <v>#REF!</v>
      </c>
      <c r="W58" s="406" t="e">
        <f t="shared" ca="1" si="24"/>
        <v>#REF!</v>
      </c>
      <c r="X58" s="422" t="e">
        <f t="shared" ref="X58:X61" ca="1" si="45">IF($C58="","",T58+V58)</f>
        <v>#REF!</v>
      </c>
      <c r="Y58" s="424" t="e">
        <f t="array" aca="1" ref="Y58" ca="1">IF($C58="","",VLOOKUP($A58,Table!$A:$AE,Table!Z$6,FALSE)/$X58)</f>
        <v>#REF!</v>
      </c>
      <c r="Z58" s="424" t="e">
        <f t="array" aca="1" ref="Z58" ca="1">IF($C58="","",VLOOKUP($A58,Table!$A:$AE,Table!AA$6,FALSE)/$X58)</f>
        <v>#REF!</v>
      </c>
      <c r="AA58" s="424" t="e">
        <f t="shared" ca="1" si="26"/>
        <v>#REF!</v>
      </c>
      <c r="AB58" s="425" t="s">
        <v>32</v>
      </c>
      <c r="AC58" s="426">
        <f t="shared" si="27"/>
        <v>21</v>
      </c>
      <c r="AD58" s="427" t="s">
        <v>32</v>
      </c>
      <c r="AE58" s="230"/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8"/>
      <c r="AQ58" s="428"/>
      <c r="AR58" s="428"/>
      <c r="AS58" s="428"/>
      <c r="AT58" s="428"/>
      <c r="AU58" s="428"/>
      <c r="AV58" s="428"/>
      <c r="AW58" s="428"/>
      <c r="AX58" s="428"/>
      <c r="AY58" s="428"/>
      <c r="AZ58" s="428"/>
      <c r="BA58" s="428"/>
      <c r="BB58" s="428"/>
      <c r="BC58" s="428"/>
      <c r="BD58" s="428"/>
      <c r="BE58" s="428"/>
      <c r="BF58" s="428"/>
      <c r="BG58" s="428"/>
    </row>
    <row r="59" spans="1:59" s="412" customFormat="1">
      <c r="A59" s="413">
        <v>22</v>
      </c>
      <c r="B59" s="430" t="e">
        <f t="shared" ca="1" si="12"/>
        <v>#REF!</v>
      </c>
      <c r="C59" s="401" t="str">
        <f ca="1">VLOOKUP(A59,Table!A:C,2,FALSE)</f>
        <v>ThespaKusatsu Gunma</v>
      </c>
      <c r="D59" s="403" t="e">
        <f t="array" aca="1" ref="D59" ca="1">IF($C59="","",SUM(IF((INDIRECT("'"&amp;$AB59&amp;"'!I23:I200")=$B$2)*(INDIRECT("'"&amp;$AB59&amp;"'!H23:H200")="H")*(INDIRECT("'"&amp;$AB59&amp;"'!N23:N200")=D$36),1,0)))</f>
        <v>#REF!</v>
      </c>
      <c r="E59" s="415" t="e">
        <f t="shared" ca="1" si="13"/>
        <v>#REF!</v>
      </c>
      <c r="F59" s="405" t="e">
        <f t="array" aca="1" ref="F59" ca="1">IF(C59="","",SUM(IF((INDIRECT("'"&amp;$AB59&amp;"'!I23:I200")=$B$2)*(INDIRECT("'"&amp;$AB59&amp;"'!H23:H200")="H")*(INDIRECT("'"&amp;$AB59&amp;"'!N23:N200")=F$36),1,0)))</f>
        <v>#REF!</v>
      </c>
      <c r="G59" s="406" t="e">
        <f t="shared" ca="1" si="14"/>
        <v>#REF!</v>
      </c>
      <c r="H59" s="417" t="e">
        <f t="shared" ca="1" si="15"/>
        <v>#REF!</v>
      </c>
      <c r="I59" s="418" t="e">
        <f t="array" aca="1" ref="I59" ca="1">IF($C59="","",VLOOKUP($A59,Table!$A:$AE,Table!H$6,FALSE)/$H59)</f>
        <v>#REF!</v>
      </c>
      <c r="J59" s="418" t="e">
        <f t="array" aca="1" ref="J59" ca="1">IF($C59="","",VLOOKUP($A59,Table!$A:$AE,Table!I$6,FALSE)/$H59)</f>
        <v>#REF!</v>
      </c>
      <c r="K59" s="408" t="e">
        <f t="shared" ca="1" si="16"/>
        <v>#REF!</v>
      </c>
      <c r="L59" s="403" t="e">
        <f t="array" aca="1" ref="L59" ca="1">IF(C59="","",SUM(IF((INDIRECT("'"&amp;$AB59&amp;"'!I23:I200")=$B$2)*(INDIRECT("'"&amp;$AB59&amp;"'!H23:H200")="A")*(INDIRECT("'"&amp;$AB59&amp;"'!N23:N200")=L$36),1,0)))</f>
        <v>#REF!</v>
      </c>
      <c r="M59" s="415" t="e">
        <f t="shared" ca="1" si="17"/>
        <v>#REF!</v>
      </c>
      <c r="N59" s="405" t="e">
        <f t="array" aca="1" ref="N59" ca="1">IF($C59="","",SUM(IF((INDIRECT("'"&amp;$AB59&amp;"'!I23:I200")=$B$2)*(INDIRECT("'"&amp;$AB59&amp;"'!H23:H200")="A")*(INDIRECT("'"&amp;$AB59&amp;"'!N23:N200")=N$36),1,0)))</f>
        <v>#REF!</v>
      </c>
      <c r="O59" s="406" t="e">
        <f t="shared" ca="1" si="18"/>
        <v>#REF!</v>
      </c>
      <c r="P59" s="417" t="e">
        <f t="shared" ca="1" si="43"/>
        <v>#REF!</v>
      </c>
      <c r="Q59" s="418" t="e">
        <f t="array" aca="1" ref="Q59" ca="1">IF($C59="","",VLOOKUP($A59,Table!$A:$AE,Table!Q$6,FALSE)/$P59)</f>
        <v>#REF!</v>
      </c>
      <c r="R59" s="418" t="e">
        <f t="array" aca="1" ref="R59" ca="1">IF($C59="","",VLOOKUP($A59,Table!$A:$AE,Table!R$6,FALSE)/$P59)</f>
        <v>#REF!</v>
      </c>
      <c r="S59" s="408" t="e">
        <f t="shared" ca="1" si="44"/>
        <v>#REF!</v>
      </c>
      <c r="T59" s="419" t="e">
        <f t="shared" ca="1" si="21"/>
        <v>#REF!</v>
      </c>
      <c r="U59" s="415" t="e">
        <f t="shared" ca="1" si="22"/>
        <v>#REF!</v>
      </c>
      <c r="V59" s="416" t="e">
        <f t="shared" ca="1" si="23"/>
        <v>#REF!</v>
      </c>
      <c r="W59" s="406" t="e">
        <f t="shared" ca="1" si="24"/>
        <v>#REF!</v>
      </c>
      <c r="X59" s="422" t="e">
        <f t="shared" ca="1" si="45"/>
        <v>#REF!</v>
      </c>
      <c r="Y59" s="424" t="e">
        <f t="array" aca="1" ref="Y59" ca="1">IF($C59="","",VLOOKUP($A59,Table!$A:$AE,Table!Z$6,FALSE)/$X59)</f>
        <v>#REF!</v>
      </c>
      <c r="Z59" s="424" t="e">
        <f t="array" aca="1" ref="Z59" ca="1">IF($C59="","",VLOOKUP($A59,Table!$A:$AE,Table!AA$6,FALSE)/$X59)</f>
        <v>#REF!</v>
      </c>
      <c r="AA59" s="424" t="e">
        <f t="shared" ca="1" si="26"/>
        <v>#REF!</v>
      </c>
      <c r="AB59" s="425" t="s">
        <v>32</v>
      </c>
      <c r="AC59" s="426">
        <f t="shared" si="27"/>
        <v>22</v>
      </c>
      <c r="AD59" s="427" t="s">
        <v>32</v>
      </c>
      <c r="AE59" s="230"/>
      <c r="AF59" s="428"/>
      <c r="AG59" s="428"/>
      <c r="AH59" s="428"/>
      <c r="AI59" s="428"/>
      <c r="AJ59" s="428"/>
      <c r="AK59" s="428"/>
      <c r="AL59" s="428"/>
      <c r="AM59" s="428"/>
      <c r="AN59" s="428"/>
      <c r="AO59" s="428"/>
      <c r="AP59" s="428"/>
      <c r="AQ59" s="428"/>
      <c r="AR59" s="428"/>
      <c r="AS59" s="428"/>
      <c r="AT59" s="428"/>
      <c r="AU59" s="428"/>
      <c r="AV59" s="428"/>
      <c r="AW59" s="428"/>
      <c r="AX59" s="428"/>
      <c r="AY59" s="428"/>
      <c r="AZ59" s="428"/>
      <c r="BA59" s="428"/>
      <c r="BB59" s="428"/>
      <c r="BC59" s="428"/>
      <c r="BD59" s="428"/>
      <c r="BE59" s="428"/>
      <c r="BF59" s="428"/>
      <c r="BG59" s="428"/>
    </row>
    <row r="60" spans="1:59" s="412" customFormat="1">
      <c r="A60" s="413">
        <v>23</v>
      </c>
      <c r="B60" s="430" t="str">
        <f t="shared" si="12"/>
        <v/>
      </c>
      <c r="C60" s="429" t="s">
        <v>32</v>
      </c>
      <c r="D60" s="403" t="str">
        <f t="array" aca="1" ref="D60" ca="1">IF($C60="","",SUM(IF((INDIRECT("'"&amp;$AB60&amp;"'!I23:I200")=$B$2)*(INDIRECT("'"&amp;$AB60&amp;"'!H23:H200")="H")*(INDIRECT("'"&amp;$AB60&amp;"'!N23:N200")=D$36),1,0)))</f>
        <v/>
      </c>
      <c r="E60" s="415" t="str">
        <f t="shared" si="13"/>
        <v/>
      </c>
      <c r="F60" s="405" t="str">
        <f t="array" aca="1" ref="F60" ca="1">IF(C60="","",SUM(IF((INDIRECT("'"&amp;$AB60&amp;"'!I23:I200")=$B$2)*(INDIRECT("'"&amp;$AB60&amp;"'!H23:H200")="H")*(INDIRECT("'"&amp;$AB60&amp;"'!N23:N200")=F$36),1,0)))</f>
        <v/>
      </c>
      <c r="G60" s="406" t="str">
        <f t="shared" si="14"/>
        <v/>
      </c>
      <c r="H60" s="417" t="str">
        <f t="shared" si="15"/>
        <v/>
      </c>
      <c r="I60" s="418" t="str">
        <f t="array" ref="I60">IF($C60="","",VLOOKUP($A60,Table!$A:$AE,Table!H$6,FALSE)/$H60)</f>
        <v/>
      </c>
      <c r="J60" s="418" t="str">
        <f t="array" ref="J60">IF($C60="","",VLOOKUP($A60,Table!$A:$AE,Table!I$6,FALSE)/$H60)</f>
        <v/>
      </c>
      <c r="K60" s="408" t="str">
        <f t="shared" si="16"/>
        <v/>
      </c>
      <c r="L60" s="403" t="str">
        <f t="array" aca="1" ref="L60" ca="1">IF(C60="","",SUM(IF((INDIRECT("'"&amp;$AB60&amp;"'!I23:I200")=$B$2)*(INDIRECT("'"&amp;$AB60&amp;"'!H23:H200")="A")*(INDIRECT("'"&amp;$AB60&amp;"'!N23:N200")=L$36),1,0)))</f>
        <v/>
      </c>
      <c r="M60" s="415" t="str">
        <f t="shared" si="17"/>
        <v/>
      </c>
      <c r="N60" s="405" t="str">
        <f t="array" aca="1" ref="N60" ca="1">IF($C60="","",SUM(IF((INDIRECT("'"&amp;$AB60&amp;"'!I23:I200")=$B$2)*(INDIRECT("'"&amp;$AB60&amp;"'!H23:H200")="A")*(INDIRECT("'"&amp;$AB60&amp;"'!N23:N200")=N$36),1,0)))</f>
        <v/>
      </c>
      <c r="O60" s="406" t="str">
        <f t="shared" si="18"/>
        <v/>
      </c>
      <c r="P60" s="417" t="str">
        <f t="shared" si="43"/>
        <v/>
      </c>
      <c r="Q60" s="418" t="str">
        <f t="array" ref="Q60">IF($C60="","",VLOOKUP($A60,Table!$A:$AE,Table!Q$6,FALSE)/$P60)</f>
        <v/>
      </c>
      <c r="R60" s="418" t="str">
        <f t="array" ref="R60">IF($C60="","",VLOOKUP($A60,Table!$A:$AE,Table!R$6,FALSE)/$P60)</f>
        <v/>
      </c>
      <c r="S60" s="408" t="str">
        <f t="shared" si="44"/>
        <v/>
      </c>
      <c r="T60" s="419" t="str">
        <f t="shared" si="21"/>
        <v/>
      </c>
      <c r="U60" s="415" t="str">
        <f t="shared" si="22"/>
        <v/>
      </c>
      <c r="V60" s="416" t="str">
        <f t="shared" si="23"/>
        <v/>
      </c>
      <c r="W60" s="406" t="str">
        <f t="shared" si="24"/>
        <v/>
      </c>
      <c r="X60" s="422" t="str">
        <f t="shared" si="45"/>
        <v/>
      </c>
      <c r="Y60" s="424" t="str">
        <f t="array" ref="Y60">IF($C60="","",VLOOKUP($A60,Table!$A:$AE,Table!Z$6,FALSE)/$X60)</f>
        <v/>
      </c>
      <c r="Z60" s="424" t="str">
        <f t="array" ref="Z60">IF($C60="","",VLOOKUP($A60,Table!$A:$AE,Table!AA$6,FALSE)/$X60)</f>
        <v/>
      </c>
      <c r="AA60" s="424" t="str">
        <f t="shared" si="26"/>
        <v/>
      </c>
      <c r="AB60" s="425" t="s">
        <v>32</v>
      </c>
      <c r="AC60" s="426">
        <f t="shared" si="27"/>
        <v>23</v>
      </c>
      <c r="AD60" s="427" t="s">
        <v>32</v>
      </c>
      <c r="AE60" s="230"/>
      <c r="AF60" s="428"/>
      <c r="AG60" s="428"/>
      <c r="AH60" s="428"/>
      <c r="AI60" s="428"/>
      <c r="AJ60" s="428"/>
      <c r="AK60" s="428"/>
      <c r="AL60" s="428"/>
      <c r="AM60" s="428"/>
      <c r="AN60" s="428"/>
      <c r="AO60" s="428"/>
      <c r="AP60" s="428"/>
      <c r="AQ60" s="428"/>
      <c r="AR60" s="428"/>
      <c r="AS60" s="428"/>
      <c r="AT60" s="428"/>
      <c r="AU60" s="428"/>
      <c r="AV60" s="428"/>
      <c r="AW60" s="428"/>
      <c r="AX60" s="428"/>
      <c r="AY60" s="428"/>
      <c r="AZ60" s="428"/>
      <c r="BA60" s="428"/>
      <c r="BB60" s="428"/>
      <c r="BC60" s="428"/>
      <c r="BD60" s="428"/>
      <c r="BE60" s="428"/>
      <c r="BF60" s="428"/>
      <c r="BG60" s="428"/>
    </row>
    <row r="61" spans="1:59" s="412" customFormat="1" ht="15" thickBot="1">
      <c r="A61" s="478">
        <v>24</v>
      </c>
      <c r="B61" s="430" t="str">
        <f t="shared" si="12"/>
        <v/>
      </c>
      <c r="C61" s="429" t="s">
        <v>32</v>
      </c>
      <c r="D61" s="403" t="str">
        <f t="array" aca="1" ref="D61" ca="1">IF($C61="","",SUM(IF((INDIRECT("'"&amp;$AB61&amp;"'!I23:I200")=$B$2)*(INDIRECT("'"&amp;$AB61&amp;"'!H23:H200")="H")*(INDIRECT("'"&amp;$AB61&amp;"'!N23:N200")=D$36),1,0)))</f>
        <v/>
      </c>
      <c r="E61" s="415" t="str">
        <f>IF(H61="","",D61/H61)</f>
        <v/>
      </c>
      <c r="F61" s="405" t="str">
        <f t="array" aca="1" ref="F61" ca="1">IF(C61="","",SUM(IF((INDIRECT("'"&amp;$AB61&amp;"'!I23:I200")=$B$2)*(INDIRECT("'"&amp;$AB61&amp;"'!H23:H200")="H")*(INDIRECT("'"&amp;$AB61&amp;"'!N23:N200")=F$36),1,0)))</f>
        <v/>
      </c>
      <c r="G61" s="406" t="str">
        <f t="shared" si="14"/>
        <v/>
      </c>
      <c r="H61" s="417" t="str">
        <f t="shared" si="15"/>
        <v/>
      </c>
      <c r="I61" s="418" t="str">
        <f t="array" ref="I61">IF($C61="","",VLOOKUP($A61,Table!$A:$AE,Table!H$6,FALSE)/$H61)</f>
        <v/>
      </c>
      <c r="J61" s="418" t="str">
        <f t="array" ref="J61">IF($C61="","",VLOOKUP($A61,Table!$A:$AE,Table!I$6,FALSE)/$H61)</f>
        <v/>
      </c>
      <c r="K61" s="408" t="str">
        <f t="shared" si="16"/>
        <v/>
      </c>
      <c r="L61" s="403" t="str">
        <f t="array" aca="1" ref="L61" ca="1">IF(C61="","",SUM(IF((INDIRECT("'"&amp;$AB61&amp;"'!I23:I200")=$B$2)*(INDIRECT("'"&amp;$AB61&amp;"'!H23:H200")="A")*(INDIRECT("'"&amp;$AB61&amp;"'!N23:N200")=L$36),1,0)))</f>
        <v/>
      </c>
      <c r="M61" s="415" t="str">
        <f t="shared" si="17"/>
        <v/>
      </c>
      <c r="N61" s="405" t="str">
        <f t="array" aca="1" ref="N61" ca="1">IF($C61="","",SUM(IF((INDIRECT("'"&amp;$AB61&amp;"'!I23:I200")=$B$2)*(INDIRECT("'"&amp;$AB61&amp;"'!H23:H200")="A")*(INDIRECT("'"&amp;$AB61&amp;"'!N23:N200")=N$36),1,0)))</f>
        <v/>
      </c>
      <c r="O61" s="406" t="str">
        <f t="shared" si="18"/>
        <v/>
      </c>
      <c r="P61" s="417" t="str">
        <f t="shared" si="43"/>
        <v/>
      </c>
      <c r="Q61" s="418" t="str">
        <f t="array" ref="Q61">IF($C61="","",VLOOKUP($A61,Table!$A:$AE,Table!Q$6,FALSE)/$P61)</f>
        <v/>
      </c>
      <c r="R61" s="418" t="str">
        <f t="array" ref="R61">IF($C61="","",VLOOKUP($A61,Table!$A:$AE,Table!R$6,FALSE)/$P61)</f>
        <v/>
      </c>
      <c r="S61" s="408" t="str">
        <f t="shared" si="44"/>
        <v/>
      </c>
      <c r="T61" s="419" t="str">
        <f t="shared" si="21"/>
        <v/>
      </c>
      <c r="U61" s="415" t="str">
        <f t="shared" si="22"/>
        <v/>
      </c>
      <c r="V61" s="416" t="str">
        <f t="shared" si="23"/>
        <v/>
      </c>
      <c r="W61" s="406" t="str">
        <f t="shared" si="24"/>
        <v/>
      </c>
      <c r="X61" s="422" t="str">
        <f t="shared" si="45"/>
        <v/>
      </c>
      <c r="Y61" s="424" t="str">
        <f t="array" ref="Y61">IF($C61="","",VLOOKUP($A61,Table!$A:$AE,Table!Z$6,FALSE)/$X61)</f>
        <v/>
      </c>
      <c r="Z61" s="424" t="str">
        <f t="array" ref="Z61">IF($C61="","",VLOOKUP($A61,Table!$A:$AE,Table!AA$6,FALSE)/$X61)</f>
        <v/>
      </c>
      <c r="AA61" s="424" t="str">
        <f t="shared" si="26"/>
        <v/>
      </c>
      <c r="AB61" s="425" t="s">
        <v>32</v>
      </c>
      <c r="AC61" s="426">
        <f t="shared" si="27"/>
        <v>24</v>
      </c>
      <c r="AD61" s="427" t="s">
        <v>32</v>
      </c>
      <c r="AE61" s="230"/>
      <c r="AF61" s="428"/>
      <c r="AG61" s="428"/>
      <c r="AH61" s="428"/>
      <c r="AI61" s="428"/>
      <c r="AJ61" s="428"/>
      <c r="AK61" s="428"/>
      <c r="AL61" s="428"/>
      <c r="AM61" s="428"/>
      <c r="AN61" s="428"/>
      <c r="AO61" s="428"/>
      <c r="AP61" s="428"/>
      <c r="AQ61" s="428"/>
      <c r="AR61" s="428"/>
      <c r="AS61" s="428"/>
      <c r="AT61" s="428"/>
      <c r="AU61" s="428"/>
      <c r="AV61" s="428"/>
      <c r="AW61" s="428"/>
      <c r="AX61" s="428"/>
      <c r="AY61" s="428"/>
      <c r="AZ61" s="428"/>
      <c r="BA61" s="428"/>
      <c r="BB61" s="428"/>
      <c r="BC61" s="428"/>
      <c r="BD61" s="428"/>
      <c r="BE61" s="428"/>
      <c r="BF61" s="428"/>
      <c r="BG61" s="428"/>
    </row>
    <row r="62" spans="1:59" s="412" customFormat="1" ht="15" thickBot="1">
      <c r="B62" s="430"/>
      <c r="C62" s="431" t="s">
        <v>97</v>
      </c>
      <c r="D62" s="432" t="e">
        <f ca="1">IF($B$2=0,"",SUM(D38:D61))</f>
        <v>#REF!</v>
      </c>
      <c r="E62" s="433" t="e">
        <f ca="1">IF($B$2=0,"",D62/H62)</f>
        <v>#REF!</v>
      </c>
      <c r="F62" s="434" t="e">
        <f ca="1">IF($B$2=0,"",SUM(F38:F61))</f>
        <v>#REF!</v>
      </c>
      <c r="G62" s="435" t="e">
        <f ca="1">IF($B$2=0,"",F62/H62)</f>
        <v>#REF!</v>
      </c>
      <c r="H62" s="434" t="e">
        <f ca="1">IF($B$2=0,"",SUM(H38:H61))</f>
        <v>#REF!</v>
      </c>
      <c r="I62" s="438" t="e">
        <v>#DIV/0!</v>
      </c>
      <c r="J62" s="438" t="e">
        <v>#DIV/0!</v>
      </c>
      <c r="K62" s="479" t="e">
        <f ca="1">IF(H62="","",J62+I62)</f>
        <v>#REF!</v>
      </c>
      <c r="L62" s="432" t="e">
        <f ca="1">IF($B$2=0,"",SUM(L38:L61))</f>
        <v>#REF!</v>
      </c>
      <c r="M62" s="433" t="e">
        <f ca="1">IF($B$2=0,"",L62/P62)</f>
        <v>#REF!</v>
      </c>
      <c r="N62" s="434" t="e">
        <f ca="1">IF($B$2=0,"",SUM(N38:N61))</f>
        <v>#REF!</v>
      </c>
      <c r="O62" s="435" t="e">
        <f ca="1">IF($B$2=0,"",N62/P62)</f>
        <v>#REF!</v>
      </c>
      <c r="P62" s="434" t="e">
        <f ca="1">IF($B$2=0,"",SUM(P38:P61))</f>
        <v>#REF!</v>
      </c>
      <c r="Q62" s="438" t="e">
        <v>#DIV/0!</v>
      </c>
      <c r="R62" s="480" t="e">
        <v>#DIV/0!</v>
      </c>
      <c r="S62" s="479" t="e">
        <f ca="1">IF(P62="","",R62+Q62)</f>
        <v>#REF!</v>
      </c>
      <c r="T62" s="481" t="e">
        <f ca="1">IF($B$2=0,"",SUM(T38:T61)/2)</f>
        <v>#REF!</v>
      </c>
      <c r="U62" s="433" t="e">
        <f ca="1">IF($B$2=0,"",T62/X62)</f>
        <v>#REF!</v>
      </c>
      <c r="V62" s="482" t="e">
        <f ca="1">IF($B$2=0,"",SUM(V38:V61)/2)</f>
        <v>#REF!</v>
      </c>
      <c r="W62" s="435" t="e">
        <f ca="1">IF($B$2=0,"",V62/X62)</f>
        <v>#REF!</v>
      </c>
      <c r="X62" s="440" t="e">
        <f ca="1">IF($B$2=0,"",V62+T62)</f>
        <v>#REF!</v>
      </c>
      <c r="Y62" s="441">
        <v>1.3633333333333333</v>
      </c>
      <c r="Z62" s="442">
        <v>1.3633333333333333</v>
      </c>
      <c r="AA62" s="443">
        <f>IF($B$2=0,"",Z62+Y62)</f>
        <v>2.7266666666666666</v>
      </c>
      <c r="AB62" s="444" t="s">
        <v>97</v>
      </c>
      <c r="AC62" s="445"/>
      <c r="AD62" s="446">
        <v>0.28666666666666668</v>
      </c>
      <c r="AE62" s="428"/>
      <c r="AF62" s="428"/>
      <c r="AG62" s="428"/>
      <c r="AH62" s="428"/>
      <c r="AI62" s="428"/>
      <c r="AJ62" s="428"/>
      <c r="AK62" s="428"/>
      <c r="AL62" s="428"/>
      <c r="AM62" s="428"/>
      <c r="AN62" s="428"/>
      <c r="AO62" s="428"/>
      <c r="AP62" s="428"/>
      <c r="AQ62" s="428"/>
      <c r="AR62" s="428"/>
      <c r="AS62" s="428"/>
      <c r="AT62" s="428"/>
      <c r="AU62" s="428"/>
      <c r="AV62" s="428"/>
      <c r="AW62" s="428"/>
      <c r="AX62" s="428"/>
      <c r="AY62" s="428"/>
      <c r="AZ62" s="428"/>
      <c r="BA62" s="428"/>
      <c r="BB62" s="428"/>
      <c r="BC62" s="428"/>
      <c r="BD62" s="428"/>
      <c r="BE62" s="428"/>
      <c r="BF62" s="428"/>
      <c r="BG62" s="428"/>
    </row>
    <row r="63" spans="1:59" s="412" customFormat="1" ht="15" thickTop="1">
      <c r="B63" s="483"/>
      <c r="X63" s="428"/>
      <c r="Y63" s="428"/>
      <c r="Z63" s="428"/>
      <c r="AA63" s="428"/>
      <c r="AB63" s="428"/>
      <c r="AC63" s="453"/>
      <c r="AD63" s="428"/>
      <c r="AE63" s="428"/>
      <c r="AF63" s="428"/>
      <c r="AG63" s="428"/>
      <c r="AH63" s="428"/>
      <c r="AI63" s="428"/>
      <c r="AJ63" s="428"/>
      <c r="AK63" s="428"/>
      <c r="AL63" s="428"/>
      <c r="AM63" s="428"/>
      <c r="AN63" s="428"/>
      <c r="AO63" s="428"/>
      <c r="AP63" s="428"/>
      <c r="AQ63" s="428"/>
      <c r="AR63" s="428"/>
      <c r="AS63" s="428"/>
      <c r="AT63" s="428"/>
      <c r="AU63" s="428"/>
      <c r="AV63" s="428"/>
      <c r="AW63" s="428"/>
      <c r="AX63" s="428"/>
      <c r="AY63" s="428"/>
      <c r="AZ63" s="428"/>
      <c r="BA63" s="428"/>
      <c r="BB63" s="428"/>
      <c r="BC63" s="428"/>
      <c r="BD63" s="428"/>
      <c r="BE63" s="428"/>
      <c r="BF63" s="428"/>
      <c r="BG63" s="428"/>
    </row>
    <row r="64" spans="1:59" s="412" customFormat="1" ht="15" thickBot="1">
      <c r="A64" s="354" t="s">
        <v>98</v>
      </c>
      <c r="B64" s="402"/>
      <c r="X64" s="428"/>
      <c r="Y64" s="428"/>
      <c r="Z64" s="428"/>
      <c r="AA64" s="428"/>
      <c r="AB64" s="428"/>
      <c r="AC64" s="453"/>
      <c r="AD64" s="428"/>
      <c r="AE64" s="428"/>
      <c r="AF64" s="428"/>
      <c r="AG64" s="428"/>
      <c r="AH64" s="428"/>
      <c r="AI64" s="428"/>
      <c r="AJ64" s="428"/>
      <c r="AK64" s="428"/>
      <c r="AL64" s="428"/>
      <c r="AM64" s="428"/>
      <c r="AN64" s="428"/>
      <c r="AO64" s="428"/>
      <c r="AP64" s="428"/>
      <c r="AQ64" s="428"/>
      <c r="AR64" s="428"/>
      <c r="AS64" s="428"/>
      <c r="AT64" s="428"/>
      <c r="AU64" s="428"/>
      <c r="AV64" s="428"/>
      <c r="AW64" s="428"/>
      <c r="AX64" s="428"/>
      <c r="AY64" s="428"/>
      <c r="AZ64" s="428"/>
      <c r="BA64" s="428"/>
      <c r="BB64" s="428"/>
      <c r="BC64" s="428"/>
      <c r="BD64" s="428"/>
      <c r="BE64" s="428"/>
      <c r="BF64" s="428"/>
      <c r="BG64" s="428"/>
    </row>
    <row r="65" spans="1:59" s="412" customFormat="1" ht="15" thickBot="1">
      <c r="A65" s="357"/>
      <c r="B65" s="455" t="str">
        <f>Table!C32</f>
        <v/>
      </c>
      <c r="C65" s="357">
        <v>2</v>
      </c>
      <c r="D65" s="357">
        <v>3</v>
      </c>
      <c r="E65" s="357">
        <v>4</v>
      </c>
      <c r="F65" s="357">
        <v>5</v>
      </c>
      <c r="G65" s="357">
        <v>6</v>
      </c>
      <c r="H65" s="357">
        <v>7</v>
      </c>
      <c r="I65" s="357">
        <v>8</v>
      </c>
      <c r="J65" s="357">
        <v>9</v>
      </c>
      <c r="K65" s="357">
        <v>10</v>
      </c>
      <c r="L65" s="357">
        <v>11</v>
      </c>
      <c r="M65" s="357">
        <v>12</v>
      </c>
      <c r="N65" s="357">
        <v>13</v>
      </c>
      <c r="O65" s="357">
        <v>14</v>
      </c>
      <c r="P65" s="357">
        <v>15</v>
      </c>
      <c r="Q65" s="357">
        <v>16</v>
      </c>
      <c r="R65" s="357">
        <v>17</v>
      </c>
      <c r="S65" s="357">
        <v>18</v>
      </c>
      <c r="T65" s="357">
        <v>19</v>
      </c>
      <c r="U65" s="357">
        <v>20</v>
      </c>
      <c r="V65" s="357">
        <v>21</v>
      </c>
      <c r="W65" s="357">
        <v>22</v>
      </c>
      <c r="X65" s="456">
        <v>23</v>
      </c>
      <c r="Y65" s="456">
        <v>24</v>
      </c>
      <c r="Z65" s="456">
        <v>25</v>
      </c>
      <c r="AA65" s="456">
        <v>26</v>
      </c>
      <c r="AB65" s="456">
        <v>27</v>
      </c>
      <c r="AC65" s="456">
        <v>28</v>
      </c>
      <c r="AD65" s="456">
        <v>29</v>
      </c>
      <c r="AE65" s="428"/>
      <c r="AF65" s="428"/>
      <c r="AG65" s="428"/>
      <c r="AH65" s="428"/>
      <c r="AI65" s="428"/>
      <c r="AJ65" s="428"/>
      <c r="AK65" s="428"/>
      <c r="AL65" s="428"/>
      <c r="AM65" s="428"/>
      <c r="AN65" s="428"/>
      <c r="AO65" s="428"/>
      <c r="AP65" s="428"/>
      <c r="AQ65" s="428"/>
      <c r="AR65" s="428"/>
      <c r="AS65" s="428"/>
      <c r="AT65" s="428"/>
      <c r="AU65" s="428"/>
      <c r="AV65" s="428"/>
      <c r="AW65" s="428"/>
      <c r="AX65" s="428"/>
      <c r="AY65" s="428"/>
      <c r="AZ65" s="428"/>
      <c r="BA65" s="428"/>
      <c r="BB65" s="428"/>
      <c r="BC65" s="428"/>
      <c r="BD65" s="428"/>
      <c r="BE65" s="428"/>
      <c r="BF65" s="428"/>
      <c r="BG65" s="428"/>
    </row>
    <row r="66" spans="1:59" s="412" customFormat="1">
      <c r="A66" s="361" t="s">
        <v>59</v>
      </c>
      <c r="B66" s="362" t="s">
        <v>94</v>
      </c>
      <c r="C66" s="457"/>
      <c r="D66" s="364" t="s">
        <v>80</v>
      </c>
      <c r="E66" s="364"/>
      <c r="F66" s="365"/>
      <c r="G66" s="366"/>
      <c r="H66" s="367"/>
      <c r="I66" s="367"/>
      <c r="J66" s="367"/>
      <c r="K66" s="367"/>
      <c r="L66" s="368" t="s">
        <v>81</v>
      </c>
      <c r="M66" s="367"/>
      <c r="N66" s="365"/>
      <c r="O66" s="367"/>
      <c r="P66" s="367"/>
      <c r="Q66" s="367"/>
      <c r="R66" s="367"/>
      <c r="S66" s="366"/>
      <c r="T66" s="368" t="s">
        <v>82</v>
      </c>
      <c r="U66" s="367"/>
      <c r="V66" s="369"/>
      <c r="W66" s="367"/>
      <c r="X66" s="458"/>
      <c r="Y66" s="459"/>
      <c r="Z66" s="459"/>
      <c r="AA66" s="460"/>
      <c r="AB66" s="461"/>
      <c r="AC66" s="462" t="str">
        <f>A66</f>
        <v>Pos</v>
      </c>
      <c r="AD66" s="463"/>
      <c r="AE66" s="428"/>
      <c r="AF66" s="428"/>
      <c r="AG66" s="428"/>
      <c r="AH66" s="428"/>
      <c r="AI66" s="428"/>
      <c r="AJ66" s="428"/>
      <c r="AK66" s="428"/>
      <c r="AL66" s="428"/>
      <c r="AM66" s="428"/>
      <c r="AN66" s="428"/>
      <c r="AO66" s="428"/>
      <c r="AP66" s="428"/>
      <c r="AQ66" s="428"/>
      <c r="AR66" s="428"/>
      <c r="AS66" s="428"/>
      <c r="AT66" s="428"/>
      <c r="AU66" s="428"/>
      <c r="AV66" s="428"/>
      <c r="AW66" s="428"/>
      <c r="AX66" s="428"/>
      <c r="AY66" s="428"/>
      <c r="AZ66" s="428"/>
      <c r="BA66" s="428"/>
      <c r="BB66" s="428"/>
      <c r="BC66" s="428"/>
      <c r="BD66" s="428"/>
      <c r="BE66" s="428"/>
      <c r="BF66" s="428"/>
      <c r="BG66" s="428"/>
    </row>
    <row r="67" spans="1:59" s="412" customFormat="1">
      <c r="A67" s="376"/>
      <c r="B67" s="362"/>
      <c r="C67" s="377" t="s">
        <v>84</v>
      </c>
      <c r="D67" s="378" t="s">
        <v>85</v>
      </c>
      <c r="E67" s="379"/>
      <c r="F67" s="380" t="s">
        <v>86</v>
      </c>
      <c r="G67" s="381"/>
      <c r="H67" s="382"/>
      <c r="I67" s="255" t="s">
        <v>87</v>
      </c>
      <c r="J67" s="255"/>
      <c r="K67" s="255"/>
      <c r="L67" s="378" t="s">
        <v>85</v>
      </c>
      <c r="M67" s="379"/>
      <c r="N67" s="380" t="s">
        <v>86</v>
      </c>
      <c r="O67" s="381"/>
      <c r="P67" s="382"/>
      <c r="Q67" s="383" t="s">
        <v>87</v>
      </c>
      <c r="R67" s="255"/>
      <c r="S67" s="384"/>
      <c r="T67" s="378" t="s">
        <v>85</v>
      </c>
      <c r="U67" s="379"/>
      <c r="V67" s="380" t="s">
        <v>86</v>
      </c>
      <c r="W67" s="381"/>
      <c r="X67" s="464"/>
      <c r="Y67" s="465" t="s">
        <v>87</v>
      </c>
      <c r="Z67" s="298"/>
      <c r="AA67" s="318"/>
      <c r="AB67" s="466" t="s">
        <v>95</v>
      </c>
      <c r="AC67" s="467"/>
      <c r="AD67" s="468" t="s">
        <v>88</v>
      </c>
      <c r="AE67" s="428"/>
      <c r="AF67" s="428"/>
      <c r="AG67" s="428"/>
      <c r="AH67" s="428"/>
      <c r="AI67" s="428"/>
      <c r="AJ67" s="428"/>
      <c r="AK67" s="428"/>
      <c r="AL67" s="428"/>
      <c r="AM67" s="428"/>
      <c r="AN67" s="428"/>
      <c r="AO67" s="428"/>
      <c r="AP67" s="428"/>
      <c r="AQ67" s="428"/>
      <c r="AR67" s="428"/>
      <c r="AS67" s="428"/>
      <c r="AT67" s="428"/>
      <c r="AU67" s="428"/>
      <c r="AV67" s="428"/>
      <c r="AW67" s="428"/>
      <c r="AX67" s="428"/>
      <c r="AY67" s="428"/>
      <c r="AZ67" s="428"/>
      <c r="BA67" s="428"/>
      <c r="BB67" s="428"/>
      <c r="BC67" s="428"/>
      <c r="BD67" s="428"/>
      <c r="BE67" s="428"/>
      <c r="BF67" s="428"/>
      <c r="BG67" s="428"/>
    </row>
    <row r="68" spans="1:59" s="412" customFormat="1" ht="15" thickBot="1">
      <c r="A68" s="389"/>
      <c r="B68" s="362"/>
      <c r="C68" s="389"/>
      <c r="D68" s="390" t="s">
        <v>89</v>
      </c>
      <c r="E68" s="391" t="s">
        <v>90</v>
      </c>
      <c r="F68" s="392" t="s">
        <v>89</v>
      </c>
      <c r="G68" s="393" t="s">
        <v>91</v>
      </c>
      <c r="H68" s="394"/>
      <c r="I68" s="394" t="s">
        <v>17</v>
      </c>
      <c r="J68" s="394" t="s">
        <v>18</v>
      </c>
      <c r="K68" s="395" t="s">
        <v>96</v>
      </c>
      <c r="L68" s="390" t="s">
        <v>89</v>
      </c>
      <c r="M68" s="391" t="s">
        <v>90</v>
      </c>
      <c r="N68" s="392" t="s">
        <v>89</v>
      </c>
      <c r="O68" s="393" t="s">
        <v>91</v>
      </c>
      <c r="P68" s="394"/>
      <c r="Q68" s="396" t="s">
        <v>17</v>
      </c>
      <c r="R68" s="394" t="s">
        <v>18</v>
      </c>
      <c r="S68" s="395" t="s">
        <v>92</v>
      </c>
      <c r="T68" s="390" t="s">
        <v>89</v>
      </c>
      <c r="U68" s="391" t="s">
        <v>90</v>
      </c>
      <c r="V68" s="392" t="s">
        <v>89</v>
      </c>
      <c r="W68" s="397" t="s">
        <v>91</v>
      </c>
      <c r="X68" s="469"/>
      <c r="Y68" s="469" t="s">
        <v>17</v>
      </c>
      <c r="Z68" s="470" t="s">
        <v>18</v>
      </c>
      <c r="AA68" s="471" t="s">
        <v>92</v>
      </c>
      <c r="AB68" s="472"/>
      <c r="AC68" s="467"/>
      <c r="AD68" s="473" t="s">
        <v>90</v>
      </c>
      <c r="AE68" s="428"/>
      <c r="AF68" s="428"/>
      <c r="AG68" s="428"/>
      <c r="AH68" s="428"/>
      <c r="AI68" s="428"/>
      <c r="AJ68" s="428"/>
      <c r="AK68" s="428"/>
      <c r="AL68" s="428"/>
      <c r="AM68" s="428"/>
      <c r="AN68" s="428"/>
      <c r="AO68" s="428"/>
      <c r="AP68" s="428"/>
      <c r="AQ68" s="428"/>
      <c r="AR68" s="428"/>
      <c r="AS68" s="428"/>
      <c r="AT68" s="428"/>
      <c r="AU68" s="428"/>
      <c r="AV68" s="428"/>
      <c r="AW68" s="428"/>
      <c r="AX68" s="428"/>
      <c r="AY68" s="428"/>
      <c r="AZ68" s="428"/>
      <c r="BA68" s="428"/>
      <c r="BB68" s="428"/>
      <c r="BC68" s="428"/>
      <c r="BD68" s="428"/>
      <c r="BE68" s="428"/>
      <c r="BF68" s="428"/>
      <c r="BG68" s="428"/>
    </row>
    <row r="69" spans="1:59" s="412" customFormat="1">
      <c r="A69" s="401" t="e">
        <f ca="1">A7</f>
        <v>#REF!</v>
      </c>
      <c r="B69" s="430" t="e">
        <f ca="1">IF(AE69="Y",AA69+U69/100-A69/10000000,"")</f>
        <v>#REF!</v>
      </c>
      <c r="C69" s="401" t="e">
        <f ca="1">C7</f>
        <v>#REF!</v>
      </c>
      <c r="D69" s="403" t="e">
        <f t="array" aca="1" ref="D69" ca="1">IF($AE69="Y",SUM(IF((INDIRECT("'"&amp;$AB69&amp;"'!I23:I200")=$B$2)*(INDIRECT("'"&amp;$AB69&amp;"'!H23:H200")="H")*(INDIRECT("'"&amp;$AB69&amp;"'!N23:N200")=D$36)*(INDIRECT("'"&amp;$AB69&amp;"'!E23:E200")=$AE69),1,0)),"-")</f>
        <v>#REF!</v>
      </c>
      <c r="E69" s="404" t="e">
        <f ca="1">IF($AE69="Y",D69/H69,"-")</f>
        <v>#REF!</v>
      </c>
      <c r="F69" s="405" t="e">
        <f t="array" aca="1" ref="F69" ca="1">IF($AE69="Y",SUM(IF((INDIRECT("'"&amp;$AB69&amp;"'!J23:J200")=$B$2)*(INDIRECT("'"&amp;$AB69&amp;"'!I23:I200")="H")*(INDIRECT("'"&amp;$AB69&amp;"'!O23:O200")=F$36)*(INDIRECT("'"&amp;$AB69&amp;"'!E23:E200")=$AE69),1,0)),"-")</f>
        <v>#REF!</v>
      </c>
      <c r="G69" s="406" t="e">
        <f ca="1">IF($AE69="Y",F69/H69,"-")</f>
        <v>#REF!</v>
      </c>
      <c r="H69" s="407" t="e">
        <f ca="1">IF($AE69="Y",D69+F69,"-")</f>
        <v>#REF!</v>
      </c>
      <c r="I69" s="408" t="e">
        <f t="array" aca="1" ref="I69" ca="1">IF($AE69="Y",SUM(IF((INDIRECT("'"&amp;$AB69&amp;"'!$J23:$J200")=$B$2)*(INDIRECT("'"&amp;$AB69&amp;"'!$I23:$I200")="H")*(INDIRECT("'"&amp;$AB69&amp;"'!e23:E200")=$AE69),INDIRECT("'"&amp;$AB69&amp;"'!$K23:$K200")/H69,0)),"-")</f>
        <v>#REF!</v>
      </c>
      <c r="J69" s="408" t="e">
        <f t="array" aca="1" ref="J69" ca="1">IF($AE69="Y",SUM(IF((INDIRECT("'"&amp;$AB69&amp;"'!$J23:$J200")=$B$2)*(INDIRECT("'"&amp;$AB69&amp;"'!$I23:$I200")="H")*(INDIRECT("'"&amp;$AB69&amp;"'!e23:E200")=$AE69),INDIRECT("'"&amp;$AB69&amp;"'!$L23:$L200")/H69,0)),"-")</f>
        <v>#REF!</v>
      </c>
      <c r="K69" s="408" t="e">
        <f ca="1">IF($AE69="Y",I69+J69,"-")</f>
        <v>#REF!</v>
      </c>
      <c r="L69" s="403" t="e">
        <f t="array" aca="1" ref="L69" ca="1">IF($AE69="Y",SUM(IF((INDIRECT("'"&amp;$AB69&amp;"'!J23:J200")=$B$2)*(INDIRECT("'"&amp;$AB69&amp;"'!I23:I200")="A")*(INDIRECT("'"&amp;$AB69&amp;"'!O23:O200")=L$36)*(INDIRECT("'"&amp;$AB69&amp;"'!e23:E200")=$AE69),1,0)),"-")</f>
        <v>#REF!</v>
      </c>
      <c r="M69" s="404" t="e">
        <f ca="1">IF($AE69="Y",L69/P69,"-")</f>
        <v>#REF!</v>
      </c>
      <c r="N69" s="405" t="e">
        <f t="array" aca="1" ref="N69" ca="1">IF($AE69="Y",SUM(IF((INDIRECT("'"&amp;$AB69&amp;"'!J23:J200")=$B$2)*(INDIRECT("'"&amp;$AB69&amp;"'!I23:I200")="A")*(INDIRECT("'"&amp;$AB69&amp;"'!O23:O200")=N$36)*(INDIRECT("'"&amp;$AB69&amp;"'!e23:E200")=$AE69),1,0)),"-")</f>
        <v>#REF!</v>
      </c>
      <c r="O69" s="406" t="e">
        <f ca="1">IF($AE69="Y",N69/P69,"-")</f>
        <v>#REF!</v>
      </c>
      <c r="P69" s="407" t="e">
        <f ca="1">IF($AE69="Y",L69+N69,"-")</f>
        <v>#REF!</v>
      </c>
      <c r="Q69" s="408" t="e">
        <f t="array" aca="1" ref="Q69" ca="1">IF($AE69="Y",SUM(IF((INDIRECT("'"&amp;$AB69&amp;"'!$J23:$J200")=$B$2)*(INDIRECT("'"&amp;$AB69&amp;"'!$I23:$I200")="A")*(INDIRECT("'"&amp;$AB69&amp;"'!e23:E200")=$AE69),INDIRECT("'"&amp;$AB69&amp;"'!$K23:$K200")/P69,0)),"-")</f>
        <v>#REF!</v>
      </c>
      <c r="R69" s="408" t="e">
        <f t="array" aca="1" ref="R69" ca="1">IF($AE69="Y",SUM(IF((INDIRECT("'"&amp;$AB69&amp;"'!$J23:$J200")=$B$2)*(INDIRECT("'"&amp;$AB69&amp;"'!$I23:$I200")="A")*(INDIRECT("'"&amp;$AB69&amp;"'!e23:E200")=$AE69),INDIRECT("'"&amp;$AB69&amp;"'!$L23:$L200")/P69,0)),"-")</f>
        <v>#REF!</v>
      </c>
      <c r="S69" s="408" t="e">
        <f ca="1">IF($AE69="Y",Q69+R69,"-")</f>
        <v>#REF!</v>
      </c>
      <c r="T69" s="409" t="e">
        <f ca="1">IF($AE69="Y",L69+D69,"-")</f>
        <v>#REF!</v>
      </c>
      <c r="U69" s="404" t="e">
        <f ca="1">IF($AE69="Y",T69/X69,"-")</f>
        <v>#REF!</v>
      </c>
      <c r="V69" s="405" t="e">
        <f ca="1">IF($AE69="Y",N69+F69,"-")</f>
        <v>#REF!</v>
      </c>
      <c r="W69" s="406" t="e">
        <f ca="1">IF($AE69="Y",V69/X69,"-")</f>
        <v>#REF!</v>
      </c>
      <c r="X69" s="474" t="e">
        <f ca="1">IF($AE69="Y",T69+V69,"-")</f>
        <v>#REF!</v>
      </c>
      <c r="Y69" s="424" t="e">
        <f t="array" aca="1" ref="Y69" ca="1">IF($AE69="Y",SUM(IF((INDIRECT("'"&amp;$AB69&amp;"'!$J23:$J200")=$B$2)*(INDIRECT("'"&amp;$AB69&amp;"'!e23:E200")=$AE69),INDIRECT("'"&amp;$AB69&amp;"'!$K23:$K200")/X69,0)),"-")</f>
        <v>#REF!</v>
      </c>
      <c r="Z69" s="424" t="e">
        <f t="array" aca="1" ref="Z69" ca="1">IF($AE69="Y",SUM(IF((INDIRECT("'"&amp;$AB69&amp;"'!$J23:$J200")=$B$2)*(INDIRECT("'"&amp;$AB69&amp;"'!e23:E200")=$AE69),INDIRECT("'"&amp;$AB69&amp;"'!$L23:$L200")/X69,0)),"-")</f>
        <v>#REF!</v>
      </c>
      <c r="AA69" s="424" t="e">
        <f ca="1">IF($AE69="Y",Y69+Z69,"-")</f>
        <v>#REF!</v>
      </c>
      <c r="AB69" s="475" t="e">
        <f ca="1">IF($AE69="Y",VLOOKUP(C69,Table!B:C,2,FALSE),"")</f>
        <v>#REF!</v>
      </c>
      <c r="AC69" s="476" t="e">
        <f ca="1">A69</f>
        <v>#REF!</v>
      </c>
      <c r="AD69" s="477" t="e">
        <v>#DIV/0!</v>
      </c>
      <c r="AE69" s="230" t="e">
        <f ca="1">IF(C69="","",VLOOKUP(C69,Table!$B$36:$AO$57,Table!$AO$35-1,FALSE))</f>
        <v>#REF!</v>
      </c>
      <c r="AF69" s="428"/>
      <c r="AG69" s="428"/>
      <c r="AH69" s="428"/>
      <c r="AI69" s="428"/>
      <c r="AJ69" s="428"/>
      <c r="AK69" s="428"/>
      <c r="AL69" s="428"/>
      <c r="AM69" s="428"/>
      <c r="AN69" s="428"/>
      <c r="AO69" s="428"/>
      <c r="AP69" s="428"/>
      <c r="AQ69" s="428"/>
      <c r="AR69" s="428"/>
      <c r="AS69" s="428"/>
      <c r="AT69" s="428"/>
      <c r="AU69" s="428"/>
      <c r="AV69" s="428"/>
      <c r="AW69" s="428"/>
      <c r="AX69" s="428"/>
      <c r="AY69" s="428"/>
      <c r="AZ69" s="428"/>
      <c r="BA69" s="428"/>
      <c r="BB69" s="428"/>
      <c r="BC69" s="428"/>
      <c r="BD69" s="428"/>
      <c r="BE69" s="428"/>
      <c r="BF69" s="428"/>
      <c r="BG69" s="428"/>
    </row>
    <row r="70" spans="1:59">
      <c r="A70" s="401" t="e">
        <f t="shared" ref="A70:A88" ca="1" si="46">A8</f>
        <v>#REF!</v>
      </c>
      <c r="B70" s="430" t="e">
        <f t="shared" ref="B70:B88" ca="1" si="47">IF(AE70="Y",AA70+U70/100-A70/10000000,"")</f>
        <v>#REF!</v>
      </c>
      <c r="C70" s="401" t="e">
        <f t="shared" ref="C70:C88" ca="1" si="48">C8</f>
        <v>#REF!</v>
      </c>
      <c r="D70" s="403" t="e">
        <f t="array" aca="1" ref="D70" ca="1">IF($AE70="Y",SUM(IF((INDIRECT("'"&amp;$AB70&amp;"'!I23:I200")=$B$2)*(INDIRECT("'"&amp;$AB70&amp;"'!H23:H200")="H")*(INDIRECT("'"&amp;$AB70&amp;"'!N23:N200")=D$36)*(INDIRECT("'"&amp;$AB70&amp;"'!E23:E200")=$AE70),1,0)),"-")</f>
        <v>#REF!</v>
      </c>
      <c r="E70" s="404" t="e">
        <f t="shared" ref="E70:E88" ca="1" si="49">IF($AE70="Y",D70/H70,"-")</f>
        <v>#REF!</v>
      </c>
      <c r="F70" s="405" t="e">
        <f t="array" aca="1" ref="F70" ca="1">IF($AE70="Y",SUM(IF((INDIRECT("'"&amp;$AB70&amp;"'!J23:J200")=$B$2)*(INDIRECT("'"&amp;$AB70&amp;"'!I23:I200")="H")*(INDIRECT("'"&amp;$AB70&amp;"'!O23:O200")=F$36)*(INDIRECT("'"&amp;$AB70&amp;"'!E23:E200")=$AE70),1,0)),"-")</f>
        <v>#REF!</v>
      </c>
      <c r="G70" s="406" t="e">
        <f t="shared" ref="G70:G88" ca="1" si="50">IF($AE70="Y",F70/H70,"-")</f>
        <v>#REF!</v>
      </c>
      <c r="H70" s="407" t="e">
        <f t="shared" ref="H70:H88" ca="1" si="51">IF($AE70="Y",D70+F70,"-")</f>
        <v>#REF!</v>
      </c>
      <c r="I70" s="408" t="e">
        <f t="array" aca="1" ref="I70" ca="1">IF($AE70="Y",SUM(IF((INDIRECT("'"&amp;$AB70&amp;"'!$J23:$J200")=$B$2)*(INDIRECT("'"&amp;$AB70&amp;"'!$I23:$I200")="H")*(INDIRECT("'"&amp;$AB70&amp;"'!e23:E200")=$AE70),INDIRECT("'"&amp;$AB70&amp;"'!$K23:$K200")/H70,0)),"-")</f>
        <v>#REF!</v>
      </c>
      <c r="J70" s="408" t="e">
        <f t="array" aca="1" ref="J70" ca="1">IF($AE70="Y",SUM(IF((INDIRECT("'"&amp;$AB70&amp;"'!$J23:$J200")=$B$2)*(INDIRECT("'"&amp;$AB70&amp;"'!$I23:$I200")="H")*(INDIRECT("'"&amp;$AB70&amp;"'!e23:E200")=$AE70),INDIRECT("'"&amp;$AB70&amp;"'!$L23:$L200")/H70,0)),"-")</f>
        <v>#REF!</v>
      </c>
      <c r="K70" s="408" t="e">
        <f t="shared" ref="K70:K88" ca="1" si="52">IF($AE70="Y",I70+J70,"-")</f>
        <v>#REF!</v>
      </c>
      <c r="L70" s="403" t="e">
        <f t="array" aca="1" ref="L70" ca="1">IF($AE70="Y",SUM(IF((INDIRECT("'"&amp;$AB70&amp;"'!J23:J200")=$B$2)*(INDIRECT("'"&amp;$AB70&amp;"'!I23:I200")="A")*(INDIRECT("'"&amp;$AB70&amp;"'!O23:O200")=L$36)*(INDIRECT("'"&amp;$AB70&amp;"'!e23:E200")=$AE70),1,0)),"-")</f>
        <v>#REF!</v>
      </c>
      <c r="M70" s="404" t="e">
        <f t="shared" ref="M70:M88" ca="1" si="53">IF($AE70="Y",L70/P70,"-")</f>
        <v>#REF!</v>
      </c>
      <c r="N70" s="405" t="e">
        <f t="array" aca="1" ref="N70" ca="1">IF($AE70="Y",SUM(IF((INDIRECT("'"&amp;$AB70&amp;"'!J23:J200")=$B$2)*(INDIRECT("'"&amp;$AB70&amp;"'!I23:I200")="A")*(INDIRECT("'"&amp;$AB70&amp;"'!O23:O200")=N$36)*(INDIRECT("'"&amp;$AB70&amp;"'!e23:E200")=$AE70),1,0)),"-")</f>
        <v>#REF!</v>
      </c>
      <c r="O70" s="406" t="e">
        <f t="shared" ref="O70:O88" ca="1" si="54">IF($AE70="Y",N70/P70,"-")</f>
        <v>#REF!</v>
      </c>
      <c r="P70" s="407" t="e">
        <f t="shared" ref="P70:P88" ca="1" si="55">IF($AE70="Y",L70+N70,"-")</f>
        <v>#REF!</v>
      </c>
      <c r="Q70" s="408" t="e">
        <f t="array" aca="1" ref="Q70" ca="1">IF($AE70="Y",SUM(IF((INDIRECT("'"&amp;$AB70&amp;"'!$J23:$J200")=$B$2)*(INDIRECT("'"&amp;$AB70&amp;"'!$I23:$I200")="A")*(INDIRECT("'"&amp;$AB70&amp;"'!e23:E200")=$AE70),INDIRECT("'"&amp;$AB70&amp;"'!$K23:$K200")/P70,0)),"-")</f>
        <v>#REF!</v>
      </c>
      <c r="R70" s="408" t="e">
        <f t="array" aca="1" ref="R70" ca="1">IF($AE70="Y",SUM(IF((INDIRECT("'"&amp;$AB70&amp;"'!$J23:$J200")=$B$2)*(INDIRECT("'"&amp;$AB70&amp;"'!$I23:$I200")="A")*(INDIRECT("'"&amp;$AB70&amp;"'!e23:E200")=$AE70),INDIRECT("'"&amp;$AB70&amp;"'!$L23:$L200")/P70,0)),"-")</f>
        <v>#REF!</v>
      </c>
      <c r="S70" s="408" t="e">
        <f t="shared" ref="S70:S88" ca="1" si="56">IF($AE70="Y",Q70+R70,"-")</f>
        <v>#REF!</v>
      </c>
      <c r="T70" s="409" t="e">
        <f t="shared" ref="T70:T88" ca="1" si="57">IF($AE70="Y",L70+D70,"-")</f>
        <v>#REF!</v>
      </c>
      <c r="U70" s="404" t="e">
        <f t="shared" ref="U70:U88" ca="1" si="58">IF($AE70="Y",T70/X70,"-")</f>
        <v>#REF!</v>
      </c>
      <c r="V70" s="405" t="e">
        <f t="shared" ref="V70:V88" ca="1" si="59">IF($AE70="Y",N70+F70,"-")</f>
        <v>#REF!</v>
      </c>
      <c r="W70" s="406" t="e">
        <f t="shared" ref="W70:W88" ca="1" si="60">IF($AE70="Y",V70/X70,"-")</f>
        <v>#REF!</v>
      </c>
      <c r="X70" s="474" t="e">
        <f t="shared" ref="X70:X88" ca="1" si="61">IF($AE70="Y",T70+V70,"-")</f>
        <v>#REF!</v>
      </c>
      <c r="Y70" s="424" t="e">
        <f t="array" aca="1" ref="Y70" ca="1">IF($AE70="Y",SUM(IF((INDIRECT("'"&amp;$AB70&amp;"'!$J23:$J200")=$B$2)*(INDIRECT("'"&amp;$AB70&amp;"'!e23:E200")=$AE70),INDIRECT("'"&amp;$AB70&amp;"'!$K23:$K200")/X70,0)),"-")</f>
        <v>#REF!</v>
      </c>
      <c r="Z70" s="424" t="e">
        <f t="array" aca="1" ref="Z70" ca="1">IF($AE70="Y",SUM(IF((INDIRECT("'"&amp;$AB70&amp;"'!$J23:$J200")=$B$2)*(INDIRECT("'"&amp;$AB70&amp;"'!e23:E200")=$AE70),INDIRECT("'"&amp;$AB70&amp;"'!$L23:$L200")/X70,0)),"-")</f>
        <v>#REF!</v>
      </c>
      <c r="AA70" s="424" t="e">
        <f t="shared" ref="AA70:AA88" ca="1" si="62">IF($AE70="Y",Y70+Z70,"-")</f>
        <v>#REF!</v>
      </c>
      <c r="AB70" s="475" t="e">
        <f ca="1">IF($AE70="Y",VLOOKUP(C70,Table!B:C,2,FALSE),"")</f>
        <v>#REF!</v>
      </c>
      <c r="AC70" s="476" t="e">
        <f t="shared" ref="AC70:AC88" ca="1" si="63">A70</f>
        <v>#REF!</v>
      </c>
      <c r="AD70" s="477" t="e">
        <v>#DIV/0!</v>
      </c>
      <c r="AE70" s="230" t="e">
        <f ca="1">IF(C70="","",VLOOKUP(C70,Table!$B$36:$AO$57,Table!$AO$35-1,FALSE))</f>
        <v>#REF!</v>
      </c>
      <c r="AF70" s="428"/>
      <c r="AG70" s="428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1:59">
      <c r="A71" s="401" t="e">
        <f t="shared" ca="1" si="46"/>
        <v>#REF!</v>
      </c>
      <c r="B71" s="430" t="e">
        <f t="shared" ca="1" si="47"/>
        <v>#REF!</v>
      </c>
      <c r="C71" s="401" t="e">
        <f t="shared" ca="1" si="48"/>
        <v>#REF!</v>
      </c>
      <c r="D71" s="403" t="e">
        <f t="array" aca="1" ref="D71" ca="1">IF($AE71="Y",SUM(IF((INDIRECT("'"&amp;$AB71&amp;"'!I23:I200")=$B$2)*(INDIRECT("'"&amp;$AB71&amp;"'!H23:H200")="H")*(INDIRECT("'"&amp;$AB71&amp;"'!N23:N200")=D$36)*(INDIRECT("'"&amp;$AB71&amp;"'!E23:E200")=$AE71),1,0)),"-")</f>
        <v>#REF!</v>
      </c>
      <c r="E71" s="404" t="e">
        <f t="shared" ca="1" si="49"/>
        <v>#REF!</v>
      </c>
      <c r="F71" s="405" t="e">
        <f t="array" aca="1" ref="F71" ca="1">IF($AE71="Y",SUM(IF((INDIRECT("'"&amp;$AB71&amp;"'!J23:J200")=$B$2)*(INDIRECT("'"&amp;$AB71&amp;"'!I23:I200")="H")*(INDIRECT("'"&amp;$AB71&amp;"'!O23:O200")=F$36)*(INDIRECT("'"&amp;$AB71&amp;"'!E23:E200")=$AE71),1,0)),"-")</f>
        <v>#REF!</v>
      </c>
      <c r="G71" s="406" t="e">
        <f t="shared" ca="1" si="50"/>
        <v>#REF!</v>
      </c>
      <c r="H71" s="407" t="e">
        <f t="shared" ca="1" si="51"/>
        <v>#REF!</v>
      </c>
      <c r="I71" s="408" t="e">
        <f t="array" aca="1" ref="I71" ca="1">IF($AE71="Y",SUM(IF((INDIRECT("'"&amp;$AB71&amp;"'!$J23:$J200")=$B$2)*(INDIRECT("'"&amp;$AB71&amp;"'!$I23:$I200")="H")*(INDIRECT("'"&amp;$AB71&amp;"'!e23:E200")=$AE71),INDIRECT("'"&amp;$AB71&amp;"'!$K23:$K200")/H71,0)),"-")</f>
        <v>#REF!</v>
      </c>
      <c r="J71" s="408" t="e">
        <f t="array" aca="1" ref="J71" ca="1">IF($AE71="Y",SUM(IF((INDIRECT("'"&amp;$AB71&amp;"'!$J23:$J200")=$B$2)*(INDIRECT("'"&amp;$AB71&amp;"'!$I23:$I200")="H")*(INDIRECT("'"&amp;$AB71&amp;"'!e23:E200")=$AE71),INDIRECT("'"&amp;$AB71&amp;"'!$L23:$L200")/H71,0)),"-")</f>
        <v>#REF!</v>
      </c>
      <c r="K71" s="408" t="e">
        <f t="shared" ca="1" si="52"/>
        <v>#REF!</v>
      </c>
      <c r="L71" s="403" t="e">
        <f t="array" aca="1" ref="L71" ca="1">IF($AE71="Y",SUM(IF((INDIRECT("'"&amp;$AB71&amp;"'!J23:J200")=$B$2)*(INDIRECT("'"&amp;$AB71&amp;"'!I23:I200")="A")*(INDIRECT("'"&amp;$AB71&amp;"'!O23:O200")=L$36)*(INDIRECT("'"&amp;$AB71&amp;"'!e23:E200")=$AE71),1,0)),"-")</f>
        <v>#REF!</v>
      </c>
      <c r="M71" s="404" t="e">
        <f t="shared" ca="1" si="53"/>
        <v>#REF!</v>
      </c>
      <c r="N71" s="405" t="e">
        <f t="array" aca="1" ref="N71" ca="1">IF($AE71="Y",SUM(IF((INDIRECT("'"&amp;$AB71&amp;"'!J23:J200")=$B$2)*(INDIRECT("'"&amp;$AB71&amp;"'!I23:I200")="A")*(INDIRECT("'"&amp;$AB71&amp;"'!O23:O200")=N$36)*(INDIRECT("'"&amp;$AB71&amp;"'!e23:E200")=$AE71),1,0)),"-")</f>
        <v>#REF!</v>
      </c>
      <c r="O71" s="406" t="e">
        <f t="shared" ca="1" si="54"/>
        <v>#REF!</v>
      </c>
      <c r="P71" s="407" t="e">
        <f t="shared" ca="1" si="55"/>
        <v>#REF!</v>
      </c>
      <c r="Q71" s="408" t="e">
        <f t="array" aca="1" ref="Q71" ca="1">IF($AE71="Y",SUM(IF((INDIRECT("'"&amp;$AB71&amp;"'!$J23:$J200")=$B$2)*(INDIRECT("'"&amp;$AB71&amp;"'!$I23:$I200")="A")*(INDIRECT("'"&amp;$AB71&amp;"'!e23:E200")=$AE71),INDIRECT("'"&amp;$AB71&amp;"'!$K23:$K200")/P71,0)),"-")</f>
        <v>#REF!</v>
      </c>
      <c r="R71" s="408" t="e">
        <f t="array" aca="1" ref="R71" ca="1">IF($AE71="Y",SUM(IF((INDIRECT("'"&amp;$AB71&amp;"'!$J23:$J200")=$B$2)*(INDIRECT("'"&amp;$AB71&amp;"'!$I23:$I200")="A")*(INDIRECT("'"&amp;$AB71&amp;"'!e23:E200")=$AE71),INDIRECT("'"&amp;$AB71&amp;"'!$L23:$L200")/P71,0)),"-")</f>
        <v>#REF!</v>
      </c>
      <c r="S71" s="408" t="e">
        <f t="shared" ca="1" si="56"/>
        <v>#REF!</v>
      </c>
      <c r="T71" s="409" t="e">
        <f t="shared" ca="1" si="57"/>
        <v>#REF!</v>
      </c>
      <c r="U71" s="404" t="e">
        <f t="shared" ca="1" si="58"/>
        <v>#REF!</v>
      </c>
      <c r="V71" s="405" t="e">
        <f t="shared" ca="1" si="59"/>
        <v>#REF!</v>
      </c>
      <c r="W71" s="406" t="e">
        <f t="shared" ca="1" si="60"/>
        <v>#REF!</v>
      </c>
      <c r="X71" s="474" t="e">
        <f t="shared" ca="1" si="61"/>
        <v>#REF!</v>
      </c>
      <c r="Y71" s="424" t="e">
        <f t="array" aca="1" ref="Y71" ca="1">IF($AE71="Y",SUM(IF((INDIRECT("'"&amp;$AB71&amp;"'!$J23:$J200")=$B$2)*(INDIRECT("'"&amp;$AB71&amp;"'!e23:E200")=$AE71),INDIRECT("'"&amp;$AB71&amp;"'!$K23:$K200")/X71,0)),"-")</f>
        <v>#REF!</v>
      </c>
      <c r="Z71" s="424" t="e">
        <f t="array" aca="1" ref="Z71" ca="1">IF($AE71="Y",SUM(IF((INDIRECT("'"&amp;$AB71&amp;"'!$J23:$J200")=$B$2)*(INDIRECT("'"&amp;$AB71&amp;"'!e23:E200")=$AE71),INDIRECT("'"&amp;$AB71&amp;"'!$L23:$L200")/X71,0)),"-")</f>
        <v>#REF!</v>
      </c>
      <c r="AA71" s="424" t="e">
        <f t="shared" ca="1" si="62"/>
        <v>#REF!</v>
      </c>
      <c r="AB71" s="475" t="e">
        <f ca="1">IF($AE71="Y",VLOOKUP(C71,Table!B:C,2,FALSE),"")</f>
        <v>#REF!</v>
      </c>
      <c r="AC71" s="476" t="e">
        <f t="shared" ca="1" si="63"/>
        <v>#REF!</v>
      </c>
      <c r="AD71" s="477" t="e">
        <v>#DIV/0!</v>
      </c>
      <c r="AE71" s="230" t="e">
        <f ca="1">IF(C71="","",VLOOKUP(C71,Table!$B$36:$AO$57,Table!$AO$35-1,FALSE))</f>
        <v>#REF!</v>
      </c>
      <c r="AF71" s="428"/>
      <c r="AG71" s="428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1:59">
      <c r="A72" s="401" t="e">
        <f t="shared" ca="1" si="46"/>
        <v>#REF!</v>
      </c>
      <c r="B72" s="430" t="e">
        <f t="shared" ca="1" si="47"/>
        <v>#REF!</v>
      </c>
      <c r="C72" s="401" t="e">
        <f t="shared" ca="1" si="48"/>
        <v>#REF!</v>
      </c>
      <c r="D72" s="403" t="e">
        <f t="array" aca="1" ref="D72" ca="1">IF($AE72="Y",SUM(IF((INDIRECT("'"&amp;$AB72&amp;"'!I23:I200")=$B$2)*(INDIRECT("'"&amp;$AB72&amp;"'!H23:H200")="H")*(INDIRECT("'"&amp;$AB72&amp;"'!N23:N200")=D$36)*(INDIRECT("'"&amp;$AB72&amp;"'!E23:E200")=$AE72),1,0)),"-")</f>
        <v>#REF!</v>
      </c>
      <c r="E72" s="404" t="e">
        <f t="shared" ca="1" si="49"/>
        <v>#REF!</v>
      </c>
      <c r="F72" s="405" t="e">
        <f t="array" aca="1" ref="F72" ca="1">IF($AE72="Y",SUM(IF((INDIRECT("'"&amp;$AB72&amp;"'!J23:J200")=$B$2)*(INDIRECT("'"&amp;$AB72&amp;"'!I23:I200")="H")*(INDIRECT("'"&amp;$AB72&amp;"'!O23:O200")=F$36)*(INDIRECT("'"&amp;$AB72&amp;"'!E23:E200")=$AE72),1,0)),"-")</f>
        <v>#REF!</v>
      </c>
      <c r="G72" s="406" t="e">
        <f t="shared" ca="1" si="50"/>
        <v>#REF!</v>
      </c>
      <c r="H72" s="407" t="e">
        <f t="shared" ca="1" si="51"/>
        <v>#REF!</v>
      </c>
      <c r="I72" s="408" t="e">
        <f t="array" aca="1" ref="I72" ca="1">IF($AE72="Y",SUM(IF((INDIRECT("'"&amp;$AB72&amp;"'!$J23:$J200")=$B$2)*(INDIRECT("'"&amp;$AB72&amp;"'!$I23:$I200")="H")*(INDIRECT("'"&amp;$AB72&amp;"'!e23:E200")=$AE72),INDIRECT("'"&amp;$AB72&amp;"'!$K23:$K200")/H72,0)),"-")</f>
        <v>#REF!</v>
      </c>
      <c r="J72" s="408" t="e">
        <f t="array" aca="1" ref="J72" ca="1">IF($AE72="Y",SUM(IF((INDIRECT("'"&amp;$AB72&amp;"'!$J23:$J200")=$B$2)*(INDIRECT("'"&amp;$AB72&amp;"'!$I23:$I200")="H")*(INDIRECT("'"&amp;$AB72&amp;"'!e23:E200")=$AE72),INDIRECT("'"&amp;$AB72&amp;"'!$L23:$L200")/H72,0)),"-")</f>
        <v>#REF!</v>
      </c>
      <c r="K72" s="408" t="e">
        <f t="shared" ca="1" si="52"/>
        <v>#REF!</v>
      </c>
      <c r="L72" s="403" t="e">
        <f t="array" aca="1" ref="L72" ca="1">IF($AE72="Y",SUM(IF((INDIRECT("'"&amp;$AB72&amp;"'!J23:J200")=$B$2)*(INDIRECT("'"&amp;$AB72&amp;"'!I23:I200")="A")*(INDIRECT("'"&amp;$AB72&amp;"'!O23:O200")=L$36)*(INDIRECT("'"&amp;$AB72&amp;"'!e23:E200")=$AE72),1,0)),"-")</f>
        <v>#REF!</v>
      </c>
      <c r="M72" s="404" t="e">
        <f t="shared" ca="1" si="53"/>
        <v>#REF!</v>
      </c>
      <c r="N72" s="405" t="e">
        <f t="array" aca="1" ref="N72" ca="1">IF($AE72="Y",SUM(IF((INDIRECT("'"&amp;$AB72&amp;"'!J23:J200")=$B$2)*(INDIRECT("'"&amp;$AB72&amp;"'!I23:I200")="A")*(INDIRECT("'"&amp;$AB72&amp;"'!O23:O200")=N$36)*(INDIRECT("'"&amp;$AB72&amp;"'!e23:E200")=$AE72),1,0)),"-")</f>
        <v>#REF!</v>
      </c>
      <c r="O72" s="406" t="e">
        <f t="shared" ca="1" si="54"/>
        <v>#REF!</v>
      </c>
      <c r="P72" s="407" t="e">
        <f t="shared" ca="1" si="55"/>
        <v>#REF!</v>
      </c>
      <c r="Q72" s="408" t="e">
        <f t="array" aca="1" ref="Q72" ca="1">IF($AE72="Y",SUM(IF((INDIRECT("'"&amp;$AB72&amp;"'!$J23:$J200")=$B$2)*(INDIRECT("'"&amp;$AB72&amp;"'!$I23:$I200")="A")*(INDIRECT("'"&amp;$AB72&amp;"'!e23:E200")=$AE72),INDIRECT("'"&amp;$AB72&amp;"'!$K23:$K200")/P72,0)),"-")</f>
        <v>#REF!</v>
      </c>
      <c r="R72" s="408" t="e">
        <f t="array" aca="1" ref="R72" ca="1">IF($AE72="Y",SUM(IF((INDIRECT("'"&amp;$AB72&amp;"'!$J23:$J200")=$B$2)*(INDIRECT("'"&amp;$AB72&amp;"'!$I23:$I200")="A")*(INDIRECT("'"&amp;$AB72&amp;"'!e23:E200")=$AE72),INDIRECT("'"&amp;$AB72&amp;"'!$L23:$L200")/P72,0)),"-")</f>
        <v>#REF!</v>
      </c>
      <c r="S72" s="408" t="e">
        <f t="shared" ca="1" si="56"/>
        <v>#REF!</v>
      </c>
      <c r="T72" s="409" t="e">
        <f t="shared" ca="1" si="57"/>
        <v>#REF!</v>
      </c>
      <c r="U72" s="404" t="e">
        <f t="shared" ca="1" si="58"/>
        <v>#REF!</v>
      </c>
      <c r="V72" s="405" t="e">
        <f t="shared" ca="1" si="59"/>
        <v>#REF!</v>
      </c>
      <c r="W72" s="406" t="e">
        <f t="shared" ca="1" si="60"/>
        <v>#REF!</v>
      </c>
      <c r="X72" s="474" t="e">
        <f t="shared" ca="1" si="61"/>
        <v>#REF!</v>
      </c>
      <c r="Y72" s="424" t="e">
        <f t="array" aca="1" ref="Y72" ca="1">IF($AE72="Y",SUM(IF((INDIRECT("'"&amp;$AB72&amp;"'!$J23:$J200")=$B$2)*(INDIRECT("'"&amp;$AB72&amp;"'!e23:E200")=$AE72),INDIRECT("'"&amp;$AB72&amp;"'!$K23:$K200")/X72,0)),"-")</f>
        <v>#REF!</v>
      </c>
      <c r="Z72" s="424" t="e">
        <f t="array" aca="1" ref="Z72" ca="1">IF($AE72="Y",SUM(IF((INDIRECT("'"&amp;$AB72&amp;"'!$J23:$J200")=$B$2)*(INDIRECT("'"&amp;$AB72&amp;"'!e23:E200")=$AE72),INDIRECT("'"&amp;$AB72&amp;"'!$L23:$L200")/X72,0)),"-")</f>
        <v>#REF!</v>
      </c>
      <c r="AA72" s="424" t="e">
        <f t="shared" ca="1" si="62"/>
        <v>#REF!</v>
      </c>
      <c r="AB72" s="475" t="e">
        <f ca="1">IF($AE72="Y",VLOOKUP(C72,Table!B:C,2,FALSE),"")</f>
        <v>#REF!</v>
      </c>
      <c r="AC72" s="476" t="e">
        <f t="shared" ca="1" si="63"/>
        <v>#REF!</v>
      </c>
      <c r="AD72" s="477" t="e">
        <v>#DIV/0!</v>
      </c>
      <c r="AE72" s="230" t="e">
        <f ca="1">IF(C72="","",VLOOKUP(C72,Table!$B$36:$AO$57,Table!$AO$35-1,FALSE))</f>
        <v>#REF!</v>
      </c>
      <c r="AF72" s="428"/>
      <c r="AG72" s="428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1:59">
      <c r="A73" s="401" t="e">
        <f t="shared" ca="1" si="46"/>
        <v>#REF!</v>
      </c>
      <c r="B73" s="430" t="e">
        <f t="shared" ca="1" si="47"/>
        <v>#REF!</v>
      </c>
      <c r="C73" s="401" t="e">
        <f t="shared" ca="1" si="48"/>
        <v>#REF!</v>
      </c>
      <c r="D73" s="403" t="e">
        <f t="array" aca="1" ref="D73" ca="1">IF($AE73="Y",SUM(IF((INDIRECT("'"&amp;$AB73&amp;"'!I23:I200")=$B$2)*(INDIRECT("'"&amp;$AB73&amp;"'!H23:H200")="H")*(INDIRECT("'"&amp;$AB73&amp;"'!N23:N200")=D$36)*(INDIRECT("'"&amp;$AB73&amp;"'!E23:E200")=$AE73),1,0)),"-")</f>
        <v>#REF!</v>
      </c>
      <c r="E73" s="404" t="e">
        <f t="shared" ca="1" si="49"/>
        <v>#REF!</v>
      </c>
      <c r="F73" s="405" t="e">
        <f t="array" aca="1" ref="F73" ca="1">IF($AE73="Y",SUM(IF((INDIRECT("'"&amp;$AB73&amp;"'!J23:J200")=$B$2)*(INDIRECT("'"&amp;$AB73&amp;"'!I23:I200")="H")*(INDIRECT("'"&amp;$AB73&amp;"'!O23:O200")=F$36)*(INDIRECT("'"&amp;$AB73&amp;"'!E23:E200")=$AE73),1,0)),"-")</f>
        <v>#REF!</v>
      </c>
      <c r="G73" s="406" t="e">
        <f t="shared" ca="1" si="50"/>
        <v>#REF!</v>
      </c>
      <c r="H73" s="407" t="e">
        <f t="shared" ca="1" si="51"/>
        <v>#REF!</v>
      </c>
      <c r="I73" s="408" t="e">
        <f t="array" aca="1" ref="I73" ca="1">IF($AE73="Y",SUM(IF((INDIRECT("'"&amp;$AB73&amp;"'!$J23:$J200")=$B$2)*(INDIRECT("'"&amp;$AB73&amp;"'!$I23:$I200")="H")*(INDIRECT("'"&amp;$AB73&amp;"'!e23:E200")=$AE73),INDIRECT("'"&amp;$AB73&amp;"'!$K23:$K200")/H73,0)),"-")</f>
        <v>#REF!</v>
      </c>
      <c r="J73" s="408" t="e">
        <f t="array" aca="1" ref="J73" ca="1">IF($AE73="Y",SUM(IF((INDIRECT("'"&amp;$AB73&amp;"'!$J23:$J200")=$B$2)*(INDIRECT("'"&amp;$AB73&amp;"'!$I23:$I200")="H")*(INDIRECT("'"&amp;$AB73&amp;"'!e23:E200")=$AE73),INDIRECT("'"&amp;$AB73&amp;"'!$L23:$L200")/H73,0)),"-")</f>
        <v>#REF!</v>
      </c>
      <c r="K73" s="408" t="e">
        <f t="shared" ca="1" si="52"/>
        <v>#REF!</v>
      </c>
      <c r="L73" s="403" t="e">
        <f t="array" aca="1" ref="L73" ca="1">IF($AE73="Y",SUM(IF((INDIRECT("'"&amp;$AB73&amp;"'!J23:J200")=$B$2)*(INDIRECT("'"&amp;$AB73&amp;"'!I23:I200")="A")*(INDIRECT("'"&amp;$AB73&amp;"'!O23:O200")=L$36)*(INDIRECT("'"&amp;$AB73&amp;"'!e23:E200")=$AE73),1,0)),"-")</f>
        <v>#REF!</v>
      </c>
      <c r="M73" s="404" t="e">
        <f t="shared" ca="1" si="53"/>
        <v>#REF!</v>
      </c>
      <c r="N73" s="405" t="e">
        <f t="array" aca="1" ref="N73" ca="1">IF($AE73="Y",SUM(IF((INDIRECT("'"&amp;$AB73&amp;"'!J23:J200")=$B$2)*(INDIRECT("'"&amp;$AB73&amp;"'!I23:I200")="A")*(INDIRECT("'"&amp;$AB73&amp;"'!O23:O200")=N$36)*(INDIRECT("'"&amp;$AB73&amp;"'!e23:E200")=$AE73),1,0)),"-")</f>
        <v>#REF!</v>
      </c>
      <c r="O73" s="406" t="e">
        <f t="shared" ca="1" si="54"/>
        <v>#REF!</v>
      </c>
      <c r="P73" s="407" t="e">
        <f t="shared" ca="1" si="55"/>
        <v>#REF!</v>
      </c>
      <c r="Q73" s="408" t="e">
        <f t="array" aca="1" ref="Q73" ca="1">IF($AE73="Y",SUM(IF((INDIRECT("'"&amp;$AB73&amp;"'!$J23:$J200")=$B$2)*(INDIRECT("'"&amp;$AB73&amp;"'!$I23:$I200")="A")*(INDIRECT("'"&amp;$AB73&amp;"'!e23:E200")=$AE73),INDIRECT("'"&amp;$AB73&amp;"'!$K23:$K200")/P73,0)),"-")</f>
        <v>#REF!</v>
      </c>
      <c r="R73" s="408" t="e">
        <f t="array" aca="1" ref="R73" ca="1">IF($AE73="Y",SUM(IF((INDIRECT("'"&amp;$AB73&amp;"'!$J23:$J200")=$B$2)*(INDIRECT("'"&amp;$AB73&amp;"'!$I23:$I200")="A")*(INDIRECT("'"&amp;$AB73&amp;"'!e23:E200")=$AE73),INDIRECT("'"&amp;$AB73&amp;"'!$L23:$L200")/P73,0)),"-")</f>
        <v>#REF!</v>
      </c>
      <c r="S73" s="408" t="e">
        <f t="shared" ca="1" si="56"/>
        <v>#REF!</v>
      </c>
      <c r="T73" s="409" t="e">
        <f t="shared" ca="1" si="57"/>
        <v>#REF!</v>
      </c>
      <c r="U73" s="404" t="e">
        <f t="shared" ca="1" si="58"/>
        <v>#REF!</v>
      </c>
      <c r="V73" s="405" t="e">
        <f t="shared" ca="1" si="59"/>
        <v>#REF!</v>
      </c>
      <c r="W73" s="406" t="e">
        <f t="shared" ca="1" si="60"/>
        <v>#REF!</v>
      </c>
      <c r="X73" s="474" t="e">
        <f t="shared" ca="1" si="61"/>
        <v>#REF!</v>
      </c>
      <c r="Y73" s="424" t="e">
        <f t="array" aca="1" ref="Y73" ca="1">IF($AE73="Y",SUM(IF((INDIRECT("'"&amp;$AB73&amp;"'!$J23:$J200")=$B$2)*(INDIRECT("'"&amp;$AB73&amp;"'!e23:E200")=$AE73),INDIRECT("'"&amp;$AB73&amp;"'!$K23:$K200")/X73,0)),"-")</f>
        <v>#REF!</v>
      </c>
      <c r="Z73" s="424" t="e">
        <f t="array" aca="1" ref="Z73" ca="1">IF($AE73="Y",SUM(IF((INDIRECT("'"&amp;$AB73&amp;"'!$J23:$J200")=$B$2)*(INDIRECT("'"&amp;$AB73&amp;"'!e23:E200")=$AE73),INDIRECT("'"&amp;$AB73&amp;"'!$L23:$L200")/X73,0)),"-")</f>
        <v>#REF!</v>
      </c>
      <c r="AA73" s="424" t="e">
        <f t="shared" ca="1" si="62"/>
        <v>#REF!</v>
      </c>
      <c r="AB73" s="475" t="e">
        <f ca="1">IF($AE73="Y",VLOOKUP(C73,Table!B:C,2,FALSE),"")</f>
        <v>#REF!</v>
      </c>
      <c r="AC73" s="476" t="e">
        <f t="shared" ca="1" si="63"/>
        <v>#REF!</v>
      </c>
      <c r="AD73" s="477" t="e">
        <v>#DIV/0!</v>
      </c>
      <c r="AE73" s="230" t="e">
        <f ca="1">IF(C73="","",VLOOKUP(C73,Table!$B$36:$AO$57,Table!$AO$35-1,FALSE))</f>
        <v>#REF!</v>
      </c>
      <c r="AF73" s="428"/>
      <c r="AG73" s="428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1:59">
      <c r="A74" s="401" t="e">
        <f t="shared" ca="1" si="46"/>
        <v>#REF!</v>
      </c>
      <c r="B74" s="430" t="e">
        <f t="shared" ca="1" si="47"/>
        <v>#REF!</v>
      </c>
      <c r="C74" s="401" t="e">
        <f t="shared" ca="1" si="48"/>
        <v>#REF!</v>
      </c>
      <c r="D74" s="403" t="e">
        <f t="array" aca="1" ref="D74" ca="1">IF($AE74="Y",SUM(IF((INDIRECT("'"&amp;$AB74&amp;"'!I23:I200")=$B$2)*(INDIRECT("'"&amp;$AB74&amp;"'!H23:H200")="H")*(INDIRECT("'"&amp;$AB74&amp;"'!N23:N200")=D$36)*(INDIRECT("'"&amp;$AB74&amp;"'!E23:E200")=$AE74),1,0)),"-")</f>
        <v>#REF!</v>
      </c>
      <c r="E74" s="404" t="e">
        <f t="shared" ca="1" si="49"/>
        <v>#REF!</v>
      </c>
      <c r="F74" s="405" t="e">
        <f t="array" aca="1" ref="F74" ca="1">IF($AE74="Y",SUM(IF((INDIRECT("'"&amp;$AB74&amp;"'!J23:J200")=$B$2)*(INDIRECT("'"&amp;$AB74&amp;"'!I23:I200")="H")*(INDIRECT("'"&amp;$AB74&amp;"'!O23:O200")=F$36)*(INDIRECT("'"&amp;$AB74&amp;"'!E23:E200")=$AE74),1,0)),"-")</f>
        <v>#REF!</v>
      </c>
      <c r="G74" s="406" t="e">
        <f t="shared" ca="1" si="50"/>
        <v>#REF!</v>
      </c>
      <c r="H74" s="407" t="e">
        <f t="shared" ca="1" si="51"/>
        <v>#REF!</v>
      </c>
      <c r="I74" s="408" t="e">
        <f t="array" aca="1" ref="I74" ca="1">IF($AE74="Y",SUM(IF((INDIRECT("'"&amp;$AB74&amp;"'!$J23:$J200")=$B$2)*(INDIRECT("'"&amp;$AB74&amp;"'!$I23:$I200")="H")*(INDIRECT("'"&amp;$AB74&amp;"'!e23:E200")=$AE74),INDIRECT("'"&amp;$AB74&amp;"'!$K23:$K200")/H74,0)),"-")</f>
        <v>#REF!</v>
      </c>
      <c r="J74" s="408" t="e">
        <f t="array" aca="1" ref="J74" ca="1">IF($AE74="Y",SUM(IF((INDIRECT("'"&amp;$AB74&amp;"'!$J23:$J200")=$B$2)*(INDIRECT("'"&amp;$AB74&amp;"'!$I23:$I200")="H")*(INDIRECT("'"&amp;$AB74&amp;"'!e23:E200")=$AE74),INDIRECT("'"&amp;$AB74&amp;"'!$L23:$L200")/H74,0)),"-")</f>
        <v>#REF!</v>
      </c>
      <c r="K74" s="408" t="e">
        <f t="shared" ca="1" si="52"/>
        <v>#REF!</v>
      </c>
      <c r="L74" s="403" t="e">
        <f t="array" aca="1" ref="L74" ca="1">IF($AE74="Y",SUM(IF((INDIRECT("'"&amp;$AB74&amp;"'!J23:J200")=$B$2)*(INDIRECT("'"&amp;$AB74&amp;"'!I23:I200")="A")*(INDIRECT("'"&amp;$AB74&amp;"'!O23:O200")=L$36)*(INDIRECT("'"&amp;$AB74&amp;"'!e23:E200")=$AE74),1,0)),"-")</f>
        <v>#REF!</v>
      </c>
      <c r="M74" s="404" t="e">
        <f t="shared" ca="1" si="53"/>
        <v>#REF!</v>
      </c>
      <c r="N74" s="405" t="e">
        <f t="array" aca="1" ref="N74" ca="1">IF($AE74="Y",SUM(IF((INDIRECT("'"&amp;$AB74&amp;"'!J23:J200")=$B$2)*(INDIRECT("'"&amp;$AB74&amp;"'!I23:I200")="A")*(INDIRECT("'"&amp;$AB74&amp;"'!O23:O200")=N$36)*(INDIRECT("'"&amp;$AB74&amp;"'!e23:E200")=$AE74),1,0)),"-")</f>
        <v>#REF!</v>
      </c>
      <c r="O74" s="406" t="e">
        <f t="shared" ca="1" si="54"/>
        <v>#REF!</v>
      </c>
      <c r="P74" s="407" t="e">
        <f t="shared" ca="1" si="55"/>
        <v>#REF!</v>
      </c>
      <c r="Q74" s="408" t="e">
        <f t="array" aca="1" ref="Q74" ca="1">IF($AE74="Y",SUM(IF((INDIRECT("'"&amp;$AB74&amp;"'!$J23:$J200")=$B$2)*(INDIRECT("'"&amp;$AB74&amp;"'!$I23:$I200")="A")*(INDIRECT("'"&amp;$AB74&amp;"'!e23:E200")=$AE74),INDIRECT("'"&amp;$AB74&amp;"'!$K23:$K200")/P74,0)),"-")</f>
        <v>#REF!</v>
      </c>
      <c r="R74" s="408" t="e">
        <f t="array" aca="1" ref="R74" ca="1">IF($AE74="Y",SUM(IF((INDIRECT("'"&amp;$AB74&amp;"'!$J23:$J200")=$B$2)*(INDIRECT("'"&amp;$AB74&amp;"'!$I23:$I200")="A")*(INDIRECT("'"&amp;$AB74&amp;"'!e23:E200")=$AE74),INDIRECT("'"&amp;$AB74&amp;"'!$L23:$L200")/P74,0)),"-")</f>
        <v>#REF!</v>
      </c>
      <c r="S74" s="408" t="e">
        <f t="shared" ca="1" si="56"/>
        <v>#REF!</v>
      </c>
      <c r="T74" s="409" t="e">
        <f t="shared" ca="1" si="57"/>
        <v>#REF!</v>
      </c>
      <c r="U74" s="404" t="e">
        <f t="shared" ca="1" si="58"/>
        <v>#REF!</v>
      </c>
      <c r="V74" s="405" t="e">
        <f t="shared" ca="1" si="59"/>
        <v>#REF!</v>
      </c>
      <c r="W74" s="406" t="e">
        <f t="shared" ca="1" si="60"/>
        <v>#REF!</v>
      </c>
      <c r="X74" s="474" t="e">
        <f t="shared" ca="1" si="61"/>
        <v>#REF!</v>
      </c>
      <c r="Y74" s="424" t="e">
        <f t="array" aca="1" ref="Y74" ca="1">IF($AE74="Y",SUM(IF((INDIRECT("'"&amp;$AB74&amp;"'!$J23:$J200")=$B$2)*(INDIRECT("'"&amp;$AB74&amp;"'!e23:E200")=$AE74),INDIRECT("'"&amp;$AB74&amp;"'!$K23:$K200")/X74,0)),"-")</f>
        <v>#REF!</v>
      </c>
      <c r="Z74" s="424" t="e">
        <f t="array" aca="1" ref="Z74" ca="1">IF($AE74="Y",SUM(IF((INDIRECT("'"&amp;$AB74&amp;"'!$J23:$J200")=$B$2)*(INDIRECT("'"&amp;$AB74&amp;"'!e23:E200")=$AE74),INDIRECT("'"&amp;$AB74&amp;"'!$L23:$L200")/X74,0)),"-")</f>
        <v>#REF!</v>
      </c>
      <c r="AA74" s="424" t="e">
        <f t="shared" ca="1" si="62"/>
        <v>#REF!</v>
      </c>
      <c r="AB74" s="475" t="e">
        <f ca="1">IF($AE74="Y",VLOOKUP(C74,Table!B:C,2,FALSE),"")</f>
        <v>#REF!</v>
      </c>
      <c r="AC74" s="476" t="e">
        <f t="shared" ca="1" si="63"/>
        <v>#REF!</v>
      </c>
      <c r="AD74" s="477" t="e">
        <v>#DIV/0!</v>
      </c>
      <c r="AE74" s="230" t="e">
        <f ca="1">IF(C74="","",VLOOKUP(C74,Table!$B$36:$AO$57,Table!$AO$35-1,FALSE))</f>
        <v>#REF!</v>
      </c>
      <c r="AF74" s="428"/>
      <c r="AG74" s="428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1:59">
      <c r="A75" s="401" t="e">
        <f t="shared" ca="1" si="46"/>
        <v>#REF!</v>
      </c>
      <c r="B75" s="430" t="e">
        <f t="shared" ca="1" si="47"/>
        <v>#REF!</v>
      </c>
      <c r="C75" s="401" t="e">
        <f t="shared" ca="1" si="48"/>
        <v>#REF!</v>
      </c>
      <c r="D75" s="403" t="e">
        <f t="array" aca="1" ref="D75" ca="1">IF($AE75="Y",SUM(IF((INDIRECT("'"&amp;$AB75&amp;"'!I23:I200")=$B$2)*(INDIRECT("'"&amp;$AB75&amp;"'!H23:H200")="H")*(INDIRECT("'"&amp;$AB75&amp;"'!N23:N200")=D$36)*(INDIRECT("'"&amp;$AB75&amp;"'!E23:E200")=$AE75),1,0)),"-")</f>
        <v>#REF!</v>
      </c>
      <c r="E75" s="404" t="e">
        <f t="shared" ca="1" si="49"/>
        <v>#REF!</v>
      </c>
      <c r="F75" s="405" t="e">
        <f t="array" aca="1" ref="F75" ca="1">IF($AE75="Y",SUM(IF((INDIRECT("'"&amp;$AB75&amp;"'!J23:J200")=$B$2)*(INDIRECT("'"&amp;$AB75&amp;"'!I23:I200")="H")*(INDIRECT("'"&amp;$AB75&amp;"'!O23:O200")=F$36)*(INDIRECT("'"&amp;$AB75&amp;"'!E23:E200")=$AE75),1,0)),"-")</f>
        <v>#REF!</v>
      </c>
      <c r="G75" s="406" t="e">
        <f t="shared" ca="1" si="50"/>
        <v>#REF!</v>
      </c>
      <c r="H75" s="407" t="e">
        <f t="shared" ca="1" si="51"/>
        <v>#REF!</v>
      </c>
      <c r="I75" s="408" t="e">
        <f t="array" aca="1" ref="I75" ca="1">IF($AE75="Y",SUM(IF((INDIRECT("'"&amp;$AB75&amp;"'!$J23:$J200")=$B$2)*(INDIRECT("'"&amp;$AB75&amp;"'!$I23:$I200")="H")*(INDIRECT("'"&amp;$AB75&amp;"'!e23:E200")=$AE75),INDIRECT("'"&amp;$AB75&amp;"'!$K23:$K200")/H75,0)),"-")</f>
        <v>#REF!</v>
      </c>
      <c r="J75" s="408" t="e">
        <f t="array" aca="1" ref="J75" ca="1">IF($AE75="Y",SUM(IF((INDIRECT("'"&amp;$AB75&amp;"'!$J23:$J200")=$B$2)*(INDIRECT("'"&amp;$AB75&amp;"'!$I23:$I200")="H")*(INDIRECT("'"&amp;$AB75&amp;"'!e23:E200")=$AE75),INDIRECT("'"&amp;$AB75&amp;"'!$L23:$L200")/H75,0)),"-")</f>
        <v>#REF!</v>
      </c>
      <c r="K75" s="408" t="e">
        <f t="shared" ca="1" si="52"/>
        <v>#REF!</v>
      </c>
      <c r="L75" s="403" t="e">
        <f t="array" aca="1" ref="L75" ca="1">IF($AE75="Y",SUM(IF((INDIRECT("'"&amp;$AB75&amp;"'!J23:J200")=$B$2)*(INDIRECT("'"&amp;$AB75&amp;"'!I23:I200")="A")*(INDIRECT("'"&amp;$AB75&amp;"'!O23:O200")=L$36)*(INDIRECT("'"&amp;$AB75&amp;"'!e23:E200")=$AE75),1,0)),"-")</f>
        <v>#REF!</v>
      </c>
      <c r="M75" s="404" t="e">
        <f t="shared" ca="1" si="53"/>
        <v>#REF!</v>
      </c>
      <c r="N75" s="405" t="e">
        <f t="array" aca="1" ref="N75" ca="1">IF($AE75="Y",SUM(IF((INDIRECT("'"&amp;$AB75&amp;"'!J23:J200")=$B$2)*(INDIRECT("'"&amp;$AB75&amp;"'!I23:I200")="A")*(INDIRECT("'"&amp;$AB75&amp;"'!O23:O200")=N$36)*(INDIRECT("'"&amp;$AB75&amp;"'!e23:E200")=$AE75),1,0)),"-")</f>
        <v>#REF!</v>
      </c>
      <c r="O75" s="406" t="e">
        <f t="shared" ca="1" si="54"/>
        <v>#REF!</v>
      </c>
      <c r="P75" s="407" t="e">
        <f t="shared" ca="1" si="55"/>
        <v>#REF!</v>
      </c>
      <c r="Q75" s="408" t="e">
        <f t="array" aca="1" ref="Q75" ca="1">IF($AE75="Y",SUM(IF((INDIRECT("'"&amp;$AB75&amp;"'!$J23:$J200")=$B$2)*(INDIRECT("'"&amp;$AB75&amp;"'!$I23:$I200")="A")*(INDIRECT("'"&amp;$AB75&amp;"'!e23:E200")=$AE75),INDIRECT("'"&amp;$AB75&amp;"'!$K23:$K200")/P75,0)),"-")</f>
        <v>#REF!</v>
      </c>
      <c r="R75" s="408" t="e">
        <f t="array" aca="1" ref="R75" ca="1">IF($AE75="Y",SUM(IF((INDIRECT("'"&amp;$AB75&amp;"'!$J23:$J200")=$B$2)*(INDIRECT("'"&amp;$AB75&amp;"'!$I23:$I200")="A")*(INDIRECT("'"&amp;$AB75&amp;"'!e23:E200")=$AE75),INDIRECT("'"&amp;$AB75&amp;"'!$L23:$L200")/P75,0)),"-")</f>
        <v>#REF!</v>
      </c>
      <c r="S75" s="408" t="e">
        <f t="shared" ca="1" si="56"/>
        <v>#REF!</v>
      </c>
      <c r="T75" s="409" t="e">
        <f t="shared" ca="1" si="57"/>
        <v>#REF!</v>
      </c>
      <c r="U75" s="404" t="e">
        <f t="shared" ca="1" si="58"/>
        <v>#REF!</v>
      </c>
      <c r="V75" s="405" t="e">
        <f t="shared" ca="1" si="59"/>
        <v>#REF!</v>
      </c>
      <c r="W75" s="406" t="e">
        <f t="shared" ca="1" si="60"/>
        <v>#REF!</v>
      </c>
      <c r="X75" s="474" t="e">
        <f t="shared" ca="1" si="61"/>
        <v>#REF!</v>
      </c>
      <c r="Y75" s="424" t="e">
        <f t="array" aca="1" ref="Y75" ca="1">IF($AE75="Y",SUM(IF((INDIRECT("'"&amp;$AB75&amp;"'!$J23:$J200")=$B$2)*(INDIRECT("'"&amp;$AB75&amp;"'!e23:E200")=$AE75),INDIRECT("'"&amp;$AB75&amp;"'!$K23:$K200")/X75,0)),"-")</f>
        <v>#REF!</v>
      </c>
      <c r="Z75" s="424" t="e">
        <f t="array" aca="1" ref="Z75" ca="1">IF($AE75="Y",SUM(IF((INDIRECT("'"&amp;$AB75&amp;"'!$J23:$J200")=$B$2)*(INDIRECT("'"&amp;$AB75&amp;"'!e23:E200")=$AE75),INDIRECT("'"&amp;$AB75&amp;"'!$L23:$L200")/X75,0)),"-")</f>
        <v>#REF!</v>
      </c>
      <c r="AA75" s="424" t="e">
        <f t="shared" ca="1" si="62"/>
        <v>#REF!</v>
      </c>
      <c r="AB75" s="475" t="e">
        <f ca="1">IF($AE75="Y",VLOOKUP(C75,Table!B:C,2,FALSE),"")</f>
        <v>#REF!</v>
      </c>
      <c r="AC75" s="476" t="e">
        <f t="shared" ca="1" si="63"/>
        <v>#REF!</v>
      </c>
      <c r="AD75" s="477" t="e">
        <v>#DIV/0!</v>
      </c>
      <c r="AE75" s="230" t="e">
        <f ca="1">IF(C75="","",VLOOKUP(C75,Table!$B$36:$AO$57,Table!$AO$35-1,FALSE))</f>
        <v>#REF!</v>
      </c>
      <c r="AF75" s="428"/>
      <c r="AG75" s="428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1:59">
      <c r="A76" s="401" t="e">
        <f t="shared" ca="1" si="46"/>
        <v>#REF!</v>
      </c>
      <c r="B76" s="430" t="e">
        <f t="shared" ca="1" si="47"/>
        <v>#REF!</v>
      </c>
      <c r="C76" s="401" t="e">
        <f t="shared" ca="1" si="48"/>
        <v>#REF!</v>
      </c>
      <c r="D76" s="403" t="e">
        <f t="array" aca="1" ref="D76" ca="1">IF($AE76="Y",SUM(IF((INDIRECT("'"&amp;$AB76&amp;"'!I23:I200")=$B$2)*(INDIRECT("'"&amp;$AB76&amp;"'!H23:H200")="H")*(INDIRECT("'"&amp;$AB76&amp;"'!N23:N200")=D$36)*(INDIRECT("'"&amp;$AB76&amp;"'!E23:E200")=$AE76),1,0)),"-")</f>
        <v>#REF!</v>
      </c>
      <c r="E76" s="404" t="e">
        <f t="shared" ca="1" si="49"/>
        <v>#REF!</v>
      </c>
      <c r="F76" s="405" t="e">
        <f t="array" aca="1" ref="F76" ca="1">IF($AE76="Y",SUM(IF((INDIRECT("'"&amp;$AB76&amp;"'!J23:J200")=$B$2)*(INDIRECT("'"&amp;$AB76&amp;"'!I23:I200")="H")*(INDIRECT("'"&amp;$AB76&amp;"'!O23:O200")=F$36)*(INDIRECT("'"&amp;$AB76&amp;"'!E23:E200")=$AE76),1,0)),"-")</f>
        <v>#REF!</v>
      </c>
      <c r="G76" s="406" t="e">
        <f t="shared" ca="1" si="50"/>
        <v>#REF!</v>
      </c>
      <c r="H76" s="407" t="e">
        <f t="shared" ca="1" si="51"/>
        <v>#REF!</v>
      </c>
      <c r="I76" s="408" t="e">
        <f t="array" aca="1" ref="I76" ca="1">IF($AE76="Y",SUM(IF((INDIRECT("'"&amp;$AB76&amp;"'!$J23:$J200")=$B$2)*(INDIRECT("'"&amp;$AB76&amp;"'!$I23:$I200")="H")*(INDIRECT("'"&amp;$AB76&amp;"'!e23:E200")=$AE76),INDIRECT("'"&amp;$AB76&amp;"'!$K23:$K200")/H76,0)),"-")</f>
        <v>#REF!</v>
      </c>
      <c r="J76" s="408" t="e">
        <f t="array" aca="1" ref="J76" ca="1">IF($AE76="Y",SUM(IF((INDIRECT("'"&amp;$AB76&amp;"'!$J23:$J200")=$B$2)*(INDIRECT("'"&amp;$AB76&amp;"'!$I23:$I200")="H")*(INDIRECT("'"&amp;$AB76&amp;"'!e23:E200")=$AE76),INDIRECT("'"&amp;$AB76&amp;"'!$L23:$L200")/H76,0)),"-")</f>
        <v>#REF!</v>
      </c>
      <c r="K76" s="408" t="e">
        <f t="shared" ca="1" si="52"/>
        <v>#REF!</v>
      </c>
      <c r="L76" s="403" t="e">
        <f t="array" aca="1" ref="L76" ca="1">IF($AE76="Y",SUM(IF((INDIRECT("'"&amp;$AB76&amp;"'!J23:J200")=$B$2)*(INDIRECT("'"&amp;$AB76&amp;"'!I23:I200")="A")*(INDIRECT("'"&amp;$AB76&amp;"'!O23:O200")=L$36)*(INDIRECT("'"&amp;$AB76&amp;"'!e23:E200")=$AE76),1,0)),"-")</f>
        <v>#REF!</v>
      </c>
      <c r="M76" s="404" t="e">
        <f t="shared" ca="1" si="53"/>
        <v>#REF!</v>
      </c>
      <c r="N76" s="405" t="e">
        <f t="array" aca="1" ref="N76" ca="1">IF($AE76="Y",SUM(IF((INDIRECT("'"&amp;$AB76&amp;"'!J23:J200")=$B$2)*(INDIRECT("'"&amp;$AB76&amp;"'!I23:I200")="A")*(INDIRECT("'"&amp;$AB76&amp;"'!O23:O200")=N$36)*(INDIRECT("'"&amp;$AB76&amp;"'!e23:E200")=$AE76),1,0)),"-")</f>
        <v>#REF!</v>
      </c>
      <c r="O76" s="406" t="e">
        <f t="shared" ca="1" si="54"/>
        <v>#REF!</v>
      </c>
      <c r="P76" s="407" t="e">
        <f t="shared" ca="1" si="55"/>
        <v>#REF!</v>
      </c>
      <c r="Q76" s="408" t="e">
        <f t="array" aca="1" ref="Q76" ca="1">IF($AE76="Y",SUM(IF((INDIRECT("'"&amp;$AB76&amp;"'!$J23:$J200")=$B$2)*(INDIRECT("'"&amp;$AB76&amp;"'!$I23:$I200")="A")*(INDIRECT("'"&amp;$AB76&amp;"'!e23:E200")=$AE76),INDIRECT("'"&amp;$AB76&amp;"'!$K23:$K200")/P76,0)),"-")</f>
        <v>#REF!</v>
      </c>
      <c r="R76" s="408" t="e">
        <f t="array" aca="1" ref="R76" ca="1">IF($AE76="Y",SUM(IF((INDIRECT("'"&amp;$AB76&amp;"'!$J23:$J200")=$B$2)*(INDIRECT("'"&amp;$AB76&amp;"'!$I23:$I200")="A")*(INDIRECT("'"&amp;$AB76&amp;"'!e23:E200")=$AE76),INDIRECT("'"&amp;$AB76&amp;"'!$L23:$L200")/P76,0)),"-")</f>
        <v>#REF!</v>
      </c>
      <c r="S76" s="408" t="e">
        <f t="shared" ca="1" si="56"/>
        <v>#REF!</v>
      </c>
      <c r="T76" s="409" t="e">
        <f t="shared" ca="1" si="57"/>
        <v>#REF!</v>
      </c>
      <c r="U76" s="404" t="e">
        <f t="shared" ca="1" si="58"/>
        <v>#REF!</v>
      </c>
      <c r="V76" s="405" t="e">
        <f t="shared" ca="1" si="59"/>
        <v>#REF!</v>
      </c>
      <c r="W76" s="406" t="e">
        <f t="shared" ca="1" si="60"/>
        <v>#REF!</v>
      </c>
      <c r="X76" s="474" t="e">
        <f t="shared" ca="1" si="61"/>
        <v>#REF!</v>
      </c>
      <c r="Y76" s="424" t="e">
        <f t="array" aca="1" ref="Y76" ca="1">IF($AE76="Y",SUM(IF((INDIRECT("'"&amp;$AB76&amp;"'!$J23:$J200")=$B$2)*(INDIRECT("'"&amp;$AB76&amp;"'!e23:E200")=$AE76),INDIRECT("'"&amp;$AB76&amp;"'!$K23:$K200")/X76,0)),"-")</f>
        <v>#REF!</v>
      </c>
      <c r="Z76" s="424" t="e">
        <f t="array" aca="1" ref="Z76" ca="1">IF($AE76="Y",SUM(IF((INDIRECT("'"&amp;$AB76&amp;"'!$J23:$J200")=$B$2)*(INDIRECT("'"&amp;$AB76&amp;"'!e23:E200")=$AE76),INDIRECT("'"&amp;$AB76&amp;"'!$L23:$L200")/X76,0)),"-")</f>
        <v>#REF!</v>
      </c>
      <c r="AA76" s="424" t="e">
        <f t="shared" ca="1" si="62"/>
        <v>#REF!</v>
      </c>
      <c r="AB76" s="475" t="e">
        <f ca="1">IF($AE76="Y",VLOOKUP(C76,Table!B:C,2,FALSE),"")</f>
        <v>#REF!</v>
      </c>
      <c r="AC76" s="476" t="e">
        <f t="shared" ca="1" si="63"/>
        <v>#REF!</v>
      </c>
      <c r="AD76" s="477" t="e">
        <v>#DIV/0!</v>
      </c>
      <c r="AE76" s="230" t="e">
        <f ca="1">IF(C76="","",VLOOKUP(C76,Table!$B$36:$AO$57,Table!$AO$35-1,FALSE))</f>
        <v>#REF!</v>
      </c>
      <c r="AF76" s="428"/>
      <c r="AG76" s="428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1:59">
      <c r="A77" s="401" t="e">
        <f t="shared" ca="1" si="46"/>
        <v>#REF!</v>
      </c>
      <c r="B77" s="430" t="e">
        <f t="shared" ca="1" si="47"/>
        <v>#REF!</v>
      </c>
      <c r="C77" s="401" t="e">
        <f t="shared" ca="1" si="48"/>
        <v>#REF!</v>
      </c>
      <c r="D77" s="403" t="e">
        <f t="array" aca="1" ref="D77" ca="1">IF($AE77="Y",SUM(IF((INDIRECT("'"&amp;$AB77&amp;"'!I23:I200")=$B$2)*(INDIRECT("'"&amp;$AB77&amp;"'!H23:H200")="H")*(INDIRECT("'"&amp;$AB77&amp;"'!N23:N200")=D$36)*(INDIRECT("'"&amp;$AB77&amp;"'!E23:E200")=$AE77),1,0)),"-")</f>
        <v>#REF!</v>
      </c>
      <c r="E77" s="404" t="e">
        <f t="shared" ca="1" si="49"/>
        <v>#REF!</v>
      </c>
      <c r="F77" s="405" t="e">
        <f t="array" aca="1" ref="F77" ca="1">IF($AE77="Y",SUM(IF((INDIRECT("'"&amp;$AB77&amp;"'!J23:J200")=$B$2)*(INDIRECT("'"&amp;$AB77&amp;"'!I23:I200")="H")*(INDIRECT("'"&amp;$AB77&amp;"'!O23:O200")=F$36)*(INDIRECT("'"&amp;$AB77&amp;"'!E23:E200")=$AE77),1,0)),"-")</f>
        <v>#REF!</v>
      </c>
      <c r="G77" s="406" t="e">
        <f t="shared" ca="1" si="50"/>
        <v>#REF!</v>
      </c>
      <c r="H77" s="407" t="e">
        <f t="shared" ca="1" si="51"/>
        <v>#REF!</v>
      </c>
      <c r="I77" s="408" t="e">
        <f t="array" aca="1" ref="I77" ca="1">IF($AE77="Y",SUM(IF((INDIRECT("'"&amp;$AB77&amp;"'!$J23:$J200")=$B$2)*(INDIRECT("'"&amp;$AB77&amp;"'!$I23:$I200")="H")*(INDIRECT("'"&amp;$AB77&amp;"'!e23:E200")=$AE77),INDIRECT("'"&amp;$AB77&amp;"'!$K23:$K200")/H77,0)),"-")</f>
        <v>#REF!</v>
      </c>
      <c r="J77" s="408" t="e">
        <f t="array" aca="1" ref="J77" ca="1">IF($AE77="Y",SUM(IF((INDIRECT("'"&amp;$AB77&amp;"'!$J23:$J200")=$B$2)*(INDIRECT("'"&amp;$AB77&amp;"'!$I23:$I200")="H")*(INDIRECT("'"&amp;$AB77&amp;"'!e23:E200")=$AE77),INDIRECT("'"&amp;$AB77&amp;"'!$L23:$L200")/H77,0)),"-")</f>
        <v>#REF!</v>
      </c>
      <c r="K77" s="408" t="e">
        <f t="shared" ca="1" si="52"/>
        <v>#REF!</v>
      </c>
      <c r="L77" s="403" t="e">
        <f t="array" aca="1" ref="L77" ca="1">IF($AE77="Y",SUM(IF((INDIRECT("'"&amp;$AB77&amp;"'!J23:J200")=$B$2)*(INDIRECT("'"&amp;$AB77&amp;"'!I23:I200")="A")*(INDIRECT("'"&amp;$AB77&amp;"'!O23:O200")=L$36)*(INDIRECT("'"&amp;$AB77&amp;"'!e23:E200")=$AE77),1,0)),"-")</f>
        <v>#REF!</v>
      </c>
      <c r="M77" s="404" t="e">
        <f t="shared" ca="1" si="53"/>
        <v>#REF!</v>
      </c>
      <c r="N77" s="405" t="e">
        <f t="array" aca="1" ref="N77" ca="1">IF($AE77="Y",SUM(IF((INDIRECT("'"&amp;$AB77&amp;"'!J23:J200")=$B$2)*(INDIRECT("'"&amp;$AB77&amp;"'!I23:I200")="A")*(INDIRECT("'"&amp;$AB77&amp;"'!O23:O200")=N$36)*(INDIRECT("'"&amp;$AB77&amp;"'!e23:E200")=$AE77),1,0)),"-")</f>
        <v>#REF!</v>
      </c>
      <c r="O77" s="406" t="e">
        <f t="shared" ca="1" si="54"/>
        <v>#REF!</v>
      </c>
      <c r="P77" s="407" t="e">
        <f t="shared" ca="1" si="55"/>
        <v>#REF!</v>
      </c>
      <c r="Q77" s="408" t="e">
        <f t="array" aca="1" ref="Q77" ca="1">IF($AE77="Y",SUM(IF((INDIRECT("'"&amp;$AB77&amp;"'!$J23:$J200")=$B$2)*(INDIRECT("'"&amp;$AB77&amp;"'!$I23:$I200")="A")*(INDIRECT("'"&amp;$AB77&amp;"'!e23:E200")=$AE77),INDIRECT("'"&amp;$AB77&amp;"'!$K23:$K200")/P77,0)),"-")</f>
        <v>#REF!</v>
      </c>
      <c r="R77" s="408" t="e">
        <f t="array" aca="1" ref="R77" ca="1">IF($AE77="Y",SUM(IF((INDIRECT("'"&amp;$AB77&amp;"'!$J23:$J200")=$B$2)*(INDIRECT("'"&amp;$AB77&amp;"'!$I23:$I200")="A")*(INDIRECT("'"&amp;$AB77&amp;"'!e23:E200")=$AE77),INDIRECT("'"&amp;$AB77&amp;"'!$L23:$L200")/P77,0)),"-")</f>
        <v>#REF!</v>
      </c>
      <c r="S77" s="408" t="e">
        <f t="shared" ca="1" si="56"/>
        <v>#REF!</v>
      </c>
      <c r="T77" s="409" t="e">
        <f t="shared" ca="1" si="57"/>
        <v>#REF!</v>
      </c>
      <c r="U77" s="404" t="e">
        <f t="shared" ca="1" si="58"/>
        <v>#REF!</v>
      </c>
      <c r="V77" s="405" t="e">
        <f t="shared" ca="1" si="59"/>
        <v>#REF!</v>
      </c>
      <c r="W77" s="406" t="e">
        <f t="shared" ca="1" si="60"/>
        <v>#REF!</v>
      </c>
      <c r="X77" s="474" t="e">
        <f t="shared" ca="1" si="61"/>
        <v>#REF!</v>
      </c>
      <c r="Y77" s="424" t="e">
        <f t="array" aca="1" ref="Y77" ca="1">IF($AE77="Y",SUM(IF((INDIRECT("'"&amp;$AB77&amp;"'!$J23:$J200")=$B$2)*(INDIRECT("'"&amp;$AB77&amp;"'!e23:E200")=$AE77),INDIRECT("'"&amp;$AB77&amp;"'!$K23:$K200")/X77,0)),"-")</f>
        <v>#REF!</v>
      </c>
      <c r="Z77" s="424" t="e">
        <f t="array" aca="1" ref="Z77" ca="1">IF($AE77="Y",SUM(IF((INDIRECT("'"&amp;$AB77&amp;"'!$J23:$J200")=$B$2)*(INDIRECT("'"&amp;$AB77&amp;"'!e23:E200")=$AE77),INDIRECT("'"&amp;$AB77&amp;"'!$L23:$L200")/X77,0)),"-")</f>
        <v>#REF!</v>
      </c>
      <c r="AA77" s="424" t="e">
        <f t="shared" ca="1" si="62"/>
        <v>#REF!</v>
      </c>
      <c r="AB77" s="475" t="e">
        <f ca="1">IF($AE77="Y",VLOOKUP(C77,Table!B:C,2,FALSE),"")</f>
        <v>#REF!</v>
      </c>
      <c r="AC77" s="476" t="e">
        <f t="shared" ca="1" si="63"/>
        <v>#REF!</v>
      </c>
      <c r="AD77" s="477" t="e">
        <v>#DIV/0!</v>
      </c>
      <c r="AE77" s="230" t="e">
        <f ca="1">IF(C77="","",VLOOKUP(C77,Table!$B$36:$AO$57,Table!$AO$35-1,FALSE))</f>
        <v>#REF!</v>
      </c>
      <c r="AF77" s="428"/>
      <c r="AG77" s="428"/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1:59">
      <c r="A78" s="401" t="e">
        <f t="shared" ca="1" si="46"/>
        <v>#REF!</v>
      </c>
      <c r="B78" s="430" t="e">
        <f t="shared" ca="1" si="47"/>
        <v>#REF!</v>
      </c>
      <c r="C78" s="401" t="e">
        <f t="shared" ca="1" si="48"/>
        <v>#REF!</v>
      </c>
      <c r="D78" s="403" t="e">
        <f t="array" aca="1" ref="D78" ca="1">IF($AE78="Y",SUM(IF((INDIRECT("'"&amp;$AB78&amp;"'!I23:I200")=$B$2)*(INDIRECT("'"&amp;$AB78&amp;"'!H23:H200")="H")*(INDIRECT("'"&amp;$AB78&amp;"'!N23:N200")=D$36)*(INDIRECT("'"&amp;$AB78&amp;"'!E23:E200")=$AE78),1,0)),"-")</f>
        <v>#REF!</v>
      </c>
      <c r="E78" s="404" t="e">
        <f t="shared" ca="1" si="49"/>
        <v>#REF!</v>
      </c>
      <c r="F78" s="405" t="e">
        <f t="array" aca="1" ref="F78" ca="1">IF($AE78="Y",SUM(IF((INDIRECT("'"&amp;$AB78&amp;"'!J23:J200")=$B$2)*(INDIRECT("'"&amp;$AB78&amp;"'!I23:I200")="H")*(INDIRECT("'"&amp;$AB78&amp;"'!O23:O200")=F$36)*(INDIRECT("'"&amp;$AB78&amp;"'!E23:E200")=$AE78),1,0)),"-")</f>
        <v>#REF!</v>
      </c>
      <c r="G78" s="406" t="e">
        <f t="shared" ca="1" si="50"/>
        <v>#REF!</v>
      </c>
      <c r="H78" s="407" t="e">
        <f t="shared" ca="1" si="51"/>
        <v>#REF!</v>
      </c>
      <c r="I78" s="408" t="e">
        <f t="array" aca="1" ref="I78" ca="1">IF($AE78="Y",SUM(IF((INDIRECT("'"&amp;$AB78&amp;"'!$J23:$J200")=$B$2)*(INDIRECT("'"&amp;$AB78&amp;"'!$I23:$I200")="H")*(INDIRECT("'"&amp;$AB78&amp;"'!e23:E200")=$AE78),INDIRECT("'"&amp;$AB78&amp;"'!$K23:$K200")/H78,0)),"-")</f>
        <v>#REF!</v>
      </c>
      <c r="J78" s="408" t="e">
        <f t="array" aca="1" ref="J78" ca="1">IF($AE78="Y",SUM(IF((INDIRECT("'"&amp;$AB78&amp;"'!$J23:$J200")=$B$2)*(INDIRECT("'"&amp;$AB78&amp;"'!$I23:$I200")="H")*(INDIRECT("'"&amp;$AB78&amp;"'!e23:E200")=$AE78),INDIRECT("'"&amp;$AB78&amp;"'!$L23:$L200")/H78,0)),"-")</f>
        <v>#REF!</v>
      </c>
      <c r="K78" s="408" t="e">
        <f t="shared" ca="1" si="52"/>
        <v>#REF!</v>
      </c>
      <c r="L78" s="403" t="e">
        <f t="array" aca="1" ref="L78" ca="1">IF($AE78="Y",SUM(IF((INDIRECT("'"&amp;$AB78&amp;"'!J23:J200")=$B$2)*(INDIRECT("'"&amp;$AB78&amp;"'!I23:I200")="A")*(INDIRECT("'"&amp;$AB78&amp;"'!O23:O200")=L$36)*(INDIRECT("'"&amp;$AB78&amp;"'!e23:E200")=$AE78),1,0)),"-")</f>
        <v>#REF!</v>
      </c>
      <c r="M78" s="404" t="e">
        <f t="shared" ca="1" si="53"/>
        <v>#REF!</v>
      </c>
      <c r="N78" s="405" t="e">
        <f t="array" aca="1" ref="N78" ca="1">IF($AE78="Y",SUM(IF((INDIRECT("'"&amp;$AB78&amp;"'!J23:J200")=$B$2)*(INDIRECT("'"&amp;$AB78&amp;"'!I23:I200")="A")*(INDIRECT("'"&amp;$AB78&amp;"'!O23:O200")=N$36)*(INDIRECT("'"&amp;$AB78&amp;"'!e23:E200")=$AE78),1,0)),"-")</f>
        <v>#REF!</v>
      </c>
      <c r="O78" s="406" t="e">
        <f t="shared" ca="1" si="54"/>
        <v>#REF!</v>
      </c>
      <c r="P78" s="407" t="e">
        <f t="shared" ca="1" si="55"/>
        <v>#REF!</v>
      </c>
      <c r="Q78" s="408" t="e">
        <f t="array" aca="1" ref="Q78" ca="1">IF($AE78="Y",SUM(IF((INDIRECT("'"&amp;$AB78&amp;"'!$J23:$J200")=$B$2)*(INDIRECT("'"&amp;$AB78&amp;"'!$I23:$I200")="A")*(INDIRECT("'"&amp;$AB78&amp;"'!e23:E200")=$AE78),INDIRECT("'"&amp;$AB78&amp;"'!$K23:$K200")/P78,0)),"-")</f>
        <v>#REF!</v>
      </c>
      <c r="R78" s="408" t="e">
        <f t="array" aca="1" ref="R78" ca="1">IF($AE78="Y",SUM(IF((INDIRECT("'"&amp;$AB78&amp;"'!$J23:$J200")=$B$2)*(INDIRECT("'"&amp;$AB78&amp;"'!$I23:$I200")="A")*(INDIRECT("'"&amp;$AB78&amp;"'!e23:E200")=$AE78),INDIRECT("'"&amp;$AB78&amp;"'!$L23:$L200")/P78,0)),"-")</f>
        <v>#REF!</v>
      </c>
      <c r="S78" s="408" t="e">
        <f t="shared" ca="1" si="56"/>
        <v>#REF!</v>
      </c>
      <c r="T78" s="409" t="e">
        <f t="shared" ca="1" si="57"/>
        <v>#REF!</v>
      </c>
      <c r="U78" s="404" t="e">
        <f t="shared" ca="1" si="58"/>
        <v>#REF!</v>
      </c>
      <c r="V78" s="405" t="e">
        <f t="shared" ca="1" si="59"/>
        <v>#REF!</v>
      </c>
      <c r="W78" s="406" t="e">
        <f t="shared" ca="1" si="60"/>
        <v>#REF!</v>
      </c>
      <c r="X78" s="474" t="e">
        <f t="shared" ca="1" si="61"/>
        <v>#REF!</v>
      </c>
      <c r="Y78" s="424" t="e">
        <f t="array" aca="1" ref="Y78" ca="1">IF($AE78="Y",SUM(IF((INDIRECT("'"&amp;$AB78&amp;"'!$J23:$J200")=$B$2)*(INDIRECT("'"&amp;$AB78&amp;"'!e23:E200")=$AE78),INDIRECT("'"&amp;$AB78&amp;"'!$K23:$K200")/X78,0)),"-")</f>
        <v>#REF!</v>
      </c>
      <c r="Z78" s="424" t="e">
        <f t="array" aca="1" ref="Z78" ca="1">IF($AE78="Y",SUM(IF((INDIRECT("'"&amp;$AB78&amp;"'!$J23:$J200")=$B$2)*(INDIRECT("'"&amp;$AB78&amp;"'!e23:E200")=$AE78),INDIRECT("'"&amp;$AB78&amp;"'!$L23:$L200")/X78,0)),"-")</f>
        <v>#REF!</v>
      </c>
      <c r="AA78" s="424" t="e">
        <f t="shared" ca="1" si="62"/>
        <v>#REF!</v>
      </c>
      <c r="AB78" s="475" t="e">
        <f ca="1">IF($AE78="Y",VLOOKUP(C78,Table!B:C,2,FALSE),"")</f>
        <v>#REF!</v>
      </c>
      <c r="AC78" s="476" t="e">
        <f t="shared" ca="1" si="63"/>
        <v>#REF!</v>
      </c>
      <c r="AD78" s="477" t="e">
        <v>#DIV/0!</v>
      </c>
      <c r="AE78" s="230" t="e">
        <f ca="1">IF(C78="","",VLOOKUP(C78,Table!$B$36:$AO$57,Table!$AO$35-1,FALSE))</f>
        <v>#REF!</v>
      </c>
      <c r="AF78" s="428"/>
      <c r="AG78" s="428"/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1:59">
      <c r="A79" s="401" t="e">
        <f t="shared" ca="1" si="46"/>
        <v>#REF!</v>
      </c>
      <c r="B79" s="430" t="e">
        <f t="shared" ca="1" si="47"/>
        <v>#REF!</v>
      </c>
      <c r="C79" s="401" t="e">
        <f t="shared" ca="1" si="48"/>
        <v>#REF!</v>
      </c>
      <c r="D79" s="403" t="e">
        <f t="array" aca="1" ref="D79" ca="1">IF($AE79="Y",SUM(IF((INDIRECT("'"&amp;$AB79&amp;"'!I23:I200")=$B$2)*(INDIRECT("'"&amp;$AB79&amp;"'!H23:H200")="H")*(INDIRECT("'"&amp;$AB79&amp;"'!N23:N200")=D$36)*(INDIRECT("'"&amp;$AB79&amp;"'!E23:E200")=$AE79),1,0)),"-")</f>
        <v>#REF!</v>
      </c>
      <c r="E79" s="404" t="e">
        <f t="shared" ca="1" si="49"/>
        <v>#REF!</v>
      </c>
      <c r="F79" s="405" t="e">
        <f t="array" aca="1" ref="F79" ca="1">IF($AE79="Y",SUM(IF((INDIRECT("'"&amp;$AB79&amp;"'!J23:J200")=$B$2)*(INDIRECT("'"&amp;$AB79&amp;"'!I23:I200")="H")*(INDIRECT("'"&amp;$AB79&amp;"'!O23:O200")=F$36)*(INDIRECT("'"&amp;$AB79&amp;"'!E23:E200")=$AE79),1,0)),"-")</f>
        <v>#REF!</v>
      </c>
      <c r="G79" s="406" t="e">
        <f t="shared" ca="1" si="50"/>
        <v>#REF!</v>
      </c>
      <c r="H79" s="407" t="e">
        <f t="shared" ca="1" si="51"/>
        <v>#REF!</v>
      </c>
      <c r="I79" s="408" t="e">
        <f t="array" aca="1" ref="I79" ca="1">IF($AE79="Y",SUM(IF((INDIRECT("'"&amp;$AB79&amp;"'!$J23:$J200")=$B$2)*(INDIRECT("'"&amp;$AB79&amp;"'!$I23:$I200")="H")*(INDIRECT("'"&amp;$AB79&amp;"'!e23:E200")=$AE79),INDIRECT("'"&amp;$AB79&amp;"'!$K23:$K200")/H79,0)),"-")</f>
        <v>#REF!</v>
      </c>
      <c r="J79" s="408" t="e">
        <f t="array" aca="1" ref="J79" ca="1">IF($AE79="Y",SUM(IF((INDIRECT("'"&amp;$AB79&amp;"'!$J23:$J200")=$B$2)*(INDIRECT("'"&amp;$AB79&amp;"'!$I23:$I200")="H")*(INDIRECT("'"&amp;$AB79&amp;"'!e23:E200")=$AE79),INDIRECT("'"&amp;$AB79&amp;"'!$L23:$L200")/H79,0)),"-")</f>
        <v>#REF!</v>
      </c>
      <c r="K79" s="408" t="e">
        <f t="shared" ca="1" si="52"/>
        <v>#REF!</v>
      </c>
      <c r="L79" s="403" t="e">
        <f t="array" aca="1" ref="L79" ca="1">IF($AE79="Y",SUM(IF((INDIRECT("'"&amp;$AB79&amp;"'!J23:J200")=$B$2)*(INDIRECT("'"&amp;$AB79&amp;"'!I23:I200")="A")*(INDIRECT("'"&amp;$AB79&amp;"'!O23:O200")=L$36)*(INDIRECT("'"&amp;$AB79&amp;"'!e23:E200")=$AE79),1,0)),"-")</f>
        <v>#REF!</v>
      </c>
      <c r="M79" s="404" t="e">
        <f t="shared" ca="1" si="53"/>
        <v>#REF!</v>
      </c>
      <c r="N79" s="405" t="e">
        <f t="array" aca="1" ref="N79" ca="1">IF($AE79="Y",SUM(IF((INDIRECT("'"&amp;$AB79&amp;"'!J23:J200")=$B$2)*(INDIRECT("'"&amp;$AB79&amp;"'!I23:I200")="A")*(INDIRECT("'"&amp;$AB79&amp;"'!O23:O200")=N$36)*(INDIRECT("'"&amp;$AB79&amp;"'!e23:E200")=$AE79),1,0)),"-")</f>
        <v>#REF!</v>
      </c>
      <c r="O79" s="406" t="e">
        <f t="shared" ca="1" si="54"/>
        <v>#REF!</v>
      </c>
      <c r="P79" s="407" t="e">
        <f t="shared" ca="1" si="55"/>
        <v>#REF!</v>
      </c>
      <c r="Q79" s="408" t="e">
        <f t="array" aca="1" ref="Q79" ca="1">IF($AE79="Y",SUM(IF((INDIRECT("'"&amp;$AB79&amp;"'!$J23:$J200")=$B$2)*(INDIRECT("'"&amp;$AB79&amp;"'!$I23:$I200")="A")*(INDIRECT("'"&amp;$AB79&amp;"'!e23:E200")=$AE79),INDIRECT("'"&amp;$AB79&amp;"'!$K23:$K200")/P79,0)),"-")</f>
        <v>#REF!</v>
      </c>
      <c r="R79" s="408" t="e">
        <f t="array" aca="1" ref="R79" ca="1">IF($AE79="Y",SUM(IF((INDIRECT("'"&amp;$AB79&amp;"'!$J23:$J200")=$B$2)*(INDIRECT("'"&amp;$AB79&amp;"'!$I23:$I200")="A")*(INDIRECT("'"&amp;$AB79&amp;"'!e23:E200")=$AE79),INDIRECT("'"&amp;$AB79&amp;"'!$L23:$L200")/P79,0)),"-")</f>
        <v>#REF!</v>
      </c>
      <c r="S79" s="408" t="e">
        <f t="shared" ca="1" si="56"/>
        <v>#REF!</v>
      </c>
      <c r="T79" s="409" t="e">
        <f t="shared" ca="1" si="57"/>
        <v>#REF!</v>
      </c>
      <c r="U79" s="404" t="e">
        <f t="shared" ca="1" si="58"/>
        <v>#REF!</v>
      </c>
      <c r="V79" s="405" t="e">
        <f t="shared" ca="1" si="59"/>
        <v>#REF!</v>
      </c>
      <c r="W79" s="406" t="e">
        <f t="shared" ca="1" si="60"/>
        <v>#REF!</v>
      </c>
      <c r="X79" s="474" t="e">
        <f t="shared" ca="1" si="61"/>
        <v>#REF!</v>
      </c>
      <c r="Y79" s="424" t="e">
        <f t="array" aca="1" ref="Y79" ca="1">IF($AE79="Y",SUM(IF((INDIRECT("'"&amp;$AB79&amp;"'!$J23:$J200")=$B$2)*(INDIRECT("'"&amp;$AB79&amp;"'!e23:E200")=$AE79),INDIRECT("'"&amp;$AB79&amp;"'!$K23:$K200")/X79,0)),"-")</f>
        <v>#REF!</v>
      </c>
      <c r="Z79" s="424" t="e">
        <f t="array" aca="1" ref="Z79" ca="1">IF($AE79="Y",SUM(IF((INDIRECT("'"&amp;$AB79&amp;"'!$J23:$J200")=$B$2)*(INDIRECT("'"&amp;$AB79&amp;"'!e23:E200")=$AE79),INDIRECT("'"&amp;$AB79&amp;"'!$L23:$L200")/X79,0)),"-")</f>
        <v>#REF!</v>
      </c>
      <c r="AA79" s="424" t="e">
        <f t="shared" ca="1" si="62"/>
        <v>#REF!</v>
      </c>
      <c r="AB79" s="475" t="e">
        <f ca="1">IF($AE79="Y",VLOOKUP(C79,Table!B:C,2,FALSE),"")</f>
        <v>#REF!</v>
      </c>
      <c r="AC79" s="476" t="e">
        <f t="shared" ca="1" si="63"/>
        <v>#REF!</v>
      </c>
      <c r="AD79" s="477" t="e">
        <v>#DIV/0!</v>
      </c>
      <c r="AE79" s="230" t="e">
        <f ca="1">IF(C79="","",VLOOKUP(C79,Table!$B$36:$AO$57,Table!$AO$35-1,FALSE))</f>
        <v>#REF!</v>
      </c>
      <c r="AF79" s="428"/>
      <c r="AG79" s="428"/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1:59">
      <c r="A80" s="401" t="e">
        <f t="shared" ca="1" si="46"/>
        <v>#REF!</v>
      </c>
      <c r="B80" s="430" t="e">
        <f t="shared" ca="1" si="47"/>
        <v>#REF!</v>
      </c>
      <c r="C80" s="401" t="e">
        <f t="shared" ca="1" si="48"/>
        <v>#REF!</v>
      </c>
      <c r="D80" s="403" t="e">
        <f t="array" aca="1" ref="D80" ca="1">IF($AE80="Y",SUM(IF((INDIRECT("'"&amp;$AB80&amp;"'!I23:I200")=$B$2)*(INDIRECT("'"&amp;$AB80&amp;"'!H23:H200")="H")*(INDIRECT("'"&amp;$AB80&amp;"'!N23:N200")=D$36)*(INDIRECT("'"&amp;$AB80&amp;"'!E23:E200")=$AE80),1,0)),"-")</f>
        <v>#REF!</v>
      </c>
      <c r="E80" s="404" t="e">
        <f t="shared" ca="1" si="49"/>
        <v>#REF!</v>
      </c>
      <c r="F80" s="405" t="e">
        <f t="array" aca="1" ref="F80" ca="1">IF($AE80="Y",SUM(IF((INDIRECT("'"&amp;$AB80&amp;"'!J23:J200")=$B$2)*(INDIRECT("'"&amp;$AB80&amp;"'!I23:I200")="H")*(INDIRECT("'"&amp;$AB80&amp;"'!O23:O200")=F$36)*(INDIRECT("'"&amp;$AB80&amp;"'!E23:E200")=$AE80),1,0)),"-")</f>
        <v>#REF!</v>
      </c>
      <c r="G80" s="406" t="e">
        <f t="shared" ca="1" si="50"/>
        <v>#REF!</v>
      </c>
      <c r="H80" s="407" t="e">
        <f t="shared" ca="1" si="51"/>
        <v>#REF!</v>
      </c>
      <c r="I80" s="408" t="e">
        <f t="array" aca="1" ref="I80" ca="1">IF($AE80="Y",SUM(IF((INDIRECT("'"&amp;$AB80&amp;"'!$J23:$J200")=$B$2)*(INDIRECT("'"&amp;$AB80&amp;"'!$I23:$I200")="H")*(INDIRECT("'"&amp;$AB80&amp;"'!e23:E200")=$AE80),INDIRECT("'"&amp;$AB80&amp;"'!$K23:$K200")/H80,0)),"-")</f>
        <v>#REF!</v>
      </c>
      <c r="J80" s="408" t="e">
        <f t="array" aca="1" ref="J80" ca="1">IF($AE80="Y",SUM(IF((INDIRECT("'"&amp;$AB80&amp;"'!$J23:$J200")=$B$2)*(INDIRECT("'"&amp;$AB80&amp;"'!$I23:$I200")="H")*(INDIRECT("'"&amp;$AB80&amp;"'!e23:E200")=$AE80),INDIRECT("'"&amp;$AB80&amp;"'!$L23:$L200")/H80,0)),"-")</f>
        <v>#REF!</v>
      </c>
      <c r="K80" s="408" t="e">
        <f t="shared" ca="1" si="52"/>
        <v>#REF!</v>
      </c>
      <c r="L80" s="403" t="e">
        <f t="array" aca="1" ref="L80" ca="1">IF($AE80="Y",SUM(IF((INDIRECT("'"&amp;$AB80&amp;"'!J23:J200")=$B$2)*(INDIRECT("'"&amp;$AB80&amp;"'!I23:I200")="A")*(INDIRECT("'"&amp;$AB80&amp;"'!O23:O200")=L$36)*(INDIRECT("'"&amp;$AB80&amp;"'!e23:E200")=$AE80),1,0)),"-")</f>
        <v>#REF!</v>
      </c>
      <c r="M80" s="404" t="e">
        <f t="shared" ca="1" si="53"/>
        <v>#REF!</v>
      </c>
      <c r="N80" s="405" t="e">
        <f t="array" aca="1" ref="N80" ca="1">IF($AE80="Y",SUM(IF((INDIRECT("'"&amp;$AB80&amp;"'!J23:J200")=$B$2)*(INDIRECT("'"&amp;$AB80&amp;"'!I23:I200")="A")*(INDIRECT("'"&amp;$AB80&amp;"'!O23:O200")=N$36)*(INDIRECT("'"&amp;$AB80&amp;"'!e23:E200")=$AE80),1,0)),"-")</f>
        <v>#REF!</v>
      </c>
      <c r="O80" s="406" t="e">
        <f t="shared" ca="1" si="54"/>
        <v>#REF!</v>
      </c>
      <c r="P80" s="407" t="e">
        <f t="shared" ca="1" si="55"/>
        <v>#REF!</v>
      </c>
      <c r="Q80" s="408" t="e">
        <f t="array" aca="1" ref="Q80" ca="1">IF($AE80="Y",SUM(IF((INDIRECT("'"&amp;$AB80&amp;"'!$J23:$J200")=$B$2)*(INDIRECT("'"&amp;$AB80&amp;"'!$I23:$I200")="A")*(INDIRECT("'"&amp;$AB80&amp;"'!e23:E200")=$AE80),INDIRECT("'"&amp;$AB80&amp;"'!$K23:$K200")/P80,0)),"-")</f>
        <v>#REF!</v>
      </c>
      <c r="R80" s="408" t="e">
        <f t="array" aca="1" ref="R80" ca="1">IF($AE80="Y",SUM(IF((INDIRECT("'"&amp;$AB80&amp;"'!$J23:$J200")=$B$2)*(INDIRECT("'"&amp;$AB80&amp;"'!$I23:$I200")="A")*(INDIRECT("'"&amp;$AB80&amp;"'!e23:E200")=$AE80),INDIRECT("'"&amp;$AB80&amp;"'!$L23:$L200")/P80,0)),"-")</f>
        <v>#REF!</v>
      </c>
      <c r="S80" s="408" t="e">
        <f t="shared" ca="1" si="56"/>
        <v>#REF!</v>
      </c>
      <c r="T80" s="409" t="e">
        <f t="shared" ca="1" si="57"/>
        <v>#REF!</v>
      </c>
      <c r="U80" s="404" t="e">
        <f t="shared" ca="1" si="58"/>
        <v>#REF!</v>
      </c>
      <c r="V80" s="405" t="e">
        <f t="shared" ca="1" si="59"/>
        <v>#REF!</v>
      </c>
      <c r="W80" s="406" t="e">
        <f t="shared" ca="1" si="60"/>
        <v>#REF!</v>
      </c>
      <c r="X80" s="474" t="e">
        <f t="shared" ca="1" si="61"/>
        <v>#REF!</v>
      </c>
      <c r="Y80" s="424" t="e">
        <f t="array" aca="1" ref="Y80" ca="1">IF($AE80="Y",SUM(IF((INDIRECT("'"&amp;$AB80&amp;"'!$J23:$J200")=$B$2)*(INDIRECT("'"&amp;$AB80&amp;"'!e23:E200")=$AE80),INDIRECT("'"&amp;$AB80&amp;"'!$K23:$K200")/X80,0)),"-")</f>
        <v>#REF!</v>
      </c>
      <c r="Z80" s="424" t="e">
        <f t="array" aca="1" ref="Z80" ca="1">IF($AE80="Y",SUM(IF((INDIRECT("'"&amp;$AB80&amp;"'!$J23:$J200")=$B$2)*(INDIRECT("'"&amp;$AB80&amp;"'!e23:E200")=$AE80),INDIRECT("'"&amp;$AB80&amp;"'!$L23:$L200")/X80,0)),"-")</f>
        <v>#REF!</v>
      </c>
      <c r="AA80" s="424" t="e">
        <f t="shared" ca="1" si="62"/>
        <v>#REF!</v>
      </c>
      <c r="AB80" s="475" t="e">
        <f ca="1">IF($AE80="Y",VLOOKUP(C80,Table!B:C,2,FALSE),"")</f>
        <v>#REF!</v>
      </c>
      <c r="AC80" s="476" t="e">
        <f t="shared" ca="1" si="63"/>
        <v>#REF!</v>
      </c>
      <c r="AD80" s="477" t="e">
        <v>#DIV/0!</v>
      </c>
      <c r="AE80" s="230" t="e">
        <f ca="1">IF(C80="","",VLOOKUP(C80,Table!$B$36:$AO$57,Table!$AO$35-1,FALSE))</f>
        <v>#REF!</v>
      </c>
      <c r="AF80" s="428"/>
      <c r="AG80" s="428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1:59">
      <c r="A81" s="401" t="e">
        <f t="shared" ca="1" si="46"/>
        <v>#REF!</v>
      </c>
      <c r="B81" s="430" t="e">
        <f t="shared" ca="1" si="47"/>
        <v>#REF!</v>
      </c>
      <c r="C81" s="401" t="e">
        <f t="shared" ca="1" si="48"/>
        <v>#REF!</v>
      </c>
      <c r="D81" s="403" t="e">
        <f t="array" aca="1" ref="D81" ca="1">IF($AE81="Y",SUM(IF((INDIRECT("'"&amp;$AB81&amp;"'!I23:I200")=$B$2)*(INDIRECT("'"&amp;$AB81&amp;"'!H23:H200")="H")*(INDIRECT("'"&amp;$AB81&amp;"'!N23:N200")=D$36)*(INDIRECT("'"&amp;$AB81&amp;"'!E23:E200")=$AE81),1,0)),"-")</f>
        <v>#REF!</v>
      </c>
      <c r="E81" s="404" t="e">
        <f t="shared" ca="1" si="49"/>
        <v>#REF!</v>
      </c>
      <c r="F81" s="405" t="e">
        <f t="array" aca="1" ref="F81" ca="1">IF($AE81="Y",SUM(IF((INDIRECT("'"&amp;$AB81&amp;"'!J23:J200")=$B$2)*(INDIRECT("'"&amp;$AB81&amp;"'!I23:I200")="H")*(INDIRECT("'"&amp;$AB81&amp;"'!O23:O200")=F$36)*(INDIRECT("'"&amp;$AB81&amp;"'!E23:E200")=$AE81),1,0)),"-")</f>
        <v>#REF!</v>
      </c>
      <c r="G81" s="406" t="e">
        <f t="shared" ca="1" si="50"/>
        <v>#REF!</v>
      </c>
      <c r="H81" s="407" t="e">
        <f t="shared" ca="1" si="51"/>
        <v>#REF!</v>
      </c>
      <c r="I81" s="408" t="e">
        <f t="array" aca="1" ref="I81" ca="1">IF($AE81="Y",SUM(IF((INDIRECT("'"&amp;$AB81&amp;"'!$J23:$J200")=$B$2)*(INDIRECT("'"&amp;$AB81&amp;"'!$I23:$I200")="H")*(INDIRECT("'"&amp;$AB81&amp;"'!e23:E200")=$AE81),INDIRECT("'"&amp;$AB81&amp;"'!$K23:$K200")/H81,0)),"-")</f>
        <v>#REF!</v>
      </c>
      <c r="J81" s="408" t="e">
        <f t="array" aca="1" ref="J81" ca="1">IF($AE81="Y",SUM(IF((INDIRECT("'"&amp;$AB81&amp;"'!$J23:$J200")=$B$2)*(INDIRECT("'"&amp;$AB81&amp;"'!$I23:$I200")="H")*(INDIRECT("'"&amp;$AB81&amp;"'!e23:E200")=$AE81),INDIRECT("'"&amp;$AB81&amp;"'!$L23:$L200")/H81,0)),"-")</f>
        <v>#REF!</v>
      </c>
      <c r="K81" s="408" t="e">
        <f t="shared" ca="1" si="52"/>
        <v>#REF!</v>
      </c>
      <c r="L81" s="403" t="e">
        <f t="array" aca="1" ref="L81" ca="1">IF($AE81="Y",SUM(IF((INDIRECT("'"&amp;$AB81&amp;"'!J23:J200")=$B$2)*(INDIRECT("'"&amp;$AB81&amp;"'!I23:I200")="A")*(INDIRECT("'"&amp;$AB81&amp;"'!O23:O200")=L$36)*(INDIRECT("'"&amp;$AB81&amp;"'!e23:E200")=$AE81),1,0)),"-")</f>
        <v>#REF!</v>
      </c>
      <c r="M81" s="404" t="e">
        <f t="shared" ca="1" si="53"/>
        <v>#REF!</v>
      </c>
      <c r="N81" s="405" t="e">
        <f t="array" aca="1" ref="N81" ca="1">IF($AE81="Y",SUM(IF((INDIRECT("'"&amp;$AB81&amp;"'!J23:J200")=$B$2)*(INDIRECT("'"&amp;$AB81&amp;"'!I23:I200")="A")*(INDIRECT("'"&amp;$AB81&amp;"'!O23:O200")=N$36)*(INDIRECT("'"&amp;$AB81&amp;"'!e23:E200")=$AE81),1,0)),"-")</f>
        <v>#REF!</v>
      </c>
      <c r="O81" s="406" t="e">
        <f t="shared" ca="1" si="54"/>
        <v>#REF!</v>
      </c>
      <c r="P81" s="407" t="e">
        <f t="shared" ca="1" si="55"/>
        <v>#REF!</v>
      </c>
      <c r="Q81" s="408" t="e">
        <f t="array" aca="1" ref="Q81" ca="1">IF($AE81="Y",SUM(IF((INDIRECT("'"&amp;$AB81&amp;"'!$J23:$J200")=$B$2)*(INDIRECT("'"&amp;$AB81&amp;"'!$I23:$I200")="A")*(INDIRECT("'"&amp;$AB81&amp;"'!e23:E200")=$AE81),INDIRECT("'"&amp;$AB81&amp;"'!$K23:$K200")/P81,0)),"-")</f>
        <v>#REF!</v>
      </c>
      <c r="R81" s="408" t="e">
        <f t="array" aca="1" ref="R81" ca="1">IF($AE81="Y",SUM(IF((INDIRECT("'"&amp;$AB81&amp;"'!$J23:$J200")=$B$2)*(INDIRECT("'"&amp;$AB81&amp;"'!$I23:$I200")="A")*(INDIRECT("'"&amp;$AB81&amp;"'!e23:E200")=$AE81),INDIRECT("'"&amp;$AB81&amp;"'!$L23:$L200")/P81,0)),"-")</f>
        <v>#REF!</v>
      </c>
      <c r="S81" s="408" t="e">
        <f t="shared" ca="1" si="56"/>
        <v>#REF!</v>
      </c>
      <c r="T81" s="409" t="e">
        <f t="shared" ca="1" si="57"/>
        <v>#REF!</v>
      </c>
      <c r="U81" s="404" t="e">
        <f t="shared" ca="1" si="58"/>
        <v>#REF!</v>
      </c>
      <c r="V81" s="405" t="e">
        <f t="shared" ca="1" si="59"/>
        <v>#REF!</v>
      </c>
      <c r="W81" s="406" t="e">
        <f t="shared" ca="1" si="60"/>
        <v>#REF!</v>
      </c>
      <c r="X81" s="474" t="e">
        <f t="shared" ca="1" si="61"/>
        <v>#REF!</v>
      </c>
      <c r="Y81" s="424" t="e">
        <f t="array" aca="1" ref="Y81" ca="1">IF($AE81="Y",SUM(IF((INDIRECT("'"&amp;$AB81&amp;"'!$J23:$J200")=$B$2)*(INDIRECT("'"&amp;$AB81&amp;"'!e23:E200")=$AE81),INDIRECT("'"&amp;$AB81&amp;"'!$K23:$K200")/X81,0)),"-")</f>
        <v>#REF!</v>
      </c>
      <c r="Z81" s="424" t="e">
        <f t="array" aca="1" ref="Z81" ca="1">IF($AE81="Y",SUM(IF((INDIRECT("'"&amp;$AB81&amp;"'!$J23:$J200")=$B$2)*(INDIRECT("'"&amp;$AB81&amp;"'!e23:E200")=$AE81),INDIRECT("'"&amp;$AB81&amp;"'!$L23:$L200")/X81,0)),"-")</f>
        <v>#REF!</v>
      </c>
      <c r="AA81" s="424" t="e">
        <f t="shared" ca="1" si="62"/>
        <v>#REF!</v>
      </c>
      <c r="AB81" s="475" t="e">
        <f ca="1">IF($AE81="Y",VLOOKUP(C81,Table!B:C,2,FALSE),"")</f>
        <v>#REF!</v>
      </c>
      <c r="AC81" s="476" t="e">
        <f t="shared" ca="1" si="63"/>
        <v>#REF!</v>
      </c>
      <c r="AD81" s="477" t="e">
        <v>#DIV/0!</v>
      </c>
      <c r="AE81" s="230" t="e">
        <f ca="1">IF(C81="","",VLOOKUP(C81,Table!$B$36:$AO$57,Table!$AO$35-1,FALSE))</f>
        <v>#REF!</v>
      </c>
      <c r="AF81" s="428"/>
      <c r="AG81" s="428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1:59">
      <c r="A82" s="401" t="e">
        <f t="shared" ca="1" si="46"/>
        <v>#REF!</v>
      </c>
      <c r="B82" s="430" t="e">
        <f t="shared" ca="1" si="47"/>
        <v>#REF!</v>
      </c>
      <c r="C82" s="401" t="e">
        <f t="shared" ca="1" si="48"/>
        <v>#REF!</v>
      </c>
      <c r="D82" s="403" t="e">
        <f t="array" aca="1" ref="D82" ca="1">IF($AE82="Y",SUM(IF((INDIRECT("'"&amp;$AB82&amp;"'!I23:I200")=$B$2)*(INDIRECT("'"&amp;$AB82&amp;"'!H23:H200")="H")*(INDIRECT("'"&amp;$AB82&amp;"'!N23:N200")=D$36)*(INDIRECT("'"&amp;$AB82&amp;"'!E23:E200")=$AE82),1,0)),"-")</f>
        <v>#REF!</v>
      </c>
      <c r="E82" s="404" t="e">
        <f t="shared" ca="1" si="49"/>
        <v>#REF!</v>
      </c>
      <c r="F82" s="405" t="e">
        <f t="array" aca="1" ref="F82" ca="1">IF($AE82="Y",SUM(IF((INDIRECT("'"&amp;$AB82&amp;"'!J23:J200")=$B$2)*(INDIRECT("'"&amp;$AB82&amp;"'!I23:I200")="H")*(INDIRECT("'"&amp;$AB82&amp;"'!O23:O200")=F$36)*(INDIRECT("'"&amp;$AB82&amp;"'!E23:E200")=$AE82),1,0)),"-")</f>
        <v>#REF!</v>
      </c>
      <c r="G82" s="406" t="e">
        <f t="shared" ca="1" si="50"/>
        <v>#REF!</v>
      </c>
      <c r="H82" s="407" t="e">
        <f t="shared" ca="1" si="51"/>
        <v>#REF!</v>
      </c>
      <c r="I82" s="408" t="e">
        <f t="array" aca="1" ref="I82" ca="1">IF($AE82="Y",SUM(IF((INDIRECT("'"&amp;$AB82&amp;"'!$J23:$J200")=$B$2)*(INDIRECT("'"&amp;$AB82&amp;"'!$I23:$I200")="H")*(INDIRECT("'"&amp;$AB82&amp;"'!e23:E200")=$AE82),INDIRECT("'"&amp;$AB82&amp;"'!$K23:$K200")/H82,0)),"-")</f>
        <v>#REF!</v>
      </c>
      <c r="J82" s="408" t="e">
        <f t="array" aca="1" ref="J82" ca="1">IF($AE82="Y",SUM(IF((INDIRECT("'"&amp;$AB82&amp;"'!$J23:$J200")=$B$2)*(INDIRECT("'"&amp;$AB82&amp;"'!$I23:$I200")="H")*(INDIRECT("'"&amp;$AB82&amp;"'!e23:E200")=$AE82),INDIRECT("'"&amp;$AB82&amp;"'!$L23:$L200")/H82,0)),"-")</f>
        <v>#REF!</v>
      </c>
      <c r="K82" s="408" t="e">
        <f t="shared" ca="1" si="52"/>
        <v>#REF!</v>
      </c>
      <c r="L82" s="403" t="e">
        <f t="array" aca="1" ref="L82" ca="1">IF($AE82="Y",SUM(IF((INDIRECT("'"&amp;$AB82&amp;"'!J23:J200")=$B$2)*(INDIRECT("'"&amp;$AB82&amp;"'!I23:I200")="A")*(INDIRECT("'"&amp;$AB82&amp;"'!O23:O200")=L$36)*(INDIRECT("'"&amp;$AB82&amp;"'!e23:E200")=$AE82),1,0)),"-")</f>
        <v>#REF!</v>
      </c>
      <c r="M82" s="404" t="e">
        <f t="shared" ca="1" si="53"/>
        <v>#REF!</v>
      </c>
      <c r="N82" s="405" t="e">
        <f t="array" aca="1" ref="N82" ca="1">IF($AE82="Y",SUM(IF((INDIRECT("'"&amp;$AB82&amp;"'!J23:J200")=$B$2)*(INDIRECT("'"&amp;$AB82&amp;"'!I23:I200")="A")*(INDIRECT("'"&amp;$AB82&amp;"'!O23:O200")=N$36)*(INDIRECT("'"&amp;$AB82&amp;"'!e23:E200")=$AE82),1,0)),"-")</f>
        <v>#REF!</v>
      </c>
      <c r="O82" s="406" t="e">
        <f t="shared" ca="1" si="54"/>
        <v>#REF!</v>
      </c>
      <c r="P82" s="407" t="e">
        <f t="shared" ca="1" si="55"/>
        <v>#REF!</v>
      </c>
      <c r="Q82" s="408" t="e">
        <f t="array" aca="1" ref="Q82" ca="1">IF($AE82="Y",SUM(IF((INDIRECT("'"&amp;$AB82&amp;"'!$J23:$J200")=$B$2)*(INDIRECT("'"&amp;$AB82&amp;"'!$I23:$I200")="A")*(INDIRECT("'"&amp;$AB82&amp;"'!e23:E200")=$AE82),INDIRECT("'"&amp;$AB82&amp;"'!$K23:$K200")/P82,0)),"-")</f>
        <v>#REF!</v>
      </c>
      <c r="R82" s="408" t="e">
        <f t="array" aca="1" ref="R82" ca="1">IF($AE82="Y",SUM(IF((INDIRECT("'"&amp;$AB82&amp;"'!$J23:$J200")=$B$2)*(INDIRECT("'"&amp;$AB82&amp;"'!$I23:$I200")="A")*(INDIRECT("'"&amp;$AB82&amp;"'!e23:E200")=$AE82),INDIRECT("'"&amp;$AB82&amp;"'!$L23:$L200")/P82,0)),"-")</f>
        <v>#REF!</v>
      </c>
      <c r="S82" s="408" t="e">
        <f t="shared" ca="1" si="56"/>
        <v>#REF!</v>
      </c>
      <c r="T82" s="409" t="e">
        <f t="shared" ca="1" si="57"/>
        <v>#REF!</v>
      </c>
      <c r="U82" s="404" t="e">
        <f t="shared" ca="1" si="58"/>
        <v>#REF!</v>
      </c>
      <c r="V82" s="405" t="e">
        <f t="shared" ca="1" si="59"/>
        <v>#REF!</v>
      </c>
      <c r="W82" s="406" t="e">
        <f t="shared" ca="1" si="60"/>
        <v>#REF!</v>
      </c>
      <c r="X82" s="474" t="e">
        <f t="shared" ca="1" si="61"/>
        <v>#REF!</v>
      </c>
      <c r="Y82" s="424" t="e">
        <f t="array" aca="1" ref="Y82" ca="1">IF($AE82="Y",SUM(IF((INDIRECT("'"&amp;$AB82&amp;"'!$J23:$J200")=$B$2)*(INDIRECT("'"&amp;$AB82&amp;"'!e23:E200")=$AE82),INDIRECT("'"&amp;$AB82&amp;"'!$K23:$K200")/X82,0)),"-")</f>
        <v>#REF!</v>
      </c>
      <c r="Z82" s="424" t="e">
        <f t="array" aca="1" ref="Z82" ca="1">IF($AE82="Y",SUM(IF((INDIRECT("'"&amp;$AB82&amp;"'!$J23:$J200")=$B$2)*(INDIRECT("'"&amp;$AB82&amp;"'!e23:E200")=$AE82),INDIRECT("'"&amp;$AB82&amp;"'!$L23:$L200")/X82,0)),"-")</f>
        <v>#REF!</v>
      </c>
      <c r="AA82" s="424" t="e">
        <f t="shared" ca="1" si="62"/>
        <v>#REF!</v>
      </c>
      <c r="AB82" s="475" t="e">
        <f ca="1">IF($AE82="Y",VLOOKUP(C82,Table!B:C,2,FALSE),"")</f>
        <v>#REF!</v>
      </c>
      <c r="AC82" s="476" t="e">
        <f t="shared" ca="1" si="63"/>
        <v>#REF!</v>
      </c>
      <c r="AD82" s="477" t="e">
        <v>#DIV/0!</v>
      </c>
      <c r="AE82" s="230" t="e">
        <f ca="1">IF(C82="","",VLOOKUP(C82,Table!$B$36:$AO$57,Table!$AO$35-1,FALSE))</f>
        <v>#REF!</v>
      </c>
      <c r="AF82" s="428"/>
      <c r="AG82" s="428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1:59">
      <c r="A83" s="401" t="e">
        <f t="shared" ca="1" si="46"/>
        <v>#REF!</v>
      </c>
      <c r="B83" s="430" t="e">
        <f t="shared" ca="1" si="47"/>
        <v>#REF!</v>
      </c>
      <c r="C83" s="401" t="e">
        <f t="shared" ca="1" si="48"/>
        <v>#REF!</v>
      </c>
      <c r="D83" s="403" t="e">
        <f t="array" aca="1" ref="D83" ca="1">IF($AE83="Y",SUM(IF((INDIRECT("'"&amp;$AB83&amp;"'!I23:I200")=$B$2)*(INDIRECT("'"&amp;$AB83&amp;"'!H23:H200")="H")*(INDIRECT("'"&amp;$AB83&amp;"'!N23:N200")=D$36)*(INDIRECT("'"&amp;$AB83&amp;"'!E23:E200")=$AE83),1,0)),"-")</f>
        <v>#REF!</v>
      </c>
      <c r="E83" s="404" t="e">
        <f t="shared" ca="1" si="49"/>
        <v>#REF!</v>
      </c>
      <c r="F83" s="405" t="e">
        <f t="array" aca="1" ref="F83" ca="1">IF($AE83="Y",SUM(IF((INDIRECT("'"&amp;$AB83&amp;"'!J23:J200")=$B$2)*(INDIRECT("'"&amp;$AB83&amp;"'!I23:I200")="H")*(INDIRECT("'"&amp;$AB83&amp;"'!O23:O200")=F$36)*(INDIRECT("'"&amp;$AB83&amp;"'!E23:E200")=$AE83),1,0)),"-")</f>
        <v>#REF!</v>
      </c>
      <c r="G83" s="406" t="e">
        <f t="shared" ca="1" si="50"/>
        <v>#REF!</v>
      </c>
      <c r="H83" s="407" t="e">
        <f t="shared" ca="1" si="51"/>
        <v>#REF!</v>
      </c>
      <c r="I83" s="408" t="e">
        <f t="array" aca="1" ref="I83" ca="1">IF($AE83="Y",SUM(IF((INDIRECT("'"&amp;$AB83&amp;"'!$J23:$J200")=$B$2)*(INDIRECT("'"&amp;$AB83&amp;"'!$I23:$I200")="H")*(INDIRECT("'"&amp;$AB83&amp;"'!e23:E200")=$AE83),INDIRECT("'"&amp;$AB83&amp;"'!$K23:$K200")/H83,0)),"-")</f>
        <v>#REF!</v>
      </c>
      <c r="J83" s="408" t="e">
        <f t="array" aca="1" ref="J83" ca="1">IF($AE83="Y",SUM(IF((INDIRECT("'"&amp;$AB83&amp;"'!$J23:$J200")=$B$2)*(INDIRECT("'"&amp;$AB83&amp;"'!$I23:$I200")="H")*(INDIRECT("'"&amp;$AB83&amp;"'!e23:E200")=$AE83),INDIRECT("'"&amp;$AB83&amp;"'!$L23:$L200")/H83,0)),"-")</f>
        <v>#REF!</v>
      </c>
      <c r="K83" s="408" t="e">
        <f t="shared" ca="1" si="52"/>
        <v>#REF!</v>
      </c>
      <c r="L83" s="403" t="e">
        <f t="array" aca="1" ref="L83" ca="1">IF($AE83="Y",SUM(IF((INDIRECT("'"&amp;$AB83&amp;"'!J23:J200")=$B$2)*(INDIRECT("'"&amp;$AB83&amp;"'!I23:I200")="A")*(INDIRECT("'"&amp;$AB83&amp;"'!O23:O200")=L$36)*(INDIRECT("'"&amp;$AB83&amp;"'!e23:E200")=$AE83),1,0)),"-")</f>
        <v>#REF!</v>
      </c>
      <c r="M83" s="404" t="e">
        <f t="shared" ca="1" si="53"/>
        <v>#REF!</v>
      </c>
      <c r="N83" s="405" t="e">
        <f t="array" aca="1" ref="N83" ca="1">IF($AE83="Y",SUM(IF((INDIRECT("'"&amp;$AB83&amp;"'!J23:J200")=$B$2)*(INDIRECT("'"&amp;$AB83&amp;"'!I23:I200")="A")*(INDIRECT("'"&amp;$AB83&amp;"'!O23:O200")=N$36)*(INDIRECT("'"&amp;$AB83&amp;"'!e23:E200")=$AE83),1,0)),"-")</f>
        <v>#REF!</v>
      </c>
      <c r="O83" s="406" t="e">
        <f t="shared" ca="1" si="54"/>
        <v>#REF!</v>
      </c>
      <c r="P83" s="407" t="e">
        <f t="shared" ca="1" si="55"/>
        <v>#REF!</v>
      </c>
      <c r="Q83" s="408" t="e">
        <f t="array" aca="1" ref="Q83" ca="1">IF($AE83="Y",SUM(IF((INDIRECT("'"&amp;$AB83&amp;"'!$J23:$J200")=$B$2)*(INDIRECT("'"&amp;$AB83&amp;"'!$I23:$I200")="A")*(INDIRECT("'"&amp;$AB83&amp;"'!e23:E200")=$AE83),INDIRECT("'"&amp;$AB83&amp;"'!$K23:$K200")/P83,0)),"-")</f>
        <v>#REF!</v>
      </c>
      <c r="R83" s="408" t="e">
        <f t="array" aca="1" ref="R83" ca="1">IF($AE83="Y",SUM(IF((INDIRECT("'"&amp;$AB83&amp;"'!$J23:$J200")=$B$2)*(INDIRECT("'"&amp;$AB83&amp;"'!$I23:$I200")="A")*(INDIRECT("'"&amp;$AB83&amp;"'!e23:E200")=$AE83),INDIRECT("'"&amp;$AB83&amp;"'!$L23:$L200")/P83,0)),"-")</f>
        <v>#REF!</v>
      </c>
      <c r="S83" s="408" t="e">
        <f t="shared" ca="1" si="56"/>
        <v>#REF!</v>
      </c>
      <c r="T83" s="409" t="e">
        <f t="shared" ca="1" si="57"/>
        <v>#REF!</v>
      </c>
      <c r="U83" s="404" t="e">
        <f t="shared" ca="1" si="58"/>
        <v>#REF!</v>
      </c>
      <c r="V83" s="405" t="e">
        <f t="shared" ca="1" si="59"/>
        <v>#REF!</v>
      </c>
      <c r="W83" s="406" t="e">
        <f t="shared" ca="1" si="60"/>
        <v>#REF!</v>
      </c>
      <c r="X83" s="474" t="e">
        <f t="shared" ca="1" si="61"/>
        <v>#REF!</v>
      </c>
      <c r="Y83" s="424" t="e">
        <f t="array" aca="1" ref="Y83" ca="1">IF($AE83="Y",SUM(IF((INDIRECT("'"&amp;$AB83&amp;"'!$J23:$J200")=$B$2)*(INDIRECT("'"&amp;$AB83&amp;"'!e23:E200")=$AE83),INDIRECT("'"&amp;$AB83&amp;"'!$K23:$K200")/X83,0)),"-")</f>
        <v>#REF!</v>
      </c>
      <c r="Z83" s="424" t="e">
        <f t="array" aca="1" ref="Z83" ca="1">IF($AE83="Y",SUM(IF((INDIRECT("'"&amp;$AB83&amp;"'!$J23:$J200")=$B$2)*(INDIRECT("'"&amp;$AB83&amp;"'!e23:E200")=$AE83),INDIRECT("'"&amp;$AB83&amp;"'!$L23:$L200")/X83,0)),"-")</f>
        <v>#REF!</v>
      </c>
      <c r="AA83" s="424" t="e">
        <f t="shared" ca="1" si="62"/>
        <v>#REF!</v>
      </c>
      <c r="AB83" s="475" t="e">
        <f ca="1">IF($AE83="Y",VLOOKUP(C83,Table!B:C,2,FALSE),"")</f>
        <v>#REF!</v>
      </c>
      <c r="AC83" s="476" t="e">
        <f t="shared" ca="1" si="63"/>
        <v>#REF!</v>
      </c>
      <c r="AD83" s="477" t="e">
        <v>#DIV/0!</v>
      </c>
      <c r="AE83" s="230" t="e">
        <f ca="1">IF(C83="","",VLOOKUP(C83,Table!$B$36:$AO$57,Table!$AO$35-1,FALSE))</f>
        <v>#REF!</v>
      </c>
      <c r="AF83" s="428"/>
      <c r="AG83" s="428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1:59">
      <c r="A84" s="401" t="e">
        <f t="shared" ca="1" si="46"/>
        <v>#REF!</v>
      </c>
      <c r="B84" s="430" t="e">
        <f t="shared" ca="1" si="47"/>
        <v>#REF!</v>
      </c>
      <c r="C84" s="401" t="e">
        <f t="shared" ca="1" si="48"/>
        <v>#REF!</v>
      </c>
      <c r="D84" s="403" t="e">
        <f t="array" aca="1" ref="D84" ca="1">IF($AE84="Y",SUM(IF((INDIRECT("'"&amp;$AB84&amp;"'!I23:I200")=$B$2)*(INDIRECT("'"&amp;$AB84&amp;"'!H23:H200")="H")*(INDIRECT("'"&amp;$AB84&amp;"'!N23:N200")=D$36)*(INDIRECT("'"&amp;$AB84&amp;"'!E23:E200")=$AE84),1,0)),"-")</f>
        <v>#REF!</v>
      </c>
      <c r="E84" s="404" t="e">
        <f t="shared" ca="1" si="49"/>
        <v>#REF!</v>
      </c>
      <c r="F84" s="405" t="e">
        <f t="array" aca="1" ref="F84" ca="1">IF($AE84="Y",SUM(IF((INDIRECT("'"&amp;$AB84&amp;"'!J23:J200")=$B$2)*(INDIRECT("'"&amp;$AB84&amp;"'!I23:I200")="H")*(INDIRECT("'"&amp;$AB84&amp;"'!O23:O200")=F$36)*(INDIRECT("'"&amp;$AB84&amp;"'!E23:E200")=$AE84),1,0)),"-")</f>
        <v>#REF!</v>
      </c>
      <c r="G84" s="406" t="e">
        <f t="shared" ca="1" si="50"/>
        <v>#REF!</v>
      </c>
      <c r="H84" s="407" t="e">
        <f t="shared" ca="1" si="51"/>
        <v>#REF!</v>
      </c>
      <c r="I84" s="408" t="e">
        <f t="array" aca="1" ref="I84" ca="1">IF($AE84="Y",SUM(IF((INDIRECT("'"&amp;$AB84&amp;"'!$J23:$J200")=$B$2)*(INDIRECT("'"&amp;$AB84&amp;"'!$I23:$I200")="H")*(INDIRECT("'"&amp;$AB84&amp;"'!e23:E200")=$AE84),INDIRECT("'"&amp;$AB84&amp;"'!$K23:$K200")/H84,0)),"-")</f>
        <v>#REF!</v>
      </c>
      <c r="J84" s="408" t="e">
        <f t="array" aca="1" ref="J84" ca="1">IF($AE84="Y",SUM(IF((INDIRECT("'"&amp;$AB84&amp;"'!$J23:$J200")=$B$2)*(INDIRECT("'"&amp;$AB84&amp;"'!$I23:$I200")="H")*(INDIRECT("'"&amp;$AB84&amp;"'!e23:E200")=$AE84),INDIRECT("'"&amp;$AB84&amp;"'!$L23:$L200")/H84,0)),"-")</f>
        <v>#REF!</v>
      </c>
      <c r="K84" s="408" t="e">
        <f t="shared" ca="1" si="52"/>
        <v>#REF!</v>
      </c>
      <c r="L84" s="403" t="e">
        <f t="array" aca="1" ref="L84" ca="1">IF($AE84="Y",SUM(IF((INDIRECT("'"&amp;$AB84&amp;"'!J23:J200")=$B$2)*(INDIRECT("'"&amp;$AB84&amp;"'!I23:I200")="A")*(INDIRECT("'"&amp;$AB84&amp;"'!O23:O200")=L$36)*(INDIRECT("'"&amp;$AB84&amp;"'!e23:E200")=$AE84),1,0)),"-")</f>
        <v>#REF!</v>
      </c>
      <c r="M84" s="404" t="e">
        <f t="shared" ca="1" si="53"/>
        <v>#REF!</v>
      </c>
      <c r="N84" s="405" t="e">
        <f t="array" aca="1" ref="N84" ca="1">IF($AE84="Y",SUM(IF((INDIRECT("'"&amp;$AB84&amp;"'!J23:J200")=$B$2)*(INDIRECT("'"&amp;$AB84&amp;"'!I23:I200")="A")*(INDIRECT("'"&amp;$AB84&amp;"'!O23:O200")=N$36)*(INDIRECT("'"&amp;$AB84&amp;"'!e23:E200")=$AE84),1,0)),"-")</f>
        <v>#REF!</v>
      </c>
      <c r="O84" s="406" t="e">
        <f t="shared" ca="1" si="54"/>
        <v>#REF!</v>
      </c>
      <c r="P84" s="407" t="e">
        <f t="shared" ca="1" si="55"/>
        <v>#REF!</v>
      </c>
      <c r="Q84" s="408" t="e">
        <f t="array" aca="1" ref="Q84" ca="1">IF($AE84="Y",SUM(IF((INDIRECT("'"&amp;$AB84&amp;"'!$J23:$J200")=$B$2)*(INDIRECT("'"&amp;$AB84&amp;"'!$I23:$I200")="A")*(INDIRECT("'"&amp;$AB84&amp;"'!e23:E200")=$AE84),INDIRECT("'"&amp;$AB84&amp;"'!$K23:$K200")/P84,0)),"-")</f>
        <v>#REF!</v>
      </c>
      <c r="R84" s="408" t="e">
        <f t="array" aca="1" ref="R84" ca="1">IF($AE84="Y",SUM(IF((INDIRECT("'"&amp;$AB84&amp;"'!$J23:$J200")=$B$2)*(INDIRECT("'"&amp;$AB84&amp;"'!$I23:$I200")="A")*(INDIRECT("'"&amp;$AB84&amp;"'!e23:E200")=$AE84),INDIRECT("'"&amp;$AB84&amp;"'!$L23:$L200")/P84,0)),"-")</f>
        <v>#REF!</v>
      </c>
      <c r="S84" s="408" t="e">
        <f t="shared" ca="1" si="56"/>
        <v>#REF!</v>
      </c>
      <c r="T84" s="409" t="e">
        <f t="shared" ca="1" si="57"/>
        <v>#REF!</v>
      </c>
      <c r="U84" s="404" t="e">
        <f t="shared" ca="1" si="58"/>
        <v>#REF!</v>
      </c>
      <c r="V84" s="405" t="e">
        <f t="shared" ca="1" si="59"/>
        <v>#REF!</v>
      </c>
      <c r="W84" s="406" t="e">
        <f t="shared" ca="1" si="60"/>
        <v>#REF!</v>
      </c>
      <c r="X84" s="474" t="e">
        <f t="shared" ca="1" si="61"/>
        <v>#REF!</v>
      </c>
      <c r="Y84" s="424" t="e">
        <f t="array" aca="1" ref="Y84" ca="1">IF($AE84="Y",SUM(IF((INDIRECT("'"&amp;$AB84&amp;"'!$J23:$J200")=$B$2)*(INDIRECT("'"&amp;$AB84&amp;"'!e23:E200")=$AE84),INDIRECT("'"&amp;$AB84&amp;"'!$K23:$K200")/X84,0)),"-")</f>
        <v>#REF!</v>
      </c>
      <c r="Z84" s="424" t="e">
        <f t="array" aca="1" ref="Z84" ca="1">IF($AE84="Y",SUM(IF((INDIRECT("'"&amp;$AB84&amp;"'!$J23:$J200")=$B$2)*(INDIRECT("'"&amp;$AB84&amp;"'!e23:E200")=$AE84),INDIRECT("'"&amp;$AB84&amp;"'!$L23:$L200")/X84,0)),"-")</f>
        <v>#REF!</v>
      </c>
      <c r="AA84" s="424" t="e">
        <f t="shared" ca="1" si="62"/>
        <v>#REF!</v>
      </c>
      <c r="AB84" s="475" t="e">
        <f ca="1">IF($AE84="Y",VLOOKUP(C84,Table!B:C,2,FALSE),"")</f>
        <v>#REF!</v>
      </c>
      <c r="AC84" s="476" t="e">
        <f t="shared" ca="1" si="63"/>
        <v>#REF!</v>
      </c>
      <c r="AD84" s="477" t="e">
        <v>#DIV/0!</v>
      </c>
      <c r="AE84" s="230" t="e">
        <f ca="1">IF(C84="","",VLOOKUP(C84,Table!$B$36:$AO$57,Table!$AO$35-1,FALSE))</f>
        <v>#REF!</v>
      </c>
      <c r="AF84" s="428"/>
      <c r="AG84" s="428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1:59">
      <c r="A85" s="401" t="e">
        <f t="shared" ca="1" si="46"/>
        <v>#REF!</v>
      </c>
      <c r="B85" s="430" t="e">
        <f t="shared" ca="1" si="47"/>
        <v>#REF!</v>
      </c>
      <c r="C85" s="401" t="e">
        <f t="shared" ca="1" si="48"/>
        <v>#REF!</v>
      </c>
      <c r="D85" s="403" t="e">
        <f t="array" aca="1" ref="D85" ca="1">IF($AE85="Y",SUM(IF((INDIRECT("'"&amp;$AB85&amp;"'!I23:I200")=$B$2)*(INDIRECT("'"&amp;$AB85&amp;"'!H23:H200")="H")*(INDIRECT("'"&amp;$AB85&amp;"'!N23:N200")=D$36)*(INDIRECT("'"&amp;$AB85&amp;"'!E23:E200")=$AE85),1,0)),"-")</f>
        <v>#REF!</v>
      </c>
      <c r="E85" s="404" t="e">
        <f t="shared" ca="1" si="49"/>
        <v>#REF!</v>
      </c>
      <c r="F85" s="405" t="e">
        <f t="array" aca="1" ref="F85" ca="1">IF($AE85="Y",SUM(IF((INDIRECT("'"&amp;$AB85&amp;"'!J23:J200")=$B$2)*(INDIRECT("'"&amp;$AB85&amp;"'!I23:I200")="H")*(INDIRECT("'"&amp;$AB85&amp;"'!O23:O200")=F$36)*(INDIRECT("'"&amp;$AB85&amp;"'!E23:E200")=$AE85),1,0)),"-")</f>
        <v>#REF!</v>
      </c>
      <c r="G85" s="406" t="e">
        <f t="shared" ca="1" si="50"/>
        <v>#REF!</v>
      </c>
      <c r="H85" s="407" t="e">
        <f t="shared" ca="1" si="51"/>
        <v>#REF!</v>
      </c>
      <c r="I85" s="408" t="e">
        <f t="array" aca="1" ref="I85" ca="1">IF($AE85="Y",SUM(IF((INDIRECT("'"&amp;$AB85&amp;"'!$J23:$J200")=$B$2)*(INDIRECT("'"&amp;$AB85&amp;"'!$I23:$I200")="H")*(INDIRECT("'"&amp;$AB85&amp;"'!e23:E200")=$AE85),INDIRECT("'"&amp;$AB85&amp;"'!$K23:$K200")/H85,0)),"-")</f>
        <v>#REF!</v>
      </c>
      <c r="J85" s="408" t="e">
        <f t="array" aca="1" ref="J85" ca="1">IF($AE85="Y",SUM(IF((INDIRECT("'"&amp;$AB85&amp;"'!$J23:$J200")=$B$2)*(INDIRECT("'"&amp;$AB85&amp;"'!$I23:$I200")="H")*(INDIRECT("'"&amp;$AB85&amp;"'!e23:E200")=$AE85),INDIRECT("'"&amp;$AB85&amp;"'!$L23:$L200")/H85,0)),"-")</f>
        <v>#REF!</v>
      </c>
      <c r="K85" s="408" t="e">
        <f t="shared" ca="1" si="52"/>
        <v>#REF!</v>
      </c>
      <c r="L85" s="403" t="e">
        <f t="array" aca="1" ref="L85" ca="1">IF($AE85="Y",SUM(IF((INDIRECT("'"&amp;$AB85&amp;"'!J23:J200")=$B$2)*(INDIRECT("'"&amp;$AB85&amp;"'!I23:I200")="A")*(INDIRECT("'"&amp;$AB85&amp;"'!O23:O200")=L$36)*(INDIRECT("'"&amp;$AB85&amp;"'!e23:E200")=$AE85),1,0)),"-")</f>
        <v>#REF!</v>
      </c>
      <c r="M85" s="404" t="e">
        <f t="shared" ca="1" si="53"/>
        <v>#REF!</v>
      </c>
      <c r="N85" s="405" t="e">
        <f t="array" aca="1" ref="N85" ca="1">IF($AE85="Y",SUM(IF((INDIRECT("'"&amp;$AB85&amp;"'!J23:J200")=$B$2)*(INDIRECT("'"&amp;$AB85&amp;"'!I23:I200")="A")*(INDIRECT("'"&amp;$AB85&amp;"'!O23:O200")=N$36)*(INDIRECT("'"&amp;$AB85&amp;"'!e23:E200")=$AE85),1,0)),"-")</f>
        <v>#REF!</v>
      </c>
      <c r="O85" s="406" t="e">
        <f t="shared" ca="1" si="54"/>
        <v>#REF!</v>
      </c>
      <c r="P85" s="407" t="e">
        <f t="shared" ca="1" si="55"/>
        <v>#REF!</v>
      </c>
      <c r="Q85" s="408" t="e">
        <f t="array" aca="1" ref="Q85" ca="1">IF($AE85="Y",SUM(IF((INDIRECT("'"&amp;$AB85&amp;"'!$J23:$J200")=$B$2)*(INDIRECT("'"&amp;$AB85&amp;"'!$I23:$I200")="A")*(INDIRECT("'"&amp;$AB85&amp;"'!e23:E200")=$AE85),INDIRECT("'"&amp;$AB85&amp;"'!$K23:$K200")/P85,0)),"-")</f>
        <v>#REF!</v>
      </c>
      <c r="R85" s="408" t="e">
        <f t="array" aca="1" ref="R85" ca="1">IF($AE85="Y",SUM(IF((INDIRECT("'"&amp;$AB85&amp;"'!$J23:$J200")=$B$2)*(INDIRECT("'"&amp;$AB85&amp;"'!$I23:$I200")="A")*(INDIRECT("'"&amp;$AB85&amp;"'!e23:E200")=$AE85),INDIRECT("'"&amp;$AB85&amp;"'!$L23:$L200")/P85,0)),"-")</f>
        <v>#REF!</v>
      </c>
      <c r="S85" s="408" t="e">
        <f t="shared" ca="1" si="56"/>
        <v>#REF!</v>
      </c>
      <c r="T85" s="409" t="e">
        <f t="shared" ca="1" si="57"/>
        <v>#REF!</v>
      </c>
      <c r="U85" s="404" t="e">
        <f t="shared" ca="1" si="58"/>
        <v>#REF!</v>
      </c>
      <c r="V85" s="405" t="e">
        <f t="shared" ca="1" si="59"/>
        <v>#REF!</v>
      </c>
      <c r="W85" s="406" t="e">
        <f t="shared" ca="1" si="60"/>
        <v>#REF!</v>
      </c>
      <c r="X85" s="474" t="e">
        <f t="shared" ca="1" si="61"/>
        <v>#REF!</v>
      </c>
      <c r="Y85" s="424" t="e">
        <f t="array" aca="1" ref="Y85" ca="1">IF($AE85="Y",SUM(IF((INDIRECT("'"&amp;$AB85&amp;"'!$J23:$J200")=$B$2)*(INDIRECT("'"&amp;$AB85&amp;"'!e23:E200")=$AE85),INDIRECT("'"&amp;$AB85&amp;"'!$K23:$K200")/X85,0)),"-")</f>
        <v>#REF!</v>
      </c>
      <c r="Z85" s="424" t="e">
        <f t="array" aca="1" ref="Z85" ca="1">IF($AE85="Y",SUM(IF((INDIRECT("'"&amp;$AB85&amp;"'!$J23:$J200")=$B$2)*(INDIRECT("'"&amp;$AB85&amp;"'!e23:E200")=$AE85),INDIRECT("'"&amp;$AB85&amp;"'!$L23:$L200")/X85,0)),"-")</f>
        <v>#REF!</v>
      </c>
      <c r="AA85" s="424" t="e">
        <f t="shared" ca="1" si="62"/>
        <v>#REF!</v>
      </c>
      <c r="AB85" s="475" t="e">
        <f ca="1">IF($AE85="Y",VLOOKUP(C85,Table!B:C,2,FALSE),"")</f>
        <v>#REF!</v>
      </c>
      <c r="AC85" s="476" t="e">
        <f t="shared" ca="1" si="63"/>
        <v>#REF!</v>
      </c>
      <c r="AD85" s="477" t="e">
        <v>#DIV/0!</v>
      </c>
      <c r="AE85" s="230" t="e">
        <f ca="1">IF(C85="","",VLOOKUP(C85,Table!$B$36:$AO$57,Table!$AO$35-1,FALSE))</f>
        <v>#REF!</v>
      </c>
      <c r="AF85" s="428"/>
      <c r="AG85" s="428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1:59" ht="15" customHeight="1">
      <c r="A86" s="401" t="e">
        <f t="shared" ca="1" si="46"/>
        <v>#REF!</v>
      </c>
      <c r="B86" s="430" t="e">
        <f t="shared" ca="1" si="47"/>
        <v>#REF!</v>
      </c>
      <c r="C86" s="401" t="e">
        <f t="shared" ca="1" si="48"/>
        <v>#REF!</v>
      </c>
      <c r="D86" s="403" t="e">
        <f t="array" aca="1" ref="D86" ca="1">IF($AE86="Y",SUM(IF((INDIRECT("'"&amp;$AB86&amp;"'!I23:I200")=$B$2)*(INDIRECT("'"&amp;$AB86&amp;"'!H23:H200")="H")*(INDIRECT("'"&amp;$AB86&amp;"'!N23:N200")=D$36)*(INDIRECT("'"&amp;$AB86&amp;"'!E23:E200")=$AE86),1,0)),"-")</f>
        <v>#REF!</v>
      </c>
      <c r="E86" s="404" t="e">
        <f t="shared" ca="1" si="49"/>
        <v>#REF!</v>
      </c>
      <c r="F86" s="405" t="e">
        <f t="array" aca="1" ref="F86" ca="1">IF($AE86="Y",SUM(IF((INDIRECT("'"&amp;$AB86&amp;"'!J23:J200")=$B$2)*(INDIRECT("'"&amp;$AB86&amp;"'!I23:I200")="H")*(INDIRECT("'"&amp;$AB86&amp;"'!O23:O200")=F$36)*(INDIRECT("'"&amp;$AB86&amp;"'!E23:E200")=$AE86),1,0)),"-")</f>
        <v>#REF!</v>
      </c>
      <c r="G86" s="406" t="e">
        <f t="shared" ca="1" si="50"/>
        <v>#REF!</v>
      </c>
      <c r="H86" s="407" t="e">
        <f t="shared" ca="1" si="51"/>
        <v>#REF!</v>
      </c>
      <c r="I86" s="408" t="e">
        <f t="array" aca="1" ref="I86" ca="1">IF($AE86="Y",SUM(IF((INDIRECT("'"&amp;$AB86&amp;"'!$J23:$J200")=$B$2)*(INDIRECT("'"&amp;$AB86&amp;"'!$I23:$I200")="H")*(INDIRECT("'"&amp;$AB86&amp;"'!e23:E200")=$AE86),INDIRECT("'"&amp;$AB86&amp;"'!$K23:$K200")/H86,0)),"-")</f>
        <v>#REF!</v>
      </c>
      <c r="J86" s="408" t="e">
        <f t="array" aca="1" ref="J86" ca="1">IF($AE86="Y",SUM(IF((INDIRECT("'"&amp;$AB86&amp;"'!$J23:$J200")=$B$2)*(INDIRECT("'"&amp;$AB86&amp;"'!$I23:$I200")="H")*(INDIRECT("'"&amp;$AB86&amp;"'!e23:E200")=$AE86),INDIRECT("'"&amp;$AB86&amp;"'!$L23:$L200")/H86,0)),"-")</f>
        <v>#REF!</v>
      </c>
      <c r="K86" s="408" t="e">
        <f t="shared" ca="1" si="52"/>
        <v>#REF!</v>
      </c>
      <c r="L86" s="403" t="e">
        <f t="array" aca="1" ref="L86" ca="1">IF($AE86="Y",SUM(IF((INDIRECT("'"&amp;$AB86&amp;"'!J23:J200")=$B$2)*(INDIRECT("'"&amp;$AB86&amp;"'!I23:I200")="A")*(INDIRECT("'"&amp;$AB86&amp;"'!O23:O200")=L$36)*(INDIRECT("'"&amp;$AB86&amp;"'!e23:E200")=$AE86),1,0)),"-")</f>
        <v>#REF!</v>
      </c>
      <c r="M86" s="404" t="e">
        <f t="shared" ca="1" si="53"/>
        <v>#REF!</v>
      </c>
      <c r="N86" s="405" t="e">
        <f t="array" aca="1" ref="N86" ca="1">IF($AE86="Y",SUM(IF((INDIRECT("'"&amp;$AB86&amp;"'!J23:J200")=$B$2)*(INDIRECT("'"&amp;$AB86&amp;"'!I23:I200")="A")*(INDIRECT("'"&amp;$AB86&amp;"'!O23:O200")=N$36)*(INDIRECT("'"&amp;$AB86&amp;"'!e23:E200")=$AE86),1,0)),"-")</f>
        <v>#REF!</v>
      </c>
      <c r="O86" s="406" t="e">
        <f t="shared" ca="1" si="54"/>
        <v>#REF!</v>
      </c>
      <c r="P86" s="407" t="e">
        <f t="shared" ca="1" si="55"/>
        <v>#REF!</v>
      </c>
      <c r="Q86" s="408" t="e">
        <f t="array" aca="1" ref="Q86" ca="1">IF($AE86="Y",SUM(IF((INDIRECT("'"&amp;$AB86&amp;"'!$J23:$J200")=$B$2)*(INDIRECT("'"&amp;$AB86&amp;"'!$I23:$I200")="A")*(INDIRECT("'"&amp;$AB86&amp;"'!e23:E200")=$AE86),INDIRECT("'"&amp;$AB86&amp;"'!$K23:$K200")/P86,0)),"-")</f>
        <v>#REF!</v>
      </c>
      <c r="R86" s="408" t="e">
        <f t="array" aca="1" ref="R86" ca="1">IF($AE86="Y",SUM(IF((INDIRECT("'"&amp;$AB86&amp;"'!$J23:$J200")=$B$2)*(INDIRECT("'"&amp;$AB86&amp;"'!$I23:$I200")="A")*(INDIRECT("'"&amp;$AB86&amp;"'!e23:E200")=$AE86),INDIRECT("'"&amp;$AB86&amp;"'!$L23:$L200")/P86,0)),"-")</f>
        <v>#REF!</v>
      </c>
      <c r="S86" s="408" t="e">
        <f t="shared" ca="1" si="56"/>
        <v>#REF!</v>
      </c>
      <c r="T86" s="409" t="e">
        <f t="shared" ca="1" si="57"/>
        <v>#REF!</v>
      </c>
      <c r="U86" s="404" t="e">
        <f t="shared" ca="1" si="58"/>
        <v>#REF!</v>
      </c>
      <c r="V86" s="405" t="e">
        <f t="shared" ca="1" si="59"/>
        <v>#REF!</v>
      </c>
      <c r="W86" s="406" t="e">
        <f t="shared" ca="1" si="60"/>
        <v>#REF!</v>
      </c>
      <c r="X86" s="474" t="e">
        <f t="shared" ca="1" si="61"/>
        <v>#REF!</v>
      </c>
      <c r="Y86" s="424" t="e">
        <f t="array" aca="1" ref="Y86" ca="1">IF($AE86="Y",SUM(IF((INDIRECT("'"&amp;$AB86&amp;"'!$J23:$J200")=$B$2)*(INDIRECT("'"&amp;$AB86&amp;"'!e23:E200")=$AE86),INDIRECT("'"&amp;$AB86&amp;"'!$K23:$K200")/X86,0)),"-")</f>
        <v>#REF!</v>
      </c>
      <c r="Z86" s="424" t="e">
        <f t="array" aca="1" ref="Z86" ca="1">IF($AE86="Y",SUM(IF((INDIRECT("'"&amp;$AB86&amp;"'!$J23:$J200")=$B$2)*(INDIRECT("'"&amp;$AB86&amp;"'!e23:E200")=$AE86),INDIRECT("'"&amp;$AB86&amp;"'!$L23:$L200")/X86,0)),"-")</f>
        <v>#REF!</v>
      </c>
      <c r="AA86" s="424" t="e">
        <f t="shared" ca="1" si="62"/>
        <v>#REF!</v>
      </c>
      <c r="AB86" s="475" t="e">
        <f ca="1">IF($AE86="Y",VLOOKUP(C86,Table!B:C,2,FALSE),"")</f>
        <v>#REF!</v>
      </c>
      <c r="AC86" s="476" t="e">
        <f t="shared" ca="1" si="63"/>
        <v>#REF!</v>
      </c>
      <c r="AD86" s="477" t="e">
        <v>#DIV/0!</v>
      </c>
      <c r="AE86" s="230" t="e">
        <f ca="1">IF(C86="","",VLOOKUP(C86,Table!$B$36:$AO$57,Table!$AO$35-1,FALSE))</f>
        <v>#REF!</v>
      </c>
      <c r="AF86" s="428"/>
      <c r="AG86" s="428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1:59" ht="18.75" customHeight="1">
      <c r="A87" s="401" t="e">
        <f t="shared" ca="1" si="46"/>
        <v>#REF!</v>
      </c>
      <c r="B87" s="430" t="e">
        <f t="shared" ca="1" si="47"/>
        <v>#REF!</v>
      </c>
      <c r="C87" s="401" t="e">
        <f t="shared" ca="1" si="48"/>
        <v>#REF!</v>
      </c>
      <c r="D87" s="403" t="e">
        <f t="array" aca="1" ref="D87" ca="1">IF($AE87="Y",SUM(IF((INDIRECT("'"&amp;$AB87&amp;"'!I23:I200")=$B$2)*(INDIRECT("'"&amp;$AB87&amp;"'!H23:H200")="H")*(INDIRECT("'"&amp;$AB87&amp;"'!N23:N200")=D$36)*(INDIRECT("'"&amp;$AB87&amp;"'!E23:E200")=$AE87),1,0)),"-")</f>
        <v>#REF!</v>
      </c>
      <c r="E87" s="404" t="e">
        <f t="shared" ca="1" si="49"/>
        <v>#REF!</v>
      </c>
      <c r="F87" s="405" t="e">
        <f t="array" aca="1" ref="F87" ca="1">IF($AE87="Y",SUM(IF((INDIRECT("'"&amp;$AB87&amp;"'!J23:J200")=$B$2)*(INDIRECT("'"&amp;$AB87&amp;"'!I23:I200")="H")*(INDIRECT("'"&amp;$AB87&amp;"'!O23:O200")=F$36)*(INDIRECT("'"&amp;$AB87&amp;"'!E23:E200")=$AE87),1,0)),"-")</f>
        <v>#REF!</v>
      </c>
      <c r="G87" s="406" t="e">
        <f t="shared" ca="1" si="50"/>
        <v>#REF!</v>
      </c>
      <c r="H87" s="407" t="e">
        <f t="shared" ca="1" si="51"/>
        <v>#REF!</v>
      </c>
      <c r="I87" s="408" t="e">
        <f t="array" aca="1" ref="I87" ca="1">IF($AE87="Y",SUM(IF((INDIRECT("'"&amp;$AB87&amp;"'!$J23:$J200")=$B$2)*(INDIRECT("'"&amp;$AB87&amp;"'!$I23:$I200")="H")*(INDIRECT("'"&amp;$AB87&amp;"'!e23:E200")=$AE87),INDIRECT("'"&amp;$AB87&amp;"'!$K23:$K200")/H87,0)),"-")</f>
        <v>#REF!</v>
      </c>
      <c r="J87" s="408" t="e">
        <f t="array" aca="1" ref="J87" ca="1">IF($AE87="Y",SUM(IF((INDIRECT("'"&amp;$AB87&amp;"'!$J23:$J200")=$B$2)*(INDIRECT("'"&amp;$AB87&amp;"'!$I23:$I200")="H")*(INDIRECT("'"&amp;$AB87&amp;"'!e23:E200")=$AE87),INDIRECT("'"&amp;$AB87&amp;"'!$L23:$L200")/H87,0)),"-")</f>
        <v>#REF!</v>
      </c>
      <c r="K87" s="408" t="e">
        <f t="shared" ca="1" si="52"/>
        <v>#REF!</v>
      </c>
      <c r="L87" s="403" t="e">
        <f t="array" aca="1" ref="L87" ca="1">IF($AE87="Y",SUM(IF((INDIRECT("'"&amp;$AB87&amp;"'!J23:J200")=$B$2)*(INDIRECT("'"&amp;$AB87&amp;"'!I23:I200")="A")*(INDIRECT("'"&amp;$AB87&amp;"'!O23:O200")=L$36)*(INDIRECT("'"&amp;$AB87&amp;"'!e23:E200")=$AE87),1,0)),"-")</f>
        <v>#REF!</v>
      </c>
      <c r="M87" s="404" t="e">
        <f t="shared" ca="1" si="53"/>
        <v>#REF!</v>
      </c>
      <c r="N87" s="405" t="e">
        <f t="array" aca="1" ref="N87" ca="1">IF($AE87="Y",SUM(IF((INDIRECT("'"&amp;$AB87&amp;"'!J23:J200")=$B$2)*(INDIRECT("'"&amp;$AB87&amp;"'!I23:I200")="A")*(INDIRECT("'"&amp;$AB87&amp;"'!O23:O200")=N$36)*(INDIRECT("'"&amp;$AB87&amp;"'!e23:E200")=$AE87),1,0)),"-")</f>
        <v>#REF!</v>
      </c>
      <c r="O87" s="406" t="e">
        <f t="shared" ca="1" si="54"/>
        <v>#REF!</v>
      </c>
      <c r="P87" s="407" t="e">
        <f t="shared" ca="1" si="55"/>
        <v>#REF!</v>
      </c>
      <c r="Q87" s="408" t="e">
        <f t="array" aca="1" ref="Q87" ca="1">IF($AE87="Y",SUM(IF((INDIRECT("'"&amp;$AB87&amp;"'!$J23:$J200")=$B$2)*(INDIRECT("'"&amp;$AB87&amp;"'!$I23:$I200")="A")*(INDIRECT("'"&amp;$AB87&amp;"'!e23:E200")=$AE87),INDIRECT("'"&amp;$AB87&amp;"'!$K23:$K200")/P87,0)),"-")</f>
        <v>#REF!</v>
      </c>
      <c r="R87" s="408" t="e">
        <f t="array" aca="1" ref="R87" ca="1">IF($AE87="Y",SUM(IF((INDIRECT("'"&amp;$AB87&amp;"'!$J23:$J200")=$B$2)*(INDIRECT("'"&amp;$AB87&amp;"'!$I23:$I200")="A")*(INDIRECT("'"&amp;$AB87&amp;"'!e23:E200")=$AE87),INDIRECT("'"&amp;$AB87&amp;"'!$L23:$L200")/P87,0)),"-")</f>
        <v>#REF!</v>
      </c>
      <c r="S87" s="408" t="e">
        <f t="shared" ca="1" si="56"/>
        <v>#REF!</v>
      </c>
      <c r="T87" s="409" t="e">
        <f t="shared" ca="1" si="57"/>
        <v>#REF!</v>
      </c>
      <c r="U87" s="404" t="e">
        <f t="shared" ca="1" si="58"/>
        <v>#REF!</v>
      </c>
      <c r="V87" s="405" t="e">
        <f t="shared" ca="1" si="59"/>
        <v>#REF!</v>
      </c>
      <c r="W87" s="406" t="e">
        <f t="shared" ca="1" si="60"/>
        <v>#REF!</v>
      </c>
      <c r="X87" s="474" t="e">
        <f t="shared" ca="1" si="61"/>
        <v>#REF!</v>
      </c>
      <c r="Y87" s="424" t="e">
        <f t="array" aca="1" ref="Y87" ca="1">IF($AE87="Y",SUM(IF((INDIRECT("'"&amp;$AB87&amp;"'!$J23:$J200")=$B$2)*(INDIRECT("'"&amp;$AB87&amp;"'!e23:E200")=$AE87),INDIRECT("'"&amp;$AB87&amp;"'!$K23:$K200")/X87,0)),"-")</f>
        <v>#REF!</v>
      </c>
      <c r="Z87" s="424" t="e">
        <f t="array" aca="1" ref="Z87" ca="1">IF($AE87="Y",SUM(IF((INDIRECT("'"&amp;$AB87&amp;"'!$J23:$J200")=$B$2)*(INDIRECT("'"&amp;$AB87&amp;"'!e23:E200")=$AE87),INDIRECT("'"&amp;$AB87&amp;"'!$L23:$L200")/X87,0)),"-")</f>
        <v>#REF!</v>
      </c>
      <c r="AA87" s="424" t="e">
        <f t="shared" ca="1" si="62"/>
        <v>#REF!</v>
      </c>
      <c r="AB87" s="475" t="e">
        <f ca="1">IF($AE87="Y",VLOOKUP(C87,Table!B:C,2,FALSE),"")</f>
        <v>#REF!</v>
      </c>
      <c r="AC87" s="476" t="e">
        <f t="shared" ca="1" si="63"/>
        <v>#REF!</v>
      </c>
      <c r="AD87" s="477" t="e">
        <v>#DIV/0!</v>
      </c>
      <c r="AE87" s="230" t="e">
        <f ca="1">IF(C87="","",VLOOKUP(C87,Table!$B$36:$AO$57,Table!$AO$35-1,FALSE))</f>
        <v>#REF!</v>
      </c>
      <c r="AF87" s="428"/>
      <c r="AG87" s="428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1:59" ht="18.75" customHeight="1" thickBot="1">
      <c r="A88" s="401" t="e">
        <f t="shared" ca="1" si="46"/>
        <v>#REF!</v>
      </c>
      <c r="B88" s="430" t="e">
        <f t="shared" ca="1" si="47"/>
        <v>#REF!</v>
      </c>
      <c r="C88" s="401" t="e">
        <f t="shared" ca="1" si="48"/>
        <v>#REF!</v>
      </c>
      <c r="D88" s="403" t="e">
        <f t="array" aca="1" ref="D88" ca="1">IF($AE88="Y",SUM(IF((INDIRECT("'"&amp;$AB88&amp;"'!I23:I200")=$B$2)*(INDIRECT("'"&amp;$AB88&amp;"'!H23:H200")="H")*(INDIRECT("'"&amp;$AB88&amp;"'!N23:N200")=D$36)*(INDIRECT("'"&amp;$AB88&amp;"'!E23:E200")=$AE88),1,0)),"-")</f>
        <v>#REF!</v>
      </c>
      <c r="E88" s="404" t="e">
        <f t="shared" ca="1" si="49"/>
        <v>#REF!</v>
      </c>
      <c r="F88" s="405" t="e">
        <f t="array" aca="1" ref="F88" ca="1">IF($AE88="Y",SUM(IF((INDIRECT("'"&amp;$AB88&amp;"'!J23:J200")=$B$2)*(INDIRECT("'"&amp;$AB88&amp;"'!I23:I200")="H")*(INDIRECT("'"&amp;$AB88&amp;"'!O23:O200")=F$36)*(INDIRECT("'"&amp;$AB88&amp;"'!E23:E200")=$AE88),1,0)),"-")</f>
        <v>#REF!</v>
      </c>
      <c r="G88" s="406" t="e">
        <f t="shared" ca="1" si="50"/>
        <v>#REF!</v>
      </c>
      <c r="H88" s="407" t="e">
        <f t="shared" ca="1" si="51"/>
        <v>#REF!</v>
      </c>
      <c r="I88" s="408" t="e">
        <f t="array" aca="1" ref="I88" ca="1">IF($AE88="Y",SUM(IF((INDIRECT("'"&amp;$AB88&amp;"'!$J23:$J200")=$B$2)*(INDIRECT("'"&amp;$AB88&amp;"'!$I23:$I200")="H")*(INDIRECT("'"&amp;$AB88&amp;"'!e23:E200")=$AE88),INDIRECT("'"&amp;$AB88&amp;"'!$K23:$K200")/H88,0)),"-")</f>
        <v>#REF!</v>
      </c>
      <c r="J88" s="408" t="e">
        <f t="array" aca="1" ref="J88" ca="1">IF($AE88="Y",SUM(IF((INDIRECT("'"&amp;$AB88&amp;"'!$J23:$J200")=$B$2)*(INDIRECT("'"&amp;$AB88&amp;"'!$I23:$I200")="H")*(INDIRECT("'"&amp;$AB88&amp;"'!e23:E200")=$AE88),INDIRECT("'"&amp;$AB88&amp;"'!$L23:$L200")/H88,0)),"-")</f>
        <v>#REF!</v>
      </c>
      <c r="K88" s="408" t="e">
        <f t="shared" ca="1" si="52"/>
        <v>#REF!</v>
      </c>
      <c r="L88" s="403" t="e">
        <f t="array" aca="1" ref="L88" ca="1">IF($AE88="Y",SUM(IF((INDIRECT("'"&amp;$AB88&amp;"'!J23:J200")=$B$2)*(INDIRECT("'"&amp;$AB88&amp;"'!I23:I200")="A")*(INDIRECT("'"&amp;$AB88&amp;"'!O23:O200")=L$36)*(INDIRECT("'"&amp;$AB88&amp;"'!e23:E200")=$AE88),1,0)),"-")</f>
        <v>#REF!</v>
      </c>
      <c r="M88" s="404" t="e">
        <f t="shared" ca="1" si="53"/>
        <v>#REF!</v>
      </c>
      <c r="N88" s="405" t="e">
        <f t="array" aca="1" ref="N88" ca="1">IF($AE88="Y",SUM(IF((INDIRECT("'"&amp;$AB88&amp;"'!J23:J200")=$B$2)*(INDIRECT("'"&amp;$AB88&amp;"'!I23:I200")="A")*(INDIRECT("'"&amp;$AB88&amp;"'!O23:O200")=N$36)*(INDIRECT("'"&amp;$AB88&amp;"'!e23:E200")=$AE88),1,0)),"-")</f>
        <v>#REF!</v>
      </c>
      <c r="O88" s="406" t="e">
        <f t="shared" ca="1" si="54"/>
        <v>#REF!</v>
      </c>
      <c r="P88" s="407" t="e">
        <f t="shared" ca="1" si="55"/>
        <v>#REF!</v>
      </c>
      <c r="Q88" s="408" t="e">
        <f t="array" aca="1" ref="Q88" ca="1">IF($AE88="Y",SUM(IF((INDIRECT("'"&amp;$AB88&amp;"'!$J23:$J200")=$B$2)*(INDIRECT("'"&amp;$AB88&amp;"'!$I23:$I200")="A")*(INDIRECT("'"&amp;$AB88&amp;"'!e23:E200")=$AE88),INDIRECT("'"&amp;$AB88&amp;"'!$K23:$K200")/P88,0)),"-")</f>
        <v>#REF!</v>
      </c>
      <c r="R88" s="408" t="e">
        <f t="array" aca="1" ref="R88" ca="1">IF($AE88="Y",SUM(IF((INDIRECT("'"&amp;$AB88&amp;"'!$J23:$J200")=$B$2)*(INDIRECT("'"&amp;$AB88&amp;"'!$I23:$I200")="A")*(INDIRECT("'"&amp;$AB88&amp;"'!e23:E200")=$AE88),INDIRECT("'"&amp;$AB88&amp;"'!$L23:$L200")/P88,0)),"-")</f>
        <v>#REF!</v>
      </c>
      <c r="S88" s="408" t="e">
        <f t="shared" ca="1" si="56"/>
        <v>#REF!</v>
      </c>
      <c r="T88" s="409" t="e">
        <f t="shared" ca="1" si="57"/>
        <v>#REF!</v>
      </c>
      <c r="U88" s="404" t="e">
        <f t="shared" ca="1" si="58"/>
        <v>#REF!</v>
      </c>
      <c r="V88" s="405" t="e">
        <f t="shared" ca="1" si="59"/>
        <v>#REF!</v>
      </c>
      <c r="W88" s="406" t="e">
        <f t="shared" ca="1" si="60"/>
        <v>#REF!</v>
      </c>
      <c r="X88" s="474" t="e">
        <f t="shared" ca="1" si="61"/>
        <v>#REF!</v>
      </c>
      <c r="Y88" s="424" t="e">
        <f t="array" aca="1" ref="Y88" ca="1">IF($AE88="Y",SUM(IF((INDIRECT("'"&amp;$AB88&amp;"'!$J23:$J200")=$B$2)*(INDIRECT("'"&amp;$AB88&amp;"'!e23:E200")=$AE88),INDIRECT("'"&amp;$AB88&amp;"'!$K23:$K200")/X88,0)),"-")</f>
        <v>#REF!</v>
      </c>
      <c r="Z88" s="424" t="e">
        <f t="array" aca="1" ref="Z88" ca="1">IF($AE88="Y",SUM(IF((INDIRECT("'"&amp;$AB88&amp;"'!$J23:$J200")=$B$2)*(INDIRECT("'"&amp;$AB88&amp;"'!e23:E200")=$AE88),INDIRECT("'"&amp;$AB88&amp;"'!$L23:$L200")/X88,0)),"-")</f>
        <v>#REF!</v>
      </c>
      <c r="AA88" s="424" t="e">
        <f t="shared" ca="1" si="62"/>
        <v>#REF!</v>
      </c>
      <c r="AB88" s="475" t="e">
        <f ca="1">IF($AE88="Y",VLOOKUP(C88,Table!B:C,2,FALSE),"")</f>
        <v>#REF!</v>
      </c>
      <c r="AC88" s="476" t="e">
        <f t="shared" ca="1" si="63"/>
        <v>#REF!</v>
      </c>
      <c r="AD88" s="477" t="e">
        <v>#DIV/0!</v>
      </c>
      <c r="AE88" s="230" t="e">
        <f ca="1">IF(C88="","",VLOOKUP(C88,Table!$B$36:$AO$57,Table!$AO$35-1,FALSE))</f>
        <v>#REF!</v>
      </c>
      <c r="AF88" s="428"/>
      <c r="AG88" s="428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1:59" ht="16.5" hidden="1" customHeight="1">
      <c r="A89" s="401"/>
      <c r="B89" s="430"/>
      <c r="C89" s="401"/>
      <c r="D89" s="403"/>
      <c r="E89" s="404"/>
      <c r="F89" s="405"/>
      <c r="G89" s="406"/>
      <c r="H89" s="407"/>
      <c r="I89" s="408"/>
      <c r="J89" s="408"/>
      <c r="K89" s="408"/>
      <c r="L89" s="403"/>
      <c r="M89" s="404"/>
      <c r="N89" s="405"/>
      <c r="O89" s="406"/>
      <c r="P89" s="407"/>
      <c r="Q89" s="408"/>
      <c r="R89" s="408"/>
      <c r="S89" s="408"/>
      <c r="T89" s="409"/>
      <c r="U89" s="404"/>
      <c r="V89" s="405"/>
      <c r="W89" s="406"/>
      <c r="X89" s="474"/>
      <c r="Y89" s="424"/>
      <c r="Z89" s="424"/>
      <c r="AA89" s="424"/>
      <c r="AB89" s="475" t="str">
        <f>IF($AE89="Y",VLOOKUP(C89,Table!B:C,2,FALSE),"")</f>
        <v/>
      </c>
      <c r="AC89" s="426"/>
      <c r="AD89" s="477"/>
      <c r="AE89" s="230"/>
      <c r="AF89" s="428"/>
      <c r="AG89" s="428"/>
      <c r="AH89" s="230"/>
      <c r="AI89" s="230"/>
      <c r="AJ89" s="230"/>
      <c r="AK89" s="230"/>
      <c r="AL89" s="230"/>
      <c r="AM89" s="230"/>
      <c r="AN89" s="230"/>
      <c r="AO89" s="230"/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1:59" ht="18.75" hidden="1" customHeight="1">
      <c r="A90" s="401" t="e">
        <f t="shared" ref="A90" ca="1" si="64">A28</f>
        <v>#REF!</v>
      </c>
      <c r="B90" s="430" t="str">
        <f t="shared" ref="B90" si="65">IF(AE90="Y",AA90+U90/100-A90/10000000,"")</f>
        <v/>
      </c>
      <c r="C90" s="401" t="e">
        <f t="shared" ref="C90" ca="1" si="66">C28</f>
        <v>#REF!</v>
      </c>
      <c r="D90" s="403" t="str">
        <f t="array" aca="1" ref="D90" ca="1">IF($AE90="Y",SUM(IF((INDIRECT("'"&amp;$AB90&amp;"'!J23:J200")=$B$2)*(INDIRECT("'"&amp;$AB90&amp;"'!I23:I200")="H")*(INDIRECT("'"&amp;$AB90&amp;"'!O23:O200")=D$36)*(INDIRECT("'"&amp;$AB90&amp;"'!E23:E200")=$AE90),1,0)),"-")</f>
        <v>-</v>
      </c>
      <c r="E90" s="404" t="str">
        <f t="shared" ref="E90" si="67">IF($AE90="Y",D90/H90,"-")</f>
        <v>-</v>
      </c>
      <c r="F90" s="405" t="str">
        <f t="array" aca="1" ref="F90" ca="1">IF($AE90="Y",SUM(IF((INDIRECT("'"&amp;$AB90&amp;"'!J23:J200")=$B$2)*(INDIRECT("'"&amp;$AB90&amp;"'!I23:I200")="H")*(INDIRECT("'"&amp;$AB90&amp;"'!O23:O200")=F$36)*(INDIRECT("'"&amp;$AB90&amp;"'!e23:E200")=$AE90),1,0)),"-")</f>
        <v>-</v>
      </c>
      <c r="G90" s="406" t="str">
        <f t="shared" ref="G90" si="68">IF($AE90="Y",F90/H90,"-")</f>
        <v>-</v>
      </c>
      <c r="H90" s="407" t="str">
        <f t="shared" ref="H90" si="69">IF($AE90="Y",D90+F90,"-")</f>
        <v>-</v>
      </c>
      <c r="I90" s="408" t="str">
        <f t="array" aca="1" ref="I90" ca="1">IF($AE90="Y",SUM(IF((INDIRECT("'"&amp;$AB90&amp;"'!$J23:$J200")=$B$2)*(INDIRECT("'"&amp;$AB90&amp;"'!$I23:$I200")="H")*(INDIRECT("'"&amp;$AB90&amp;"'!e23:E200")=$AE90),INDIRECT("'"&amp;$AB90&amp;"'!$K23:$K200")/H90,0)),"-")</f>
        <v>-</v>
      </c>
      <c r="J90" s="408" t="str">
        <f t="array" aca="1" ref="J90" ca="1">IF($AE90="Y",SUM(IF((INDIRECT("'"&amp;$AB90&amp;"'!$J23:$J200")=$B$2)*(INDIRECT("'"&amp;$AB90&amp;"'!$I23:$I200")="H")*(INDIRECT("'"&amp;$AB90&amp;"'!e23:E200")=$AE90),INDIRECT("'"&amp;$AB90&amp;"'!$L23:$L200")/H90,0)),"-")</f>
        <v>-</v>
      </c>
      <c r="K90" s="408" t="str">
        <f t="shared" ref="K90" si="70">IF($AE90="Y",I90+J90,"-")</f>
        <v>-</v>
      </c>
      <c r="L90" s="403" t="str">
        <f t="array" aca="1" ref="L90" ca="1">IF($AE90="Y",SUM(IF((INDIRECT("'"&amp;$AB90&amp;"'!J23:J200")=$B$2)*(INDIRECT("'"&amp;$AB90&amp;"'!I23:I200")="A")*(INDIRECT("'"&amp;$AB90&amp;"'!O23:O200")=L$36)*(INDIRECT("'"&amp;$AB90&amp;"'!e23:E200")=$AE90),1,0)),"-")</f>
        <v>-</v>
      </c>
      <c r="M90" s="404" t="str">
        <f t="shared" ref="M90" si="71">IF($AE90="Y",L90/P90,"-")</f>
        <v>-</v>
      </c>
      <c r="N90" s="405" t="str">
        <f t="array" aca="1" ref="N90" ca="1">IF($AE90="Y",SUM(IF((INDIRECT("'"&amp;$AB90&amp;"'!J23:J200")=$B$2)*(INDIRECT("'"&amp;$AB90&amp;"'!I23:I200")="A")*(INDIRECT("'"&amp;$AB90&amp;"'!O23:O200")=N$36)*(INDIRECT("'"&amp;$AB90&amp;"'!e23:E200")=$AE90),1,0)),"-")</f>
        <v>-</v>
      </c>
      <c r="O90" s="406" t="str">
        <f t="shared" ref="O90" si="72">IF($AE90="Y",N90/P90,"-")</f>
        <v>-</v>
      </c>
      <c r="P90" s="407" t="str">
        <f t="shared" ref="P90" si="73">IF($AE90="Y",L90+N90,"-")</f>
        <v>-</v>
      </c>
      <c r="Q90" s="408" t="str">
        <f t="array" aca="1" ref="Q90" ca="1">IF($AE90="Y",SUM(IF((INDIRECT("'"&amp;$AB90&amp;"'!$J23:$J200")=$B$2)*(INDIRECT("'"&amp;$AB90&amp;"'!$I23:$I200")="A")*(INDIRECT("'"&amp;$AB90&amp;"'!e23:E200")=$AE90),INDIRECT("'"&amp;$AB90&amp;"'!$K23:$K200")/P90,0)),"-")</f>
        <v>-</v>
      </c>
      <c r="R90" s="408" t="str">
        <f t="array" aca="1" ref="R90" ca="1">IF($AE90="Y",SUM(IF((INDIRECT("'"&amp;$AB90&amp;"'!$J23:$J200")=$B$2)*(INDIRECT("'"&amp;$AB90&amp;"'!$I23:$I200")="A")*(INDIRECT("'"&amp;$AB90&amp;"'!e23:E200")=$AE90),INDIRECT("'"&amp;$AB90&amp;"'!$L23:$L200")/P90,0)),"-")</f>
        <v>-</v>
      </c>
      <c r="S90" s="408" t="str">
        <f t="shared" ref="S90" si="74">IF($AE90="Y",Q90+R90,"-")</f>
        <v>-</v>
      </c>
      <c r="T90" s="409" t="str">
        <f t="shared" ref="T90" si="75">IF($AE90="Y",L90+D90,"-")</f>
        <v>-</v>
      </c>
      <c r="U90" s="404" t="str">
        <f t="shared" ref="U90" si="76">IF($AE90="Y",T90/X90,"-")</f>
        <v>-</v>
      </c>
      <c r="V90" s="405" t="str">
        <f t="shared" ref="V90" si="77">IF($AE90="Y",N90+F90,"-")</f>
        <v>-</v>
      </c>
      <c r="W90" s="406" t="str">
        <f t="shared" ref="W90" si="78">IF($AE90="Y",V90/X90,"-")</f>
        <v>-</v>
      </c>
      <c r="X90" s="474" t="str">
        <f t="shared" ref="X90" si="79">IF($AE90="Y",T90+V90,"-")</f>
        <v>-</v>
      </c>
      <c r="Y90" s="424" t="str">
        <f t="array" aca="1" ref="Y90" ca="1">IF($AE90="Y",SUM(IF((INDIRECT("'"&amp;$AB90&amp;"'!$J23:$J200")=$B$2)*(INDIRECT("'"&amp;$AB90&amp;"'!e23:E200")=$AE90),INDIRECT("'"&amp;$AB90&amp;"'!$K23:$K200")/X90,0)),"-")</f>
        <v>-</v>
      </c>
      <c r="Z90" s="424" t="str">
        <f t="array" aca="1" ref="Z90" ca="1">IF($AE90="Y",SUM(IF((INDIRECT("'"&amp;$AB90&amp;"'!$J23:$J200")=$B$2)*(INDIRECT("'"&amp;$AB90&amp;"'!e23:E200")=$AE90),INDIRECT("'"&amp;$AB90&amp;"'!$L23:$L200")/X90,0)),"-")</f>
        <v>-</v>
      </c>
      <c r="AA90" s="424" t="str">
        <f t="shared" ref="AA90" si="80">IF($AE90="Y",Y90+Z90,"-")</f>
        <v>-</v>
      </c>
      <c r="AB90" s="475" t="str">
        <f>IF($AE90="Y",VLOOKUP(C90,Table!B:C,2,FALSE),"")</f>
        <v/>
      </c>
      <c r="AC90" s="426" t="e">
        <f t="shared" ref="AC90" ca="1" si="81">A90</f>
        <v>#REF!</v>
      </c>
      <c r="AD90" s="477" t="s">
        <v>32</v>
      </c>
      <c r="AE90" s="230" t="s">
        <v>32</v>
      </c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1:59" ht="15" thickBot="1">
      <c r="A91" s="412"/>
      <c r="B91" s="430"/>
      <c r="C91" s="431" t="s">
        <v>97</v>
      </c>
      <c r="D91" s="432" t="e">
        <f ca="1">IF($B$2=0,"",SUM(D69:D90))</f>
        <v>#REF!</v>
      </c>
      <c r="E91" s="433" t="e">
        <f ca="1">IF($B$2=0,"",D91/H91)</f>
        <v>#REF!</v>
      </c>
      <c r="F91" s="434" t="e">
        <f ca="1">IF($B$2=0,"",SUM(F69:F90))</f>
        <v>#REF!</v>
      </c>
      <c r="G91" s="435" t="e">
        <f ca="1">IF($B$2=0,"",F91/H91)</f>
        <v>#REF!</v>
      </c>
      <c r="H91" s="434" t="e">
        <f ca="1">IF($B$2=0,"",SUM(H69:H90))</f>
        <v>#REF!</v>
      </c>
      <c r="I91" s="438" t="e">
        <f ca="1">IF($B$2=0,"",(SUMPRODUCT((I69:I90),($H69:$H90)))/($H91))</f>
        <v>#REF!</v>
      </c>
      <c r="J91" s="438" t="e">
        <f ca="1">IF($B$2=0,"",(SUMPRODUCT((J69:J90),($H69:$H90)))/($H91))</f>
        <v>#REF!</v>
      </c>
      <c r="K91" s="479" t="e">
        <f ca="1">IF(H91="","",J91+I91)</f>
        <v>#REF!</v>
      </c>
      <c r="L91" s="432" t="e">
        <f ca="1">IF($B$2=0,"",SUM(L69:L90))</f>
        <v>#REF!</v>
      </c>
      <c r="M91" s="433" t="e">
        <f ca="1">IF($B$2=0,"",L91/P91)</f>
        <v>#REF!</v>
      </c>
      <c r="N91" s="434" t="e">
        <f ca="1">IF($B$2=0,"",SUM(N69:N90))</f>
        <v>#REF!</v>
      </c>
      <c r="O91" s="435" t="e">
        <f ca="1">IF($B$2=0,"",N91/P91)</f>
        <v>#REF!</v>
      </c>
      <c r="P91" s="434" t="e">
        <f ca="1">IF($B$2=0,"",SUM(P69:P90))</f>
        <v>#REF!</v>
      </c>
      <c r="Q91" s="438" t="e">
        <f ca="1">IF($B$2=0,"",(SUMPRODUCT((Q69:Q90),($P69:$P90)))/($P91))</f>
        <v>#REF!</v>
      </c>
      <c r="R91" s="438" t="e">
        <f ca="1">IF($B$2=0,"",(SUMPRODUCT((R69:R90),($P69:$P90)))/($P91))</f>
        <v>#REF!</v>
      </c>
      <c r="S91" s="479" t="e">
        <f ca="1">IF(P91="","",R91+Q91)</f>
        <v>#REF!</v>
      </c>
      <c r="T91" s="481" t="e">
        <f ca="1">IF($B$2=0,"",SUM(T69:T90)/2)</f>
        <v>#REF!</v>
      </c>
      <c r="U91" s="433" t="e">
        <f ca="1">IF($B$2=0,"",T91/X91)</f>
        <v>#REF!</v>
      </c>
      <c r="V91" s="482" t="e">
        <f ca="1">IF($B$2=0,"",SUM(V69:V90)/2)</f>
        <v>#REF!</v>
      </c>
      <c r="W91" s="435" t="e">
        <f ca="1">IF($B$2=0,"",V91/X91)</f>
        <v>#REF!</v>
      </c>
      <c r="X91" s="440" t="e">
        <f ca="1">SUM(X69:X90)/2</f>
        <v>#REF!</v>
      </c>
      <c r="Y91" s="441" t="e">
        <f ca="1">IF($B$2=0,"",(SUMPRODUCT((Y69:Y90),($X69:$X90)))/($X91*2))</f>
        <v>#REF!</v>
      </c>
      <c r="Z91" s="441" t="e">
        <f ca="1">IF($B$2=0,"",(SUMPRODUCT((Z69:Z90),($X69:$X90)))/($X91*2))</f>
        <v>#REF!</v>
      </c>
      <c r="AA91" s="443" t="e">
        <f ca="1">IF($B$2=0,"",Z91+Y91)</f>
        <v>#REF!</v>
      </c>
      <c r="AB91" s="444" t="s">
        <v>97</v>
      </c>
      <c r="AC91" s="445"/>
      <c r="AD91" s="446" t="e">
        <v>#REF!</v>
      </c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1:59" thickTop="1">
      <c r="X92" s="230"/>
      <c r="Y92" s="230"/>
      <c r="Z92" s="230"/>
      <c r="AA92" s="230"/>
      <c r="AB92" s="230"/>
      <c r="AC92" s="454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1:59" ht="13.5">
      <c r="X93" s="230"/>
      <c r="Y93" s="230"/>
      <c r="Z93" s="230"/>
      <c r="AA93" s="230"/>
      <c r="AB93" s="230"/>
      <c r="AC93" s="454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1:59" ht="13.5">
      <c r="X94" s="230"/>
      <c r="Y94" s="230"/>
      <c r="Z94" s="230"/>
      <c r="AA94" s="230"/>
      <c r="AB94" s="230"/>
      <c r="AC94" s="454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1:59" ht="13.5">
      <c r="X95" s="230"/>
      <c r="Y95" s="230"/>
      <c r="Z95" s="230"/>
      <c r="AA95" s="230"/>
      <c r="AB95" s="230"/>
      <c r="AC95" s="454"/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1:59" ht="13.5">
      <c r="X96" s="230"/>
      <c r="Y96" s="230"/>
      <c r="Z96" s="230"/>
      <c r="AA96" s="230"/>
      <c r="AB96" s="230"/>
      <c r="AC96" s="454"/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4:59" ht="13.5">
      <c r="X97" s="230"/>
      <c r="Y97" s="230"/>
      <c r="Z97" s="230"/>
      <c r="AA97" s="230"/>
      <c r="AB97" s="230"/>
      <c r="AC97" s="454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4:59" ht="13.5">
      <c r="X98" s="230"/>
      <c r="Y98" s="230"/>
      <c r="Z98" s="230"/>
      <c r="AA98" s="230"/>
      <c r="AB98" s="230"/>
      <c r="AC98" s="454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4:59" ht="13.5">
      <c r="X99" s="230"/>
      <c r="Y99" s="230"/>
      <c r="Z99" s="230"/>
      <c r="AA99" s="230"/>
      <c r="AB99" s="230"/>
      <c r="AC99" s="454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4:59" ht="13.5">
      <c r="X100" s="230"/>
      <c r="Y100" s="230"/>
      <c r="Z100" s="230"/>
      <c r="AA100" s="230"/>
      <c r="AB100" s="230"/>
      <c r="AC100" s="454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</sheetData>
  <phoneticPr fontId="21" type="noConversion"/>
  <conditionalFormatting sqref="AC7:AC30 AC69:AC90 AC38:AC61">
    <cfRule type="cellIs" dxfId="219" priority="19" stopIfTrue="1" operator="lessThan">
      <formula>AC$62</formula>
    </cfRule>
  </conditionalFormatting>
  <conditionalFormatting sqref="I7:J30 Q7:R30 Y7:Z30 I69:J90 Q69:R90 Y69:Z90 Y38:Z61 Q38:R61 I38:J61">
    <cfRule type="cellIs" dxfId="218" priority="18" stopIfTrue="1" operator="lessThan">
      <formula>I$62</formula>
    </cfRule>
  </conditionalFormatting>
  <conditionalFormatting sqref="U7:U30 M7:M30 E7:E30 M69:M90 E69:E90 U69:U90 U38:U61 M38:M61 E38:E61">
    <cfRule type="cellIs" dxfId="217" priority="17" stopIfTrue="1" operator="greaterThan">
      <formula>E$31*1.2</formula>
    </cfRule>
  </conditionalFormatting>
  <conditionalFormatting sqref="G7:G30 O7:O30 W7:W30 O69:O90 W69:W90 G69:G90 G38:G61 O38:O61 W38:W61">
    <cfRule type="cellIs" dxfId="216" priority="15" stopIfTrue="1" operator="greaterThan">
      <formula>G$62*1.2</formula>
    </cfRule>
    <cfRule type="cellIs" dxfId="215" priority="16" stopIfTrue="1" operator="greaterThan">
      <formula>G$62</formula>
    </cfRule>
  </conditionalFormatting>
  <conditionalFormatting sqref="I31 I62 I91">
    <cfRule type="cellIs" dxfId="214" priority="14" stopIfTrue="1" operator="notEqual">
      <formula>R31</formula>
    </cfRule>
  </conditionalFormatting>
  <conditionalFormatting sqref="J31 J62 J91">
    <cfRule type="cellIs" dxfId="213" priority="13" stopIfTrue="1" operator="notEqual">
      <formula>Q31</formula>
    </cfRule>
  </conditionalFormatting>
  <conditionalFormatting sqref="Q31 Q62 Q91">
    <cfRule type="cellIs" dxfId="212" priority="12" stopIfTrue="1" operator="notEqual">
      <formula>J31</formula>
    </cfRule>
  </conditionalFormatting>
  <conditionalFormatting sqref="R31 R62 R91">
    <cfRule type="cellIs" dxfId="211" priority="11" stopIfTrue="1" operator="notEqual">
      <formula>I31</formula>
    </cfRule>
  </conditionalFormatting>
  <conditionalFormatting sqref="AA7:AA30 S7:S30 K7:K30 S69:S90 AA69:AA90 K69:K90 K38:K61 AA38:AA61 S38:S61">
    <cfRule type="cellIs" dxfId="210" priority="9" stopIfTrue="1" operator="lessThan">
      <formula>K$62*0.8</formula>
    </cfRule>
    <cfRule type="cellIs" dxfId="209" priority="10" stopIfTrue="1" operator="greaterThan">
      <formula>K$62*1.2</formula>
    </cfRule>
  </conditionalFormatting>
  <conditionalFormatting sqref="U31 W31 M31 O31 U62 W62 L62 N62 U91 W91 L91 N91">
    <cfRule type="cellIs" dxfId="208" priority="8" stopIfTrue="1" operator="notEqual">
      <formula>D31</formula>
    </cfRule>
  </conditionalFormatting>
  <conditionalFormatting sqref="E31 G31 E62 G62 M62 O62 E91 G91 M91 O91">
    <cfRule type="cellIs" dxfId="207" priority="7" stopIfTrue="1" operator="notEqual">
      <formula>M31</formula>
    </cfRule>
  </conditionalFormatting>
  <conditionalFormatting sqref="AD7:AD30 AD38:AD61">
    <cfRule type="cellIs" dxfId="206" priority="4" stopIfTrue="1" operator="greaterThan">
      <formula>AD$62*1.2</formula>
    </cfRule>
    <cfRule type="cellIs" dxfId="205" priority="5" stopIfTrue="1" operator="greaterThan">
      <formula>AD$62</formula>
    </cfRule>
    <cfRule type="cellIs" dxfId="204" priority="6" stopIfTrue="1" operator="lessThan">
      <formula>AD$62*0.8</formula>
    </cfRule>
  </conditionalFormatting>
  <conditionalFormatting sqref="AD69:AD90">
    <cfRule type="cellIs" dxfId="203" priority="1" stopIfTrue="1" operator="greaterThan">
      <formula>AD$91*1.2</formula>
    </cfRule>
    <cfRule type="cellIs" dxfId="202" priority="2" stopIfTrue="1" operator="greaterThan">
      <formula>AD$91</formula>
    </cfRule>
    <cfRule type="cellIs" dxfId="201" priority="3" stopIfTrue="1" operator="lessThan">
      <formula>AD$91*0.8</formula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G136"/>
  <sheetViews>
    <sheetView workbookViewId="0">
      <selection activeCell="D10" sqref="D10"/>
    </sheetView>
  </sheetViews>
  <sheetFormatPr defaultColWidth="9.125" defaultRowHeight="13.5"/>
  <cols>
    <col min="1" max="1" width="3.375" style="215" customWidth="1"/>
    <col min="2" max="2" width="3.875" style="215" customWidth="1"/>
    <col min="3" max="3" width="13.125" style="215" customWidth="1"/>
    <col min="4" max="4" width="10.125" style="215" customWidth="1"/>
    <col min="5" max="11" width="5.875" style="215" customWidth="1"/>
    <col min="12" max="12" width="7" style="215" customWidth="1"/>
    <col min="13" max="13" width="5.875" style="215" customWidth="1"/>
    <col min="14" max="14" width="7.125" style="278" customWidth="1"/>
    <col min="15" max="22" width="5.875" style="215" customWidth="1"/>
    <col min="23" max="23" width="8.75" style="215" customWidth="1"/>
    <col min="24" max="28" width="8.75" style="215" hidden="1" customWidth="1"/>
    <col min="29" max="29" width="8.75" style="215" customWidth="1"/>
    <col min="30" max="30" width="6.375" style="215" customWidth="1"/>
    <col min="31" max="32" width="6.125" style="215" customWidth="1"/>
    <col min="33" max="33" width="5.625" style="215" customWidth="1"/>
    <col min="34" max="16384" width="9.125" style="215"/>
  </cols>
  <sheetData>
    <row r="1" spans="1:32" ht="14.25">
      <c r="A1" s="253" t="str">
        <f>BlankError(TotalGoals(sheetname($C1),A$3,$C$2))</f>
        <v/>
      </c>
      <c r="C1" s="215" t="s">
        <v>174</v>
      </c>
      <c r="D1" s="254" t="s">
        <v>175</v>
      </c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6"/>
      <c r="AC1" s="257">
        <f>IF($AC$2="Lo",5,IF($AC$2="Hi",3,"??"))</f>
        <v>5</v>
      </c>
    </row>
    <row r="2" spans="1:32">
      <c r="B2" s="928" t="s">
        <v>176</v>
      </c>
      <c r="C2" s="258" t="str">
        <f>Table!C1</f>
        <v>J2L</v>
      </c>
      <c r="D2" s="259" t="e">
        <f ca="1">$B4</f>
        <v>#REF!</v>
      </c>
      <c r="E2" s="260" t="e">
        <f ca="1">$B5</f>
        <v>#REF!</v>
      </c>
      <c r="F2" s="260" t="e">
        <f ca="1">$B6</f>
        <v>#REF!</v>
      </c>
      <c r="G2" s="260" t="e">
        <f ca="1">$B7</f>
        <v>#REF!</v>
      </c>
      <c r="H2" s="260" t="e">
        <f ca="1">$B8</f>
        <v>#REF!</v>
      </c>
      <c r="I2" s="260" t="e">
        <f ca="1">$B9</f>
        <v>#REF!</v>
      </c>
      <c r="J2" s="260" t="e">
        <f ca="1">$B10</f>
        <v>#REF!</v>
      </c>
      <c r="K2" s="260" t="e">
        <f ca="1">$B11</f>
        <v>#REF!</v>
      </c>
      <c r="L2" s="260" t="e">
        <f ca="1">$B12</f>
        <v>#REF!</v>
      </c>
      <c r="M2" s="260" t="e">
        <f ca="1">$B13</f>
        <v>#REF!</v>
      </c>
      <c r="N2" s="260" t="e">
        <f ca="1">$B14</f>
        <v>#REF!</v>
      </c>
      <c r="O2" s="260" t="e">
        <f ca="1">$B15</f>
        <v>#REF!</v>
      </c>
      <c r="P2" s="260" t="e">
        <f ca="1">$B16</f>
        <v>#REF!</v>
      </c>
      <c r="Q2" s="260" t="e">
        <f ca="1">$B17</f>
        <v>#REF!</v>
      </c>
      <c r="R2" s="260" t="e">
        <f ca="1">$B18</f>
        <v>#REF!</v>
      </c>
      <c r="S2" s="260" t="e">
        <f ca="1">$B19</f>
        <v>#REF!</v>
      </c>
      <c r="T2" s="260" t="e">
        <f ca="1">$B20</f>
        <v>#REF!</v>
      </c>
      <c r="U2" s="260" t="e">
        <f ca="1">$B21</f>
        <v>#REF!</v>
      </c>
      <c r="V2" s="260" t="e">
        <f ca="1">$B22</f>
        <v>#REF!</v>
      </c>
      <c r="W2" s="260" t="e">
        <f ca="1">$B23</f>
        <v>#REF!</v>
      </c>
      <c r="X2" s="260" t="str">
        <f>$B24</f>
        <v/>
      </c>
      <c r="Y2" s="260" t="str">
        <f>$B25</f>
        <v/>
      </c>
      <c r="Z2" s="260" t="str">
        <f>$B26</f>
        <v/>
      </c>
      <c r="AA2" s="261" t="str">
        <f>$B27</f>
        <v/>
      </c>
      <c r="AB2" s="262"/>
      <c r="AC2" s="263" t="s">
        <v>177</v>
      </c>
    </row>
    <row r="3" spans="1:32" ht="85.5" customHeight="1">
      <c r="B3" s="929"/>
      <c r="C3" s="264" t="s">
        <v>60</v>
      </c>
      <c r="D3" s="265" t="e">
        <f ca="1">IF($C4="","",$C4)</f>
        <v>#REF!</v>
      </c>
      <c r="E3" s="266" t="e">
        <f ca="1">IF($C5="","",$C5)</f>
        <v>#REF!</v>
      </c>
      <c r="F3" s="266" t="e">
        <f ca="1">IF($C6="","",$C6)</f>
        <v>#REF!</v>
      </c>
      <c r="G3" s="266" t="e">
        <f ca="1">IF($C7="","",$C7)</f>
        <v>#REF!</v>
      </c>
      <c r="H3" s="266" t="e">
        <f ca="1">IF($C8="","",$C8)</f>
        <v>#REF!</v>
      </c>
      <c r="I3" s="266" t="e">
        <f ca="1">IF($C9="","",$C9)</f>
        <v>#REF!</v>
      </c>
      <c r="J3" s="266" t="e">
        <f ca="1">IF($C10="","",$C10)</f>
        <v>#REF!</v>
      </c>
      <c r="K3" s="266" t="e">
        <f ca="1">IF($C11="","",$C11)</f>
        <v>#REF!</v>
      </c>
      <c r="L3" s="266" t="e">
        <f ca="1">IF($C12="","",$C12)</f>
        <v>#REF!</v>
      </c>
      <c r="M3" s="266" t="e">
        <f ca="1">IF($C13="","",$C13)</f>
        <v>#REF!</v>
      </c>
      <c r="N3" s="266" t="e">
        <f ca="1">IF($C14="","",$C14)</f>
        <v>#REF!</v>
      </c>
      <c r="O3" s="266" t="e">
        <f ca="1">IF($C15="","",$C15)</f>
        <v>#REF!</v>
      </c>
      <c r="P3" s="266" t="e">
        <f ca="1">IF($C16="","",$C16)</f>
        <v>#REF!</v>
      </c>
      <c r="Q3" s="266" t="e">
        <f ca="1">IF($C17="","",$C17)</f>
        <v>#REF!</v>
      </c>
      <c r="R3" s="266" t="e">
        <f ca="1">IF($C18="","",$C18)</f>
        <v>#REF!</v>
      </c>
      <c r="S3" s="266" t="e">
        <f ca="1">IF($C19="","",$C19)</f>
        <v>#REF!</v>
      </c>
      <c r="T3" s="266" t="e">
        <f ca="1">IF($C20="","",$C20)</f>
        <v>#REF!</v>
      </c>
      <c r="U3" s="266" t="e">
        <f ca="1">IF($C21="","",$C21)</f>
        <v>#REF!</v>
      </c>
      <c r="V3" s="266" t="e">
        <f ca="1">IF($C22="","",$C22)</f>
        <v>#REF!</v>
      </c>
      <c r="W3" s="266" t="e">
        <f ca="1">IF($C23="","",$C23)</f>
        <v>#REF!</v>
      </c>
      <c r="X3" s="266" t="str">
        <f>IF($C24="","",$C24)</f>
        <v/>
      </c>
      <c r="Y3" s="266" t="str">
        <f>IF($C25="","",$C25)</f>
        <v/>
      </c>
      <c r="Z3" s="266" t="str">
        <f>IF($C26="","",$C26)</f>
        <v/>
      </c>
      <c r="AA3" s="267" t="str">
        <f>IF($C27="","",$C27)</f>
        <v/>
      </c>
      <c r="AB3" s="268"/>
      <c r="AC3" s="269" t="str">
        <f>"Home "&amp;AC2&amp;"  %"</f>
        <v>Home Lo  %</v>
      </c>
      <c r="AD3" s="270" t="s">
        <v>178</v>
      </c>
      <c r="AE3" s="270" t="s">
        <v>179</v>
      </c>
      <c r="AF3" s="271" t="s">
        <v>180</v>
      </c>
    </row>
    <row r="4" spans="1:32" ht="14.25">
      <c r="A4" s="933" t="s">
        <v>181</v>
      </c>
      <c r="B4" s="272" t="e">
        <f ca="1">IF(C4="","",HiLo!$A7)</f>
        <v>#REF!</v>
      </c>
      <c r="C4" s="273" t="e">
        <f ca="1">IF(HiLo!$C7="","",HiLo!$C7)</f>
        <v>#REF!</v>
      </c>
      <c r="D4" s="274" t="s">
        <v>32</v>
      </c>
      <c r="E4" s="259" t="s">
        <v>32</v>
      </c>
      <c r="F4" s="259" t="s">
        <v>32</v>
      </c>
      <c r="G4" s="259" t="s">
        <v>32</v>
      </c>
      <c r="H4" s="259" t="s">
        <v>32</v>
      </c>
      <c r="I4" s="259" t="s">
        <v>32</v>
      </c>
      <c r="J4" s="259" t="s">
        <v>32</v>
      </c>
      <c r="K4" s="259" t="s">
        <v>32</v>
      </c>
      <c r="L4" s="259" t="s">
        <v>32</v>
      </c>
      <c r="M4" s="259" t="s">
        <v>32</v>
      </c>
      <c r="N4" s="259" t="s">
        <v>32</v>
      </c>
      <c r="O4" s="259" t="s">
        <v>32</v>
      </c>
      <c r="P4" s="259" t="s">
        <v>32</v>
      </c>
      <c r="Q4" s="259" t="s">
        <v>32</v>
      </c>
      <c r="R4" s="259" t="s">
        <v>32</v>
      </c>
      <c r="S4" s="259" t="s">
        <v>32</v>
      </c>
      <c r="T4" s="259" t="s">
        <v>32</v>
      </c>
      <c r="U4" s="259" t="s">
        <v>32</v>
      </c>
      <c r="V4" s="259" t="s">
        <v>32</v>
      </c>
      <c r="W4" s="259" t="s">
        <v>32</v>
      </c>
      <c r="X4" s="259" t="s">
        <v>32</v>
      </c>
      <c r="Y4" s="259" t="s">
        <v>32</v>
      </c>
      <c r="Z4" s="275" t="s">
        <v>32</v>
      </c>
      <c r="AA4" s="276" t="s">
        <v>32</v>
      </c>
      <c r="AC4" s="277" t="str">
        <f ca="1">BlankError(VLOOKUP($C4,HiLo!$C$7:$AA$29,$AC$1,FALSE))</f>
        <v/>
      </c>
      <c r="AD4" s="278" t="str">
        <f ca="1">BlankError(VLOOKUP($C4,HiLo!$C$7:$AA$29,7,FALSE))</f>
        <v/>
      </c>
      <c r="AE4" s="278" t="str">
        <f ca="1">BlankError(VLOOKUP($C4,HiLo!$C$7:$AA$29,8,FALSE))</f>
        <v/>
      </c>
      <c r="AF4" s="279" t="str">
        <f ca="1">BlankError(VLOOKUP($C4,HiLo!$C$7:$AA$29,9,FALSE))</f>
        <v/>
      </c>
    </row>
    <row r="5" spans="1:32" ht="14.25">
      <c r="A5" s="934"/>
      <c r="B5" s="272" t="e">
        <f ca="1">IF(C5="","",HiLo!$A8)</f>
        <v>#REF!</v>
      </c>
      <c r="C5" s="273" t="e">
        <f ca="1">IF(HiLo!$C8="","",HiLo!$C8)</f>
        <v>#REF!</v>
      </c>
      <c r="D5" s="268" t="s">
        <v>32</v>
      </c>
      <c r="E5" s="280" t="s">
        <v>32</v>
      </c>
      <c r="F5" s="262" t="s">
        <v>32</v>
      </c>
      <c r="G5" s="262" t="s">
        <v>32</v>
      </c>
      <c r="H5" s="262" t="s">
        <v>32</v>
      </c>
      <c r="I5" s="262" t="s">
        <v>32</v>
      </c>
      <c r="J5" s="262" t="s">
        <v>32</v>
      </c>
      <c r="K5" s="262" t="s">
        <v>32</v>
      </c>
      <c r="L5" s="262" t="s">
        <v>32</v>
      </c>
      <c r="M5" s="262" t="s">
        <v>32</v>
      </c>
      <c r="N5" s="262" t="s">
        <v>32</v>
      </c>
      <c r="O5" s="262" t="s">
        <v>32</v>
      </c>
      <c r="P5" s="262" t="s">
        <v>32</v>
      </c>
      <c r="Q5" s="262" t="s">
        <v>32</v>
      </c>
      <c r="R5" s="262" t="s">
        <v>32</v>
      </c>
      <c r="S5" s="262" t="s">
        <v>32</v>
      </c>
      <c r="T5" s="262" t="s">
        <v>32</v>
      </c>
      <c r="U5" s="262" t="s">
        <v>32</v>
      </c>
      <c r="V5" s="262" t="s">
        <v>32</v>
      </c>
      <c r="W5" s="262" t="s">
        <v>32</v>
      </c>
      <c r="X5" s="262" t="s">
        <v>32</v>
      </c>
      <c r="Y5" s="262" t="s">
        <v>32</v>
      </c>
      <c r="Z5" s="278" t="s">
        <v>32</v>
      </c>
      <c r="AA5" s="279" t="s">
        <v>32</v>
      </c>
      <c r="AC5" s="277" t="str">
        <f ca="1">BlankError(VLOOKUP($C5,HiLo!$C$7:$AA$29,$AC$1,FALSE))</f>
        <v/>
      </c>
      <c r="AD5" s="278" t="str">
        <f ca="1">BlankError(VLOOKUP($C5,HiLo!$C$7:$AA$29,7,FALSE))</f>
        <v/>
      </c>
      <c r="AE5" s="278" t="str">
        <f ca="1">BlankError(VLOOKUP($C5,HiLo!$C$7:$AA$29,8,FALSE))</f>
        <v/>
      </c>
      <c r="AF5" s="279" t="str">
        <f ca="1">BlankError(VLOOKUP($C5,HiLo!$C$7:$AA$29,9,FALSE))</f>
        <v/>
      </c>
    </row>
    <row r="6" spans="1:32" ht="14.25">
      <c r="A6" s="934"/>
      <c r="B6" s="272" t="e">
        <f ca="1">IF(C6="","",HiLo!$A9)</f>
        <v>#REF!</v>
      </c>
      <c r="C6" s="273" t="e">
        <f ca="1">IF(HiLo!$C9="","",HiLo!$C9)</f>
        <v>#REF!</v>
      </c>
      <c r="D6" s="268" t="s">
        <v>32</v>
      </c>
      <c r="E6" s="262" t="s">
        <v>32</v>
      </c>
      <c r="F6" s="280" t="s">
        <v>32</v>
      </c>
      <c r="G6" s="262" t="s">
        <v>32</v>
      </c>
      <c r="H6" s="262" t="s">
        <v>32</v>
      </c>
      <c r="I6" s="262" t="s">
        <v>32</v>
      </c>
      <c r="J6" s="262" t="s">
        <v>32</v>
      </c>
      <c r="K6" s="262" t="s">
        <v>32</v>
      </c>
      <c r="L6" s="262" t="s">
        <v>32</v>
      </c>
      <c r="M6" s="262" t="s">
        <v>32</v>
      </c>
      <c r="N6" s="262" t="s">
        <v>32</v>
      </c>
      <c r="O6" s="262" t="s">
        <v>32</v>
      </c>
      <c r="P6" s="262" t="s">
        <v>32</v>
      </c>
      <c r="Q6" s="262" t="s">
        <v>32</v>
      </c>
      <c r="R6" s="262" t="s">
        <v>32</v>
      </c>
      <c r="S6" s="262" t="s">
        <v>32</v>
      </c>
      <c r="T6" s="262" t="s">
        <v>32</v>
      </c>
      <c r="U6" s="262" t="s">
        <v>32</v>
      </c>
      <c r="V6" s="262" t="s">
        <v>32</v>
      </c>
      <c r="W6" s="262" t="s">
        <v>32</v>
      </c>
      <c r="X6" s="262" t="s">
        <v>32</v>
      </c>
      <c r="Y6" s="262" t="s">
        <v>32</v>
      </c>
      <c r="Z6" s="278" t="s">
        <v>32</v>
      </c>
      <c r="AA6" s="279" t="s">
        <v>32</v>
      </c>
      <c r="AC6" s="277" t="str">
        <f ca="1">BlankError(VLOOKUP($C6,HiLo!$C$7:$AA$29,$AC$1,FALSE))</f>
        <v/>
      </c>
      <c r="AD6" s="278" t="str">
        <f ca="1">BlankError(VLOOKUP($C6,HiLo!$C$7:$AA$29,7,FALSE))</f>
        <v/>
      </c>
      <c r="AE6" s="278" t="str">
        <f ca="1">BlankError(VLOOKUP($C6,HiLo!$C$7:$AA$29,8,FALSE))</f>
        <v/>
      </c>
      <c r="AF6" s="279" t="str">
        <f ca="1">BlankError(VLOOKUP($C6,HiLo!$C$7:$AA$29,9,FALSE))</f>
        <v/>
      </c>
    </row>
    <row r="7" spans="1:32" ht="14.25">
      <c r="A7" s="934"/>
      <c r="B7" s="272" t="e">
        <f ca="1">IF(C7="","",HiLo!$A10)</f>
        <v>#REF!</v>
      </c>
      <c r="C7" s="273" t="e">
        <f ca="1">IF(HiLo!$C10="","",HiLo!$C10)</f>
        <v>#REF!</v>
      </c>
      <c r="D7" s="268" t="s">
        <v>32</v>
      </c>
      <c r="E7" s="262" t="s">
        <v>32</v>
      </c>
      <c r="F7" s="262" t="s">
        <v>32</v>
      </c>
      <c r="G7" s="280" t="s">
        <v>32</v>
      </c>
      <c r="H7" s="262" t="s">
        <v>32</v>
      </c>
      <c r="I7" s="262" t="s">
        <v>32</v>
      </c>
      <c r="J7" s="262" t="s">
        <v>32</v>
      </c>
      <c r="K7" s="262" t="s">
        <v>32</v>
      </c>
      <c r="L7" s="262" t="s">
        <v>32</v>
      </c>
      <c r="M7" s="262" t="s">
        <v>32</v>
      </c>
      <c r="N7" s="262" t="s">
        <v>32</v>
      </c>
      <c r="O7" s="262" t="s">
        <v>32</v>
      </c>
      <c r="P7" s="262" t="s">
        <v>32</v>
      </c>
      <c r="Q7" s="262" t="s">
        <v>32</v>
      </c>
      <c r="R7" s="262" t="s">
        <v>32</v>
      </c>
      <c r="S7" s="262" t="s">
        <v>32</v>
      </c>
      <c r="T7" s="262" t="s">
        <v>32</v>
      </c>
      <c r="U7" s="262" t="s">
        <v>32</v>
      </c>
      <c r="V7" s="262" t="s">
        <v>32</v>
      </c>
      <c r="W7" s="262" t="s">
        <v>32</v>
      </c>
      <c r="X7" s="262" t="s">
        <v>32</v>
      </c>
      <c r="Y7" s="262" t="s">
        <v>32</v>
      </c>
      <c r="Z7" s="278" t="s">
        <v>32</v>
      </c>
      <c r="AA7" s="279" t="s">
        <v>32</v>
      </c>
      <c r="AC7" s="277" t="str">
        <f ca="1">BlankError(VLOOKUP($C7,HiLo!$C$7:$AA$29,$AC$1,FALSE))</f>
        <v/>
      </c>
      <c r="AD7" s="278" t="str">
        <f ca="1">BlankError(VLOOKUP($C7,HiLo!$C$7:$AA$29,7,FALSE))</f>
        <v/>
      </c>
      <c r="AE7" s="278" t="str">
        <f ca="1">BlankError(VLOOKUP($C7,HiLo!$C$7:$AA$29,8,FALSE))</f>
        <v/>
      </c>
      <c r="AF7" s="279" t="str">
        <f ca="1">BlankError(VLOOKUP($C7,HiLo!$C$7:$AA$29,9,FALSE))</f>
        <v/>
      </c>
    </row>
    <row r="8" spans="1:32" ht="14.25">
      <c r="A8" s="934"/>
      <c r="B8" s="272" t="e">
        <f ca="1">IF(C8="","",HiLo!$A11)</f>
        <v>#REF!</v>
      </c>
      <c r="C8" s="273" t="e">
        <f ca="1">IF(HiLo!$C11="","",HiLo!$C11)</f>
        <v>#REF!</v>
      </c>
      <c r="D8" s="268" t="s">
        <v>32</v>
      </c>
      <c r="E8" s="262" t="s">
        <v>32</v>
      </c>
      <c r="F8" s="262" t="s">
        <v>32</v>
      </c>
      <c r="G8" s="262" t="s">
        <v>32</v>
      </c>
      <c r="H8" s="280" t="s">
        <v>32</v>
      </c>
      <c r="I8" s="262" t="s">
        <v>32</v>
      </c>
      <c r="J8" s="262" t="s">
        <v>32</v>
      </c>
      <c r="K8" s="262" t="s">
        <v>32</v>
      </c>
      <c r="L8" s="262" t="s">
        <v>32</v>
      </c>
      <c r="M8" s="262" t="s">
        <v>32</v>
      </c>
      <c r="N8" s="262" t="s">
        <v>32</v>
      </c>
      <c r="O8" s="262" t="s">
        <v>32</v>
      </c>
      <c r="P8" s="262" t="s">
        <v>32</v>
      </c>
      <c r="Q8" s="262" t="s">
        <v>32</v>
      </c>
      <c r="R8" s="262" t="s">
        <v>32</v>
      </c>
      <c r="S8" s="262" t="s">
        <v>32</v>
      </c>
      <c r="T8" s="262" t="s">
        <v>32</v>
      </c>
      <c r="U8" s="262" t="s">
        <v>32</v>
      </c>
      <c r="V8" s="262" t="s">
        <v>32</v>
      </c>
      <c r="W8" s="262" t="s">
        <v>32</v>
      </c>
      <c r="X8" s="262" t="s">
        <v>32</v>
      </c>
      <c r="Y8" s="262" t="s">
        <v>32</v>
      </c>
      <c r="Z8" s="278" t="s">
        <v>32</v>
      </c>
      <c r="AA8" s="279" t="s">
        <v>32</v>
      </c>
      <c r="AC8" s="277" t="str">
        <f ca="1">BlankError(VLOOKUP($C8,HiLo!$C$7:$AA$29,$AC$1,FALSE))</f>
        <v/>
      </c>
      <c r="AD8" s="278" t="str">
        <f ca="1">BlankError(VLOOKUP($C8,HiLo!$C$7:$AA$29,7,FALSE))</f>
        <v/>
      </c>
      <c r="AE8" s="278" t="str">
        <f ca="1">BlankError(VLOOKUP($C8,HiLo!$C$7:$AA$29,8,FALSE))</f>
        <v/>
      </c>
      <c r="AF8" s="279" t="str">
        <f ca="1">BlankError(VLOOKUP($C8,HiLo!$C$7:$AA$29,9,FALSE))</f>
        <v/>
      </c>
    </row>
    <row r="9" spans="1:32" ht="14.25">
      <c r="A9" s="934"/>
      <c r="B9" s="272" t="e">
        <f ca="1">IF(C9="","",HiLo!$A12)</f>
        <v>#REF!</v>
      </c>
      <c r="C9" s="273" t="e">
        <f ca="1">IF(HiLo!$C12="","",HiLo!$C12)</f>
        <v>#REF!</v>
      </c>
      <c r="D9" s="268" t="s">
        <v>32</v>
      </c>
      <c r="E9" s="262" t="s">
        <v>32</v>
      </c>
      <c r="F9" s="262" t="s">
        <v>32</v>
      </c>
      <c r="G9" s="262" t="s">
        <v>32</v>
      </c>
      <c r="H9" s="262" t="s">
        <v>32</v>
      </c>
      <c r="I9" s="280" t="s">
        <v>32</v>
      </c>
      <c r="J9" s="262" t="s">
        <v>32</v>
      </c>
      <c r="K9" s="262" t="s">
        <v>32</v>
      </c>
      <c r="L9" s="262" t="s">
        <v>32</v>
      </c>
      <c r="M9" s="262" t="s">
        <v>32</v>
      </c>
      <c r="N9" s="262" t="s">
        <v>32</v>
      </c>
      <c r="O9" s="262" t="s">
        <v>32</v>
      </c>
      <c r="P9" s="262" t="s">
        <v>32</v>
      </c>
      <c r="Q9" s="262" t="s">
        <v>32</v>
      </c>
      <c r="R9" s="262" t="s">
        <v>32</v>
      </c>
      <c r="S9" s="262" t="s">
        <v>32</v>
      </c>
      <c r="T9" s="262" t="s">
        <v>32</v>
      </c>
      <c r="U9" s="262" t="s">
        <v>32</v>
      </c>
      <c r="V9" s="262" t="s">
        <v>32</v>
      </c>
      <c r="W9" s="262" t="s">
        <v>32</v>
      </c>
      <c r="X9" s="262" t="s">
        <v>32</v>
      </c>
      <c r="Y9" s="262" t="s">
        <v>32</v>
      </c>
      <c r="Z9" s="278" t="s">
        <v>32</v>
      </c>
      <c r="AA9" s="279" t="s">
        <v>32</v>
      </c>
      <c r="AC9" s="277" t="str">
        <f ca="1">BlankError(VLOOKUP($C9,HiLo!$C$7:$AA$29,$AC$1,FALSE))</f>
        <v/>
      </c>
      <c r="AD9" s="278" t="str">
        <f ca="1">BlankError(VLOOKUP($C9,HiLo!$C$7:$AA$29,7,FALSE))</f>
        <v/>
      </c>
      <c r="AE9" s="278" t="str">
        <f ca="1">BlankError(VLOOKUP($C9,HiLo!$C$7:$AA$29,8,FALSE))</f>
        <v/>
      </c>
      <c r="AF9" s="279" t="str">
        <f ca="1">BlankError(VLOOKUP($C9,HiLo!$C$7:$AA$29,9,FALSE))</f>
        <v/>
      </c>
    </row>
    <row r="10" spans="1:32" ht="14.25">
      <c r="A10" s="934"/>
      <c r="B10" s="272" t="e">
        <f ca="1">IF(C10="","",HiLo!$A13)</f>
        <v>#REF!</v>
      </c>
      <c r="C10" s="273" t="e">
        <f ca="1">IF(HiLo!$C13="","",HiLo!$C13)</f>
        <v>#REF!</v>
      </c>
      <c r="D10" s="268" t="s">
        <v>32</v>
      </c>
      <c r="E10" s="262" t="s">
        <v>32</v>
      </c>
      <c r="F10" s="262" t="s">
        <v>32</v>
      </c>
      <c r="G10" s="262" t="s">
        <v>32</v>
      </c>
      <c r="H10" s="262" t="s">
        <v>32</v>
      </c>
      <c r="I10" s="262" t="s">
        <v>32</v>
      </c>
      <c r="J10" s="280" t="s">
        <v>32</v>
      </c>
      <c r="K10" s="262" t="s">
        <v>32</v>
      </c>
      <c r="L10" s="262" t="s">
        <v>32</v>
      </c>
      <c r="M10" s="262" t="s">
        <v>32</v>
      </c>
      <c r="N10" s="262" t="s">
        <v>32</v>
      </c>
      <c r="O10" s="262" t="s">
        <v>32</v>
      </c>
      <c r="P10" s="262" t="s">
        <v>32</v>
      </c>
      <c r="Q10" s="262" t="s">
        <v>32</v>
      </c>
      <c r="R10" s="262" t="s">
        <v>32</v>
      </c>
      <c r="S10" s="262" t="s">
        <v>32</v>
      </c>
      <c r="T10" s="262" t="s">
        <v>32</v>
      </c>
      <c r="U10" s="262" t="s">
        <v>32</v>
      </c>
      <c r="V10" s="262" t="s">
        <v>32</v>
      </c>
      <c r="W10" s="262" t="s">
        <v>32</v>
      </c>
      <c r="X10" s="262" t="s">
        <v>32</v>
      </c>
      <c r="Y10" s="262" t="s">
        <v>32</v>
      </c>
      <c r="Z10" s="278" t="s">
        <v>32</v>
      </c>
      <c r="AA10" s="279" t="s">
        <v>32</v>
      </c>
      <c r="AC10" s="277" t="str">
        <f ca="1">BlankError(VLOOKUP($C10,HiLo!$C$7:$AA$29,$AC$1,FALSE))</f>
        <v/>
      </c>
      <c r="AD10" s="278" t="str">
        <f ca="1">BlankError(VLOOKUP($C10,HiLo!$C$7:$AA$29,7,FALSE))</f>
        <v/>
      </c>
      <c r="AE10" s="278" t="str">
        <f ca="1">BlankError(VLOOKUP($C10,HiLo!$C$7:$AA$29,8,FALSE))</f>
        <v/>
      </c>
      <c r="AF10" s="279" t="str">
        <f ca="1">BlankError(VLOOKUP($C10,HiLo!$C$7:$AA$29,9,FALSE))</f>
        <v/>
      </c>
    </row>
    <row r="11" spans="1:32" ht="14.25">
      <c r="A11" s="934"/>
      <c r="B11" s="272" t="e">
        <f ca="1">IF(C11="","",HiLo!$A14)</f>
        <v>#REF!</v>
      </c>
      <c r="C11" s="273" t="e">
        <f ca="1">IF(HiLo!$C14="","",HiLo!$C14)</f>
        <v>#REF!</v>
      </c>
      <c r="D11" s="268" t="s">
        <v>32</v>
      </c>
      <c r="E11" s="262" t="s">
        <v>32</v>
      </c>
      <c r="F11" s="262" t="s">
        <v>32</v>
      </c>
      <c r="G11" s="262" t="s">
        <v>32</v>
      </c>
      <c r="H11" s="262" t="s">
        <v>32</v>
      </c>
      <c r="I11" s="262" t="s">
        <v>32</v>
      </c>
      <c r="J11" s="262" t="s">
        <v>32</v>
      </c>
      <c r="K11" s="280" t="s">
        <v>32</v>
      </c>
      <c r="L11" s="262" t="s">
        <v>32</v>
      </c>
      <c r="M11" s="262" t="s">
        <v>32</v>
      </c>
      <c r="N11" s="262" t="s">
        <v>32</v>
      </c>
      <c r="O11" s="262" t="s">
        <v>32</v>
      </c>
      <c r="P11" s="262" t="s">
        <v>32</v>
      </c>
      <c r="Q11" s="262" t="s">
        <v>32</v>
      </c>
      <c r="R11" s="262" t="s">
        <v>32</v>
      </c>
      <c r="S11" s="262" t="s">
        <v>32</v>
      </c>
      <c r="T11" s="262" t="s">
        <v>32</v>
      </c>
      <c r="U11" s="262" t="s">
        <v>32</v>
      </c>
      <c r="V11" s="262" t="s">
        <v>32</v>
      </c>
      <c r="W11" s="262" t="s">
        <v>32</v>
      </c>
      <c r="X11" s="262" t="s">
        <v>32</v>
      </c>
      <c r="Y11" s="262" t="s">
        <v>32</v>
      </c>
      <c r="Z11" s="278" t="s">
        <v>32</v>
      </c>
      <c r="AA11" s="279" t="s">
        <v>32</v>
      </c>
      <c r="AC11" s="277" t="str">
        <f ca="1">BlankError(VLOOKUP($C11,HiLo!$C$7:$AA$29,$AC$1,FALSE))</f>
        <v/>
      </c>
      <c r="AD11" s="278" t="str">
        <f ca="1">BlankError(VLOOKUP($C11,HiLo!$C$7:$AA$29,7,FALSE))</f>
        <v/>
      </c>
      <c r="AE11" s="278" t="str">
        <f ca="1">BlankError(VLOOKUP($C11,HiLo!$C$7:$AA$29,8,FALSE))</f>
        <v/>
      </c>
      <c r="AF11" s="279" t="str">
        <f ca="1">BlankError(VLOOKUP($C11,HiLo!$C$7:$AA$29,9,FALSE))</f>
        <v/>
      </c>
    </row>
    <row r="12" spans="1:32" ht="14.25">
      <c r="A12" s="934"/>
      <c r="B12" s="272" t="e">
        <f ca="1">IF(C12="","",HiLo!$A15)</f>
        <v>#REF!</v>
      </c>
      <c r="C12" s="273" t="e">
        <f ca="1">IF(HiLo!$C15="","",HiLo!$C15)</f>
        <v>#REF!</v>
      </c>
      <c r="D12" s="268" t="s">
        <v>32</v>
      </c>
      <c r="E12" s="262" t="s">
        <v>32</v>
      </c>
      <c r="F12" s="262" t="s">
        <v>32</v>
      </c>
      <c r="G12" s="262" t="s">
        <v>32</v>
      </c>
      <c r="H12" s="262" t="s">
        <v>32</v>
      </c>
      <c r="I12" s="262" t="s">
        <v>32</v>
      </c>
      <c r="J12" s="262" t="s">
        <v>32</v>
      </c>
      <c r="K12" s="262" t="s">
        <v>32</v>
      </c>
      <c r="L12" s="280" t="s">
        <v>32</v>
      </c>
      <c r="M12" s="262" t="s">
        <v>32</v>
      </c>
      <c r="N12" s="262" t="s">
        <v>32</v>
      </c>
      <c r="O12" s="262" t="s">
        <v>32</v>
      </c>
      <c r="P12" s="262" t="s">
        <v>32</v>
      </c>
      <c r="Q12" s="262" t="s">
        <v>32</v>
      </c>
      <c r="R12" s="262" t="s">
        <v>32</v>
      </c>
      <c r="S12" s="262" t="s">
        <v>32</v>
      </c>
      <c r="T12" s="262" t="s">
        <v>32</v>
      </c>
      <c r="U12" s="262" t="s">
        <v>32</v>
      </c>
      <c r="V12" s="262" t="s">
        <v>32</v>
      </c>
      <c r="W12" s="262" t="s">
        <v>32</v>
      </c>
      <c r="X12" s="262" t="s">
        <v>32</v>
      </c>
      <c r="Y12" s="262" t="s">
        <v>32</v>
      </c>
      <c r="Z12" s="278" t="s">
        <v>32</v>
      </c>
      <c r="AA12" s="279" t="s">
        <v>32</v>
      </c>
      <c r="AC12" s="277" t="str">
        <f ca="1">BlankError(VLOOKUP($C12,HiLo!$C$7:$AA$29,$AC$1,FALSE))</f>
        <v/>
      </c>
      <c r="AD12" s="278" t="str">
        <f ca="1">BlankError(VLOOKUP($C12,HiLo!$C$7:$AA$29,7,FALSE))</f>
        <v/>
      </c>
      <c r="AE12" s="278" t="str">
        <f ca="1">BlankError(VLOOKUP($C12,HiLo!$C$7:$AA$29,8,FALSE))</f>
        <v/>
      </c>
      <c r="AF12" s="279" t="str">
        <f ca="1">BlankError(VLOOKUP($C12,HiLo!$C$7:$AA$29,9,FALSE))</f>
        <v/>
      </c>
    </row>
    <row r="13" spans="1:32" ht="14.25">
      <c r="A13" s="934"/>
      <c r="B13" s="272" t="e">
        <f ca="1">IF(C13="","",HiLo!$A16)</f>
        <v>#REF!</v>
      </c>
      <c r="C13" s="273" t="e">
        <f ca="1">IF(HiLo!$C16="","",HiLo!$C16)</f>
        <v>#REF!</v>
      </c>
      <c r="D13" s="268" t="s">
        <v>32</v>
      </c>
      <c r="E13" s="262" t="s">
        <v>32</v>
      </c>
      <c r="F13" s="262" t="s">
        <v>32</v>
      </c>
      <c r="G13" s="262" t="s">
        <v>32</v>
      </c>
      <c r="H13" s="262" t="s">
        <v>32</v>
      </c>
      <c r="I13" s="262" t="s">
        <v>32</v>
      </c>
      <c r="J13" s="262" t="s">
        <v>32</v>
      </c>
      <c r="K13" s="262" t="s">
        <v>32</v>
      </c>
      <c r="L13" s="262" t="s">
        <v>32</v>
      </c>
      <c r="M13" s="280" t="s">
        <v>32</v>
      </c>
      <c r="N13" s="262" t="s">
        <v>32</v>
      </c>
      <c r="O13" s="262" t="s">
        <v>32</v>
      </c>
      <c r="P13" s="262" t="s">
        <v>32</v>
      </c>
      <c r="Q13" s="262" t="s">
        <v>32</v>
      </c>
      <c r="R13" s="262" t="s">
        <v>32</v>
      </c>
      <c r="S13" s="262" t="s">
        <v>32</v>
      </c>
      <c r="T13" s="262" t="s">
        <v>32</v>
      </c>
      <c r="U13" s="262" t="s">
        <v>32</v>
      </c>
      <c r="V13" s="262" t="s">
        <v>32</v>
      </c>
      <c r="W13" s="262" t="s">
        <v>32</v>
      </c>
      <c r="X13" s="262" t="s">
        <v>32</v>
      </c>
      <c r="Y13" s="262" t="s">
        <v>32</v>
      </c>
      <c r="Z13" s="278" t="s">
        <v>32</v>
      </c>
      <c r="AA13" s="279" t="s">
        <v>32</v>
      </c>
      <c r="AC13" s="277" t="str">
        <f ca="1">BlankError(VLOOKUP($C13,HiLo!$C$7:$AA$29,$AC$1,FALSE))</f>
        <v/>
      </c>
      <c r="AD13" s="278" t="str">
        <f ca="1">BlankError(VLOOKUP($C13,HiLo!$C$7:$AA$29,7,FALSE))</f>
        <v/>
      </c>
      <c r="AE13" s="278" t="str">
        <f ca="1">BlankError(VLOOKUP($C13,HiLo!$C$7:$AA$29,8,FALSE))</f>
        <v/>
      </c>
      <c r="AF13" s="279" t="str">
        <f ca="1">BlankError(VLOOKUP($C13,HiLo!$C$7:$AA$29,9,FALSE))</f>
        <v/>
      </c>
    </row>
    <row r="14" spans="1:32" ht="14.25">
      <c r="A14" s="934"/>
      <c r="B14" s="272" t="e">
        <f ca="1">IF(C14="","",HiLo!$A17)</f>
        <v>#REF!</v>
      </c>
      <c r="C14" s="273" t="e">
        <f ca="1">IF(HiLo!$C17="","",HiLo!$C17)</f>
        <v>#REF!</v>
      </c>
      <c r="D14" s="268" t="s">
        <v>32</v>
      </c>
      <c r="E14" s="262" t="s">
        <v>32</v>
      </c>
      <c r="F14" s="262" t="s">
        <v>32</v>
      </c>
      <c r="G14" s="262" t="s">
        <v>32</v>
      </c>
      <c r="H14" s="262" t="s">
        <v>32</v>
      </c>
      <c r="I14" s="262" t="s">
        <v>32</v>
      </c>
      <c r="J14" s="262" t="s">
        <v>32</v>
      </c>
      <c r="K14" s="262" t="s">
        <v>32</v>
      </c>
      <c r="L14" s="262" t="s">
        <v>32</v>
      </c>
      <c r="M14" s="262" t="s">
        <v>32</v>
      </c>
      <c r="N14" s="280" t="s">
        <v>32</v>
      </c>
      <c r="O14" s="262" t="s">
        <v>32</v>
      </c>
      <c r="P14" s="262" t="s">
        <v>32</v>
      </c>
      <c r="Q14" s="262" t="s">
        <v>32</v>
      </c>
      <c r="R14" s="262" t="s">
        <v>32</v>
      </c>
      <c r="S14" s="262" t="s">
        <v>32</v>
      </c>
      <c r="T14" s="262" t="s">
        <v>32</v>
      </c>
      <c r="U14" s="262" t="s">
        <v>32</v>
      </c>
      <c r="V14" s="262" t="s">
        <v>32</v>
      </c>
      <c r="W14" s="262" t="s">
        <v>32</v>
      </c>
      <c r="X14" s="262" t="s">
        <v>32</v>
      </c>
      <c r="Y14" s="262" t="s">
        <v>32</v>
      </c>
      <c r="Z14" s="278" t="s">
        <v>32</v>
      </c>
      <c r="AA14" s="279" t="s">
        <v>32</v>
      </c>
      <c r="AC14" s="277" t="str">
        <f ca="1">BlankError(VLOOKUP($C14,HiLo!$C$7:$AA$29,$AC$1,FALSE))</f>
        <v/>
      </c>
      <c r="AD14" s="278" t="str">
        <f ca="1">BlankError(VLOOKUP($C14,HiLo!$C$7:$AA$29,7,FALSE))</f>
        <v/>
      </c>
      <c r="AE14" s="278" t="str">
        <f ca="1">BlankError(VLOOKUP($C14,HiLo!$C$7:$AA$29,8,FALSE))</f>
        <v/>
      </c>
      <c r="AF14" s="279" t="str">
        <f ca="1">BlankError(VLOOKUP($C14,HiLo!$C$7:$AA$29,9,FALSE))</f>
        <v/>
      </c>
    </row>
    <row r="15" spans="1:32" ht="14.25">
      <c r="A15" s="934"/>
      <c r="B15" s="272" t="e">
        <f ca="1">IF(C15="","",HiLo!$A18)</f>
        <v>#REF!</v>
      </c>
      <c r="C15" s="273" t="e">
        <f ca="1">IF(HiLo!$C18="","",HiLo!$C18)</f>
        <v>#REF!</v>
      </c>
      <c r="D15" s="268" t="s">
        <v>32</v>
      </c>
      <c r="E15" s="262" t="s">
        <v>32</v>
      </c>
      <c r="F15" s="262" t="s">
        <v>32</v>
      </c>
      <c r="G15" s="262" t="s">
        <v>32</v>
      </c>
      <c r="H15" s="262" t="s">
        <v>32</v>
      </c>
      <c r="I15" s="262" t="s">
        <v>32</v>
      </c>
      <c r="J15" s="262" t="s">
        <v>32</v>
      </c>
      <c r="K15" s="262" t="s">
        <v>32</v>
      </c>
      <c r="L15" s="262" t="s">
        <v>32</v>
      </c>
      <c r="M15" s="262" t="s">
        <v>32</v>
      </c>
      <c r="N15" s="262" t="s">
        <v>32</v>
      </c>
      <c r="O15" s="280" t="s">
        <v>32</v>
      </c>
      <c r="P15" s="262" t="s">
        <v>32</v>
      </c>
      <c r="Q15" s="262" t="s">
        <v>32</v>
      </c>
      <c r="R15" s="262" t="s">
        <v>32</v>
      </c>
      <c r="S15" s="262" t="s">
        <v>32</v>
      </c>
      <c r="T15" s="262" t="s">
        <v>32</v>
      </c>
      <c r="U15" s="262" t="s">
        <v>32</v>
      </c>
      <c r="V15" s="262" t="s">
        <v>32</v>
      </c>
      <c r="W15" s="262" t="s">
        <v>32</v>
      </c>
      <c r="X15" s="262" t="s">
        <v>32</v>
      </c>
      <c r="Y15" s="262" t="s">
        <v>32</v>
      </c>
      <c r="Z15" s="278" t="s">
        <v>32</v>
      </c>
      <c r="AA15" s="279" t="s">
        <v>32</v>
      </c>
      <c r="AC15" s="277" t="str">
        <f ca="1">BlankError(VLOOKUP($C15,HiLo!$C$7:$AA$29,$AC$1,FALSE))</f>
        <v/>
      </c>
      <c r="AD15" s="278" t="str">
        <f ca="1">BlankError(VLOOKUP($C15,HiLo!$C$7:$AA$29,7,FALSE))</f>
        <v/>
      </c>
      <c r="AE15" s="278" t="str">
        <f ca="1">BlankError(VLOOKUP($C15,HiLo!$C$7:$AA$29,8,FALSE))</f>
        <v/>
      </c>
      <c r="AF15" s="279" t="str">
        <f ca="1">BlankError(VLOOKUP($C15,HiLo!$C$7:$AA$29,9,FALSE))</f>
        <v/>
      </c>
    </row>
    <row r="16" spans="1:32" ht="14.25">
      <c r="A16" s="934"/>
      <c r="B16" s="272" t="e">
        <f ca="1">IF(C16="","",HiLo!$A19)</f>
        <v>#REF!</v>
      </c>
      <c r="C16" s="273" t="e">
        <f ca="1">IF(HiLo!$C19="","",HiLo!$C19)</f>
        <v>#REF!</v>
      </c>
      <c r="D16" s="268" t="s">
        <v>32</v>
      </c>
      <c r="E16" s="262" t="s">
        <v>32</v>
      </c>
      <c r="F16" s="262" t="s">
        <v>32</v>
      </c>
      <c r="G16" s="262" t="s">
        <v>32</v>
      </c>
      <c r="H16" s="262" t="s">
        <v>32</v>
      </c>
      <c r="I16" s="262" t="s">
        <v>32</v>
      </c>
      <c r="J16" s="262" t="s">
        <v>32</v>
      </c>
      <c r="K16" s="262" t="s">
        <v>32</v>
      </c>
      <c r="L16" s="262" t="s">
        <v>32</v>
      </c>
      <c r="M16" s="262" t="s">
        <v>32</v>
      </c>
      <c r="N16" s="262" t="s">
        <v>32</v>
      </c>
      <c r="O16" s="262" t="s">
        <v>32</v>
      </c>
      <c r="P16" s="280" t="s">
        <v>32</v>
      </c>
      <c r="Q16" s="262" t="s">
        <v>32</v>
      </c>
      <c r="R16" s="262" t="s">
        <v>32</v>
      </c>
      <c r="S16" s="262" t="s">
        <v>32</v>
      </c>
      <c r="T16" s="262" t="s">
        <v>32</v>
      </c>
      <c r="U16" s="262" t="s">
        <v>32</v>
      </c>
      <c r="V16" s="262" t="s">
        <v>32</v>
      </c>
      <c r="W16" s="262" t="s">
        <v>32</v>
      </c>
      <c r="X16" s="262" t="s">
        <v>32</v>
      </c>
      <c r="Y16" s="262" t="s">
        <v>32</v>
      </c>
      <c r="Z16" s="278" t="s">
        <v>32</v>
      </c>
      <c r="AA16" s="279" t="s">
        <v>32</v>
      </c>
      <c r="AC16" s="277" t="str">
        <f ca="1">BlankError(VLOOKUP($C16,HiLo!$C$7:$AA$29,$AC$1,FALSE))</f>
        <v/>
      </c>
      <c r="AD16" s="278" t="str">
        <f ca="1">BlankError(VLOOKUP($C16,HiLo!$C$7:$AA$29,7,FALSE))</f>
        <v/>
      </c>
      <c r="AE16" s="278" t="str">
        <f ca="1">BlankError(VLOOKUP($C16,HiLo!$C$7:$AA$29,8,FALSE))</f>
        <v/>
      </c>
      <c r="AF16" s="279" t="str">
        <f ca="1">BlankError(VLOOKUP($C16,HiLo!$C$7:$AA$29,9,FALSE))</f>
        <v/>
      </c>
    </row>
    <row r="17" spans="1:59" ht="14.25">
      <c r="A17" s="934"/>
      <c r="B17" s="272" t="e">
        <f ca="1">IF(C17="","",HiLo!$A20)</f>
        <v>#REF!</v>
      </c>
      <c r="C17" s="273" t="e">
        <f ca="1">IF(HiLo!$C20="","",HiLo!$C20)</f>
        <v>#REF!</v>
      </c>
      <c r="D17" s="268" t="s">
        <v>32</v>
      </c>
      <c r="E17" s="262" t="s">
        <v>32</v>
      </c>
      <c r="F17" s="262" t="s">
        <v>32</v>
      </c>
      <c r="G17" s="262" t="s">
        <v>32</v>
      </c>
      <c r="H17" s="262" t="s">
        <v>32</v>
      </c>
      <c r="I17" s="262" t="s">
        <v>32</v>
      </c>
      <c r="J17" s="262" t="s">
        <v>32</v>
      </c>
      <c r="K17" s="262" t="s">
        <v>32</v>
      </c>
      <c r="L17" s="262" t="s">
        <v>32</v>
      </c>
      <c r="M17" s="262" t="s">
        <v>32</v>
      </c>
      <c r="N17" s="262" t="s">
        <v>32</v>
      </c>
      <c r="O17" s="262" t="s">
        <v>32</v>
      </c>
      <c r="P17" s="262" t="s">
        <v>32</v>
      </c>
      <c r="Q17" s="280" t="s">
        <v>32</v>
      </c>
      <c r="R17" s="262" t="s">
        <v>32</v>
      </c>
      <c r="S17" s="262" t="s">
        <v>32</v>
      </c>
      <c r="T17" s="262" t="s">
        <v>32</v>
      </c>
      <c r="U17" s="262" t="s">
        <v>32</v>
      </c>
      <c r="V17" s="262" t="s">
        <v>32</v>
      </c>
      <c r="W17" s="262" t="s">
        <v>32</v>
      </c>
      <c r="X17" s="262" t="s">
        <v>32</v>
      </c>
      <c r="Y17" s="262" t="s">
        <v>32</v>
      </c>
      <c r="Z17" s="278" t="s">
        <v>32</v>
      </c>
      <c r="AA17" s="279" t="s">
        <v>32</v>
      </c>
      <c r="AC17" s="277" t="str">
        <f ca="1">BlankError(VLOOKUP($C17,HiLo!$C$7:$AA$29,$AC$1,FALSE))</f>
        <v/>
      </c>
      <c r="AD17" s="278" t="str">
        <f ca="1">BlankError(VLOOKUP($C17,HiLo!$C$7:$AA$29,7,FALSE))</f>
        <v/>
      </c>
      <c r="AE17" s="278" t="str">
        <f ca="1">BlankError(VLOOKUP($C17,HiLo!$C$7:$AA$29,8,FALSE))</f>
        <v/>
      </c>
      <c r="AF17" s="279" t="str">
        <f ca="1">BlankError(VLOOKUP($C17,HiLo!$C$7:$AA$29,9,FALSE))</f>
        <v/>
      </c>
    </row>
    <row r="18" spans="1:59" ht="14.25">
      <c r="A18" s="934"/>
      <c r="B18" s="272" t="e">
        <f ca="1">IF(C18="","",HiLo!$A21)</f>
        <v>#REF!</v>
      </c>
      <c r="C18" s="273" t="e">
        <f ca="1">IF(HiLo!$C21="","",HiLo!$C21)</f>
        <v>#REF!</v>
      </c>
      <c r="D18" s="268" t="s">
        <v>32</v>
      </c>
      <c r="E18" s="262" t="s">
        <v>32</v>
      </c>
      <c r="F18" s="262" t="s">
        <v>32</v>
      </c>
      <c r="G18" s="262" t="s">
        <v>32</v>
      </c>
      <c r="H18" s="262" t="s">
        <v>32</v>
      </c>
      <c r="I18" s="262" t="s">
        <v>32</v>
      </c>
      <c r="J18" s="262" t="s">
        <v>32</v>
      </c>
      <c r="K18" s="262" t="s">
        <v>32</v>
      </c>
      <c r="L18" s="262" t="s">
        <v>32</v>
      </c>
      <c r="M18" s="262" t="s">
        <v>32</v>
      </c>
      <c r="N18" s="262" t="s">
        <v>32</v>
      </c>
      <c r="O18" s="262" t="s">
        <v>32</v>
      </c>
      <c r="P18" s="262" t="s">
        <v>32</v>
      </c>
      <c r="Q18" s="262" t="s">
        <v>32</v>
      </c>
      <c r="R18" s="280" t="s">
        <v>32</v>
      </c>
      <c r="S18" s="262" t="s">
        <v>32</v>
      </c>
      <c r="T18" s="262" t="s">
        <v>32</v>
      </c>
      <c r="U18" s="262" t="s">
        <v>32</v>
      </c>
      <c r="V18" s="262" t="s">
        <v>32</v>
      </c>
      <c r="W18" s="262" t="s">
        <v>32</v>
      </c>
      <c r="X18" s="262" t="s">
        <v>32</v>
      </c>
      <c r="Y18" s="262" t="s">
        <v>32</v>
      </c>
      <c r="Z18" s="278" t="s">
        <v>32</v>
      </c>
      <c r="AA18" s="279" t="s">
        <v>32</v>
      </c>
      <c r="AC18" s="277" t="str">
        <f ca="1">BlankError(VLOOKUP($C18,HiLo!$C$7:$AA$29,$AC$1,FALSE))</f>
        <v/>
      </c>
      <c r="AD18" s="278" t="str">
        <f ca="1">BlankError(VLOOKUP($C18,HiLo!$C$7:$AA$29,7,FALSE))</f>
        <v/>
      </c>
      <c r="AE18" s="278" t="str">
        <f ca="1">BlankError(VLOOKUP($C18,HiLo!$C$7:$AA$29,8,FALSE))</f>
        <v/>
      </c>
      <c r="AF18" s="279" t="str">
        <f ca="1">BlankError(VLOOKUP($C18,HiLo!$C$7:$AA$29,9,FALSE))</f>
        <v/>
      </c>
    </row>
    <row r="19" spans="1:59" ht="14.25">
      <c r="A19" s="934"/>
      <c r="B19" s="272" t="e">
        <f ca="1">IF(C19="","",HiLo!$A22)</f>
        <v>#REF!</v>
      </c>
      <c r="C19" s="273" t="e">
        <f ca="1">IF(HiLo!$C22="","",HiLo!$C22)</f>
        <v>#REF!</v>
      </c>
      <c r="D19" s="268" t="s">
        <v>32</v>
      </c>
      <c r="E19" s="262" t="s">
        <v>32</v>
      </c>
      <c r="F19" s="262" t="s">
        <v>32</v>
      </c>
      <c r="G19" s="262" t="s">
        <v>32</v>
      </c>
      <c r="H19" s="262" t="s">
        <v>32</v>
      </c>
      <c r="I19" s="262" t="s">
        <v>32</v>
      </c>
      <c r="J19" s="262" t="s">
        <v>32</v>
      </c>
      <c r="K19" s="262" t="s">
        <v>32</v>
      </c>
      <c r="L19" s="262" t="s">
        <v>32</v>
      </c>
      <c r="M19" s="262" t="s">
        <v>32</v>
      </c>
      <c r="N19" s="262" t="s">
        <v>32</v>
      </c>
      <c r="O19" s="262" t="s">
        <v>32</v>
      </c>
      <c r="P19" s="262" t="s">
        <v>32</v>
      </c>
      <c r="Q19" s="262" t="s">
        <v>32</v>
      </c>
      <c r="R19" s="262" t="s">
        <v>32</v>
      </c>
      <c r="S19" s="280" t="s">
        <v>32</v>
      </c>
      <c r="T19" s="262" t="s">
        <v>32</v>
      </c>
      <c r="U19" s="262" t="s">
        <v>32</v>
      </c>
      <c r="V19" s="262" t="s">
        <v>32</v>
      </c>
      <c r="W19" s="262" t="s">
        <v>32</v>
      </c>
      <c r="X19" s="262" t="s">
        <v>32</v>
      </c>
      <c r="Y19" s="262" t="s">
        <v>32</v>
      </c>
      <c r="Z19" s="278" t="s">
        <v>32</v>
      </c>
      <c r="AA19" s="279" t="s">
        <v>32</v>
      </c>
      <c r="AC19" s="277" t="str">
        <f ca="1">BlankError(VLOOKUP($C19,HiLo!$C$7:$AA$29,$AC$1,FALSE))</f>
        <v/>
      </c>
      <c r="AD19" s="278" t="str">
        <f ca="1">BlankError(VLOOKUP($C19,HiLo!$C$7:$AA$29,7,FALSE))</f>
        <v/>
      </c>
      <c r="AE19" s="278" t="str">
        <f ca="1">BlankError(VLOOKUP($C19,HiLo!$C$7:$AA$29,8,FALSE))</f>
        <v/>
      </c>
      <c r="AF19" s="279" t="str">
        <f ca="1">BlankError(VLOOKUP($C19,HiLo!$C$7:$AA$29,9,FALSE))</f>
        <v/>
      </c>
    </row>
    <row r="20" spans="1:59" ht="14.25">
      <c r="A20" s="934"/>
      <c r="B20" s="272" t="e">
        <f ca="1">IF(C20="","",HiLo!$A23)</f>
        <v>#REF!</v>
      </c>
      <c r="C20" s="273" t="e">
        <f ca="1">IF(HiLo!$C23="","",HiLo!$C23)</f>
        <v>#REF!</v>
      </c>
      <c r="D20" s="268" t="s">
        <v>32</v>
      </c>
      <c r="E20" s="262" t="s">
        <v>32</v>
      </c>
      <c r="F20" s="262" t="s">
        <v>32</v>
      </c>
      <c r="G20" s="262" t="s">
        <v>32</v>
      </c>
      <c r="H20" s="262" t="s">
        <v>32</v>
      </c>
      <c r="I20" s="262" t="s">
        <v>32</v>
      </c>
      <c r="J20" s="262" t="s">
        <v>32</v>
      </c>
      <c r="K20" s="262" t="s">
        <v>32</v>
      </c>
      <c r="L20" s="262" t="s">
        <v>32</v>
      </c>
      <c r="M20" s="262" t="s">
        <v>32</v>
      </c>
      <c r="N20" s="262" t="s">
        <v>32</v>
      </c>
      <c r="O20" s="262" t="s">
        <v>32</v>
      </c>
      <c r="P20" s="262" t="s">
        <v>32</v>
      </c>
      <c r="Q20" s="262" t="s">
        <v>32</v>
      </c>
      <c r="R20" s="262" t="s">
        <v>32</v>
      </c>
      <c r="S20" s="262" t="s">
        <v>32</v>
      </c>
      <c r="T20" s="280" t="s">
        <v>32</v>
      </c>
      <c r="U20" s="262" t="s">
        <v>32</v>
      </c>
      <c r="V20" s="262" t="s">
        <v>32</v>
      </c>
      <c r="W20" s="262" t="s">
        <v>32</v>
      </c>
      <c r="X20" s="262" t="s">
        <v>32</v>
      </c>
      <c r="Y20" s="262" t="s">
        <v>32</v>
      </c>
      <c r="Z20" s="278" t="s">
        <v>32</v>
      </c>
      <c r="AA20" s="279" t="s">
        <v>32</v>
      </c>
      <c r="AC20" s="277" t="str">
        <f ca="1">BlankError(VLOOKUP($C20,HiLo!$C$7:$AA$29,$AC$1,FALSE))</f>
        <v/>
      </c>
      <c r="AD20" s="278" t="str">
        <f ca="1">BlankError(VLOOKUP($C20,HiLo!$C$7:$AA$29,7,FALSE))</f>
        <v/>
      </c>
      <c r="AE20" s="278" t="str">
        <f ca="1">BlankError(VLOOKUP($C20,HiLo!$C$7:$AA$29,8,FALSE))</f>
        <v/>
      </c>
      <c r="AF20" s="279" t="str">
        <f ca="1">BlankError(VLOOKUP($C20,HiLo!$C$7:$AA$29,9,FALSE))</f>
        <v/>
      </c>
    </row>
    <row r="21" spans="1:59" ht="14.25">
      <c r="A21" s="934"/>
      <c r="B21" s="272" t="e">
        <f ca="1">IF(C21="","",HiLo!$A24)</f>
        <v>#REF!</v>
      </c>
      <c r="C21" s="273" t="e">
        <f ca="1">IF(HiLo!$C24="","",HiLo!$C24)</f>
        <v>#REF!</v>
      </c>
      <c r="D21" s="268" t="s">
        <v>32</v>
      </c>
      <c r="E21" s="262" t="s">
        <v>32</v>
      </c>
      <c r="F21" s="262" t="s">
        <v>32</v>
      </c>
      <c r="G21" s="262" t="s">
        <v>32</v>
      </c>
      <c r="H21" s="262" t="s">
        <v>32</v>
      </c>
      <c r="I21" s="262" t="s">
        <v>32</v>
      </c>
      <c r="J21" s="262" t="s">
        <v>32</v>
      </c>
      <c r="K21" s="262" t="s">
        <v>32</v>
      </c>
      <c r="L21" s="262" t="s">
        <v>32</v>
      </c>
      <c r="M21" s="262" t="s">
        <v>32</v>
      </c>
      <c r="N21" s="262" t="s">
        <v>32</v>
      </c>
      <c r="O21" s="262" t="s">
        <v>32</v>
      </c>
      <c r="P21" s="262" t="s">
        <v>32</v>
      </c>
      <c r="Q21" s="262" t="s">
        <v>32</v>
      </c>
      <c r="R21" s="262" t="s">
        <v>32</v>
      </c>
      <c r="S21" s="262" t="s">
        <v>32</v>
      </c>
      <c r="T21" s="262" t="s">
        <v>32</v>
      </c>
      <c r="U21" s="280" t="s">
        <v>32</v>
      </c>
      <c r="V21" s="262" t="s">
        <v>32</v>
      </c>
      <c r="W21" s="262" t="s">
        <v>32</v>
      </c>
      <c r="X21" s="262" t="s">
        <v>32</v>
      </c>
      <c r="Y21" s="262" t="s">
        <v>32</v>
      </c>
      <c r="Z21" s="278" t="s">
        <v>32</v>
      </c>
      <c r="AA21" s="279" t="s">
        <v>32</v>
      </c>
      <c r="AC21" s="277" t="str">
        <f ca="1">BlankError(VLOOKUP($C21,HiLo!$C$7:$AA$29,$AC$1,FALSE))</f>
        <v/>
      </c>
      <c r="AD21" s="278" t="str">
        <f ca="1">BlankError(VLOOKUP($C21,HiLo!$C$7:$AA$29,7,FALSE))</f>
        <v/>
      </c>
      <c r="AE21" s="278" t="str">
        <f ca="1">BlankError(VLOOKUP($C21,HiLo!$C$7:$AA$29,8,FALSE))</f>
        <v/>
      </c>
      <c r="AF21" s="279" t="str">
        <f ca="1">BlankError(VLOOKUP($C21,HiLo!$C$7:$AA$29,9,FALSE))</f>
        <v/>
      </c>
    </row>
    <row r="22" spans="1:59" ht="14.25">
      <c r="A22" s="934"/>
      <c r="B22" s="272" t="e">
        <f ca="1">IF(C22="","",HiLo!$A25)</f>
        <v>#REF!</v>
      </c>
      <c r="C22" s="273" t="e">
        <f ca="1">IF(HiLo!$C25="","",HiLo!$C25)</f>
        <v>#REF!</v>
      </c>
      <c r="D22" s="268" t="s">
        <v>32</v>
      </c>
      <c r="E22" s="262" t="s">
        <v>32</v>
      </c>
      <c r="F22" s="262" t="s">
        <v>32</v>
      </c>
      <c r="G22" s="262" t="s">
        <v>32</v>
      </c>
      <c r="H22" s="262" t="s">
        <v>32</v>
      </c>
      <c r="I22" s="262" t="s">
        <v>32</v>
      </c>
      <c r="J22" s="262" t="s">
        <v>32</v>
      </c>
      <c r="K22" s="262" t="s">
        <v>32</v>
      </c>
      <c r="L22" s="262" t="s">
        <v>32</v>
      </c>
      <c r="M22" s="262" t="s">
        <v>32</v>
      </c>
      <c r="N22" s="262" t="s">
        <v>32</v>
      </c>
      <c r="O22" s="262" t="s">
        <v>32</v>
      </c>
      <c r="P22" s="262" t="s">
        <v>32</v>
      </c>
      <c r="Q22" s="262" t="s">
        <v>32</v>
      </c>
      <c r="R22" s="262" t="s">
        <v>32</v>
      </c>
      <c r="S22" s="262" t="s">
        <v>32</v>
      </c>
      <c r="T22" s="262" t="s">
        <v>32</v>
      </c>
      <c r="U22" s="262" t="s">
        <v>32</v>
      </c>
      <c r="V22" s="280" t="s">
        <v>32</v>
      </c>
      <c r="W22" s="262" t="s">
        <v>32</v>
      </c>
      <c r="X22" s="262" t="s">
        <v>32</v>
      </c>
      <c r="Y22" s="262" t="s">
        <v>32</v>
      </c>
      <c r="Z22" s="278" t="s">
        <v>32</v>
      </c>
      <c r="AA22" s="279" t="s">
        <v>32</v>
      </c>
      <c r="AC22" s="277" t="str">
        <f ca="1">BlankError(VLOOKUP($C22,HiLo!$C$7:$AA$29,$AC$1,FALSE))</f>
        <v/>
      </c>
      <c r="AD22" s="278" t="str">
        <f ca="1">BlankError(VLOOKUP($C22,HiLo!$C$7:$AA$29,7,FALSE))</f>
        <v/>
      </c>
      <c r="AE22" s="278" t="str">
        <f ca="1">BlankError(VLOOKUP($C22,HiLo!$C$7:$AA$29,8,FALSE))</f>
        <v/>
      </c>
      <c r="AF22" s="279" t="str">
        <f ca="1">BlankError(VLOOKUP($C22,HiLo!$C$7:$AA$29,9,FALSE))</f>
        <v/>
      </c>
    </row>
    <row r="23" spans="1:59" ht="14.25">
      <c r="A23" s="934"/>
      <c r="B23" s="272" t="e">
        <f ca="1">IF(C23="","",HiLo!$A26)</f>
        <v>#REF!</v>
      </c>
      <c r="C23" s="273" t="e">
        <f ca="1">IF(HiLo!$C26="","",HiLo!$C26)</f>
        <v>#REF!</v>
      </c>
      <c r="D23" s="268" t="s">
        <v>32</v>
      </c>
      <c r="E23" s="262" t="s">
        <v>32</v>
      </c>
      <c r="F23" s="262" t="s">
        <v>32</v>
      </c>
      <c r="G23" s="262" t="s">
        <v>32</v>
      </c>
      <c r="H23" s="262" t="s">
        <v>32</v>
      </c>
      <c r="I23" s="262" t="s">
        <v>32</v>
      </c>
      <c r="J23" s="262" t="s">
        <v>32</v>
      </c>
      <c r="K23" s="262" t="s">
        <v>32</v>
      </c>
      <c r="L23" s="262" t="s">
        <v>32</v>
      </c>
      <c r="M23" s="262" t="s">
        <v>32</v>
      </c>
      <c r="N23" s="262" t="s">
        <v>32</v>
      </c>
      <c r="O23" s="262" t="s">
        <v>32</v>
      </c>
      <c r="P23" s="262" t="s">
        <v>32</v>
      </c>
      <c r="Q23" s="262" t="s">
        <v>32</v>
      </c>
      <c r="R23" s="262" t="s">
        <v>32</v>
      </c>
      <c r="S23" s="262" t="s">
        <v>32</v>
      </c>
      <c r="T23" s="262" t="s">
        <v>32</v>
      </c>
      <c r="U23" s="262" t="s">
        <v>32</v>
      </c>
      <c r="V23" s="262" t="s">
        <v>32</v>
      </c>
      <c r="W23" s="280" t="s">
        <v>32</v>
      </c>
      <c r="X23" s="281" t="s">
        <v>32</v>
      </c>
      <c r="Y23" s="281" t="s">
        <v>32</v>
      </c>
      <c r="Z23" s="281" t="s">
        <v>32</v>
      </c>
      <c r="AA23" s="282" t="s">
        <v>32</v>
      </c>
      <c r="AB23" s="230"/>
      <c r="AC23" s="283" t="str">
        <f ca="1">BlankError(VLOOKUP($C23,HiLo!$C$7:$AA$29,$AC$1,FALSE))</f>
        <v/>
      </c>
      <c r="AD23" s="281" t="str">
        <f ca="1">BlankError(VLOOKUP($C23,HiLo!$C$7:$AA$29,7,FALSE))</f>
        <v/>
      </c>
      <c r="AE23" s="281" t="str">
        <f ca="1">BlankError(VLOOKUP($C23,HiLo!$C$7:$AA$29,8,FALSE))</f>
        <v/>
      </c>
      <c r="AF23" s="282" t="str">
        <f ca="1">BlankError(VLOOKUP($C23,HiLo!$C$7:$AA$29,9,FALSE))</f>
        <v/>
      </c>
      <c r="AG23" s="230"/>
      <c r="AH23" s="230"/>
      <c r="AI23" s="230"/>
      <c r="AJ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 ht="15.75" hidden="1" customHeight="1">
      <c r="A24" s="934"/>
      <c r="B24" s="284" t="s">
        <v>32</v>
      </c>
      <c r="C24" s="285" t="s">
        <v>32</v>
      </c>
      <c r="D24" s="268" t="s">
        <v>32</v>
      </c>
      <c r="E24" s="262" t="s">
        <v>32</v>
      </c>
      <c r="F24" s="262" t="s">
        <v>32</v>
      </c>
      <c r="G24" s="262" t="s">
        <v>32</v>
      </c>
      <c r="H24" s="262" t="s">
        <v>32</v>
      </c>
      <c r="I24" s="262" t="s">
        <v>32</v>
      </c>
      <c r="J24" s="262" t="s">
        <v>32</v>
      </c>
      <c r="K24" s="262" t="s">
        <v>32</v>
      </c>
      <c r="L24" s="262" t="s">
        <v>32</v>
      </c>
      <c r="M24" s="262" t="s">
        <v>32</v>
      </c>
      <c r="N24" s="262" t="s">
        <v>32</v>
      </c>
      <c r="O24" s="262" t="s">
        <v>32</v>
      </c>
      <c r="P24" s="262" t="s">
        <v>32</v>
      </c>
      <c r="Q24" s="262" t="s">
        <v>32</v>
      </c>
      <c r="R24" s="262" t="s">
        <v>32</v>
      </c>
      <c r="S24" s="262" t="s">
        <v>32</v>
      </c>
      <c r="T24" s="262" t="s">
        <v>32</v>
      </c>
      <c r="U24" s="262" t="s">
        <v>32</v>
      </c>
      <c r="V24" s="262" t="s">
        <v>32</v>
      </c>
      <c r="W24" s="262" t="s">
        <v>32</v>
      </c>
      <c r="X24" s="286" t="s">
        <v>32</v>
      </c>
      <c r="Y24" s="281" t="s">
        <v>32</v>
      </c>
      <c r="Z24" s="281" t="s">
        <v>32</v>
      </c>
      <c r="AA24" s="282" t="s">
        <v>32</v>
      </c>
      <c r="AB24" s="230"/>
      <c r="AC24" s="283" t="e">
        <v>#NAME?</v>
      </c>
      <c r="AD24" s="281" t="e">
        <v>#NAME?</v>
      </c>
      <c r="AE24" s="281" t="e">
        <v>#NAME?</v>
      </c>
      <c r="AF24" s="282" t="e">
        <v>#NAME?</v>
      </c>
      <c r="AG24" s="230"/>
      <c r="AH24" s="230"/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 ht="14.25" hidden="1">
      <c r="A25" s="934"/>
      <c r="B25" s="284" t="s">
        <v>32</v>
      </c>
      <c r="C25" s="285" t="s">
        <v>32</v>
      </c>
      <c r="D25" s="268" t="s">
        <v>32</v>
      </c>
      <c r="E25" s="278" t="s">
        <v>32</v>
      </c>
      <c r="F25" s="278" t="s">
        <v>32</v>
      </c>
      <c r="G25" s="278" t="s">
        <v>32</v>
      </c>
      <c r="H25" s="278" t="s">
        <v>32</v>
      </c>
      <c r="I25" s="278" t="s">
        <v>32</v>
      </c>
      <c r="J25" s="278" t="s">
        <v>32</v>
      </c>
      <c r="K25" s="278" t="s">
        <v>32</v>
      </c>
      <c r="L25" s="278" t="s">
        <v>32</v>
      </c>
      <c r="M25" s="278" t="s">
        <v>32</v>
      </c>
      <c r="N25" s="278" t="s">
        <v>32</v>
      </c>
      <c r="O25" s="278" t="s">
        <v>32</v>
      </c>
      <c r="P25" s="278" t="s">
        <v>32</v>
      </c>
      <c r="Q25" s="278" t="s">
        <v>32</v>
      </c>
      <c r="R25" s="278" t="s">
        <v>32</v>
      </c>
      <c r="S25" s="278" t="s">
        <v>32</v>
      </c>
      <c r="T25" s="278" t="s">
        <v>32</v>
      </c>
      <c r="U25" s="278" t="s">
        <v>32</v>
      </c>
      <c r="V25" s="278" t="s">
        <v>32</v>
      </c>
      <c r="W25" s="278" t="s">
        <v>32</v>
      </c>
      <c r="X25" s="281" t="s">
        <v>32</v>
      </c>
      <c r="Y25" s="286" t="s">
        <v>32</v>
      </c>
      <c r="Z25" s="281" t="s">
        <v>32</v>
      </c>
      <c r="AA25" s="282" t="s">
        <v>32</v>
      </c>
      <c r="AB25" s="230"/>
      <c r="AC25" s="283" t="e">
        <v>#NAME?</v>
      </c>
      <c r="AD25" s="281" t="e">
        <v>#NAME?</v>
      </c>
      <c r="AE25" s="281" t="e">
        <v>#NAME?</v>
      </c>
      <c r="AF25" s="282" t="e">
        <v>#NAME?</v>
      </c>
      <c r="AG25" s="230"/>
      <c r="AH25" s="230"/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 ht="14.25" hidden="1">
      <c r="A26" s="934"/>
      <c r="B26" s="284" t="s">
        <v>32</v>
      </c>
      <c r="C26" s="285" t="s">
        <v>32</v>
      </c>
      <c r="D26" s="268" t="s">
        <v>32</v>
      </c>
      <c r="E26" s="278" t="s">
        <v>32</v>
      </c>
      <c r="F26" s="278" t="s">
        <v>32</v>
      </c>
      <c r="G26" s="278" t="s">
        <v>32</v>
      </c>
      <c r="H26" s="278" t="s">
        <v>32</v>
      </c>
      <c r="I26" s="278" t="s">
        <v>32</v>
      </c>
      <c r="J26" s="278" t="s">
        <v>32</v>
      </c>
      <c r="K26" s="278" t="s">
        <v>32</v>
      </c>
      <c r="L26" s="278" t="s">
        <v>32</v>
      </c>
      <c r="M26" s="278" t="s">
        <v>32</v>
      </c>
      <c r="N26" s="278" t="s">
        <v>32</v>
      </c>
      <c r="O26" s="278" t="s">
        <v>32</v>
      </c>
      <c r="P26" s="278" t="s">
        <v>32</v>
      </c>
      <c r="Q26" s="278" t="s">
        <v>32</v>
      </c>
      <c r="R26" s="278" t="s">
        <v>32</v>
      </c>
      <c r="S26" s="278" t="s">
        <v>32</v>
      </c>
      <c r="T26" s="278" t="s">
        <v>32</v>
      </c>
      <c r="U26" s="278" t="s">
        <v>32</v>
      </c>
      <c r="V26" s="278" t="s">
        <v>32</v>
      </c>
      <c r="W26" s="278" t="s">
        <v>32</v>
      </c>
      <c r="X26" s="281" t="s">
        <v>32</v>
      </c>
      <c r="Y26" s="281" t="s">
        <v>32</v>
      </c>
      <c r="Z26" s="286" t="s">
        <v>32</v>
      </c>
      <c r="AA26" s="282" t="s">
        <v>32</v>
      </c>
      <c r="AB26" s="230"/>
      <c r="AC26" s="283" t="e">
        <v>#NAME?</v>
      </c>
      <c r="AD26" s="281" t="e">
        <v>#NAME?</v>
      </c>
      <c r="AE26" s="281" t="e">
        <v>#NAME?</v>
      </c>
      <c r="AF26" s="282" t="e">
        <v>#NAME?</v>
      </c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 ht="14.25" hidden="1">
      <c r="A27" s="935"/>
      <c r="B27" s="287" t="s">
        <v>32</v>
      </c>
      <c r="C27" s="288" t="s">
        <v>32</v>
      </c>
      <c r="D27" s="289" t="s">
        <v>32</v>
      </c>
      <c r="E27" s="290" t="s">
        <v>32</v>
      </c>
      <c r="F27" s="290" t="s">
        <v>32</v>
      </c>
      <c r="G27" s="290" t="s">
        <v>32</v>
      </c>
      <c r="H27" s="290" t="s">
        <v>32</v>
      </c>
      <c r="I27" s="290" t="s">
        <v>32</v>
      </c>
      <c r="J27" s="290" t="s">
        <v>32</v>
      </c>
      <c r="K27" s="290" t="s">
        <v>32</v>
      </c>
      <c r="L27" s="290" t="s">
        <v>32</v>
      </c>
      <c r="M27" s="290" t="s">
        <v>32</v>
      </c>
      <c r="N27" s="290" t="s">
        <v>32</v>
      </c>
      <c r="O27" s="290" t="s">
        <v>32</v>
      </c>
      <c r="P27" s="290" t="s">
        <v>32</v>
      </c>
      <c r="Q27" s="290" t="s">
        <v>32</v>
      </c>
      <c r="R27" s="290" t="s">
        <v>32</v>
      </c>
      <c r="S27" s="290" t="s">
        <v>32</v>
      </c>
      <c r="T27" s="290" t="s">
        <v>32</v>
      </c>
      <c r="U27" s="290" t="s">
        <v>32</v>
      </c>
      <c r="V27" s="290" t="s">
        <v>32</v>
      </c>
      <c r="W27" s="278" t="s">
        <v>32</v>
      </c>
      <c r="X27" s="291" t="s">
        <v>32</v>
      </c>
      <c r="Y27" s="291" t="s">
        <v>32</v>
      </c>
      <c r="Z27" s="291" t="s">
        <v>32</v>
      </c>
      <c r="AA27" s="292" t="s">
        <v>32</v>
      </c>
      <c r="AB27" s="230"/>
      <c r="AC27" s="283" t="e">
        <v>#NAME?</v>
      </c>
      <c r="AD27" s="281" t="e">
        <v>#NAME?</v>
      </c>
      <c r="AE27" s="281" t="e">
        <v>#NAME?</v>
      </c>
      <c r="AF27" s="282" t="e">
        <v>#NAME?</v>
      </c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>
      <c r="C28" s="293" t="s">
        <v>182</v>
      </c>
      <c r="D28" s="294" t="s">
        <v>183</v>
      </c>
      <c r="E28" s="295"/>
      <c r="F28" s="296" t="s">
        <v>184</v>
      </c>
      <c r="G28" s="295"/>
      <c r="H28" s="295"/>
      <c r="I28" s="295"/>
      <c r="J28" s="295"/>
      <c r="K28" s="295"/>
      <c r="L28" s="295"/>
      <c r="M28" s="295"/>
      <c r="N28" s="295"/>
      <c r="O28" s="295"/>
      <c r="P28" s="295"/>
      <c r="Q28" s="295"/>
      <c r="R28" s="295"/>
      <c r="S28" s="295"/>
      <c r="T28" s="295"/>
      <c r="U28" s="295"/>
      <c r="V28" s="295"/>
      <c r="W28" s="295"/>
      <c r="X28" s="230"/>
      <c r="Y28" s="230"/>
      <c r="Z28" s="230"/>
      <c r="AA28" s="230"/>
      <c r="AB28" s="230"/>
      <c r="AC28" s="297" t="str">
        <f ca="1">BlankError(VLOOKUP("Average",HiLo!$C$7:$AA$29,$AC$1,FALSE))</f>
        <v/>
      </c>
      <c r="AD28" s="298" t="str">
        <f ca="1">HiLo!I29</f>
        <v/>
      </c>
      <c r="AE28" s="298" t="str">
        <f ca="1">HiLo!J29</f>
        <v/>
      </c>
      <c r="AF28" s="298" t="str">
        <f ca="1">HiLo!K29</f>
        <v/>
      </c>
      <c r="AG28" s="230"/>
      <c r="AH28" s="230"/>
      <c r="AI28" s="230"/>
      <c r="AJ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>
      <c r="C29" s="272" t="s">
        <v>185</v>
      </c>
      <c r="D29" s="275" t="str">
        <f ca="1">BlankError(VLOOKUP(D$3,HiLo!$C$7:$AA$29,15,FALSE))</f>
        <v/>
      </c>
      <c r="E29" s="275" t="str">
        <f ca="1">BlankError(VLOOKUP(E$3,HiLo!$C$7:$AA$29,15,FALSE))</f>
        <v/>
      </c>
      <c r="F29" s="275" t="str">
        <f ca="1">BlankError(VLOOKUP(F$3,HiLo!$C$7:$AA$29,15,FALSE))</f>
        <v/>
      </c>
      <c r="G29" s="275" t="str">
        <f ca="1">BlankError(VLOOKUP(G$3,HiLo!$C$7:$AA$29,15,FALSE))</f>
        <v/>
      </c>
      <c r="H29" s="275" t="str">
        <f ca="1">BlankError(VLOOKUP(H$3,HiLo!$C$7:$AA$29,15,FALSE))</f>
        <v/>
      </c>
      <c r="I29" s="275" t="str">
        <f ca="1">BlankError(VLOOKUP(I$3,HiLo!$C$7:$AA$29,15,FALSE))</f>
        <v/>
      </c>
      <c r="J29" s="275" t="str">
        <f ca="1">BlankError(VLOOKUP(J$3,HiLo!$C$7:$AA$29,15,FALSE))</f>
        <v/>
      </c>
      <c r="K29" s="275" t="str">
        <f ca="1">BlankError(VLOOKUP(K$3,HiLo!$C$7:$AA$29,15,FALSE))</f>
        <v/>
      </c>
      <c r="L29" s="275" t="str">
        <f ca="1">BlankError(VLOOKUP(L$3,HiLo!$C$7:$AA$29,15,FALSE))</f>
        <v/>
      </c>
      <c r="M29" s="275" t="str">
        <f ca="1">BlankError(VLOOKUP(M$3,HiLo!$C$7:$AA$29,15,FALSE))</f>
        <v/>
      </c>
      <c r="N29" s="275" t="str">
        <f ca="1">BlankError(VLOOKUP(N$3,HiLo!$C$7:$AA$29,15,FALSE))</f>
        <v/>
      </c>
      <c r="O29" s="275" t="str">
        <f ca="1">BlankError(VLOOKUP(O$3,HiLo!$C$7:$AA$29,15,FALSE))</f>
        <v/>
      </c>
      <c r="P29" s="275" t="str">
        <f ca="1">BlankError(VLOOKUP(P$3,HiLo!$C$7:$AA$29,15,FALSE))</f>
        <v/>
      </c>
      <c r="Q29" s="275" t="str">
        <f ca="1">BlankError(VLOOKUP(Q$3,HiLo!$C$7:$AA$29,15,FALSE))</f>
        <v/>
      </c>
      <c r="R29" s="275" t="str">
        <f ca="1">BlankError(VLOOKUP(R$3,HiLo!$C$7:$AA$29,15,FALSE))</f>
        <v/>
      </c>
      <c r="S29" s="275" t="str">
        <f ca="1">BlankError(VLOOKUP(S$3,HiLo!$C$7:$AA$29,15,FALSE))</f>
        <v/>
      </c>
      <c r="T29" s="275" t="str">
        <f ca="1">BlankError(VLOOKUP(T$3,HiLo!$C$7:$AA$29,15,FALSE))</f>
        <v/>
      </c>
      <c r="U29" s="275" t="str">
        <f ca="1">BlankError(VLOOKUP(U$3,HiLo!$C$7:$AA$29,15,FALSE))</f>
        <v/>
      </c>
      <c r="V29" s="275" t="str">
        <f ca="1">BlankError(VLOOKUP(V$3,HiLo!$C$7:$AA$29,15,FALSE))</f>
        <v/>
      </c>
      <c r="W29" s="275" t="str">
        <f ca="1">BlankError(VLOOKUP(W$3,HiLo!$C$7:$AA$29,15,FALSE))</f>
        <v/>
      </c>
      <c r="X29" s="299" t="str">
        <f ca="1">BlankError(VLOOKUP(X$3,HiLo!$C$7:$AA$29,15,FALSE))</f>
        <v/>
      </c>
      <c r="Y29" s="299" t="str">
        <f ca="1">BlankError(VLOOKUP(Y$3,HiLo!$C$7:$AA$29,15,FALSE))</f>
        <v/>
      </c>
      <c r="Z29" s="299" t="str">
        <f ca="1">BlankError(VLOOKUP(Z$3,HiLo!$C$7:$AA$29,15,FALSE))</f>
        <v/>
      </c>
      <c r="AA29" s="299" t="str">
        <f ca="1">BlankError(VLOOKUP(AA$3,HiLo!$C$7:$AA$29,15,FALSE))</f>
        <v/>
      </c>
      <c r="AB29" s="230"/>
      <c r="AC29" s="230"/>
      <c r="AD29" s="230"/>
      <c r="AE29" s="230"/>
      <c r="AF29" s="230"/>
      <c r="AG29" s="230"/>
      <c r="AH29" s="230"/>
      <c r="AI29" s="230"/>
      <c r="AJ29" s="230"/>
      <c r="AK29" s="230"/>
      <c r="AL29" s="230"/>
      <c r="AM29" s="230"/>
      <c r="AN29" s="230"/>
      <c r="AO29" s="230"/>
      <c r="AP29" s="230"/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>
      <c r="C30" s="300" t="s">
        <v>186</v>
      </c>
      <c r="D30" s="278" t="str">
        <f ca="1">BlankError(VLOOKUP(D$3,HiLo!$C$7:$AA$29,16,FALSE))</f>
        <v/>
      </c>
      <c r="E30" s="278" t="str">
        <f ca="1">BlankError(VLOOKUP(E$3,HiLo!$C$7:$AA$29,16,FALSE))</f>
        <v/>
      </c>
      <c r="F30" s="278" t="str">
        <f ca="1">BlankError(VLOOKUP(F$3,HiLo!$C$7:$AA$29,16,FALSE))</f>
        <v/>
      </c>
      <c r="G30" s="278" t="str">
        <f ca="1">BlankError(VLOOKUP(G$3,HiLo!$C$7:$AA$29,16,FALSE))</f>
        <v/>
      </c>
      <c r="H30" s="278" t="str">
        <f ca="1">BlankError(VLOOKUP(H$3,HiLo!$C$7:$AA$29,16,FALSE))</f>
        <v/>
      </c>
      <c r="I30" s="278" t="str">
        <f ca="1">BlankError(VLOOKUP(I$3,HiLo!$C$7:$AA$29,16,FALSE))</f>
        <v/>
      </c>
      <c r="J30" s="278" t="str">
        <f ca="1">BlankError(VLOOKUP(J$3,HiLo!$C$7:$AA$29,16,FALSE))</f>
        <v/>
      </c>
      <c r="K30" s="278" t="str">
        <f ca="1">BlankError(VLOOKUP(K$3,HiLo!$C$7:$AA$29,16,FALSE))</f>
        <v/>
      </c>
      <c r="L30" s="278" t="str">
        <f ca="1">BlankError(VLOOKUP(L$3,HiLo!$C$7:$AA$29,16,FALSE))</f>
        <v/>
      </c>
      <c r="M30" s="278" t="str">
        <f ca="1">BlankError(VLOOKUP(M$3,HiLo!$C$7:$AA$29,16,FALSE))</f>
        <v/>
      </c>
      <c r="N30" s="278" t="str">
        <f ca="1">BlankError(VLOOKUP(N$3,HiLo!$C$7:$AA$29,16,FALSE))</f>
        <v/>
      </c>
      <c r="O30" s="278" t="str">
        <f ca="1">BlankError(VLOOKUP(O$3,HiLo!$C$7:$AA$29,16,FALSE))</f>
        <v/>
      </c>
      <c r="P30" s="278" t="str">
        <f ca="1">BlankError(VLOOKUP(P$3,HiLo!$C$7:$AA$29,16,FALSE))</f>
        <v/>
      </c>
      <c r="Q30" s="278" t="str">
        <f ca="1">BlankError(VLOOKUP(Q$3,HiLo!$C$7:$AA$29,16,FALSE))</f>
        <v/>
      </c>
      <c r="R30" s="278" t="str">
        <f ca="1">BlankError(VLOOKUP(R$3,HiLo!$C$7:$AA$29,16,FALSE))</f>
        <v/>
      </c>
      <c r="S30" s="278" t="str">
        <f ca="1">BlankError(VLOOKUP(S$3,HiLo!$C$7:$AA$29,16,FALSE))</f>
        <v/>
      </c>
      <c r="T30" s="278" t="str">
        <f ca="1">BlankError(VLOOKUP(T$3,HiLo!$C$7:$AA$29,16,FALSE))</f>
        <v/>
      </c>
      <c r="U30" s="278" t="str">
        <f ca="1">BlankError(VLOOKUP(U$3,HiLo!$C$7:$AA$29,16,FALSE))</f>
        <v/>
      </c>
      <c r="V30" s="278" t="str">
        <f ca="1">BlankError(VLOOKUP(V$3,HiLo!$C$7:$AA$29,16,FALSE))</f>
        <v/>
      </c>
      <c r="W30" s="278" t="str">
        <f ca="1">BlankError(VLOOKUP(W$3,HiLo!$C$7:$AA$29,16,FALSE))</f>
        <v/>
      </c>
      <c r="X30" s="281" t="str">
        <f ca="1">BlankError(VLOOKUP(X$3,HiLo!$C$7:$AA$29,16,FALSE))</f>
        <v/>
      </c>
      <c r="Y30" s="281" t="str">
        <f ca="1">BlankError(VLOOKUP(Y$3,HiLo!$C$7:$AA$29,16,FALSE))</f>
        <v/>
      </c>
      <c r="Z30" s="281" t="str">
        <f ca="1">BlankError(VLOOKUP(Z$3,HiLo!$C$7:$AA$29,16,FALSE))</f>
        <v/>
      </c>
      <c r="AA30" s="281" t="str">
        <f ca="1">BlankError(VLOOKUP(AA$3,HiLo!$C$7:$AA$29,16,FALSE))</f>
        <v/>
      </c>
      <c r="AB30" s="230"/>
      <c r="AC30" s="301" t="s">
        <v>187</v>
      </c>
      <c r="AD30" s="939" t="s">
        <v>175</v>
      </c>
      <c r="AE30" s="940"/>
      <c r="AF30" s="230"/>
      <c r="AG30" s="230"/>
      <c r="AH30" s="230"/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 ht="17.25" customHeight="1" thickBot="1">
      <c r="C31" s="300" t="s">
        <v>188</v>
      </c>
      <c r="D31" s="278" t="str">
        <f ca="1">BlankError(VLOOKUP(D$3,HiLo!$C$7:$AA$29,17,FALSE))</f>
        <v/>
      </c>
      <c r="E31" s="278" t="str">
        <f ca="1">BlankError(VLOOKUP(E$3,HiLo!$C$7:$AA$29,17,FALSE))</f>
        <v/>
      </c>
      <c r="F31" s="278" t="str">
        <f ca="1">BlankError(VLOOKUP(F$3,HiLo!$C$7:$AA$29,17,FALSE))</f>
        <v/>
      </c>
      <c r="G31" s="278" t="str">
        <f ca="1">BlankError(VLOOKUP(G$3,HiLo!$C$7:$AA$29,17,FALSE))</f>
        <v/>
      </c>
      <c r="H31" s="278" t="str">
        <f ca="1">BlankError(VLOOKUP(H$3,HiLo!$C$7:$AA$29,17,FALSE))</f>
        <v/>
      </c>
      <c r="I31" s="278" t="str">
        <f ca="1">BlankError(VLOOKUP(I$3,HiLo!$C$7:$AA$29,17,FALSE))</f>
        <v/>
      </c>
      <c r="J31" s="278" t="str">
        <f ca="1">BlankError(VLOOKUP(J$3,HiLo!$C$7:$AA$29,17,FALSE))</f>
        <v/>
      </c>
      <c r="K31" s="278" t="str">
        <f ca="1">BlankError(VLOOKUP(K$3,HiLo!$C$7:$AA$29,17,FALSE))</f>
        <v/>
      </c>
      <c r="L31" s="278" t="str">
        <f ca="1">BlankError(VLOOKUP(L$3,HiLo!$C$7:$AA$29,17,FALSE))</f>
        <v/>
      </c>
      <c r="M31" s="278" t="str">
        <f ca="1">BlankError(VLOOKUP(M$3,HiLo!$C$7:$AA$29,17,FALSE))</f>
        <v/>
      </c>
      <c r="N31" s="278" t="str">
        <f ca="1">BlankError(VLOOKUP(N$3,HiLo!$C$7:$AA$29,17,FALSE))</f>
        <v/>
      </c>
      <c r="O31" s="278" t="str">
        <f ca="1">BlankError(VLOOKUP(O$3,HiLo!$C$7:$AA$29,17,FALSE))</f>
        <v/>
      </c>
      <c r="P31" s="278" t="str">
        <f ca="1">BlankError(VLOOKUP(P$3,HiLo!$C$7:$AA$29,17,FALSE))</f>
        <v/>
      </c>
      <c r="Q31" s="278" t="str">
        <f ca="1">BlankError(VLOOKUP(Q$3,HiLo!$C$7:$AA$29,17,FALSE))</f>
        <v/>
      </c>
      <c r="R31" s="278" t="str">
        <f ca="1">BlankError(VLOOKUP(R$3,HiLo!$C$7:$AA$29,17,FALSE))</f>
        <v/>
      </c>
      <c r="S31" s="278" t="str">
        <f ca="1">BlankError(VLOOKUP(S$3,HiLo!$C$7:$AA$29,17,FALSE))</f>
        <v/>
      </c>
      <c r="T31" s="278" t="str">
        <f ca="1">BlankError(VLOOKUP(T$3,HiLo!$C$7:$AA$29,17,FALSE))</f>
        <v/>
      </c>
      <c r="U31" s="278" t="str">
        <f ca="1">BlankError(VLOOKUP(U$3,HiLo!$C$7:$AA$29,17,FALSE))</f>
        <v/>
      </c>
      <c r="V31" s="278" t="str">
        <f ca="1">BlankError(VLOOKUP(V$3,HiLo!$C$7:$AA$29,17,FALSE))</f>
        <v/>
      </c>
      <c r="W31" s="278" t="str">
        <f ca="1">BlankError(VLOOKUP(W$3,HiLo!$C$7:$AA$29,17,FALSE))</f>
        <v/>
      </c>
      <c r="X31" s="281" t="str">
        <f ca="1">BlankError(VLOOKUP(X$3,HiLo!$C$7:$AA$29,17,FALSE))</f>
        <v/>
      </c>
      <c r="Y31" s="281" t="str">
        <f ca="1">BlankError(VLOOKUP(Y$3,HiLo!$C$7:$AA$29,17,FALSE))</f>
        <v/>
      </c>
      <c r="Z31" s="281" t="str">
        <f ca="1">BlankError(VLOOKUP(Z$3,HiLo!$C$7:$AA$29,17,FALSE))</f>
        <v/>
      </c>
      <c r="AA31" s="281" t="str">
        <f ca="1">BlankError(VLOOKUP(AA$3,HiLo!$C$7:$AA$29,17,FALSE))</f>
        <v/>
      </c>
      <c r="AB31" s="230"/>
      <c r="AC31" s="926" t="s">
        <v>181</v>
      </c>
      <c r="AD31" s="302" t="str">
        <f ca="1">BlankError(COUNTIF(OFFSET($D$4,0,0,Table!$C$3/2,Table!$C$3/2),"&gt;2.5")/COUNT(OFFSET($D$4,0,0,Table!$C$3/2,Table!$C$3/2)))</f>
        <v/>
      </c>
      <c r="AE31" s="303" t="str">
        <f ca="1">BlankError(COUNTIF(OFFSET($D$4,0,Table!$C$3/2,Table!$C$3/2,Table!$C$3/2),"&gt;2.5")/COUNT(OFFSET($D$4,0,Table!$C$3/2,Table!$C$3/2,Table!$C$3/2)))</f>
        <v/>
      </c>
      <c r="AF31" s="230"/>
      <c r="AG31" s="230"/>
      <c r="AH31" s="230"/>
      <c r="AI31" s="230"/>
      <c r="AJ31" s="230"/>
      <c r="AK31" s="230"/>
      <c r="AL31" s="230"/>
      <c r="AM31" s="230"/>
      <c r="AN31" s="230"/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 ht="16.5" customHeight="1">
      <c r="A32" s="257">
        <f>IF($B32="Lo",13,IF($B32="Hi",11,"??"))</f>
        <v>13</v>
      </c>
      <c r="B32" s="304" t="str">
        <f>AC2</f>
        <v>Lo</v>
      </c>
      <c r="C32" s="223" t="str">
        <f>"Away "&amp;$B$32&amp;"  %"</f>
        <v>Away Lo  %</v>
      </c>
      <c r="D32" s="305" t="str">
        <f ca="1">BlankError(VLOOKUP(D$3,HiLo!$C$7:$AA$29,$A32,FALSE))</f>
        <v/>
      </c>
      <c r="E32" s="305" t="str">
        <f ca="1">BlankError(VLOOKUP(E$3,HiLo!$C$7:$AA$29,$A32,FALSE))</f>
        <v/>
      </c>
      <c r="F32" s="305" t="str">
        <f ca="1">BlankError(VLOOKUP(F$3,HiLo!$C$7:$AA$29,$A32,FALSE))</f>
        <v/>
      </c>
      <c r="G32" s="305" t="str">
        <f ca="1">BlankError(VLOOKUP(G$3,HiLo!$C$7:$AA$29,$A32,FALSE))</f>
        <v/>
      </c>
      <c r="H32" s="305" t="str">
        <f ca="1">BlankError(VLOOKUP(H$3,HiLo!$C$7:$AA$29,$A32,FALSE))</f>
        <v/>
      </c>
      <c r="I32" s="305" t="str">
        <f ca="1">BlankError(VLOOKUP(I$3,HiLo!$C$7:$AA$29,$A32,FALSE))</f>
        <v/>
      </c>
      <c r="J32" s="305" t="str">
        <f ca="1">BlankError(VLOOKUP(J$3,HiLo!$C$7:$AA$29,$A32,FALSE))</f>
        <v/>
      </c>
      <c r="K32" s="305" t="str">
        <f ca="1">BlankError(VLOOKUP(K$3,HiLo!$C$7:$AA$29,$A32,FALSE))</f>
        <v/>
      </c>
      <c r="L32" s="305" t="str">
        <f ca="1">BlankError(VLOOKUP(L$3,HiLo!$C$7:$AA$29,$A32,FALSE))</f>
        <v/>
      </c>
      <c r="M32" s="305" t="str">
        <f ca="1">BlankError(VLOOKUP(M$3,HiLo!$C$7:$AA$29,$A32,FALSE))</f>
        <v/>
      </c>
      <c r="N32" s="305" t="str">
        <f ca="1">BlankError(VLOOKUP(N$3,HiLo!$C$7:$AA$29,$A32,FALSE))</f>
        <v/>
      </c>
      <c r="O32" s="305" t="str">
        <f ca="1">BlankError(VLOOKUP(O$3,HiLo!$C$7:$AA$29,$A32,FALSE))</f>
        <v/>
      </c>
      <c r="P32" s="305" t="str">
        <f ca="1">BlankError(VLOOKUP(P$3,HiLo!$C$7:$AA$29,$A32,FALSE))</f>
        <v/>
      </c>
      <c r="Q32" s="305" t="str">
        <f ca="1">BlankError(VLOOKUP(Q$3,HiLo!$C$7:$AA$29,$A32,FALSE))</f>
        <v/>
      </c>
      <c r="R32" s="305" t="str">
        <f ca="1">BlankError(VLOOKUP(R$3,HiLo!$C$7:$AA$29,$A32,FALSE))</f>
        <v/>
      </c>
      <c r="S32" s="305" t="str">
        <f ca="1">BlankError(VLOOKUP(S$3,HiLo!$C$7:$AA$29,$A32,FALSE))</f>
        <v/>
      </c>
      <c r="T32" s="305" t="str">
        <f ca="1">BlankError(VLOOKUP(T$3,HiLo!$C$7:$AA$29,$A32,FALSE))</f>
        <v/>
      </c>
      <c r="U32" s="305" t="str">
        <f ca="1">BlankError(VLOOKUP(U$3,HiLo!$C$7:$AA$29,$A32,FALSE))</f>
        <v/>
      </c>
      <c r="V32" s="305" t="str">
        <f ca="1">BlankError(VLOOKUP(V$3,HiLo!$C$7:$AA$29,$A32,FALSE))</f>
        <v/>
      </c>
      <c r="W32" s="305" t="str">
        <f ca="1">BlankError(VLOOKUP(W$3,HiLo!$C$7:$AA$29,$A32,FALSE))</f>
        <v/>
      </c>
      <c r="X32" s="306" t="str">
        <f ca="1">BlankError(VLOOKUP(X$3,HiLo!$C$7:$AA$29,$A32,FALSE))</f>
        <v/>
      </c>
      <c r="Y32" s="306" t="str">
        <f ca="1">BlankError(VLOOKUP(Y$3,HiLo!$C$7:$AA$29,$A32,FALSE))</f>
        <v/>
      </c>
      <c r="Z32" s="306" t="str">
        <f ca="1">BlankError(VLOOKUP(Z$3,HiLo!$C$7:$AA$29,$A32,FALSE))</f>
        <v/>
      </c>
      <c r="AA32" s="306" t="str">
        <f ca="1">BlankError(VLOOKUP(AA$3,HiLo!$C$7:$AA$29,$A32,FALSE))</f>
        <v/>
      </c>
      <c r="AB32" s="230"/>
      <c r="AC32" s="927"/>
      <c r="AD32" s="307" t="str">
        <f ca="1">BlankError(COUNTIF(OFFSET($D$4,Table!$C$3/2,0,Table!$C$3/2,Table!$C$3/2),"&gt;2.5")/COUNT(OFFSET($D$4,Table!$C$3/2,0,Table!$C$3/2,Table!$C$3/2)))</f>
        <v/>
      </c>
      <c r="AE32" s="308" t="str">
        <f ca="1">BlankError(COUNTIF(OFFSET($D$4,Table!$C$3/2,Table!$C$3/2,Table!$C$3/2,Table!$C$3/2),"&gt;2.5")/COUNT(OFFSET($D$4,Table!$C$3/2,Table!$C$3/2,Table!$C$3/2,Table!$C$3/2)))</f>
        <v/>
      </c>
      <c r="AF32" s="230"/>
      <c r="AG32" s="230"/>
      <c r="AH32" s="230"/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1:59" ht="14.25">
      <c r="D33" s="309"/>
      <c r="E33" s="309"/>
      <c r="F33" s="309"/>
      <c r="G33" s="309"/>
      <c r="H33" s="309"/>
      <c r="I33" s="309"/>
      <c r="J33" s="309"/>
      <c r="K33" s="309"/>
      <c r="L33" s="309"/>
      <c r="M33" s="309"/>
      <c r="N33" s="309"/>
      <c r="O33" s="309"/>
      <c r="P33" s="309"/>
      <c r="Q33" s="309"/>
      <c r="R33" s="309"/>
      <c r="S33" s="309"/>
      <c r="T33" s="309"/>
      <c r="U33" s="309"/>
      <c r="V33" s="309"/>
      <c r="W33" s="309"/>
      <c r="X33" s="310"/>
      <c r="Y33" s="310"/>
      <c r="Z33" s="310"/>
      <c r="AA33" s="310"/>
      <c r="AB33" s="230"/>
      <c r="AC33" s="230"/>
      <c r="AD33" s="311"/>
      <c r="AE33" s="311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1:59">
      <c r="C34" s="272" t="s">
        <v>189</v>
      </c>
      <c r="D34" s="275" t="str">
        <f ca="1">BlankError(VLOOKUP(D$3,HiLo!$C$7:$AA$29,23,FALSE))</f>
        <v/>
      </c>
      <c r="E34" s="275" t="str">
        <f ca="1">BlankError(VLOOKUP(E$3,HiLo!$C$7:$AA$29,23,FALSE))</f>
        <v/>
      </c>
      <c r="F34" s="275" t="str">
        <f ca="1">BlankError(VLOOKUP(F$3,HiLo!$C$7:$AA$29,23,FALSE))</f>
        <v/>
      </c>
      <c r="G34" s="275" t="str">
        <f ca="1">BlankError(VLOOKUP(G$3,HiLo!$C$7:$AA$29,23,FALSE))</f>
        <v/>
      </c>
      <c r="H34" s="275" t="str">
        <f ca="1">BlankError(VLOOKUP(H$3,HiLo!$C$7:$AA$29,23,FALSE))</f>
        <v/>
      </c>
      <c r="I34" s="275" t="str">
        <f ca="1">BlankError(VLOOKUP(I$3,HiLo!$C$7:$AA$29,23,FALSE))</f>
        <v/>
      </c>
      <c r="J34" s="275" t="str">
        <f ca="1">BlankError(VLOOKUP(J$3,HiLo!$C$7:$AA$29,23,FALSE))</f>
        <v/>
      </c>
      <c r="K34" s="275" t="str">
        <f ca="1">BlankError(VLOOKUP(K$3,HiLo!$C$7:$AA$29,23,FALSE))</f>
        <v/>
      </c>
      <c r="L34" s="275" t="str">
        <f ca="1">BlankError(VLOOKUP(L$3,HiLo!$C$7:$AA$29,23,FALSE))</f>
        <v/>
      </c>
      <c r="M34" s="275" t="str">
        <f ca="1">BlankError(VLOOKUP(M$3,HiLo!$C$7:$AA$29,23,FALSE))</f>
        <v/>
      </c>
      <c r="N34" s="275" t="str">
        <f ca="1">BlankError(VLOOKUP(N$3,HiLo!$C$7:$AA$29,23,FALSE))</f>
        <v/>
      </c>
      <c r="O34" s="275" t="str">
        <f ca="1">BlankError(VLOOKUP(O$3,HiLo!$C$7:$AA$29,23,FALSE))</f>
        <v/>
      </c>
      <c r="P34" s="275" t="str">
        <f ca="1">BlankError(VLOOKUP(P$3,HiLo!$C$7:$AA$29,23,FALSE))</f>
        <v/>
      </c>
      <c r="Q34" s="275" t="str">
        <f ca="1">BlankError(VLOOKUP(Q$3,HiLo!$C$7:$AA$29,23,FALSE))</f>
        <v/>
      </c>
      <c r="R34" s="275" t="str">
        <f ca="1">BlankError(VLOOKUP(R$3,HiLo!$C$7:$AA$29,23,FALSE))</f>
        <v/>
      </c>
      <c r="S34" s="275" t="str">
        <f ca="1">BlankError(VLOOKUP(S$3,HiLo!$C$7:$AA$29,23,FALSE))</f>
        <v/>
      </c>
      <c r="T34" s="275" t="str">
        <f ca="1">BlankError(VLOOKUP(T$3,HiLo!$C$7:$AA$29,23,FALSE))</f>
        <v/>
      </c>
      <c r="U34" s="275" t="str">
        <f ca="1">BlankError(VLOOKUP(U$3,HiLo!$C$7:$AA$29,23,FALSE))</f>
        <v/>
      </c>
      <c r="V34" s="275" t="str">
        <f ca="1">BlankError(VLOOKUP(V$3,HiLo!$C$7:$AA$29,23,FALSE))</f>
        <v/>
      </c>
      <c r="W34" s="275" t="str">
        <f ca="1">BlankError(VLOOKUP(W$3,HiLo!$C$7:$AA$29,23,FALSE))</f>
        <v/>
      </c>
      <c r="X34" s="299" t="str">
        <f ca="1">BlankError(VLOOKUP(X$3,HiLo!$C$7:$AA$29,23,FALSE))</f>
        <v/>
      </c>
      <c r="Y34" s="299" t="str">
        <f ca="1">BlankError(VLOOKUP(Y$3,HiLo!$C$7:$AA$29,23,FALSE))</f>
        <v/>
      </c>
      <c r="Z34" s="299" t="str">
        <f ca="1">BlankError(VLOOKUP(Z$3,HiLo!$C$7:$AA$29,23,FALSE))</f>
        <v/>
      </c>
      <c r="AA34" s="299" t="str">
        <f ca="1">BlankError(VLOOKUP(AA$3,HiLo!$C$7:$AA$29,23,FALSE))</f>
        <v/>
      </c>
      <c r="AB34" s="230"/>
      <c r="AC34" s="301" t="s">
        <v>177</v>
      </c>
      <c r="AD34" s="941" t="s">
        <v>175</v>
      </c>
      <c r="AE34" s="942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1:59" ht="14.25" thickBot="1">
      <c r="C35" s="300" t="s">
        <v>190</v>
      </c>
      <c r="D35" s="278" t="str">
        <f ca="1">BlankError(VLOOKUP(D$3,HiLo!$C$7:$AA$29,24,FALSE))</f>
        <v/>
      </c>
      <c r="E35" s="278" t="str">
        <f ca="1">BlankError(VLOOKUP(E$3,HiLo!$C$7:$AA$29,24,FALSE))</f>
        <v/>
      </c>
      <c r="F35" s="278" t="str">
        <f ca="1">BlankError(VLOOKUP(F$3,HiLo!$C$7:$AA$29,24,FALSE))</f>
        <v/>
      </c>
      <c r="G35" s="278" t="str">
        <f ca="1">BlankError(VLOOKUP(G$3,HiLo!$C$7:$AA$29,24,FALSE))</f>
        <v/>
      </c>
      <c r="H35" s="278" t="str">
        <f ca="1">BlankError(VLOOKUP(H$3,HiLo!$C$7:$AA$29,24,FALSE))</f>
        <v/>
      </c>
      <c r="I35" s="278" t="str">
        <f ca="1">BlankError(VLOOKUP(I$3,HiLo!$C$7:$AA$29,24,FALSE))</f>
        <v/>
      </c>
      <c r="J35" s="278" t="str">
        <f ca="1">BlankError(VLOOKUP(J$3,HiLo!$C$7:$AA$29,24,FALSE))</f>
        <v/>
      </c>
      <c r="K35" s="278" t="str">
        <f ca="1">BlankError(VLOOKUP(K$3,HiLo!$C$7:$AA$29,24,FALSE))</f>
        <v/>
      </c>
      <c r="L35" s="278" t="str">
        <f ca="1">BlankError(VLOOKUP(L$3,HiLo!$C$7:$AA$29,24,FALSE))</f>
        <v/>
      </c>
      <c r="M35" s="278" t="str">
        <f ca="1">BlankError(VLOOKUP(M$3,HiLo!$C$7:$AA$29,24,FALSE))</f>
        <v/>
      </c>
      <c r="N35" s="278" t="str">
        <f ca="1">BlankError(VLOOKUP(N$3,HiLo!$C$7:$AA$29,24,FALSE))</f>
        <v/>
      </c>
      <c r="O35" s="278" t="str">
        <f ca="1">BlankError(VLOOKUP(O$3,HiLo!$C$7:$AA$29,24,FALSE))</f>
        <v/>
      </c>
      <c r="P35" s="278" t="str">
        <f ca="1">BlankError(VLOOKUP(P$3,HiLo!$C$7:$AA$29,24,FALSE))</f>
        <v/>
      </c>
      <c r="Q35" s="278" t="str">
        <f ca="1">BlankError(VLOOKUP(Q$3,HiLo!$C$7:$AA$29,24,FALSE))</f>
        <v/>
      </c>
      <c r="R35" s="278" t="str">
        <f ca="1">BlankError(VLOOKUP(R$3,HiLo!$C$7:$AA$29,24,FALSE))</f>
        <v/>
      </c>
      <c r="S35" s="278" t="str">
        <f ca="1">BlankError(VLOOKUP(S$3,HiLo!$C$7:$AA$29,24,FALSE))</f>
        <v/>
      </c>
      <c r="T35" s="278" t="str">
        <f ca="1">BlankError(VLOOKUP(T$3,HiLo!$C$7:$AA$29,24,FALSE))</f>
        <v/>
      </c>
      <c r="U35" s="278" t="str">
        <f ca="1">BlankError(VLOOKUP(U$3,HiLo!$C$7:$AA$29,24,FALSE))</f>
        <v/>
      </c>
      <c r="V35" s="278" t="str">
        <f ca="1">BlankError(VLOOKUP(V$3,HiLo!$C$7:$AA$29,24,FALSE))</f>
        <v/>
      </c>
      <c r="W35" s="278" t="str">
        <f ca="1">BlankError(VLOOKUP(W$3,HiLo!$C$7:$AA$29,24,FALSE))</f>
        <v/>
      </c>
      <c r="X35" s="281" t="str">
        <f ca="1">BlankError(VLOOKUP(X$3,HiLo!$C$7:$AA$29,24,FALSE))</f>
        <v/>
      </c>
      <c r="Y35" s="281" t="str">
        <f ca="1">BlankError(VLOOKUP(Y$3,HiLo!$C$7:$AA$29,24,FALSE))</f>
        <v/>
      </c>
      <c r="Z35" s="281" t="str">
        <f ca="1">BlankError(VLOOKUP(Z$3,HiLo!$C$7:$AA$29,24,FALSE))</f>
        <v/>
      </c>
      <c r="AA35" s="281" t="str">
        <f ca="1">BlankError(VLOOKUP(AA$3,HiLo!$C$7:$AA$29,24,FALSE))</f>
        <v/>
      </c>
      <c r="AB35" s="230"/>
      <c r="AC35" s="926" t="s">
        <v>181</v>
      </c>
      <c r="AD35" s="302" t="str">
        <f ca="1">BlankError(COUNTIF(OFFSET($D$4,0,0,Table!$C$3/2,Table!$C$3/2),"&lt;2.5")/COUNT(OFFSET($D$4,0,0,Table!$C$3/2,Table!$C$3/2)))</f>
        <v/>
      </c>
      <c r="AE35" s="303" t="str">
        <f ca="1">BlankError(COUNTIF(OFFSET($D$4,0,Table!$C$3/2,Table!$C$3/2,Table!$C$3/2),"&lt;2.5")/COUNT(OFFSET($D$4,0,Table!$C$3/2,Table!$C$3/2,Table!$C$3/2)))</f>
        <v/>
      </c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1:59">
      <c r="C36" s="300" t="s">
        <v>191</v>
      </c>
      <c r="D36" s="278" t="str">
        <f ca="1">BlankError(VLOOKUP(D$3,HiLo!$C$7:$AA$29,25,FALSE))</f>
        <v/>
      </c>
      <c r="E36" s="278" t="str">
        <f ca="1">BlankError(VLOOKUP(E$3,HiLo!$C$7:$AA$29,25,FALSE))</f>
        <v/>
      </c>
      <c r="F36" s="278" t="str">
        <f ca="1">BlankError(VLOOKUP(F$3,HiLo!$C$7:$AA$29,25,FALSE))</f>
        <v/>
      </c>
      <c r="G36" s="278" t="str">
        <f ca="1">BlankError(VLOOKUP(G$3,HiLo!$C$7:$AA$29,25,FALSE))</f>
        <v/>
      </c>
      <c r="H36" s="278" t="str">
        <f ca="1">BlankError(VLOOKUP(H$3,HiLo!$C$7:$AA$29,25,FALSE))</f>
        <v/>
      </c>
      <c r="I36" s="278" t="str">
        <f ca="1">BlankError(VLOOKUP(I$3,HiLo!$C$7:$AA$29,25,FALSE))</f>
        <v/>
      </c>
      <c r="J36" s="278" t="str">
        <f ca="1">BlankError(VLOOKUP(J$3,HiLo!$C$7:$AA$29,25,FALSE))</f>
        <v/>
      </c>
      <c r="K36" s="278" t="str">
        <f ca="1">BlankError(VLOOKUP(K$3,HiLo!$C$7:$AA$29,25,FALSE))</f>
        <v/>
      </c>
      <c r="L36" s="278" t="str">
        <f ca="1">BlankError(VLOOKUP(L$3,HiLo!$C$7:$AA$29,25,FALSE))</f>
        <v/>
      </c>
      <c r="M36" s="278" t="str">
        <f ca="1">BlankError(VLOOKUP(M$3,HiLo!$C$7:$AA$29,25,FALSE))</f>
        <v/>
      </c>
      <c r="N36" s="278" t="str">
        <f ca="1">BlankError(VLOOKUP(N$3,HiLo!$C$7:$AA$29,25,FALSE))</f>
        <v/>
      </c>
      <c r="O36" s="278" t="str">
        <f ca="1">BlankError(VLOOKUP(O$3,HiLo!$C$7:$AA$29,25,FALSE))</f>
        <v/>
      </c>
      <c r="P36" s="278" t="str">
        <f ca="1">BlankError(VLOOKUP(P$3,HiLo!$C$7:$AA$29,25,FALSE))</f>
        <v/>
      </c>
      <c r="Q36" s="278" t="str">
        <f ca="1">BlankError(VLOOKUP(Q$3,HiLo!$C$7:$AA$29,25,FALSE))</f>
        <v/>
      </c>
      <c r="R36" s="278" t="str">
        <f ca="1">BlankError(VLOOKUP(R$3,HiLo!$C$7:$AA$29,25,FALSE))</f>
        <v/>
      </c>
      <c r="S36" s="278" t="str">
        <f ca="1">BlankError(VLOOKUP(S$3,HiLo!$C$7:$AA$29,25,FALSE))</f>
        <v/>
      </c>
      <c r="T36" s="278" t="str">
        <f ca="1">BlankError(VLOOKUP(T$3,HiLo!$C$7:$AA$29,25,FALSE))</f>
        <v/>
      </c>
      <c r="U36" s="278" t="str">
        <f ca="1">BlankError(VLOOKUP(U$3,HiLo!$C$7:$AA$29,25,FALSE))</f>
        <v/>
      </c>
      <c r="V36" s="278" t="str">
        <f ca="1">BlankError(VLOOKUP(V$3,HiLo!$C$7:$AA$29,25,FALSE))</f>
        <v/>
      </c>
      <c r="W36" s="278" t="str">
        <f ca="1">BlankError(VLOOKUP(W$3,HiLo!$C$7:$AA$29,25,FALSE))</f>
        <v/>
      </c>
      <c r="X36" s="281" t="str">
        <f ca="1">BlankError(VLOOKUP(X$3,HiLo!$C$7:$AA$29,25,FALSE))</f>
        <v/>
      </c>
      <c r="Y36" s="281" t="str">
        <f ca="1">BlankError(VLOOKUP(Y$3,HiLo!$C$7:$AA$29,25,FALSE))</f>
        <v/>
      </c>
      <c r="Z36" s="281" t="str">
        <f ca="1">BlankError(VLOOKUP(Z$3,HiLo!$C$7:$AA$29,25,FALSE))</f>
        <v/>
      </c>
      <c r="AA36" s="281" t="str">
        <f ca="1">BlankError(VLOOKUP(AA$3,HiLo!$C$7:$AA$29,25,FALSE))</f>
        <v/>
      </c>
      <c r="AB36" s="230"/>
      <c r="AC36" s="927"/>
      <c r="AD36" s="307" t="str">
        <f ca="1">BlankError(COUNTIF(OFFSET($D$4,Table!$C$3/2,0,Table!$C$3/2,Table!$C$3/2),"&lt;2.5")/COUNT(OFFSET($D$4,Table!$C$3/2,0,Table!$C$3/2,Table!$C$3/2)))</f>
        <v/>
      </c>
      <c r="AE36" s="308" t="str">
        <f ca="1">BlankError(COUNTIF(OFFSET($D$4,Table!$C$3/2,Table!$C$3/2,Table!$C$3/2,Table!$C$3/2),"&lt;2.5")/COUNT(OFFSET($D$4,Table!$C$3/2,Table!$C$3/2,Table!$C$3/2,Table!$C$3/2)))</f>
        <v/>
      </c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1:59" ht="14.25">
      <c r="A37" s="257">
        <f>IF($B37="Lo",21,IF($B37="Hi",19,"??"))</f>
        <v>21</v>
      </c>
      <c r="B37" s="304" t="str">
        <f>B32</f>
        <v>Lo</v>
      </c>
      <c r="C37" s="223" t="str">
        <f>"Overall "&amp;$B$32&amp;" %"</f>
        <v>Overall Lo %</v>
      </c>
      <c r="D37" s="305" t="str">
        <f ca="1">BlankError(VLOOKUP(D$3,HiLo!$C$7:$AA$29,$A37,FALSE))</f>
        <v/>
      </c>
      <c r="E37" s="305" t="str">
        <f ca="1">BlankError(VLOOKUP(E$3,HiLo!$C$7:$AA$29,$A37,FALSE))</f>
        <v/>
      </c>
      <c r="F37" s="305" t="str">
        <f ca="1">BlankError(VLOOKUP(F$3,HiLo!$C$7:$AA$29,$A37,FALSE))</f>
        <v/>
      </c>
      <c r="G37" s="305" t="str">
        <f ca="1">BlankError(VLOOKUP(G$3,HiLo!$C$7:$AA$29,$A37,FALSE))</f>
        <v/>
      </c>
      <c r="H37" s="305" t="str">
        <f ca="1">BlankError(VLOOKUP(H$3,HiLo!$C$7:$AA$29,$A37,FALSE))</f>
        <v/>
      </c>
      <c r="I37" s="305" t="str">
        <f ca="1">BlankError(VLOOKUP(I$3,HiLo!$C$7:$AA$29,$A37,FALSE))</f>
        <v/>
      </c>
      <c r="J37" s="305" t="str">
        <f ca="1">BlankError(VLOOKUP(J$3,HiLo!$C$7:$AA$29,$A37,FALSE))</f>
        <v/>
      </c>
      <c r="K37" s="305" t="str">
        <f ca="1">BlankError(VLOOKUP(K$3,HiLo!$C$7:$AA$29,$A37,FALSE))</f>
        <v/>
      </c>
      <c r="L37" s="305" t="str">
        <f ca="1">BlankError(VLOOKUP(L$3,HiLo!$C$7:$AA$29,$A37,FALSE))</f>
        <v/>
      </c>
      <c r="M37" s="305" t="str">
        <f ca="1">BlankError(VLOOKUP(M$3,HiLo!$C$7:$AA$29,$A37,FALSE))</f>
        <v/>
      </c>
      <c r="N37" s="305" t="str">
        <f ca="1">BlankError(VLOOKUP(N$3,HiLo!$C$7:$AA$29,$A37,FALSE))</f>
        <v/>
      </c>
      <c r="O37" s="305" t="str">
        <f ca="1">BlankError(VLOOKUP(O$3,HiLo!$C$7:$AA$29,$A37,FALSE))</f>
        <v/>
      </c>
      <c r="P37" s="305" t="str">
        <f ca="1">BlankError(VLOOKUP(P$3,HiLo!$C$7:$AA$29,$A37,FALSE))</f>
        <v/>
      </c>
      <c r="Q37" s="305" t="str">
        <f ca="1">BlankError(VLOOKUP(Q$3,HiLo!$C$7:$AA$29,$A37,FALSE))</f>
        <v/>
      </c>
      <c r="R37" s="305" t="str">
        <f ca="1">BlankError(VLOOKUP(R$3,HiLo!$C$7:$AA$29,$A37,FALSE))</f>
        <v/>
      </c>
      <c r="S37" s="305" t="str">
        <f ca="1">BlankError(VLOOKUP(S$3,HiLo!$C$7:$AA$29,$A37,FALSE))</f>
        <v/>
      </c>
      <c r="T37" s="305" t="str">
        <f ca="1">BlankError(VLOOKUP(T$3,HiLo!$C$7:$AA$29,$A37,FALSE))</f>
        <v/>
      </c>
      <c r="U37" s="305" t="str">
        <f ca="1">BlankError(VLOOKUP(U$3,HiLo!$C$7:$AA$29,$A37,FALSE))</f>
        <v/>
      </c>
      <c r="V37" s="305" t="str">
        <f ca="1">BlankError(VLOOKUP(V$3,HiLo!$C$7:$AA$29,$A37,FALSE))</f>
        <v/>
      </c>
      <c r="W37" s="305" t="str">
        <f ca="1">BlankError(VLOOKUP(W$3,HiLo!$C$7:$AA$29,$A37,FALSE))</f>
        <v/>
      </c>
      <c r="X37" s="306" t="str">
        <f ca="1">BlankError(VLOOKUP(X$3,HiLo!$C$7:$AA$29,$A37,FALSE))</f>
        <v/>
      </c>
      <c r="Y37" s="306" t="str">
        <f ca="1">BlankError(VLOOKUP(Y$3,HiLo!$C$7:$AA$29,$A37,FALSE))</f>
        <v/>
      </c>
      <c r="Z37" s="306" t="str">
        <f ca="1">BlankError(VLOOKUP(Z$3,HiLo!$C$7:$AA$29,$A37,FALSE))</f>
        <v/>
      </c>
      <c r="AA37" s="306" t="str">
        <f ca="1">BlankError(VLOOKUP(AA$3,HiLo!$C$7:$AA$29,$A37,FALSE))</f>
        <v/>
      </c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1:59"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1:59"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1:59">
      <c r="A40" s="253" t="str">
        <f>BlankError(HDCLine(sheetname($C40),A$3,$C$2))</f>
        <v/>
      </c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1:59" ht="14.25">
      <c r="C41" s="215" t="s">
        <v>192</v>
      </c>
      <c r="D41" s="312" t="s">
        <v>175</v>
      </c>
      <c r="E41" s="313"/>
      <c r="F41" s="313"/>
      <c r="G41" s="313"/>
      <c r="H41" s="313"/>
      <c r="I41" s="313"/>
      <c r="J41" s="313"/>
      <c r="K41" s="313"/>
      <c r="L41" s="313"/>
      <c r="M41" s="313"/>
      <c r="N41" s="313"/>
      <c r="O41" s="313"/>
      <c r="P41" s="313"/>
      <c r="Q41" s="313"/>
      <c r="R41" s="313"/>
      <c r="S41" s="313"/>
      <c r="T41" s="313"/>
      <c r="U41" s="313"/>
      <c r="V41" s="313"/>
      <c r="W41" s="313"/>
      <c r="X41" s="314"/>
      <c r="Y41" s="314"/>
      <c r="Z41" s="314"/>
      <c r="AA41" s="315"/>
      <c r="AB41" s="316"/>
      <c r="AC41" s="230"/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  <c r="AP41" s="230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1:59">
      <c r="B42" s="928"/>
      <c r="C42" s="317"/>
      <c r="D42" s="259"/>
      <c r="E42" s="260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98"/>
      <c r="Y42" s="298"/>
      <c r="Z42" s="298"/>
      <c r="AA42" s="318"/>
      <c r="AB42" s="316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1:59" ht="82.5" customHeight="1">
      <c r="B43" s="929"/>
      <c r="C43" s="319" t="s">
        <v>60</v>
      </c>
      <c r="D43" s="269" t="e">
        <f ca="1">D3</f>
        <v>#REF!</v>
      </c>
      <c r="E43" s="270" t="e">
        <f ca="1">E$3</f>
        <v>#REF!</v>
      </c>
      <c r="F43" s="270" t="e">
        <f t="shared" ref="F43:AA43" ca="1" si="0">F$3</f>
        <v>#REF!</v>
      </c>
      <c r="G43" s="270" t="e">
        <f t="shared" ca="1" si="0"/>
        <v>#REF!</v>
      </c>
      <c r="H43" s="270" t="e">
        <f t="shared" ca="1" si="0"/>
        <v>#REF!</v>
      </c>
      <c r="I43" s="270" t="e">
        <f t="shared" ca="1" si="0"/>
        <v>#REF!</v>
      </c>
      <c r="J43" s="270" t="e">
        <f t="shared" ca="1" si="0"/>
        <v>#REF!</v>
      </c>
      <c r="K43" s="270" t="e">
        <f t="shared" ca="1" si="0"/>
        <v>#REF!</v>
      </c>
      <c r="L43" s="270" t="e">
        <f t="shared" ca="1" si="0"/>
        <v>#REF!</v>
      </c>
      <c r="M43" s="270" t="e">
        <f t="shared" ca="1" si="0"/>
        <v>#REF!</v>
      </c>
      <c r="N43" s="270" t="e">
        <f t="shared" ca="1" si="0"/>
        <v>#REF!</v>
      </c>
      <c r="O43" s="270" t="e">
        <f t="shared" ca="1" si="0"/>
        <v>#REF!</v>
      </c>
      <c r="P43" s="270" t="e">
        <f t="shared" ca="1" si="0"/>
        <v>#REF!</v>
      </c>
      <c r="Q43" s="270" t="e">
        <f t="shared" ca="1" si="0"/>
        <v>#REF!</v>
      </c>
      <c r="R43" s="270" t="e">
        <f t="shared" ca="1" si="0"/>
        <v>#REF!</v>
      </c>
      <c r="S43" s="270" t="e">
        <f t="shared" ca="1" si="0"/>
        <v>#REF!</v>
      </c>
      <c r="T43" s="270" t="e">
        <f t="shared" ca="1" si="0"/>
        <v>#REF!</v>
      </c>
      <c r="U43" s="270" t="e">
        <f t="shared" ca="1" si="0"/>
        <v>#REF!</v>
      </c>
      <c r="V43" s="270" t="e">
        <f t="shared" ca="1" si="0"/>
        <v>#REF!</v>
      </c>
      <c r="W43" s="270" t="e">
        <f t="shared" ca="1" si="0"/>
        <v>#REF!</v>
      </c>
      <c r="X43" s="320" t="str">
        <f t="shared" si="0"/>
        <v/>
      </c>
      <c r="Y43" s="320" t="str">
        <f t="shared" si="0"/>
        <v/>
      </c>
      <c r="Z43" s="320" t="str">
        <f t="shared" si="0"/>
        <v/>
      </c>
      <c r="AA43" s="321" t="str">
        <f t="shared" si="0"/>
        <v/>
      </c>
      <c r="AB43" s="316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1:59" ht="14.25">
      <c r="A44" s="930" t="s">
        <v>181</v>
      </c>
      <c r="B44" s="272"/>
      <c r="C44" s="322" t="e">
        <f ca="1">C4</f>
        <v>#REF!</v>
      </c>
      <c r="D44" s="274" t="s">
        <v>32</v>
      </c>
      <c r="E44" s="323" t="s">
        <v>32</v>
      </c>
      <c r="F44" s="323" t="s">
        <v>32</v>
      </c>
      <c r="G44" s="323" t="s">
        <v>32</v>
      </c>
      <c r="H44" s="323" t="s">
        <v>32</v>
      </c>
      <c r="I44" s="323" t="s">
        <v>32</v>
      </c>
      <c r="J44" s="323" t="s">
        <v>32</v>
      </c>
      <c r="K44" s="323" t="s">
        <v>32</v>
      </c>
      <c r="L44" s="323" t="s">
        <v>32</v>
      </c>
      <c r="M44" s="323" t="s">
        <v>32</v>
      </c>
      <c r="N44" s="323" t="s">
        <v>32</v>
      </c>
      <c r="O44" s="323" t="s">
        <v>32</v>
      </c>
      <c r="P44" s="323" t="s">
        <v>32</v>
      </c>
      <c r="Q44" s="323" t="s">
        <v>32</v>
      </c>
      <c r="R44" s="323" t="s">
        <v>32</v>
      </c>
      <c r="S44" s="323" t="s">
        <v>32</v>
      </c>
      <c r="T44" s="323" t="s">
        <v>32</v>
      </c>
      <c r="U44" s="323" t="s">
        <v>32</v>
      </c>
      <c r="V44" s="323" t="s">
        <v>32</v>
      </c>
      <c r="W44" s="323" t="s">
        <v>32</v>
      </c>
      <c r="X44" s="324" t="s">
        <v>32</v>
      </c>
      <c r="Y44" s="324" t="s">
        <v>32</v>
      </c>
      <c r="Z44" s="324" t="s">
        <v>32</v>
      </c>
      <c r="AA44" s="325" t="s">
        <v>32</v>
      </c>
      <c r="AB44" s="316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1:59" ht="14.25">
      <c r="A45" s="931"/>
      <c r="B45" s="284"/>
      <c r="C45" s="322" t="e">
        <f t="shared" ref="C45:C67" ca="1" si="1">C5</f>
        <v>#REF!</v>
      </c>
      <c r="D45" s="326" t="s">
        <v>32</v>
      </c>
      <c r="E45" s="280" t="s">
        <v>32</v>
      </c>
      <c r="F45" s="327" t="s">
        <v>32</v>
      </c>
      <c r="G45" s="327" t="s">
        <v>32</v>
      </c>
      <c r="H45" s="327" t="s">
        <v>32</v>
      </c>
      <c r="I45" s="327" t="s">
        <v>32</v>
      </c>
      <c r="J45" s="327" t="s">
        <v>32</v>
      </c>
      <c r="K45" s="327" t="s">
        <v>32</v>
      </c>
      <c r="L45" s="327" t="s">
        <v>32</v>
      </c>
      <c r="M45" s="327" t="s">
        <v>32</v>
      </c>
      <c r="N45" s="327" t="s">
        <v>32</v>
      </c>
      <c r="O45" s="327" t="s">
        <v>32</v>
      </c>
      <c r="P45" s="327" t="s">
        <v>32</v>
      </c>
      <c r="Q45" s="327" t="s">
        <v>32</v>
      </c>
      <c r="R45" s="327" t="s">
        <v>32</v>
      </c>
      <c r="S45" s="327" t="s">
        <v>32</v>
      </c>
      <c r="T45" s="327" t="s">
        <v>32</v>
      </c>
      <c r="U45" s="327" t="s">
        <v>32</v>
      </c>
      <c r="V45" s="327" t="s">
        <v>32</v>
      </c>
      <c r="W45" s="327" t="s">
        <v>32</v>
      </c>
      <c r="X45" s="328" t="s">
        <v>32</v>
      </c>
      <c r="Y45" s="328" t="s">
        <v>32</v>
      </c>
      <c r="Z45" s="328" t="s">
        <v>32</v>
      </c>
      <c r="AA45" s="329" t="s">
        <v>32</v>
      </c>
      <c r="AB45" s="316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1:59" ht="14.25">
      <c r="A46" s="931"/>
      <c r="B46" s="284"/>
      <c r="C46" s="322" t="e">
        <f t="shared" ca="1" si="1"/>
        <v>#REF!</v>
      </c>
      <c r="D46" s="326" t="s">
        <v>32</v>
      </c>
      <c r="E46" s="327" t="s">
        <v>32</v>
      </c>
      <c r="F46" s="280" t="s">
        <v>32</v>
      </c>
      <c r="G46" s="327" t="s">
        <v>32</v>
      </c>
      <c r="H46" s="327" t="s">
        <v>32</v>
      </c>
      <c r="I46" s="327" t="s">
        <v>32</v>
      </c>
      <c r="J46" s="327" t="s">
        <v>32</v>
      </c>
      <c r="K46" s="327" t="s">
        <v>32</v>
      </c>
      <c r="L46" s="327" t="s">
        <v>32</v>
      </c>
      <c r="M46" s="327" t="s">
        <v>32</v>
      </c>
      <c r="N46" s="327" t="s">
        <v>32</v>
      </c>
      <c r="O46" s="327" t="s">
        <v>32</v>
      </c>
      <c r="P46" s="327" t="s">
        <v>32</v>
      </c>
      <c r="Q46" s="327" t="s">
        <v>32</v>
      </c>
      <c r="R46" s="327" t="s">
        <v>32</v>
      </c>
      <c r="S46" s="327" t="s">
        <v>32</v>
      </c>
      <c r="T46" s="327" t="s">
        <v>32</v>
      </c>
      <c r="U46" s="327" t="s">
        <v>32</v>
      </c>
      <c r="V46" s="327" t="s">
        <v>32</v>
      </c>
      <c r="W46" s="327" t="s">
        <v>32</v>
      </c>
      <c r="X46" s="328" t="s">
        <v>32</v>
      </c>
      <c r="Y46" s="328" t="s">
        <v>32</v>
      </c>
      <c r="Z46" s="328" t="s">
        <v>32</v>
      </c>
      <c r="AA46" s="329" t="s">
        <v>32</v>
      </c>
      <c r="AB46" s="316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1:59" ht="14.25">
      <c r="A47" s="931"/>
      <c r="B47" s="284"/>
      <c r="C47" s="322" t="e">
        <f t="shared" ca="1" si="1"/>
        <v>#REF!</v>
      </c>
      <c r="D47" s="326" t="s">
        <v>32</v>
      </c>
      <c r="E47" s="327" t="s">
        <v>32</v>
      </c>
      <c r="F47" s="327" t="s">
        <v>32</v>
      </c>
      <c r="G47" s="280" t="s">
        <v>32</v>
      </c>
      <c r="H47" s="327" t="s">
        <v>32</v>
      </c>
      <c r="I47" s="327" t="s">
        <v>32</v>
      </c>
      <c r="J47" s="327" t="s">
        <v>32</v>
      </c>
      <c r="K47" s="327" t="s">
        <v>32</v>
      </c>
      <c r="L47" s="327" t="s">
        <v>32</v>
      </c>
      <c r="M47" s="327" t="s">
        <v>32</v>
      </c>
      <c r="N47" s="327" t="s">
        <v>32</v>
      </c>
      <c r="O47" s="327" t="s">
        <v>32</v>
      </c>
      <c r="P47" s="327" t="s">
        <v>32</v>
      </c>
      <c r="Q47" s="327" t="s">
        <v>32</v>
      </c>
      <c r="R47" s="327" t="s">
        <v>32</v>
      </c>
      <c r="S47" s="327" t="s">
        <v>32</v>
      </c>
      <c r="T47" s="327" t="s">
        <v>32</v>
      </c>
      <c r="U47" s="327" t="s">
        <v>32</v>
      </c>
      <c r="V47" s="327" t="s">
        <v>32</v>
      </c>
      <c r="W47" s="327" t="s">
        <v>32</v>
      </c>
      <c r="X47" s="328" t="s">
        <v>32</v>
      </c>
      <c r="Y47" s="328" t="s">
        <v>32</v>
      </c>
      <c r="Z47" s="328" t="s">
        <v>32</v>
      </c>
      <c r="AA47" s="329" t="s">
        <v>32</v>
      </c>
      <c r="AB47" s="316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1:59" ht="14.25">
      <c r="A48" s="931"/>
      <c r="B48" s="284"/>
      <c r="C48" s="322" t="e">
        <f t="shared" ca="1" si="1"/>
        <v>#REF!</v>
      </c>
      <c r="D48" s="326" t="s">
        <v>32</v>
      </c>
      <c r="E48" s="327" t="s">
        <v>32</v>
      </c>
      <c r="F48" s="327" t="s">
        <v>32</v>
      </c>
      <c r="G48" s="327" t="s">
        <v>32</v>
      </c>
      <c r="H48" s="280" t="s">
        <v>32</v>
      </c>
      <c r="I48" s="327" t="s">
        <v>32</v>
      </c>
      <c r="J48" s="327" t="s">
        <v>32</v>
      </c>
      <c r="K48" s="327" t="s">
        <v>32</v>
      </c>
      <c r="L48" s="327" t="s">
        <v>32</v>
      </c>
      <c r="M48" s="327" t="s">
        <v>32</v>
      </c>
      <c r="N48" s="327" t="s">
        <v>32</v>
      </c>
      <c r="O48" s="327" t="s">
        <v>32</v>
      </c>
      <c r="P48" s="327" t="s">
        <v>32</v>
      </c>
      <c r="Q48" s="327" t="s">
        <v>32</v>
      </c>
      <c r="R48" s="327" t="s">
        <v>32</v>
      </c>
      <c r="S48" s="327" t="s">
        <v>32</v>
      </c>
      <c r="T48" s="327" t="s">
        <v>32</v>
      </c>
      <c r="U48" s="327" t="s">
        <v>32</v>
      </c>
      <c r="V48" s="327" t="s">
        <v>32</v>
      </c>
      <c r="W48" s="327" t="s">
        <v>32</v>
      </c>
      <c r="X48" s="328" t="s">
        <v>32</v>
      </c>
      <c r="Y48" s="328" t="s">
        <v>32</v>
      </c>
      <c r="Z48" s="328" t="s">
        <v>32</v>
      </c>
      <c r="AA48" s="329" t="s">
        <v>32</v>
      </c>
      <c r="AB48" s="316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1:59" ht="14.25">
      <c r="A49" s="931"/>
      <c r="B49" s="284"/>
      <c r="C49" s="322" t="e">
        <f t="shared" ca="1" si="1"/>
        <v>#REF!</v>
      </c>
      <c r="D49" s="326" t="s">
        <v>32</v>
      </c>
      <c r="E49" s="327" t="s">
        <v>32</v>
      </c>
      <c r="F49" s="327" t="s">
        <v>32</v>
      </c>
      <c r="G49" s="327" t="s">
        <v>32</v>
      </c>
      <c r="H49" s="327" t="s">
        <v>32</v>
      </c>
      <c r="I49" s="280" t="s">
        <v>32</v>
      </c>
      <c r="J49" s="327" t="s">
        <v>32</v>
      </c>
      <c r="K49" s="327" t="s">
        <v>32</v>
      </c>
      <c r="L49" s="327" t="s">
        <v>32</v>
      </c>
      <c r="M49" s="327" t="s">
        <v>32</v>
      </c>
      <c r="N49" s="327" t="s">
        <v>32</v>
      </c>
      <c r="O49" s="327" t="s">
        <v>32</v>
      </c>
      <c r="P49" s="327" t="s">
        <v>32</v>
      </c>
      <c r="Q49" s="327" t="s">
        <v>32</v>
      </c>
      <c r="R49" s="327" t="s">
        <v>32</v>
      </c>
      <c r="S49" s="327" t="s">
        <v>32</v>
      </c>
      <c r="T49" s="327" t="s">
        <v>32</v>
      </c>
      <c r="U49" s="327" t="s">
        <v>32</v>
      </c>
      <c r="V49" s="327" t="s">
        <v>32</v>
      </c>
      <c r="W49" s="327" t="s">
        <v>32</v>
      </c>
      <c r="X49" s="328" t="s">
        <v>32</v>
      </c>
      <c r="Y49" s="328" t="s">
        <v>32</v>
      </c>
      <c r="Z49" s="328" t="s">
        <v>32</v>
      </c>
      <c r="AA49" s="329" t="s">
        <v>32</v>
      </c>
      <c r="AB49" s="316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1:59" ht="14.25">
      <c r="A50" s="931"/>
      <c r="B50" s="284"/>
      <c r="C50" s="322" t="e">
        <f t="shared" ca="1" si="1"/>
        <v>#REF!</v>
      </c>
      <c r="D50" s="326" t="s">
        <v>32</v>
      </c>
      <c r="E50" s="327" t="s">
        <v>32</v>
      </c>
      <c r="F50" s="327" t="s">
        <v>32</v>
      </c>
      <c r="G50" s="327" t="s">
        <v>32</v>
      </c>
      <c r="H50" s="327" t="s">
        <v>32</v>
      </c>
      <c r="I50" s="327" t="s">
        <v>32</v>
      </c>
      <c r="J50" s="280" t="s">
        <v>32</v>
      </c>
      <c r="K50" s="327" t="s">
        <v>32</v>
      </c>
      <c r="L50" s="327" t="s">
        <v>32</v>
      </c>
      <c r="M50" s="327" t="s">
        <v>32</v>
      </c>
      <c r="N50" s="327" t="s">
        <v>32</v>
      </c>
      <c r="O50" s="327" t="s">
        <v>32</v>
      </c>
      <c r="P50" s="327" t="s">
        <v>32</v>
      </c>
      <c r="Q50" s="327" t="s">
        <v>32</v>
      </c>
      <c r="R50" s="327" t="s">
        <v>32</v>
      </c>
      <c r="S50" s="327" t="s">
        <v>32</v>
      </c>
      <c r="T50" s="327" t="s">
        <v>32</v>
      </c>
      <c r="U50" s="327" t="s">
        <v>32</v>
      </c>
      <c r="V50" s="327" t="s">
        <v>32</v>
      </c>
      <c r="W50" s="327" t="s">
        <v>32</v>
      </c>
      <c r="X50" s="328" t="s">
        <v>32</v>
      </c>
      <c r="Y50" s="328" t="s">
        <v>32</v>
      </c>
      <c r="Z50" s="328" t="s">
        <v>32</v>
      </c>
      <c r="AA50" s="329" t="s">
        <v>32</v>
      </c>
      <c r="AB50" s="316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1:59" ht="14.25">
      <c r="A51" s="931"/>
      <c r="B51" s="284"/>
      <c r="C51" s="322" t="e">
        <f t="shared" ca="1" si="1"/>
        <v>#REF!</v>
      </c>
      <c r="D51" s="326" t="s">
        <v>32</v>
      </c>
      <c r="E51" s="327" t="s">
        <v>32</v>
      </c>
      <c r="F51" s="327" t="s">
        <v>32</v>
      </c>
      <c r="G51" s="327" t="s">
        <v>32</v>
      </c>
      <c r="H51" s="327" t="s">
        <v>32</v>
      </c>
      <c r="I51" s="327" t="s">
        <v>32</v>
      </c>
      <c r="J51" s="327" t="s">
        <v>32</v>
      </c>
      <c r="K51" s="280" t="s">
        <v>32</v>
      </c>
      <c r="L51" s="327" t="s">
        <v>32</v>
      </c>
      <c r="M51" s="327" t="s">
        <v>32</v>
      </c>
      <c r="N51" s="327" t="s">
        <v>32</v>
      </c>
      <c r="O51" s="327" t="s">
        <v>32</v>
      </c>
      <c r="P51" s="327" t="s">
        <v>32</v>
      </c>
      <c r="Q51" s="327" t="s">
        <v>32</v>
      </c>
      <c r="R51" s="327" t="s">
        <v>32</v>
      </c>
      <c r="S51" s="327" t="s">
        <v>32</v>
      </c>
      <c r="T51" s="327" t="s">
        <v>32</v>
      </c>
      <c r="U51" s="327" t="s">
        <v>32</v>
      </c>
      <c r="V51" s="327" t="s">
        <v>32</v>
      </c>
      <c r="W51" s="327" t="s">
        <v>32</v>
      </c>
      <c r="X51" s="328" t="s">
        <v>32</v>
      </c>
      <c r="Y51" s="328" t="s">
        <v>32</v>
      </c>
      <c r="Z51" s="328" t="s">
        <v>32</v>
      </c>
      <c r="AA51" s="329" t="s">
        <v>32</v>
      </c>
      <c r="AB51" s="316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1:59" ht="14.25">
      <c r="A52" s="931"/>
      <c r="B52" s="284"/>
      <c r="C52" s="322" t="e">
        <f t="shared" ca="1" si="1"/>
        <v>#REF!</v>
      </c>
      <c r="D52" s="326" t="s">
        <v>32</v>
      </c>
      <c r="E52" s="327" t="s">
        <v>32</v>
      </c>
      <c r="F52" s="327" t="s">
        <v>32</v>
      </c>
      <c r="G52" s="327" t="s">
        <v>32</v>
      </c>
      <c r="H52" s="327" t="s">
        <v>32</v>
      </c>
      <c r="I52" s="327" t="s">
        <v>32</v>
      </c>
      <c r="J52" s="327" t="s">
        <v>32</v>
      </c>
      <c r="K52" s="327" t="s">
        <v>32</v>
      </c>
      <c r="L52" s="280" t="s">
        <v>32</v>
      </c>
      <c r="M52" s="327" t="s">
        <v>32</v>
      </c>
      <c r="N52" s="327" t="s">
        <v>32</v>
      </c>
      <c r="O52" s="327" t="s">
        <v>32</v>
      </c>
      <c r="P52" s="327" t="s">
        <v>32</v>
      </c>
      <c r="Q52" s="327" t="s">
        <v>32</v>
      </c>
      <c r="R52" s="327" t="s">
        <v>32</v>
      </c>
      <c r="S52" s="327" t="s">
        <v>32</v>
      </c>
      <c r="T52" s="327" t="s">
        <v>32</v>
      </c>
      <c r="U52" s="327" t="s">
        <v>32</v>
      </c>
      <c r="V52" s="327" t="s">
        <v>32</v>
      </c>
      <c r="W52" s="327" t="s">
        <v>32</v>
      </c>
      <c r="X52" s="328" t="s">
        <v>32</v>
      </c>
      <c r="Y52" s="328" t="s">
        <v>32</v>
      </c>
      <c r="Z52" s="328" t="s">
        <v>32</v>
      </c>
      <c r="AA52" s="329" t="s">
        <v>32</v>
      </c>
      <c r="AB52" s="316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1:59" ht="14.25">
      <c r="A53" s="931"/>
      <c r="B53" s="284"/>
      <c r="C53" s="322" t="e">
        <f t="shared" ca="1" si="1"/>
        <v>#REF!</v>
      </c>
      <c r="D53" s="326" t="s">
        <v>32</v>
      </c>
      <c r="E53" s="327" t="s">
        <v>32</v>
      </c>
      <c r="F53" s="327" t="s">
        <v>32</v>
      </c>
      <c r="G53" s="327" t="s">
        <v>32</v>
      </c>
      <c r="H53" s="327" t="s">
        <v>32</v>
      </c>
      <c r="I53" s="327" t="s">
        <v>32</v>
      </c>
      <c r="J53" s="327" t="s">
        <v>32</v>
      </c>
      <c r="K53" s="327" t="s">
        <v>32</v>
      </c>
      <c r="L53" s="327" t="s">
        <v>32</v>
      </c>
      <c r="M53" s="280" t="s">
        <v>32</v>
      </c>
      <c r="N53" s="327" t="s">
        <v>32</v>
      </c>
      <c r="O53" s="327" t="s">
        <v>32</v>
      </c>
      <c r="P53" s="327" t="s">
        <v>32</v>
      </c>
      <c r="Q53" s="327" t="s">
        <v>32</v>
      </c>
      <c r="R53" s="327" t="s">
        <v>32</v>
      </c>
      <c r="S53" s="327" t="s">
        <v>32</v>
      </c>
      <c r="T53" s="327" t="s">
        <v>32</v>
      </c>
      <c r="U53" s="327" t="s">
        <v>32</v>
      </c>
      <c r="V53" s="327" t="s">
        <v>32</v>
      </c>
      <c r="W53" s="327" t="s">
        <v>32</v>
      </c>
      <c r="X53" s="328" t="s">
        <v>32</v>
      </c>
      <c r="Y53" s="328" t="s">
        <v>32</v>
      </c>
      <c r="Z53" s="328" t="s">
        <v>32</v>
      </c>
      <c r="AA53" s="329" t="s">
        <v>32</v>
      </c>
      <c r="AB53" s="316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1:59" ht="14.25">
      <c r="A54" s="931"/>
      <c r="B54" s="284"/>
      <c r="C54" s="322" t="e">
        <f t="shared" ca="1" si="1"/>
        <v>#REF!</v>
      </c>
      <c r="D54" s="326" t="s">
        <v>32</v>
      </c>
      <c r="E54" s="327" t="s">
        <v>32</v>
      </c>
      <c r="F54" s="327" t="s">
        <v>32</v>
      </c>
      <c r="G54" s="327" t="s">
        <v>32</v>
      </c>
      <c r="H54" s="327" t="s">
        <v>32</v>
      </c>
      <c r="I54" s="327" t="s">
        <v>32</v>
      </c>
      <c r="J54" s="327" t="s">
        <v>32</v>
      </c>
      <c r="K54" s="327" t="s">
        <v>32</v>
      </c>
      <c r="L54" s="327" t="s">
        <v>32</v>
      </c>
      <c r="M54" s="327" t="s">
        <v>32</v>
      </c>
      <c r="N54" s="280" t="s">
        <v>32</v>
      </c>
      <c r="O54" s="327" t="s">
        <v>32</v>
      </c>
      <c r="P54" s="327" t="s">
        <v>32</v>
      </c>
      <c r="Q54" s="327" t="s">
        <v>32</v>
      </c>
      <c r="R54" s="327" t="s">
        <v>32</v>
      </c>
      <c r="S54" s="327" t="s">
        <v>32</v>
      </c>
      <c r="T54" s="327" t="s">
        <v>32</v>
      </c>
      <c r="U54" s="327" t="s">
        <v>32</v>
      </c>
      <c r="V54" s="327" t="s">
        <v>32</v>
      </c>
      <c r="W54" s="327" t="s">
        <v>32</v>
      </c>
      <c r="X54" s="328" t="s">
        <v>32</v>
      </c>
      <c r="Y54" s="328" t="s">
        <v>32</v>
      </c>
      <c r="Z54" s="328" t="s">
        <v>32</v>
      </c>
      <c r="AA54" s="329" t="s">
        <v>32</v>
      </c>
      <c r="AB54" s="316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1:59" ht="14.25">
      <c r="A55" s="931"/>
      <c r="B55" s="284"/>
      <c r="C55" s="322" t="e">
        <f t="shared" ca="1" si="1"/>
        <v>#REF!</v>
      </c>
      <c r="D55" s="326" t="s">
        <v>32</v>
      </c>
      <c r="E55" s="327" t="s">
        <v>32</v>
      </c>
      <c r="F55" s="327" t="s">
        <v>32</v>
      </c>
      <c r="G55" s="327" t="s">
        <v>32</v>
      </c>
      <c r="H55" s="327" t="s">
        <v>32</v>
      </c>
      <c r="I55" s="327" t="s">
        <v>32</v>
      </c>
      <c r="J55" s="327" t="s">
        <v>32</v>
      </c>
      <c r="K55" s="327" t="s">
        <v>32</v>
      </c>
      <c r="L55" s="327" t="s">
        <v>32</v>
      </c>
      <c r="M55" s="327" t="s">
        <v>32</v>
      </c>
      <c r="N55" s="327" t="s">
        <v>32</v>
      </c>
      <c r="O55" s="280" t="s">
        <v>32</v>
      </c>
      <c r="P55" s="327" t="s">
        <v>32</v>
      </c>
      <c r="Q55" s="327" t="s">
        <v>32</v>
      </c>
      <c r="R55" s="327" t="s">
        <v>32</v>
      </c>
      <c r="S55" s="327" t="s">
        <v>32</v>
      </c>
      <c r="T55" s="327" t="s">
        <v>32</v>
      </c>
      <c r="U55" s="327" t="s">
        <v>32</v>
      </c>
      <c r="V55" s="327" t="s">
        <v>32</v>
      </c>
      <c r="W55" s="327" t="s">
        <v>32</v>
      </c>
      <c r="X55" s="328" t="s">
        <v>32</v>
      </c>
      <c r="Y55" s="328" t="s">
        <v>32</v>
      </c>
      <c r="Z55" s="328" t="s">
        <v>32</v>
      </c>
      <c r="AA55" s="329" t="s">
        <v>32</v>
      </c>
      <c r="AB55" s="316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1:59" ht="14.25">
      <c r="A56" s="931"/>
      <c r="B56" s="284"/>
      <c r="C56" s="322" t="e">
        <f t="shared" ca="1" si="1"/>
        <v>#REF!</v>
      </c>
      <c r="D56" s="326" t="s">
        <v>32</v>
      </c>
      <c r="E56" s="327" t="s">
        <v>32</v>
      </c>
      <c r="F56" s="327" t="s">
        <v>32</v>
      </c>
      <c r="G56" s="327" t="s">
        <v>32</v>
      </c>
      <c r="H56" s="327" t="s">
        <v>32</v>
      </c>
      <c r="I56" s="327" t="s">
        <v>32</v>
      </c>
      <c r="J56" s="327" t="s">
        <v>32</v>
      </c>
      <c r="K56" s="327" t="s">
        <v>32</v>
      </c>
      <c r="L56" s="327" t="s">
        <v>32</v>
      </c>
      <c r="M56" s="327" t="s">
        <v>32</v>
      </c>
      <c r="N56" s="327" t="s">
        <v>32</v>
      </c>
      <c r="O56" s="327" t="s">
        <v>32</v>
      </c>
      <c r="P56" s="280" t="s">
        <v>32</v>
      </c>
      <c r="Q56" s="327" t="s">
        <v>32</v>
      </c>
      <c r="R56" s="327" t="s">
        <v>32</v>
      </c>
      <c r="S56" s="327" t="s">
        <v>32</v>
      </c>
      <c r="T56" s="327" t="s">
        <v>32</v>
      </c>
      <c r="U56" s="327" t="s">
        <v>32</v>
      </c>
      <c r="V56" s="327" t="s">
        <v>32</v>
      </c>
      <c r="W56" s="327" t="s">
        <v>32</v>
      </c>
      <c r="X56" s="328" t="s">
        <v>32</v>
      </c>
      <c r="Y56" s="328" t="s">
        <v>32</v>
      </c>
      <c r="Z56" s="328" t="s">
        <v>32</v>
      </c>
      <c r="AA56" s="329" t="s">
        <v>32</v>
      </c>
      <c r="AB56" s="316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1:59" ht="14.25">
      <c r="A57" s="931"/>
      <c r="B57" s="284"/>
      <c r="C57" s="322" t="e">
        <f t="shared" ca="1" si="1"/>
        <v>#REF!</v>
      </c>
      <c r="D57" s="326" t="s">
        <v>32</v>
      </c>
      <c r="E57" s="327" t="s">
        <v>32</v>
      </c>
      <c r="F57" s="327" t="s">
        <v>32</v>
      </c>
      <c r="G57" s="327" t="s">
        <v>32</v>
      </c>
      <c r="H57" s="327" t="s">
        <v>32</v>
      </c>
      <c r="I57" s="327" t="s">
        <v>32</v>
      </c>
      <c r="J57" s="327" t="s">
        <v>32</v>
      </c>
      <c r="K57" s="327" t="s">
        <v>32</v>
      </c>
      <c r="L57" s="327" t="s">
        <v>32</v>
      </c>
      <c r="M57" s="327" t="s">
        <v>32</v>
      </c>
      <c r="N57" s="327" t="s">
        <v>32</v>
      </c>
      <c r="O57" s="327" t="s">
        <v>32</v>
      </c>
      <c r="P57" s="327" t="s">
        <v>32</v>
      </c>
      <c r="Q57" s="280" t="s">
        <v>32</v>
      </c>
      <c r="R57" s="327" t="s">
        <v>32</v>
      </c>
      <c r="S57" s="327" t="s">
        <v>32</v>
      </c>
      <c r="T57" s="327" t="s">
        <v>32</v>
      </c>
      <c r="U57" s="327" t="s">
        <v>32</v>
      </c>
      <c r="V57" s="327" t="s">
        <v>32</v>
      </c>
      <c r="W57" s="327" t="s">
        <v>32</v>
      </c>
      <c r="X57" s="328" t="s">
        <v>32</v>
      </c>
      <c r="Y57" s="328" t="s">
        <v>32</v>
      </c>
      <c r="Z57" s="328" t="s">
        <v>32</v>
      </c>
      <c r="AA57" s="329" t="s">
        <v>32</v>
      </c>
      <c r="AB57" s="316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1:59" ht="14.25">
      <c r="A58" s="931"/>
      <c r="B58" s="284"/>
      <c r="C58" s="322" t="e">
        <f t="shared" ca="1" si="1"/>
        <v>#REF!</v>
      </c>
      <c r="D58" s="326" t="s">
        <v>32</v>
      </c>
      <c r="E58" s="327" t="s">
        <v>32</v>
      </c>
      <c r="F58" s="327" t="s">
        <v>32</v>
      </c>
      <c r="G58" s="327" t="s">
        <v>32</v>
      </c>
      <c r="H58" s="327" t="s">
        <v>32</v>
      </c>
      <c r="I58" s="327" t="s">
        <v>32</v>
      </c>
      <c r="J58" s="327" t="s">
        <v>32</v>
      </c>
      <c r="K58" s="327" t="s">
        <v>32</v>
      </c>
      <c r="L58" s="327" t="s">
        <v>32</v>
      </c>
      <c r="M58" s="327" t="s">
        <v>32</v>
      </c>
      <c r="N58" s="327" t="s">
        <v>32</v>
      </c>
      <c r="O58" s="327" t="s">
        <v>32</v>
      </c>
      <c r="P58" s="327" t="s">
        <v>32</v>
      </c>
      <c r="Q58" s="327" t="s">
        <v>32</v>
      </c>
      <c r="R58" s="280" t="s">
        <v>32</v>
      </c>
      <c r="S58" s="327" t="s">
        <v>32</v>
      </c>
      <c r="T58" s="327" t="s">
        <v>32</v>
      </c>
      <c r="U58" s="327" t="s">
        <v>32</v>
      </c>
      <c r="V58" s="327" t="s">
        <v>32</v>
      </c>
      <c r="W58" s="327" t="s">
        <v>32</v>
      </c>
      <c r="X58" s="328" t="s">
        <v>32</v>
      </c>
      <c r="Y58" s="328" t="s">
        <v>32</v>
      </c>
      <c r="Z58" s="328" t="s">
        <v>32</v>
      </c>
      <c r="AA58" s="329" t="s">
        <v>32</v>
      </c>
      <c r="AB58" s="316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1:59" ht="14.25">
      <c r="A59" s="931"/>
      <c r="B59" s="284"/>
      <c r="C59" s="322" t="e">
        <f t="shared" ca="1" si="1"/>
        <v>#REF!</v>
      </c>
      <c r="D59" s="326" t="s">
        <v>32</v>
      </c>
      <c r="E59" s="327" t="s">
        <v>32</v>
      </c>
      <c r="F59" s="327" t="s">
        <v>32</v>
      </c>
      <c r="G59" s="327" t="s">
        <v>32</v>
      </c>
      <c r="H59" s="327" t="s">
        <v>32</v>
      </c>
      <c r="I59" s="327" t="s">
        <v>32</v>
      </c>
      <c r="J59" s="327" t="s">
        <v>32</v>
      </c>
      <c r="K59" s="327" t="s">
        <v>32</v>
      </c>
      <c r="L59" s="327" t="s">
        <v>32</v>
      </c>
      <c r="M59" s="327" t="s">
        <v>32</v>
      </c>
      <c r="N59" s="327" t="s">
        <v>32</v>
      </c>
      <c r="O59" s="327" t="s">
        <v>32</v>
      </c>
      <c r="P59" s="327" t="s">
        <v>32</v>
      </c>
      <c r="Q59" s="327" t="s">
        <v>32</v>
      </c>
      <c r="R59" s="327" t="s">
        <v>32</v>
      </c>
      <c r="S59" s="280" t="s">
        <v>32</v>
      </c>
      <c r="T59" s="327" t="s">
        <v>32</v>
      </c>
      <c r="U59" s="327" t="s">
        <v>32</v>
      </c>
      <c r="V59" s="327" t="s">
        <v>32</v>
      </c>
      <c r="W59" s="327" t="s">
        <v>32</v>
      </c>
      <c r="X59" s="328" t="s">
        <v>32</v>
      </c>
      <c r="Y59" s="328" t="s">
        <v>32</v>
      </c>
      <c r="Z59" s="328" t="s">
        <v>32</v>
      </c>
      <c r="AA59" s="329" t="s">
        <v>32</v>
      </c>
      <c r="AB59" s="316"/>
      <c r="AC59" s="230"/>
      <c r="AD59" s="230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1:59" ht="14.25">
      <c r="A60" s="931"/>
      <c r="B60" s="284"/>
      <c r="C60" s="322" t="e">
        <f t="shared" ca="1" si="1"/>
        <v>#REF!</v>
      </c>
      <c r="D60" s="326" t="s">
        <v>32</v>
      </c>
      <c r="E60" s="327" t="s">
        <v>32</v>
      </c>
      <c r="F60" s="327" t="s">
        <v>32</v>
      </c>
      <c r="G60" s="327" t="s">
        <v>32</v>
      </c>
      <c r="H60" s="327" t="s">
        <v>32</v>
      </c>
      <c r="I60" s="327" t="s">
        <v>32</v>
      </c>
      <c r="J60" s="327" t="s">
        <v>32</v>
      </c>
      <c r="K60" s="327" t="s">
        <v>32</v>
      </c>
      <c r="L60" s="327" t="s">
        <v>32</v>
      </c>
      <c r="M60" s="327" t="s">
        <v>32</v>
      </c>
      <c r="N60" s="327" t="s">
        <v>32</v>
      </c>
      <c r="O60" s="327" t="s">
        <v>32</v>
      </c>
      <c r="P60" s="327" t="s">
        <v>32</v>
      </c>
      <c r="Q60" s="327" t="s">
        <v>32</v>
      </c>
      <c r="R60" s="327" t="s">
        <v>32</v>
      </c>
      <c r="S60" s="327" t="s">
        <v>32</v>
      </c>
      <c r="T60" s="280" t="s">
        <v>32</v>
      </c>
      <c r="U60" s="327" t="s">
        <v>32</v>
      </c>
      <c r="V60" s="327" t="s">
        <v>32</v>
      </c>
      <c r="W60" s="327" t="s">
        <v>32</v>
      </c>
      <c r="X60" s="328" t="s">
        <v>32</v>
      </c>
      <c r="Y60" s="328" t="s">
        <v>32</v>
      </c>
      <c r="Z60" s="328" t="s">
        <v>32</v>
      </c>
      <c r="AA60" s="329" t="s">
        <v>32</v>
      </c>
      <c r="AB60" s="316"/>
      <c r="AC60" s="230"/>
      <c r="AD60" s="230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1:59" ht="14.25">
      <c r="A61" s="931"/>
      <c r="B61" s="284"/>
      <c r="C61" s="322" t="e">
        <f t="shared" ca="1" si="1"/>
        <v>#REF!</v>
      </c>
      <c r="D61" s="326" t="s">
        <v>32</v>
      </c>
      <c r="E61" s="327" t="s">
        <v>32</v>
      </c>
      <c r="F61" s="327" t="s">
        <v>32</v>
      </c>
      <c r="G61" s="327" t="s">
        <v>32</v>
      </c>
      <c r="H61" s="327" t="s">
        <v>32</v>
      </c>
      <c r="I61" s="327" t="s">
        <v>32</v>
      </c>
      <c r="J61" s="327" t="s">
        <v>32</v>
      </c>
      <c r="K61" s="327" t="s">
        <v>32</v>
      </c>
      <c r="L61" s="327" t="s">
        <v>32</v>
      </c>
      <c r="M61" s="327" t="s">
        <v>32</v>
      </c>
      <c r="N61" s="327" t="s">
        <v>32</v>
      </c>
      <c r="O61" s="327" t="s">
        <v>32</v>
      </c>
      <c r="P61" s="327" t="s">
        <v>32</v>
      </c>
      <c r="Q61" s="327" t="s">
        <v>32</v>
      </c>
      <c r="R61" s="327" t="s">
        <v>32</v>
      </c>
      <c r="S61" s="327" t="s">
        <v>32</v>
      </c>
      <c r="T61" s="327" t="s">
        <v>32</v>
      </c>
      <c r="U61" s="280" t="s">
        <v>32</v>
      </c>
      <c r="V61" s="327" t="s">
        <v>32</v>
      </c>
      <c r="W61" s="327" t="s">
        <v>32</v>
      </c>
      <c r="X61" s="328" t="s">
        <v>32</v>
      </c>
      <c r="Y61" s="328" t="s">
        <v>32</v>
      </c>
      <c r="Z61" s="328" t="s">
        <v>32</v>
      </c>
      <c r="AA61" s="329" t="s">
        <v>32</v>
      </c>
      <c r="AB61" s="316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1:59" ht="14.25">
      <c r="A62" s="931"/>
      <c r="B62" s="284"/>
      <c r="C62" s="322" t="e">
        <f t="shared" ca="1" si="1"/>
        <v>#REF!</v>
      </c>
      <c r="D62" s="326" t="s">
        <v>32</v>
      </c>
      <c r="E62" s="327" t="s">
        <v>32</v>
      </c>
      <c r="F62" s="327" t="s">
        <v>32</v>
      </c>
      <c r="G62" s="327" t="s">
        <v>32</v>
      </c>
      <c r="H62" s="327" t="s">
        <v>32</v>
      </c>
      <c r="I62" s="327" t="s">
        <v>32</v>
      </c>
      <c r="J62" s="327" t="s">
        <v>32</v>
      </c>
      <c r="K62" s="327" t="s">
        <v>32</v>
      </c>
      <c r="L62" s="327" t="s">
        <v>32</v>
      </c>
      <c r="M62" s="327" t="s">
        <v>32</v>
      </c>
      <c r="N62" s="327" t="s">
        <v>32</v>
      </c>
      <c r="O62" s="327" t="s">
        <v>32</v>
      </c>
      <c r="P62" s="327" t="s">
        <v>32</v>
      </c>
      <c r="Q62" s="327" t="s">
        <v>32</v>
      </c>
      <c r="R62" s="327" t="s">
        <v>32</v>
      </c>
      <c r="S62" s="327" t="s">
        <v>32</v>
      </c>
      <c r="T62" s="327" t="s">
        <v>32</v>
      </c>
      <c r="U62" s="327" t="s">
        <v>32</v>
      </c>
      <c r="V62" s="280" t="s">
        <v>32</v>
      </c>
      <c r="W62" s="327" t="s">
        <v>32</v>
      </c>
      <c r="X62" s="328" t="s">
        <v>32</v>
      </c>
      <c r="Y62" s="328" t="s">
        <v>32</v>
      </c>
      <c r="Z62" s="328" t="s">
        <v>32</v>
      </c>
      <c r="AA62" s="329" t="s">
        <v>32</v>
      </c>
      <c r="AB62" s="316"/>
      <c r="AC62" s="230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1:59" ht="14.25">
      <c r="A63" s="931"/>
      <c r="B63" s="284"/>
      <c r="C63" s="322" t="e">
        <f t="shared" ca="1" si="1"/>
        <v>#REF!</v>
      </c>
      <c r="D63" s="326" t="s">
        <v>32</v>
      </c>
      <c r="E63" s="327" t="s">
        <v>32</v>
      </c>
      <c r="F63" s="327" t="s">
        <v>32</v>
      </c>
      <c r="G63" s="327" t="s">
        <v>32</v>
      </c>
      <c r="H63" s="327" t="s">
        <v>32</v>
      </c>
      <c r="I63" s="327" t="s">
        <v>32</v>
      </c>
      <c r="J63" s="327" t="s">
        <v>32</v>
      </c>
      <c r="K63" s="327" t="s">
        <v>32</v>
      </c>
      <c r="L63" s="327" t="s">
        <v>32</v>
      </c>
      <c r="M63" s="327" t="s">
        <v>32</v>
      </c>
      <c r="N63" s="327" t="s">
        <v>32</v>
      </c>
      <c r="O63" s="327" t="s">
        <v>32</v>
      </c>
      <c r="P63" s="327" t="s">
        <v>32</v>
      </c>
      <c r="Q63" s="327" t="s">
        <v>32</v>
      </c>
      <c r="R63" s="327" t="s">
        <v>32</v>
      </c>
      <c r="S63" s="327" t="s">
        <v>32</v>
      </c>
      <c r="T63" s="327" t="s">
        <v>32</v>
      </c>
      <c r="U63" s="327" t="s">
        <v>32</v>
      </c>
      <c r="V63" s="327" t="s">
        <v>32</v>
      </c>
      <c r="W63" s="280" t="s">
        <v>32</v>
      </c>
      <c r="X63" s="328" t="s">
        <v>32</v>
      </c>
      <c r="Y63" s="328" t="s">
        <v>32</v>
      </c>
      <c r="Z63" s="328" t="s">
        <v>32</v>
      </c>
      <c r="AA63" s="329" t="s">
        <v>32</v>
      </c>
      <c r="AB63" s="316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1:59" ht="14.25">
      <c r="A64" s="931"/>
      <c r="B64" s="284"/>
      <c r="C64" s="322" t="str">
        <f t="shared" si="1"/>
        <v/>
      </c>
      <c r="D64" s="326" t="s">
        <v>32</v>
      </c>
      <c r="E64" s="327" t="s">
        <v>32</v>
      </c>
      <c r="F64" s="327" t="s">
        <v>32</v>
      </c>
      <c r="G64" s="327" t="s">
        <v>32</v>
      </c>
      <c r="H64" s="327" t="s">
        <v>32</v>
      </c>
      <c r="I64" s="327" t="s">
        <v>32</v>
      </c>
      <c r="J64" s="327" t="s">
        <v>32</v>
      </c>
      <c r="K64" s="327" t="s">
        <v>32</v>
      </c>
      <c r="L64" s="327" t="s">
        <v>32</v>
      </c>
      <c r="M64" s="327" t="s">
        <v>32</v>
      </c>
      <c r="N64" s="327" t="s">
        <v>32</v>
      </c>
      <c r="O64" s="327" t="s">
        <v>32</v>
      </c>
      <c r="P64" s="327" t="s">
        <v>32</v>
      </c>
      <c r="Q64" s="327" t="s">
        <v>32</v>
      </c>
      <c r="R64" s="327" t="s">
        <v>32</v>
      </c>
      <c r="S64" s="327" t="s">
        <v>32</v>
      </c>
      <c r="T64" s="327" t="s">
        <v>32</v>
      </c>
      <c r="U64" s="327" t="s">
        <v>32</v>
      </c>
      <c r="V64" s="327" t="s">
        <v>32</v>
      </c>
      <c r="W64" s="327" t="s">
        <v>32</v>
      </c>
      <c r="X64" s="286" t="s">
        <v>32</v>
      </c>
      <c r="Y64" s="328" t="s">
        <v>32</v>
      </c>
      <c r="Z64" s="328" t="s">
        <v>32</v>
      </c>
      <c r="AA64" s="329" t="s">
        <v>32</v>
      </c>
      <c r="AB64" s="316"/>
      <c r="AC64" s="230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1:59" ht="14.25">
      <c r="A65" s="931"/>
      <c r="B65" s="284"/>
      <c r="C65" s="322" t="str">
        <f t="shared" si="1"/>
        <v/>
      </c>
      <c r="D65" s="326" t="s">
        <v>32</v>
      </c>
      <c r="E65" s="327" t="s">
        <v>32</v>
      </c>
      <c r="F65" s="327" t="s">
        <v>32</v>
      </c>
      <c r="G65" s="327" t="s">
        <v>32</v>
      </c>
      <c r="H65" s="327" t="s">
        <v>32</v>
      </c>
      <c r="I65" s="327" t="s">
        <v>32</v>
      </c>
      <c r="J65" s="327" t="s">
        <v>32</v>
      </c>
      <c r="K65" s="327" t="s">
        <v>32</v>
      </c>
      <c r="L65" s="327" t="s">
        <v>32</v>
      </c>
      <c r="M65" s="327" t="s">
        <v>32</v>
      </c>
      <c r="N65" s="327" t="s">
        <v>32</v>
      </c>
      <c r="O65" s="327" t="s">
        <v>32</v>
      </c>
      <c r="P65" s="327" t="s">
        <v>32</v>
      </c>
      <c r="Q65" s="327" t="s">
        <v>32</v>
      </c>
      <c r="R65" s="327" t="s">
        <v>32</v>
      </c>
      <c r="S65" s="327" t="s">
        <v>32</v>
      </c>
      <c r="T65" s="327" t="s">
        <v>32</v>
      </c>
      <c r="U65" s="327" t="s">
        <v>32</v>
      </c>
      <c r="V65" s="327" t="s">
        <v>32</v>
      </c>
      <c r="W65" s="327" t="s">
        <v>32</v>
      </c>
      <c r="X65" s="328" t="s">
        <v>32</v>
      </c>
      <c r="Y65" s="286" t="s">
        <v>32</v>
      </c>
      <c r="Z65" s="328" t="s">
        <v>32</v>
      </c>
      <c r="AA65" s="329" t="s">
        <v>32</v>
      </c>
      <c r="AB65" s="316"/>
      <c r="AC65" s="230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1:59" ht="14.25">
      <c r="A66" s="931"/>
      <c r="B66" s="284"/>
      <c r="C66" s="322" t="str">
        <f t="shared" si="1"/>
        <v/>
      </c>
      <c r="D66" s="326" t="s">
        <v>32</v>
      </c>
      <c r="E66" s="327" t="s">
        <v>32</v>
      </c>
      <c r="F66" s="327" t="s">
        <v>32</v>
      </c>
      <c r="G66" s="327" t="s">
        <v>32</v>
      </c>
      <c r="H66" s="327" t="s">
        <v>32</v>
      </c>
      <c r="I66" s="327" t="s">
        <v>32</v>
      </c>
      <c r="J66" s="327" t="s">
        <v>32</v>
      </c>
      <c r="K66" s="327" t="s">
        <v>32</v>
      </c>
      <c r="L66" s="327" t="s">
        <v>32</v>
      </c>
      <c r="M66" s="327" t="s">
        <v>32</v>
      </c>
      <c r="N66" s="327" t="s">
        <v>32</v>
      </c>
      <c r="O66" s="327" t="s">
        <v>32</v>
      </c>
      <c r="P66" s="327" t="s">
        <v>32</v>
      </c>
      <c r="Q66" s="327" t="s">
        <v>32</v>
      </c>
      <c r="R66" s="327" t="s">
        <v>32</v>
      </c>
      <c r="S66" s="327" t="s">
        <v>32</v>
      </c>
      <c r="T66" s="327" t="s">
        <v>32</v>
      </c>
      <c r="U66" s="327" t="s">
        <v>32</v>
      </c>
      <c r="V66" s="327" t="s">
        <v>32</v>
      </c>
      <c r="W66" s="327" t="s">
        <v>32</v>
      </c>
      <c r="X66" s="328" t="s">
        <v>32</v>
      </c>
      <c r="Y66" s="328" t="s">
        <v>32</v>
      </c>
      <c r="Z66" s="286" t="s">
        <v>32</v>
      </c>
      <c r="AA66" s="329" t="s">
        <v>32</v>
      </c>
      <c r="AB66" s="316"/>
      <c r="AC66" s="230"/>
      <c r="AD66" s="230"/>
      <c r="AE66" s="230"/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1:59" ht="14.25">
      <c r="A67" s="932"/>
      <c r="B67" s="287"/>
      <c r="C67" s="330" t="str">
        <f t="shared" si="1"/>
        <v/>
      </c>
      <c r="D67" s="331" t="s">
        <v>32</v>
      </c>
      <c r="E67" s="332" t="s">
        <v>32</v>
      </c>
      <c r="F67" s="332" t="s">
        <v>32</v>
      </c>
      <c r="G67" s="332" t="s">
        <v>32</v>
      </c>
      <c r="H67" s="332" t="s">
        <v>32</v>
      </c>
      <c r="I67" s="332" t="s">
        <v>32</v>
      </c>
      <c r="J67" s="332" t="s">
        <v>32</v>
      </c>
      <c r="K67" s="332" t="s">
        <v>32</v>
      </c>
      <c r="L67" s="332" t="s">
        <v>32</v>
      </c>
      <c r="M67" s="332" t="s">
        <v>32</v>
      </c>
      <c r="N67" s="332" t="s">
        <v>32</v>
      </c>
      <c r="O67" s="332" t="s">
        <v>32</v>
      </c>
      <c r="P67" s="332" t="s">
        <v>32</v>
      </c>
      <c r="Q67" s="332" t="s">
        <v>32</v>
      </c>
      <c r="R67" s="332" t="s">
        <v>32</v>
      </c>
      <c r="S67" s="332" t="s">
        <v>32</v>
      </c>
      <c r="T67" s="332" t="s">
        <v>32</v>
      </c>
      <c r="U67" s="332" t="s">
        <v>32</v>
      </c>
      <c r="V67" s="332" t="s">
        <v>32</v>
      </c>
      <c r="W67" s="332" t="s">
        <v>32</v>
      </c>
      <c r="X67" s="333" t="s">
        <v>32</v>
      </c>
      <c r="Y67" s="333" t="s">
        <v>32</v>
      </c>
      <c r="Z67" s="333" t="s">
        <v>32</v>
      </c>
      <c r="AA67" s="292" t="s">
        <v>32</v>
      </c>
      <c r="AB67" s="316"/>
      <c r="AC67" s="230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1:59">
      <c r="C68" s="334" t="s">
        <v>193</v>
      </c>
      <c r="D68" s="335" t="s">
        <v>194</v>
      </c>
      <c r="E68" s="304" t="s">
        <v>195</v>
      </c>
      <c r="F68" s="334" t="s">
        <v>196</v>
      </c>
      <c r="X68" s="230"/>
      <c r="Y68" s="230"/>
      <c r="Z68" s="230"/>
      <c r="AA68" s="230"/>
      <c r="AB68" s="230"/>
      <c r="AC68" s="230"/>
      <c r="AD68" s="230"/>
      <c r="AE68" s="230"/>
      <c r="AF68" s="230"/>
      <c r="AG68" s="230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1:59"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1:59">
      <c r="A70" s="253" t="str">
        <f>BlankError(VSHDC(sheetname($C70),A$3,$C$2))</f>
        <v/>
      </c>
      <c r="X70" s="230"/>
      <c r="Y70" s="230"/>
      <c r="Z70" s="230"/>
      <c r="AA70" s="230"/>
      <c r="AB70" s="230"/>
      <c r="AC70" s="230"/>
      <c r="AD70" s="230"/>
      <c r="AE70" s="230"/>
      <c r="AF70" s="230"/>
      <c r="AG70" s="230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1:59" ht="14.25">
      <c r="C71" s="215" t="s">
        <v>197</v>
      </c>
      <c r="D71" s="254" t="s">
        <v>175</v>
      </c>
      <c r="E71" s="255"/>
      <c r="F71" s="255"/>
      <c r="G71" s="255"/>
      <c r="H71" s="255"/>
      <c r="I71" s="255"/>
      <c r="J71" s="255"/>
      <c r="K71" s="255"/>
      <c r="L71" s="255"/>
      <c r="M71" s="255"/>
      <c r="N71" s="255"/>
      <c r="O71" s="255"/>
      <c r="P71" s="255"/>
      <c r="Q71" s="255"/>
      <c r="R71" s="255"/>
      <c r="S71" s="255"/>
      <c r="T71" s="255"/>
      <c r="U71" s="255"/>
      <c r="V71" s="255"/>
      <c r="W71" s="255"/>
      <c r="X71" s="298"/>
      <c r="Y71" s="298"/>
      <c r="Z71" s="298"/>
      <c r="AA71" s="318"/>
      <c r="AB71" s="316"/>
      <c r="AC71" s="230"/>
      <c r="AD71" s="230"/>
      <c r="AE71" s="230"/>
      <c r="AF71" s="230"/>
      <c r="AG71" s="230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1:59">
      <c r="B72" s="928"/>
      <c r="C72" s="317"/>
      <c r="D72" s="259"/>
      <c r="E72" s="260"/>
      <c r="F72" s="260"/>
      <c r="G72" s="260"/>
      <c r="H72" s="260"/>
      <c r="I72" s="260"/>
      <c r="J72" s="260"/>
      <c r="K72" s="260"/>
      <c r="L72" s="260"/>
      <c r="M72" s="260"/>
      <c r="N72" s="260"/>
      <c r="O72" s="260"/>
      <c r="P72" s="260"/>
      <c r="Q72" s="260"/>
      <c r="R72" s="260"/>
      <c r="S72" s="260"/>
      <c r="T72" s="260"/>
      <c r="U72" s="260"/>
      <c r="V72" s="260"/>
      <c r="W72" s="260"/>
      <c r="X72" s="298"/>
      <c r="Y72" s="298"/>
      <c r="Z72" s="298"/>
      <c r="AA72" s="318"/>
      <c r="AB72" s="316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1:59" ht="36">
      <c r="B73" s="929"/>
      <c r="C73" s="319" t="s">
        <v>60</v>
      </c>
      <c r="D73" s="265" t="e">
        <f ca="1">D3</f>
        <v>#REF!</v>
      </c>
      <c r="E73" s="266" t="e">
        <f t="shared" ref="E73:AA73" ca="1" si="2">E3</f>
        <v>#REF!</v>
      </c>
      <c r="F73" s="266" t="e">
        <f t="shared" ca="1" si="2"/>
        <v>#REF!</v>
      </c>
      <c r="G73" s="266" t="e">
        <f t="shared" ca="1" si="2"/>
        <v>#REF!</v>
      </c>
      <c r="H73" s="266" t="e">
        <f t="shared" ca="1" si="2"/>
        <v>#REF!</v>
      </c>
      <c r="I73" s="266" t="e">
        <f t="shared" ca="1" si="2"/>
        <v>#REF!</v>
      </c>
      <c r="J73" s="266" t="e">
        <f t="shared" ca="1" si="2"/>
        <v>#REF!</v>
      </c>
      <c r="K73" s="266" t="e">
        <f t="shared" ca="1" si="2"/>
        <v>#REF!</v>
      </c>
      <c r="L73" s="266" t="e">
        <f t="shared" ca="1" si="2"/>
        <v>#REF!</v>
      </c>
      <c r="M73" s="266" t="e">
        <f t="shared" ca="1" si="2"/>
        <v>#REF!</v>
      </c>
      <c r="N73" s="266" t="e">
        <f t="shared" ca="1" si="2"/>
        <v>#REF!</v>
      </c>
      <c r="O73" s="266" t="e">
        <f t="shared" ca="1" si="2"/>
        <v>#REF!</v>
      </c>
      <c r="P73" s="266" t="e">
        <f t="shared" ca="1" si="2"/>
        <v>#REF!</v>
      </c>
      <c r="Q73" s="266" t="e">
        <f t="shared" ca="1" si="2"/>
        <v>#REF!</v>
      </c>
      <c r="R73" s="266" t="e">
        <f t="shared" ca="1" si="2"/>
        <v>#REF!</v>
      </c>
      <c r="S73" s="266" t="e">
        <f t="shared" ca="1" si="2"/>
        <v>#REF!</v>
      </c>
      <c r="T73" s="266" t="e">
        <f t="shared" ca="1" si="2"/>
        <v>#REF!</v>
      </c>
      <c r="U73" s="266" t="e">
        <f t="shared" ca="1" si="2"/>
        <v>#REF!</v>
      </c>
      <c r="V73" s="266" t="e">
        <f t="shared" ca="1" si="2"/>
        <v>#REF!</v>
      </c>
      <c r="W73" s="266" t="e">
        <f t="shared" ca="1" si="2"/>
        <v>#REF!</v>
      </c>
      <c r="X73" s="336" t="str">
        <f t="shared" si="2"/>
        <v/>
      </c>
      <c r="Y73" s="336" t="str">
        <f t="shared" si="2"/>
        <v/>
      </c>
      <c r="Z73" s="336" t="str">
        <f t="shared" si="2"/>
        <v/>
      </c>
      <c r="AA73" s="337" t="str">
        <f t="shared" si="2"/>
        <v/>
      </c>
      <c r="AB73" s="316"/>
      <c r="AC73" s="338" t="s">
        <v>198</v>
      </c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1:59" ht="14.25">
      <c r="A74" s="933" t="s">
        <v>181</v>
      </c>
      <c r="B74" s="272"/>
      <c r="C74" s="285" t="e">
        <f ca="1">C4</f>
        <v>#REF!</v>
      </c>
      <c r="D74" s="280" t="s">
        <v>32</v>
      </c>
      <c r="E74" s="259" t="s">
        <v>32</v>
      </c>
      <c r="F74" s="259" t="s">
        <v>32</v>
      </c>
      <c r="G74" s="259" t="s">
        <v>32</v>
      </c>
      <c r="H74" s="259" t="s">
        <v>32</v>
      </c>
      <c r="I74" s="259" t="s">
        <v>32</v>
      </c>
      <c r="J74" s="259" t="s">
        <v>32</v>
      </c>
      <c r="K74" s="259" t="s">
        <v>32</v>
      </c>
      <c r="L74" s="259" t="s">
        <v>32</v>
      </c>
      <c r="M74" s="259" t="s">
        <v>32</v>
      </c>
      <c r="N74" s="259" t="s">
        <v>32</v>
      </c>
      <c r="O74" s="259" t="s">
        <v>32</v>
      </c>
      <c r="P74" s="259" t="s">
        <v>32</v>
      </c>
      <c r="Q74" s="259" t="s">
        <v>32</v>
      </c>
      <c r="R74" s="259" t="s">
        <v>32</v>
      </c>
      <c r="S74" s="259" t="s">
        <v>32</v>
      </c>
      <c r="T74" s="259" t="s">
        <v>32</v>
      </c>
      <c r="U74" s="259" t="s">
        <v>32</v>
      </c>
      <c r="V74" s="259" t="s">
        <v>32</v>
      </c>
      <c r="W74" s="259" t="s">
        <v>32</v>
      </c>
      <c r="X74" s="299" t="s">
        <v>32</v>
      </c>
      <c r="Y74" s="299" t="s">
        <v>32</v>
      </c>
      <c r="Z74" s="299" t="s">
        <v>32</v>
      </c>
      <c r="AA74" s="339" t="s">
        <v>32</v>
      </c>
      <c r="AB74" s="316"/>
      <c r="AC74" s="340" t="e">
        <f ca="1">IF(C74="","",SUM(D74:AA74))</f>
        <v>#REF!</v>
      </c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1:59" ht="14.25">
      <c r="A75" s="934"/>
      <c r="B75" s="284"/>
      <c r="C75" s="285" t="e">
        <f t="shared" ref="C75:C97" ca="1" si="3">C5</f>
        <v>#REF!</v>
      </c>
      <c r="D75" s="327" t="s">
        <v>32</v>
      </c>
      <c r="E75" s="280" t="s">
        <v>32</v>
      </c>
      <c r="F75" s="262" t="s">
        <v>32</v>
      </c>
      <c r="G75" s="262" t="s">
        <v>32</v>
      </c>
      <c r="H75" s="262" t="s">
        <v>32</v>
      </c>
      <c r="I75" s="262" t="s">
        <v>32</v>
      </c>
      <c r="J75" s="262" t="s">
        <v>32</v>
      </c>
      <c r="K75" s="262" t="s">
        <v>32</v>
      </c>
      <c r="L75" s="262" t="s">
        <v>32</v>
      </c>
      <c r="M75" s="262" t="s">
        <v>32</v>
      </c>
      <c r="N75" s="262" t="s">
        <v>32</v>
      </c>
      <c r="O75" s="262" t="s">
        <v>32</v>
      </c>
      <c r="P75" s="262" t="s">
        <v>32</v>
      </c>
      <c r="Q75" s="262" t="s">
        <v>32</v>
      </c>
      <c r="R75" s="262" t="s">
        <v>32</v>
      </c>
      <c r="S75" s="262" t="s">
        <v>32</v>
      </c>
      <c r="T75" s="262" t="s">
        <v>32</v>
      </c>
      <c r="U75" s="262" t="s">
        <v>32</v>
      </c>
      <c r="V75" s="262" t="s">
        <v>32</v>
      </c>
      <c r="W75" s="262" t="s">
        <v>32</v>
      </c>
      <c r="X75" s="281" t="s">
        <v>32</v>
      </c>
      <c r="Y75" s="281" t="s">
        <v>32</v>
      </c>
      <c r="Z75" s="281" t="s">
        <v>32</v>
      </c>
      <c r="AA75" s="282" t="s">
        <v>32</v>
      </c>
      <c r="AB75" s="316"/>
      <c r="AC75" s="340" t="e">
        <f t="shared" ref="AC75:AC97" ca="1" si="4">IF(C75="","",SUM(D75:AA75))</f>
        <v>#REF!</v>
      </c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1:59" ht="14.25">
      <c r="A76" s="934"/>
      <c r="B76" s="284"/>
      <c r="C76" s="285" t="e">
        <f t="shared" ca="1" si="3"/>
        <v>#REF!</v>
      </c>
      <c r="D76" s="326" t="s">
        <v>32</v>
      </c>
      <c r="E76" s="262" t="s">
        <v>32</v>
      </c>
      <c r="F76" s="280" t="s">
        <v>32</v>
      </c>
      <c r="G76" s="262" t="s">
        <v>32</v>
      </c>
      <c r="H76" s="262" t="s">
        <v>32</v>
      </c>
      <c r="I76" s="262" t="s">
        <v>32</v>
      </c>
      <c r="J76" s="262" t="s">
        <v>32</v>
      </c>
      <c r="K76" s="262" t="s">
        <v>32</v>
      </c>
      <c r="L76" s="262" t="s">
        <v>32</v>
      </c>
      <c r="M76" s="262" t="s">
        <v>32</v>
      </c>
      <c r="N76" s="262" t="s">
        <v>32</v>
      </c>
      <c r="O76" s="262" t="s">
        <v>32</v>
      </c>
      <c r="P76" s="262" t="s">
        <v>32</v>
      </c>
      <c r="Q76" s="262" t="s">
        <v>32</v>
      </c>
      <c r="R76" s="262" t="s">
        <v>32</v>
      </c>
      <c r="S76" s="262" t="s">
        <v>32</v>
      </c>
      <c r="T76" s="262" t="s">
        <v>32</v>
      </c>
      <c r="U76" s="262" t="s">
        <v>32</v>
      </c>
      <c r="V76" s="262" t="s">
        <v>32</v>
      </c>
      <c r="W76" s="262" t="s">
        <v>32</v>
      </c>
      <c r="X76" s="281" t="s">
        <v>32</v>
      </c>
      <c r="Y76" s="281" t="s">
        <v>32</v>
      </c>
      <c r="Z76" s="281" t="s">
        <v>32</v>
      </c>
      <c r="AA76" s="282" t="s">
        <v>32</v>
      </c>
      <c r="AB76" s="316"/>
      <c r="AC76" s="340" t="e">
        <f t="shared" ca="1" si="4"/>
        <v>#REF!</v>
      </c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1:59" ht="14.25">
      <c r="A77" s="934"/>
      <c r="B77" s="284"/>
      <c r="C77" s="285" t="e">
        <f t="shared" ca="1" si="3"/>
        <v>#REF!</v>
      </c>
      <c r="D77" s="327" t="s">
        <v>32</v>
      </c>
      <c r="E77" s="262" t="s">
        <v>32</v>
      </c>
      <c r="F77" s="262" t="s">
        <v>32</v>
      </c>
      <c r="G77" s="280" t="s">
        <v>32</v>
      </c>
      <c r="H77" s="262" t="s">
        <v>32</v>
      </c>
      <c r="I77" s="262" t="s">
        <v>32</v>
      </c>
      <c r="J77" s="262" t="s">
        <v>32</v>
      </c>
      <c r="K77" s="262" t="s">
        <v>32</v>
      </c>
      <c r="L77" s="262" t="s">
        <v>32</v>
      </c>
      <c r="M77" s="262" t="s">
        <v>32</v>
      </c>
      <c r="N77" s="262" t="s">
        <v>32</v>
      </c>
      <c r="O77" s="262" t="s">
        <v>32</v>
      </c>
      <c r="P77" s="262" t="s">
        <v>32</v>
      </c>
      <c r="Q77" s="262" t="s">
        <v>32</v>
      </c>
      <c r="R77" s="262" t="s">
        <v>32</v>
      </c>
      <c r="S77" s="262" t="s">
        <v>32</v>
      </c>
      <c r="T77" s="262" t="s">
        <v>32</v>
      </c>
      <c r="U77" s="262" t="s">
        <v>32</v>
      </c>
      <c r="V77" s="262" t="s">
        <v>32</v>
      </c>
      <c r="W77" s="262" t="s">
        <v>32</v>
      </c>
      <c r="X77" s="281" t="s">
        <v>32</v>
      </c>
      <c r="Y77" s="281" t="s">
        <v>32</v>
      </c>
      <c r="Z77" s="281" t="s">
        <v>32</v>
      </c>
      <c r="AA77" s="282" t="s">
        <v>32</v>
      </c>
      <c r="AB77" s="316"/>
      <c r="AC77" s="340" t="e">
        <f t="shared" ca="1" si="4"/>
        <v>#REF!</v>
      </c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1:59" ht="14.25">
      <c r="A78" s="934"/>
      <c r="B78" s="284"/>
      <c r="C78" s="285" t="e">
        <f t="shared" ca="1" si="3"/>
        <v>#REF!</v>
      </c>
      <c r="D78" s="326" t="s">
        <v>32</v>
      </c>
      <c r="E78" s="262" t="s">
        <v>32</v>
      </c>
      <c r="F78" s="262" t="s">
        <v>32</v>
      </c>
      <c r="G78" s="262" t="s">
        <v>32</v>
      </c>
      <c r="H78" s="280" t="s">
        <v>32</v>
      </c>
      <c r="I78" s="262" t="s">
        <v>32</v>
      </c>
      <c r="J78" s="262" t="s">
        <v>32</v>
      </c>
      <c r="K78" s="262" t="s">
        <v>32</v>
      </c>
      <c r="L78" s="262" t="s">
        <v>32</v>
      </c>
      <c r="M78" s="262" t="s">
        <v>32</v>
      </c>
      <c r="N78" s="262" t="s">
        <v>32</v>
      </c>
      <c r="O78" s="262" t="s">
        <v>32</v>
      </c>
      <c r="P78" s="262" t="s">
        <v>32</v>
      </c>
      <c r="Q78" s="262" t="s">
        <v>32</v>
      </c>
      <c r="R78" s="262" t="s">
        <v>32</v>
      </c>
      <c r="S78" s="262" t="s">
        <v>32</v>
      </c>
      <c r="T78" s="262" t="s">
        <v>32</v>
      </c>
      <c r="U78" s="262" t="s">
        <v>32</v>
      </c>
      <c r="V78" s="262" t="s">
        <v>32</v>
      </c>
      <c r="W78" s="262" t="s">
        <v>32</v>
      </c>
      <c r="X78" s="281" t="s">
        <v>32</v>
      </c>
      <c r="Y78" s="281" t="s">
        <v>32</v>
      </c>
      <c r="Z78" s="281" t="s">
        <v>32</v>
      </c>
      <c r="AA78" s="282" t="s">
        <v>32</v>
      </c>
      <c r="AB78" s="316"/>
      <c r="AC78" s="340" t="e">
        <f t="shared" ca="1" si="4"/>
        <v>#REF!</v>
      </c>
      <c r="AD78" s="230"/>
      <c r="AE78" s="230"/>
      <c r="AF78" s="230"/>
      <c r="AG78" s="230"/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1:59" ht="14.25">
      <c r="A79" s="934"/>
      <c r="B79" s="284"/>
      <c r="C79" s="285" t="e">
        <f t="shared" ca="1" si="3"/>
        <v>#REF!</v>
      </c>
      <c r="D79" s="326" t="s">
        <v>32</v>
      </c>
      <c r="E79" s="262" t="s">
        <v>32</v>
      </c>
      <c r="F79" s="262" t="s">
        <v>32</v>
      </c>
      <c r="G79" s="262" t="s">
        <v>32</v>
      </c>
      <c r="H79" s="262" t="s">
        <v>32</v>
      </c>
      <c r="I79" s="280" t="s">
        <v>32</v>
      </c>
      <c r="J79" s="262" t="s">
        <v>32</v>
      </c>
      <c r="K79" s="262" t="s">
        <v>32</v>
      </c>
      <c r="L79" s="262" t="s">
        <v>32</v>
      </c>
      <c r="M79" s="262" t="s">
        <v>32</v>
      </c>
      <c r="N79" s="262" t="s">
        <v>32</v>
      </c>
      <c r="O79" s="262" t="s">
        <v>32</v>
      </c>
      <c r="P79" s="262" t="s">
        <v>32</v>
      </c>
      <c r="Q79" s="262" t="s">
        <v>32</v>
      </c>
      <c r="R79" s="262" t="s">
        <v>32</v>
      </c>
      <c r="S79" s="262" t="s">
        <v>32</v>
      </c>
      <c r="T79" s="262" t="s">
        <v>32</v>
      </c>
      <c r="U79" s="262" t="s">
        <v>32</v>
      </c>
      <c r="V79" s="262" t="s">
        <v>32</v>
      </c>
      <c r="W79" s="262" t="s">
        <v>32</v>
      </c>
      <c r="X79" s="281" t="s">
        <v>32</v>
      </c>
      <c r="Y79" s="281" t="s">
        <v>32</v>
      </c>
      <c r="Z79" s="281" t="s">
        <v>32</v>
      </c>
      <c r="AA79" s="282" t="s">
        <v>32</v>
      </c>
      <c r="AB79" s="316"/>
      <c r="AC79" s="340" t="e">
        <f t="shared" ca="1" si="4"/>
        <v>#REF!</v>
      </c>
      <c r="AD79" s="230"/>
      <c r="AE79" s="230"/>
      <c r="AF79" s="230"/>
      <c r="AG79" s="230"/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1:59" ht="14.25">
      <c r="A80" s="934"/>
      <c r="B80" s="284"/>
      <c r="C80" s="285" t="e">
        <f t="shared" ca="1" si="3"/>
        <v>#REF!</v>
      </c>
      <c r="D80" s="326" t="s">
        <v>32</v>
      </c>
      <c r="E80" s="262" t="s">
        <v>32</v>
      </c>
      <c r="F80" s="262" t="s">
        <v>32</v>
      </c>
      <c r="G80" s="262" t="s">
        <v>32</v>
      </c>
      <c r="H80" s="262" t="s">
        <v>32</v>
      </c>
      <c r="I80" s="262" t="s">
        <v>32</v>
      </c>
      <c r="J80" s="280" t="s">
        <v>32</v>
      </c>
      <c r="K80" s="262" t="s">
        <v>32</v>
      </c>
      <c r="L80" s="262" t="s">
        <v>32</v>
      </c>
      <c r="M80" s="262" t="s">
        <v>32</v>
      </c>
      <c r="N80" s="262" t="s">
        <v>32</v>
      </c>
      <c r="O80" s="262" t="s">
        <v>32</v>
      </c>
      <c r="P80" s="262" t="s">
        <v>32</v>
      </c>
      <c r="Q80" s="262" t="s">
        <v>32</v>
      </c>
      <c r="R80" s="262" t="s">
        <v>32</v>
      </c>
      <c r="S80" s="262" t="s">
        <v>32</v>
      </c>
      <c r="T80" s="262" t="s">
        <v>32</v>
      </c>
      <c r="U80" s="262" t="s">
        <v>32</v>
      </c>
      <c r="V80" s="262" t="s">
        <v>32</v>
      </c>
      <c r="W80" s="262" t="s">
        <v>32</v>
      </c>
      <c r="X80" s="281" t="s">
        <v>32</v>
      </c>
      <c r="Y80" s="281" t="s">
        <v>32</v>
      </c>
      <c r="Z80" s="281" t="s">
        <v>32</v>
      </c>
      <c r="AA80" s="282" t="s">
        <v>32</v>
      </c>
      <c r="AB80" s="316"/>
      <c r="AC80" s="340" t="e">
        <f t="shared" ca="1" si="4"/>
        <v>#REF!</v>
      </c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1:59" ht="14.25">
      <c r="A81" s="934"/>
      <c r="B81" s="284"/>
      <c r="C81" s="285" t="e">
        <f t="shared" ca="1" si="3"/>
        <v>#REF!</v>
      </c>
      <c r="D81" s="326" t="s">
        <v>32</v>
      </c>
      <c r="E81" s="262" t="s">
        <v>32</v>
      </c>
      <c r="F81" s="262" t="s">
        <v>32</v>
      </c>
      <c r="G81" s="262" t="s">
        <v>32</v>
      </c>
      <c r="H81" s="262" t="s">
        <v>32</v>
      </c>
      <c r="I81" s="262" t="s">
        <v>32</v>
      </c>
      <c r="J81" s="262" t="s">
        <v>32</v>
      </c>
      <c r="K81" s="280" t="s">
        <v>32</v>
      </c>
      <c r="L81" s="262" t="s">
        <v>32</v>
      </c>
      <c r="M81" s="262" t="s">
        <v>32</v>
      </c>
      <c r="N81" s="262" t="s">
        <v>32</v>
      </c>
      <c r="O81" s="262" t="s">
        <v>32</v>
      </c>
      <c r="P81" s="262" t="s">
        <v>32</v>
      </c>
      <c r="Q81" s="262" t="s">
        <v>32</v>
      </c>
      <c r="R81" s="262" t="s">
        <v>32</v>
      </c>
      <c r="S81" s="262" t="s">
        <v>32</v>
      </c>
      <c r="T81" s="262" t="s">
        <v>32</v>
      </c>
      <c r="U81" s="262" t="s">
        <v>32</v>
      </c>
      <c r="V81" s="262" t="s">
        <v>32</v>
      </c>
      <c r="W81" s="262" t="s">
        <v>32</v>
      </c>
      <c r="X81" s="281" t="s">
        <v>32</v>
      </c>
      <c r="Y81" s="281" t="s">
        <v>32</v>
      </c>
      <c r="Z81" s="281" t="s">
        <v>32</v>
      </c>
      <c r="AA81" s="282" t="s">
        <v>32</v>
      </c>
      <c r="AB81" s="316"/>
      <c r="AC81" s="340" t="e">
        <f t="shared" ca="1" si="4"/>
        <v>#REF!</v>
      </c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1:59" ht="14.25">
      <c r="A82" s="934"/>
      <c r="B82" s="284"/>
      <c r="C82" s="285" t="e">
        <f t="shared" ca="1" si="3"/>
        <v>#REF!</v>
      </c>
      <c r="D82" s="326" t="s">
        <v>32</v>
      </c>
      <c r="E82" s="262" t="s">
        <v>32</v>
      </c>
      <c r="F82" s="262" t="s">
        <v>32</v>
      </c>
      <c r="G82" s="262" t="s">
        <v>32</v>
      </c>
      <c r="H82" s="262" t="s">
        <v>32</v>
      </c>
      <c r="I82" s="262" t="s">
        <v>32</v>
      </c>
      <c r="J82" s="262" t="s">
        <v>32</v>
      </c>
      <c r="K82" s="262" t="s">
        <v>32</v>
      </c>
      <c r="L82" s="280" t="s">
        <v>32</v>
      </c>
      <c r="M82" s="262" t="s">
        <v>32</v>
      </c>
      <c r="N82" s="262" t="s">
        <v>32</v>
      </c>
      <c r="O82" s="262" t="s">
        <v>32</v>
      </c>
      <c r="P82" s="262" t="s">
        <v>32</v>
      </c>
      <c r="Q82" s="262" t="s">
        <v>32</v>
      </c>
      <c r="R82" s="262" t="s">
        <v>32</v>
      </c>
      <c r="S82" s="262" t="s">
        <v>32</v>
      </c>
      <c r="T82" s="262" t="s">
        <v>32</v>
      </c>
      <c r="U82" s="262" t="s">
        <v>32</v>
      </c>
      <c r="V82" s="262" t="s">
        <v>32</v>
      </c>
      <c r="W82" s="262" t="s">
        <v>32</v>
      </c>
      <c r="X82" s="281" t="s">
        <v>32</v>
      </c>
      <c r="Y82" s="281" t="s">
        <v>32</v>
      </c>
      <c r="Z82" s="281" t="s">
        <v>32</v>
      </c>
      <c r="AA82" s="282" t="s">
        <v>32</v>
      </c>
      <c r="AB82" s="316"/>
      <c r="AC82" s="340" t="e">
        <f t="shared" ca="1" si="4"/>
        <v>#REF!</v>
      </c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1:59" ht="14.25">
      <c r="A83" s="934"/>
      <c r="B83" s="284"/>
      <c r="C83" s="285" t="e">
        <f t="shared" ca="1" si="3"/>
        <v>#REF!</v>
      </c>
      <c r="D83" s="326" t="s">
        <v>32</v>
      </c>
      <c r="E83" s="262" t="s">
        <v>32</v>
      </c>
      <c r="F83" s="262" t="s">
        <v>32</v>
      </c>
      <c r="G83" s="262" t="s">
        <v>32</v>
      </c>
      <c r="H83" s="262" t="s">
        <v>32</v>
      </c>
      <c r="I83" s="262" t="s">
        <v>32</v>
      </c>
      <c r="J83" s="262" t="s">
        <v>32</v>
      </c>
      <c r="K83" s="262" t="s">
        <v>32</v>
      </c>
      <c r="L83" s="262" t="s">
        <v>32</v>
      </c>
      <c r="M83" s="280" t="s">
        <v>32</v>
      </c>
      <c r="N83" s="262" t="s">
        <v>32</v>
      </c>
      <c r="O83" s="262" t="s">
        <v>32</v>
      </c>
      <c r="P83" s="262" t="s">
        <v>32</v>
      </c>
      <c r="Q83" s="262" t="s">
        <v>32</v>
      </c>
      <c r="R83" s="262" t="s">
        <v>32</v>
      </c>
      <c r="S83" s="262" t="s">
        <v>32</v>
      </c>
      <c r="T83" s="262" t="s">
        <v>32</v>
      </c>
      <c r="U83" s="262" t="s">
        <v>32</v>
      </c>
      <c r="V83" s="262" t="s">
        <v>32</v>
      </c>
      <c r="W83" s="262" t="s">
        <v>32</v>
      </c>
      <c r="X83" s="281" t="s">
        <v>32</v>
      </c>
      <c r="Y83" s="281" t="s">
        <v>32</v>
      </c>
      <c r="Z83" s="281" t="s">
        <v>32</v>
      </c>
      <c r="AA83" s="282" t="s">
        <v>32</v>
      </c>
      <c r="AB83" s="316"/>
      <c r="AC83" s="340" t="e">
        <f t="shared" ca="1" si="4"/>
        <v>#REF!</v>
      </c>
      <c r="AD83" s="230"/>
      <c r="AE83" s="230"/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1:59" ht="14.25">
      <c r="A84" s="934"/>
      <c r="B84" s="284"/>
      <c r="C84" s="285" t="e">
        <f t="shared" ca="1" si="3"/>
        <v>#REF!</v>
      </c>
      <c r="D84" s="326" t="s">
        <v>32</v>
      </c>
      <c r="E84" s="262" t="s">
        <v>32</v>
      </c>
      <c r="F84" s="262" t="s">
        <v>32</v>
      </c>
      <c r="G84" s="262" t="s">
        <v>32</v>
      </c>
      <c r="H84" s="262" t="s">
        <v>32</v>
      </c>
      <c r="I84" s="262" t="s">
        <v>32</v>
      </c>
      <c r="J84" s="262" t="s">
        <v>32</v>
      </c>
      <c r="K84" s="262" t="s">
        <v>32</v>
      </c>
      <c r="L84" s="262" t="s">
        <v>32</v>
      </c>
      <c r="M84" s="262" t="s">
        <v>32</v>
      </c>
      <c r="N84" s="280" t="s">
        <v>32</v>
      </c>
      <c r="O84" s="262" t="s">
        <v>32</v>
      </c>
      <c r="P84" s="262" t="s">
        <v>32</v>
      </c>
      <c r="Q84" s="262" t="s">
        <v>32</v>
      </c>
      <c r="R84" s="262" t="s">
        <v>32</v>
      </c>
      <c r="S84" s="262" t="s">
        <v>32</v>
      </c>
      <c r="T84" s="262" t="s">
        <v>32</v>
      </c>
      <c r="U84" s="262" t="s">
        <v>32</v>
      </c>
      <c r="V84" s="262" t="s">
        <v>32</v>
      </c>
      <c r="W84" s="262" t="s">
        <v>32</v>
      </c>
      <c r="X84" s="281" t="s">
        <v>32</v>
      </c>
      <c r="Y84" s="281" t="s">
        <v>32</v>
      </c>
      <c r="Z84" s="281" t="s">
        <v>32</v>
      </c>
      <c r="AA84" s="282" t="s">
        <v>32</v>
      </c>
      <c r="AB84" s="316"/>
      <c r="AC84" s="340" t="e">
        <f t="shared" ca="1" si="4"/>
        <v>#REF!</v>
      </c>
      <c r="AD84" s="230"/>
      <c r="AE84" s="230"/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1:59" ht="14.25">
      <c r="A85" s="934"/>
      <c r="B85" s="284"/>
      <c r="C85" s="285" t="e">
        <f t="shared" ca="1" si="3"/>
        <v>#REF!</v>
      </c>
      <c r="D85" s="326" t="s">
        <v>32</v>
      </c>
      <c r="E85" s="262" t="s">
        <v>32</v>
      </c>
      <c r="F85" s="262" t="s">
        <v>32</v>
      </c>
      <c r="G85" s="262" t="s">
        <v>32</v>
      </c>
      <c r="H85" s="262" t="s">
        <v>32</v>
      </c>
      <c r="I85" s="262" t="s">
        <v>32</v>
      </c>
      <c r="J85" s="262" t="s">
        <v>32</v>
      </c>
      <c r="K85" s="262" t="s">
        <v>32</v>
      </c>
      <c r="L85" s="262" t="s">
        <v>32</v>
      </c>
      <c r="M85" s="262" t="s">
        <v>32</v>
      </c>
      <c r="N85" s="262" t="s">
        <v>32</v>
      </c>
      <c r="O85" s="280" t="s">
        <v>32</v>
      </c>
      <c r="P85" s="262" t="s">
        <v>32</v>
      </c>
      <c r="Q85" s="262" t="s">
        <v>32</v>
      </c>
      <c r="R85" s="262" t="s">
        <v>32</v>
      </c>
      <c r="S85" s="262" t="s">
        <v>32</v>
      </c>
      <c r="T85" s="262" t="s">
        <v>32</v>
      </c>
      <c r="U85" s="262" t="s">
        <v>32</v>
      </c>
      <c r="V85" s="262" t="s">
        <v>32</v>
      </c>
      <c r="W85" s="262" t="s">
        <v>32</v>
      </c>
      <c r="X85" s="281" t="s">
        <v>32</v>
      </c>
      <c r="Y85" s="281" t="s">
        <v>32</v>
      </c>
      <c r="Z85" s="281" t="s">
        <v>32</v>
      </c>
      <c r="AA85" s="282" t="s">
        <v>32</v>
      </c>
      <c r="AB85" s="316"/>
      <c r="AC85" s="340" t="e">
        <f t="shared" ca="1" si="4"/>
        <v>#REF!</v>
      </c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1:59" ht="14.25">
      <c r="A86" s="934"/>
      <c r="B86" s="284"/>
      <c r="C86" s="285" t="e">
        <f t="shared" ca="1" si="3"/>
        <v>#REF!</v>
      </c>
      <c r="D86" s="326" t="s">
        <v>32</v>
      </c>
      <c r="E86" s="262" t="s">
        <v>32</v>
      </c>
      <c r="F86" s="262" t="s">
        <v>32</v>
      </c>
      <c r="G86" s="262" t="s">
        <v>32</v>
      </c>
      <c r="H86" s="262" t="s">
        <v>32</v>
      </c>
      <c r="I86" s="262" t="s">
        <v>32</v>
      </c>
      <c r="J86" s="262" t="s">
        <v>32</v>
      </c>
      <c r="K86" s="262" t="s">
        <v>32</v>
      </c>
      <c r="L86" s="262" t="s">
        <v>32</v>
      </c>
      <c r="M86" s="262" t="s">
        <v>32</v>
      </c>
      <c r="N86" s="262" t="s">
        <v>32</v>
      </c>
      <c r="O86" s="262" t="s">
        <v>32</v>
      </c>
      <c r="P86" s="280" t="s">
        <v>32</v>
      </c>
      <c r="Q86" s="262" t="s">
        <v>32</v>
      </c>
      <c r="R86" s="262" t="s">
        <v>32</v>
      </c>
      <c r="S86" s="262" t="s">
        <v>32</v>
      </c>
      <c r="T86" s="262" t="s">
        <v>32</v>
      </c>
      <c r="U86" s="262" t="s">
        <v>32</v>
      </c>
      <c r="V86" s="262" t="s">
        <v>32</v>
      </c>
      <c r="W86" s="262" t="s">
        <v>32</v>
      </c>
      <c r="X86" s="281" t="s">
        <v>32</v>
      </c>
      <c r="Y86" s="281" t="s">
        <v>32</v>
      </c>
      <c r="Z86" s="281" t="s">
        <v>32</v>
      </c>
      <c r="AA86" s="282" t="s">
        <v>32</v>
      </c>
      <c r="AB86" s="316"/>
      <c r="AC86" s="340" t="e">
        <f t="shared" ca="1" si="4"/>
        <v>#REF!</v>
      </c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1:59" ht="14.25">
      <c r="A87" s="934"/>
      <c r="B87" s="284"/>
      <c r="C87" s="285" t="e">
        <f t="shared" ca="1" si="3"/>
        <v>#REF!</v>
      </c>
      <c r="D87" s="326" t="s">
        <v>32</v>
      </c>
      <c r="E87" s="262" t="s">
        <v>32</v>
      </c>
      <c r="F87" s="262" t="s">
        <v>32</v>
      </c>
      <c r="G87" s="262" t="s">
        <v>32</v>
      </c>
      <c r="H87" s="262" t="s">
        <v>32</v>
      </c>
      <c r="I87" s="262" t="s">
        <v>32</v>
      </c>
      <c r="J87" s="262" t="s">
        <v>32</v>
      </c>
      <c r="K87" s="262" t="s">
        <v>32</v>
      </c>
      <c r="L87" s="262" t="s">
        <v>32</v>
      </c>
      <c r="M87" s="262" t="s">
        <v>32</v>
      </c>
      <c r="N87" s="262" t="s">
        <v>32</v>
      </c>
      <c r="O87" s="262" t="s">
        <v>32</v>
      </c>
      <c r="P87" s="262" t="s">
        <v>32</v>
      </c>
      <c r="Q87" s="280" t="s">
        <v>32</v>
      </c>
      <c r="R87" s="262" t="s">
        <v>32</v>
      </c>
      <c r="S87" s="262" t="s">
        <v>32</v>
      </c>
      <c r="T87" s="262" t="s">
        <v>32</v>
      </c>
      <c r="U87" s="262" t="s">
        <v>32</v>
      </c>
      <c r="V87" s="262" t="s">
        <v>32</v>
      </c>
      <c r="W87" s="262" t="s">
        <v>32</v>
      </c>
      <c r="X87" s="281" t="s">
        <v>32</v>
      </c>
      <c r="Y87" s="281" t="s">
        <v>32</v>
      </c>
      <c r="Z87" s="281" t="s">
        <v>32</v>
      </c>
      <c r="AA87" s="282" t="s">
        <v>32</v>
      </c>
      <c r="AB87" s="316"/>
      <c r="AC87" s="340" t="e">
        <f t="shared" ca="1" si="4"/>
        <v>#REF!</v>
      </c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1:59" ht="14.25">
      <c r="A88" s="934"/>
      <c r="B88" s="284"/>
      <c r="C88" s="285" t="e">
        <f t="shared" ca="1" si="3"/>
        <v>#REF!</v>
      </c>
      <c r="D88" s="327" t="s">
        <v>32</v>
      </c>
      <c r="E88" s="262" t="s">
        <v>32</v>
      </c>
      <c r="F88" s="262" t="s">
        <v>32</v>
      </c>
      <c r="G88" s="262" t="s">
        <v>32</v>
      </c>
      <c r="H88" s="262" t="s">
        <v>32</v>
      </c>
      <c r="I88" s="262" t="s">
        <v>32</v>
      </c>
      <c r="J88" s="262" t="s">
        <v>32</v>
      </c>
      <c r="K88" s="262" t="s">
        <v>32</v>
      </c>
      <c r="L88" s="262" t="s">
        <v>32</v>
      </c>
      <c r="M88" s="262" t="s">
        <v>32</v>
      </c>
      <c r="N88" s="262" t="s">
        <v>32</v>
      </c>
      <c r="O88" s="262" t="s">
        <v>32</v>
      </c>
      <c r="P88" s="262" t="s">
        <v>32</v>
      </c>
      <c r="Q88" s="262" t="s">
        <v>32</v>
      </c>
      <c r="R88" s="280" t="s">
        <v>32</v>
      </c>
      <c r="S88" s="262" t="s">
        <v>32</v>
      </c>
      <c r="T88" s="262" t="s">
        <v>32</v>
      </c>
      <c r="U88" s="262" t="s">
        <v>32</v>
      </c>
      <c r="V88" s="262" t="s">
        <v>32</v>
      </c>
      <c r="W88" s="262" t="s">
        <v>32</v>
      </c>
      <c r="X88" s="281" t="s">
        <v>32</v>
      </c>
      <c r="Y88" s="281" t="s">
        <v>32</v>
      </c>
      <c r="Z88" s="281" t="s">
        <v>32</v>
      </c>
      <c r="AA88" s="282" t="s">
        <v>32</v>
      </c>
      <c r="AB88" s="316"/>
      <c r="AC88" s="340" t="e">
        <f t="shared" ca="1" si="4"/>
        <v>#REF!</v>
      </c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1:59" ht="14.25">
      <c r="A89" s="934"/>
      <c r="B89" s="284"/>
      <c r="C89" s="285" t="e">
        <f t="shared" ca="1" si="3"/>
        <v>#REF!</v>
      </c>
      <c r="D89" s="326" t="s">
        <v>32</v>
      </c>
      <c r="E89" s="262" t="s">
        <v>32</v>
      </c>
      <c r="F89" s="262" t="s">
        <v>32</v>
      </c>
      <c r="G89" s="262" t="s">
        <v>32</v>
      </c>
      <c r="H89" s="262" t="s">
        <v>32</v>
      </c>
      <c r="I89" s="262" t="s">
        <v>32</v>
      </c>
      <c r="J89" s="262" t="s">
        <v>32</v>
      </c>
      <c r="K89" s="262" t="s">
        <v>32</v>
      </c>
      <c r="L89" s="262" t="s">
        <v>32</v>
      </c>
      <c r="M89" s="262" t="s">
        <v>32</v>
      </c>
      <c r="N89" s="262" t="s">
        <v>32</v>
      </c>
      <c r="O89" s="262" t="s">
        <v>32</v>
      </c>
      <c r="P89" s="262" t="s">
        <v>32</v>
      </c>
      <c r="Q89" s="262" t="s">
        <v>32</v>
      </c>
      <c r="R89" s="262" t="s">
        <v>32</v>
      </c>
      <c r="S89" s="280" t="s">
        <v>32</v>
      </c>
      <c r="T89" s="262" t="s">
        <v>32</v>
      </c>
      <c r="U89" s="262" t="s">
        <v>32</v>
      </c>
      <c r="V89" s="262" t="s">
        <v>32</v>
      </c>
      <c r="W89" s="262" t="s">
        <v>32</v>
      </c>
      <c r="X89" s="281" t="s">
        <v>32</v>
      </c>
      <c r="Y89" s="281" t="s">
        <v>32</v>
      </c>
      <c r="Z89" s="281" t="s">
        <v>32</v>
      </c>
      <c r="AA89" s="282" t="s">
        <v>32</v>
      </c>
      <c r="AB89" s="316"/>
      <c r="AC89" s="340" t="e">
        <f t="shared" ca="1" si="4"/>
        <v>#REF!</v>
      </c>
      <c r="AD89" s="230"/>
      <c r="AE89" s="230"/>
      <c r="AF89" s="230"/>
      <c r="AG89" s="230"/>
      <c r="AH89" s="230"/>
      <c r="AI89" s="230"/>
      <c r="AJ89" s="230"/>
      <c r="AK89" s="230"/>
      <c r="AL89" s="230"/>
      <c r="AM89" s="230"/>
      <c r="AN89" s="230"/>
      <c r="AO89" s="230"/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1:59" ht="14.25">
      <c r="A90" s="934"/>
      <c r="B90" s="284"/>
      <c r="C90" s="285" t="e">
        <f t="shared" ca="1" si="3"/>
        <v>#REF!</v>
      </c>
      <c r="D90" s="326" t="s">
        <v>32</v>
      </c>
      <c r="E90" s="262" t="s">
        <v>32</v>
      </c>
      <c r="F90" s="262" t="s">
        <v>32</v>
      </c>
      <c r="G90" s="262" t="s">
        <v>32</v>
      </c>
      <c r="H90" s="262" t="s">
        <v>32</v>
      </c>
      <c r="I90" s="262" t="s">
        <v>32</v>
      </c>
      <c r="J90" s="262" t="s">
        <v>32</v>
      </c>
      <c r="K90" s="262" t="s">
        <v>32</v>
      </c>
      <c r="L90" s="262" t="s">
        <v>32</v>
      </c>
      <c r="M90" s="262" t="s">
        <v>32</v>
      </c>
      <c r="N90" s="262" t="s">
        <v>32</v>
      </c>
      <c r="O90" s="262" t="s">
        <v>32</v>
      </c>
      <c r="P90" s="262" t="s">
        <v>32</v>
      </c>
      <c r="Q90" s="262" t="s">
        <v>32</v>
      </c>
      <c r="R90" s="262" t="s">
        <v>32</v>
      </c>
      <c r="S90" s="262" t="s">
        <v>32</v>
      </c>
      <c r="T90" s="280" t="s">
        <v>32</v>
      </c>
      <c r="U90" s="262" t="s">
        <v>32</v>
      </c>
      <c r="V90" s="262" t="s">
        <v>32</v>
      </c>
      <c r="W90" s="262" t="s">
        <v>32</v>
      </c>
      <c r="X90" s="281" t="s">
        <v>32</v>
      </c>
      <c r="Y90" s="281" t="s">
        <v>32</v>
      </c>
      <c r="Z90" s="281" t="s">
        <v>32</v>
      </c>
      <c r="AA90" s="282" t="s">
        <v>32</v>
      </c>
      <c r="AB90" s="316"/>
      <c r="AC90" s="340" t="e">
        <f t="shared" ca="1" si="4"/>
        <v>#REF!</v>
      </c>
      <c r="AD90" s="230"/>
      <c r="AE90" s="230"/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1:59" ht="14.25">
      <c r="A91" s="934"/>
      <c r="B91" s="284"/>
      <c r="C91" s="285" t="e">
        <f t="shared" ca="1" si="3"/>
        <v>#REF!</v>
      </c>
      <c r="D91" s="215" t="s">
        <v>32</v>
      </c>
      <c r="E91" s="262" t="s">
        <v>32</v>
      </c>
      <c r="F91" s="262" t="s">
        <v>32</v>
      </c>
      <c r="G91" s="262" t="s">
        <v>32</v>
      </c>
      <c r="H91" s="262" t="s">
        <v>32</v>
      </c>
      <c r="I91" s="262" t="s">
        <v>32</v>
      </c>
      <c r="J91" s="262" t="s">
        <v>32</v>
      </c>
      <c r="K91" s="262" t="s">
        <v>32</v>
      </c>
      <c r="L91" s="262" t="s">
        <v>32</v>
      </c>
      <c r="M91" s="262" t="s">
        <v>32</v>
      </c>
      <c r="N91" s="262" t="s">
        <v>32</v>
      </c>
      <c r="O91" s="262" t="s">
        <v>32</v>
      </c>
      <c r="P91" s="262" t="s">
        <v>32</v>
      </c>
      <c r="Q91" s="262" t="s">
        <v>32</v>
      </c>
      <c r="R91" s="262" t="s">
        <v>32</v>
      </c>
      <c r="S91" s="262" t="s">
        <v>32</v>
      </c>
      <c r="T91" s="262" t="s">
        <v>32</v>
      </c>
      <c r="U91" s="280" t="s">
        <v>32</v>
      </c>
      <c r="V91" s="262" t="s">
        <v>32</v>
      </c>
      <c r="W91" s="262" t="s">
        <v>32</v>
      </c>
      <c r="X91" s="281" t="s">
        <v>32</v>
      </c>
      <c r="Y91" s="281" t="s">
        <v>32</v>
      </c>
      <c r="Z91" s="281" t="s">
        <v>32</v>
      </c>
      <c r="AA91" s="282" t="s">
        <v>32</v>
      </c>
      <c r="AB91" s="316"/>
      <c r="AC91" s="340" t="e">
        <f t="shared" ca="1" si="4"/>
        <v>#REF!</v>
      </c>
      <c r="AD91" s="230"/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1:59" ht="14.25">
      <c r="A92" s="934"/>
      <c r="B92" s="284"/>
      <c r="C92" s="285" t="e">
        <f t="shared" ca="1" si="3"/>
        <v>#REF!</v>
      </c>
      <c r="D92" s="268" t="s">
        <v>32</v>
      </c>
      <c r="E92" s="262" t="s">
        <v>32</v>
      </c>
      <c r="F92" s="262" t="s">
        <v>32</v>
      </c>
      <c r="G92" s="262" t="s">
        <v>32</v>
      </c>
      <c r="H92" s="262" t="s">
        <v>32</v>
      </c>
      <c r="I92" s="262" t="s">
        <v>32</v>
      </c>
      <c r="J92" s="262" t="s">
        <v>32</v>
      </c>
      <c r="K92" s="262" t="s">
        <v>32</v>
      </c>
      <c r="L92" s="262" t="s">
        <v>32</v>
      </c>
      <c r="M92" s="262" t="s">
        <v>32</v>
      </c>
      <c r="N92" s="262" t="s">
        <v>32</v>
      </c>
      <c r="O92" s="262" t="s">
        <v>32</v>
      </c>
      <c r="P92" s="262" t="s">
        <v>32</v>
      </c>
      <c r="Q92" s="262" t="s">
        <v>32</v>
      </c>
      <c r="R92" s="262" t="s">
        <v>32</v>
      </c>
      <c r="S92" s="262" t="s">
        <v>32</v>
      </c>
      <c r="T92" s="262" t="s">
        <v>32</v>
      </c>
      <c r="U92" s="262" t="s">
        <v>32</v>
      </c>
      <c r="V92" s="280" t="s">
        <v>32</v>
      </c>
      <c r="W92" s="262" t="s">
        <v>32</v>
      </c>
      <c r="X92" s="281" t="s">
        <v>32</v>
      </c>
      <c r="Y92" s="281" t="s">
        <v>32</v>
      </c>
      <c r="Z92" s="281" t="s">
        <v>32</v>
      </c>
      <c r="AA92" s="282" t="s">
        <v>32</v>
      </c>
      <c r="AB92" s="316"/>
      <c r="AC92" s="340" t="e">
        <f t="shared" ca="1" si="4"/>
        <v>#REF!</v>
      </c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1:59" ht="14.25">
      <c r="A93" s="934"/>
      <c r="B93" s="284"/>
      <c r="C93" s="285" t="e">
        <f t="shared" ca="1" si="3"/>
        <v>#REF!</v>
      </c>
      <c r="D93" s="268" t="s">
        <v>32</v>
      </c>
      <c r="E93" s="262" t="s">
        <v>32</v>
      </c>
      <c r="F93" s="262" t="s">
        <v>32</v>
      </c>
      <c r="G93" s="262" t="s">
        <v>32</v>
      </c>
      <c r="H93" s="262" t="s">
        <v>32</v>
      </c>
      <c r="I93" s="262" t="s">
        <v>32</v>
      </c>
      <c r="J93" s="262" t="s">
        <v>32</v>
      </c>
      <c r="K93" s="262" t="s">
        <v>32</v>
      </c>
      <c r="L93" s="262" t="s">
        <v>32</v>
      </c>
      <c r="M93" s="262" t="s">
        <v>32</v>
      </c>
      <c r="N93" s="262" t="s">
        <v>32</v>
      </c>
      <c r="O93" s="262" t="s">
        <v>32</v>
      </c>
      <c r="P93" s="262" t="s">
        <v>32</v>
      </c>
      <c r="Q93" s="262" t="s">
        <v>32</v>
      </c>
      <c r="R93" s="262" t="s">
        <v>32</v>
      </c>
      <c r="S93" s="262" t="s">
        <v>32</v>
      </c>
      <c r="T93" s="262" t="s">
        <v>32</v>
      </c>
      <c r="U93" s="262" t="s">
        <v>32</v>
      </c>
      <c r="V93" s="262" t="s">
        <v>32</v>
      </c>
      <c r="W93" s="280" t="s">
        <v>32</v>
      </c>
      <c r="X93" s="281" t="s">
        <v>32</v>
      </c>
      <c r="Y93" s="281" t="s">
        <v>32</v>
      </c>
      <c r="Z93" s="281" t="s">
        <v>32</v>
      </c>
      <c r="AA93" s="282" t="s">
        <v>32</v>
      </c>
      <c r="AB93" s="316"/>
      <c r="AC93" s="340" t="e">
        <f t="shared" ca="1" si="4"/>
        <v>#REF!</v>
      </c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1:59" ht="14.25">
      <c r="A94" s="934"/>
      <c r="B94" s="284"/>
      <c r="C94" s="285" t="str">
        <f t="shared" si="3"/>
        <v/>
      </c>
      <c r="D94" s="268" t="s">
        <v>32</v>
      </c>
      <c r="E94" s="262" t="s">
        <v>32</v>
      </c>
      <c r="F94" s="262" t="s">
        <v>32</v>
      </c>
      <c r="G94" s="262" t="s">
        <v>32</v>
      </c>
      <c r="H94" s="262" t="s">
        <v>32</v>
      </c>
      <c r="I94" s="262" t="s">
        <v>32</v>
      </c>
      <c r="J94" s="262" t="s">
        <v>32</v>
      </c>
      <c r="K94" s="262" t="s">
        <v>32</v>
      </c>
      <c r="L94" s="262" t="s">
        <v>32</v>
      </c>
      <c r="M94" s="262" t="s">
        <v>32</v>
      </c>
      <c r="N94" s="262" t="s">
        <v>32</v>
      </c>
      <c r="O94" s="262" t="s">
        <v>32</v>
      </c>
      <c r="P94" s="262" t="s">
        <v>32</v>
      </c>
      <c r="Q94" s="262" t="s">
        <v>32</v>
      </c>
      <c r="R94" s="262" t="s">
        <v>32</v>
      </c>
      <c r="S94" s="262" t="s">
        <v>32</v>
      </c>
      <c r="T94" s="262" t="s">
        <v>32</v>
      </c>
      <c r="U94" s="262" t="s">
        <v>32</v>
      </c>
      <c r="V94" s="262" t="s">
        <v>32</v>
      </c>
      <c r="W94" s="262" t="s">
        <v>32</v>
      </c>
      <c r="X94" s="286" t="s">
        <v>32</v>
      </c>
      <c r="Y94" s="281" t="s">
        <v>32</v>
      </c>
      <c r="Z94" s="281" t="s">
        <v>32</v>
      </c>
      <c r="AA94" s="282" t="s">
        <v>32</v>
      </c>
      <c r="AB94" s="316"/>
      <c r="AC94" s="340" t="str">
        <f t="shared" si="4"/>
        <v/>
      </c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1:59" ht="14.25">
      <c r="A95" s="934"/>
      <c r="B95" s="284"/>
      <c r="C95" s="285" t="str">
        <f t="shared" si="3"/>
        <v/>
      </c>
      <c r="D95" s="268" t="s">
        <v>32</v>
      </c>
      <c r="E95" s="278" t="s">
        <v>32</v>
      </c>
      <c r="F95" s="278" t="s">
        <v>32</v>
      </c>
      <c r="G95" s="278" t="s">
        <v>32</v>
      </c>
      <c r="H95" s="278" t="s">
        <v>32</v>
      </c>
      <c r="I95" s="278" t="s">
        <v>32</v>
      </c>
      <c r="J95" s="278" t="s">
        <v>32</v>
      </c>
      <c r="K95" s="278" t="s">
        <v>32</v>
      </c>
      <c r="L95" s="278" t="s">
        <v>32</v>
      </c>
      <c r="M95" s="278" t="s">
        <v>32</v>
      </c>
      <c r="N95" s="278" t="s">
        <v>32</v>
      </c>
      <c r="O95" s="278" t="s">
        <v>32</v>
      </c>
      <c r="P95" s="278" t="s">
        <v>32</v>
      </c>
      <c r="Q95" s="278" t="s">
        <v>32</v>
      </c>
      <c r="R95" s="278" t="s">
        <v>32</v>
      </c>
      <c r="S95" s="278" t="s">
        <v>32</v>
      </c>
      <c r="T95" s="278" t="s">
        <v>32</v>
      </c>
      <c r="U95" s="278" t="s">
        <v>32</v>
      </c>
      <c r="V95" s="278" t="s">
        <v>32</v>
      </c>
      <c r="W95" s="278" t="s">
        <v>32</v>
      </c>
      <c r="X95" s="281" t="s">
        <v>32</v>
      </c>
      <c r="Y95" s="286" t="s">
        <v>32</v>
      </c>
      <c r="Z95" s="281" t="s">
        <v>32</v>
      </c>
      <c r="AA95" s="282" t="s">
        <v>32</v>
      </c>
      <c r="AB95" s="316"/>
      <c r="AC95" s="340" t="str">
        <f t="shared" si="4"/>
        <v/>
      </c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1:59" ht="14.25">
      <c r="A96" s="934"/>
      <c r="B96" s="284"/>
      <c r="C96" s="285" t="str">
        <f t="shared" si="3"/>
        <v/>
      </c>
      <c r="D96" s="268" t="s">
        <v>32</v>
      </c>
      <c r="E96" s="278" t="s">
        <v>32</v>
      </c>
      <c r="F96" s="278" t="s">
        <v>32</v>
      </c>
      <c r="G96" s="278" t="s">
        <v>32</v>
      </c>
      <c r="H96" s="278" t="s">
        <v>32</v>
      </c>
      <c r="I96" s="278" t="s">
        <v>32</v>
      </c>
      <c r="J96" s="278" t="s">
        <v>32</v>
      </c>
      <c r="K96" s="278" t="s">
        <v>32</v>
      </c>
      <c r="L96" s="278" t="s">
        <v>32</v>
      </c>
      <c r="M96" s="278" t="s">
        <v>32</v>
      </c>
      <c r="N96" s="278" t="s">
        <v>32</v>
      </c>
      <c r="O96" s="278" t="s">
        <v>32</v>
      </c>
      <c r="P96" s="278" t="s">
        <v>32</v>
      </c>
      <c r="Q96" s="278" t="s">
        <v>32</v>
      </c>
      <c r="R96" s="278" t="s">
        <v>32</v>
      </c>
      <c r="S96" s="278" t="s">
        <v>32</v>
      </c>
      <c r="T96" s="278" t="s">
        <v>32</v>
      </c>
      <c r="U96" s="278" t="s">
        <v>32</v>
      </c>
      <c r="V96" s="278" t="s">
        <v>32</v>
      </c>
      <c r="W96" s="278" t="s">
        <v>32</v>
      </c>
      <c r="X96" s="281" t="s">
        <v>32</v>
      </c>
      <c r="Y96" s="281" t="s">
        <v>32</v>
      </c>
      <c r="Z96" s="286" t="s">
        <v>32</v>
      </c>
      <c r="AA96" s="282" t="s">
        <v>32</v>
      </c>
      <c r="AB96" s="316"/>
      <c r="AC96" s="340" t="str">
        <f t="shared" si="4"/>
        <v/>
      </c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1:59" ht="14.25" hidden="1">
      <c r="A97" s="935"/>
      <c r="B97" s="287"/>
      <c r="C97" s="288" t="str">
        <f t="shared" si="3"/>
        <v/>
      </c>
      <c r="D97" s="289" t="s">
        <v>32</v>
      </c>
      <c r="E97" s="290" t="s">
        <v>32</v>
      </c>
      <c r="F97" s="290" t="s">
        <v>32</v>
      </c>
      <c r="G97" s="290" t="s">
        <v>32</v>
      </c>
      <c r="H97" s="290" t="s">
        <v>32</v>
      </c>
      <c r="I97" s="290" t="s">
        <v>32</v>
      </c>
      <c r="J97" s="290" t="s">
        <v>32</v>
      </c>
      <c r="K97" s="290" t="s">
        <v>32</v>
      </c>
      <c r="L97" s="290" t="s">
        <v>32</v>
      </c>
      <c r="M97" s="290" t="s">
        <v>32</v>
      </c>
      <c r="N97" s="290" t="s">
        <v>32</v>
      </c>
      <c r="O97" s="290" t="s">
        <v>32</v>
      </c>
      <c r="P97" s="290" t="s">
        <v>32</v>
      </c>
      <c r="Q97" s="290" t="s">
        <v>32</v>
      </c>
      <c r="R97" s="290" t="s">
        <v>32</v>
      </c>
      <c r="S97" s="290" t="s">
        <v>32</v>
      </c>
      <c r="T97" s="290" t="s">
        <v>32</v>
      </c>
      <c r="U97" s="290" t="s">
        <v>32</v>
      </c>
      <c r="V97" s="290" t="s">
        <v>32</v>
      </c>
      <c r="W97" s="290" t="s">
        <v>32</v>
      </c>
      <c r="X97" s="291" t="s">
        <v>32</v>
      </c>
      <c r="Y97" s="291" t="s">
        <v>32</v>
      </c>
      <c r="Z97" s="291" t="s">
        <v>32</v>
      </c>
      <c r="AA97" s="292" t="s">
        <v>32</v>
      </c>
      <c r="AB97" s="316"/>
      <c r="AC97" s="236" t="str">
        <f t="shared" si="4"/>
        <v/>
      </c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1:59" ht="27">
      <c r="C98" s="341" t="s">
        <v>199</v>
      </c>
      <c r="D98" s="260" t="e">
        <f ca="1">IF(D3="","",SUM(D74:D97)*-1)</f>
        <v>#REF!</v>
      </c>
      <c r="E98" s="260" t="e">
        <f t="shared" ref="E98:AA98" ca="1" si="5">IF(E3="","",SUM(E74:E97)*-1)</f>
        <v>#REF!</v>
      </c>
      <c r="F98" s="260" t="e">
        <f t="shared" ca="1" si="5"/>
        <v>#REF!</v>
      </c>
      <c r="G98" s="260" t="e">
        <f t="shared" ca="1" si="5"/>
        <v>#REF!</v>
      </c>
      <c r="H98" s="260" t="e">
        <f t="shared" ca="1" si="5"/>
        <v>#REF!</v>
      </c>
      <c r="I98" s="260" t="e">
        <f t="shared" ca="1" si="5"/>
        <v>#REF!</v>
      </c>
      <c r="J98" s="260" t="e">
        <f t="shared" ca="1" si="5"/>
        <v>#REF!</v>
      </c>
      <c r="K98" s="260" t="e">
        <f t="shared" ca="1" si="5"/>
        <v>#REF!</v>
      </c>
      <c r="L98" s="260" t="e">
        <f t="shared" ca="1" si="5"/>
        <v>#REF!</v>
      </c>
      <c r="M98" s="260" t="e">
        <f t="shared" ca="1" si="5"/>
        <v>#REF!</v>
      </c>
      <c r="N98" s="260" t="e">
        <f t="shared" ca="1" si="5"/>
        <v>#REF!</v>
      </c>
      <c r="O98" s="260" t="e">
        <f t="shared" ca="1" si="5"/>
        <v>#REF!</v>
      </c>
      <c r="P98" s="260" t="e">
        <f t="shared" ca="1" si="5"/>
        <v>#REF!</v>
      </c>
      <c r="Q98" s="260" t="e">
        <f t="shared" ca="1" si="5"/>
        <v>#REF!</v>
      </c>
      <c r="R98" s="260" t="e">
        <f t="shared" ca="1" si="5"/>
        <v>#REF!</v>
      </c>
      <c r="S98" s="260" t="e">
        <f t="shared" ca="1" si="5"/>
        <v>#REF!</v>
      </c>
      <c r="T98" s="260" t="e">
        <f t="shared" ca="1" si="5"/>
        <v>#REF!</v>
      </c>
      <c r="U98" s="260" t="e">
        <f t="shared" ca="1" si="5"/>
        <v>#REF!</v>
      </c>
      <c r="V98" s="260" t="e">
        <f t="shared" ca="1" si="5"/>
        <v>#REF!</v>
      </c>
      <c r="W98" s="260" t="e">
        <f t="shared" ca="1" si="5"/>
        <v>#REF!</v>
      </c>
      <c r="X98" s="298" t="str">
        <f t="shared" si="5"/>
        <v/>
      </c>
      <c r="Y98" s="298" t="str">
        <f t="shared" si="5"/>
        <v/>
      </c>
      <c r="Z98" s="298" t="str">
        <f t="shared" si="5"/>
        <v/>
      </c>
      <c r="AA98" s="318" t="str">
        <f t="shared" si="5"/>
        <v/>
      </c>
      <c r="AB98" s="316" t="str">
        <f>IF(AB3="","",SUM(AB74:AB97))</f>
        <v/>
      </c>
      <c r="AC98" s="342" t="e">
        <f ca="1">"home: "&amp;SUM(AC74:AC97)</f>
        <v>#REF!</v>
      </c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1:59"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1:59"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  <row r="101" spans="1:59">
      <c r="B101" s="936" t="s">
        <v>176</v>
      </c>
      <c r="C101" s="343"/>
      <c r="D101" s="228">
        <v>1</v>
      </c>
      <c r="E101" s="295">
        <v>2</v>
      </c>
      <c r="F101" s="295">
        <v>3</v>
      </c>
      <c r="G101" s="295">
        <v>4</v>
      </c>
      <c r="H101" s="295">
        <v>5</v>
      </c>
      <c r="I101" s="295">
        <v>6</v>
      </c>
      <c r="J101" s="295">
        <v>7</v>
      </c>
      <c r="K101" s="295">
        <v>8</v>
      </c>
      <c r="L101" s="295">
        <v>9</v>
      </c>
      <c r="M101" s="295">
        <v>10</v>
      </c>
      <c r="N101" s="295">
        <v>11</v>
      </c>
      <c r="O101" s="295">
        <v>12</v>
      </c>
      <c r="P101" s="295">
        <v>13</v>
      </c>
      <c r="Q101" s="295">
        <v>14</v>
      </c>
      <c r="R101" s="295">
        <v>15</v>
      </c>
      <c r="S101" s="295">
        <v>16</v>
      </c>
      <c r="T101" s="295">
        <v>17</v>
      </c>
      <c r="U101" s="295">
        <v>18</v>
      </c>
      <c r="V101" s="295">
        <v>19</v>
      </c>
      <c r="W101" s="295">
        <v>20</v>
      </c>
      <c r="X101" s="295">
        <v>21</v>
      </c>
      <c r="Y101" s="295">
        <v>22</v>
      </c>
      <c r="Z101" s="295">
        <v>23</v>
      </c>
      <c r="AA101" s="344">
        <v>24</v>
      </c>
    </row>
    <row r="102" spans="1:59" ht="69">
      <c r="B102" s="929"/>
      <c r="C102" s="287" t="s">
        <v>60</v>
      </c>
      <c r="D102" s="266" t="e">
        <f ca="1">IF($C103="","",$C103)</f>
        <v>#REF!</v>
      </c>
      <c r="E102" s="266" t="e">
        <f ca="1">IF($C104="","",$C104)</f>
        <v>#REF!</v>
      </c>
      <c r="F102" s="266" t="e">
        <f ca="1">IF($C105="","",$C105)</f>
        <v>#REF!</v>
      </c>
      <c r="G102" s="266" t="e">
        <f ca="1">IF($C106="","",$C106)</f>
        <v>#REF!</v>
      </c>
      <c r="H102" s="266" t="e">
        <f ca="1">IF($C107="","",$C107)</f>
        <v>#REF!</v>
      </c>
      <c r="I102" s="266" t="e">
        <f ca="1">IF($C108="","",$C108)</f>
        <v>#REF!</v>
      </c>
      <c r="J102" s="266" t="e">
        <f ca="1">IF($C109="","",$C109)</f>
        <v>#REF!</v>
      </c>
      <c r="K102" s="266" t="e">
        <f ca="1">IF($C110="","",$C110)</f>
        <v>#REF!</v>
      </c>
      <c r="L102" s="266" t="e">
        <f ca="1">IF($C111="","",$C111)</f>
        <v>#REF!</v>
      </c>
      <c r="M102" s="266" t="e">
        <f ca="1">IF($C112="","",$C112)</f>
        <v>#REF!</v>
      </c>
      <c r="N102" s="266" t="e">
        <f ca="1">IF($C113="","",$C113)</f>
        <v>#REF!</v>
      </c>
      <c r="O102" s="266" t="e">
        <f ca="1">IF($C114="","",$C114)</f>
        <v>#REF!</v>
      </c>
      <c r="P102" s="266" t="e">
        <f ca="1">IF($C115="","",$C115)</f>
        <v>#REF!</v>
      </c>
      <c r="Q102" s="266" t="e">
        <f ca="1">IF($C116="","",$C116)</f>
        <v>#REF!</v>
      </c>
      <c r="R102" s="266" t="e">
        <f ca="1">IF($C117="","",$C117)</f>
        <v>#REF!</v>
      </c>
      <c r="S102" s="266" t="e">
        <f ca="1">IF($C118="","",$C118)</f>
        <v>#REF!</v>
      </c>
      <c r="T102" s="266" t="e">
        <f ca="1">IF($C119="","",$C119)</f>
        <v>#REF!</v>
      </c>
      <c r="U102" s="266" t="e">
        <f ca="1">IF($C120="","",$C120)</f>
        <v>#REF!</v>
      </c>
      <c r="V102" s="266" t="e">
        <f ca="1">IF($C121="","",$C121)</f>
        <v>#REF!</v>
      </c>
      <c r="W102" s="266" t="e">
        <f ca="1">IF($C122="","",$C122)</f>
        <v>#REF!</v>
      </c>
      <c r="X102" s="266" t="e">
        <f ca="1">IF($C123="","",$C123)</f>
        <v>#REF!</v>
      </c>
      <c r="Y102" s="266" t="e">
        <f ca="1">IF($C124="","",$C124)</f>
        <v>#REF!</v>
      </c>
      <c r="Z102" s="266" t="e">
        <f ca="1">IF($C125="","",$C125)</f>
        <v>#REF!</v>
      </c>
      <c r="AA102" s="267" t="e">
        <f ca="1">IF($C126="","",$C126)</f>
        <v>#REF!</v>
      </c>
      <c r="AC102" s="265" t="str">
        <f>AC3</f>
        <v>Home Lo  %</v>
      </c>
      <c r="AD102" s="266" t="s">
        <v>178</v>
      </c>
      <c r="AE102" s="266" t="s">
        <v>179</v>
      </c>
      <c r="AF102" s="267" t="s">
        <v>180</v>
      </c>
    </row>
    <row r="103" spans="1:59" ht="14.25">
      <c r="B103" s="272">
        <v>1</v>
      </c>
      <c r="C103" s="343" t="e">
        <f ca="1">IF(B103&gt;MAX($B$4:$B$27),"",VLOOKUP(B103,$B$4:$C$27,2,FALSE))</f>
        <v>#REF!</v>
      </c>
      <c r="D103" s="215" t="e">
        <f ca="1">HLOOKUP(D$102,$D$3:$AA$27,MATCH($C103,$C$4:$C$27,0)+1,FALSE)</f>
        <v>#REF!</v>
      </c>
      <c r="E103" s="215" t="e">
        <f ca="1">HLOOKUP(E$102,$D$3:$AA$27,MATCH($C103,$C$4:$C$27,0)+1,FALSE)</f>
        <v>#REF!</v>
      </c>
      <c r="F103" s="215" t="e">
        <f t="shared" ref="F103:AA115" ca="1" si="6">HLOOKUP(F$102,$D$3:$AA$27,MATCH($C103,$C$4:$C$27,0)+1,FALSE)</f>
        <v>#REF!</v>
      </c>
      <c r="G103" s="215" t="e">
        <f t="shared" ca="1" si="6"/>
        <v>#REF!</v>
      </c>
      <c r="H103" s="215" t="e">
        <f t="shared" ca="1" si="6"/>
        <v>#REF!</v>
      </c>
      <c r="I103" s="215" t="e">
        <f t="shared" ca="1" si="6"/>
        <v>#REF!</v>
      </c>
      <c r="J103" s="215" t="e">
        <f t="shared" ca="1" si="6"/>
        <v>#REF!</v>
      </c>
      <c r="K103" s="215" t="e">
        <f t="shared" ca="1" si="6"/>
        <v>#REF!</v>
      </c>
      <c r="L103" s="215" t="e">
        <f t="shared" ca="1" si="6"/>
        <v>#REF!</v>
      </c>
      <c r="M103" s="215" t="e">
        <f t="shared" ca="1" si="6"/>
        <v>#REF!</v>
      </c>
      <c r="N103" s="215" t="e">
        <f t="shared" ca="1" si="6"/>
        <v>#REF!</v>
      </c>
      <c r="O103" s="215" t="e">
        <f t="shared" ca="1" si="6"/>
        <v>#REF!</v>
      </c>
      <c r="P103" s="215" t="e">
        <f t="shared" ca="1" si="6"/>
        <v>#REF!</v>
      </c>
      <c r="Q103" s="215" t="e">
        <f t="shared" ca="1" si="6"/>
        <v>#REF!</v>
      </c>
      <c r="R103" s="215" t="e">
        <f t="shared" ca="1" si="6"/>
        <v>#REF!</v>
      </c>
      <c r="S103" s="215" t="e">
        <f t="shared" ca="1" si="6"/>
        <v>#REF!</v>
      </c>
      <c r="T103" s="215" t="e">
        <f t="shared" ca="1" si="6"/>
        <v>#REF!</v>
      </c>
      <c r="U103" s="215" t="e">
        <f t="shared" ca="1" si="6"/>
        <v>#REF!</v>
      </c>
      <c r="V103" s="215" t="e">
        <f t="shared" ca="1" si="6"/>
        <v>#REF!</v>
      </c>
      <c r="W103" s="215" t="e">
        <f t="shared" ca="1" si="6"/>
        <v>#REF!</v>
      </c>
      <c r="X103" s="215" t="e">
        <f t="shared" ca="1" si="6"/>
        <v>#REF!</v>
      </c>
      <c r="Y103" s="215" t="e">
        <f t="shared" ca="1" si="6"/>
        <v>#REF!</v>
      </c>
      <c r="Z103" s="215" t="e">
        <f t="shared" ca="1" si="6"/>
        <v>#REF!</v>
      </c>
      <c r="AA103" s="215" t="e">
        <f t="shared" ca="1" si="6"/>
        <v>#REF!</v>
      </c>
      <c r="AC103" s="277" t="e">
        <f ca="1">IF($C103="","",VLOOKUP($C103,$C$4:$AF$27,27,FALSE))</f>
        <v>#REF!</v>
      </c>
      <c r="AD103" s="278" t="e">
        <f ca="1">IF($C103="","",VLOOKUP($C103,$C$4:$AF$27,28,FALSE))</f>
        <v>#REF!</v>
      </c>
      <c r="AE103" s="278" t="e">
        <f ca="1">IF($C103="","",VLOOKUP($C103,$C$4:$AF$27,29,FALSE))</f>
        <v>#REF!</v>
      </c>
      <c r="AF103" s="279" t="e">
        <f ca="1">IF($C103="","",VLOOKUP($C103,$C$4:$AF$27,30,FALSE))</f>
        <v>#REF!</v>
      </c>
    </row>
    <row r="104" spans="1:59" ht="14.25">
      <c r="B104" s="300">
        <v>2</v>
      </c>
      <c r="C104" s="284" t="e">
        <f t="shared" ref="C104:C126" ca="1" si="7">IF(B104&gt;MAX($B$4:$B$27),"",VLOOKUP(B104,$B$4:$C$27,2,FALSE))</f>
        <v>#REF!</v>
      </c>
      <c r="D104" s="215" t="e">
        <f t="shared" ref="D104:T126" ca="1" si="8">HLOOKUP(D$102,$D$3:$AA$27,MATCH($C104,$C$4:$C$27,0)+1,FALSE)</f>
        <v>#REF!</v>
      </c>
      <c r="E104" s="215" t="e">
        <f t="shared" ca="1" si="8"/>
        <v>#REF!</v>
      </c>
      <c r="F104" s="215" t="e">
        <f t="shared" ca="1" si="8"/>
        <v>#REF!</v>
      </c>
      <c r="G104" s="215" t="e">
        <f t="shared" ca="1" si="8"/>
        <v>#REF!</v>
      </c>
      <c r="H104" s="215" t="e">
        <f t="shared" ca="1" si="8"/>
        <v>#REF!</v>
      </c>
      <c r="I104" s="215" t="e">
        <f t="shared" ca="1" si="8"/>
        <v>#REF!</v>
      </c>
      <c r="J104" s="215" t="e">
        <f t="shared" ca="1" si="8"/>
        <v>#REF!</v>
      </c>
      <c r="K104" s="215" t="e">
        <f t="shared" ca="1" si="8"/>
        <v>#REF!</v>
      </c>
      <c r="L104" s="215" t="e">
        <f t="shared" ca="1" si="8"/>
        <v>#REF!</v>
      </c>
      <c r="M104" s="215" t="e">
        <f t="shared" ca="1" si="8"/>
        <v>#REF!</v>
      </c>
      <c r="N104" s="215" t="e">
        <f t="shared" ca="1" si="8"/>
        <v>#REF!</v>
      </c>
      <c r="O104" s="215" t="e">
        <f t="shared" ca="1" si="8"/>
        <v>#REF!</v>
      </c>
      <c r="P104" s="215" t="e">
        <f t="shared" ca="1" si="8"/>
        <v>#REF!</v>
      </c>
      <c r="Q104" s="215" t="e">
        <f t="shared" ca="1" si="8"/>
        <v>#REF!</v>
      </c>
      <c r="R104" s="215" t="e">
        <f t="shared" ca="1" si="8"/>
        <v>#REF!</v>
      </c>
      <c r="S104" s="215" t="e">
        <f t="shared" ca="1" si="8"/>
        <v>#REF!</v>
      </c>
      <c r="T104" s="215" t="e">
        <f t="shared" ca="1" si="8"/>
        <v>#REF!</v>
      </c>
      <c r="U104" s="215" t="e">
        <f t="shared" ca="1" si="6"/>
        <v>#REF!</v>
      </c>
      <c r="V104" s="215" t="e">
        <f t="shared" ca="1" si="6"/>
        <v>#REF!</v>
      </c>
      <c r="W104" s="215" t="e">
        <f t="shared" ca="1" si="6"/>
        <v>#REF!</v>
      </c>
      <c r="X104" s="215" t="e">
        <f t="shared" ca="1" si="6"/>
        <v>#REF!</v>
      </c>
      <c r="Y104" s="215" t="e">
        <f t="shared" ca="1" si="6"/>
        <v>#REF!</v>
      </c>
      <c r="Z104" s="215" t="e">
        <f t="shared" ca="1" si="6"/>
        <v>#REF!</v>
      </c>
      <c r="AA104" s="215" t="e">
        <f t="shared" ca="1" si="6"/>
        <v>#REF!</v>
      </c>
      <c r="AC104" s="277" t="e">
        <f t="shared" ref="AC104:AC126" ca="1" si="9">IF($C104="","",VLOOKUP($C104,$C$4:$AF$27,27,FALSE))</f>
        <v>#REF!</v>
      </c>
      <c r="AD104" s="278" t="e">
        <f t="shared" ref="AD104:AD126" ca="1" si="10">IF($C104="","",VLOOKUP($C104,$C$4:$AF$27,28,FALSE))</f>
        <v>#REF!</v>
      </c>
      <c r="AE104" s="278" t="e">
        <f t="shared" ref="AE104:AE126" ca="1" si="11">IF($C104="","",VLOOKUP($C104,$C$4:$AF$27,29,FALSE))</f>
        <v>#REF!</v>
      </c>
      <c r="AF104" s="279" t="e">
        <f t="shared" ref="AF104:AF126" ca="1" si="12">IF($C104="","",VLOOKUP($C104,$C$4:$AF$27,30,FALSE))</f>
        <v>#REF!</v>
      </c>
    </row>
    <row r="105" spans="1:59" ht="14.25">
      <c r="B105" s="300">
        <v>3</v>
      </c>
      <c r="C105" s="284" t="e">
        <f t="shared" ca="1" si="7"/>
        <v>#REF!</v>
      </c>
      <c r="D105" s="215" t="e">
        <f t="shared" ca="1" si="8"/>
        <v>#REF!</v>
      </c>
      <c r="E105" s="215" t="e">
        <f t="shared" ca="1" si="8"/>
        <v>#REF!</v>
      </c>
      <c r="F105" s="215" t="e">
        <f t="shared" ca="1" si="6"/>
        <v>#REF!</v>
      </c>
      <c r="G105" s="215" t="e">
        <f t="shared" ca="1" si="6"/>
        <v>#REF!</v>
      </c>
      <c r="H105" s="215" t="e">
        <f t="shared" ca="1" si="6"/>
        <v>#REF!</v>
      </c>
      <c r="I105" s="215" t="e">
        <f t="shared" ca="1" si="6"/>
        <v>#REF!</v>
      </c>
      <c r="J105" s="215" t="e">
        <f t="shared" ca="1" si="6"/>
        <v>#REF!</v>
      </c>
      <c r="K105" s="215" t="e">
        <f t="shared" ca="1" si="6"/>
        <v>#REF!</v>
      </c>
      <c r="L105" s="215" t="e">
        <f t="shared" ca="1" si="6"/>
        <v>#REF!</v>
      </c>
      <c r="M105" s="215" t="e">
        <f t="shared" ca="1" si="6"/>
        <v>#REF!</v>
      </c>
      <c r="N105" s="215" t="e">
        <f t="shared" ca="1" si="6"/>
        <v>#REF!</v>
      </c>
      <c r="O105" s="215" t="e">
        <f t="shared" ca="1" si="6"/>
        <v>#REF!</v>
      </c>
      <c r="P105" s="215" t="e">
        <f t="shared" ca="1" si="6"/>
        <v>#REF!</v>
      </c>
      <c r="Q105" s="215" t="e">
        <f t="shared" ca="1" si="6"/>
        <v>#REF!</v>
      </c>
      <c r="R105" s="215" t="e">
        <f t="shared" ca="1" si="6"/>
        <v>#REF!</v>
      </c>
      <c r="S105" s="215" t="e">
        <f t="shared" ca="1" si="6"/>
        <v>#REF!</v>
      </c>
      <c r="T105" s="215" t="e">
        <f t="shared" ca="1" si="6"/>
        <v>#REF!</v>
      </c>
      <c r="U105" s="215" t="e">
        <f t="shared" ca="1" si="6"/>
        <v>#REF!</v>
      </c>
      <c r="V105" s="215" t="e">
        <f t="shared" ca="1" si="6"/>
        <v>#REF!</v>
      </c>
      <c r="W105" s="215" t="e">
        <f t="shared" ca="1" si="6"/>
        <v>#REF!</v>
      </c>
      <c r="X105" s="215" t="e">
        <f t="shared" ca="1" si="6"/>
        <v>#REF!</v>
      </c>
      <c r="Y105" s="215" t="e">
        <f t="shared" ca="1" si="6"/>
        <v>#REF!</v>
      </c>
      <c r="Z105" s="215" t="e">
        <f t="shared" ca="1" si="6"/>
        <v>#REF!</v>
      </c>
      <c r="AA105" s="215" t="e">
        <f t="shared" ca="1" si="6"/>
        <v>#REF!</v>
      </c>
      <c r="AC105" s="277" t="e">
        <f t="shared" ca="1" si="9"/>
        <v>#REF!</v>
      </c>
      <c r="AD105" s="278" t="e">
        <f t="shared" ca="1" si="10"/>
        <v>#REF!</v>
      </c>
      <c r="AE105" s="278" t="e">
        <f t="shared" ca="1" si="11"/>
        <v>#REF!</v>
      </c>
      <c r="AF105" s="279" t="e">
        <f t="shared" ca="1" si="12"/>
        <v>#REF!</v>
      </c>
    </row>
    <row r="106" spans="1:59" ht="14.25">
      <c r="B106" s="300">
        <v>4</v>
      </c>
      <c r="C106" s="284" t="e">
        <f t="shared" ca="1" si="7"/>
        <v>#REF!</v>
      </c>
      <c r="D106" s="215" t="e">
        <f t="shared" ca="1" si="8"/>
        <v>#REF!</v>
      </c>
      <c r="E106" s="215" t="e">
        <f t="shared" ca="1" si="8"/>
        <v>#REF!</v>
      </c>
      <c r="F106" s="215" t="e">
        <f t="shared" ca="1" si="6"/>
        <v>#REF!</v>
      </c>
      <c r="G106" s="215" t="e">
        <f t="shared" ca="1" si="6"/>
        <v>#REF!</v>
      </c>
      <c r="H106" s="215" t="e">
        <f t="shared" ca="1" si="6"/>
        <v>#REF!</v>
      </c>
      <c r="I106" s="215" t="e">
        <f t="shared" ca="1" si="6"/>
        <v>#REF!</v>
      </c>
      <c r="J106" s="215" t="e">
        <f t="shared" ca="1" si="6"/>
        <v>#REF!</v>
      </c>
      <c r="K106" s="215" t="e">
        <f t="shared" ca="1" si="6"/>
        <v>#REF!</v>
      </c>
      <c r="L106" s="215" t="e">
        <f t="shared" ca="1" si="6"/>
        <v>#REF!</v>
      </c>
      <c r="M106" s="215" t="e">
        <f t="shared" ca="1" si="6"/>
        <v>#REF!</v>
      </c>
      <c r="N106" s="215" t="e">
        <f t="shared" ca="1" si="6"/>
        <v>#REF!</v>
      </c>
      <c r="O106" s="215" t="e">
        <f t="shared" ca="1" si="6"/>
        <v>#REF!</v>
      </c>
      <c r="P106" s="215" t="e">
        <f t="shared" ca="1" si="6"/>
        <v>#REF!</v>
      </c>
      <c r="Q106" s="215" t="e">
        <f t="shared" ca="1" si="6"/>
        <v>#REF!</v>
      </c>
      <c r="R106" s="215" t="e">
        <f t="shared" ca="1" si="6"/>
        <v>#REF!</v>
      </c>
      <c r="S106" s="215" t="e">
        <f t="shared" ca="1" si="6"/>
        <v>#REF!</v>
      </c>
      <c r="T106" s="215" t="e">
        <f t="shared" ca="1" si="6"/>
        <v>#REF!</v>
      </c>
      <c r="U106" s="215" t="e">
        <f t="shared" ca="1" si="6"/>
        <v>#REF!</v>
      </c>
      <c r="V106" s="215" t="e">
        <f t="shared" ca="1" si="6"/>
        <v>#REF!</v>
      </c>
      <c r="W106" s="215" t="e">
        <f t="shared" ca="1" si="6"/>
        <v>#REF!</v>
      </c>
      <c r="X106" s="215" t="e">
        <f t="shared" ca="1" si="6"/>
        <v>#REF!</v>
      </c>
      <c r="Y106" s="215" t="e">
        <f t="shared" ca="1" si="6"/>
        <v>#REF!</v>
      </c>
      <c r="Z106" s="215" t="e">
        <f t="shared" ca="1" si="6"/>
        <v>#REF!</v>
      </c>
      <c r="AA106" s="215" t="e">
        <f t="shared" ca="1" si="6"/>
        <v>#REF!</v>
      </c>
      <c r="AC106" s="277" t="e">
        <f t="shared" ca="1" si="9"/>
        <v>#REF!</v>
      </c>
      <c r="AD106" s="278" t="e">
        <f t="shared" ca="1" si="10"/>
        <v>#REF!</v>
      </c>
      <c r="AE106" s="278" t="e">
        <f t="shared" ca="1" si="11"/>
        <v>#REF!</v>
      </c>
      <c r="AF106" s="279" t="e">
        <f t="shared" ca="1" si="12"/>
        <v>#REF!</v>
      </c>
    </row>
    <row r="107" spans="1:59" ht="14.25">
      <c r="B107" s="300">
        <v>5</v>
      </c>
      <c r="C107" s="284" t="e">
        <f t="shared" ca="1" si="7"/>
        <v>#REF!</v>
      </c>
      <c r="D107" s="215" t="e">
        <f t="shared" ca="1" si="8"/>
        <v>#REF!</v>
      </c>
      <c r="E107" s="215" t="e">
        <f t="shared" ca="1" si="8"/>
        <v>#REF!</v>
      </c>
      <c r="F107" s="215" t="e">
        <f t="shared" ca="1" si="6"/>
        <v>#REF!</v>
      </c>
      <c r="G107" s="215" t="e">
        <f t="shared" ca="1" si="6"/>
        <v>#REF!</v>
      </c>
      <c r="H107" s="215" t="e">
        <f t="shared" ca="1" si="6"/>
        <v>#REF!</v>
      </c>
      <c r="I107" s="215" t="e">
        <f t="shared" ca="1" si="6"/>
        <v>#REF!</v>
      </c>
      <c r="J107" s="215" t="e">
        <f t="shared" ca="1" si="6"/>
        <v>#REF!</v>
      </c>
      <c r="K107" s="215" t="e">
        <f t="shared" ca="1" si="6"/>
        <v>#REF!</v>
      </c>
      <c r="L107" s="215" t="e">
        <f t="shared" ca="1" si="6"/>
        <v>#REF!</v>
      </c>
      <c r="M107" s="215" t="e">
        <f t="shared" ca="1" si="6"/>
        <v>#REF!</v>
      </c>
      <c r="N107" s="215" t="e">
        <f t="shared" ca="1" si="6"/>
        <v>#REF!</v>
      </c>
      <c r="O107" s="215" t="e">
        <f t="shared" ca="1" si="6"/>
        <v>#REF!</v>
      </c>
      <c r="P107" s="215" t="e">
        <f t="shared" ca="1" si="6"/>
        <v>#REF!</v>
      </c>
      <c r="Q107" s="215" t="e">
        <f t="shared" ca="1" si="6"/>
        <v>#REF!</v>
      </c>
      <c r="R107" s="215" t="e">
        <f t="shared" ca="1" si="6"/>
        <v>#REF!</v>
      </c>
      <c r="S107" s="215" t="e">
        <f t="shared" ca="1" si="6"/>
        <v>#REF!</v>
      </c>
      <c r="T107" s="215" t="e">
        <f t="shared" ca="1" si="6"/>
        <v>#REF!</v>
      </c>
      <c r="U107" s="215" t="e">
        <f t="shared" ca="1" si="6"/>
        <v>#REF!</v>
      </c>
      <c r="V107" s="215" t="e">
        <f t="shared" ca="1" si="6"/>
        <v>#REF!</v>
      </c>
      <c r="W107" s="215" t="e">
        <f t="shared" ca="1" si="6"/>
        <v>#REF!</v>
      </c>
      <c r="X107" s="215" t="e">
        <f t="shared" ca="1" si="6"/>
        <v>#REF!</v>
      </c>
      <c r="Y107" s="215" t="e">
        <f t="shared" ca="1" si="6"/>
        <v>#REF!</v>
      </c>
      <c r="Z107" s="215" t="e">
        <f t="shared" ca="1" si="6"/>
        <v>#REF!</v>
      </c>
      <c r="AA107" s="215" t="e">
        <f t="shared" ca="1" si="6"/>
        <v>#REF!</v>
      </c>
      <c r="AC107" s="277" t="e">
        <f t="shared" ca="1" si="9"/>
        <v>#REF!</v>
      </c>
      <c r="AD107" s="278" t="e">
        <f t="shared" ca="1" si="10"/>
        <v>#REF!</v>
      </c>
      <c r="AE107" s="278" t="e">
        <f t="shared" ca="1" si="11"/>
        <v>#REF!</v>
      </c>
      <c r="AF107" s="279" t="e">
        <f t="shared" ca="1" si="12"/>
        <v>#REF!</v>
      </c>
    </row>
    <row r="108" spans="1:59" ht="14.25">
      <c r="B108" s="300">
        <v>6</v>
      </c>
      <c r="C108" s="284" t="e">
        <f t="shared" ca="1" si="7"/>
        <v>#REF!</v>
      </c>
      <c r="D108" s="215" t="e">
        <f t="shared" ca="1" si="8"/>
        <v>#REF!</v>
      </c>
      <c r="E108" s="215" t="e">
        <f t="shared" ca="1" si="8"/>
        <v>#REF!</v>
      </c>
      <c r="F108" s="215" t="e">
        <f t="shared" ca="1" si="6"/>
        <v>#REF!</v>
      </c>
      <c r="G108" s="215" t="e">
        <f t="shared" ca="1" si="6"/>
        <v>#REF!</v>
      </c>
      <c r="H108" s="215" t="e">
        <f t="shared" ca="1" si="6"/>
        <v>#REF!</v>
      </c>
      <c r="I108" s="215" t="e">
        <f t="shared" ca="1" si="6"/>
        <v>#REF!</v>
      </c>
      <c r="J108" s="215" t="e">
        <f t="shared" ca="1" si="6"/>
        <v>#REF!</v>
      </c>
      <c r="K108" s="215" t="e">
        <f t="shared" ca="1" si="6"/>
        <v>#REF!</v>
      </c>
      <c r="L108" s="215" t="e">
        <f t="shared" ca="1" si="6"/>
        <v>#REF!</v>
      </c>
      <c r="M108" s="215" t="e">
        <f t="shared" ca="1" si="6"/>
        <v>#REF!</v>
      </c>
      <c r="N108" s="215" t="e">
        <f t="shared" ca="1" si="6"/>
        <v>#REF!</v>
      </c>
      <c r="O108" s="215" t="e">
        <f t="shared" ca="1" si="6"/>
        <v>#REF!</v>
      </c>
      <c r="P108" s="215" t="e">
        <f t="shared" ca="1" si="6"/>
        <v>#REF!</v>
      </c>
      <c r="Q108" s="215" t="e">
        <f t="shared" ca="1" si="6"/>
        <v>#REF!</v>
      </c>
      <c r="R108" s="215" t="e">
        <f t="shared" ca="1" si="6"/>
        <v>#REF!</v>
      </c>
      <c r="S108" s="215" t="e">
        <f t="shared" ca="1" si="6"/>
        <v>#REF!</v>
      </c>
      <c r="T108" s="215" t="e">
        <f t="shared" ca="1" si="6"/>
        <v>#REF!</v>
      </c>
      <c r="U108" s="215" t="e">
        <f t="shared" ca="1" si="6"/>
        <v>#REF!</v>
      </c>
      <c r="V108" s="215" t="e">
        <f t="shared" ca="1" si="6"/>
        <v>#REF!</v>
      </c>
      <c r="W108" s="215" t="e">
        <f t="shared" ca="1" si="6"/>
        <v>#REF!</v>
      </c>
      <c r="X108" s="215" t="e">
        <f t="shared" ca="1" si="6"/>
        <v>#REF!</v>
      </c>
      <c r="Y108" s="215" t="e">
        <f t="shared" ca="1" si="6"/>
        <v>#REF!</v>
      </c>
      <c r="Z108" s="215" t="e">
        <f t="shared" ca="1" si="6"/>
        <v>#REF!</v>
      </c>
      <c r="AA108" s="215" t="e">
        <f t="shared" ca="1" si="6"/>
        <v>#REF!</v>
      </c>
      <c r="AC108" s="277" t="e">
        <f t="shared" ca="1" si="9"/>
        <v>#REF!</v>
      </c>
      <c r="AD108" s="278" t="e">
        <f t="shared" ca="1" si="10"/>
        <v>#REF!</v>
      </c>
      <c r="AE108" s="278" t="e">
        <f t="shared" ca="1" si="11"/>
        <v>#REF!</v>
      </c>
      <c r="AF108" s="279" t="e">
        <f t="shared" ca="1" si="12"/>
        <v>#REF!</v>
      </c>
    </row>
    <row r="109" spans="1:59" ht="14.25">
      <c r="B109" s="300">
        <v>7</v>
      </c>
      <c r="C109" s="284" t="e">
        <f t="shared" ca="1" si="7"/>
        <v>#REF!</v>
      </c>
      <c r="D109" s="215" t="e">
        <f t="shared" ca="1" si="8"/>
        <v>#REF!</v>
      </c>
      <c r="E109" s="215" t="e">
        <f t="shared" ca="1" si="8"/>
        <v>#REF!</v>
      </c>
      <c r="F109" s="215" t="e">
        <f t="shared" ca="1" si="6"/>
        <v>#REF!</v>
      </c>
      <c r="G109" s="215" t="e">
        <f t="shared" ca="1" si="6"/>
        <v>#REF!</v>
      </c>
      <c r="H109" s="215" t="e">
        <f t="shared" ca="1" si="6"/>
        <v>#REF!</v>
      </c>
      <c r="I109" s="215" t="e">
        <f t="shared" ca="1" si="6"/>
        <v>#REF!</v>
      </c>
      <c r="J109" s="215" t="e">
        <f t="shared" ca="1" si="6"/>
        <v>#REF!</v>
      </c>
      <c r="K109" s="215" t="e">
        <f t="shared" ca="1" si="6"/>
        <v>#REF!</v>
      </c>
      <c r="L109" s="215" t="e">
        <f t="shared" ca="1" si="6"/>
        <v>#REF!</v>
      </c>
      <c r="M109" s="215" t="e">
        <f t="shared" ca="1" si="6"/>
        <v>#REF!</v>
      </c>
      <c r="N109" s="215" t="e">
        <f t="shared" ca="1" si="6"/>
        <v>#REF!</v>
      </c>
      <c r="O109" s="215" t="e">
        <f t="shared" ca="1" si="6"/>
        <v>#REF!</v>
      </c>
      <c r="P109" s="215" t="e">
        <f t="shared" ca="1" si="6"/>
        <v>#REF!</v>
      </c>
      <c r="Q109" s="215" t="e">
        <f t="shared" ca="1" si="6"/>
        <v>#REF!</v>
      </c>
      <c r="R109" s="215" t="e">
        <f t="shared" ca="1" si="6"/>
        <v>#REF!</v>
      </c>
      <c r="S109" s="215" t="e">
        <f t="shared" ca="1" si="6"/>
        <v>#REF!</v>
      </c>
      <c r="T109" s="215" t="e">
        <f t="shared" ca="1" si="6"/>
        <v>#REF!</v>
      </c>
      <c r="U109" s="215" t="e">
        <f t="shared" ca="1" si="6"/>
        <v>#REF!</v>
      </c>
      <c r="V109" s="215" t="e">
        <f t="shared" ca="1" si="6"/>
        <v>#REF!</v>
      </c>
      <c r="W109" s="215" t="e">
        <f t="shared" ca="1" si="6"/>
        <v>#REF!</v>
      </c>
      <c r="X109" s="215" t="e">
        <f t="shared" ca="1" si="6"/>
        <v>#REF!</v>
      </c>
      <c r="Y109" s="215" t="e">
        <f t="shared" ca="1" si="6"/>
        <v>#REF!</v>
      </c>
      <c r="Z109" s="215" t="e">
        <f t="shared" ca="1" si="6"/>
        <v>#REF!</v>
      </c>
      <c r="AA109" s="215" t="e">
        <f t="shared" ca="1" si="6"/>
        <v>#REF!</v>
      </c>
      <c r="AC109" s="277" t="e">
        <f t="shared" ca="1" si="9"/>
        <v>#REF!</v>
      </c>
      <c r="AD109" s="278" t="e">
        <f t="shared" ca="1" si="10"/>
        <v>#REF!</v>
      </c>
      <c r="AE109" s="278" t="e">
        <f t="shared" ca="1" si="11"/>
        <v>#REF!</v>
      </c>
      <c r="AF109" s="279" t="e">
        <f t="shared" ca="1" si="12"/>
        <v>#REF!</v>
      </c>
    </row>
    <row r="110" spans="1:59" ht="14.25">
      <c r="B110" s="300">
        <v>8</v>
      </c>
      <c r="C110" s="284" t="e">
        <f t="shared" ca="1" si="7"/>
        <v>#REF!</v>
      </c>
      <c r="D110" s="215" t="e">
        <f t="shared" ca="1" si="8"/>
        <v>#REF!</v>
      </c>
      <c r="E110" s="215" t="e">
        <f t="shared" ca="1" si="8"/>
        <v>#REF!</v>
      </c>
      <c r="F110" s="215" t="e">
        <f t="shared" ca="1" si="6"/>
        <v>#REF!</v>
      </c>
      <c r="G110" s="215" t="e">
        <f t="shared" ca="1" si="6"/>
        <v>#REF!</v>
      </c>
      <c r="H110" s="215" t="e">
        <f t="shared" ca="1" si="6"/>
        <v>#REF!</v>
      </c>
      <c r="I110" s="215" t="e">
        <f t="shared" ca="1" si="6"/>
        <v>#REF!</v>
      </c>
      <c r="J110" s="215" t="e">
        <f t="shared" ca="1" si="6"/>
        <v>#REF!</v>
      </c>
      <c r="K110" s="215" t="e">
        <f t="shared" ca="1" si="6"/>
        <v>#REF!</v>
      </c>
      <c r="L110" s="215" t="e">
        <f t="shared" ca="1" si="6"/>
        <v>#REF!</v>
      </c>
      <c r="M110" s="215" t="e">
        <f t="shared" ca="1" si="6"/>
        <v>#REF!</v>
      </c>
      <c r="N110" s="215" t="e">
        <f t="shared" ca="1" si="6"/>
        <v>#REF!</v>
      </c>
      <c r="O110" s="215" t="e">
        <f t="shared" ca="1" si="6"/>
        <v>#REF!</v>
      </c>
      <c r="P110" s="215" t="e">
        <f t="shared" ca="1" si="6"/>
        <v>#REF!</v>
      </c>
      <c r="Q110" s="215" t="e">
        <f t="shared" ca="1" si="6"/>
        <v>#REF!</v>
      </c>
      <c r="R110" s="215" t="e">
        <f t="shared" ca="1" si="6"/>
        <v>#REF!</v>
      </c>
      <c r="S110" s="215" t="e">
        <f t="shared" ca="1" si="6"/>
        <v>#REF!</v>
      </c>
      <c r="T110" s="215" t="e">
        <f t="shared" ca="1" si="6"/>
        <v>#REF!</v>
      </c>
      <c r="U110" s="215" t="e">
        <f t="shared" ca="1" si="6"/>
        <v>#REF!</v>
      </c>
      <c r="V110" s="215" t="e">
        <f t="shared" ca="1" si="6"/>
        <v>#REF!</v>
      </c>
      <c r="W110" s="215" t="e">
        <f t="shared" ca="1" si="6"/>
        <v>#REF!</v>
      </c>
      <c r="X110" s="215" t="e">
        <f t="shared" ca="1" si="6"/>
        <v>#REF!</v>
      </c>
      <c r="Y110" s="215" t="e">
        <f t="shared" ca="1" si="6"/>
        <v>#REF!</v>
      </c>
      <c r="Z110" s="215" t="e">
        <f t="shared" ca="1" si="6"/>
        <v>#REF!</v>
      </c>
      <c r="AA110" s="215" t="e">
        <f t="shared" ca="1" si="6"/>
        <v>#REF!</v>
      </c>
      <c r="AC110" s="277" t="e">
        <f t="shared" ca="1" si="9"/>
        <v>#REF!</v>
      </c>
      <c r="AD110" s="278" t="e">
        <f t="shared" ca="1" si="10"/>
        <v>#REF!</v>
      </c>
      <c r="AE110" s="278" t="e">
        <f t="shared" ca="1" si="11"/>
        <v>#REF!</v>
      </c>
      <c r="AF110" s="279" t="e">
        <f t="shared" ca="1" si="12"/>
        <v>#REF!</v>
      </c>
    </row>
    <row r="111" spans="1:59" ht="14.25">
      <c r="B111" s="300">
        <v>9</v>
      </c>
      <c r="C111" s="284" t="e">
        <f t="shared" ca="1" si="7"/>
        <v>#REF!</v>
      </c>
      <c r="D111" s="215" t="e">
        <f t="shared" ca="1" si="8"/>
        <v>#REF!</v>
      </c>
      <c r="E111" s="215" t="e">
        <f t="shared" ca="1" si="8"/>
        <v>#REF!</v>
      </c>
      <c r="F111" s="215" t="e">
        <f t="shared" ca="1" si="6"/>
        <v>#REF!</v>
      </c>
      <c r="G111" s="215" t="e">
        <f t="shared" ca="1" si="6"/>
        <v>#REF!</v>
      </c>
      <c r="H111" s="215" t="e">
        <f t="shared" ca="1" si="6"/>
        <v>#REF!</v>
      </c>
      <c r="I111" s="215" t="e">
        <f t="shared" ca="1" si="6"/>
        <v>#REF!</v>
      </c>
      <c r="J111" s="215" t="e">
        <f t="shared" ca="1" si="6"/>
        <v>#REF!</v>
      </c>
      <c r="K111" s="215" t="e">
        <f t="shared" ca="1" si="6"/>
        <v>#REF!</v>
      </c>
      <c r="L111" s="215" t="e">
        <f t="shared" ca="1" si="6"/>
        <v>#REF!</v>
      </c>
      <c r="M111" s="215" t="e">
        <f t="shared" ca="1" si="6"/>
        <v>#REF!</v>
      </c>
      <c r="N111" s="215" t="e">
        <f t="shared" ca="1" si="6"/>
        <v>#REF!</v>
      </c>
      <c r="O111" s="215" t="e">
        <f t="shared" ca="1" si="6"/>
        <v>#REF!</v>
      </c>
      <c r="P111" s="215" t="e">
        <f t="shared" ca="1" si="6"/>
        <v>#REF!</v>
      </c>
      <c r="Q111" s="215" t="e">
        <f t="shared" ca="1" si="6"/>
        <v>#REF!</v>
      </c>
      <c r="R111" s="215" t="e">
        <f t="shared" ca="1" si="6"/>
        <v>#REF!</v>
      </c>
      <c r="S111" s="215" t="e">
        <f t="shared" ca="1" si="6"/>
        <v>#REF!</v>
      </c>
      <c r="T111" s="215" t="e">
        <f t="shared" ca="1" si="6"/>
        <v>#REF!</v>
      </c>
      <c r="U111" s="215" t="e">
        <f t="shared" ca="1" si="6"/>
        <v>#REF!</v>
      </c>
      <c r="V111" s="215" t="e">
        <f t="shared" ca="1" si="6"/>
        <v>#REF!</v>
      </c>
      <c r="W111" s="215" t="e">
        <f t="shared" ca="1" si="6"/>
        <v>#REF!</v>
      </c>
      <c r="X111" s="215" t="e">
        <f t="shared" ca="1" si="6"/>
        <v>#REF!</v>
      </c>
      <c r="Y111" s="215" t="e">
        <f t="shared" ca="1" si="6"/>
        <v>#REF!</v>
      </c>
      <c r="Z111" s="215" t="e">
        <f t="shared" ca="1" si="6"/>
        <v>#REF!</v>
      </c>
      <c r="AA111" s="215" t="e">
        <f t="shared" ca="1" si="6"/>
        <v>#REF!</v>
      </c>
      <c r="AC111" s="277" t="e">
        <f t="shared" ca="1" si="9"/>
        <v>#REF!</v>
      </c>
      <c r="AD111" s="278" t="e">
        <f t="shared" ca="1" si="10"/>
        <v>#REF!</v>
      </c>
      <c r="AE111" s="278" t="e">
        <f t="shared" ca="1" si="11"/>
        <v>#REF!</v>
      </c>
      <c r="AF111" s="279" t="e">
        <f t="shared" ca="1" si="12"/>
        <v>#REF!</v>
      </c>
    </row>
    <row r="112" spans="1:59" ht="14.25">
      <c r="B112" s="300">
        <v>10</v>
      </c>
      <c r="C112" s="284" t="e">
        <f t="shared" ca="1" si="7"/>
        <v>#REF!</v>
      </c>
      <c r="D112" s="215" t="e">
        <f t="shared" ca="1" si="8"/>
        <v>#REF!</v>
      </c>
      <c r="E112" s="215" t="e">
        <f t="shared" ca="1" si="8"/>
        <v>#REF!</v>
      </c>
      <c r="F112" s="215" t="e">
        <f t="shared" ca="1" si="6"/>
        <v>#REF!</v>
      </c>
      <c r="G112" s="215" t="e">
        <f t="shared" ca="1" si="6"/>
        <v>#REF!</v>
      </c>
      <c r="H112" s="215" t="e">
        <f t="shared" ca="1" si="6"/>
        <v>#REF!</v>
      </c>
      <c r="I112" s="215" t="e">
        <f t="shared" ca="1" si="6"/>
        <v>#REF!</v>
      </c>
      <c r="J112" s="215" t="e">
        <f t="shared" ca="1" si="6"/>
        <v>#REF!</v>
      </c>
      <c r="K112" s="215" t="e">
        <f t="shared" ca="1" si="6"/>
        <v>#REF!</v>
      </c>
      <c r="L112" s="215" t="e">
        <f t="shared" ca="1" si="6"/>
        <v>#REF!</v>
      </c>
      <c r="M112" s="215" t="e">
        <f t="shared" ca="1" si="6"/>
        <v>#REF!</v>
      </c>
      <c r="N112" s="215" t="e">
        <f t="shared" ca="1" si="6"/>
        <v>#REF!</v>
      </c>
      <c r="O112" s="215" t="e">
        <f t="shared" ca="1" si="6"/>
        <v>#REF!</v>
      </c>
      <c r="P112" s="215" t="e">
        <f t="shared" ca="1" si="6"/>
        <v>#REF!</v>
      </c>
      <c r="Q112" s="215" t="e">
        <f t="shared" ca="1" si="6"/>
        <v>#REF!</v>
      </c>
      <c r="R112" s="215" t="e">
        <f t="shared" ca="1" si="6"/>
        <v>#REF!</v>
      </c>
      <c r="S112" s="215" t="e">
        <f t="shared" ca="1" si="6"/>
        <v>#REF!</v>
      </c>
      <c r="T112" s="215" t="e">
        <f t="shared" ca="1" si="6"/>
        <v>#REF!</v>
      </c>
      <c r="U112" s="215" t="e">
        <f t="shared" ca="1" si="6"/>
        <v>#REF!</v>
      </c>
      <c r="V112" s="215" t="e">
        <f t="shared" ca="1" si="6"/>
        <v>#REF!</v>
      </c>
      <c r="W112" s="215" t="e">
        <f t="shared" ca="1" si="6"/>
        <v>#REF!</v>
      </c>
      <c r="X112" s="215" t="e">
        <f t="shared" ca="1" si="6"/>
        <v>#REF!</v>
      </c>
      <c r="Y112" s="215" t="e">
        <f t="shared" ca="1" si="6"/>
        <v>#REF!</v>
      </c>
      <c r="Z112" s="215" t="e">
        <f t="shared" ca="1" si="6"/>
        <v>#REF!</v>
      </c>
      <c r="AA112" s="215" t="e">
        <f t="shared" ca="1" si="6"/>
        <v>#REF!</v>
      </c>
      <c r="AC112" s="277" t="e">
        <f t="shared" ca="1" si="9"/>
        <v>#REF!</v>
      </c>
      <c r="AD112" s="278" t="e">
        <f t="shared" ca="1" si="10"/>
        <v>#REF!</v>
      </c>
      <c r="AE112" s="278" t="e">
        <f t="shared" ca="1" si="11"/>
        <v>#REF!</v>
      </c>
      <c r="AF112" s="279" t="e">
        <f t="shared" ca="1" si="12"/>
        <v>#REF!</v>
      </c>
    </row>
    <row r="113" spans="2:32" ht="14.25">
      <c r="B113" s="300">
        <v>11</v>
      </c>
      <c r="C113" s="284" t="e">
        <f t="shared" ca="1" si="7"/>
        <v>#REF!</v>
      </c>
      <c r="D113" s="215" t="e">
        <f t="shared" ca="1" si="8"/>
        <v>#REF!</v>
      </c>
      <c r="E113" s="215" t="e">
        <f t="shared" ca="1" si="8"/>
        <v>#REF!</v>
      </c>
      <c r="F113" s="215" t="e">
        <f t="shared" ca="1" si="6"/>
        <v>#REF!</v>
      </c>
      <c r="G113" s="215" t="e">
        <f t="shared" ca="1" si="6"/>
        <v>#REF!</v>
      </c>
      <c r="H113" s="215" t="e">
        <f t="shared" ca="1" si="6"/>
        <v>#REF!</v>
      </c>
      <c r="I113" s="215" t="e">
        <f t="shared" ca="1" si="6"/>
        <v>#REF!</v>
      </c>
      <c r="J113" s="215" t="e">
        <f t="shared" ca="1" si="6"/>
        <v>#REF!</v>
      </c>
      <c r="K113" s="215" t="e">
        <f t="shared" ca="1" si="6"/>
        <v>#REF!</v>
      </c>
      <c r="L113" s="215" t="e">
        <f t="shared" ca="1" si="6"/>
        <v>#REF!</v>
      </c>
      <c r="M113" s="215" t="e">
        <f t="shared" ca="1" si="6"/>
        <v>#REF!</v>
      </c>
      <c r="N113" s="215" t="e">
        <f t="shared" ca="1" si="6"/>
        <v>#REF!</v>
      </c>
      <c r="O113" s="215" t="e">
        <f t="shared" ca="1" si="6"/>
        <v>#REF!</v>
      </c>
      <c r="P113" s="215" t="e">
        <f t="shared" ca="1" si="6"/>
        <v>#REF!</v>
      </c>
      <c r="Q113" s="215" t="e">
        <f t="shared" ca="1" si="6"/>
        <v>#REF!</v>
      </c>
      <c r="R113" s="215" t="e">
        <f t="shared" ca="1" si="6"/>
        <v>#REF!</v>
      </c>
      <c r="S113" s="215" t="e">
        <f t="shared" ca="1" si="6"/>
        <v>#REF!</v>
      </c>
      <c r="T113" s="215" t="e">
        <f t="shared" ca="1" si="6"/>
        <v>#REF!</v>
      </c>
      <c r="U113" s="215" t="e">
        <f t="shared" ca="1" si="6"/>
        <v>#REF!</v>
      </c>
      <c r="V113" s="215" t="e">
        <f t="shared" ca="1" si="6"/>
        <v>#REF!</v>
      </c>
      <c r="W113" s="215" t="e">
        <f t="shared" ca="1" si="6"/>
        <v>#REF!</v>
      </c>
      <c r="X113" s="215" t="e">
        <f t="shared" ca="1" si="6"/>
        <v>#REF!</v>
      </c>
      <c r="Y113" s="215" t="e">
        <f t="shared" ca="1" si="6"/>
        <v>#REF!</v>
      </c>
      <c r="Z113" s="215" t="e">
        <f t="shared" ca="1" si="6"/>
        <v>#REF!</v>
      </c>
      <c r="AA113" s="215" t="e">
        <f t="shared" ca="1" si="6"/>
        <v>#REF!</v>
      </c>
      <c r="AC113" s="277" t="e">
        <f t="shared" ca="1" si="9"/>
        <v>#REF!</v>
      </c>
      <c r="AD113" s="278" t="e">
        <f t="shared" ca="1" si="10"/>
        <v>#REF!</v>
      </c>
      <c r="AE113" s="278" t="e">
        <f t="shared" ca="1" si="11"/>
        <v>#REF!</v>
      </c>
      <c r="AF113" s="279" t="e">
        <f t="shared" ca="1" si="12"/>
        <v>#REF!</v>
      </c>
    </row>
    <row r="114" spans="2:32" ht="14.25">
      <c r="B114" s="300">
        <v>12</v>
      </c>
      <c r="C114" s="284" t="e">
        <f t="shared" ca="1" si="7"/>
        <v>#REF!</v>
      </c>
      <c r="D114" s="215" t="e">
        <f t="shared" ca="1" si="8"/>
        <v>#REF!</v>
      </c>
      <c r="E114" s="215" t="e">
        <f t="shared" ca="1" si="8"/>
        <v>#REF!</v>
      </c>
      <c r="F114" s="215" t="e">
        <f t="shared" ca="1" si="6"/>
        <v>#REF!</v>
      </c>
      <c r="G114" s="215" t="e">
        <f t="shared" ca="1" si="6"/>
        <v>#REF!</v>
      </c>
      <c r="H114" s="215" t="e">
        <f t="shared" ca="1" si="6"/>
        <v>#REF!</v>
      </c>
      <c r="I114" s="215" t="e">
        <f t="shared" ca="1" si="6"/>
        <v>#REF!</v>
      </c>
      <c r="J114" s="215" t="e">
        <f t="shared" ca="1" si="6"/>
        <v>#REF!</v>
      </c>
      <c r="K114" s="215" t="e">
        <f t="shared" ca="1" si="6"/>
        <v>#REF!</v>
      </c>
      <c r="L114" s="215" t="e">
        <f t="shared" ca="1" si="6"/>
        <v>#REF!</v>
      </c>
      <c r="M114" s="215" t="e">
        <f t="shared" ca="1" si="6"/>
        <v>#REF!</v>
      </c>
      <c r="N114" s="215" t="e">
        <f t="shared" ca="1" si="6"/>
        <v>#REF!</v>
      </c>
      <c r="O114" s="215" t="e">
        <f t="shared" ca="1" si="6"/>
        <v>#REF!</v>
      </c>
      <c r="P114" s="215" t="e">
        <f t="shared" ca="1" si="6"/>
        <v>#REF!</v>
      </c>
      <c r="Q114" s="215" t="e">
        <f t="shared" ca="1" si="6"/>
        <v>#REF!</v>
      </c>
      <c r="R114" s="215" t="e">
        <f t="shared" ca="1" si="6"/>
        <v>#REF!</v>
      </c>
      <c r="S114" s="215" t="e">
        <f t="shared" ca="1" si="6"/>
        <v>#REF!</v>
      </c>
      <c r="T114" s="215" t="e">
        <f t="shared" ca="1" si="6"/>
        <v>#REF!</v>
      </c>
      <c r="U114" s="215" t="e">
        <f t="shared" ca="1" si="6"/>
        <v>#REF!</v>
      </c>
      <c r="V114" s="215" t="e">
        <f t="shared" ca="1" si="6"/>
        <v>#REF!</v>
      </c>
      <c r="W114" s="215" t="e">
        <f t="shared" ca="1" si="6"/>
        <v>#REF!</v>
      </c>
      <c r="X114" s="215" t="e">
        <f t="shared" ca="1" si="6"/>
        <v>#REF!</v>
      </c>
      <c r="Y114" s="215" t="e">
        <f t="shared" ca="1" si="6"/>
        <v>#REF!</v>
      </c>
      <c r="Z114" s="215" t="e">
        <f t="shared" ca="1" si="6"/>
        <v>#REF!</v>
      </c>
      <c r="AA114" s="215" t="e">
        <f t="shared" ca="1" si="6"/>
        <v>#REF!</v>
      </c>
      <c r="AC114" s="277" t="e">
        <f t="shared" ca="1" si="9"/>
        <v>#REF!</v>
      </c>
      <c r="AD114" s="278" t="e">
        <f t="shared" ca="1" si="10"/>
        <v>#REF!</v>
      </c>
      <c r="AE114" s="278" t="e">
        <f t="shared" ca="1" si="11"/>
        <v>#REF!</v>
      </c>
      <c r="AF114" s="279" t="e">
        <f t="shared" ca="1" si="12"/>
        <v>#REF!</v>
      </c>
    </row>
    <row r="115" spans="2:32" ht="14.25">
      <c r="B115" s="300">
        <v>13</v>
      </c>
      <c r="C115" s="284" t="e">
        <f t="shared" ca="1" si="7"/>
        <v>#REF!</v>
      </c>
      <c r="D115" s="215" t="e">
        <f t="shared" ca="1" si="8"/>
        <v>#REF!</v>
      </c>
      <c r="E115" s="215" t="e">
        <f t="shared" ca="1" si="8"/>
        <v>#REF!</v>
      </c>
      <c r="F115" s="215" t="e">
        <f t="shared" ca="1" si="6"/>
        <v>#REF!</v>
      </c>
      <c r="G115" s="215" t="e">
        <f t="shared" ca="1" si="6"/>
        <v>#REF!</v>
      </c>
      <c r="H115" s="215" t="e">
        <f t="shared" ca="1" si="6"/>
        <v>#REF!</v>
      </c>
      <c r="I115" s="215" t="e">
        <f t="shared" ca="1" si="6"/>
        <v>#REF!</v>
      </c>
      <c r="J115" s="215" t="e">
        <f t="shared" ca="1" si="6"/>
        <v>#REF!</v>
      </c>
      <c r="K115" s="215" t="e">
        <f t="shared" ca="1" si="6"/>
        <v>#REF!</v>
      </c>
      <c r="L115" s="215" t="e">
        <f t="shared" ref="L115:AA126" ca="1" si="13">HLOOKUP(L$102,$D$3:$AA$27,MATCH($C115,$C$4:$C$27,0)+1,FALSE)</f>
        <v>#REF!</v>
      </c>
      <c r="M115" s="215" t="e">
        <f t="shared" ca="1" si="13"/>
        <v>#REF!</v>
      </c>
      <c r="N115" s="215" t="e">
        <f t="shared" ca="1" si="13"/>
        <v>#REF!</v>
      </c>
      <c r="O115" s="215" t="e">
        <f t="shared" ca="1" si="13"/>
        <v>#REF!</v>
      </c>
      <c r="P115" s="215" t="e">
        <f t="shared" ca="1" si="13"/>
        <v>#REF!</v>
      </c>
      <c r="Q115" s="215" t="e">
        <f t="shared" ca="1" si="13"/>
        <v>#REF!</v>
      </c>
      <c r="R115" s="215" t="e">
        <f t="shared" ca="1" si="13"/>
        <v>#REF!</v>
      </c>
      <c r="S115" s="215" t="e">
        <f t="shared" ca="1" si="13"/>
        <v>#REF!</v>
      </c>
      <c r="T115" s="215" t="e">
        <f t="shared" ca="1" si="13"/>
        <v>#REF!</v>
      </c>
      <c r="U115" s="215" t="e">
        <f t="shared" ca="1" si="13"/>
        <v>#REF!</v>
      </c>
      <c r="V115" s="215" t="e">
        <f t="shared" ca="1" si="13"/>
        <v>#REF!</v>
      </c>
      <c r="W115" s="215" t="e">
        <f t="shared" ca="1" si="13"/>
        <v>#REF!</v>
      </c>
      <c r="X115" s="215" t="e">
        <f t="shared" ca="1" si="13"/>
        <v>#REF!</v>
      </c>
      <c r="Y115" s="215" t="e">
        <f t="shared" ca="1" si="13"/>
        <v>#REF!</v>
      </c>
      <c r="Z115" s="215" t="e">
        <f t="shared" ca="1" si="13"/>
        <v>#REF!</v>
      </c>
      <c r="AA115" s="215" t="e">
        <f t="shared" ca="1" si="13"/>
        <v>#REF!</v>
      </c>
      <c r="AC115" s="277" t="e">
        <f t="shared" ca="1" si="9"/>
        <v>#REF!</v>
      </c>
      <c r="AD115" s="278" t="e">
        <f t="shared" ca="1" si="10"/>
        <v>#REF!</v>
      </c>
      <c r="AE115" s="278" t="e">
        <f t="shared" ca="1" si="11"/>
        <v>#REF!</v>
      </c>
      <c r="AF115" s="279" t="e">
        <f t="shared" ca="1" si="12"/>
        <v>#REF!</v>
      </c>
    </row>
    <row r="116" spans="2:32" ht="14.25">
      <c r="B116" s="300">
        <v>14</v>
      </c>
      <c r="C116" s="284" t="e">
        <f t="shared" ca="1" si="7"/>
        <v>#REF!</v>
      </c>
      <c r="D116" s="215" t="e">
        <f t="shared" ca="1" si="8"/>
        <v>#REF!</v>
      </c>
      <c r="E116" s="215" t="e">
        <f t="shared" ca="1" si="8"/>
        <v>#REF!</v>
      </c>
      <c r="F116" s="215" t="e">
        <f t="shared" ca="1" si="8"/>
        <v>#REF!</v>
      </c>
      <c r="G116" s="215" t="e">
        <f t="shared" ca="1" si="8"/>
        <v>#REF!</v>
      </c>
      <c r="H116" s="215" t="e">
        <f t="shared" ca="1" si="8"/>
        <v>#REF!</v>
      </c>
      <c r="I116" s="215" t="e">
        <f t="shared" ca="1" si="8"/>
        <v>#REF!</v>
      </c>
      <c r="J116" s="215" t="e">
        <f t="shared" ca="1" si="8"/>
        <v>#REF!</v>
      </c>
      <c r="K116" s="215" t="e">
        <f t="shared" ca="1" si="8"/>
        <v>#REF!</v>
      </c>
      <c r="L116" s="215" t="e">
        <f t="shared" ca="1" si="8"/>
        <v>#REF!</v>
      </c>
      <c r="M116" s="215" t="e">
        <f t="shared" ca="1" si="8"/>
        <v>#REF!</v>
      </c>
      <c r="N116" s="215" t="e">
        <f t="shared" ca="1" si="8"/>
        <v>#REF!</v>
      </c>
      <c r="O116" s="215" t="e">
        <f t="shared" ca="1" si="8"/>
        <v>#REF!</v>
      </c>
      <c r="P116" s="215" t="e">
        <f t="shared" ca="1" si="8"/>
        <v>#REF!</v>
      </c>
      <c r="Q116" s="215" t="e">
        <f t="shared" ca="1" si="8"/>
        <v>#REF!</v>
      </c>
      <c r="R116" s="215" t="e">
        <f t="shared" ca="1" si="8"/>
        <v>#REF!</v>
      </c>
      <c r="S116" s="215" t="e">
        <f t="shared" ca="1" si="8"/>
        <v>#REF!</v>
      </c>
      <c r="T116" s="215" t="e">
        <f t="shared" ca="1" si="8"/>
        <v>#REF!</v>
      </c>
      <c r="U116" s="215" t="e">
        <f t="shared" ca="1" si="13"/>
        <v>#REF!</v>
      </c>
      <c r="V116" s="215" t="e">
        <f t="shared" ca="1" si="13"/>
        <v>#REF!</v>
      </c>
      <c r="W116" s="215" t="e">
        <f t="shared" ca="1" si="13"/>
        <v>#REF!</v>
      </c>
      <c r="X116" s="215" t="e">
        <f t="shared" ca="1" si="13"/>
        <v>#REF!</v>
      </c>
      <c r="Y116" s="215" t="e">
        <f t="shared" ca="1" si="13"/>
        <v>#REF!</v>
      </c>
      <c r="Z116" s="215" t="e">
        <f t="shared" ca="1" si="13"/>
        <v>#REF!</v>
      </c>
      <c r="AA116" s="215" t="e">
        <f t="shared" ca="1" si="13"/>
        <v>#REF!</v>
      </c>
      <c r="AC116" s="277" t="e">
        <f t="shared" ca="1" si="9"/>
        <v>#REF!</v>
      </c>
      <c r="AD116" s="278" t="e">
        <f t="shared" ca="1" si="10"/>
        <v>#REF!</v>
      </c>
      <c r="AE116" s="278" t="e">
        <f t="shared" ca="1" si="11"/>
        <v>#REF!</v>
      </c>
      <c r="AF116" s="279" t="e">
        <f t="shared" ca="1" si="12"/>
        <v>#REF!</v>
      </c>
    </row>
    <row r="117" spans="2:32" ht="14.25">
      <c r="B117" s="300">
        <v>15</v>
      </c>
      <c r="C117" s="284" t="e">
        <f t="shared" ca="1" si="7"/>
        <v>#REF!</v>
      </c>
      <c r="D117" s="215" t="e">
        <f t="shared" ca="1" si="8"/>
        <v>#REF!</v>
      </c>
      <c r="E117" s="215" t="e">
        <f t="shared" ca="1" si="8"/>
        <v>#REF!</v>
      </c>
      <c r="F117" s="215" t="e">
        <f t="shared" ca="1" si="8"/>
        <v>#REF!</v>
      </c>
      <c r="G117" s="215" t="e">
        <f t="shared" ca="1" si="8"/>
        <v>#REF!</v>
      </c>
      <c r="H117" s="215" t="e">
        <f t="shared" ca="1" si="8"/>
        <v>#REF!</v>
      </c>
      <c r="I117" s="215" t="e">
        <f t="shared" ca="1" si="8"/>
        <v>#REF!</v>
      </c>
      <c r="J117" s="215" t="e">
        <f t="shared" ca="1" si="8"/>
        <v>#REF!</v>
      </c>
      <c r="K117" s="215" t="e">
        <f t="shared" ca="1" si="8"/>
        <v>#REF!</v>
      </c>
      <c r="L117" s="215" t="e">
        <f t="shared" ca="1" si="8"/>
        <v>#REF!</v>
      </c>
      <c r="M117" s="215" t="e">
        <f t="shared" ca="1" si="8"/>
        <v>#REF!</v>
      </c>
      <c r="N117" s="215" t="e">
        <f t="shared" ca="1" si="8"/>
        <v>#REF!</v>
      </c>
      <c r="O117" s="215" t="e">
        <f t="shared" ca="1" si="8"/>
        <v>#REF!</v>
      </c>
      <c r="P117" s="215" t="e">
        <f t="shared" ca="1" si="8"/>
        <v>#REF!</v>
      </c>
      <c r="Q117" s="215" t="e">
        <f t="shared" ca="1" si="8"/>
        <v>#REF!</v>
      </c>
      <c r="R117" s="215" t="e">
        <f t="shared" ca="1" si="8"/>
        <v>#REF!</v>
      </c>
      <c r="S117" s="215" t="e">
        <f t="shared" ca="1" si="8"/>
        <v>#REF!</v>
      </c>
      <c r="T117" s="215" t="e">
        <f t="shared" ca="1" si="8"/>
        <v>#REF!</v>
      </c>
      <c r="U117" s="215" t="e">
        <f t="shared" ca="1" si="13"/>
        <v>#REF!</v>
      </c>
      <c r="V117" s="215" t="e">
        <f t="shared" ca="1" si="13"/>
        <v>#REF!</v>
      </c>
      <c r="W117" s="215" t="e">
        <f t="shared" ca="1" si="13"/>
        <v>#REF!</v>
      </c>
      <c r="X117" s="215" t="e">
        <f t="shared" ca="1" si="13"/>
        <v>#REF!</v>
      </c>
      <c r="Y117" s="215" t="e">
        <f t="shared" ca="1" si="13"/>
        <v>#REF!</v>
      </c>
      <c r="Z117" s="215" t="e">
        <f t="shared" ca="1" si="13"/>
        <v>#REF!</v>
      </c>
      <c r="AA117" s="215" t="e">
        <f t="shared" ca="1" si="13"/>
        <v>#REF!</v>
      </c>
      <c r="AC117" s="277" t="e">
        <f t="shared" ca="1" si="9"/>
        <v>#REF!</v>
      </c>
      <c r="AD117" s="278" t="e">
        <f t="shared" ca="1" si="10"/>
        <v>#REF!</v>
      </c>
      <c r="AE117" s="278" t="e">
        <f t="shared" ca="1" si="11"/>
        <v>#REF!</v>
      </c>
      <c r="AF117" s="279" t="e">
        <f t="shared" ca="1" si="12"/>
        <v>#REF!</v>
      </c>
    </row>
    <row r="118" spans="2:32" ht="14.25">
      <c r="B118" s="300">
        <v>16</v>
      </c>
      <c r="C118" s="284" t="e">
        <f t="shared" ca="1" si="7"/>
        <v>#REF!</v>
      </c>
      <c r="D118" s="215" t="e">
        <f t="shared" ca="1" si="8"/>
        <v>#REF!</v>
      </c>
      <c r="E118" s="215" t="e">
        <f t="shared" ca="1" si="8"/>
        <v>#REF!</v>
      </c>
      <c r="F118" s="215" t="e">
        <f t="shared" ca="1" si="8"/>
        <v>#REF!</v>
      </c>
      <c r="G118" s="215" t="e">
        <f t="shared" ca="1" si="8"/>
        <v>#REF!</v>
      </c>
      <c r="H118" s="215" t="e">
        <f t="shared" ca="1" si="8"/>
        <v>#REF!</v>
      </c>
      <c r="I118" s="215" t="e">
        <f t="shared" ca="1" si="8"/>
        <v>#REF!</v>
      </c>
      <c r="J118" s="215" t="e">
        <f t="shared" ca="1" si="8"/>
        <v>#REF!</v>
      </c>
      <c r="K118" s="215" t="e">
        <f t="shared" ca="1" si="8"/>
        <v>#REF!</v>
      </c>
      <c r="L118" s="215" t="e">
        <f t="shared" ca="1" si="8"/>
        <v>#REF!</v>
      </c>
      <c r="M118" s="215" t="e">
        <f t="shared" ca="1" si="8"/>
        <v>#REF!</v>
      </c>
      <c r="N118" s="215" t="e">
        <f t="shared" ca="1" si="8"/>
        <v>#REF!</v>
      </c>
      <c r="O118" s="215" t="e">
        <f t="shared" ca="1" si="8"/>
        <v>#REF!</v>
      </c>
      <c r="P118" s="215" t="e">
        <f t="shared" ca="1" si="8"/>
        <v>#REF!</v>
      </c>
      <c r="Q118" s="215" t="e">
        <f t="shared" ca="1" si="8"/>
        <v>#REF!</v>
      </c>
      <c r="R118" s="215" t="e">
        <f t="shared" ca="1" si="8"/>
        <v>#REF!</v>
      </c>
      <c r="S118" s="215" t="e">
        <f t="shared" ca="1" si="8"/>
        <v>#REF!</v>
      </c>
      <c r="T118" s="215" t="e">
        <f t="shared" ca="1" si="8"/>
        <v>#REF!</v>
      </c>
      <c r="U118" s="215" t="e">
        <f t="shared" ca="1" si="13"/>
        <v>#REF!</v>
      </c>
      <c r="V118" s="215" t="e">
        <f t="shared" ca="1" si="13"/>
        <v>#REF!</v>
      </c>
      <c r="W118" s="215" t="e">
        <f t="shared" ca="1" si="13"/>
        <v>#REF!</v>
      </c>
      <c r="X118" s="215" t="e">
        <f t="shared" ca="1" si="13"/>
        <v>#REF!</v>
      </c>
      <c r="Y118" s="215" t="e">
        <f t="shared" ca="1" si="13"/>
        <v>#REF!</v>
      </c>
      <c r="Z118" s="215" t="e">
        <f t="shared" ca="1" si="13"/>
        <v>#REF!</v>
      </c>
      <c r="AA118" s="215" t="e">
        <f t="shared" ca="1" si="13"/>
        <v>#REF!</v>
      </c>
      <c r="AC118" s="277" t="e">
        <f t="shared" ca="1" si="9"/>
        <v>#REF!</v>
      </c>
      <c r="AD118" s="278" t="e">
        <f t="shared" ca="1" si="10"/>
        <v>#REF!</v>
      </c>
      <c r="AE118" s="278" t="e">
        <f t="shared" ca="1" si="11"/>
        <v>#REF!</v>
      </c>
      <c r="AF118" s="279" t="e">
        <f t="shared" ca="1" si="12"/>
        <v>#REF!</v>
      </c>
    </row>
    <row r="119" spans="2:32" ht="14.25">
      <c r="B119" s="300">
        <v>17</v>
      </c>
      <c r="C119" s="284" t="e">
        <f t="shared" ca="1" si="7"/>
        <v>#REF!</v>
      </c>
      <c r="D119" s="215" t="e">
        <f t="shared" ca="1" si="8"/>
        <v>#REF!</v>
      </c>
      <c r="E119" s="215" t="e">
        <f t="shared" ca="1" si="8"/>
        <v>#REF!</v>
      </c>
      <c r="F119" s="215" t="e">
        <f t="shared" ca="1" si="8"/>
        <v>#REF!</v>
      </c>
      <c r="G119" s="215" t="e">
        <f t="shared" ca="1" si="8"/>
        <v>#REF!</v>
      </c>
      <c r="H119" s="215" t="e">
        <f t="shared" ca="1" si="8"/>
        <v>#REF!</v>
      </c>
      <c r="I119" s="215" t="e">
        <f t="shared" ca="1" si="8"/>
        <v>#REF!</v>
      </c>
      <c r="J119" s="215" t="e">
        <f t="shared" ca="1" si="8"/>
        <v>#REF!</v>
      </c>
      <c r="K119" s="215" t="e">
        <f t="shared" ca="1" si="8"/>
        <v>#REF!</v>
      </c>
      <c r="L119" s="215" t="e">
        <f t="shared" ca="1" si="8"/>
        <v>#REF!</v>
      </c>
      <c r="M119" s="215" t="e">
        <f t="shared" ca="1" si="8"/>
        <v>#REF!</v>
      </c>
      <c r="N119" s="215" t="e">
        <f t="shared" ca="1" si="8"/>
        <v>#REF!</v>
      </c>
      <c r="O119" s="215" t="e">
        <f t="shared" ca="1" si="8"/>
        <v>#REF!</v>
      </c>
      <c r="P119" s="215" t="e">
        <f t="shared" ca="1" si="8"/>
        <v>#REF!</v>
      </c>
      <c r="Q119" s="215" t="e">
        <f t="shared" ca="1" si="8"/>
        <v>#REF!</v>
      </c>
      <c r="R119" s="215" t="e">
        <f t="shared" ca="1" si="8"/>
        <v>#REF!</v>
      </c>
      <c r="S119" s="215" t="e">
        <f t="shared" ca="1" si="8"/>
        <v>#REF!</v>
      </c>
      <c r="T119" s="215" t="e">
        <f t="shared" ca="1" si="8"/>
        <v>#REF!</v>
      </c>
      <c r="U119" s="215" t="e">
        <f t="shared" ca="1" si="13"/>
        <v>#REF!</v>
      </c>
      <c r="V119" s="215" t="e">
        <f t="shared" ca="1" si="13"/>
        <v>#REF!</v>
      </c>
      <c r="W119" s="215" t="e">
        <f t="shared" ca="1" si="13"/>
        <v>#REF!</v>
      </c>
      <c r="X119" s="215" t="e">
        <f t="shared" ca="1" si="13"/>
        <v>#REF!</v>
      </c>
      <c r="Y119" s="215" t="e">
        <f t="shared" ca="1" si="13"/>
        <v>#REF!</v>
      </c>
      <c r="Z119" s="215" t="e">
        <f t="shared" ca="1" si="13"/>
        <v>#REF!</v>
      </c>
      <c r="AA119" s="215" t="e">
        <f t="shared" ca="1" si="13"/>
        <v>#REF!</v>
      </c>
      <c r="AC119" s="277" t="e">
        <f t="shared" ca="1" si="9"/>
        <v>#REF!</v>
      </c>
      <c r="AD119" s="278" t="e">
        <f t="shared" ca="1" si="10"/>
        <v>#REF!</v>
      </c>
      <c r="AE119" s="278" t="e">
        <f t="shared" ca="1" si="11"/>
        <v>#REF!</v>
      </c>
      <c r="AF119" s="279" t="e">
        <f t="shared" ca="1" si="12"/>
        <v>#REF!</v>
      </c>
    </row>
    <row r="120" spans="2:32" ht="14.25">
      <c r="B120" s="300">
        <v>18</v>
      </c>
      <c r="C120" s="284" t="e">
        <f t="shared" ca="1" si="7"/>
        <v>#REF!</v>
      </c>
      <c r="D120" s="215" t="e">
        <f t="shared" ca="1" si="8"/>
        <v>#REF!</v>
      </c>
      <c r="E120" s="215" t="e">
        <f t="shared" ca="1" si="8"/>
        <v>#REF!</v>
      </c>
      <c r="F120" s="215" t="e">
        <f t="shared" ca="1" si="8"/>
        <v>#REF!</v>
      </c>
      <c r="G120" s="215" t="e">
        <f t="shared" ca="1" si="8"/>
        <v>#REF!</v>
      </c>
      <c r="H120" s="215" t="e">
        <f t="shared" ca="1" si="8"/>
        <v>#REF!</v>
      </c>
      <c r="I120" s="215" t="e">
        <f t="shared" ca="1" si="8"/>
        <v>#REF!</v>
      </c>
      <c r="J120" s="215" t="e">
        <f t="shared" ca="1" si="8"/>
        <v>#REF!</v>
      </c>
      <c r="K120" s="215" t="e">
        <f t="shared" ca="1" si="8"/>
        <v>#REF!</v>
      </c>
      <c r="L120" s="215" t="e">
        <f t="shared" ca="1" si="8"/>
        <v>#REF!</v>
      </c>
      <c r="M120" s="215" t="e">
        <f t="shared" ca="1" si="8"/>
        <v>#REF!</v>
      </c>
      <c r="N120" s="215" t="e">
        <f t="shared" ca="1" si="8"/>
        <v>#REF!</v>
      </c>
      <c r="O120" s="215" t="e">
        <f t="shared" ca="1" si="8"/>
        <v>#REF!</v>
      </c>
      <c r="P120" s="215" t="e">
        <f t="shared" ca="1" si="8"/>
        <v>#REF!</v>
      </c>
      <c r="Q120" s="215" t="e">
        <f t="shared" ca="1" si="8"/>
        <v>#REF!</v>
      </c>
      <c r="R120" s="215" t="e">
        <f t="shared" ca="1" si="8"/>
        <v>#REF!</v>
      </c>
      <c r="S120" s="215" t="e">
        <f t="shared" ca="1" si="8"/>
        <v>#REF!</v>
      </c>
      <c r="T120" s="215" t="e">
        <f t="shared" ca="1" si="8"/>
        <v>#REF!</v>
      </c>
      <c r="U120" s="215" t="e">
        <f t="shared" ca="1" si="13"/>
        <v>#REF!</v>
      </c>
      <c r="V120" s="215" t="e">
        <f t="shared" ca="1" si="13"/>
        <v>#REF!</v>
      </c>
      <c r="W120" s="215" t="e">
        <f t="shared" ca="1" si="13"/>
        <v>#REF!</v>
      </c>
      <c r="X120" s="215" t="e">
        <f t="shared" ca="1" si="13"/>
        <v>#REF!</v>
      </c>
      <c r="Y120" s="215" t="e">
        <f t="shared" ca="1" si="13"/>
        <v>#REF!</v>
      </c>
      <c r="Z120" s="215" t="e">
        <f t="shared" ca="1" si="13"/>
        <v>#REF!</v>
      </c>
      <c r="AA120" s="215" t="e">
        <f t="shared" ca="1" si="13"/>
        <v>#REF!</v>
      </c>
      <c r="AC120" s="277" t="e">
        <f t="shared" ca="1" si="9"/>
        <v>#REF!</v>
      </c>
      <c r="AD120" s="278" t="e">
        <f t="shared" ca="1" si="10"/>
        <v>#REF!</v>
      </c>
      <c r="AE120" s="278" t="e">
        <f t="shared" ca="1" si="11"/>
        <v>#REF!</v>
      </c>
      <c r="AF120" s="279" t="e">
        <f t="shared" ca="1" si="12"/>
        <v>#REF!</v>
      </c>
    </row>
    <row r="121" spans="2:32" ht="14.25">
      <c r="B121" s="300">
        <v>19</v>
      </c>
      <c r="C121" s="284" t="e">
        <f t="shared" ca="1" si="7"/>
        <v>#REF!</v>
      </c>
      <c r="D121" s="215" t="e">
        <f ca="1">HLOOKUP(D$102,$D$3:$AA$27,MATCH($C121,$C$4:$C$27,0)+1,FALSE)</f>
        <v>#REF!</v>
      </c>
      <c r="E121" s="215" t="e">
        <f ca="1">HLOOKUP(E$102,$D$3:$AA$27,MATCH($C121,$C$4:$C$27,0)+1,FALSE)</f>
        <v>#REF!</v>
      </c>
      <c r="F121" s="215" t="e">
        <f t="shared" ca="1" si="8"/>
        <v>#REF!</v>
      </c>
      <c r="G121" s="215" t="e">
        <f t="shared" ca="1" si="8"/>
        <v>#REF!</v>
      </c>
      <c r="H121" s="215" t="e">
        <f t="shared" ca="1" si="8"/>
        <v>#REF!</v>
      </c>
      <c r="I121" s="215" t="e">
        <f t="shared" ca="1" si="8"/>
        <v>#REF!</v>
      </c>
      <c r="J121" s="215" t="e">
        <f t="shared" ca="1" si="8"/>
        <v>#REF!</v>
      </c>
      <c r="K121" s="215" t="e">
        <f t="shared" ca="1" si="8"/>
        <v>#REF!</v>
      </c>
      <c r="L121" s="215" t="e">
        <f t="shared" ca="1" si="8"/>
        <v>#REF!</v>
      </c>
      <c r="M121" s="215" t="e">
        <f t="shared" ca="1" si="8"/>
        <v>#REF!</v>
      </c>
      <c r="N121" s="215" t="e">
        <f t="shared" ca="1" si="8"/>
        <v>#REF!</v>
      </c>
      <c r="O121" s="215" t="e">
        <f t="shared" ca="1" si="8"/>
        <v>#REF!</v>
      </c>
      <c r="P121" s="215" t="e">
        <f t="shared" ca="1" si="8"/>
        <v>#REF!</v>
      </c>
      <c r="Q121" s="215" t="e">
        <f t="shared" ca="1" si="8"/>
        <v>#REF!</v>
      </c>
      <c r="R121" s="215" t="e">
        <f t="shared" ca="1" si="8"/>
        <v>#REF!</v>
      </c>
      <c r="S121" s="215" t="e">
        <f t="shared" ca="1" si="8"/>
        <v>#REF!</v>
      </c>
      <c r="T121" s="215" t="e">
        <f t="shared" ca="1" si="8"/>
        <v>#REF!</v>
      </c>
      <c r="U121" s="215" t="e">
        <f t="shared" ca="1" si="13"/>
        <v>#REF!</v>
      </c>
      <c r="V121" s="215" t="e">
        <f t="shared" ca="1" si="13"/>
        <v>#REF!</v>
      </c>
      <c r="W121" s="215" t="e">
        <f t="shared" ca="1" si="13"/>
        <v>#REF!</v>
      </c>
      <c r="X121" s="215" t="e">
        <f t="shared" ca="1" si="13"/>
        <v>#REF!</v>
      </c>
      <c r="Y121" s="215" t="e">
        <f t="shared" ca="1" si="13"/>
        <v>#REF!</v>
      </c>
      <c r="Z121" s="215" t="e">
        <f t="shared" ca="1" si="13"/>
        <v>#REF!</v>
      </c>
      <c r="AA121" s="215" t="e">
        <f t="shared" ca="1" si="13"/>
        <v>#REF!</v>
      </c>
      <c r="AC121" s="277" t="e">
        <f t="shared" ca="1" si="9"/>
        <v>#REF!</v>
      </c>
      <c r="AD121" s="278" t="e">
        <f t="shared" ca="1" si="10"/>
        <v>#REF!</v>
      </c>
      <c r="AE121" s="278" t="e">
        <f t="shared" ca="1" si="11"/>
        <v>#REF!</v>
      </c>
      <c r="AF121" s="279" t="e">
        <f t="shared" ca="1" si="12"/>
        <v>#REF!</v>
      </c>
    </row>
    <row r="122" spans="2:32" ht="14.25">
      <c r="B122" s="300">
        <v>20</v>
      </c>
      <c r="C122" s="284" t="e">
        <f t="shared" ca="1" si="7"/>
        <v>#REF!</v>
      </c>
      <c r="D122" s="215" t="e">
        <f t="shared" ca="1" si="8"/>
        <v>#REF!</v>
      </c>
      <c r="E122" s="215" t="e">
        <f t="shared" ca="1" si="8"/>
        <v>#REF!</v>
      </c>
      <c r="F122" s="215" t="e">
        <f t="shared" ca="1" si="8"/>
        <v>#REF!</v>
      </c>
      <c r="G122" s="215" t="e">
        <f t="shared" ca="1" si="8"/>
        <v>#REF!</v>
      </c>
      <c r="H122" s="215" t="e">
        <f t="shared" ca="1" si="8"/>
        <v>#REF!</v>
      </c>
      <c r="I122" s="215" t="e">
        <f t="shared" ca="1" si="8"/>
        <v>#REF!</v>
      </c>
      <c r="J122" s="215" t="e">
        <f t="shared" ca="1" si="8"/>
        <v>#REF!</v>
      </c>
      <c r="K122" s="215" t="e">
        <f t="shared" ca="1" si="8"/>
        <v>#REF!</v>
      </c>
      <c r="L122" s="215" t="e">
        <f t="shared" ca="1" si="8"/>
        <v>#REF!</v>
      </c>
      <c r="M122" s="215" t="e">
        <f t="shared" ca="1" si="8"/>
        <v>#REF!</v>
      </c>
      <c r="N122" s="215" t="e">
        <f t="shared" ca="1" si="8"/>
        <v>#REF!</v>
      </c>
      <c r="O122" s="215" t="e">
        <f t="shared" ca="1" si="8"/>
        <v>#REF!</v>
      </c>
      <c r="P122" s="215" t="e">
        <f t="shared" ca="1" si="8"/>
        <v>#REF!</v>
      </c>
      <c r="Q122" s="215" t="e">
        <f t="shared" ca="1" si="8"/>
        <v>#REF!</v>
      </c>
      <c r="R122" s="215" t="e">
        <f t="shared" ca="1" si="8"/>
        <v>#REF!</v>
      </c>
      <c r="S122" s="215" t="e">
        <f t="shared" ca="1" si="8"/>
        <v>#REF!</v>
      </c>
      <c r="T122" s="215" t="e">
        <f t="shared" ca="1" si="8"/>
        <v>#REF!</v>
      </c>
      <c r="U122" s="215" t="e">
        <f t="shared" ca="1" si="13"/>
        <v>#REF!</v>
      </c>
      <c r="V122" s="215" t="e">
        <f t="shared" ca="1" si="13"/>
        <v>#REF!</v>
      </c>
      <c r="W122" s="215" t="e">
        <f t="shared" ca="1" si="13"/>
        <v>#REF!</v>
      </c>
      <c r="X122" s="215" t="e">
        <f t="shared" ca="1" si="13"/>
        <v>#REF!</v>
      </c>
      <c r="Y122" s="215" t="e">
        <f t="shared" ca="1" si="13"/>
        <v>#REF!</v>
      </c>
      <c r="Z122" s="215" t="e">
        <f t="shared" ca="1" si="13"/>
        <v>#REF!</v>
      </c>
      <c r="AA122" s="215" t="e">
        <f t="shared" ca="1" si="13"/>
        <v>#REF!</v>
      </c>
      <c r="AC122" s="277" t="e">
        <f t="shared" ca="1" si="9"/>
        <v>#REF!</v>
      </c>
      <c r="AD122" s="278" t="e">
        <f t="shared" ca="1" si="10"/>
        <v>#REF!</v>
      </c>
      <c r="AE122" s="278" t="e">
        <f t="shared" ca="1" si="11"/>
        <v>#REF!</v>
      </c>
      <c r="AF122" s="279" t="e">
        <f t="shared" ca="1" si="12"/>
        <v>#REF!</v>
      </c>
    </row>
    <row r="123" spans="2:32" ht="14.25" hidden="1">
      <c r="B123" s="300">
        <v>21</v>
      </c>
      <c r="C123" s="284" t="e">
        <f t="shared" ca="1" si="7"/>
        <v>#REF!</v>
      </c>
      <c r="D123" s="215" t="e">
        <f t="shared" ca="1" si="8"/>
        <v>#REF!</v>
      </c>
      <c r="E123" s="215" t="e">
        <f t="shared" ca="1" si="8"/>
        <v>#REF!</v>
      </c>
      <c r="F123" s="215" t="e">
        <f t="shared" ca="1" si="8"/>
        <v>#REF!</v>
      </c>
      <c r="G123" s="215" t="e">
        <f t="shared" ca="1" si="8"/>
        <v>#REF!</v>
      </c>
      <c r="H123" s="215" t="e">
        <f t="shared" ca="1" si="8"/>
        <v>#REF!</v>
      </c>
      <c r="I123" s="215" t="e">
        <f t="shared" ca="1" si="8"/>
        <v>#REF!</v>
      </c>
      <c r="J123" s="215" t="e">
        <f t="shared" ca="1" si="8"/>
        <v>#REF!</v>
      </c>
      <c r="K123" s="215" t="e">
        <f t="shared" ca="1" si="8"/>
        <v>#REF!</v>
      </c>
      <c r="L123" s="215" t="e">
        <f t="shared" ca="1" si="8"/>
        <v>#REF!</v>
      </c>
      <c r="M123" s="215" t="e">
        <f t="shared" ca="1" si="8"/>
        <v>#REF!</v>
      </c>
      <c r="N123" s="215" t="e">
        <f t="shared" ca="1" si="8"/>
        <v>#REF!</v>
      </c>
      <c r="O123" s="215" t="e">
        <f t="shared" ca="1" si="8"/>
        <v>#REF!</v>
      </c>
      <c r="P123" s="215" t="e">
        <f t="shared" ca="1" si="8"/>
        <v>#REF!</v>
      </c>
      <c r="Q123" s="215" t="e">
        <f t="shared" ca="1" si="8"/>
        <v>#REF!</v>
      </c>
      <c r="R123" s="215" t="e">
        <f t="shared" ca="1" si="8"/>
        <v>#REF!</v>
      </c>
      <c r="S123" s="215" t="e">
        <f t="shared" ca="1" si="8"/>
        <v>#REF!</v>
      </c>
      <c r="T123" s="215" t="e">
        <f t="shared" ca="1" si="8"/>
        <v>#REF!</v>
      </c>
      <c r="U123" s="215" t="e">
        <f t="shared" ca="1" si="13"/>
        <v>#REF!</v>
      </c>
      <c r="V123" s="215" t="e">
        <f t="shared" ca="1" si="13"/>
        <v>#REF!</v>
      </c>
      <c r="W123" s="215" t="e">
        <f t="shared" ca="1" si="13"/>
        <v>#REF!</v>
      </c>
      <c r="X123" s="215" t="e">
        <f t="shared" ca="1" si="13"/>
        <v>#REF!</v>
      </c>
      <c r="Y123" s="215" t="e">
        <f t="shared" ca="1" si="13"/>
        <v>#REF!</v>
      </c>
      <c r="Z123" s="215" t="e">
        <f t="shared" ca="1" si="13"/>
        <v>#REF!</v>
      </c>
      <c r="AA123" s="215" t="e">
        <f t="shared" ca="1" si="13"/>
        <v>#REF!</v>
      </c>
      <c r="AC123" s="277" t="e">
        <f t="shared" ca="1" si="9"/>
        <v>#REF!</v>
      </c>
      <c r="AD123" s="278" t="e">
        <f t="shared" ca="1" si="10"/>
        <v>#REF!</v>
      </c>
      <c r="AE123" s="278" t="e">
        <f t="shared" ca="1" si="11"/>
        <v>#REF!</v>
      </c>
      <c r="AF123" s="279" t="e">
        <f t="shared" ca="1" si="12"/>
        <v>#REF!</v>
      </c>
    </row>
    <row r="124" spans="2:32" ht="14.25" hidden="1">
      <c r="B124" s="300">
        <v>22</v>
      </c>
      <c r="C124" s="284" t="e">
        <f t="shared" ca="1" si="7"/>
        <v>#REF!</v>
      </c>
      <c r="D124" s="215" t="e">
        <f t="shared" ca="1" si="8"/>
        <v>#REF!</v>
      </c>
      <c r="E124" s="215" t="e">
        <f t="shared" ca="1" si="8"/>
        <v>#REF!</v>
      </c>
      <c r="F124" s="215" t="e">
        <f t="shared" ca="1" si="8"/>
        <v>#REF!</v>
      </c>
      <c r="G124" s="215" t="e">
        <f t="shared" ca="1" si="8"/>
        <v>#REF!</v>
      </c>
      <c r="H124" s="215" t="e">
        <f t="shared" ca="1" si="8"/>
        <v>#REF!</v>
      </c>
      <c r="I124" s="215" t="e">
        <f t="shared" ca="1" si="8"/>
        <v>#REF!</v>
      </c>
      <c r="J124" s="215" t="e">
        <f t="shared" ca="1" si="8"/>
        <v>#REF!</v>
      </c>
      <c r="K124" s="215" t="e">
        <f t="shared" ca="1" si="8"/>
        <v>#REF!</v>
      </c>
      <c r="L124" s="215" t="e">
        <f t="shared" ca="1" si="8"/>
        <v>#REF!</v>
      </c>
      <c r="M124" s="215" t="e">
        <f t="shared" ca="1" si="8"/>
        <v>#REF!</v>
      </c>
      <c r="N124" s="215" t="e">
        <f t="shared" ca="1" si="8"/>
        <v>#REF!</v>
      </c>
      <c r="O124" s="215" t="e">
        <f t="shared" ca="1" si="8"/>
        <v>#REF!</v>
      </c>
      <c r="P124" s="215" t="e">
        <f t="shared" ca="1" si="8"/>
        <v>#REF!</v>
      </c>
      <c r="Q124" s="215" t="e">
        <f t="shared" ca="1" si="8"/>
        <v>#REF!</v>
      </c>
      <c r="R124" s="215" t="e">
        <f t="shared" ca="1" si="8"/>
        <v>#REF!</v>
      </c>
      <c r="S124" s="215" t="e">
        <f t="shared" ca="1" si="8"/>
        <v>#REF!</v>
      </c>
      <c r="T124" s="215" t="e">
        <f t="shared" ca="1" si="8"/>
        <v>#REF!</v>
      </c>
      <c r="U124" s="215" t="e">
        <f t="shared" ca="1" si="13"/>
        <v>#REF!</v>
      </c>
      <c r="V124" s="215" t="e">
        <f t="shared" ca="1" si="13"/>
        <v>#REF!</v>
      </c>
      <c r="W124" s="215" t="e">
        <f t="shared" ca="1" si="13"/>
        <v>#REF!</v>
      </c>
      <c r="X124" s="215" t="e">
        <f t="shared" ca="1" si="13"/>
        <v>#REF!</v>
      </c>
      <c r="Y124" s="215" t="e">
        <f t="shared" ca="1" si="13"/>
        <v>#REF!</v>
      </c>
      <c r="Z124" s="215" t="e">
        <f t="shared" ca="1" si="13"/>
        <v>#REF!</v>
      </c>
      <c r="AA124" s="215" t="e">
        <f t="shared" ca="1" si="13"/>
        <v>#REF!</v>
      </c>
      <c r="AC124" s="277" t="e">
        <f t="shared" ca="1" si="9"/>
        <v>#REF!</v>
      </c>
      <c r="AD124" s="278" t="e">
        <f t="shared" ca="1" si="10"/>
        <v>#REF!</v>
      </c>
      <c r="AE124" s="278" t="e">
        <f t="shared" ca="1" si="11"/>
        <v>#REF!</v>
      </c>
      <c r="AF124" s="279" t="e">
        <f t="shared" ca="1" si="12"/>
        <v>#REF!</v>
      </c>
    </row>
    <row r="125" spans="2:32" ht="14.25" hidden="1">
      <c r="B125" s="300">
        <v>23</v>
      </c>
      <c r="C125" s="284" t="e">
        <f t="shared" ca="1" si="7"/>
        <v>#REF!</v>
      </c>
      <c r="D125" s="215" t="e">
        <f t="shared" ca="1" si="8"/>
        <v>#REF!</v>
      </c>
      <c r="E125" s="215" t="e">
        <f t="shared" ca="1" si="8"/>
        <v>#REF!</v>
      </c>
      <c r="F125" s="215" t="e">
        <f t="shared" ca="1" si="8"/>
        <v>#REF!</v>
      </c>
      <c r="G125" s="215" t="e">
        <f t="shared" ca="1" si="8"/>
        <v>#REF!</v>
      </c>
      <c r="H125" s="215" t="e">
        <f t="shared" ca="1" si="8"/>
        <v>#REF!</v>
      </c>
      <c r="I125" s="215" t="e">
        <f t="shared" ca="1" si="8"/>
        <v>#REF!</v>
      </c>
      <c r="J125" s="215" t="e">
        <f t="shared" ca="1" si="8"/>
        <v>#REF!</v>
      </c>
      <c r="K125" s="215" t="e">
        <f t="shared" ca="1" si="8"/>
        <v>#REF!</v>
      </c>
      <c r="L125" s="215" t="e">
        <f t="shared" ca="1" si="8"/>
        <v>#REF!</v>
      </c>
      <c r="M125" s="215" t="e">
        <f t="shared" ca="1" si="8"/>
        <v>#REF!</v>
      </c>
      <c r="N125" s="215" t="e">
        <f t="shared" ca="1" si="8"/>
        <v>#REF!</v>
      </c>
      <c r="O125" s="215" t="e">
        <f t="shared" ca="1" si="8"/>
        <v>#REF!</v>
      </c>
      <c r="P125" s="215" t="e">
        <f t="shared" ca="1" si="8"/>
        <v>#REF!</v>
      </c>
      <c r="Q125" s="215" t="e">
        <f t="shared" ca="1" si="8"/>
        <v>#REF!</v>
      </c>
      <c r="R125" s="215" t="e">
        <f t="shared" ca="1" si="8"/>
        <v>#REF!</v>
      </c>
      <c r="S125" s="215" t="e">
        <f t="shared" ca="1" si="8"/>
        <v>#REF!</v>
      </c>
      <c r="T125" s="215" t="e">
        <f t="shared" ca="1" si="8"/>
        <v>#REF!</v>
      </c>
      <c r="U125" s="215" t="e">
        <f t="shared" ca="1" si="13"/>
        <v>#REF!</v>
      </c>
      <c r="V125" s="215" t="e">
        <f t="shared" ca="1" si="13"/>
        <v>#REF!</v>
      </c>
      <c r="W125" s="215" t="e">
        <f t="shared" ca="1" si="13"/>
        <v>#REF!</v>
      </c>
      <c r="X125" s="215" t="e">
        <f t="shared" ca="1" si="13"/>
        <v>#REF!</v>
      </c>
      <c r="Y125" s="215" t="e">
        <f t="shared" ca="1" si="13"/>
        <v>#REF!</v>
      </c>
      <c r="Z125" s="215" t="e">
        <f t="shared" ca="1" si="13"/>
        <v>#REF!</v>
      </c>
      <c r="AA125" s="215" t="e">
        <f t="shared" ca="1" si="13"/>
        <v>#REF!</v>
      </c>
      <c r="AC125" s="277" t="e">
        <f t="shared" ca="1" si="9"/>
        <v>#REF!</v>
      </c>
      <c r="AD125" s="278" t="e">
        <f t="shared" ca="1" si="10"/>
        <v>#REF!</v>
      </c>
      <c r="AE125" s="278" t="e">
        <f t="shared" ca="1" si="11"/>
        <v>#REF!</v>
      </c>
      <c r="AF125" s="279" t="e">
        <f t="shared" ca="1" si="12"/>
        <v>#REF!</v>
      </c>
    </row>
    <row r="126" spans="2:32" ht="14.25" hidden="1">
      <c r="B126" s="223">
        <v>24</v>
      </c>
      <c r="C126" s="287" t="e">
        <f t="shared" ca="1" si="7"/>
        <v>#REF!</v>
      </c>
      <c r="D126" s="223" t="e">
        <f t="shared" ca="1" si="8"/>
        <v>#REF!</v>
      </c>
      <c r="E126" s="290" t="e">
        <f t="shared" ca="1" si="8"/>
        <v>#REF!</v>
      </c>
      <c r="F126" s="290" t="e">
        <f t="shared" ca="1" si="8"/>
        <v>#REF!</v>
      </c>
      <c r="G126" s="290" t="e">
        <f t="shared" ca="1" si="8"/>
        <v>#REF!</v>
      </c>
      <c r="H126" s="290" t="e">
        <f t="shared" ca="1" si="8"/>
        <v>#REF!</v>
      </c>
      <c r="I126" s="290" t="e">
        <f t="shared" ca="1" si="8"/>
        <v>#REF!</v>
      </c>
      <c r="J126" s="290" t="e">
        <f t="shared" ca="1" si="8"/>
        <v>#REF!</v>
      </c>
      <c r="K126" s="290" t="e">
        <f t="shared" ca="1" si="8"/>
        <v>#REF!</v>
      </c>
      <c r="L126" s="290" t="e">
        <f t="shared" ca="1" si="8"/>
        <v>#REF!</v>
      </c>
      <c r="M126" s="290" t="e">
        <f t="shared" ca="1" si="8"/>
        <v>#REF!</v>
      </c>
      <c r="N126" s="290" t="e">
        <f t="shared" ca="1" si="8"/>
        <v>#REF!</v>
      </c>
      <c r="O126" s="290" t="e">
        <f t="shared" ca="1" si="8"/>
        <v>#REF!</v>
      </c>
      <c r="P126" s="290" t="e">
        <f t="shared" ca="1" si="8"/>
        <v>#REF!</v>
      </c>
      <c r="Q126" s="290" t="e">
        <f t="shared" ca="1" si="8"/>
        <v>#REF!</v>
      </c>
      <c r="R126" s="290" t="e">
        <f t="shared" ca="1" si="8"/>
        <v>#REF!</v>
      </c>
      <c r="S126" s="290" t="e">
        <f t="shared" ca="1" si="8"/>
        <v>#REF!</v>
      </c>
      <c r="T126" s="290" t="e">
        <f t="shared" ca="1" si="8"/>
        <v>#REF!</v>
      </c>
      <c r="U126" s="290" t="e">
        <f t="shared" ca="1" si="13"/>
        <v>#REF!</v>
      </c>
      <c r="V126" s="290" t="e">
        <f t="shared" ca="1" si="13"/>
        <v>#REF!</v>
      </c>
      <c r="W126" s="290" t="e">
        <f t="shared" ca="1" si="13"/>
        <v>#REF!</v>
      </c>
      <c r="X126" s="290" t="e">
        <f t="shared" ca="1" si="13"/>
        <v>#REF!</v>
      </c>
      <c r="Y126" s="290" t="e">
        <f t="shared" ca="1" si="13"/>
        <v>#REF!</v>
      </c>
      <c r="Z126" s="290" t="e">
        <f t="shared" ca="1" si="13"/>
        <v>#REF!</v>
      </c>
      <c r="AA126" s="290" t="e">
        <f t="shared" ca="1" si="13"/>
        <v>#REF!</v>
      </c>
      <c r="AC126" s="345" t="e">
        <f t="shared" ca="1" si="9"/>
        <v>#REF!</v>
      </c>
      <c r="AD126" s="290" t="e">
        <f t="shared" ca="1" si="10"/>
        <v>#REF!</v>
      </c>
      <c r="AE126" s="290" t="e">
        <f t="shared" ca="1" si="11"/>
        <v>#REF!</v>
      </c>
      <c r="AF126" s="346" t="e">
        <f t="shared" ca="1" si="12"/>
        <v>#REF!</v>
      </c>
    </row>
    <row r="127" spans="2:32" ht="14.25">
      <c r="W127" s="290"/>
      <c r="AC127" s="347" t="str">
        <f ca="1">AC28</f>
        <v/>
      </c>
      <c r="AD127" s="295" t="str">
        <f ca="1">AD28</f>
        <v/>
      </c>
      <c r="AE127" s="295" t="str">
        <f ca="1">AE28</f>
        <v/>
      </c>
      <c r="AF127" s="344" t="str">
        <f ca="1">AF28</f>
        <v/>
      </c>
    </row>
    <row r="128" spans="2:32">
      <c r="C128" s="272" t="s">
        <v>185</v>
      </c>
      <c r="D128" s="275" t="e">
        <f ca="1">IF(D$102="","",HLOOKUP(D$102,$D$3:$AA$37,27,FALSE))</f>
        <v>#REF!</v>
      </c>
      <c r="E128" s="275" t="e">
        <f t="shared" ref="E128:AA128" ca="1" si="14">IF(E$102="","",HLOOKUP(E$102,$D$3:$AA$37,27,FALSE))</f>
        <v>#REF!</v>
      </c>
      <c r="F128" s="275" t="e">
        <f t="shared" ca="1" si="14"/>
        <v>#REF!</v>
      </c>
      <c r="G128" s="275" t="e">
        <f t="shared" ca="1" si="14"/>
        <v>#REF!</v>
      </c>
      <c r="H128" s="275" t="e">
        <f t="shared" ca="1" si="14"/>
        <v>#REF!</v>
      </c>
      <c r="I128" s="275" t="e">
        <f t="shared" ca="1" si="14"/>
        <v>#REF!</v>
      </c>
      <c r="J128" s="275" t="e">
        <f t="shared" ca="1" si="14"/>
        <v>#REF!</v>
      </c>
      <c r="K128" s="275" t="e">
        <f t="shared" ca="1" si="14"/>
        <v>#REF!</v>
      </c>
      <c r="L128" s="275" t="e">
        <f t="shared" ca="1" si="14"/>
        <v>#REF!</v>
      </c>
      <c r="M128" s="275" t="e">
        <f t="shared" ca="1" si="14"/>
        <v>#REF!</v>
      </c>
      <c r="N128" s="275" t="e">
        <f t="shared" ca="1" si="14"/>
        <v>#REF!</v>
      </c>
      <c r="O128" s="275" t="e">
        <f t="shared" ca="1" si="14"/>
        <v>#REF!</v>
      </c>
      <c r="P128" s="275" t="e">
        <f t="shared" ca="1" si="14"/>
        <v>#REF!</v>
      </c>
      <c r="Q128" s="275" t="e">
        <f t="shared" ca="1" si="14"/>
        <v>#REF!</v>
      </c>
      <c r="R128" s="275" t="e">
        <f t="shared" ca="1" si="14"/>
        <v>#REF!</v>
      </c>
      <c r="S128" s="275" t="e">
        <f t="shared" ca="1" si="14"/>
        <v>#REF!</v>
      </c>
      <c r="T128" s="275" t="e">
        <f t="shared" ca="1" si="14"/>
        <v>#REF!</v>
      </c>
      <c r="U128" s="275" t="e">
        <f t="shared" ca="1" si="14"/>
        <v>#REF!</v>
      </c>
      <c r="V128" s="275" t="e">
        <f t="shared" ca="1" si="14"/>
        <v>#REF!</v>
      </c>
      <c r="W128" s="275" t="e">
        <f t="shared" ca="1" si="14"/>
        <v>#REF!</v>
      </c>
      <c r="X128" s="275" t="e">
        <f t="shared" ca="1" si="14"/>
        <v>#REF!</v>
      </c>
      <c r="Y128" s="275" t="e">
        <f t="shared" ca="1" si="14"/>
        <v>#REF!</v>
      </c>
      <c r="Z128" s="275" t="e">
        <f t="shared" ca="1" si="14"/>
        <v>#REF!</v>
      </c>
      <c r="AA128" s="276" t="e">
        <f t="shared" ca="1" si="14"/>
        <v>#REF!</v>
      </c>
    </row>
    <row r="129" spans="3:31">
      <c r="C129" s="300" t="s">
        <v>186</v>
      </c>
      <c r="D129" s="278" t="e">
        <f ca="1">IF(D$102="","",HLOOKUP(D$102,$D$3:$AA$37,28,FALSE))</f>
        <v>#REF!</v>
      </c>
      <c r="E129" s="278" t="e">
        <f t="shared" ref="E129:AA129" ca="1" si="15">IF(E$102="","",HLOOKUP(E$102,$D$3:$AA$37,28,FALSE))</f>
        <v>#REF!</v>
      </c>
      <c r="F129" s="278" t="e">
        <f t="shared" ca="1" si="15"/>
        <v>#REF!</v>
      </c>
      <c r="G129" s="278" t="e">
        <f t="shared" ca="1" si="15"/>
        <v>#REF!</v>
      </c>
      <c r="H129" s="278" t="e">
        <f t="shared" ca="1" si="15"/>
        <v>#REF!</v>
      </c>
      <c r="I129" s="278" t="e">
        <f t="shared" ca="1" si="15"/>
        <v>#REF!</v>
      </c>
      <c r="J129" s="278" t="e">
        <f t="shared" ca="1" si="15"/>
        <v>#REF!</v>
      </c>
      <c r="K129" s="278" t="e">
        <f t="shared" ca="1" si="15"/>
        <v>#REF!</v>
      </c>
      <c r="L129" s="278" t="e">
        <f t="shared" ca="1" si="15"/>
        <v>#REF!</v>
      </c>
      <c r="M129" s="278" t="e">
        <f t="shared" ca="1" si="15"/>
        <v>#REF!</v>
      </c>
      <c r="N129" s="278" t="e">
        <f t="shared" ca="1" si="15"/>
        <v>#REF!</v>
      </c>
      <c r="O129" s="278" t="e">
        <f t="shared" ca="1" si="15"/>
        <v>#REF!</v>
      </c>
      <c r="P129" s="278" t="e">
        <f t="shared" ca="1" si="15"/>
        <v>#REF!</v>
      </c>
      <c r="Q129" s="278" t="e">
        <f t="shared" ca="1" si="15"/>
        <v>#REF!</v>
      </c>
      <c r="R129" s="278" t="e">
        <f t="shared" ca="1" si="15"/>
        <v>#REF!</v>
      </c>
      <c r="S129" s="278" t="e">
        <f t="shared" ca="1" si="15"/>
        <v>#REF!</v>
      </c>
      <c r="T129" s="278" t="e">
        <f t="shared" ca="1" si="15"/>
        <v>#REF!</v>
      </c>
      <c r="U129" s="278" t="e">
        <f t="shared" ca="1" si="15"/>
        <v>#REF!</v>
      </c>
      <c r="V129" s="278" t="e">
        <f t="shared" ca="1" si="15"/>
        <v>#REF!</v>
      </c>
      <c r="W129" s="278" t="e">
        <f t="shared" ca="1" si="15"/>
        <v>#REF!</v>
      </c>
      <c r="X129" s="278" t="e">
        <f t="shared" ca="1" si="15"/>
        <v>#REF!</v>
      </c>
      <c r="Y129" s="278" t="e">
        <f t="shared" ca="1" si="15"/>
        <v>#REF!</v>
      </c>
      <c r="Z129" s="278" t="e">
        <f t="shared" ca="1" si="15"/>
        <v>#REF!</v>
      </c>
      <c r="AA129" s="279" t="e">
        <f t="shared" ca="1" si="15"/>
        <v>#REF!</v>
      </c>
      <c r="AC129" s="348" t="s">
        <v>187</v>
      </c>
      <c r="AD129" s="937" t="s">
        <v>175</v>
      </c>
      <c r="AE129" s="938"/>
    </row>
    <row r="130" spans="3:31" ht="15" thickBot="1">
      <c r="C130" s="300" t="s">
        <v>188</v>
      </c>
      <c r="D130" s="278" t="e">
        <f ca="1">IF(D$102="","",HLOOKUP(D$102,$D$3:$AA$37,29,FALSE))</f>
        <v>#REF!</v>
      </c>
      <c r="E130" s="278" t="e">
        <f t="shared" ref="E130:AA130" ca="1" si="16">IF(E$102="","",HLOOKUP(E$102,$D$3:$AA$37,29,FALSE))</f>
        <v>#REF!</v>
      </c>
      <c r="F130" s="278" t="e">
        <f t="shared" ca="1" si="16"/>
        <v>#REF!</v>
      </c>
      <c r="G130" s="278" t="e">
        <f t="shared" ca="1" si="16"/>
        <v>#REF!</v>
      </c>
      <c r="H130" s="278" t="e">
        <f t="shared" ca="1" si="16"/>
        <v>#REF!</v>
      </c>
      <c r="I130" s="278" t="e">
        <f t="shared" ca="1" si="16"/>
        <v>#REF!</v>
      </c>
      <c r="J130" s="278" t="e">
        <f t="shared" ca="1" si="16"/>
        <v>#REF!</v>
      </c>
      <c r="K130" s="278" t="e">
        <f t="shared" ca="1" si="16"/>
        <v>#REF!</v>
      </c>
      <c r="L130" s="278" t="e">
        <f t="shared" ca="1" si="16"/>
        <v>#REF!</v>
      </c>
      <c r="M130" s="278" t="e">
        <f t="shared" ca="1" si="16"/>
        <v>#REF!</v>
      </c>
      <c r="N130" s="278" t="e">
        <f t="shared" ca="1" si="16"/>
        <v>#REF!</v>
      </c>
      <c r="O130" s="278" t="e">
        <f t="shared" ca="1" si="16"/>
        <v>#REF!</v>
      </c>
      <c r="P130" s="278" t="e">
        <f t="shared" ca="1" si="16"/>
        <v>#REF!</v>
      </c>
      <c r="Q130" s="278" t="e">
        <f t="shared" ca="1" si="16"/>
        <v>#REF!</v>
      </c>
      <c r="R130" s="278" t="e">
        <f t="shared" ca="1" si="16"/>
        <v>#REF!</v>
      </c>
      <c r="S130" s="278" t="e">
        <f t="shared" ca="1" si="16"/>
        <v>#REF!</v>
      </c>
      <c r="T130" s="278" t="e">
        <f t="shared" ca="1" si="16"/>
        <v>#REF!</v>
      </c>
      <c r="U130" s="278" t="e">
        <f t="shared" ca="1" si="16"/>
        <v>#REF!</v>
      </c>
      <c r="V130" s="278" t="e">
        <f t="shared" ca="1" si="16"/>
        <v>#REF!</v>
      </c>
      <c r="W130" s="278" t="e">
        <f t="shared" ca="1" si="16"/>
        <v>#REF!</v>
      </c>
      <c r="X130" s="278" t="e">
        <f t="shared" ca="1" si="16"/>
        <v>#REF!</v>
      </c>
      <c r="Y130" s="278" t="e">
        <f t="shared" ca="1" si="16"/>
        <v>#REF!</v>
      </c>
      <c r="Z130" s="278" t="e">
        <f t="shared" ca="1" si="16"/>
        <v>#REF!</v>
      </c>
      <c r="AA130" s="279" t="e">
        <f t="shared" ca="1" si="16"/>
        <v>#REF!</v>
      </c>
      <c r="AC130" s="277" t="s">
        <v>181</v>
      </c>
      <c r="AD130" s="349" t="str">
        <f ca="1">BlankError(COUNTIF(OFFSET($D$103,0,0,MAX($B$4:$B$27)/2,MAX($B$4:$B$27)/2),"&gt;2.5")/COUNT(OFFSET($D$103,0,0,MAX($B$4:$B$27)/2,MAX($B$4:$B$27)/2)))</f>
        <v/>
      </c>
      <c r="AE130" s="303" t="str">
        <f ca="1">BlankError(COUNTIF(OFFSET($D$103,0,MAX($B$4:$B$27)/2,MAX($B$4:$B$27)/2,MAX($B$4:$B$27)/2),"&gt;2.5")/COUNT(OFFSET($D$103,0,MAX($B$4:$B$27)/2,MAX($B$4:$B$27)/2,MAX($B$4:$B$27)/2)))</f>
        <v/>
      </c>
    </row>
    <row r="131" spans="3:31" ht="14.25">
      <c r="C131" s="223" t="str">
        <f>"Away "&amp;$B$32&amp;"  %"</f>
        <v>Away Lo  %</v>
      </c>
      <c r="D131" s="305" t="e">
        <f ca="1">IF(D$102="","",HLOOKUP(D$102,$D$3:$AA$37,30,FALSE))</f>
        <v>#REF!</v>
      </c>
      <c r="E131" s="305" t="e">
        <f t="shared" ref="E131:AA131" ca="1" si="17">IF(E$102="","",HLOOKUP(E$102,$D$3:$AA$37,30,FALSE))</f>
        <v>#REF!</v>
      </c>
      <c r="F131" s="305" t="e">
        <f t="shared" ca="1" si="17"/>
        <v>#REF!</v>
      </c>
      <c r="G131" s="305" t="e">
        <f t="shared" ca="1" si="17"/>
        <v>#REF!</v>
      </c>
      <c r="H131" s="305" t="e">
        <f t="shared" ca="1" si="17"/>
        <v>#REF!</v>
      </c>
      <c r="I131" s="305" t="e">
        <f t="shared" ca="1" si="17"/>
        <v>#REF!</v>
      </c>
      <c r="J131" s="305" t="e">
        <f t="shared" ca="1" si="17"/>
        <v>#REF!</v>
      </c>
      <c r="K131" s="305" t="e">
        <f t="shared" ca="1" si="17"/>
        <v>#REF!</v>
      </c>
      <c r="L131" s="305" t="e">
        <f t="shared" ca="1" si="17"/>
        <v>#REF!</v>
      </c>
      <c r="M131" s="305" t="e">
        <f t="shared" ca="1" si="17"/>
        <v>#REF!</v>
      </c>
      <c r="N131" s="305" t="e">
        <f t="shared" ca="1" si="17"/>
        <v>#REF!</v>
      </c>
      <c r="O131" s="305" t="e">
        <f t="shared" ca="1" si="17"/>
        <v>#REF!</v>
      </c>
      <c r="P131" s="305" t="e">
        <f t="shared" ca="1" si="17"/>
        <v>#REF!</v>
      </c>
      <c r="Q131" s="305" t="e">
        <f t="shared" ca="1" si="17"/>
        <v>#REF!</v>
      </c>
      <c r="R131" s="305" t="e">
        <f t="shared" ca="1" si="17"/>
        <v>#REF!</v>
      </c>
      <c r="S131" s="305" t="e">
        <f t="shared" ca="1" si="17"/>
        <v>#REF!</v>
      </c>
      <c r="T131" s="305" t="e">
        <f t="shared" ca="1" si="17"/>
        <v>#REF!</v>
      </c>
      <c r="U131" s="305" t="e">
        <f t="shared" ca="1" si="17"/>
        <v>#REF!</v>
      </c>
      <c r="V131" s="305" t="e">
        <f t="shared" ca="1" si="17"/>
        <v>#REF!</v>
      </c>
      <c r="W131" s="305" t="e">
        <f t="shared" ca="1" si="17"/>
        <v>#REF!</v>
      </c>
      <c r="X131" s="305" t="e">
        <f t="shared" ca="1" si="17"/>
        <v>#REF!</v>
      </c>
      <c r="Y131" s="305" t="e">
        <f t="shared" ca="1" si="17"/>
        <v>#REF!</v>
      </c>
      <c r="Z131" s="305" t="e">
        <f t="shared" ca="1" si="17"/>
        <v>#REF!</v>
      </c>
      <c r="AA131" s="350" t="e">
        <f t="shared" ca="1" si="17"/>
        <v>#REF!</v>
      </c>
      <c r="AC131" s="345"/>
      <c r="AD131" s="351" t="str">
        <f ca="1">BlankError(COUNTIF(OFFSET($D$103,MAX($B$4:$B$27)/2,0,MAX($B$4:$B$27)/2,MAX($B$4:$B$27)/2),"&gt;2.5")/COUNT(OFFSET($D$103,MAX($B$4:$B$27)/2,0,MAX($B$4:$B$27)/2,MAX($B$4:$B$27)/2)))</f>
        <v/>
      </c>
      <c r="AE131" s="308" t="str">
        <f ca="1">BlankError(COUNTIF(OFFSET($D$103,MAX($B$4:$B$27)/2,MAX($B$4:$B$27)/2,MAX($B$4:$B$27)/2,MAX($B$4:$B$27)/2),"&gt;2.5")/COUNT(OFFSET($D$103,MAX($B$4:$B$27)/2,MAX($B$4:$B$27)/2,MAX($B$4:$B$27)/2,MAX($B$4:$B$27)/2)))</f>
        <v/>
      </c>
    </row>
    <row r="132" spans="3:31" ht="14.25">
      <c r="D132" s="309"/>
      <c r="E132" s="309"/>
      <c r="F132" s="309"/>
      <c r="G132" s="309"/>
      <c r="H132" s="309"/>
      <c r="I132" s="309"/>
      <c r="J132" s="309"/>
      <c r="K132" s="309"/>
      <c r="L132" s="309"/>
      <c r="M132" s="309"/>
      <c r="N132" s="309"/>
      <c r="O132" s="309"/>
      <c r="P132" s="309"/>
      <c r="Q132" s="309"/>
      <c r="R132" s="309"/>
      <c r="S132" s="309"/>
      <c r="T132" s="309"/>
      <c r="U132" s="309"/>
      <c r="V132" s="309"/>
      <c r="W132" s="309"/>
      <c r="X132" s="309"/>
      <c r="Y132" s="309"/>
      <c r="Z132" s="309"/>
      <c r="AA132" s="309"/>
      <c r="AD132" s="352"/>
      <c r="AE132" s="352"/>
    </row>
    <row r="133" spans="3:31" ht="14.25">
      <c r="C133" s="272" t="s">
        <v>189</v>
      </c>
      <c r="D133" s="275" t="e">
        <f ca="1">IF(D$102="","",HLOOKUP(D$102,$D$3:$AA$37,32,FALSE))</f>
        <v>#REF!</v>
      </c>
      <c r="E133" s="275" t="e">
        <f t="shared" ref="E133:AA133" ca="1" si="18">IF(E$102="","",HLOOKUP(E$102,$D$3:$AA$37,32,FALSE))</f>
        <v>#REF!</v>
      </c>
      <c r="F133" s="275" t="e">
        <f t="shared" ca="1" si="18"/>
        <v>#REF!</v>
      </c>
      <c r="G133" s="275" t="e">
        <f t="shared" ca="1" si="18"/>
        <v>#REF!</v>
      </c>
      <c r="H133" s="275" t="e">
        <f t="shared" ca="1" si="18"/>
        <v>#REF!</v>
      </c>
      <c r="I133" s="275" t="e">
        <f t="shared" ca="1" si="18"/>
        <v>#REF!</v>
      </c>
      <c r="J133" s="275" t="e">
        <f t="shared" ca="1" si="18"/>
        <v>#REF!</v>
      </c>
      <c r="K133" s="275" t="e">
        <f t="shared" ca="1" si="18"/>
        <v>#REF!</v>
      </c>
      <c r="L133" s="275" t="e">
        <f t="shared" ca="1" si="18"/>
        <v>#REF!</v>
      </c>
      <c r="M133" s="275" t="e">
        <f t="shared" ca="1" si="18"/>
        <v>#REF!</v>
      </c>
      <c r="N133" s="275" t="e">
        <f t="shared" ca="1" si="18"/>
        <v>#REF!</v>
      </c>
      <c r="O133" s="275" t="e">
        <f t="shared" ca="1" si="18"/>
        <v>#REF!</v>
      </c>
      <c r="P133" s="275" t="e">
        <f t="shared" ca="1" si="18"/>
        <v>#REF!</v>
      </c>
      <c r="Q133" s="275" t="e">
        <f t="shared" ca="1" si="18"/>
        <v>#REF!</v>
      </c>
      <c r="R133" s="275" t="e">
        <f t="shared" ca="1" si="18"/>
        <v>#REF!</v>
      </c>
      <c r="S133" s="275" t="e">
        <f t="shared" ca="1" si="18"/>
        <v>#REF!</v>
      </c>
      <c r="T133" s="275" t="e">
        <f t="shared" ca="1" si="18"/>
        <v>#REF!</v>
      </c>
      <c r="U133" s="275" t="e">
        <f t="shared" ca="1" si="18"/>
        <v>#REF!</v>
      </c>
      <c r="V133" s="275" t="e">
        <f t="shared" ca="1" si="18"/>
        <v>#REF!</v>
      </c>
      <c r="W133" s="275" t="e">
        <f t="shared" ca="1" si="18"/>
        <v>#REF!</v>
      </c>
      <c r="X133" s="275" t="e">
        <f t="shared" ca="1" si="18"/>
        <v>#REF!</v>
      </c>
      <c r="Y133" s="275" t="e">
        <f t="shared" ca="1" si="18"/>
        <v>#REF!</v>
      </c>
      <c r="Z133" s="275" t="e">
        <f t="shared" ca="1" si="18"/>
        <v>#REF!</v>
      </c>
      <c r="AA133" s="276" t="e">
        <f t="shared" ca="1" si="18"/>
        <v>#REF!</v>
      </c>
      <c r="AC133" s="353" t="s">
        <v>177</v>
      </c>
      <c r="AD133" s="924" t="s">
        <v>175</v>
      </c>
      <c r="AE133" s="925"/>
    </row>
    <row r="134" spans="3:31" ht="14.25" thickBot="1">
      <c r="C134" s="300" t="s">
        <v>190</v>
      </c>
      <c r="D134" s="278" t="e">
        <f ca="1">IF(D$102="","",HLOOKUP(D$102,$D$3:$AA$37,33,FALSE))</f>
        <v>#REF!</v>
      </c>
      <c r="E134" s="278" t="e">
        <f t="shared" ref="E134:AA134" ca="1" si="19">IF(E$102="","",HLOOKUP(E$102,$D$3:$AA$37,33,FALSE))</f>
        <v>#REF!</v>
      </c>
      <c r="F134" s="278" t="e">
        <f t="shared" ca="1" si="19"/>
        <v>#REF!</v>
      </c>
      <c r="G134" s="278" t="e">
        <f t="shared" ca="1" si="19"/>
        <v>#REF!</v>
      </c>
      <c r="H134" s="278" t="e">
        <f t="shared" ca="1" si="19"/>
        <v>#REF!</v>
      </c>
      <c r="I134" s="278" t="e">
        <f t="shared" ca="1" si="19"/>
        <v>#REF!</v>
      </c>
      <c r="J134" s="278" t="e">
        <f t="shared" ca="1" si="19"/>
        <v>#REF!</v>
      </c>
      <c r="K134" s="278" t="e">
        <f t="shared" ca="1" si="19"/>
        <v>#REF!</v>
      </c>
      <c r="L134" s="278" t="e">
        <f t="shared" ca="1" si="19"/>
        <v>#REF!</v>
      </c>
      <c r="M134" s="278" t="e">
        <f t="shared" ca="1" si="19"/>
        <v>#REF!</v>
      </c>
      <c r="N134" s="278" t="e">
        <f t="shared" ca="1" si="19"/>
        <v>#REF!</v>
      </c>
      <c r="O134" s="278" t="e">
        <f t="shared" ca="1" si="19"/>
        <v>#REF!</v>
      </c>
      <c r="P134" s="278" t="e">
        <f t="shared" ca="1" si="19"/>
        <v>#REF!</v>
      </c>
      <c r="Q134" s="278" t="e">
        <f t="shared" ca="1" si="19"/>
        <v>#REF!</v>
      </c>
      <c r="R134" s="278" t="e">
        <f t="shared" ca="1" si="19"/>
        <v>#REF!</v>
      </c>
      <c r="S134" s="278" t="e">
        <f t="shared" ca="1" si="19"/>
        <v>#REF!</v>
      </c>
      <c r="T134" s="278" t="e">
        <f t="shared" ca="1" si="19"/>
        <v>#REF!</v>
      </c>
      <c r="U134" s="278" t="e">
        <f t="shared" ca="1" si="19"/>
        <v>#REF!</v>
      </c>
      <c r="V134" s="278" t="e">
        <f t="shared" ca="1" si="19"/>
        <v>#REF!</v>
      </c>
      <c r="W134" s="278" t="e">
        <f t="shared" ca="1" si="19"/>
        <v>#REF!</v>
      </c>
      <c r="X134" s="278" t="e">
        <f t="shared" ca="1" si="19"/>
        <v>#REF!</v>
      </c>
      <c r="Y134" s="278" t="e">
        <f t="shared" ca="1" si="19"/>
        <v>#REF!</v>
      </c>
      <c r="Z134" s="278" t="e">
        <f t="shared" ca="1" si="19"/>
        <v>#REF!</v>
      </c>
      <c r="AA134" s="279" t="e">
        <f t="shared" ca="1" si="19"/>
        <v>#REF!</v>
      </c>
      <c r="AC134" s="926" t="s">
        <v>181</v>
      </c>
      <c r="AD134" s="302" t="str">
        <f ca="1">BlankError(COUNTIF(OFFSET($D$103,0,0,MAX($B$4:$B$27)/2,MAX($B$4:$B$27)/2),"&lt;2.5")/COUNT(OFFSET($D$103,0,0,MAX($B$4:$B$27)/2,MAX($B$4:$B$27)/2)))</f>
        <v/>
      </c>
      <c r="AE134" s="303" t="str">
        <f ca="1">BlankError(COUNTIF(OFFSET($D$103,0,MAX($B$4:$B$27)/2,MAX($B$4:$B$27)/2,MAX($B$4:$B$27)/2),"&lt;2.5")/COUNT(OFFSET($D$103,0,MAX($B$4:$B$27)/2,MAX($B$4:$B$27)/2,MAX($B$4:$B$27)/2)))</f>
        <v/>
      </c>
    </row>
    <row r="135" spans="3:31">
      <c r="C135" s="300" t="s">
        <v>191</v>
      </c>
      <c r="D135" s="278" t="e">
        <f ca="1">IF(D$102="","",HLOOKUP(D$102,$D$3:$AA$37,34,FALSE))</f>
        <v>#REF!</v>
      </c>
      <c r="E135" s="278" t="e">
        <f t="shared" ref="E135:AA135" ca="1" si="20">IF(E$102="","",HLOOKUP(E$102,$D$3:$AA$37,34,FALSE))</f>
        <v>#REF!</v>
      </c>
      <c r="F135" s="278" t="e">
        <f t="shared" ca="1" si="20"/>
        <v>#REF!</v>
      </c>
      <c r="G135" s="278" t="e">
        <f t="shared" ca="1" si="20"/>
        <v>#REF!</v>
      </c>
      <c r="H135" s="278" t="e">
        <f t="shared" ca="1" si="20"/>
        <v>#REF!</v>
      </c>
      <c r="I135" s="278" t="e">
        <f t="shared" ca="1" si="20"/>
        <v>#REF!</v>
      </c>
      <c r="J135" s="278" t="e">
        <f t="shared" ca="1" si="20"/>
        <v>#REF!</v>
      </c>
      <c r="K135" s="278" t="e">
        <f t="shared" ca="1" si="20"/>
        <v>#REF!</v>
      </c>
      <c r="L135" s="278" t="e">
        <f t="shared" ca="1" si="20"/>
        <v>#REF!</v>
      </c>
      <c r="M135" s="278" t="e">
        <f t="shared" ca="1" si="20"/>
        <v>#REF!</v>
      </c>
      <c r="N135" s="278" t="e">
        <f t="shared" ca="1" si="20"/>
        <v>#REF!</v>
      </c>
      <c r="O135" s="278" t="e">
        <f t="shared" ca="1" si="20"/>
        <v>#REF!</v>
      </c>
      <c r="P135" s="278" t="e">
        <f t="shared" ca="1" si="20"/>
        <v>#REF!</v>
      </c>
      <c r="Q135" s="278" t="e">
        <f t="shared" ca="1" si="20"/>
        <v>#REF!</v>
      </c>
      <c r="R135" s="278" t="e">
        <f t="shared" ca="1" si="20"/>
        <v>#REF!</v>
      </c>
      <c r="S135" s="278" t="e">
        <f t="shared" ca="1" si="20"/>
        <v>#REF!</v>
      </c>
      <c r="T135" s="278" t="e">
        <f t="shared" ca="1" si="20"/>
        <v>#REF!</v>
      </c>
      <c r="U135" s="278" t="e">
        <f t="shared" ca="1" si="20"/>
        <v>#REF!</v>
      </c>
      <c r="V135" s="278" t="e">
        <f t="shared" ca="1" si="20"/>
        <v>#REF!</v>
      </c>
      <c r="W135" s="278" t="e">
        <f t="shared" ca="1" si="20"/>
        <v>#REF!</v>
      </c>
      <c r="X135" s="278" t="e">
        <f t="shared" ca="1" si="20"/>
        <v>#REF!</v>
      </c>
      <c r="Y135" s="278" t="e">
        <f t="shared" ca="1" si="20"/>
        <v>#REF!</v>
      </c>
      <c r="Z135" s="278" t="e">
        <f t="shared" ca="1" si="20"/>
        <v>#REF!</v>
      </c>
      <c r="AA135" s="279" t="e">
        <f t="shared" ca="1" si="20"/>
        <v>#REF!</v>
      </c>
      <c r="AC135" s="927"/>
      <c r="AD135" s="307" t="str">
        <f ca="1">BlankError(COUNTIF(OFFSET($D$103,MAX($B$4:$B$27)/2,0,MAX($B$4:$B$27)/2,MAX($B$4:$B$27)/2),"&lt;2.5")/COUNT(OFFSET($D$103,MAX($B$4:$B$27)/2,0,MAX($B$4:$B$27)/2,MAX($B$4:$B$27)/2)))</f>
        <v/>
      </c>
      <c r="AE135" s="308" t="str">
        <f ca="1">BlankError(COUNTIF(OFFSET($D$103,MAX($B$4:$B$27)/2,MAX($B$4:$B$27)/2,MAX($B$4:$B$27)/2,MAX($B$4:$B$27)/2),"&lt;2.5")/COUNT(OFFSET($D$103,MAX($B$4:$B$27)/2,MAX($B$4:$B$27)/2,MAX($B$4:$B$27)/2,MAX($B$4:$B$27)/2)))</f>
        <v/>
      </c>
    </row>
    <row r="136" spans="3:31" ht="14.25">
      <c r="C136" s="223" t="str">
        <f>"Overall "&amp;$B$32&amp;" %"</f>
        <v>Overall Lo %</v>
      </c>
      <c r="D136" s="305" t="e">
        <f ca="1">IF(D$102="","",HLOOKUP(D$102,$D$3:$AA$37,35,FALSE))</f>
        <v>#REF!</v>
      </c>
      <c r="E136" s="305" t="e">
        <f t="shared" ref="E136:AA136" ca="1" si="21">IF(E$102="","",HLOOKUP(E$102,$D$3:$AA$37,35,FALSE))</f>
        <v>#REF!</v>
      </c>
      <c r="F136" s="305" t="e">
        <f t="shared" ca="1" si="21"/>
        <v>#REF!</v>
      </c>
      <c r="G136" s="305" t="e">
        <f t="shared" ca="1" si="21"/>
        <v>#REF!</v>
      </c>
      <c r="H136" s="305" t="e">
        <f t="shared" ca="1" si="21"/>
        <v>#REF!</v>
      </c>
      <c r="I136" s="305" t="e">
        <f t="shared" ca="1" si="21"/>
        <v>#REF!</v>
      </c>
      <c r="J136" s="305" t="e">
        <f t="shared" ca="1" si="21"/>
        <v>#REF!</v>
      </c>
      <c r="K136" s="305" t="e">
        <f t="shared" ca="1" si="21"/>
        <v>#REF!</v>
      </c>
      <c r="L136" s="305" t="e">
        <f t="shared" ca="1" si="21"/>
        <v>#REF!</v>
      </c>
      <c r="M136" s="305" t="e">
        <f t="shared" ca="1" si="21"/>
        <v>#REF!</v>
      </c>
      <c r="N136" s="305" t="e">
        <f t="shared" ca="1" si="21"/>
        <v>#REF!</v>
      </c>
      <c r="O136" s="305" t="e">
        <f t="shared" ca="1" si="21"/>
        <v>#REF!</v>
      </c>
      <c r="P136" s="305" t="e">
        <f t="shared" ca="1" si="21"/>
        <v>#REF!</v>
      </c>
      <c r="Q136" s="305" t="e">
        <f t="shared" ca="1" si="21"/>
        <v>#REF!</v>
      </c>
      <c r="R136" s="305" t="e">
        <f t="shared" ca="1" si="21"/>
        <v>#REF!</v>
      </c>
      <c r="S136" s="305" t="e">
        <f t="shared" ca="1" si="21"/>
        <v>#REF!</v>
      </c>
      <c r="T136" s="305" t="e">
        <f t="shared" ca="1" si="21"/>
        <v>#REF!</v>
      </c>
      <c r="U136" s="305" t="e">
        <f t="shared" ca="1" si="21"/>
        <v>#REF!</v>
      </c>
      <c r="V136" s="305" t="e">
        <f t="shared" ca="1" si="21"/>
        <v>#REF!</v>
      </c>
      <c r="W136" s="305" t="e">
        <f t="shared" ca="1" si="21"/>
        <v>#REF!</v>
      </c>
      <c r="X136" s="305" t="e">
        <f t="shared" ca="1" si="21"/>
        <v>#REF!</v>
      </c>
      <c r="Y136" s="305" t="e">
        <f t="shared" ca="1" si="21"/>
        <v>#REF!</v>
      </c>
      <c r="Z136" s="305" t="e">
        <f t="shared" ca="1" si="21"/>
        <v>#REF!</v>
      </c>
      <c r="AA136" s="350" t="e">
        <f t="shared" ca="1" si="21"/>
        <v>#REF!</v>
      </c>
    </row>
  </sheetData>
  <mergeCells count="14">
    <mergeCell ref="AC35:AC36"/>
    <mergeCell ref="B2:B3"/>
    <mergeCell ref="A4:A27"/>
    <mergeCell ref="AD30:AE30"/>
    <mergeCell ref="AC31:AC32"/>
    <mergeCell ref="AD34:AE34"/>
    <mergeCell ref="AD133:AE133"/>
    <mergeCell ref="AC134:AC135"/>
    <mergeCell ref="B42:B43"/>
    <mergeCell ref="A44:A67"/>
    <mergeCell ref="B72:B73"/>
    <mergeCell ref="A74:A97"/>
    <mergeCell ref="B101:B102"/>
    <mergeCell ref="AD129:AE129"/>
  </mergeCells>
  <phoneticPr fontId="21" type="noConversion"/>
  <conditionalFormatting sqref="D4:K27 M4:AA27 L4:L8 L10:L27">
    <cfRule type="expression" dxfId="200" priority="9" stopIfTrue="1">
      <formula>(D44&lt;&gt;"")*(((D44&gt;=-1.5)*(D44&lt;=-1))+((D44&gt;=1)*(D44&lt;=1.5)))</formula>
    </cfRule>
    <cfRule type="expression" dxfId="199" priority="10" stopIfTrue="1">
      <formula>(D44&lt;&gt;"")*((D44&lt;-1.5)+(D44&gt;1.5))</formula>
    </cfRule>
  </conditionalFormatting>
  <conditionalFormatting sqref="L9">
    <cfRule type="expression" dxfId="198" priority="7" stopIfTrue="1">
      <formula>(L49&lt;&gt;"")*(((L49&gt;=-1.5)*(L49&lt;=-1))+((L49&gt;=1)*(L49&lt;=1.5)))</formula>
    </cfRule>
    <cfRule type="expression" dxfId="197" priority="8" stopIfTrue="1">
      <formula>(L49&lt;&gt;"")*((L49&lt;-1.5)+(L49&gt;1.5))</formula>
    </cfRule>
  </conditionalFormatting>
  <conditionalFormatting sqref="D130:AA130 D31:AA31">
    <cfRule type="cellIs" dxfId="196" priority="6" stopIfTrue="1" operator="notEqual">
      <formula>AVERAGE(D4:D27)</formula>
    </cfRule>
  </conditionalFormatting>
  <conditionalFormatting sqref="AF103:AF127 AF4:AF27">
    <cfRule type="cellIs" dxfId="195" priority="5" stopIfTrue="1" operator="notEqual">
      <formula>AVERAGE(D4:AA4)</formula>
    </cfRule>
  </conditionalFormatting>
  <conditionalFormatting sqref="D44:AA67">
    <cfRule type="expression" dxfId="194" priority="3" stopIfTrue="1">
      <formula>(D74&lt;&gt;"")*(D74&gt;=0.5)</formula>
    </cfRule>
    <cfRule type="expression" dxfId="193" priority="4" stopIfTrue="1">
      <formula>(D74&lt;&gt;"")*(D74&lt;=-0.5)</formula>
    </cfRule>
  </conditionalFormatting>
  <conditionalFormatting sqref="D98:U9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74:AC9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G100"/>
  <sheetViews>
    <sheetView workbookViewId="0">
      <selection activeCell="O35" sqref="O35"/>
    </sheetView>
  </sheetViews>
  <sheetFormatPr defaultColWidth="4.125" defaultRowHeight="13.5"/>
  <cols>
    <col min="1" max="1" width="4.125" style="215" customWidth="1"/>
    <col min="2" max="2" width="15.75" style="215" customWidth="1"/>
    <col min="3" max="3" width="15.75" style="215" hidden="1" customWidth="1"/>
    <col min="4" max="4" width="5.875" style="215" customWidth="1"/>
    <col min="5" max="5" width="7" style="215" customWidth="1"/>
    <col min="6" max="15" width="5.875" style="215" bestFit="1" customWidth="1"/>
    <col min="16" max="16" width="5.625" style="215" customWidth="1"/>
    <col min="17" max="34" width="5.875" style="215" bestFit="1" customWidth="1"/>
    <col min="35" max="16384" width="4.125" style="215"/>
  </cols>
  <sheetData>
    <row r="1" spans="1:34" ht="14.25">
      <c r="A1" s="215" t="s">
        <v>128</v>
      </c>
      <c r="B1" s="215" t="str">
        <f>Table!B1</f>
        <v>Comp:</v>
      </c>
      <c r="D1" s="216" t="str">
        <f>Table!C1</f>
        <v>J2L</v>
      </c>
    </row>
    <row r="2" spans="1:34" ht="14.25">
      <c r="B2" s="215" t="str">
        <f>Table!B2</f>
        <v>Played:</v>
      </c>
      <c r="D2" s="216">
        <f ca="1">Table!D33</f>
        <v>464</v>
      </c>
    </row>
    <row r="3" spans="1:34" ht="15" thickBot="1">
      <c r="B3" s="215" t="str">
        <f>Table!B3</f>
        <v>No. of Team</v>
      </c>
      <c r="D3" s="216">
        <f>Table!C3</f>
        <v>22</v>
      </c>
    </row>
    <row r="4" spans="1:34" ht="14.25" thickBot="1">
      <c r="D4" s="943" t="s">
        <v>63</v>
      </c>
      <c r="E4" s="944"/>
      <c r="F4" s="944"/>
      <c r="G4" s="944"/>
      <c r="H4" s="944"/>
      <c r="I4" s="944"/>
      <c r="J4" s="944"/>
      <c r="K4" s="944"/>
      <c r="L4" s="944"/>
      <c r="M4" s="944"/>
      <c r="N4" s="944"/>
      <c r="O4" s="944"/>
      <c r="P4" s="945"/>
      <c r="Q4" s="946" t="s">
        <v>64</v>
      </c>
      <c r="R4" s="947"/>
      <c r="S4" s="947"/>
      <c r="T4" s="947"/>
      <c r="U4" s="948"/>
      <c r="V4" s="949" t="s">
        <v>65</v>
      </c>
      <c r="W4" s="950"/>
      <c r="X4" s="950"/>
      <c r="Y4" s="950"/>
      <c r="Z4" s="950"/>
      <c r="AA4" s="950"/>
      <c r="AB4" s="950"/>
      <c r="AC4" s="950"/>
      <c r="AD4" s="950"/>
      <c r="AE4" s="950"/>
      <c r="AF4" s="950"/>
      <c r="AG4" s="950"/>
      <c r="AH4" s="951"/>
    </row>
    <row r="5" spans="1:34" ht="15" thickBot="1">
      <c r="A5" s="217"/>
      <c r="B5" s="218" t="str">
        <f>Table!B37</f>
        <v>Team</v>
      </c>
      <c r="C5" s="219" t="s">
        <v>207</v>
      </c>
      <c r="D5" s="220" t="s">
        <v>158</v>
      </c>
      <c r="E5" s="221" t="s">
        <v>159</v>
      </c>
      <c r="F5" s="221" t="s">
        <v>129</v>
      </c>
      <c r="G5" s="221" t="s">
        <v>130</v>
      </c>
      <c r="H5" s="221" t="s">
        <v>157</v>
      </c>
      <c r="I5" s="221" t="s">
        <v>131</v>
      </c>
      <c r="J5" s="221" t="s">
        <v>132</v>
      </c>
      <c r="K5" s="221" t="s">
        <v>133</v>
      </c>
      <c r="L5" s="221" t="s">
        <v>134</v>
      </c>
      <c r="M5" s="221" t="s">
        <v>135</v>
      </c>
      <c r="N5" s="221" t="s">
        <v>136</v>
      </c>
      <c r="O5" s="221" t="s">
        <v>137</v>
      </c>
      <c r="P5" s="222" t="s">
        <v>138</v>
      </c>
      <c r="Q5" s="220" t="s">
        <v>139</v>
      </c>
      <c r="R5" s="221" t="s">
        <v>140</v>
      </c>
      <c r="S5" s="221" t="s">
        <v>141</v>
      </c>
      <c r="T5" s="221" t="s">
        <v>142</v>
      </c>
      <c r="U5" s="222" t="s">
        <v>143</v>
      </c>
      <c r="V5" s="220" t="s">
        <v>144</v>
      </c>
      <c r="W5" s="221" t="s">
        <v>145</v>
      </c>
      <c r="X5" s="221" t="s">
        <v>146</v>
      </c>
      <c r="Y5" s="221" t="s">
        <v>147</v>
      </c>
      <c r="Z5" s="221" t="s">
        <v>148</v>
      </c>
      <c r="AA5" s="221" t="s">
        <v>149</v>
      </c>
      <c r="AB5" s="221" t="s">
        <v>150</v>
      </c>
      <c r="AC5" s="221" t="s">
        <v>151</v>
      </c>
      <c r="AD5" s="221" t="s">
        <v>152</v>
      </c>
      <c r="AE5" s="221" t="s">
        <v>153</v>
      </c>
      <c r="AF5" s="221" t="s">
        <v>154</v>
      </c>
      <c r="AG5" s="221" t="s">
        <v>155</v>
      </c>
      <c r="AH5" s="222" t="s">
        <v>156</v>
      </c>
    </row>
    <row r="6" spans="1:34" ht="14.25">
      <c r="A6" s="223">
        <v>1</v>
      </c>
      <c r="B6" s="224" t="str">
        <f ca="1">IF($A6&gt;$D$3,"",VLOOKUP($A6,Table!$A$9:$C$30,2,FALSE))</f>
        <v>Shonan Bellmare</v>
      </c>
      <c r="C6" s="225" t="str">
        <f ca="1">IF($A6&gt;$D$3,"",VLOOKUP($A6,Table!$A$9:$C$30,3,FALSE))</f>
        <v>Shonan Bellmare</v>
      </c>
      <c r="D6" s="226">
        <f t="array" aca="1" ref="D6" ca="1">IF($C6="","",SUM(IF((INDIRECT("'"&amp;$C6&amp;"'!H23:H200")=$D$1)*(INDIRECT("'"&amp;$C6&amp;"'!H23:H200")="H")*(INDIRECT("'"&amp;$C6&amp;"'!K23:K200")="W")*(INDIRECT("'"&amp;$C6&amp;"'!I23:I200")=VALUE(LEFT(D$5,1)))*(INDIRECT("'"&amp;$C6&amp;"'!H23:H200")=VALUE(RIGHT(D$5,1))),1,0)))</f>
        <v>0</v>
      </c>
      <c r="E6" s="226">
        <f t="array" aca="1" ref="E6" ca="1">IF($C6="","",SUM(IF((INDIRECT("'"&amp;$C6&amp;"'!I23:I200")=$D$1)*(INDIRECT("'"&amp;$C6&amp;"'!H23:H200")="H")*(INDIRECT("'"&amp;$C6&amp;"'!L23:L200")="W")*(INDIRECT("'"&amp;$C6&amp;"'!J23:J200")=VALUE(LEFT(E$5,1)))*(INDIRECT("'"&amp;$C6&amp;"'!K23:K200")=VALUE(RIGHT(E$5,1))),1,0)))</f>
        <v>3</v>
      </c>
      <c r="F6" s="226">
        <f t="array" aca="1" ref="F6" ca="1">IF($C6="","",SUM(IF((INDIRECT("'"&amp;$C6&amp;"'!I23:I200")=$D$1)*(INDIRECT("'"&amp;$C6&amp;"'!H23:H200")="H")*(INDIRECT("'"&amp;$C6&amp;"'!L23:L200")="W")*(INDIRECT("'"&amp;$C6&amp;"'!J23:J200")=VALUE(LEFT(F$5,1)))*(INDIRECT("'"&amp;$C6&amp;"'!K23:K200")=VALUE(RIGHT(F$5,1))),1,0)))</f>
        <v>2</v>
      </c>
      <c r="G6" s="226">
        <f t="array" aca="1" ref="G6" ca="1">IF($C6="","",SUM(IF((INDIRECT("'"&amp;$C6&amp;"'!I23:I200")=$D$1)*(INDIRECT("'"&amp;$C6&amp;"'!H23:H200")="H")*(INDIRECT("'"&amp;$C6&amp;"'!L23:L200")="W")*(INDIRECT("'"&amp;$C6&amp;"'!J23:J200")=VALUE(LEFT(G$5,1)))*(INDIRECT("'"&amp;$C6&amp;"'!K23:K200")=VALUE(RIGHT(G$5,1))),1,0)))</f>
        <v>1</v>
      </c>
      <c r="H6" s="226">
        <f t="array" aca="1" ref="H6" ca="1">IF($C6="","",SUM(IF((INDIRECT("'"&amp;$C6&amp;"'!I23:I200")=$D$1)*(INDIRECT("'"&amp;$C6&amp;"'!H23:H200")="H")*(INDIRECT("'"&amp;$C6&amp;"'!L23:L200")="W")*(INDIRECT("'"&amp;$C6&amp;"'!J23:J200")=VALUE(LEFT(H$5,1)))*(INDIRECT("'"&amp;$C6&amp;"'!K23:K200")=VALUE(RIGHT(H$5,1))),1,0)))</f>
        <v>1</v>
      </c>
      <c r="I6" s="226">
        <f t="array" aca="1" ref="I6" ca="1">IF($C6="","",SUM(IF((INDIRECT("'"&amp;$C6&amp;"'!I23:I200")=$D$1)*(INDIRECT("'"&amp;$C6&amp;"'!H23:H200")="H")*(INDIRECT("'"&amp;$C6&amp;"'!L23:L200")="W")*(INDIRECT("'"&amp;$C6&amp;"'!J23:J200")=VALUE(LEFT(I$5,1)))*(INDIRECT("'"&amp;$C6&amp;"'!K23:K200")=VALUE(RIGHT(I$5,1))),1,0)))</f>
        <v>0</v>
      </c>
      <c r="J6" s="226">
        <f t="array" aca="1" ref="J6" ca="1">IF($C6="","",SUM(IF((INDIRECT("'"&amp;$C6&amp;"'!I23:I200")=$D$1)*(INDIRECT("'"&amp;$C6&amp;"'!H23:H200")="H")*(INDIRECT("'"&amp;$C6&amp;"'!L23:L200")="W")*(INDIRECT("'"&amp;$C6&amp;"'!J23:J200")=VALUE(LEFT(J$5,1)))*(INDIRECT("'"&amp;$C6&amp;"'!K23:K200")=VALUE(RIGHT(J$5,1))),1,0)))</f>
        <v>0</v>
      </c>
      <c r="K6" s="226">
        <f t="array" aca="1" ref="K6" ca="1">IF($C6="","",SUM(IF((INDIRECT("'"&amp;$C6&amp;"'!I23:I200")=$D$1)*(INDIRECT("'"&amp;$C6&amp;"'!H23:H200")="H")*(INDIRECT("'"&amp;$C6&amp;"'!L23:L200")="W")*(INDIRECT("'"&amp;$C6&amp;"'!J23:J200")=VALUE(LEFT(K$5,1)))*(INDIRECT("'"&amp;$C6&amp;"'!K23:K200")=VALUE(RIGHT(K$5,1))),1,0)))</f>
        <v>0</v>
      </c>
      <c r="L6" s="226">
        <f t="array" aca="1" ref="L6" ca="1">IF($C6="","",SUM(IF((INDIRECT("'"&amp;$C6&amp;"'!I23:I200")=$D$1)*(INDIRECT("'"&amp;$C6&amp;"'!H23:H200")="H")*(INDIRECT("'"&amp;$C6&amp;"'!L23:L200")="W")*(INDIRECT("'"&amp;$C6&amp;"'!J23:J200")=VALUE(LEFT(L$5,1)))*(INDIRECT("'"&amp;$C6&amp;"'!K23:K200")=VALUE(RIGHT(L$5,1))),1,0)))</f>
        <v>1</v>
      </c>
      <c r="M6" s="226">
        <f t="array" aca="1" ref="M6" ca="1">IF($C6="","",SUM(IF((INDIRECT("'"&amp;$C6&amp;"'!I23:I200")=$D$1)*(INDIRECT("'"&amp;$C6&amp;"'!H23:H200")="H")*(INDIRECT("'"&amp;$C6&amp;"'!L23:L200")="W")*(INDIRECT("'"&amp;$C6&amp;"'!J23:J200")=VALUE(LEFT(M$5,1)))*(INDIRECT("'"&amp;$C6&amp;"'!K23:K200")=VALUE(RIGHT(M$5,1))),1,0)))</f>
        <v>0</v>
      </c>
      <c r="N6" s="226">
        <f t="array" aca="1" ref="N6" ca="1">IF($C6="","",SUM(IF((INDIRECT("'"&amp;$C6&amp;"'!I23:I200")=$D$1)*(INDIRECT("'"&amp;$C6&amp;"'!H23:H200")="H")*(INDIRECT("'"&amp;$C6&amp;"'!L23:L200")="W")*(INDIRECT("'"&amp;$C6&amp;"'!J23:J200")=VALUE(LEFT(N$5,1)))*(INDIRECT("'"&amp;$C6&amp;"'!K23:K200")=VALUE(RIGHT(N$5,1))),1,0)))</f>
        <v>0</v>
      </c>
      <c r="O6" s="226">
        <f t="array" aca="1" ref="O6" ca="1">IF($C6="","",SUM(IF((INDIRECT("'"&amp;$C6&amp;"'!I23:I200")=$D$1)*(INDIRECT("'"&amp;$C6&amp;"'!H23:H200")="H")*(INDIRECT("'"&amp;$C6&amp;"'!L23:L200")="W")*(INDIRECT("'"&amp;$C6&amp;"'!J23:J200")=VALUE(LEFT(O$5,1)))*(INDIRECT("'"&amp;$C6&amp;"'!K23:K200")=VALUE(RIGHT(O$5,1))),1,0)))</f>
        <v>0</v>
      </c>
      <c r="P6" s="226">
        <f t="array" aca="1" ref="P6" ca="1">IF($C6="","",SUM(IF((INDIRECT("'"&amp;$C6&amp;"'!I23:I200")=$D$1)*(INDIRECT("'"&amp;$C6&amp;"'!H23:H200")="H")*(INDIRECT("'"&amp;$C6&amp;"'!L23:L200")="W"),1,0))-SUM(D6:O6))</f>
        <v>4</v>
      </c>
      <c r="Q6" s="226">
        <f t="array" aca="1" ref="Q6" ca="1">IF($C6="","",SUM(IF((INDIRECT("'"&amp;$C6&amp;"'!I23:I200")=$D$1)*(INDIRECT("'"&amp;$C6&amp;"'!H23:H200")="H")*(INDIRECT("'"&amp;$C6&amp;"'!L23:L200")="D")*(INDIRECT("'"&amp;$C6&amp;"'!J23:J200")=VALUE(LEFT(Q$5,1)))*(INDIRECT("'"&amp;$C6&amp;"'!K23:K200")=VALUE(RIGHT(Q$5,1))),1,0)))</f>
        <v>1</v>
      </c>
      <c r="R6" s="226">
        <f t="array" aca="1" ref="R6" ca="1">IF($C6="","",SUM(IF((INDIRECT("'"&amp;$C6&amp;"'!I23:I200")=$D$1)*(INDIRECT("'"&amp;$C6&amp;"'!H23:H200")="H")*(INDIRECT("'"&amp;$C6&amp;"'!L23:L200")="D")*(INDIRECT("'"&amp;$C6&amp;"'!J23:J200")=VALUE(LEFT(R$5,1)))*(INDIRECT("'"&amp;$C6&amp;"'!K23:K200")=VALUE(RIGHT(R$5,1))),1,0)))</f>
        <v>3</v>
      </c>
      <c r="S6" s="226">
        <f t="array" aca="1" ref="S6" ca="1">IF($C6="","",SUM(IF((INDIRECT("'"&amp;$C6&amp;"'!I23:I200")=$D$1)*(INDIRECT("'"&amp;$C6&amp;"'!H23:H200")="H")*(INDIRECT("'"&amp;$C6&amp;"'!L23:L200")="D")*(INDIRECT("'"&amp;$C6&amp;"'!J23:J200")=VALUE(LEFT(S$5,1)))*(INDIRECT("'"&amp;$C6&amp;"'!K23:K200")=VALUE(RIGHT(S$5,1))),1,0)))</f>
        <v>1</v>
      </c>
      <c r="T6" s="226">
        <f t="array" aca="1" ref="T6" ca="1">IF($C6="","",SUM(IF((INDIRECT("'"&amp;$C6&amp;"'!I23:I200")=$D$1)*(INDIRECT("'"&amp;$C6&amp;"'!H23:H200")="H")*(INDIRECT("'"&amp;$C6&amp;"'!L23:L200")="D")*(INDIRECT("'"&amp;$C6&amp;"'!J23:J200")=VALUE(LEFT(T$5,1)))*(INDIRECT("'"&amp;$C6&amp;"'!K23:K200")=VALUE(RIGHT(T$5,1))),1,0)))</f>
        <v>1</v>
      </c>
      <c r="U6" s="226">
        <f t="array" aca="1" ref="U6" ca="1">IF($C6="","",SUM(IF((INDIRECT("'"&amp;$C6&amp;"'!I23:I200")=$D$1)*(INDIRECT("'"&amp;$C6&amp;"'!H23:H200")="H")*(INDIRECT("'"&amp;$C6&amp;"'!L23:L200")="D"),1,0))-SUM(Q6:T6))</f>
        <v>0</v>
      </c>
      <c r="V6" s="226">
        <f t="array" aca="1" ref="V6" ca="1">IF($C6="","",SUM(IF((INDIRECT("'"&amp;$C6&amp;"'!I23:I200")=$D$1)*(INDIRECT("'"&amp;$C6&amp;"'!H23:H200")="H")*(INDIRECT("'"&amp;$C6&amp;"'!L23:L200")="L")*(INDIRECT("'"&amp;$C6&amp;"'!J23:J200")=VALUE(LEFT(V$5,1)))*(INDIRECT("'"&amp;$C6&amp;"'!K23:K200")=VALUE(RIGHT(V$5,1))),1,0)))</f>
        <v>2</v>
      </c>
      <c r="W6" s="226">
        <f t="array" aca="1" ref="W6" ca="1">IF($C6="","",SUM(IF((INDIRECT("'"&amp;$C6&amp;"'!I23:I200")=$D$1)*(INDIRECT("'"&amp;$C6&amp;"'!H23:H200")="H")*(INDIRECT("'"&amp;$C6&amp;"'!L23:L200")="L")*(INDIRECT("'"&amp;$C6&amp;"'!J23:J200")=VALUE(LEFT(W$5,1)))*(INDIRECT("'"&amp;$C6&amp;"'!K23:K200")=VALUE(RIGHT(W$5,1))),1,0)))</f>
        <v>0</v>
      </c>
      <c r="X6" s="226">
        <f t="array" aca="1" ref="X6" ca="1">IF($C6="","",SUM(IF((INDIRECT("'"&amp;$C6&amp;"'!I23:I200")=$D$1)*(INDIRECT("'"&amp;$C6&amp;"'!H23:H200")="H")*(INDIRECT("'"&amp;$C6&amp;"'!L23:L200")="L")*(INDIRECT("'"&amp;$C6&amp;"'!J23:J200")=VALUE(LEFT(X$5,1)))*(INDIRECT("'"&amp;$C6&amp;"'!K23:K200")=VALUE(RIGHT(X$5,1))),1,0)))</f>
        <v>0</v>
      </c>
      <c r="Y6" s="226">
        <f t="array" aca="1" ref="Y6" ca="1">IF($C6="","",SUM(IF((INDIRECT("'"&amp;$C6&amp;"'!I23:I200")=$D$1)*(INDIRECT("'"&amp;$C6&amp;"'!H23:H200")="H")*(INDIRECT("'"&amp;$C6&amp;"'!L23:L200")="L")*(INDIRECT("'"&amp;$C6&amp;"'!J23:J200")=VALUE(LEFT(Y$5,1)))*(INDIRECT("'"&amp;$C6&amp;"'!K23:K200")=VALUE(RIGHT(Y$5,1))),1,0)))</f>
        <v>1</v>
      </c>
      <c r="Z6" s="226">
        <f t="array" aca="1" ref="Z6" ca="1">IF($C6="","",SUM(IF((INDIRECT("'"&amp;$C6&amp;"'!I23:I200")=$D$1)*(INDIRECT("'"&amp;$C6&amp;"'!H23:H200")="H")*(INDIRECT("'"&amp;$C6&amp;"'!L23:L200")="L")*(INDIRECT("'"&amp;$C6&amp;"'!J23:J200")=VALUE(LEFT(Z$5,1)))*(INDIRECT("'"&amp;$C6&amp;"'!K23:K200")=VALUE(RIGHT(Z$5,1))),1,0)))</f>
        <v>0</v>
      </c>
      <c r="AA6" s="226">
        <f t="array" aca="1" ref="AA6" ca="1">IF($C6="","",SUM(IF((INDIRECT("'"&amp;$C6&amp;"'!I23:I200")=$D$1)*(INDIRECT("'"&amp;$C6&amp;"'!H23:H200")="H")*(INDIRECT("'"&amp;$C6&amp;"'!L23:L200")="L")*(INDIRECT("'"&amp;$C6&amp;"'!J23:J200")=VALUE(LEFT(AA$5,1)))*(INDIRECT("'"&amp;$C6&amp;"'!K23:K200")=VALUE(RIGHT(AA$5,1))),1,0)))</f>
        <v>0</v>
      </c>
      <c r="AB6" s="226">
        <f t="array" aca="1" ref="AB6" ca="1">IF($C6="","",SUM(IF((INDIRECT("'"&amp;$C6&amp;"'!I23:I200")=$D$1)*(INDIRECT("'"&amp;$C6&amp;"'!H23:H200")="H")*(INDIRECT("'"&amp;$C6&amp;"'!L23:L200")="L")*(INDIRECT("'"&amp;$C6&amp;"'!J23:J200")=VALUE(LEFT(AB$5,1)))*(INDIRECT("'"&amp;$C6&amp;"'!K23:K200")=VALUE(RIGHT(AB$5,1))),1,0)))</f>
        <v>0</v>
      </c>
      <c r="AC6" s="226">
        <f t="array" aca="1" ref="AC6" ca="1">IF($C6="","",SUM(IF((INDIRECT("'"&amp;$C6&amp;"'!I23:I200")=$D$1)*(INDIRECT("'"&amp;$C6&amp;"'!H23:H200")="H")*(INDIRECT("'"&amp;$C6&amp;"'!L23:L200")="L")*(INDIRECT("'"&amp;$C6&amp;"'!J23:J200")=VALUE(LEFT(AC$5,1)))*(INDIRECT("'"&amp;$C6&amp;"'!K23:K200")=VALUE(RIGHT(AC$5,1))),1,0)))</f>
        <v>0</v>
      </c>
      <c r="AD6" s="226">
        <f t="array" aca="1" ref="AD6" ca="1">IF($C6="","",SUM(IF((INDIRECT("'"&amp;$C6&amp;"'!I23:I200")=$D$1)*(INDIRECT("'"&amp;$C6&amp;"'!H23:H200")="H")*(INDIRECT("'"&amp;$C6&amp;"'!L23:L200")="L")*(INDIRECT("'"&amp;$C6&amp;"'!J23:J200")=VALUE(LEFT(AD$5,1)))*(INDIRECT("'"&amp;$C6&amp;"'!K23:K200")=VALUE(RIGHT(AD$5,1))),1,0)))</f>
        <v>0</v>
      </c>
      <c r="AE6" s="226">
        <f t="array" aca="1" ref="AE6" ca="1">IF($C6="","",SUM(IF((INDIRECT("'"&amp;$C6&amp;"'!I23:I200")=$D$1)*(INDIRECT("'"&amp;$C6&amp;"'!H23:H200")="H")*(INDIRECT("'"&amp;$C6&amp;"'!L23:L200")="L")*(INDIRECT("'"&amp;$C6&amp;"'!J23:J200")=VALUE(LEFT(AE$5,1)))*(INDIRECT("'"&amp;$C6&amp;"'!K23:K200")=VALUE(RIGHT(AE$5,1))),1,0)))</f>
        <v>0</v>
      </c>
      <c r="AF6" s="226">
        <f t="array" aca="1" ref="AF6" ca="1">IF($C6="","",SUM(IF((INDIRECT("'"&amp;$C6&amp;"'!I23:I200")=$D$1)*(INDIRECT("'"&amp;$C6&amp;"'!H23:H200")="H")*(INDIRECT("'"&amp;$C6&amp;"'!L23:L200")="L")*(INDIRECT("'"&amp;$C6&amp;"'!J23:J200")=VALUE(LEFT(AF$5,1)))*(INDIRECT("'"&amp;$C6&amp;"'!K23:K200")=VALUE(RIGHT(AF$5,1))),1,0)))</f>
        <v>0</v>
      </c>
      <c r="AG6" s="226">
        <f t="array" aca="1" ref="AG6" ca="1">IF($C6="","",SUM(IF((INDIRECT("'"&amp;$C6&amp;"'!I23:I200")=$D$1)*(INDIRECT("'"&amp;$C6&amp;"'!H23:H200")="H")*(INDIRECT("'"&amp;$C6&amp;"'!L23:L200")="L")*(INDIRECT("'"&amp;$C6&amp;"'!J23:J200")=VALUE(LEFT(AG$5,1)))*(INDIRECT("'"&amp;$C6&amp;"'!K23:K200")=VALUE(RIGHT(AG$5,1))),1,0)))</f>
        <v>0</v>
      </c>
      <c r="AH6" s="227">
        <f t="array" aca="1" ref="AH6" ca="1">IF($C6="","",SUM(IF((INDIRECT("'"&amp;$C6&amp;"'!I23:I200")=$D$1)*(INDIRECT("'"&amp;$C6&amp;"'!H23:H200")="H")*(INDIRECT("'"&amp;$C6&amp;"'!L23:L200")="L"),1,0))-SUM(V6:AG6))</f>
        <v>0</v>
      </c>
    </row>
    <row r="7" spans="1:34" ht="14.25">
      <c r="A7" s="228">
        <v>2</v>
      </c>
      <c r="B7" s="229" t="str">
        <f ca="1">IF($A7&gt;$D$3,"",VLOOKUP($A7,Table!$A$9:$C$30,2,FALSE))</f>
        <v>V-Varen Nagasaki</v>
      </c>
      <c r="C7" s="225" t="str">
        <f ca="1">IF($A7&gt;$D$3,"",VLOOKUP($A7,Table!$A$9:$C$30,3,FALSE))</f>
        <v>V-Varen Nagasaki</v>
      </c>
      <c r="D7" s="226">
        <f t="array" aca="1" ref="D7" ca="1">IF($C7="","",SUM(IF((INDIRECT("'"&amp;$C7&amp;"'!H23:H200")=$D$1)*(INDIRECT("'"&amp;$C7&amp;"'!H23:H200")="H")*(INDIRECT("'"&amp;$C7&amp;"'!K23:K200")="W")*(INDIRECT("'"&amp;$C7&amp;"'!I23:I200")=VALUE(LEFT(D$5,1)))*(INDIRECT("'"&amp;$C7&amp;"'!H23:H200")=VALUE(RIGHT(D$5,1))),1,0)))</f>
        <v>0</v>
      </c>
      <c r="E7" s="226">
        <f t="array" aca="1" ref="E7" ca="1">IF($C7="","",SUM(IF((INDIRECT("'"&amp;$C7&amp;"'!I23:I200")=$D$1)*(INDIRECT("'"&amp;$C7&amp;"'!H23:H200")="H")*(INDIRECT("'"&amp;$C7&amp;"'!L23:L200")="W")*(INDIRECT("'"&amp;$C7&amp;"'!J23:J200")=VALUE(LEFT(E$5,1)))*(INDIRECT("'"&amp;$C7&amp;"'!K23:K200")=VALUE(RIGHT(E$5,1))),1,0)))</f>
        <v>2</v>
      </c>
      <c r="F7" s="226">
        <f t="array" aca="1" ref="F7" ca="1">IF($C7="","",SUM(IF((INDIRECT("'"&amp;$C7&amp;"'!I23:I200")=$D$1)*(INDIRECT("'"&amp;$C7&amp;"'!H23:H200")="H")*(INDIRECT("'"&amp;$C7&amp;"'!L23:L200")="W")*(INDIRECT("'"&amp;$C7&amp;"'!J23:J200")=VALUE(LEFT(F$5,1)))*(INDIRECT("'"&amp;$C7&amp;"'!K23:K200")=VALUE(RIGHT(F$5,1))),1,0)))</f>
        <v>6</v>
      </c>
      <c r="G7" s="226">
        <f t="array" aca="1" ref="G7" ca="1">IF($C7="","",SUM(IF((INDIRECT("'"&amp;$C7&amp;"'!I23:I200")=$D$1)*(INDIRECT("'"&amp;$C7&amp;"'!H23:H200")="H")*(INDIRECT("'"&amp;$C7&amp;"'!L23:L200")="W")*(INDIRECT("'"&amp;$C7&amp;"'!J23:J200")=VALUE(LEFT(G$5,1)))*(INDIRECT("'"&amp;$C7&amp;"'!K23:K200")=VALUE(RIGHT(G$5,1))),1,0)))</f>
        <v>1</v>
      </c>
      <c r="H7" s="226">
        <f t="array" aca="1" ref="H7" ca="1">IF($C7="","",SUM(IF((INDIRECT("'"&amp;$C7&amp;"'!I23:I200")=$D$1)*(INDIRECT("'"&amp;$C7&amp;"'!H23:H200")="H")*(INDIRECT("'"&amp;$C7&amp;"'!L23:L200")="W")*(INDIRECT("'"&amp;$C7&amp;"'!J23:J200")=VALUE(LEFT(H$5,1)))*(INDIRECT("'"&amp;$C7&amp;"'!K23:K200")=VALUE(RIGHT(H$5,1))),1,0)))</f>
        <v>1</v>
      </c>
      <c r="I7" s="226">
        <f t="array" aca="1" ref="I7" ca="1">IF($C7="","",SUM(IF((INDIRECT("'"&amp;$C7&amp;"'!I23:I200")=$D$1)*(INDIRECT("'"&amp;$C7&amp;"'!H23:H200")="H")*(INDIRECT("'"&amp;$C7&amp;"'!L23:L200")="W")*(INDIRECT("'"&amp;$C7&amp;"'!J23:J200")=VALUE(LEFT(I$5,1)))*(INDIRECT("'"&amp;$C7&amp;"'!K23:K200")=VALUE(RIGHT(I$5,1))),1,0)))</f>
        <v>0</v>
      </c>
      <c r="J7" s="226">
        <f t="array" aca="1" ref="J7" ca="1">IF($C7="","",SUM(IF((INDIRECT("'"&amp;$C7&amp;"'!I23:I200")=$D$1)*(INDIRECT("'"&amp;$C7&amp;"'!H23:H200")="H")*(INDIRECT("'"&amp;$C7&amp;"'!L23:L200")="W")*(INDIRECT("'"&amp;$C7&amp;"'!J23:J200")=VALUE(LEFT(J$5,1)))*(INDIRECT("'"&amp;$C7&amp;"'!K23:K200")=VALUE(RIGHT(J$5,1))),1,0)))</f>
        <v>1</v>
      </c>
      <c r="K7" s="226">
        <f t="array" aca="1" ref="K7" ca="1">IF($C7="","",SUM(IF((INDIRECT("'"&amp;$C7&amp;"'!I23:I200")=$D$1)*(INDIRECT("'"&amp;$C7&amp;"'!H23:H200")="H")*(INDIRECT("'"&amp;$C7&amp;"'!L23:L200")="W")*(INDIRECT("'"&amp;$C7&amp;"'!J23:J200")=VALUE(LEFT(K$5,1)))*(INDIRECT("'"&amp;$C7&amp;"'!K23:K200")=VALUE(RIGHT(K$5,1))),1,0)))</f>
        <v>0</v>
      </c>
      <c r="L7" s="226">
        <f t="array" aca="1" ref="L7" ca="1">IF($C7="","",SUM(IF((INDIRECT("'"&amp;$C7&amp;"'!I23:I200")=$D$1)*(INDIRECT("'"&amp;$C7&amp;"'!H23:H200")="H")*(INDIRECT("'"&amp;$C7&amp;"'!L23:L200")="W")*(INDIRECT("'"&amp;$C7&amp;"'!J23:J200")=VALUE(LEFT(L$5,1)))*(INDIRECT("'"&amp;$C7&amp;"'!K23:K200")=VALUE(RIGHT(L$5,1))),1,0)))</f>
        <v>0</v>
      </c>
      <c r="M7" s="226">
        <f t="array" aca="1" ref="M7" ca="1">IF($C7="","",SUM(IF((INDIRECT("'"&amp;$C7&amp;"'!I23:I200")=$D$1)*(INDIRECT("'"&amp;$C7&amp;"'!H23:H200")="H")*(INDIRECT("'"&amp;$C7&amp;"'!L23:L200")="W")*(INDIRECT("'"&amp;$C7&amp;"'!J23:J200")=VALUE(LEFT(M$5,1)))*(INDIRECT("'"&amp;$C7&amp;"'!K23:K200")=VALUE(RIGHT(M$5,1))),1,0)))</f>
        <v>0</v>
      </c>
      <c r="N7" s="226">
        <f t="array" aca="1" ref="N7" ca="1">IF($C7="","",SUM(IF((INDIRECT("'"&amp;$C7&amp;"'!I23:I200")=$D$1)*(INDIRECT("'"&amp;$C7&amp;"'!H23:H200")="H")*(INDIRECT("'"&amp;$C7&amp;"'!L23:L200")="W")*(INDIRECT("'"&amp;$C7&amp;"'!J23:J200")=VALUE(LEFT(N$5,1)))*(INDIRECT("'"&amp;$C7&amp;"'!K23:K200")=VALUE(RIGHT(N$5,1))),1,0)))</f>
        <v>0</v>
      </c>
      <c r="O7" s="226">
        <f t="array" aca="1" ref="O7" ca="1">IF($C7="","",SUM(IF((INDIRECT("'"&amp;$C7&amp;"'!I23:I200")=$D$1)*(INDIRECT("'"&amp;$C7&amp;"'!H23:H200")="H")*(INDIRECT("'"&amp;$C7&amp;"'!L23:L200")="W")*(INDIRECT("'"&amp;$C7&amp;"'!J23:J200")=VALUE(LEFT(O$5,1)))*(INDIRECT("'"&amp;$C7&amp;"'!K23:K200")=VALUE(RIGHT(O$5,1))),1,0)))</f>
        <v>0</v>
      </c>
      <c r="P7" s="226">
        <f t="array" aca="1" ref="P7" ca="1">IF($C7="","",SUM(IF((INDIRECT("'"&amp;$C7&amp;"'!I23:I200")=$D$1)*(INDIRECT("'"&amp;$C7&amp;"'!H23:H200")="H")*(INDIRECT("'"&amp;$C7&amp;"'!L23:L200")="W"),1,0))-SUM(D7:O7))</f>
        <v>4</v>
      </c>
      <c r="Q7" s="226">
        <f t="array" aca="1" ref="Q7" ca="1">IF($C7="","",SUM(IF((INDIRECT("'"&amp;$C7&amp;"'!I23:I200")=$D$1)*(INDIRECT("'"&amp;$C7&amp;"'!H23:H200")="H")*(INDIRECT("'"&amp;$C7&amp;"'!L23:L200")="D")*(INDIRECT("'"&amp;$C7&amp;"'!J23:J200")=VALUE(LEFT(Q$5,1)))*(INDIRECT("'"&amp;$C7&amp;"'!K23:K200")=VALUE(RIGHT(Q$5,1))),1,0)))</f>
        <v>2</v>
      </c>
      <c r="R7" s="226">
        <f t="array" aca="1" ref="R7" ca="1">IF($C7="","",SUM(IF((INDIRECT("'"&amp;$C7&amp;"'!I23:I200")=$D$1)*(INDIRECT("'"&amp;$C7&amp;"'!H23:H200")="H")*(INDIRECT("'"&amp;$C7&amp;"'!L23:L200")="D")*(INDIRECT("'"&amp;$C7&amp;"'!J23:J200")=VALUE(LEFT(R$5,1)))*(INDIRECT("'"&amp;$C7&amp;"'!K23:K200")=VALUE(RIGHT(R$5,1))),1,0)))</f>
        <v>2</v>
      </c>
      <c r="S7" s="226">
        <f t="array" aca="1" ref="S7" ca="1">IF($C7="","",SUM(IF((INDIRECT("'"&amp;$C7&amp;"'!I23:I200")=$D$1)*(INDIRECT("'"&amp;$C7&amp;"'!H23:H200")="H")*(INDIRECT("'"&amp;$C7&amp;"'!L23:L200")="D")*(INDIRECT("'"&amp;$C7&amp;"'!J23:J200")=VALUE(LEFT(S$5,1)))*(INDIRECT("'"&amp;$C7&amp;"'!K23:K200")=VALUE(RIGHT(S$5,1))),1,0)))</f>
        <v>0</v>
      </c>
      <c r="T7" s="226">
        <f t="array" aca="1" ref="T7" ca="1">IF($C7="","",SUM(IF((INDIRECT("'"&amp;$C7&amp;"'!I23:I200")=$D$1)*(INDIRECT("'"&amp;$C7&amp;"'!H23:H200")="H")*(INDIRECT("'"&amp;$C7&amp;"'!L23:L200")="D")*(INDIRECT("'"&amp;$C7&amp;"'!J23:J200")=VALUE(LEFT(T$5,1)))*(INDIRECT("'"&amp;$C7&amp;"'!K23:K200")=VALUE(RIGHT(T$5,1))),1,0)))</f>
        <v>0</v>
      </c>
      <c r="U7" s="226">
        <f t="array" aca="1" ref="U7" ca="1">IF($C7="","",SUM(IF((INDIRECT("'"&amp;$C7&amp;"'!I23:I200")=$D$1)*(INDIRECT("'"&amp;$C7&amp;"'!H23:H200")="H")*(INDIRECT("'"&amp;$C7&amp;"'!L23:L200")="D"),1,0))-SUM(Q7:T7))</f>
        <v>0</v>
      </c>
      <c r="V7" s="226">
        <f t="array" aca="1" ref="V7" ca="1">IF($C7="","",SUM(IF((INDIRECT("'"&amp;$C7&amp;"'!I23:I200")=$D$1)*(INDIRECT("'"&amp;$C7&amp;"'!H23:H200")="H")*(INDIRECT("'"&amp;$C7&amp;"'!L23:L200")="L")*(INDIRECT("'"&amp;$C7&amp;"'!J23:J200")=VALUE(LEFT(V$5,1)))*(INDIRECT("'"&amp;$C7&amp;"'!K23:K200")=VALUE(RIGHT(V$5,1))),1,0)))</f>
        <v>1</v>
      </c>
      <c r="W7" s="226">
        <f t="array" aca="1" ref="W7" ca="1">IF($C7="","",SUM(IF((INDIRECT("'"&amp;$C7&amp;"'!I23:I200")=$D$1)*(INDIRECT("'"&amp;$C7&amp;"'!H23:H200")="H")*(INDIRECT("'"&amp;$C7&amp;"'!L23:L200")="L")*(INDIRECT("'"&amp;$C7&amp;"'!J23:J200")=VALUE(LEFT(W$5,1)))*(INDIRECT("'"&amp;$C7&amp;"'!K23:K200")=VALUE(RIGHT(W$5,1))),1,0)))</f>
        <v>1</v>
      </c>
      <c r="X7" s="226">
        <f t="array" aca="1" ref="X7" ca="1">IF($C7="","",SUM(IF((INDIRECT("'"&amp;$C7&amp;"'!I23:I200")=$D$1)*(INDIRECT("'"&amp;$C7&amp;"'!H23:H200")="H")*(INDIRECT("'"&amp;$C7&amp;"'!L23:L200")="L")*(INDIRECT("'"&amp;$C7&amp;"'!J23:J200")=VALUE(LEFT(X$5,1)))*(INDIRECT("'"&amp;$C7&amp;"'!K23:K200")=VALUE(RIGHT(X$5,1))),1,0)))</f>
        <v>0</v>
      </c>
      <c r="Y7" s="226">
        <f t="array" aca="1" ref="Y7" ca="1">IF($C7="","",SUM(IF((INDIRECT("'"&amp;$C7&amp;"'!I23:I200")=$D$1)*(INDIRECT("'"&amp;$C7&amp;"'!H23:H200")="H")*(INDIRECT("'"&amp;$C7&amp;"'!L23:L200")="L")*(INDIRECT("'"&amp;$C7&amp;"'!J23:J200")=VALUE(LEFT(Y$5,1)))*(INDIRECT("'"&amp;$C7&amp;"'!K23:K200")=VALUE(RIGHT(Y$5,1))),1,0)))</f>
        <v>0</v>
      </c>
      <c r="Z7" s="226">
        <f t="array" aca="1" ref="Z7" ca="1">IF($C7="","",SUM(IF((INDIRECT("'"&amp;$C7&amp;"'!I23:I200")=$D$1)*(INDIRECT("'"&amp;$C7&amp;"'!H23:H200")="H")*(INDIRECT("'"&amp;$C7&amp;"'!L23:L200")="L")*(INDIRECT("'"&amp;$C7&amp;"'!J23:J200")=VALUE(LEFT(Z$5,1)))*(INDIRECT("'"&amp;$C7&amp;"'!K23:K200")=VALUE(RIGHT(Z$5,1))),1,0)))</f>
        <v>0</v>
      </c>
      <c r="AA7" s="226">
        <f t="array" aca="1" ref="AA7" ca="1">IF($C7="","",SUM(IF((INDIRECT("'"&amp;$C7&amp;"'!I23:I200")=$D$1)*(INDIRECT("'"&amp;$C7&amp;"'!H23:H200")="H")*(INDIRECT("'"&amp;$C7&amp;"'!L23:L200")="L")*(INDIRECT("'"&amp;$C7&amp;"'!J23:J200")=VALUE(LEFT(AA$5,1)))*(INDIRECT("'"&amp;$C7&amp;"'!K23:K200")=VALUE(RIGHT(AA$5,1))),1,0)))</f>
        <v>0</v>
      </c>
      <c r="AB7" s="226">
        <f t="array" aca="1" ref="AB7" ca="1">IF($C7="","",SUM(IF((INDIRECT("'"&amp;$C7&amp;"'!I23:I200")=$D$1)*(INDIRECT("'"&amp;$C7&amp;"'!H23:H200")="H")*(INDIRECT("'"&amp;$C7&amp;"'!L23:L200")="L")*(INDIRECT("'"&amp;$C7&amp;"'!J23:J200")=VALUE(LEFT(AB$5,1)))*(INDIRECT("'"&amp;$C7&amp;"'!K23:K200")=VALUE(RIGHT(AB$5,1))),1,0)))</f>
        <v>0</v>
      </c>
      <c r="AC7" s="226">
        <f t="array" aca="1" ref="AC7" ca="1">IF($C7="","",SUM(IF((INDIRECT("'"&amp;$C7&amp;"'!I23:I200")=$D$1)*(INDIRECT("'"&amp;$C7&amp;"'!H23:H200")="H")*(INDIRECT("'"&amp;$C7&amp;"'!L23:L200")="L")*(INDIRECT("'"&amp;$C7&amp;"'!J23:J200")=VALUE(LEFT(AC$5,1)))*(INDIRECT("'"&amp;$C7&amp;"'!K23:K200")=VALUE(RIGHT(AC$5,1))),1,0)))</f>
        <v>0</v>
      </c>
      <c r="AD7" s="226">
        <f t="array" aca="1" ref="AD7" ca="1">IF($C7="","",SUM(IF((INDIRECT("'"&amp;$C7&amp;"'!I23:I200")=$D$1)*(INDIRECT("'"&amp;$C7&amp;"'!H23:H200")="H")*(INDIRECT("'"&amp;$C7&amp;"'!L23:L200")="L")*(INDIRECT("'"&amp;$C7&amp;"'!J23:J200")=VALUE(LEFT(AD$5,1)))*(INDIRECT("'"&amp;$C7&amp;"'!K23:K200")=VALUE(RIGHT(AD$5,1))),1,0)))</f>
        <v>0</v>
      </c>
      <c r="AE7" s="226">
        <f t="array" aca="1" ref="AE7" ca="1">IF($C7="","",SUM(IF((INDIRECT("'"&amp;$C7&amp;"'!I23:I200")=$D$1)*(INDIRECT("'"&amp;$C7&amp;"'!H23:H200")="H")*(INDIRECT("'"&amp;$C7&amp;"'!L23:L200")="L")*(INDIRECT("'"&amp;$C7&amp;"'!J23:J200")=VALUE(LEFT(AE$5,1)))*(INDIRECT("'"&amp;$C7&amp;"'!K23:K200")=VALUE(RIGHT(AE$5,1))),1,0)))</f>
        <v>0</v>
      </c>
      <c r="AF7" s="226">
        <f t="array" aca="1" ref="AF7" ca="1">IF($C7="","",SUM(IF((INDIRECT("'"&amp;$C7&amp;"'!I23:I200")=$D$1)*(INDIRECT("'"&amp;$C7&amp;"'!H23:H200")="H")*(INDIRECT("'"&amp;$C7&amp;"'!L23:L200")="L")*(INDIRECT("'"&amp;$C7&amp;"'!J23:J200")=VALUE(LEFT(AF$5,1)))*(INDIRECT("'"&amp;$C7&amp;"'!K23:K200")=VALUE(RIGHT(AF$5,1))),1,0)))</f>
        <v>0</v>
      </c>
      <c r="AG7" s="226">
        <f t="array" aca="1" ref="AG7" ca="1">IF($C7="","",SUM(IF((INDIRECT("'"&amp;$C7&amp;"'!I23:I200")=$D$1)*(INDIRECT("'"&amp;$C7&amp;"'!H23:H200")="H")*(INDIRECT("'"&amp;$C7&amp;"'!L23:L200")="L")*(INDIRECT("'"&amp;$C7&amp;"'!J23:J200")=VALUE(LEFT(AG$5,1)))*(INDIRECT("'"&amp;$C7&amp;"'!K23:K200")=VALUE(RIGHT(AG$5,1))),1,0)))</f>
        <v>0</v>
      </c>
      <c r="AH7" s="227">
        <f t="array" aca="1" ref="AH7" ca="1">IF($C7="","",SUM(IF((INDIRECT("'"&amp;$C7&amp;"'!I23:I200")=$D$1)*(INDIRECT("'"&amp;$C7&amp;"'!H23:H200")="H")*(INDIRECT("'"&amp;$C7&amp;"'!L23:L200")="L"),1,0))-SUM(V7:AG7))</f>
        <v>0</v>
      </c>
    </row>
    <row r="8" spans="1:34" ht="14.25">
      <c r="A8" s="228">
        <v>3</v>
      </c>
      <c r="B8" s="229" t="str">
        <f ca="1">IF($A8&gt;$D$3,"",VLOOKUP($A8,Table!$A$9:$C$30,2,FALSE))</f>
        <v>Nagoya Grampus</v>
      </c>
      <c r="C8" s="225" t="str">
        <f ca="1">IF($A8&gt;$D$3,"",VLOOKUP($A8,Table!$A$9:$C$30,3,FALSE))</f>
        <v>Nagoya Grampus</v>
      </c>
      <c r="D8" s="226">
        <f t="array" aca="1" ref="D8" ca="1">IF($C8="","",SUM(IF((INDIRECT("'"&amp;$C8&amp;"'!H23:H200")=$D$1)*(INDIRECT("'"&amp;$C8&amp;"'!H23:H200")="H")*(INDIRECT("'"&amp;$C8&amp;"'!K23:K200")="W")*(INDIRECT("'"&amp;$C8&amp;"'!I23:I200")=VALUE(LEFT(D$5,1)))*(INDIRECT("'"&amp;$C8&amp;"'!H23:H200")=VALUE(RIGHT(D$5,1))),1,0)))</f>
        <v>0</v>
      </c>
      <c r="E8" s="226">
        <f t="array" aca="1" ref="E8" ca="1">IF($C8="","",SUM(IF((INDIRECT("'"&amp;$C8&amp;"'!I23:I200")=$D$1)*(INDIRECT("'"&amp;$C8&amp;"'!H23:H200")="H")*(INDIRECT("'"&amp;$C8&amp;"'!L23:L200")="W")*(INDIRECT("'"&amp;$C8&amp;"'!J23:J200")=VALUE(LEFT(E$5,1)))*(INDIRECT("'"&amp;$C8&amp;"'!K23:K200")=VALUE(RIGHT(E$5,1))),1,0)))</f>
        <v>2</v>
      </c>
      <c r="F8" s="226">
        <f t="array" aca="1" ref="F8" ca="1">IF($C8="","",SUM(IF((INDIRECT("'"&amp;$C8&amp;"'!I23:I200")=$D$1)*(INDIRECT("'"&amp;$C8&amp;"'!H23:H200")="H")*(INDIRECT("'"&amp;$C8&amp;"'!L23:L200")="W")*(INDIRECT("'"&amp;$C8&amp;"'!J23:J200")=VALUE(LEFT(F$5,1)))*(INDIRECT("'"&amp;$C8&amp;"'!K23:K200")=VALUE(RIGHT(F$5,1))),1,0)))</f>
        <v>3</v>
      </c>
      <c r="G8" s="226">
        <f t="array" aca="1" ref="G8" ca="1">IF($C8="","",SUM(IF((INDIRECT("'"&amp;$C8&amp;"'!I23:I200")=$D$1)*(INDIRECT("'"&amp;$C8&amp;"'!H23:H200")="H")*(INDIRECT("'"&amp;$C8&amp;"'!L23:L200")="W")*(INDIRECT("'"&amp;$C8&amp;"'!J23:J200")=VALUE(LEFT(G$5,1)))*(INDIRECT("'"&amp;$C8&amp;"'!K23:K200")=VALUE(RIGHT(G$5,1))),1,0)))</f>
        <v>0</v>
      </c>
      <c r="H8" s="226">
        <f t="array" aca="1" ref="H8" ca="1">IF($C8="","",SUM(IF((INDIRECT("'"&amp;$C8&amp;"'!I23:I200")=$D$1)*(INDIRECT("'"&amp;$C8&amp;"'!H23:H200")="H")*(INDIRECT("'"&amp;$C8&amp;"'!L23:L200")="W")*(INDIRECT("'"&amp;$C8&amp;"'!J23:J200")=VALUE(LEFT(H$5,1)))*(INDIRECT("'"&amp;$C8&amp;"'!K23:K200")=VALUE(RIGHT(H$5,1))),1,0)))</f>
        <v>1</v>
      </c>
      <c r="I8" s="226">
        <f t="array" aca="1" ref="I8" ca="1">IF($C8="","",SUM(IF((INDIRECT("'"&amp;$C8&amp;"'!I23:I200")=$D$1)*(INDIRECT("'"&amp;$C8&amp;"'!H23:H200")="H")*(INDIRECT("'"&amp;$C8&amp;"'!L23:L200")="W")*(INDIRECT("'"&amp;$C8&amp;"'!J23:J200")=VALUE(LEFT(I$5,1)))*(INDIRECT("'"&amp;$C8&amp;"'!K23:K200")=VALUE(RIGHT(I$5,1))),1,0)))</f>
        <v>1</v>
      </c>
      <c r="J8" s="226">
        <f t="array" aca="1" ref="J8" ca="1">IF($C8="","",SUM(IF((INDIRECT("'"&amp;$C8&amp;"'!I23:I200")=$D$1)*(INDIRECT("'"&amp;$C8&amp;"'!H23:H200")="H")*(INDIRECT("'"&amp;$C8&amp;"'!L23:L200")="W")*(INDIRECT("'"&amp;$C8&amp;"'!J23:J200")=VALUE(LEFT(J$5,1)))*(INDIRECT("'"&amp;$C8&amp;"'!K23:K200")=VALUE(RIGHT(J$5,1))),1,0)))</f>
        <v>0</v>
      </c>
      <c r="K8" s="226">
        <f t="array" aca="1" ref="K8" ca="1">IF($C8="","",SUM(IF((INDIRECT("'"&amp;$C8&amp;"'!I23:I200")=$D$1)*(INDIRECT("'"&amp;$C8&amp;"'!H23:H200")="H")*(INDIRECT("'"&amp;$C8&amp;"'!L23:L200")="W")*(INDIRECT("'"&amp;$C8&amp;"'!J23:J200")=VALUE(LEFT(K$5,1)))*(INDIRECT("'"&amp;$C8&amp;"'!K23:K200")=VALUE(RIGHT(K$5,1))),1,0)))</f>
        <v>1</v>
      </c>
      <c r="L8" s="226">
        <f t="array" aca="1" ref="L8" ca="1">IF($C8="","",SUM(IF((INDIRECT("'"&amp;$C8&amp;"'!I23:I200")=$D$1)*(INDIRECT("'"&amp;$C8&amp;"'!H23:H200")="H")*(INDIRECT("'"&amp;$C8&amp;"'!L23:L200")="W")*(INDIRECT("'"&amp;$C8&amp;"'!J23:J200")=VALUE(LEFT(L$5,1)))*(INDIRECT("'"&amp;$C8&amp;"'!K23:K200")=VALUE(RIGHT(L$5,1))),1,0)))</f>
        <v>2</v>
      </c>
      <c r="M8" s="226">
        <f t="array" aca="1" ref="M8" ca="1">IF($C8="","",SUM(IF((INDIRECT("'"&amp;$C8&amp;"'!I23:I200")=$D$1)*(INDIRECT("'"&amp;$C8&amp;"'!H23:H200")="H")*(INDIRECT("'"&amp;$C8&amp;"'!L23:L200")="W")*(INDIRECT("'"&amp;$C8&amp;"'!J23:J200")=VALUE(LEFT(M$5,1)))*(INDIRECT("'"&amp;$C8&amp;"'!K23:K200")=VALUE(RIGHT(M$5,1))),1,0)))</f>
        <v>0</v>
      </c>
      <c r="N8" s="226">
        <f t="array" aca="1" ref="N8" ca="1">IF($C8="","",SUM(IF((INDIRECT("'"&amp;$C8&amp;"'!I23:I200")=$D$1)*(INDIRECT("'"&amp;$C8&amp;"'!H23:H200")="H")*(INDIRECT("'"&amp;$C8&amp;"'!L23:L200")="W")*(INDIRECT("'"&amp;$C8&amp;"'!J23:J200")=VALUE(LEFT(N$5,1)))*(INDIRECT("'"&amp;$C8&amp;"'!K23:K200")=VALUE(RIGHT(N$5,1))),1,0)))</f>
        <v>1</v>
      </c>
      <c r="O8" s="226">
        <f t="array" aca="1" ref="O8" ca="1">IF($C8="","",SUM(IF((INDIRECT("'"&amp;$C8&amp;"'!I23:I200")=$D$1)*(INDIRECT("'"&amp;$C8&amp;"'!H23:H200")="H")*(INDIRECT("'"&amp;$C8&amp;"'!L23:L200")="W")*(INDIRECT("'"&amp;$C8&amp;"'!J23:J200")=VALUE(LEFT(O$5,1)))*(INDIRECT("'"&amp;$C8&amp;"'!K23:K200")=VALUE(RIGHT(O$5,1))),1,0)))</f>
        <v>1</v>
      </c>
      <c r="P8" s="226">
        <f t="array" aca="1" ref="P8" ca="1">IF($C8="","",SUM(IF((INDIRECT("'"&amp;$C8&amp;"'!I23:I200")=$D$1)*(INDIRECT("'"&amp;$C8&amp;"'!H23:H200")="H")*(INDIRECT("'"&amp;$C8&amp;"'!L23:L200")="W"),1,0))-SUM(D8:O8))</f>
        <v>2</v>
      </c>
      <c r="Q8" s="226">
        <f t="array" aca="1" ref="Q8" ca="1">IF($C8="","",SUM(IF((INDIRECT("'"&amp;$C8&amp;"'!I23:I200")=$D$1)*(INDIRECT("'"&amp;$C8&amp;"'!H23:H200")="H")*(INDIRECT("'"&amp;$C8&amp;"'!L23:L200")="D")*(INDIRECT("'"&amp;$C8&amp;"'!J23:J200")=VALUE(LEFT(Q$5,1)))*(INDIRECT("'"&amp;$C8&amp;"'!K23:K200")=VALUE(RIGHT(Q$5,1))),1,0)))</f>
        <v>1</v>
      </c>
      <c r="R8" s="226">
        <f t="array" aca="1" ref="R8" ca="1">IF($C8="","",SUM(IF((INDIRECT("'"&amp;$C8&amp;"'!I23:I200")=$D$1)*(INDIRECT("'"&amp;$C8&amp;"'!H23:H200")="H")*(INDIRECT("'"&amp;$C8&amp;"'!L23:L200")="D")*(INDIRECT("'"&amp;$C8&amp;"'!J23:J200")=VALUE(LEFT(R$5,1)))*(INDIRECT("'"&amp;$C8&amp;"'!K23:K200")=VALUE(RIGHT(R$5,1))),1,0)))</f>
        <v>2</v>
      </c>
      <c r="S8" s="226">
        <f t="array" aca="1" ref="S8" ca="1">IF($C8="","",SUM(IF((INDIRECT("'"&amp;$C8&amp;"'!I23:I200")=$D$1)*(INDIRECT("'"&amp;$C8&amp;"'!H23:H200")="H")*(INDIRECT("'"&amp;$C8&amp;"'!L23:L200")="D")*(INDIRECT("'"&amp;$C8&amp;"'!J23:J200")=VALUE(LEFT(S$5,1)))*(INDIRECT("'"&amp;$C8&amp;"'!K23:K200")=VALUE(RIGHT(S$5,1))),1,0)))</f>
        <v>0</v>
      </c>
      <c r="T8" s="226">
        <f t="array" aca="1" ref="T8" ca="1">IF($C8="","",SUM(IF((INDIRECT("'"&amp;$C8&amp;"'!I23:I200")=$D$1)*(INDIRECT("'"&amp;$C8&amp;"'!H23:H200")="H")*(INDIRECT("'"&amp;$C8&amp;"'!L23:L200")="D")*(INDIRECT("'"&amp;$C8&amp;"'!J23:J200")=VALUE(LEFT(T$5,1)))*(INDIRECT("'"&amp;$C8&amp;"'!K23:K200")=VALUE(RIGHT(T$5,1))),1,0)))</f>
        <v>0</v>
      </c>
      <c r="U8" s="226">
        <f t="array" aca="1" ref="U8" ca="1">IF($C8="","",SUM(IF((INDIRECT("'"&amp;$C8&amp;"'!I23:I200")=$D$1)*(INDIRECT("'"&amp;$C8&amp;"'!H23:H200")="H")*(INDIRECT("'"&amp;$C8&amp;"'!L23:L200")="D"),1,0))-SUM(Q8:T8))</f>
        <v>0</v>
      </c>
      <c r="V8" s="226">
        <f t="array" aca="1" ref="V8" ca="1">IF($C8="","",SUM(IF((INDIRECT("'"&amp;$C8&amp;"'!I23:I200")=$D$1)*(INDIRECT("'"&amp;$C8&amp;"'!H23:H200")="H")*(INDIRECT("'"&amp;$C8&amp;"'!L23:L200")="L")*(INDIRECT("'"&amp;$C8&amp;"'!J23:J200")=VALUE(LEFT(V$5,1)))*(INDIRECT("'"&amp;$C8&amp;"'!K23:K200")=VALUE(RIGHT(V$5,1))),1,0)))</f>
        <v>1</v>
      </c>
      <c r="W8" s="226">
        <f t="array" aca="1" ref="W8" ca="1">IF($C8="","",SUM(IF((INDIRECT("'"&amp;$C8&amp;"'!I23:I200")=$D$1)*(INDIRECT("'"&amp;$C8&amp;"'!H23:H200")="H")*(INDIRECT("'"&amp;$C8&amp;"'!L23:L200")="L")*(INDIRECT("'"&amp;$C8&amp;"'!J23:J200")=VALUE(LEFT(W$5,1)))*(INDIRECT("'"&amp;$C8&amp;"'!K23:K200")=VALUE(RIGHT(W$5,1))),1,0)))</f>
        <v>2</v>
      </c>
      <c r="X8" s="226">
        <f t="array" aca="1" ref="X8" ca="1">IF($C8="","",SUM(IF((INDIRECT("'"&amp;$C8&amp;"'!I23:I200")=$D$1)*(INDIRECT("'"&amp;$C8&amp;"'!H23:H200")="H")*(INDIRECT("'"&amp;$C8&amp;"'!L23:L200")="L")*(INDIRECT("'"&amp;$C8&amp;"'!J23:J200")=VALUE(LEFT(X$5,1)))*(INDIRECT("'"&amp;$C8&amp;"'!K23:K200")=VALUE(RIGHT(X$5,1))),1,0)))</f>
        <v>0</v>
      </c>
      <c r="Y8" s="226">
        <f t="array" aca="1" ref="Y8" ca="1">IF($C8="","",SUM(IF((INDIRECT("'"&amp;$C8&amp;"'!I23:I200")=$D$1)*(INDIRECT("'"&amp;$C8&amp;"'!H23:H200")="H")*(INDIRECT("'"&amp;$C8&amp;"'!L23:L200")="L")*(INDIRECT("'"&amp;$C8&amp;"'!J23:J200")=VALUE(LEFT(Y$5,1)))*(INDIRECT("'"&amp;$C8&amp;"'!K23:K200")=VALUE(RIGHT(Y$5,1))),1,0)))</f>
        <v>1</v>
      </c>
      <c r="Z8" s="226">
        <f t="array" aca="1" ref="Z8" ca="1">IF($C8="","",SUM(IF((INDIRECT("'"&amp;$C8&amp;"'!I23:I200")=$D$1)*(INDIRECT("'"&amp;$C8&amp;"'!H23:H200")="H")*(INDIRECT("'"&amp;$C8&amp;"'!L23:L200")="L")*(INDIRECT("'"&amp;$C8&amp;"'!J23:J200")=VALUE(LEFT(Z$5,1)))*(INDIRECT("'"&amp;$C8&amp;"'!K23:K200")=VALUE(RIGHT(Z$5,1))),1,0)))</f>
        <v>0</v>
      </c>
      <c r="AA8" s="226">
        <f t="array" aca="1" ref="AA8" ca="1">IF($C8="","",SUM(IF((INDIRECT("'"&amp;$C8&amp;"'!I23:I200")=$D$1)*(INDIRECT("'"&amp;$C8&amp;"'!H23:H200")="H")*(INDIRECT("'"&amp;$C8&amp;"'!L23:L200")="L")*(INDIRECT("'"&amp;$C8&amp;"'!J23:J200")=VALUE(LEFT(AA$5,1)))*(INDIRECT("'"&amp;$C8&amp;"'!K23:K200")=VALUE(RIGHT(AA$5,1))),1,0)))</f>
        <v>2</v>
      </c>
      <c r="AB8" s="226">
        <f t="array" aca="1" ref="AB8" ca="1">IF($C8="","",SUM(IF((INDIRECT("'"&amp;$C8&amp;"'!I23:I200")=$D$1)*(INDIRECT("'"&amp;$C8&amp;"'!H23:H200")="H")*(INDIRECT("'"&amp;$C8&amp;"'!L23:L200")="L")*(INDIRECT("'"&amp;$C8&amp;"'!J23:J200")=VALUE(LEFT(AB$5,1)))*(INDIRECT("'"&amp;$C8&amp;"'!K23:K200")=VALUE(RIGHT(AB$5,1))),1,0)))</f>
        <v>0</v>
      </c>
      <c r="AC8" s="226">
        <f t="array" aca="1" ref="AC8" ca="1">IF($C8="","",SUM(IF((INDIRECT("'"&amp;$C8&amp;"'!I23:I200")=$D$1)*(INDIRECT("'"&amp;$C8&amp;"'!H23:H200")="H")*(INDIRECT("'"&amp;$C8&amp;"'!L23:L200")="L")*(INDIRECT("'"&amp;$C8&amp;"'!J23:J200")=VALUE(LEFT(AC$5,1)))*(INDIRECT("'"&amp;$C8&amp;"'!K23:K200")=VALUE(RIGHT(AC$5,1))),1,0)))</f>
        <v>0</v>
      </c>
      <c r="AD8" s="226">
        <f t="array" aca="1" ref="AD8" ca="1">IF($C8="","",SUM(IF((INDIRECT("'"&amp;$C8&amp;"'!I23:I200")=$D$1)*(INDIRECT("'"&amp;$C8&amp;"'!H23:H200")="H")*(INDIRECT("'"&amp;$C8&amp;"'!L23:L200")="L")*(INDIRECT("'"&amp;$C8&amp;"'!J23:J200")=VALUE(LEFT(AD$5,1)))*(INDIRECT("'"&amp;$C8&amp;"'!K23:K200")=VALUE(RIGHT(AD$5,1))),1,0)))</f>
        <v>0</v>
      </c>
      <c r="AE8" s="226">
        <f t="array" aca="1" ref="AE8" ca="1">IF($C8="","",SUM(IF((INDIRECT("'"&amp;$C8&amp;"'!I23:I200")=$D$1)*(INDIRECT("'"&amp;$C8&amp;"'!H23:H200")="H")*(INDIRECT("'"&amp;$C8&amp;"'!L23:L200")="L")*(INDIRECT("'"&amp;$C8&amp;"'!J23:J200")=VALUE(LEFT(AE$5,1)))*(INDIRECT("'"&amp;$C8&amp;"'!K23:K200")=VALUE(RIGHT(AE$5,1))),1,0)))</f>
        <v>0</v>
      </c>
      <c r="AF8" s="226">
        <f t="array" aca="1" ref="AF8" ca="1">IF($C8="","",SUM(IF((INDIRECT("'"&amp;$C8&amp;"'!I23:I200")=$D$1)*(INDIRECT("'"&amp;$C8&amp;"'!H23:H200")="H")*(INDIRECT("'"&amp;$C8&amp;"'!L23:L200")="L")*(INDIRECT("'"&amp;$C8&amp;"'!J23:J200")=VALUE(LEFT(AF$5,1)))*(INDIRECT("'"&amp;$C8&amp;"'!K23:K200")=VALUE(RIGHT(AF$5,1))),1,0)))</f>
        <v>0</v>
      </c>
      <c r="AG8" s="226">
        <f t="array" aca="1" ref="AG8" ca="1">IF($C8="","",SUM(IF((INDIRECT("'"&amp;$C8&amp;"'!I23:I200")=$D$1)*(INDIRECT("'"&amp;$C8&amp;"'!H23:H200")="H")*(INDIRECT("'"&amp;$C8&amp;"'!L23:L200")="L")*(INDIRECT("'"&amp;$C8&amp;"'!J23:J200")=VALUE(LEFT(AG$5,1)))*(INDIRECT("'"&amp;$C8&amp;"'!K23:K200")=VALUE(RIGHT(AG$5,1))),1,0)))</f>
        <v>0</v>
      </c>
      <c r="AH8" s="227">
        <f t="array" aca="1" ref="AH8" ca="1">IF($C8="","",SUM(IF((INDIRECT("'"&amp;$C8&amp;"'!I23:I200")=$D$1)*(INDIRECT("'"&amp;$C8&amp;"'!H23:H200")="H")*(INDIRECT("'"&amp;$C8&amp;"'!L23:L200")="L"),1,0))-SUM(V8:AG8))</f>
        <v>0</v>
      </c>
    </row>
    <row r="9" spans="1:34" ht="14.25">
      <c r="A9" s="228">
        <v>4</v>
      </c>
      <c r="B9" s="229" t="str">
        <f ca="1">IF($A9&gt;$D$3,"",VLOOKUP($A9,Table!$A$9:$C$30,2,FALSE))</f>
        <v>Avispa Fukuoka</v>
      </c>
      <c r="C9" s="225" t="str">
        <f ca="1">IF($A9&gt;$D$3,"",VLOOKUP($A9,Table!$A$9:$C$30,3,FALSE))</f>
        <v>Avispa Fukuoka</v>
      </c>
      <c r="D9" s="226">
        <f t="array" aca="1" ref="D9" ca="1">IF($C9="","",SUM(IF((INDIRECT("'"&amp;$C9&amp;"'!H23:H200")=$D$1)*(INDIRECT("'"&amp;$C9&amp;"'!H23:H200")="H")*(INDIRECT("'"&amp;$C9&amp;"'!K23:K200")="W")*(INDIRECT("'"&amp;$C9&amp;"'!I23:I200")=VALUE(LEFT(D$5,1)))*(INDIRECT("'"&amp;$C9&amp;"'!H23:H200")=VALUE(RIGHT(D$5,1))),1,0)))</f>
        <v>0</v>
      </c>
      <c r="E9" s="226">
        <f t="array" aca="1" ref="E9" ca="1">IF($C9="","",SUM(IF((INDIRECT("'"&amp;$C9&amp;"'!I23:I200")=$D$1)*(INDIRECT("'"&amp;$C9&amp;"'!H23:H200")="H")*(INDIRECT("'"&amp;$C9&amp;"'!L23:L200")="W")*(INDIRECT("'"&amp;$C9&amp;"'!J23:J200")=VALUE(LEFT(E$5,1)))*(INDIRECT("'"&amp;$C9&amp;"'!K23:K200")=VALUE(RIGHT(E$5,1))),1,0)))</f>
        <v>1</v>
      </c>
      <c r="F9" s="226">
        <f t="array" aca="1" ref="F9" ca="1">IF($C9="","",SUM(IF((INDIRECT("'"&amp;$C9&amp;"'!I23:I200")=$D$1)*(INDIRECT("'"&amp;$C9&amp;"'!H23:H200")="H")*(INDIRECT("'"&amp;$C9&amp;"'!L23:L200")="W")*(INDIRECT("'"&amp;$C9&amp;"'!J23:J200")=VALUE(LEFT(F$5,1)))*(INDIRECT("'"&amp;$C9&amp;"'!K23:K200")=VALUE(RIGHT(F$5,1))),1,0)))</f>
        <v>4</v>
      </c>
      <c r="G9" s="226">
        <f t="array" aca="1" ref="G9" ca="1">IF($C9="","",SUM(IF((INDIRECT("'"&amp;$C9&amp;"'!I23:I200")=$D$1)*(INDIRECT("'"&amp;$C9&amp;"'!H23:H200")="H")*(INDIRECT("'"&amp;$C9&amp;"'!L23:L200")="W")*(INDIRECT("'"&amp;$C9&amp;"'!J23:J200")=VALUE(LEFT(G$5,1)))*(INDIRECT("'"&amp;$C9&amp;"'!K23:K200")=VALUE(RIGHT(G$5,1))),1,0)))</f>
        <v>0</v>
      </c>
      <c r="H9" s="226">
        <f t="array" aca="1" ref="H9" ca="1">IF($C9="","",SUM(IF((INDIRECT("'"&amp;$C9&amp;"'!I23:I200")=$D$1)*(INDIRECT("'"&amp;$C9&amp;"'!H23:H200")="H")*(INDIRECT("'"&amp;$C9&amp;"'!L23:L200")="W")*(INDIRECT("'"&amp;$C9&amp;"'!J23:J200")=VALUE(LEFT(H$5,1)))*(INDIRECT("'"&amp;$C9&amp;"'!K23:K200")=VALUE(RIGHT(H$5,1))),1,0)))</f>
        <v>2</v>
      </c>
      <c r="I9" s="226">
        <f t="array" aca="1" ref="I9" ca="1">IF($C9="","",SUM(IF((INDIRECT("'"&amp;$C9&amp;"'!I23:I200")=$D$1)*(INDIRECT("'"&amp;$C9&amp;"'!H23:H200")="H")*(INDIRECT("'"&amp;$C9&amp;"'!L23:L200")="W")*(INDIRECT("'"&amp;$C9&amp;"'!J23:J200")=VALUE(LEFT(I$5,1)))*(INDIRECT("'"&amp;$C9&amp;"'!K23:K200")=VALUE(RIGHT(I$5,1))),1,0)))</f>
        <v>0</v>
      </c>
      <c r="J9" s="226">
        <f t="array" aca="1" ref="J9" ca="1">IF($C9="","",SUM(IF((INDIRECT("'"&amp;$C9&amp;"'!I23:I200")=$D$1)*(INDIRECT("'"&amp;$C9&amp;"'!H23:H200")="H")*(INDIRECT("'"&amp;$C9&amp;"'!L23:L200")="W")*(INDIRECT("'"&amp;$C9&amp;"'!J23:J200")=VALUE(LEFT(J$5,1)))*(INDIRECT("'"&amp;$C9&amp;"'!K23:K200")=VALUE(RIGHT(J$5,1))),1,0)))</f>
        <v>0</v>
      </c>
      <c r="K9" s="226">
        <f t="array" aca="1" ref="K9" ca="1">IF($C9="","",SUM(IF((INDIRECT("'"&amp;$C9&amp;"'!I23:I200")=$D$1)*(INDIRECT("'"&amp;$C9&amp;"'!H23:H200")="H")*(INDIRECT("'"&amp;$C9&amp;"'!L23:L200")="W")*(INDIRECT("'"&amp;$C9&amp;"'!J23:J200")=VALUE(LEFT(K$5,1)))*(INDIRECT("'"&amp;$C9&amp;"'!K23:K200")=VALUE(RIGHT(K$5,1))),1,0)))</f>
        <v>0</v>
      </c>
      <c r="L9" s="226">
        <f t="array" aca="1" ref="L9" ca="1">IF($C9="","",SUM(IF((INDIRECT("'"&amp;$C9&amp;"'!I23:I200")=$D$1)*(INDIRECT("'"&amp;$C9&amp;"'!H23:H200")="H")*(INDIRECT("'"&amp;$C9&amp;"'!L23:L200")="W")*(INDIRECT("'"&amp;$C9&amp;"'!J23:J200")=VALUE(LEFT(L$5,1)))*(INDIRECT("'"&amp;$C9&amp;"'!K23:K200")=VALUE(RIGHT(L$5,1))),1,0)))</f>
        <v>0</v>
      </c>
      <c r="M9" s="226">
        <f t="array" aca="1" ref="M9" ca="1">IF($C9="","",SUM(IF((INDIRECT("'"&amp;$C9&amp;"'!I23:I200")=$D$1)*(INDIRECT("'"&amp;$C9&amp;"'!H23:H200")="H")*(INDIRECT("'"&amp;$C9&amp;"'!L23:L200")="W")*(INDIRECT("'"&amp;$C9&amp;"'!J23:J200")=VALUE(LEFT(M$5,1)))*(INDIRECT("'"&amp;$C9&amp;"'!K23:K200")=VALUE(RIGHT(M$5,1))),1,0)))</f>
        <v>0</v>
      </c>
      <c r="N9" s="226">
        <f t="array" aca="1" ref="N9" ca="1">IF($C9="","",SUM(IF((INDIRECT("'"&amp;$C9&amp;"'!I23:I200")=$D$1)*(INDIRECT("'"&amp;$C9&amp;"'!H23:H200")="H")*(INDIRECT("'"&amp;$C9&amp;"'!L23:L200")="W")*(INDIRECT("'"&amp;$C9&amp;"'!J23:J200")=VALUE(LEFT(N$5,1)))*(INDIRECT("'"&amp;$C9&amp;"'!K23:K200")=VALUE(RIGHT(N$5,1))),1,0)))</f>
        <v>0</v>
      </c>
      <c r="O9" s="226">
        <f t="array" aca="1" ref="O9" ca="1">IF($C9="","",SUM(IF((INDIRECT("'"&amp;$C9&amp;"'!I23:I200")=$D$1)*(INDIRECT("'"&amp;$C9&amp;"'!H23:H200")="H")*(INDIRECT("'"&amp;$C9&amp;"'!L23:L200")="W")*(INDIRECT("'"&amp;$C9&amp;"'!J23:J200")=VALUE(LEFT(O$5,1)))*(INDIRECT("'"&amp;$C9&amp;"'!K23:K200")=VALUE(RIGHT(O$5,1))),1,0)))</f>
        <v>0</v>
      </c>
      <c r="P9" s="226">
        <f t="array" aca="1" ref="P9" ca="1">IF($C9="","",SUM(IF((INDIRECT("'"&amp;$C9&amp;"'!I23:I200")=$D$1)*(INDIRECT("'"&amp;$C9&amp;"'!H23:H200")="H")*(INDIRECT("'"&amp;$C9&amp;"'!L23:L200")="W"),1,0))-SUM(D9:O9))</f>
        <v>3</v>
      </c>
      <c r="Q9" s="226">
        <f t="array" aca="1" ref="Q9" ca="1">IF($C9="","",SUM(IF((INDIRECT("'"&amp;$C9&amp;"'!I23:I200")=$D$1)*(INDIRECT("'"&amp;$C9&amp;"'!H23:H200")="H")*(INDIRECT("'"&amp;$C9&amp;"'!L23:L200")="D")*(INDIRECT("'"&amp;$C9&amp;"'!J23:J200")=VALUE(LEFT(Q$5,1)))*(INDIRECT("'"&amp;$C9&amp;"'!K23:K200")=VALUE(RIGHT(Q$5,1))),1,0)))</f>
        <v>2</v>
      </c>
      <c r="R9" s="226">
        <f t="array" aca="1" ref="R9" ca="1">IF($C9="","",SUM(IF((INDIRECT("'"&amp;$C9&amp;"'!I23:I200")=$D$1)*(INDIRECT("'"&amp;$C9&amp;"'!H23:H200")="H")*(INDIRECT("'"&amp;$C9&amp;"'!L23:L200")="D")*(INDIRECT("'"&amp;$C9&amp;"'!J23:J200")=VALUE(LEFT(R$5,1)))*(INDIRECT("'"&amp;$C9&amp;"'!K23:K200")=VALUE(RIGHT(R$5,1))),1,0)))</f>
        <v>1</v>
      </c>
      <c r="S9" s="226">
        <f t="array" aca="1" ref="S9" ca="1">IF($C9="","",SUM(IF((INDIRECT("'"&amp;$C9&amp;"'!I23:I200")=$D$1)*(INDIRECT("'"&amp;$C9&amp;"'!H23:H200")="H")*(INDIRECT("'"&amp;$C9&amp;"'!L23:L200")="D")*(INDIRECT("'"&amp;$C9&amp;"'!J23:J200")=VALUE(LEFT(S$5,1)))*(INDIRECT("'"&amp;$C9&amp;"'!K23:K200")=VALUE(RIGHT(S$5,1))),1,0)))</f>
        <v>0</v>
      </c>
      <c r="T9" s="226">
        <f t="array" aca="1" ref="T9" ca="1">IF($C9="","",SUM(IF((INDIRECT("'"&amp;$C9&amp;"'!I23:I200")=$D$1)*(INDIRECT("'"&amp;$C9&amp;"'!H23:H200")="H")*(INDIRECT("'"&amp;$C9&amp;"'!L23:L200")="D")*(INDIRECT("'"&amp;$C9&amp;"'!J23:J200")=VALUE(LEFT(T$5,1)))*(INDIRECT("'"&amp;$C9&amp;"'!K23:K200")=VALUE(RIGHT(T$5,1))),1,0)))</f>
        <v>0</v>
      </c>
      <c r="U9" s="226">
        <f t="array" aca="1" ref="U9" ca="1">IF($C9="","",SUM(IF((INDIRECT("'"&amp;$C9&amp;"'!I23:I200")=$D$1)*(INDIRECT("'"&amp;$C9&amp;"'!H23:H200")="H")*(INDIRECT("'"&amp;$C9&amp;"'!L23:L200")="D"),1,0))-SUM(Q9:T9))</f>
        <v>0</v>
      </c>
      <c r="V9" s="226">
        <f t="array" aca="1" ref="V9" ca="1">IF($C9="","",SUM(IF((INDIRECT("'"&amp;$C9&amp;"'!I23:I200")=$D$1)*(INDIRECT("'"&amp;$C9&amp;"'!H23:H200")="H")*(INDIRECT("'"&amp;$C9&amp;"'!L23:L200")="L")*(INDIRECT("'"&amp;$C9&amp;"'!J23:J200")=VALUE(LEFT(V$5,1)))*(INDIRECT("'"&amp;$C9&amp;"'!K23:K200")=VALUE(RIGHT(V$5,1))),1,0)))</f>
        <v>4</v>
      </c>
      <c r="W9" s="226">
        <f t="array" aca="1" ref="W9" ca="1">IF($C9="","",SUM(IF((INDIRECT("'"&amp;$C9&amp;"'!I23:I200")=$D$1)*(INDIRECT("'"&amp;$C9&amp;"'!H23:H200")="H")*(INDIRECT("'"&amp;$C9&amp;"'!L23:L200")="L")*(INDIRECT("'"&amp;$C9&amp;"'!J23:J200")=VALUE(LEFT(W$5,1)))*(INDIRECT("'"&amp;$C9&amp;"'!K23:K200")=VALUE(RIGHT(W$5,1))),1,0)))</f>
        <v>1</v>
      </c>
      <c r="X9" s="226">
        <f t="array" aca="1" ref="X9" ca="1">IF($C9="","",SUM(IF((INDIRECT("'"&amp;$C9&amp;"'!I23:I200")=$D$1)*(INDIRECT("'"&amp;$C9&amp;"'!H23:H200")="H")*(INDIRECT("'"&amp;$C9&amp;"'!L23:L200")="L")*(INDIRECT("'"&amp;$C9&amp;"'!J23:J200")=VALUE(LEFT(X$5,1)))*(INDIRECT("'"&amp;$C9&amp;"'!K23:K200")=VALUE(RIGHT(X$5,1))),1,0)))</f>
        <v>1</v>
      </c>
      <c r="Y9" s="226">
        <f t="array" aca="1" ref="Y9" ca="1">IF($C9="","",SUM(IF((INDIRECT("'"&amp;$C9&amp;"'!I23:I200")=$D$1)*(INDIRECT("'"&amp;$C9&amp;"'!H23:H200")="H")*(INDIRECT("'"&amp;$C9&amp;"'!L23:L200")="L")*(INDIRECT("'"&amp;$C9&amp;"'!J23:J200")=VALUE(LEFT(Y$5,1)))*(INDIRECT("'"&amp;$C9&amp;"'!K23:K200")=VALUE(RIGHT(Y$5,1))),1,0)))</f>
        <v>0</v>
      </c>
      <c r="Z9" s="226">
        <f t="array" aca="1" ref="Z9" ca="1">IF($C9="","",SUM(IF((INDIRECT("'"&amp;$C9&amp;"'!I23:I200")=$D$1)*(INDIRECT("'"&amp;$C9&amp;"'!H23:H200")="H")*(INDIRECT("'"&amp;$C9&amp;"'!L23:L200")="L")*(INDIRECT("'"&amp;$C9&amp;"'!J23:J200")=VALUE(LEFT(Z$5,1)))*(INDIRECT("'"&amp;$C9&amp;"'!K23:K200")=VALUE(RIGHT(Z$5,1))),1,0)))</f>
        <v>2</v>
      </c>
      <c r="AA9" s="226">
        <f t="array" aca="1" ref="AA9" ca="1">IF($C9="","",SUM(IF((INDIRECT("'"&amp;$C9&amp;"'!I23:I200")=$D$1)*(INDIRECT("'"&amp;$C9&amp;"'!H23:H200")="H")*(INDIRECT("'"&amp;$C9&amp;"'!L23:L200")="L")*(INDIRECT("'"&amp;$C9&amp;"'!J23:J200")=VALUE(LEFT(AA$5,1)))*(INDIRECT("'"&amp;$C9&amp;"'!K23:K200")=VALUE(RIGHT(AA$5,1))),1,0)))</f>
        <v>0</v>
      </c>
      <c r="AB9" s="226">
        <f t="array" aca="1" ref="AB9" ca="1">IF($C9="","",SUM(IF((INDIRECT("'"&amp;$C9&amp;"'!I23:I200")=$D$1)*(INDIRECT("'"&amp;$C9&amp;"'!H23:H200")="H")*(INDIRECT("'"&amp;$C9&amp;"'!L23:L200")="L")*(INDIRECT("'"&amp;$C9&amp;"'!J23:J200")=VALUE(LEFT(AB$5,1)))*(INDIRECT("'"&amp;$C9&amp;"'!K23:K200")=VALUE(RIGHT(AB$5,1))),1,0)))</f>
        <v>0</v>
      </c>
      <c r="AC9" s="226">
        <f t="array" aca="1" ref="AC9" ca="1">IF($C9="","",SUM(IF((INDIRECT("'"&amp;$C9&amp;"'!I23:I200")=$D$1)*(INDIRECT("'"&amp;$C9&amp;"'!H23:H200")="H")*(INDIRECT("'"&amp;$C9&amp;"'!L23:L200")="L")*(INDIRECT("'"&amp;$C9&amp;"'!J23:J200")=VALUE(LEFT(AC$5,1)))*(INDIRECT("'"&amp;$C9&amp;"'!K23:K200")=VALUE(RIGHT(AC$5,1))),1,0)))</f>
        <v>0</v>
      </c>
      <c r="AD9" s="226">
        <f t="array" aca="1" ref="AD9" ca="1">IF($C9="","",SUM(IF((INDIRECT("'"&amp;$C9&amp;"'!I23:I200")=$D$1)*(INDIRECT("'"&amp;$C9&amp;"'!H23:H200")="H")*(INDIRECT("'"&amp;$C9&amp;"'!L23:L200")="L")*(INDIRECT("'"&amp;$C9&amp;"'!J23:J200")=VALUE(LEFT(AD$5,1)))*(INDIRECT("'"&amp;$C9&amp;"'!K23:K200")=VALUE(RIGHT(AD$5,1))),1,0)))</f>
        <v>0</v>
      </c>
      <c r="AE9" s="226">
        <f t="array" aca="1" ref="AE9" ca="1">IF($C9="","",SUM(IF((INDIRECT("'"&amp;$C9&amp;"'!I23:I200")=$D$1)*(INDIRECT("'"&amp;$C9&amp;"'!H23:H200")="H")*(INDIRECT("'"&amp;$C9&amp;"'!L23:L200")="L")*(INDIRECT("'"&amp;$C9&amp;"'!J23:J200")=VALUE(LEFT(AE$5,1)))*(INDIRECT("'"&amp;$C9&amp;"'!K23:K200")=VALUE(RIGHT(AE$5,1))),1,0)))</f>
        <v>0</v>
      </c>
      <c r="AF9" s="226">
        <f t="array" aca="1" ref="AF9" ca="1">IF($C9="","",SUM(IF((INDIRECT("'"&amp;$C9&amp;"'!I23:I200")=$D$1)*(INDIRECT("'"&amp;$C9&amp;"'!H23:H200")="H")*(INDIRECT("'"&amp;$C9&amp;"'!L23:L200")="L")*(INDIRECT("'"&amp;$C9&amp;"'!J23:J200")=VALUE(LEFT(AF$5,1)))*(INDIRECT("'"&amp;$C9&amp;"'!K23:K200")=VALUE(RIGHT(AF$5,1))),1,0)))</f>
        <v>0</v>
      </c>
      <c r="AG9" s="226">
        <f t="array" aca="1" ref="AG9" ca="1">IF($C9="","",SUM(IF((INDIRECT("'"&amp;$C9&amp;"'!I23:I200")=$D$1)*(INDIRECT("'"&amp;$C9&amp;"'!H23:H200")="H")*(INDIRECT("'"&amp;$C9&amp;"'!L23:L200")="L")*(INDIRECT("'"&amp;$C9&amp;"'!J23:J200")=VALUE(LEFT(AG$5,1)))*(INDIRECT("'"&amp;$C9&amp;"'!K23:K200")=VALUE(RIGHT(AG$5,1))),1,0)))</f>
        <v>0</v>
      </c>
      <c r="AH9" s="227">
        <f t="array" aca="1" ref="AH9" ca="1">IF($C9="","",SUM(IF((INDIRECT("'"&amp;$C9&amp;"'!I23:I200")=$D$1)*(INDIRECT("'"&amp;$C9&amp;"'!H23:H200")="H")*(INDIRECT("'"&amp;$C9&amp;"'!L23:L200")="L"),1,0))-SUM(V9:AG9))</f>
        <v>0</v>
      </c>
    </row>
    <row r="10" spans="1:34" ht="14.25">
      <c r="A10" s="228">
        <v>5</v>
      </c>
      <c r="B10" s="229" t="str">
        <f ca="1">IF($A10&gt;$D$3,"",VLOOKUP($A10,Table!$A$9:$C$30,2,FALSE))</f>
        <v>Tokyo Verdy</v>
      </c>
      <c r="C10" s="225" t="str">
        <f ca="1">IF($A10&gt;$D$3,"",VLOOKUP($A10,Table!$A$9:$C$30,3,FALSE))</f>
        <v>Tokyo Verdy</v>
      </c>
      <c r="D10" s="226">
        <f t="array" aca="1" ref="D10" ca="1">IF($C10="","",SUM(IF((INDIRECT("'"&amp;$C10&amp;"'!H23:H200")=$D$1)*(INDIRECT("'"&amp;$C10&amp;"'!H23:H200")="H")*(INDIRECT("'"&amp;$C10&amp;"'!K23:K200")="W")*(INDIRECT("'"&amp;$C10&amp;"'!I23:I200")=VALUE(LEFT(D$5,1)))*(INDIRECT("'"&amp;$C10&amp;"'!H23:H200")=VALUE(RIGHT(D$5,1))),1,0)))</f>
        <v>0</v>
      </c>
      <c r="E10" s="226">
        <f t="array" aca="1" ref="E10" ca="1">IF($C10="","",SUM(IF((INDIRECT("'"&amp;$C10&amp;"'!I23:I200")=$D$1)*(INDIRECT("'"&amp;$C10&amp;"'!H23:H200")="H")*(INDIRECT("'"&amp;$C10&amp;"'!L23:L200")="W")*(INDIRECT("'"&amp;$C10&amp;"'!J23:J200")=VALUE(LEFT(E$5,1)))*(INDIRECT("'"&amp;$C10&amp;"'!K23:K200")=VALUE(RIGHT(E$5,1))),1,0)))</f>
        <v>0</v>
      </c>
      <c r="F10" s="226">
        <f t="array" aca="1" ref="F10" ca="1">IF($C10="","",SUM(IF((INDIRECT("'"&amp;$C10&amp;"'!I23:I200")=$D$1)*(INDIRECT("'"&amp;$C10&amp;"'!H23:H200")="H")*(INDIRECT("'"&amp;$C10&amp;"'!L23:L200")="W")*(INDIRECT("'"&amp;$C10&amp;"'!J23:J200")=VALUE(LEFT(F$5,1)))*(INDIRECT("'"&amp;$C10&amp;"'!K23:K200")=VALUE(RIGHT(F$5,1))),1,0)))</f>
        <v>4</v>
      </c>
      <c r="G10" s="226">
        <f t="array" aca="1" ref="G10" ca="1">IF($C10="","",SUM(IF((INDIRECT("'"&amp;$C10&amp;"'!I23:I200")=$D$1)*(INDIRECT("'"&amp;$C10&amp;"'!H23:H200")="H")*(INDIRECT("'"&amp;$C10&amp;"'!L23:L200")="W")*(INDIRECT("'"&amp;$C10&amp;"'!J23:J200")=VALUE(LEFT(G$5,1)))*(INDIRECT("'"&amp;$C10&amp;"'!K23:K200")=VALUE(RIGHT(G$5,1))),1,0)))</f>
        <v>1</v>
      </c>
      <c r="H10" s="226">
        <f t="array" aca="1" ref="H10" ca="1">IF($C10="","",SUM(IF((INDIRECT("'"&amp;$C10&amp;"'!I23:I200")=$D$1)*(INDIRECT("'"&amp;$C10&amp;"'!H23:H200")="H")*(INDIRECT("'"&amp;$C10&amp;"'!L23:L200")="W")*(INDIRECT("'"&amp;$C10&amp;"'!J23:J200")=VALUE(LEFT(H$5,1)))*(INDIRECT("'"&amp;$C10&amp;"'!K23:K200")=VALUE(RIGHT(H$5,1))),1,0)))</f>
        <v>3</v>
      </c>
      <c r="I10" s="226">
        <f t="array" aca="1" ref="I10" ca="1">IF($C10="","",SUM(IF((INDIRECT("'"&amp;$C10&amp;"'!I23:I200")=$D$1)*(INDIRECT("'"&amp;$C10&amp;"'!H23:H200")="H")*(INDIRECT("'"&amp;$C10&amp;"'!L23:L200")="W")*(INDIRECT("'"&amp;$C10&amp;"'!J23:J200")=VALUE(LEFT(I$5,1)))*(INDIRECT("'"&amp;$C10&amp;"'!K23:K200")=VALUE(RIGHT(I$5,1))),1,0)))</f>
        <v>0</v>
      </c>
      <c r="J10" s="226">
        <f t="array" aca="1" ref="J10" ca="1">IF($C10="","",SUM(IF((INDIRECT("'"&amp;$C10&amp;"'!I23:I200")=$D$1)*(INDIRECT("'"&amp;$C10&amp;"'!H23:H200")="H")*(INDIRECT("'"&amp;$C10&amp;"'!L23:L200")="W")*(INDIRECT("'"&amp;$C10&amp;"'!J23:J200")=VALUE(LEFT(J$5,1)))*(INDIRECT("'"&amp;$C10&amp;"'!K23:K200")=VALUE(RIGHT(J$5,1))),1,0)))</f>
        <v>1</v>
      </c>
      <c r="K10" s="226">
        <f t="array" aca="1" ref="K10" ca="1">IF($C10="","",SUM(IF((INDIRECT("'"&amp;$C10&amp;"'!I23:I200")=$D$1)*(INDIRECT("'"&amp;$C10&amp;"'!H23:H200")="H")*(INDIRECT("'"&amp;$C10&amp;"'!L23:L200")="W")*(INDIRECT("'"&amp;$C10&amp;"'!J23:J200")=VALUE(LEFT(K$5,1)))*(INDIRECT("'"&amp;$C10&amp;"'!K23:K200")=VALUE(RIGHT(K$5,1))),1,0)))</f>
        <v>0</v>
      </c>
      <c r="L10" s="226">
        <f t="array" aca="1" ref="L10" ca="1">IF($C10="","",SUM(IF((INDIRECT("'"&amp;$C10&amp;"'!I23:I200")=$D$1)*(INDIRECT("'"&amp;$C10&amp;"'!H23:H200")="H")*(INDIRECT("'"&amp;$C10&amp;"'!L23:L200")="W")*(INDIRECT("'"&amp;$C10&amp;"'!J23:J200")=VALUE(LEFT(L$5,1)))*(INDIRECT("'"&amp;$C10&amp;"'!K23:K200")=VALUE(RIGHT(L$5,1))),1,0)))</f>
        <v>0</v>
      </c>
      <c r="M10" s="226">
        <f t="array" aca="1" ref="M10" ca="1">IF($C10="","",SUM(IF((INDIRECT("'"&amp;$C10&amp;"'!I23:I200")=$D$1)*(INDIRECT("'"&amp;$C10&amp;"'!H23:H200")="H")*(INDIRECT("'"&amp;$C10&amp;"'!L23:L200")="W")*(INDIRECT("'"&amp;$C10&amp;"'!J23:J200")=VALUE(LEFT(M$5,1)))*(INDIRECT("'"&amp;$C10&amp;"'!K23:K200")=VALUE(RIGHT(M$5,1))),1,0)))</f>
        <v>0</v>
      </c>
      <c r="N10" s="226">
        <f t="array" aca="1" ref="N10" ca="1">IF($C10="","",SUM(IF((INDIRECT("'"&amp;$C10&amp;"'!I23:I200")=$D$1)*(INDIRECT("'"&amp;$C10&amp;"'!H23:H200")="H")*(INDIRECT("'"&amp;$C10&amp;"'!L23:L200")="W")*(INDIRECT("'"&amp;$C10&amp;"'!J23:J200")=VALUE(LEFT(N$5,1)))*(INDIRECT("'"&amp;$C10&amp;"'!K23:K200")=VALUE(RIGHT(N$5,1))),1,0)))</f>
        <v>0</v>
      </c>
      <c r="O10" s="226">
        <f t="array" aca="1" ref="O10" ca="1">IF($C10="","",SUM(IF((INDIRECT("'"&amp;$C10&amp;"'!I23:I200")=$D$1)*(INDIRECT("'"&amp;$C10&amp;"'!H23:H200")="H")*(INDIRECT("'"&amp;$C10&amp;"'!L23:L200")="W")*(INDIRECT("'"&amp;$C10&amp;"'!J23:J200")=VALUE(LEFT(O$5,1)))*(INDIRECT("'"&amp;$C10&amp;"'!K23:K200")=VALUE(RIGHT(O$5,1))),1,0)))</f>
        <v>0</v>
      </c>
      <c r="P10" s="226">
        <f t="array" aca="1" ref="P10" ca="1">IF($C10="","",SUM(IF((INDIRECT("'"&amp;$C10&amp;"'!I23:I200")=$D$1)*(INDIRECT("'"&amp;$C10&amp;"'!H23:H200")="H")*(INDIRECT("'"&amp;$C10&amp;"'!L23:L200")="W"),1,0))-SUM(D10:O10))</f>
        <v>3</v>
      </c>
      <c r="Q10" s="226">
        <f t="array" aca="1" ref="Q10" ca="1">IF($C10="","",SUM(IF((INDIRECT("'"&amp;$C10&amp;"'!I23:I200")=$D$1)*(INDIRECT("'"&amp;$C10&amp;"'!H23:H200")="H")*(INDIRECT("'"&amp;$C10&amp;"'!L23:L200")="D")*(INDIRECT("'"&amp;$C10&amp;"'!J23:J200")=VALUE(LEFT(Q$5,1)))*(INDIRECT("'"&amp;$C10&amp;"'!K23:K200")=VALUE(RIGHT(Q$5,1))),1,0)))</f>
        <v>1</v>
      </c>
      <c r="R10" s="226">
        <f t="array" aca="1" ref="R10" ca="1">IF($C10="","",SUM(IF((INDIRECT("'"&amp;$C10&amp;"'!I23:I200")=$D$1)*(INDIRECT("'"&amp;$C10&amp;"'!H23:H200")="H")*(INDIRECT("'"&amp;$C10&amp;"'!L23:L200")="D")*(INDIRECT("'"&amp;$C10&amp;"'!J23:J200")=VALUE(LEFT(R$5,1)))*(INDIRECT("'"&amp;$C10&amp;"'!K23:K200")=VALUE(RIGHT(R$5,1))),1,0)))</f>
        <v>2</v>
      </c>
      <c r="S10" s="226">
        <f t="array" aca="1" ref="S10" ca="1">IF($C10="","",SUM(IF((INDIRECT("'"&amp;$C10&amp;"'!I23:I200")=$D$1)*(INDIRECT("'"&amp;$C10&amp;"'!H23:H200")="H")*(INDIRECT("'"&amp;$C10&amp;"'!L23:L200")="D")*(INDIRECT("'"&amp;$C10&amp;"'!J23:J200")=VALUE(LEFT(S$5,1)))*(INDIRECT("'"&amp;$C10&amp;"'!K23:K200")=VALUE(RIGHT(S$5,1))),1,0)))</f>
        <v>0</v>
      </c>
      <c r="T10" s="226">
        <f t="array" aca="1" ref="T10" ca="1">IF($C10="","",SUM(IF((INDIRECT("'"&amp;$C10&amp;"'!I23:I200")=$D$1)*(INDIRECT("'"&amp;$C10&amp;"'!H23:H200")="H")*(INDIRECT("'"&amp;$C10&amp;"'!L23:L200")="D")*(INDIRECT("'"&amp;$C10&amp;"'!J23:J200")=VALUE(LEFT(T$5,1)))*(INDIRECT("'"&amp;$C10&amp;"'!K23:K200")=VALUE(RIGHT(T$5,1))),1,0)))</f>
        <v>2</v>
      </c>
      <c r="U10" s="226">
        <f t="array" aca="1" ref="U10" ca="1">IF($C10="","",SUM(IF((INDIRECT("'"&amp;$C10&amp;"'!I23:I200")=$D$1)*(INDIRECT("'"&amp;$C10&amp;"'!H23:H200")="H")*(INDIRECT("'"&amp;$C10&amp;"'!L23:L200")="D"),1,0))-SUM(Q10:T10))</f>
        <v>0</v>
      </c>
      <c r="V10" s="226">
        <f t="array" aca="1" ref="V10" ca="1">IF($C10="","",SUM(IF((INDIRECT("'"&amp;$C10&amp;"'!I23:I200")=$D$1)*(INDIRECT("'"&amp;$C10&amp;"'!H23:H200")="H")*(INDIRECT("'"&amp;$C10&amp;"'!L23:L200")="L")*(INDIRECT("'"&amp;$C10&amp;"'!J23:J200")=VALUE(LEFT(V$5,1)))*(INDIRECT("'"&amp;$C10&amp;"'!K23:K200")=VALUE(RIGHT(V$5,1))),1,0)))</f>
        <v>0</v>
      </c>
      <c r="W10" s="226">
        <f t="array" aca="1" ref="W10" ca="1">IF($C10="","",SUM(IF((INDIRECT("'"&amp;$C10&amp;"'!I23:I200")=$D$1)*(INDIRECT("'"&amp;$C10&amp;"'!H23:H200")="H")*(INDIRECT("'"&amp;$C10&amp;"'!L23:L200")="L")*(INDIRECT("'"&amp;$C10&amp;"'!J23:J200")=VALUE(LEFT(W$5,1)))*(INDIRECT("'"&amp;$C10&amp;"'!K23:K200")=VALUE(RIGHT(W$5,1))),1,0)))</f>
        <v>0</v>
      </c>
      <c r="X10" s="226">
        <f t="array" aca="1" ref="X10" ca="1">IF($C10="","",SUM(IF((INDIRECT("'"&amp;$C10&amp;"'!I23:I200")=$D$1)*(INDIRECT("'"&amp;$C10&amp;"'!H23:H200")="H")*(INDIRECT("'"&amp;$C10&amp;"'!L23:L200")="L")*(INDIRECT("'"&amp;$C10&amp;"'!J23:J200")=VALUE(LEFT(X$5,1)))*(INDIRECT("'"&amp;$C10&amp;"'!K23:K200")=VALUE(RIGHT(X$5,1))),1,0)))</f>
        <v>3</v>
      </c>
      <c r="Y10" s="226">
        <f t="array" aca="1" ref="Y10" ca="1">IF($C10="","",SUM(IF((INDIRECT("'"&amp;$C10&amp;"'!I23:I200")=$D$1)*(INDIRECT("'"&amp;$C10&amp;"'!H23:H200")="H")*(INDIRECT("'"&amp;$C10&amp;"'!L23:L200")="L")*(INDIRECT("'"&amp;$C10&amp;"'!J23:J200")=VALUE(LEFT(Y$5,1)))*(INDIRECT("'"&amp;$C10&amp;"'!K23:K200")=VALUE(RIGHT(Y$5,1))),1,0)))</f>
        <v>0</v>
      </c>
      <c r="Z10" s="226">
        <f t="array" aca="1" ref="Z10" ca="1">IF($C10="","",SUM(IF((INDIRECT("'"&amp;$C10&amp;"'!I23:I200")=$D$1)*(INDIRECT("'"&amp;$C10&amp;"'!H23:H200")="H")*(INDIRECT("'"&amp;$C10&amp;"'!L23:L200")="L")*(INDIRECT("'"&amp;$C10&amp;"'!J23:J200")=VALUE(LEFT(Z$5,1)))*(INDIRECT("'"&amp;$C10&amp;"'!K23:K200")=VALUE(RIGHT(Z$5,1))),1,0)))</f>
        <v>0</v>
      </c>
      <c r="AA10" s="226">
        <f t="array" aca="1" ref="AA10" ca="1">IF($C10="","",SUM(IF((INDIRECT("'"&amp;$C10&amp;"'!I23:I200")=$D$1)*(INDIRECT("'"&amp;$C10&amp;"'!H23:H200")="H")*(INDIRECT("'"&amp;$C10&amp;"'!L23:L200")="L")*(INDIRECT("'"&amp;$C10&amp;"'!J23:J200")=VALUE(LEFT(AA$5,1)))*(INDIRECT("'"&amp;$C10&amp;"'!K23:K200")=VALUE(RIGHT(AA$5,1))),1,0)))</f>
        <v>1</v>
      </c>
      <c r="AB10" s="226">
        <f t="array" aca="1" ref="AB10" ca="1">IF($C10="","",SUM(IF((INDIRECT("'"&amp;$C10&amp;"'!I23:I200")=$D$1)*(INDIRECT("'"&amp;$C10&amp;"'!H23:H200")="H")*(INDIRECT("'"&amp;$C10&amp;"'!L23:L200")="L")*(INDIRECT("'"&amp;$C10&amp;"'!J23:J200")=VALUE(LEFT(AB$5,1)))*(INDIRECT("'"&amp;$C10&amp;"'!K23:K200")=VALUE(RIGHT(AB$5,1))),1,0)))</f>
        <v>0</v>
      </c>
      <c r="AC10" s="226">
        <f t="array" aca="1" ref="AC10" ca="1">IF($C10="","",SUM(IF((INDIRECT("'"&amp;$C10&amp;"'!I23:I200")=$D$1)*(INDIRECT("'"&amp;$C10&amp;"'!H23:H200")="H")*(INDIRECT("'"&amp;$C10&amp;"'!L23:L200")="L")*(INDIRECT("'"&amp;$C10&amp;"'!J23:J200")=VALUE(LEFT(AC$5,1)))*(INDIRECT("'"&amp;$C10&amp;"'!K23:K200")=VALUE(RIGHT(AC$5,1))),1,0)))</f>
        <v>0</v>
      </c>
      <c r="AD10" s="226">
        <f t="array" aca="1" ref="AD10" ca="1">IF($C10="","",SUM(IF((INDIRECT("'"&amp;$C10&amp;"'!I23:I200")=$D$1)*(INDIRECT("'"&amp;$C10&amp;"'!H23:H200")="H")*(INDIRECT("'"&amp;$C10&amp;"'!L23:L200")="L")*(INDIRECT("'"&amp;$C10&amp;"'!J23:J200")=VALUE(LEFT(AD$5,1)))*(INDIRECT("'"&amp;$C10&amp;"'!K23:K200")=VALUE(RIGHT(AD$5,1))),1,0)))</f>
        <v>0</v>
      </c>
      <c r="AE10" s="226">
        <f t="array" aca="1" ref="AE10" ca="1">IF($C10="","",SUM(IF((INDIRECT("'"&amp;$C10&amp;"'!I23:I200")=$D$1)*(INDIRECT("'"&amp;$C10&amp;"'!H23:H200")="H")*(INDIRECT("'"&amp;$C10&amp;"'!L23:L200")="L")*(INDIRECT("'"&amp;$C10&amp;"'!J23:J200")=VALUE(LEFT(AE$5,1)))*(INDIRECT("'"&amp;$C10&amp;"'!K23:K200")=VALUE(RIGHT(AE$5,1))),1,0)))</f>
        <v>0</v>
      </c>
      <c r="AF10" s="226">
        <f t="array" aca="1" ref="AF10" ca="1">IF($C10="","",SUM(IF((INDIRECT("'"&amp;$C10&amp;"'!I23:I200")=$D$1)*(INDIRECT("'"&amp;$C10&amp;"'!H23:H200")="H")*(INDIRECT("'"&amp;$C10&amp;"'!L23:L200")="L")*(INDIRECT("'"&amp;$C10&amp;"'!J23:J200")=VALUE(LEFT(AF$5,1)))*(INDIRECT("'"&amp;$C10&amp;"'!K23:K200")=VALUE(RIGHT(AF$5,1))),1,0)))</f>
        <v>0</v>
      </c>
      <c r="AG10" s="226">
        <f t="array" aca="1" ref="AG10" ca="1">IF($C10="","",SUM(IF((INDIRECT("'"&amp;$C10&amp;"'!I23:I200")=$D$1)*(INDIRECT("'"&amp;$C10&amp;"'!H23:H200")="H")*(INDIRECT("'"&amp;$C10&amp;"'!L23:L200")="L")*(INDIRECT("'"&amp;$C10&amp;"'!J23:J200")=VALUE(LEFT(AG$5,1)))*(INDIRECT("'"&amp;$C10&amp;"'!K23:K200")=VALUE(RIGHT(AG$5,1))),1,0)))</f>
        <v>0</v>
      </c>
      <c r="AH10" s="227">
        <f t="array" aca="1" ref="AH10" ca="1">IF($C10="","",SUM(IF((INDIRECT("'"&amp;$C10&amp;"'!I23:I200")=$D$1)*(INDIRECT("'"&amp;$C10&amp;"'!H23:H200")="H")*(INDIRECT("'"&amp;$C10&amp;"'!L23:L200")="L"),1,0))-SUM(V10:AG10))</f>
        <v>0</v>
      </c>
    </row>
    <row r="11" spans="1:34" ht="14.25">
      <c r="A11" s="228">
        <v>6</v>
      </c>
      <c r="B11" s="229" t="str">
        <f ca="1">IF($A11&gt;$D$3,"",VLOOKUP($A11,Table!$A$9:$C$30,2,FALSE))</f>
        <v>JEF United</v>
      </c>
      <c r="C11" s="225" t="str">
        <f ca="1">IF($A11&gt;$D$3,"",VLOOKUP($A11,Table!$A$9:$C$30,3,FALSE))</f>
        <v>JEF United</v>
      </c>
      <c r="D11" s="226">
        <f t="array" aca="1" ref="D11" ca="1">IF($C11="","",SUM(IF((INDIRECT("'"&amp;$C11&amp;"'!H23:H200")=$D$1)*(INDIRECT("'"&amp;$C11&amp;"'!H23:H200")="H")*(INDIRECT("'"&amp;$C11&amp;"'!K23:K200")="W")*(INDIRECT("'"&amp;$C11&amp;"'!I23:I200")=VALUE(LEFT(D$5,1)))*(INDIRECT("'"&amp;$C11&amp;"'!H23:H200")=VALUE(RIGHT(D$5,1))),1,0)))</f>
        <v>0</v>
      </c>
      <c r="E11" s="226">
        <f t="array" aca="1" ref="E11" ca="1">IF($C11="","",SUM(IF((INDIRECT("'"&amp;$C11&amp;"'!I23:I200")=$D$1)*(INDIRECT("'"&amp;$C11&amp;"'!H23:H200")="H")*(INDIRECT("'"&amp;$C11&amp;"'!L23:L200")="W")*(INDIRECT("'"&amp;$C11&amp;"'!J23:J200")=VALUE(LEFT(E$5,1)))*(INDIRECT("'"&amp;$C11&amp;"'!K23:K200")=VALUE(RIGHT(E$5,1))),1,0)))</f>
        <v>3</v>
      </c>
      <c r="F11" s="226">
        <f t="array" aca="1" ref="F11" ca="1">IF($C11="","",SUM(IF((INDIRECT("'"&amp;$C11&amp;"'!I23:I200")=$D$1)*(INDIRECT("'"&amp;$C11&amp;"'!H23:H200")="H")*(INDIRECT("'"&amp;$C11&amp;"'!L23:L200")="W")*(INDIRECT("'"&amp;$C11&amp;"'!J23:J200")=VALUE(LEFT(F$5,1)))*(INDIRECT("'"&amp;$C11&amp;"'!K23:K200")=VALUE(RIGHT(F$5,1))),1,0)))</f>
        <v>4</v>
      </c>
      <c r="G11" s="226">
        <f t="array" aca="1" ref="G11" ca="1">IF($C11="","",SUM(IF((INDIRECT("'"&amp;$C11&amp;"'!I23:I200")=$D$1)*(INDIRECT("'"&amp;$C11&amp;"'!H23:H200")="H")*(INDIRECT("'"&amp;$C11&amp;"'!L23:L200")="W")*(INDIRECT("'"&amp;$C11&amp;"'!J23:J200")=VALUE(LEFT(G$5,1)))*(INDIRECT("'"&amp;$C11&amp;"'!K23:K200")=VALUE(RIGHT(G$5,1))),1,0)))</f>
        <v>0</v>
      </c>
      <c r="H11" s="226">
        <f t="array" aca="1" ref="H11" ca="1">IF($C11="","",SUM(IF((INDIRECT("'"&amp;$C11&amp;"'!I23:I200")=$D$1)*(INDIRECT("'"&amp;$C11&amp;"'!H23:H200")="H")*(INDIRECT("'"&amp;$C11&amp;"'!L23:L200")="W")*(INDIRECT("'"&amp;$C11&amp;"'!J23:J200")=VALUE(LEFT(H$5,1)))*(INDIRECT("'"&amp;$C11&amp;"'!K23:K200")=VALUE(RIGHT(H$5,1))),1,0)))</f>
        <v>1</v>
      </c>
      <c r="I11" s="226">
        <f t="array" aca="1" ref="I11" ca="1">IF($C11="","",SUM(IF((INDIRECT("'"&amp;$C11&amp;"'!I23:I200")=$D$1)*(INDIRECT("'"&amp;$C11&amp;"'!H23:H200")="H")*(INDIRECT("'"&amp;$C11&amp;"'!L23:L200")="W")*(INDIRECT("'"&amp;$C11&amp;"'!J23:J200")=VALUE(LEFT(I$5,1)))*(INDIRECT("'"&amp;$C11&amp;"'!K23:K200")=VALUE(RIGHT(I$5,1))),1,0)))</f>
        <v>0</v>
      </c>
      <c r="J11" s="226">
        <f t="array" aca="1" ref="J11" ca="1">IF($C11="","",SUM(IF((INDIRECT("'"&amp;$C11&amp;"'!I23:I200")=$D$1)*(INDIRECT("'"&amp;$C11&amp;"'!H23:H200")="H")*(INDIRECT("'"&amp;$C11&amp;"'!L23:L200")="W")*(INDIRECT("'"&amp;$C11&amp;"'!J23:J200")=VALUE(LEFT(J$5,1)))*(INDIRECT("'"&amp;$C11&amp;"'!K23:K200")=VALUE(RIGHT(J$5,1))),1,0)))</f>
        <v>0</v>
      </c>
      <c r="K11" s="226">
        <f t="array" aca="1" ref="K11" ca="1">IF($C11="","",SUM(IF((INDIRECT("'"&amp;$C11&amp;"'!I23:I200")=$D$1)*(INDIRECT("'"&amp;$C11&amp;"'!H23:H200")="H")*(INDIRECT("'"&amp;$C11&amp;"'!L23:L200")="W")*(INDIRECT("'"&amp;$C11&amp;"'!J23:J200")=VALUE(LEFT(K$5,1)))*(INDIRECT("'"&amp;$C11&amp;"'!K23:K200")=VALUE(RIGHT(K$5,1))),1,0)))</f>
        <v>1</v>
      </c>
      <c r="L11" s="226">
        <f t="array" aca="1" ref="L11" ca="1">IF($C11="","",SUM(IF((INDIRECT("'"&amp;$C11&amp;"'!I23:I200")=$D$1)*(INDIRECT("'"&amp;$C11&amp;"'!H23:H200")="H")*(INDIRECT("'"&amp;$C11&amp;"'!L23:L200")="W")*(INDIRECT("'"&amp;$C11&amp;"'!J23:J200")=VALUE(LEFT(L$5,1)))*(INDIRECT("'"&amp;$C11&amp;"'!K23:K200")=VALUE(RIGHT(L$5,1))),1,0)))</f>
        <v>1</v>
      </c>
      <c r="M11" s="226">
        <f t="array" aca="1" ref="M11" ca="1">IF($C11="","",SUM(IF((INDIRECT("'"&amp;$C11&amp;"'!I23:I200")=$D$1)*(INDIRECT("'"&amp;$C11&amp;"'!H23:H200")="H")*(INDIRECT("'"&amp;$C11&amp;"'!L23:L200")="W")*(INDIRECT("'"&amp;$C11&amp;"'!J23:J200")=VALUE(LEFT(M$5,1)))*(INDIRECT("'"&amp;$C11&amp;"'!K23:K200")=VALUE(RIGHT(M$5,1))),1,0)))</f>
        <v>1</v>
      </c>
      <c r="N11" s="226">
        <f t="array" aca="1" ref="N11" ca="1">IF($C11="","",SUM(IF((INDIRECT("'"&amp;$C11&amp;"'!I23:I200")=$D$1)*(INDIRECT("'"&amp;$C11&amp;"'!H23:H200")="H")*(INDIRECT("'"&amp;$C11&amp;"'!L23:L200")="W")*(INDIRECT("'"&amp;$C11&amp;"'!J23:J200")=VALUE(LEFT(N$5,1)))*(INDIRECT("'"&amp;$C11&amp;"'!K23:K200")=VALUE(RIGHT(N$5,1))),1,0)))</f>
        <v>1</v>
      </c>
      <c r="O11" s="226">
        <f t="array" aca="1" ref="O11" ca="1">IF($C11="","",SUM(IF((INDIRECT("'"&amp;$C11&amp;"'!I23:I200")=$D$1)*(INDIRECT("'"&amp;$C11&amp;"'!H23:H200")="H")*(INDIRECT("'"&amp;$C11&amp;"'!L23:L200")="W")*(INDIRECT("'"&amp;$C11&amp;"'!J23:J200")=VALUE(LEFT(O$5,1)))*(INDIRECT("'"&amp;$C11&amp;"'!K23:K200")=VALUE(RIGHT(O$5,1))),1,0)))</f>
        <v>0</v>
      </c>
      <c r="P11" s="226">
        <f t="array" aca="1" ref="P11" ca="1">IF($C11="","",SUM(IF((INDIRECT("'"&amp;$C11&amp;"'!I23:I200")=$D$1)*(INDIRECT("'"&amp;$C11&amp;"'!H23:H200")="H")*(INDIRECT("'"&amp;$C11&amp;"'!L23:L200")="W"),1,0))-SUM(D11:O11))</f>
        <v>1</v>
      </c>
      <c r="Q11" s="226">
        <f t="array" aca="1" ref="Q11" ca="1">IF($C11="","",SUM(IF((INDIRECT("'"&amp;$C11&amp;"'!I23:I200")=$D$1)*(INDIRECT("'"&amp;$C11&amp;"'!H23:H200")="H")*(INDIRECT("'"&amp;$C11&amp;"'!L23:L200")="D")*(INDIRECT("'"&amp;$C11&amp;"'!J23:J200")=VALUE(LEFT(Q$5,1)))*(INDIRECT("'"&amp;$C11&amp;"'!K23:K200")=VALUE(RIGHT(Q$5,1))),1,0)))</f>
        <v>1</v>
      </c>
      <c r="R11" s="226">
        <f t="array" aca="1" ref="R11" ca="1">IF($C11="","",SUM(IF((INDIRECT("'"&amp;$C11&amp;"'!I23:I200")=$D$1)*(INDIRECT("'"&amp;$C11&amp;"'!H23:H200")="H")*(INDIRECT("'"&amp;$C11&amp;"'!L23:L200")="D")*(INDIRECT("'"&amp;$C11&amp;"'!J23:J200")=VALUE(LEFT(R$5,1)))*(INDIRECT("'"&amp;$C11&amp;"'!K23:K200")=VALUE(RIGHT(R$5,1))),1,0)))</f>
        <v>3</v>
      </c>
      <c r="S11" s="226">
        <f t="array" aca="1" ref="S11" ca="1">IF($C11="","",SUM(IF((INDIRECT("'"&amp;$C11&amp;"'!I23:I200")=$D$1)*(INDIRECT("'"&amp;$C11&amp;"'!H23:H200")="H")*(INDIRECT("'"&amp;$C11&amp;"'!L23:L200")="D")*(INDIRECT("'"&amp;$C11&amp;"'!J23:J200")=VALUE(LEFT(S$5,1)))*(INDIRECT("'"&amp;$C11&amp;"'!K23:K200")=VALUE(RIGHT(S$5,1))),1,0)))</f>
        <v>2</v>
      </c>
      <c r="T11" s="226">
        <f t="array" aca="1" ref="T11" ca="1">IF($C11="","",SUM(IF((INDIRECT("'"&amp;$C11&amp;"'!I23:I200")=$D$1)*(INDIRECT("'"&amp;$C11&amp;"'!H23:H200")="H")*(INDIRECT("'"&amp;$C11&amp;"'!L23:L200")="D")*(INDIRECT("'"&amp;$C11&amp;"'!J23:J200")=VALUE(LEFT(T$5,1)))*(INDIRECT("'"&amp;$C11&amp;"'!K23:K200")=VALUE(RIGHT(T$5,1))),1,0)))</f>
        <v>0</v>
      </c>
      <c r="U11" s="226">
        <f t="array" aca="1" ref="U11" ca="1">IF($C11="","",SUM(IF((INDIRECT("'"&amp;$C11&amp;"'!I23:I200")=$D$1)*(INDIRECT("'"&amp;$C11&amp;"'!H23:H200")="H")*(INDIRECT("'"&amp;$C11&amp;"'!L23:L200")="D"),1,0))-SUM(Q11:T11))</f>
        <v>0</v>
      </c>
      <c r="V11" s="226">
        <f t="array" aca="1" ref="V11" ca="1">IF($C11="","",SUM(IF((INDIRECT("'"&amp;$C11&amp;"'!I23:I200")=$D$1)*(INDIRECT("'"&amp;$C11&amp;"'!H23:H200")="H")*(INDIRECT("'"&amp;$C11&amp;"'!L23:L200")="L")*(INDIRECT("'"&amp;$C11&amp;"'!J23:J200")=VALUE(LEFT(V$5,1)))*(INDIRECT("'"&amp;$C11&amp;"'!K23:K200")=VALUE(RIGHT(V$5,1))),1,0)))</f>
        <v>1</v>
      </c>
      <c r="W11" s="226">
        <f t="array" aca="1" ref="W11" ca="1">IF($C11="","",SUM(IF((INDIRECT("'"&amp;$C11&amp;"'!I23:I200")=$D$1)*(INDIRECT("'"&amp;$C11&amp;"'!H23:H200")="H")*(INDIRECT("'"&amp;$C11&amp;"'!L23:L200")="L")*(INDIRECT("'"&amp;$C11&amp;"'!J23:J200")=VALUE(LEFT(W$5,1)))*(INDIRECT("'"&amp;$C11&amp;"'!K23:K200")=VALUE(RIGHT(W$5,1))),1,0)))</f>
        <v>0</v>
      </c>
      <c r="X11" s="226">
        <f t="array" aca="1" ref="X11" ca="1">IF($C11="","",SUM(IF((INDIRECT("'"&amp;$C11&amp;"'!I23:I200")=$D$1)*(INDIRECT("'"&amp;$C11&amp;"'!H23:H200")="H")*(INDIRECT("'"&amp;$C11&amp;"'!L23:L200")="L")*(INDIRECT("'"&amp;$C11&amp;"'!J23:J200")=VALUE(LEFT(X$5,1)))*(INDIRECT("'"&amp;$C11&amp;"'!K23:K200")=VALUE(RIGHT(X$5,1))),1,0)))</f>
        <v>0</v>
      </c>
      <c r="Y11" s="226">
        <f t="array" aca="1" ref="Y11" ca="1">IF($C11="","",SUM(IF((INDIRECT("'"&amp;$C11&amp;"'!I23:I200")=$D$1)*(INDIRECT("'"&amp;$C11&amp;"'!H23:H200")="H")*(INDIRECT("'"&amp;$C11&amp;"'!L23:L200")="L")*(INDIRECT("'"&amp;$C11&amp;"'!J23:J200")=VALUE(LEFT(Y$5,1)))*(INDIRECT("'"&amp;$C11&amp;"'!K23:K200")=VALUE(RIGHT(Y$5,1))),1,0)))</f>
        <v>0</v>
      </c>
      <c r="Z11" s="226">
        <f t="array" aca="1" ref="Z11" ca="1">IF($C11="","",SUM(IF((INDIRECT("'"&amp;$C11&amp;"'!I23:I200")=$D$1)*(INDIRECT("'"&amp;$C11&amp;"'!H23:H200")="H")*(INDIRECT("'"&amp;$C11&amp;"'!L23:L200")="L")*(INDIRECT("'"&amp;$C11&amp;"'!J23:J200")=VALUE(LEFT(Z$5,1)))*(INDIRECT("'"&amp;$C11&amp;"'!K23:K200")=VALUE(RIGHT(Z$5,1))),1,0)))</f>
        <v>1</v>
      </c>
      <c r="AA11" s="226">
        <f t="array" aca="1" ref="AA11" ca="1">IF($C11="","",SUM(IF((INDIRECT("'"&amp;$C11&amp;"'!I23:I200")=$D$1)*(INDIRECT("'"&amp;$C11&amp;"'!H23:H200")="H")*(INDIRECT("'"&amp;$C11&amp;"'!L23:L200")="L")*(INDIRECT("'"&amp;$C11&amp;"'!J23:J200")=VALUE(LEFT(AA$5,1)))*(INDIRECT("'"&amp;$C11&amp;"'!K23:K200")=VALUE(RIGHT(AA$5,1))),1,0)))</f>
        <v>0</v>
      </c>
      <c r="AB11" s="226">
        <f t="array" aca="1" ref="AB11" ca="1">IF($C11="","",SUM(IF((INDIRECT("'"&amp;$C11&amp;"'!I23:I200")=$D$1)*(INDIRECT("'"&amp;$C11&amp;"'!H23:H200")="H")*(INDIRECT("'"&amp;$C11&amp;"'!L23:L200")="L")*(INDIRECT("'"&amp;$C11&amp;"'!J23:J200")=VALUE(LEFT(AB$5,1)))*(INDIRECT("'"&amp;$C11&amp;"'!K23:K200")=VALUE(RIGHT(AB$5,1))),1,0)))</f>
        <v>0</v>
      </c>
      <c r="AC11" s="226">
        <f t="array" aca="1" ref="AC11" ca="1">IF($C11="","",SUM(IF((INDIRECT("'"&amp;$C11&amp;"'!I23:I200")=$D$1)*(INDIRECT("'"&amp;$C11&amp;"'!H23:H200")="H")*(INDIRECT("'"&amp;$C11&amp;"'!L23:L200")="L")*(INDIRECT("'"&amp;$C11&amp;"'!J23:J200")=VALUE(LEFT(AC$5,1)))*(INDIRECT("'"&amp;$C11&amp;"'!K23:K200")=VALUE(RIGHT(AC$5,1))),1,0)))</f>
        <v>0</v>
      </c>
      <c r="AD11" s="226">
        <f t="array" aca="1" ref="AD11" ca="1">IF($C11="","",SUM(IF((INDIRECT("'"&amp;$C11&amp;"'!I23:I200")=$D$1)*(INDIRECT("'"&amp;$C11&amp;"'!H23:H200")="H")*(INDIRECT("'"&amp;$C11&amp;"'!L23:L200")="L")*(INDIRECT("'"&amp;$C11&amp;"'!J23:J200")=VALUE(LEFT(AD$5,1)))*(INDIRECT("'"&amp;$C11&amp;"'!K23:K200")=VALUE(RIGHT(AD$5,1))),1,0)))</f>
        <v>0</v>
      </c>
      <c r="AE11" s="226">
        <f t="array" aca="1" ref="AE11" ca="1">IF($C11="","",SUM(IF((INDIRECT("'"&amp;$C11&amp;"'!I23:I200")=$D$1)*(INDIRECT("'"&amp;$C11&amp;"'!H23:H200")="H")*(INDIRECT("'"&amp;$C11&amp;"'!L23:L200")="L")*(INDIRECT("'"&amp;$C11&amp;"'!J23:J200")=VALUE(LEFT(AE$5,1)))*(INDIRECT("'"&amp;$C11&amp;"'!K23:K200")=VALUE(RIGHT(AE$5,1))),1,0)))</f>
        <v>0</v>
      </c>
      <c r="AF11" s="226">
        <f t="array" aca="1" ref="AF11" ca="1">IF($C11="","",SUM(IF((INDIRECT("'"&amp;$C11&amp;"'!I23:I200")=$D$1)*(INDIRECT("'"&amp;$C11&amp;"'!H23:H200")="H")*(INDIRECT("'"&amp;$C11&amp;"'!L23:L200")="L")*(INDIRECT("'"&amp;$C11&amp;"'!J23:J200")=VALUE(LEFT(AF$5,1)))*(INDIRECT("'"&amp;$C11&amp;"'!K23:K200")=VALUE(RIGHT(AF$5,1))),1,0)))</f>
        <v>0</v>
      </c>
      <c r="AG11" s="226">
        <f t="array" aca="1" ref="AG11" ca="1">IF($C11="","",SUM(IF((INDIRECT("'"&amp;$C11&amp;"'!I23:I200")=$D$1)*(INDIRECT("'"&amp;$C11&amp;"'!H23:H200")="H")*(INDIRECT("'"&amp;$C11&amp;"'!L23:L200")="L")*(INDIRECT("'"&amp;$C11&amp;"'!J23:J200")=VALUE(LEFT(AG$5,1)))*(INDIRECT("'"&amp;$C11&amp;"'!K23:K200")=VALUE(RIGHT(AG$5,1))),1,0)))</f>
        <v>0</v>
      </c>
      <c r="AH11" s="227">
        <f t="array" aca="1" ref="AH11" ca="1">IF($C11="","",SUM(IF((INDIRECT("'"&amp;$C11&amp;"'!I23:I200")=$D$1)*(INDIRECT("'"&amp;$C11&amp;"'!H23:H200")="H")*(INDIRECT("'"&amp;$C11&amp;"'!L23:L200")="L"),1,0))-SUM(V11:AG11))</f>
        <v>0</v>
      </c>
    </row>
    <row r="12" spans="1:34" ht="14.25">
      <c r="A12" s="228">
        <v>7</v>
      </c>
      <c r="B12" s="229" t="str">
        <f ca="1">IF($A12&gt;$D$3,"",VLOOKUP($A12,Table!$A$9:$C$30,2,FALSE))</f>
        <v>Tokushima Vortis</v>
      </c>
      <c r="C12" s="225" t="str">
        <f ca="1">IF($A12&gt;$D$3,"",VLOOKUP($A12,Table!$A$9:$C$30,3,FALSE))</f>
        <v>Tokushima Vortis</v>
      </c>
      <c r="D12" s="226">
        <f t="array" aca="1" ref="D12" ca="1">IF($C12="","",SUM(IF((INDIRECT("'"&amp;$C12&amp;"'!H23:H200")=$D$1)*(INDIRECT("'"&amp;$C12&amp;"'!H23:H200")="H")*(INDIRECT("'"&amp;$C12&amp;"'!K23:K200")="W")*(INDIRECT("'"&amp;$C12&amp;"'!I23:I200")=VALUE(LEFT(D$5,1)))*(INDIRECT("'"&amp;$C12&amp;"'!H23:H200")=VALUE(RIGHT(D$5,1))),1,0)))</f>
        <v>0</v>
      </c>
      <c r="E12" s="226">
        <f t="array" aca="1" ref="E12" ca="1">IF($C12="","",SUM(IF((INDIRECT("'"&amp;$C12&amp;"'!I23:I200")=$D$1)*(INDIRECT("'"&amp;$C12&amp;"'!H23:H200")="H")*(INDIRECT("'"&amp;$C12&amp;"'!L23:L200")="W")*(INDIRECT("'"&amp;$C12&amp;"'!J23:J200")=VALUE(LEFT(E$5,1)))*(INDIRECT("'"&amp;$C12&amp;"'!K23:K200")=VALUE(RIGHT(E$5,1))),1,0)))</f>
        <v>0</v>
      </c>
      <c r="F12" s="226">
        <f t="array" aca="1" ref="F12" ca="1">IF($C12="","",SUM(IF((INDIRECT("'"&amp;$C12&amp;"'!I23:I200")=$D$1)*(INDIRECT("'"&amp;$C12&amp;"'!H23:H200")="H")*(INDIRECT("'"&amp;$C12&amp;"'!L23:L200")="W")*(INDIRECT("'"&amp;$C12&amp;"'!J23:J200")=VALUE(LEFT(F$5,1)))*(INDIRECT("'"&amp;$C12&amp;"'!K23:K200")=VALUE(RIGHT(F$5,1))),1,0)))</f>
        <v>1</v>
      </c>
      <c r="G12" s="226">
        <f t="array" aca="1" ref="G12" ca="1">IF($C12="","",SUM(IF((INDIRECT("'"&amp;$C12&amp;"'!I23:I200")=$D$1)*(INDIRECT("'"&amp;$C12&amp;"'!H23:H200")="H")*(INDIRECT("'"&amp;$C12&amp;"'!L23:L200")="W")*(INDIRECT("'"&amp;$C12&amp;"'!J23:J200")=VALUE(LEFT(G$5,1)))*(INDIRECT("'"&amp;$C12&amp;"'!K23:K200")=VALUE(RIGHT(G$5,1))),1,0)))</f>
        <v>1</v>
      </c>
      <c r="H12" s="226">
        <f t="array" aca="1" ref="H12" ca="1">IF($C12="","",SUM(IF((INDIRECT("'"&amp;$C12&amp;"'!I23:I200")=$D$1)*(INDIRECT("'"&amp;$C12&amp;"'!H23:H200")="H")*(INDIRECT("'"&amp;$C12&amp;"'!L23:L200")="W")*(INDIRECT("'"&amp;$C12&amp;"'!J23:J200")=VALUE(LEFT(H$5,1)))*(INDIRECT("'"&amp;$C12&amp;"'!K23:K200")=VALUE(RIGHT(H$5,1))),1,0)))</f>
        <v>1</v>
      </c>
      <c r="I12" s="226">
        <f t="array" aca="1" ref="I12" ca="1">IF($C12="","",SUM(IF((INDIRECT("'"&amp;$C12&amp;"'!I23:I200")=$D$1)*(INDIRECT("'"&amp;$C12&amp;"'!H23:H200")="H")*(INDIRECT("'"&amp;$C12&amp;"'!L23:L200")="W")*(INDIRECT("'"&amp;$C12&amp;"'!J23:J200")=VALUE(LEFT(I$5,1)))*(INDIRECT("'"&amp;$C12&amp;"'!K23:K200")=VALUE(RIGHT(I$5,1))),1,0)))</f>
        <v>0</v>
      </c>
      <c r="J12" s="226">
        <f t="array" aca="1" ref="J12" ca="1">IF($C12="","",SUM(IF((INDIRECT("'"&amp;$C12&amp;"'!I23:I200")=$D$1)*(INDIRECT("'"&amp;$C12&amp;"'!H23:H200")="H")*(INDIRECT("'"&amp;$C12&amp;"'!L23:L200")="W")*(INDIRECT("'"&amp;$C12&amp;"'!J23:J200")=VALUE(LEFT(J$5,1)))*(INDIRECT("'"&amp;$C12&amp;"'!K23:K200")=VALUE(RIGHT(J$5,1))),1,0)))</f>
        <v>0</v>
      </c>
      <c r="K12" s="226">
        <f t="array" aca="1" ref="K12" ca="1">IF($C12="","",SUM(IF((INDIRECT("'"&amp;$C12&amp;"'!I23:I200")=$D$1)*(INDIRECT("'"&amp;$C12&amp;"'!H23:H200")="H")*(INDIRECT("'"&amp;$C12&amp;"'!L23:L200")="W")*(INDIRECT("'"&amp;$C12&amp;"'!J23:J200")=VALUE(LEFT(K$5,1)))*(INDIRECT("'"&amp;$C12&amp;"'!K23:K200")=VALUE(RIGHT(K$5,1))),1,0)))</f>
        <v>2</v>
      </c>
      <c r="L12" s="226">
        <f t="array" aca="1" ref="L12" ca="1">IF($C12="","",SUM(IF((INDIRECT("'"&amp;$C12&amp;"'!I23:I200")=$D$1)*(INDIRECT("'"&amp;$C12&amp;"'!H23:H200")="H")*(INDIRECT("'"&amp;$C12&amp;"'!L23:L200")="W")*(INDIRECT("'"&amp;$C12&amp;"'!J23:J200")=VALUE(LEFT(L$5,1)))*(INDIRECT("'"&amp;$C12&amp;"'!K23:K200")=VALUE(RIGHT(L$5,1))),1,0)))</f>
        <v>0</v>
      </c>
      <c r="M12" s="226">
        <f t="array" aca="1" ref="M12" ca="1">IF($C12="","",SUM(IF((INDIRECT("'"&amp;$C12&amp;"'!I23:I200")=$D$1)*(INDIRECT("'"&amp;$C12&amp;"'!H23:H200")="H")*(INDIRECT("'"&amp;$C12&amp;"'!L23:L200")="W")*(INDIRECT("'"&amp;$C12&amp;"'!J23:J200")=VALUE(LEFT(M$5,1)))*(INDIRECT("'"&amp;$C12&amp;"'!K23:K200")=VALUE(RIGHT(M$5,1))),1,0)))</f>
        <v>1</v>
      </c>
      <c r="N12" s="226">
        <f t="array" aca="1" ref="N12" ca="1">IF($C12="","",SUM(IF((INDIRECT("'"&amp;$C12&amp;"'!I23:I200")=$D$1)*(INDIRECT("'"&amp;$C12&amp;"'!H23:H200")="H")*(INDIRECT("'"&amp;$C12&amp;"'!L23:L200")="W")*(INDIRECT("'"&amp;$C12&amp;"'!J23:J200")=VALUE(LEFT(N$5,1)))*(INDIRECT("'"&amp;$C12&amp;"'!K23:K200")=VALUE(RIGHT(N$5,1))),1,0)))</f>
        <v>0</v>
      </c>
      <c r="O12" s="226">
        <f t="array" aca="1" ref="O12" ca="1">IF($C12="","",SUM(IF((INDIRECT("'"&amp;$C12&amp;"'!I23:I200")=$D$1)*(INDIRECT("'"&amp;$C12&amp;"'!H23:H200")="H")*(INDIRECT("'"&amp;$C12&amp;"'!L23:L200")="W")*(INDIRECT("'"&amp;$C12&amp;"'!J23:J200")=VALUE(LEFT(O$5,1)))*(INDIRECT("'"&amp;$C12&amp;"'!K23:K200")=VALUE(RIGHT(O$5,1))),1,0)))</f>
        <v>0</v>
      </c>
      <c r="P12" s="226">
        <f t="array" aca="1" ref="P12" ca="1">IF($C12="","",SUM(IF((INDIRECT("'"&amp;$C12&amp;"'!I23:I200")=$D$1)*(INDIRECT("'"&amp;$C12&amp;"'!H23:H200")="H")*(INDIRECT("'"&amp;$C12&amp;"'!L23:L200")="W"),1,0))-SUM(D12:O12))</f>
        <v>2</v>
      </c>
      <c r="Q12" s="226">
        <f t="array" aca="1" ref="Q12" ca="1">IF($C12="","",SUM(IF((INDIRECT("'"&amp;$C12&amp;"'!I23:I200")=$D$1)*(INDIRECT("'"&amp;$C12&amp;"'!H23:H200")="H")*(INDIRECT("'"&amp;$C12&amp;"'!L23:L200")="D")*(INDIRECT("'"&amp;$C12&amp;"'!J23:J200")=VALUE(LEFT(Q$5,1)))*(INDIRECT("'"&amp;$C12&amp;"'!K23:K200")=VALUE(RIGHT(Q$5,1))),1,0)))</f>
        <v>0</v>
      </c>
      <c r="R12" s="226">
        <f t="array" aca="1" ref="R12" ca="1">IF($C12="","",SUM(IF((INDIRECT("'"&amp;$C12&amp;"'!I23:I200")=$D$1)*(INDIRECT("'"&amp;$C12&amp;"'!H23:H200")="H")*(INDIRECT("'"&amp;$C12&amp;"'!L23:L200")="D")*(INDIRECT("'"&amp;$C12&amp;"'!J23:J200")=VALUE(LEFT(R$5,1)))*(INDIRECT("'"&amp;$C12&amp;"'!K23:K200")=VALUE(RIGHT(R$5,1))),1,0)))</f>
        <v>5</v>
      </c>
      <c r="S12" s="226">
        <f t="array" aca="1" ref="S12" ca="1">IF($C12="","",SUM(IF((INDIRECT("'"&amp;$C12&amp;"'!I23:I200")=$D$1)*(INDIRECT("'"&amp;$C12&amp;"'!H23:H200")="H")*(INDIRECT("'"&amp;$C12&amp;"'!L23:L200")="D")*(INDIRECT("'"&amp;$C12&amp;"'!J23:J200")=VALUE(LEFT(S$5,1)))*(INDIRECT("'"&amp;$C12&amp;"'!K23:K200")=VALUE(RIGHT(S$5,1))),1,0)))</f>
        <v>3</v>
      </c>
      <c r="T12" s="226">
        <f t="array" aca="1" ref="T12" ca="1">IF($C12="","",SUM(IF((INDIRECT("'"&amp;$C12&amp;"'!I23:I200")=$D$1)*(INDIRECT("'"&amp;$C12&amp;"'!H23:H200")="H")*(INDIRECT("'"&amp;$C12&amp;"'!L23:L200")="D")*(INDIRECT("'"&amp;$C12&amp;"'!J23:J200")=VALUE(LEFT(T$5,1)))*(INDIRECT("'"&amp;$C12&amp;"'!K23:K200")=VALUE(RIGHT(T$5,1))),1,0)))</f>
        <v>1</v>
      </c>
      <c r="U12" s="226">
        <f t="array" aca="1" ref="U12" ca="1">IF($C12="","",SUM(IF((INDIRECT("'"&amp;$C12&amp;"'!I23:I200")=$D$1)*(INDIRECT("'"&amp;$C12&amp;"'!H23:H200")="H")*(INDIRECT("'"&amp;$C12&amp;"'!L23:L200")="D"),1,0))-SUM(Q12:T12))</f>
        <v>0</v>
      </c>
      <c r="V12" s="226">
        <f t="array" aca="1" ref="V12" ca="1">IF($C12="","",SUM(IF((INDIRECT("'"&amp;$C12&amp;"'!I23:I200")=$D$1)*(INDIRECT("'"&amp;$C12&amp;"'!H23:H200")="H")*(INDIRECT("'"&amp;$C12&amp;"'!L23:L200")="L")*(INDIRECT("'"&amp;$C12&amp;"'!J23:J200")=VALUE(LEFT(V$5,1)))*(INDIRECT("'"&amp;$C12&amp;"'!K23:K200")=VALUE(RIGHT(V$5,1))),1,0)))</f>
        <v>2</v>
      </c>
      <c r="W12" s="226">
        <f t="array" aca="1" ref="W12" ca="1">IF($C12="","",SUM(IF((INDIRECT("'"&amp;$C12&amp;"'!I23:I200")=$D$1)*(INDIRECT("'"&amp;$C12&amp;"'!H23:H200")="H")*(INDIRECT("'"&amp;$C12&amp;"'!L23:L200")="L")*(INDIRECT("'"&amp;$C12&amp;"'!J23:J200")=VALUE(LEFT(W$5,1)))*(INDIRECT("'"&amp;$C12&amp;"'!K23:K200")=VALUE(RIGHT(W$5,1))),1,0)))</f>
        <v>1</v>
      </c>
      <c r="X12" s="226">
        <f t="array" aca="1" ref="X12" ca="1">IF($C12="","",SUM(IF((INDIRECT("'"&amp;$C12&amp;"'!I23:I200")=$D$1)*(INDIRECT("'"&amp;$C12&amp;"'!H23:H200")="H")*(INDIRECT("'"&amp;$C12&amp;"'!L23:L200")="L")*(INDIRECT("'"&amp;$C12&amp;"'!J23:J200")=VALUE(LEFT(X$5,1)))*(INDIRECT("'"&amp;$C12&amp;"'!K23:K200")=VALUE(RIGHT(X$5,1))),1,0)))</f>
        <v>0</v>
      </c>
      <c r="Y12" s="226">
        <f t="array" aca="1" ref="Y12" ca="1">IF($C12="","",SUM(IF((INDIRECT("'"&amp;$C12&amp;"'!I23:I200")=$D$1)*(INDIRECT("'"&amp;$C12&amp;"'!H23:H200")="H")*(INDIRECT("'"&amp;$C12&amp;"'!L23:L200")="L")*(INDIRECT("'"&amp;$C12&amp;"'!J23:J200")=VALUE(LEFT(Y$5,1)))*(INDIRECT("'"&amp;$C12&amp;"'!K23:K200")=VALUE(RIGHT(Y$5,1))),1,0)))</f>
        <v>0</v>
      </c>
      <c r="Z12" s="226">
        <f t="array" aca="1" ref="Z12" ca="1">IF($C12="","",SUM(IF((INDIRECT("'"&amp;$C12&amp;"'!I23:I200")=$D$1)*(INDIRECT("'"&amp;$C12&amp;"'!H23:H200")="H")*(INDIRECT("'"&amp;$C12&amp;"'!L23:L200")="L")*(INDIRECT("'"&amp;$C12&amp;"'!J23:J200")=VALUE(LEFT(Z$5,1)))*(INDIRECT("'"&amp;$C12&amp;"'!K23:K200")=VALUE(RIGHT(Z$5,1))),1,0)))</f>
        <v>0</v>
      </c>
      <c r="AA12" s="226">
        <f t="array" aca="1" ref="AA12" ca="1">IF($C12="","",SUM(IF((INDIRECT("'"&amp;$C12&amp;"'!I23:I200")=$D$1)*(INDIRECT("'"&amp;$C12&amp;"'!H23:H200")="H")*(INDIRECT("'"&amp;$C12&amp;"'!L23:L200")="L")*(INDIRECT("'"&amp;$C12&amp;"'!J23:J200")=VALUE(LEFT(AA$5,1)))*(INDIRECT("'"&amp;$C12&amp;"'!K23:K200")=VALUE(RIGHT(AA$5,1))),1,0)))</f>
        <v>1</v>
      </c>
      <c r="AB12" s="226">
        <f t="array" aca="1" ref="AB12" ca="1">IF($C12="","",SUM(IF((INDIRECT("'"&amp;$C12&amp;"'!I23:I200")=$D$1)*(INDIRECT("'"&amp;$C12&amp;"'!H23:H200")="H")*(INDIRECT("'"&amp;$C12&amp;"'!L23:L200")="L")*(INDIRECT("'"&amp;$C12&amp;"'!J23:J200")=VALUE(LEFT(AB$5,1)))*(INDIRECT("'"&amp;$C12&amp;"'!K23:K200")=VALUE(RIGHT(AB$5,1))),1,0)))</f>
        <v>0</v>
      </c>
      <c r="AC12" s="226">
        <f t="array" aca="1" ref="AC12" ca="1">IF($C12="","",SUM(IF((INDIRECT("'"&amp;$C12&amp;"'!I23:I200")=$D$1)*(INDIRECT("'"&amp;$C12&amp;"'!H23:H200")="H")*(INDIRECT("'"&amp;$C12&amp;"'!L23:L200")="L")*(INDIRECT("'"&amp;$C12&amp;"'!J23:J200")=VALUE(LEFT(AC$5,1)))*(INDIRECT("'"&amp;$C12&amp;"'!K23:K200")=VALUE(RIGHT(AC$5,1))),1,0)))</f>
        <v>0</v>
      </c>
      <c r="AD12" s="226">
        <f t="array" aca="1" ref="AD12" ca="1">IF($C12="","",SUM(IF((INDIRECT("'"&amp;$C12&amp;"'!I23:I200")=$D$1)*(INDIRECT("'"&amp;$C12&amp;"'!H23:H200")="H")*(INDIRECT("'"&amp;$C12&amp;"'!L23:L200")="L")*(INDIRECT("'"&amp;$C12&amp;"'!J23:J200")=VALUE(LEFT(AD$5,1)))*(INDIRECT("'"&amp;$C12&amp;"'!K23:K200")=VALUE(RIGHT(AD$5,1))),1,0)))</f>
        <v>0</v>
      </c>
      <c r="AE12" s="226">
        <f t="array" aca="1" ref="AE12" ca="1">IF($C12="","",SUM(IF((INDIRECT("'"&amp;$C12&amp;"'!I23:I200")=$D$1)*(INDIRECT("'"&amp;$C12&amp;"'!H23:H200")="H")*(INDIRECT("'"&amp;$C12&amp;"'!L23:L200")="L")*(INDIRECT("'"&amp;$C12&amp;"'!J23:J200")=VALUE(LEFT(AE$5,1)))*(INDIRECT("'"&amp;$C12&amp;"'!K23:K200")=VALUE(RIGHT(AE$5,1))),1,0)))</f>
        <v>0</v>
      </c>
      <c r="AF12" s="226">
        <f t="array" aca="1" ref="AF12" ca="1">IF($C12="","",SUM(IF((INDIRECT("'"&amp;$C12&amp;"'!I23:I200")=$D$1)*(INDIRECT("'"&amp;$C12&amp;"'!H23:H200")="H")*(INDIRECT("'"&amp;$C12&amp;"'!L23:L200")="L")*(INDIRECT("'"&amp;$C12&amp;"'!J23:J200")=VALUE(LEFT(AF$5,1)))*(INDIRECT("'"&amp;$C12&amp;"'!K23:K200")=VALUE(RIGHT(AF$5,1))),1,0)))</f>
        <v>0</v>
      </c>
      <c r="AG12" s="226">
        <f t="array" aca="1" ref="AG12" ca="1">IF($C12="","",SUM(IF((INDIRECT("'"&amp;$C12&amp;"'!I23:I200")=$D$1)*(INDIRECT("'"&amp;$C12&amp;"'!H23:H200")="H")*(INDIRECT("'"&amp;$C12&amp;"'!L23:L200")="L")*(INDIRECT("'"&amp;$C12&amp;"'!J23:J200")=VALUE(LEFT(AG$5,1)))*(INDIRECT("'"&amp;$C12&amp;"'!K23:K200")=VALUE(RIGHT(AG$5,1))),1,0)))</f>
        <v>0</v>
      </c>
      <c r="AH12" s="227">
        <f t="array" aca="1" ref="AH12" ca="1">IF($C12="","",SUM(IF((INDIRECT("'"&amp;$C12&amp;"'!I23:I200")=$D$1)*(INDIRECT("'"&amp;$C12&amp;"'!H23:H200")="H")*(INDIRECT("'"&amp;$C12&amp;"'!L23:L200")="L"),1,0))-SUM(V12:AG12))</f>
        <v>0</v>
      </c>
    </row>
    <row r="13" spans="1:34" ht="14.25">
      <c r="A13" s="228">
        <v>8</v>
      </c>
      <c r="B13" s="229" t="str">
        <f ca="1">IF($A13&gt;$D$3,"",VLOOKUP($A13,Table!$A$9:$C$30,2,FALSE))</f>
        <v>Matsumoto Yamaga</v>
      </c>
      <c r="C13" s="225" t="str">
        <f ca="1">IF($A13&gt;$D$3,"",VLOOKUP($A13,Table!$A$9:$C$30,3,FALSE))</f>
        <v>Matsumoto Yamaga</v>
      </c>
      <c r="D13" s="226">
        <f t="array" aca="1" ref="D13" ca="1">IF($C13="","",SUM(IF((INDIRECT("'"&amp;$C13&amp;"'!H23:H200")=$D$1)*(INDIRECT("'"&amp;$C13&amp;"'!H23:H200")="H")*(INDIRECT("'"&amp;$C13&amp;"'!K23:K200")="W")*(INDIRECT("'"&amp;$C13&amp;"'!I23:I200")=VALUE(LEFT(D$5,1)))*(INDIRECT("'"&amp;$C13&amp;"'!H23:H200")=VALUE(RIGHT(D$5,1))),1,0)))</f>
        <v>0</v>
      </c>
      <c r="E13" s="226">
        <f t="array" aca="1" ref="E13" ca="1">IF($C13="","",SUM(IF((INDIRECT("'"&amp;$C13&amp;"'!I23:I200")=$D$1)*(INDIRECT("'"&amp;$C13&amp;"'!H23:H200")="H")*(INDIRECT("'"&amp;$C13&amp;"'!L23:L200")="W")*(INDIRECT("'"&amp;$C13&amp;"'!J23:J200")=VALUE(LEFT(E$5,1)))*(INDIRECT("'"&amp;$C13&amp;"'!K23:K200")=VALUE(RIGHT(E$5,1))),1,0)))</f>
        <v>0</v>
      </c>
      <c r="F13" s="226">
        <f t="array" aca="1" ref="F13" ca="1">IF($C13="","",SUM(IF((INDIRECT("'"&amp;$C13&amp;"'!I23:I200")=$D$1)*(INDIRECT("'"&amp;$C13&amp;"'!H23:H200")="H")*(INDIRECT("'"&amp;$C13&amp;"'!L23:L200")="W")*(INDIRECT("'"&amp;$C13&amp;"'!J23:J200")=VALUE(LEFT(F$5,1)))*(INDIRECT("'"&amp;$C13&amp;"'!K23:K200")=VALUE(RIGHT(F$5,1))),1,0)))</f>
        <v>2</v>
      </c>
      <c r="G13" s="226">
        <f t="array" aca="1" ref="G13" ca="1">IF($C13="","",SUM(IF((INDIRECT("'"&amp;$C13&amp;"'!I23:I200")=$D$1)*(INDIRECT("'"&amp;$C13&amp;"'!H23:H200")="H")*(INDIRECT("'"&amp;$C13&amp;"'!L23:L200")="W")*(INDIRECT("'"&amp;$C13&amp;"'!J23:J200")=VALUE(LEFT(G$5,1)))*(INDIRECT("'"&amp;$C13&amp;"'!K23:K200")=VALUE(RIGHT(G$5,1))),1,0)))</f>
        <v>2</v>
      </c>
      <c r="H13" s="226">
        <f t="array" aca="1" ref="H13" ca="1">IF($C13="","",SUM(IF((INDIRECT("'"&amp;$C13&amp;"'!I23:I200")=$D$1)*(INDIRECT("'"&amp;$C13&amp;"'!H23:H200")="H")*(INDIRECT("'"&amp;$C13&amp;"'!L23:L200")="W")*(INDIRECT("'"&amp;$C13&amp;"'!J23:J200")=VALUE(LEFT(H$5,1)))*(INDIRECT("'"&amp;$C13&amp;"'!K23:K200")=VALUE(RIGHT(H$5,1))),1,0)))</f>
        <v>3</v>
      </c>
      <c r="I13" s="226">
        <f t="array" aca="1" ref="I13" ca="1">IF($C13="","",SUM(IF((INDIRECT("'"&amp;$C13&amp;"'!I23:I200")=$D$1)*(INDIRECT("'"&amp;$C13&amp;"'!H23:H200")="H")*(INDIRECT("'"&amp;$C13&amp;"'!L23:L200")="W")*(INDIRECT("'"&amp;$C13&amp;"'!J23:J200")=VALUE(LEFT(I$5,1)))*(INDIRECT("'"&amp;$C13&amp;"'!K23:K200")=VALUE(RIGHT(I$5,1))),1,0)))</f>
        <v>1</v>
      </c>
      <c r="J13" s="226">
        <f t="array" aca="1" ref="J13" ca="1">IF($C13="","",SUM(IF((INDIRECT("'"&amp;$C13&amp;"'!I23:I200")=$D$1)*(INDIRECT("'"&amp;$C13&amp;"'!H23:H200")="H")*(INDIRECT("'"&amp;$C13&amp;"'!L23:L200")="W")*(INDIRECT("'"&amp;$C13&amp;"'!J23:J200")=VALUE(LEFT(J$5,1)))*(INDIRECT("'"&amp;$C13&amp;"'!K23:K200")=VALUE(RIGHT(J$5,1))),1,0)))</f>
        <v>2</v>
      </c>
      <c r="K13" s="226">
        <f t="array" aca="1" ref="K13" ca="1">IF($C13="","",SUM(IF((INDIRECT("'"&amp;$C13&amp;"'!I23:I200")=$D$1)*(INDIRECT("'"&amp;$C13&amp;"'!H23:H200")="H")*(INDIRECT("'"&amp;$C13&amp;"'!L23:L200")="W")*(INDIRECT("'"&amp;$C13&amp;"'!J23:J200")=VALUE(LEFT(K$5,1)))*(INDIRECT("'"&amp;$C13&amp;"'!K23:K200")=VALUE(RIGHT(K$5,1))),1,0)))</f>
        <v>0</v>
      </c>
      <c r="L13" s="226">
        <f t="array" aca="1" ref="L13" ca="1">IF($C13="","",SUM(IF((INDIRECT("'"&amp;$C13&amp;"'!I23:I200")=$D$1)*(INDIRECT("'"&amp;$C13&amp;"'!H23:H200")="H")*(INDIRECT("'"&amp;$C13&amp;"'!L23:L200")="W")*(INDIRECT("'"&amp;$C13&amp;"'!J23:J200")=VALUE(LEFT(L$5,1)))*(INDIRECT("'"&amp;$C13&amp;"'!K23:K200")=VALUE(RIGHT(L$5,1))),1,0)))</f>
        <v>0</v>
      </c>
      <c r="M13" s="226">
        <f t="array" aca="1" ref="M13" ca="1">IF($C13="","",SUM(IF((INDIRECT("'"&amp;$C13&amp;"'!I23:I200")=$D$1)*(INDIRECT("'"&amp;$C13&amp;"'!H23:H200")="H")*(INDIRECT("'"&amp;$C13&amp;"'!L23:L200")="W")*(INDIRECT("'"&amp;$C13&amp;"'!J23:J200")=VALUE(LEFT(M$5,1)))*(INDIRECT("'"&amp;$C13&amp;"'!K23:K200")=VALUE(RIGHT(M$5,1))),1,0)))</f>
        <v>0</v>
      </c>
      <c r="N13" s="226">
        <f t="array" aca="1" ref="N13" ca="1">IF($C13="","",SUM(IF((INDIRECT("'"&amp;$C13&amp;"'!I23:I200")=$D$1)*(INDIRECT("'"&amp;$C13&amp;"'!H23:H200")="H")*(INDIRECT("'"&amp;$C13&amp;"'!L23:L200")="W")*(INDIRECT("'"&amp;$C13&amp;"'!J23:J200")=VALUE(LEFT(N$5,1)))*(INDIRECT("'"&amp;$C13&amp;"'!K23:K200")=VALUE(RIGHT(N$5,1))),1,0)))</f>
        <v>0</v>
      </c>
      <c r="O13" s="226">
        <f t="array" aca="1" ref="O13" ca="1">IF($C13="","",SUM(IF((INDIRECT("'"&amp;$C13&amp;"'!I23:I200")=$D$1)*(INDIRECT("'"&amp;$C13&amp;"'!H23:H200")="H")*(INDIRECT("'"&amp;$C13&amp;"'!L23:L200")="W")*(INDIRECT("'"&amp;$C13&amp;"'!J23:J200")=VALUE(LEFT(O$5,1)))*(INDIRECT("'"&amp;$C13&amp;"'!K23:K200")=VALUE(RIGHT(O$5,1))),1,0)))</f>
        <v>0</v>
      </c>
      <c r="P13" s="226">
        <f t="array" aca="1" ref="P13" ca="1">IF($C13="","",SUM(IF((INDIRECT("'"&amp;$C13&amp;"'!I23:I200")=$D$1)*(INDIRECT("'"&amp;$C13&amp;"'!H23:H200")="H")*(INDIRECT("'"&amp;$C13&amp;"'!L23:L200")="W"),1,0))-SUM(D13:O13))</f>
        <v>1</v>
      </c>
      <c r="Q13" s="226">
        <f t="array" aca="1" ref="Q13" ca="1">IF($C13="","",SUM(IF((INDIRECT("'"&amp;$C13&amp;"'!I23:I200")=$D$1)*(INDIRECT("'"&amp;$C13&amp;"'!H23:H200")="H")*(INDIRECT("'"&amp;$C13&amp;"'!L23:L200")="D")*(INDIRECT("'"&amp;$C13&amp;"'!J23:J200")=VALUE(LEFT(Q$5,1)))*(INDIRECT("'"&amp;$C13&amp;"'!K23:K200")=VALUE(RIGHT(Q$5,1))),1,0)))</f>
        <v>0</v>
      </c>
      <c r="R13" s="226">
        <f t="array" aca="1" ref="R13" ca="1">IF($C13="","",SUM(IF((INDIRECT("'"&amp;$C13&amp;"'!I23:I200")=$D$1)*(INDIRECT("'"&amp;$C13&amp;"'!H23:H200")="H")*(INDIRECT("'"&amp;$C13&amp;"'!L23:L200")="D")*(INDIRECT("'"&amp;$C13&amp;"'!J23:J200")=VALUE(LEFT(R$5,1)))*(INDIRECT("'"&amp;$C13&amp;"'!K23:K200")=VALUE(RIGHT(R$5,1))),1,0)))</f>
        <v>3</v>
      </c>
      <c r="S13" s="226">
        <f t="array" aca="1" ref="S13" ca="1">IF($C13="","",SUM(IF((INDIRECT("'"&amp;$C13&amp;"'!I23:I200")=$D$1)*(INDIRECT("'"&amp;$C13&amp;"'!H23:H200")="H")*(INDIRECT("'"&amp;$C13&amp;"'!L23:L200")="D")*(INDIRECT("'"&amp;$C13&amp;"'!J23:J200")=VALUE(LEFT(S$5,1)))*(INDIRECT("'"&amp;$C13&amp;"'!K23:K200")=VALUE(RIGHT(S$5,1))),1,0)))</f>
        <v>0</v>
      </c>
      <c r="T13" s="226">
        <f t="array" aca="1" ref="T13" ca="1">IF($C13="","",SUM(IF((INDIRECT("'"&amp;$C13&amp;"'!I23:I200")=$D$1)*(INDIRECT("'"&amp;$C13&amp;"'!H23:H200")="H")*(INDIRECT("'"&amp;$C13&amp;"'!L23:L200")="D")*(INDIRECT("'"&amp;$C13&amp;"'!J23:J200")=VALUE(LEFT(T$5,1)))*(INDIRECT("'"&amp;$C13&amp;"'!K23:K200")=VALUE(RIGHT(T$5,1))),1,0)))</f>
        <v>0</v>
      </c>
      <c r="U13" s="226">
        <f t="array" aca="1" ref="U13" ca="1">IF($C13="","",SUM(IF((INDIRECT("'"&amp;$C13&amp;"'!I23:I200")=$D$1)*(INDIRECT("'"&amp;$C13&amp;"'!H23:H200")="H")*(INDIRECT("'"&amp;$C13&amp;"'!L23:L200")="D"),1,0))-SUM(Q13:T13))</f>
        <v>0</v>
      </c>
      <c r="V13" s="226">
        <f t="array" aca="1" ref="V13" ca="1">IF($C13="","",SUM(IF((INDIRECT("'"&amp;$C13&amp;"'!I23:I200")=$D$1)*(INDIRECT("'"&amp;$C13&amp;"'!H23:H200")="H")*(INDIRECT("'"&amp;$C13&amp;"'!L23:L200")="L")*(INDIRECT("'"&amp;$C13&amp;"'!J23:J200")=VALUE(LEFT(V$5,1)))*(INDIRECT("'"&amp;$C13&amp;"'!K23:K200")=VALUE(RIGHT(V$5,1))),1,0)))</f>
        <v>3</v>
      </c>
      <c r="W13" s="226">
        <f t="array" aca="1" ref="W13" ca="1">IF($C13="","",SUM(IF((INDIRECT("'"&amp;$C13&amp;"'!I23:I200")=$D$1)*(INDIRECT("'"&amp;$C13&amp;"'!H23:H200")="H")*(INDIRECT("'"&amp;$C13&amp;"'!L23:L200")="L")*(INDIRECT("'"&amp;$C13&amp;"'!J23:J200")=VALUE(LEFT(W$5,1)))*(INDIRECT("'"&amp;$C13&amp;"'!K23:K200")=VALUE(RIGHT(W$5,1))),1,0)))</f>
        <v>1</v>
      </c>
      <c r="X13" s="226">
        <f t="array" aca="1" ref="X13" ca="1">IF($C13="","",SUM(IF((INDIRECT("'"&amp;$C13&amp;"'!I23:I200")=$D$1)*(INDIRECT("'"&amp;$C13&amp;"'!H23:H200")="H")*(INDIRECT("'"&amp;$C13&amp;"'!L23:L200")="L")*(INDIRECT("'"&amp;$C13&amp;"'!J23:J200")=VALUE(LEFT(X$5,1)))*(INDIRECT("'"&amp;$C13&amp;"'!K23:K200")=VALUE(RIGHT(X$5,1))),1,0)))</f>
        <v>2</v>
      </c>
      <c r="Y13" s="226">
        <f t="array" aca="1" ref="Y13" ca="1">IF($C13="","",SUM(IF((INDIRECT("'"&amp;$C13&amp;"'!I23:I200")=$D$1)*(INDIRECT("'"&amp;$C13&amp;"'!H23:H200")="H")*(INDIRECT("'"&amp;$C13&amp;"'!L23:L200")="L")*(INDIRECT("'"&amp;$C13&amp;"'!J23:J200")=VALUE(LEFT(Y$5,1)))*(INDIRECT("'"&amp;$C13&amp;"'!K23:K200")=VALUE(RIGHT(Y$5,1))),1,0)))</f>
        <v>0</v>
      </c>
      <c r="Z13" s="226">
        <f t="array" aca="1" ref="Z13" ca="1">IF($C13="","",SUM(IF((INDIRECT("'"&amp;$C13&amp;"'!I23:I200")=$D$1)*(INDIRECT("'"&amp;$C13&amp;"'!H23:H200")="H")*(INDIRECT("'"&amp;$C13&amp;"'!L23:L200")="L")*(INDIRECT("'"&amp;$C13&amp;"'!J23:J200")=VALUE(LEFT(Z$5,1)))*(INDIRECT("'"&amp;$C13&amp;"'!K23:K200")=VALUE(RIGHT(Z$5,1))),1,0)))</f>
        <v>0</v>
      </c>
      <c r="AA13" s="226">
        <f t="array" aca="1" ref="AA13" ca="1">IF($C13="","",SUM(IF((INDIRECT("'"&amp;$C13&amp;"'!I23:I200")=$D$1)*(INDIRECT("'"&amp;$C13&amp;"'!H23:H200")="H")*(INDIRECT("'"&amp;$C13&amp;"'!L23:L200")="L")*(INDIRECT("'"&amp;$C13&amp;"'!J23:J200")=VALUE(LEFT(AA$5,1)))*(INDIRECT("'"&amp;$C13&amp;"'!K23:K200")=VALUE(RIGHT(AA$5,1))),1,0)))</f>
        <v>1</v>
      </c>
      <c r="AB13" s="226">
        <f t="array" aca="1" ref="AB13" ca="1">IF($C13="","",SUM(IF((INDIRECT("'"&amp;$C13&amp;"'!I23:I200")=$D$1)*(INDIRECT("'"&amp;$C13&amp;"'!H23:H200")="H")*(INDIRECT("'"&amp;$C13&amp;"'!L23:L200")="L")*(INDIRECT("'"&amp;$C13&amp;"'!J23:J200")=VALUE(LEFT(AB$5,1)))*(INDIRECT("'"&amp;$C13&amp;"'!K23:K200")=VALUE(RIGHT(AB$5,1))),1,0)))</f>
        <v>0</v>
      </c>
      <c r="AC13" s="226">
        <f t="array" aca="1" ref="AC13" ca="1">IF($C13="","",SUM(IF((INDIRECT("'"&amp;$C13&amp;"'!I23:I200")=$D$1)*(INDIRECT("'"&amp;$C13&amp;"'!H23:H200")="H")*(INDIRECT("'"&amp;$C13&amp;"'!L23:L200")="L")*(INDIRECT("'"&amp;$C13&amp;"'!J23:J200")=VALUE(LEFT(AC$5,1)))*(INDIRECT("'"&amp;$C13&amp;"'!K23:K200")=VALUE(RIGHT(AC$5,1))),1,0)))</f>
        <v>0</v>
      </c>
      <c r="AD13" s="226">
        <f t="array" aca="1" ref="AD13" ca="1">IF($C13="","",SUM(IF((INDIRECT("'"&amp;$C13&amp;"'!I23:I200")=$D$1)*(INDIRECT("'"&amp;$C13&amp;"'!H23:H200")="H")*(INDIRECT("'"&amp;$C13&amp;"'!L23:L200")="L")*(INDIRECT("'"&amp;$C13&amp;"'!J23:J200")=VALUE(LEFT(AD$5,1)))*(INDIRECT("'"&amp;$C13&amp;"'!K23:K200")=VALUE(RIGHT(AD$5,1))),1,0)))</f>
        <v>0</v>
      </c>
      <c r="AE13" s="226">
        <f t="array" aca="1" ref="AE13" ca="1">IF($C13="","",SUM(IF((INDIRECT("'"&amp;$C13&amp;"'!I23:I200")=$D$1)*(INDIRECT("'"&amp;$C13&amp;"'!H23:H200")="H")*(INDIRECT("'"&amp;$C13&amp;"'!L23:L200")="L")*(INDIRECT("'"&amp;$C13&amp;"'!J23:J200")=VALUE(LEFT(AE$5,1)))*(INDIRECT("'"&amp;$C13&amp;"'!K23:K200")=VALUE(RIGHT(AE$5,1))),1,0)))</f>
        <v>0</v>
      </c>
      <c r="AF13" s="226">
        <f t="array" aca="1" ref="AF13" ca="1">IF($C13="","",SUM(IF((INDIRECT("'"&amp;$C13&amp;"'!I23:I200")=$D$1)*(INDIRECT("'"&amp;$C13&amp;"'!H23:H200")="H")*(INDIRECT("'"&amp;$C13&amp;"'!L23:L200")="L")*(INDIRECT("'"&amp;$C13&amp;"'!J23:J200")=VALUE(LEFT(AF$5,1)))*(INDIRECT("'"&amp;$C13&amp;"'!K23:K200")=VALUE(RIGHT(AF$5,1))),1,0)))</f>
        <v>0</v>
      </c>
      <c r="AG13" s="226">
        <f t="array" aca="1" ref="AG13" ca="1">IF($C13="","",SUM(IF((INDIRECT("'"&amp;$C13&amp;"'!I23:I200")=$D$1)*(INDIRECT("'"&amp;$C13&amp;"'!H23:H200")="H")*(INDIRECT("'"&amp;$C13&amp;"'!L23:L200")="L")*(INDIRECT("'"&amp;$C13&amp;"'!J23:J200")=VALUE(LEFT(AG$5,1)))*(INDIRECT("'"&amp;$C13&amp;"'!K23:K200")=VALUE(RIGHT(AG$5,1))),1,0)))</f>
        <v>0</v>
      </c>
      <c r="AH13" s="227">
        <f t="array" aca="1" ref="AH13" ca="1">IF($C13="","",SUM(IF((INDIRECT("'"&amp;$C13&amp;"'!I23:I200")=$D$1)*(INDIRECT("'"&amp;$C13&amp;"'!H23:H200")="H")*(INDIRECT("'"&amp;$C13&amp;"'!L23:L200")="L"),1,0))-SUM(V13:AG13))</f>
        <v>0</v>
      </c>
    </row>
    <row r="14" spans="1:34" ht="14.25">
      <c r="A14" s="228">
        <v>9</v>
      </c>
      <c r="B14" s="229" t="str">
        <f ca="1">IF($A14&gt;$D$3,"",VLOOKUP($A14,Table!$A$9:$C$30,2,FALSE))</f>
        <v>Oita Trinita</v>
      </c>
      <c r="C14" s="225" t="str">
        <f ca="1">IF($A14&gt;$D$3,"",VLOOKUP($A14,Table!$A$9:$C$30,3,FALSE))</f>
        <v>Oita Trinita</v>
      </c>
      <c r="D14" s="226">
        <f t="array" aca="1" ref="D14" ca="1">IF($C14="","",SUM(IF((INDIRECT("'"&amp;$C14&amp;"'!H23:H200")=$D$1)*(INDIRECT("'"&amp;$C14&amp;"'!H23:H200")="H")*(INDIRECT("'"&amp;$C14&amp;"'!K23:K200")="W")*(INDIRECT("'"&amp;$C14&amp;"'!I23:I200")=VALUE(LEFT(D$5,1)))*(INDIRECT("'"&amp;$C14&amp;"'!H23:H200")=VALUE(RIGHT(D$5,1))),1,0)))</f>
        <v>0</v>
      </c>
      <c r="E14" s="226">
        <f t="array" aca="1" ref="E14" ca="1">IF($C14="","",SUM(IF((INDIRECT("'"&amp;$C14&amp;"'!I23:I200")=$D$1)*(INDIRECT("'"&amp;$C14&amp;"'!H23:H200")="H")*(INDIRECT("'"&amp;$C14&amp;"'!L23:L200")="W")*(INDIRECT("'"&amp;$C14&amp;"'!J23:J200")=VALUE(LEFT(E$5,1)))*(INDIRECT("'"&amp;$C14&amp;"'!K23:K200")=VALUE(RIGHT(E$5,1))),1,0)))</f>
        <v>1</v>
      </c>
      <c r="F14" s="226">
        <f t="array" aca="1" ref="F14" ca="1">IF($C14="","",SUM(IF((INDIRECT("'"&amp;$C14&amp;"'!I23:I200")=$D$1)*(INDIRECT("'"&amp;$C14&amp;"'!H23:H200")="H")*(INDIRECT("'"&amp;$C14&amp;"'!L23:L200")="W")*(INDIRECT("'"&amp;$C14&amp;"'!J23:J200")=VALUE(LEFT(F$5,1)))*(INDIRECT("'"&amp;$C14&amp;"'!K23:K200")=VALUE(RIGHT(F$5,1))),1,0)))</f>
        <v>2</v>
      </c>
      <c r="G14" s="226">
        <f t="array" aca="1" ref="G14" ca="1">IF($C14="","",SUM(IF((INDIRECT("'"&amp;$C14&amp;"'!I23:I200")=$D$1)*(INDIRECT("'"&amp;$C14&amp;"'!H23:H200")="H")*(INDIRECT("'"&amp;$C14&amp;"'!L23:L200")="W")*(INDIRECT("'"&amp;$C14&amp;"'!J23:J200")=VALUE(LEFT(G$5,1)))*(INDIRECT("'"&amp;$C14&amp;"'!K23:K200")=VALUE(RIGHT(G$5,1))),1,0)))</f>
        <v>0</v>
      </c>
      <c r="H14" s="226">
        <f t="array" aca="1" ref="H14" ca="1">IF($C14="","",SUM(IF((INDIRECT("'"&amp;$C14&amp;"'!I23:I200")=$D$1)*(INDIRECT("'"&amp;$C14&amp;"'!H23:H200")="H")*(INDIRECT("'"&amp;$C14&amp;"'!L23:L200")="W")*(INDIRECT("'"&amp;$C14&amp;"'!J23:J200")=VALUE(LEFT(H$5,1)))*(INDIRECT("'"&amp;$C14&amp;"'!K23:K200")=VALUE(RIGHT(H$5,1))),1,0)))</f>
        <v>0</v>
      </c>
      <c r="I14" s="226">
        <f t="array" aca="1" ref="I14" ca="1">IF($C14="","",SUM(IF((INDIRECT("'"&amp;$C14&amp;"'!I23:I200")=$D$1)*(INDIRECT("'"&amp;$C14&amp;"'!H23:H200")="H")*(INDIRECT("'"&amp;$C14&amp;"'!L23:L200")="W")*(INDIRECT("'"&amp;$C14&amp;"'!J23:J200")=VALUE(LEFT(I$5,1)))*(INDIRECT("'"&amp;$C14&amp;"'!K23:K200")=VALUE(RIGHT(I$5,1))),1,0)))</f>
        <v>0</v>
      </c>
      <c r="J14" s="226">
        <f t="array" aca="1" ref="J14" ca="1">IF($C14="","",SUM(IF((INDIRECT("'"&amp;$C14&amp;"'!I23:I200")=$D$1)*(INDIRECT("'"&amp;$C14&amp;"'!H23:H200")="H")*(INDIRECT("'"&amp;$C14&amp;"'!L23:L200")="W")*(INDIRECT("'"&amp;$C14&amp;"'!J23:J200")=VALUE(LEFT(J$5,1)))*(INDIRECT("'"&amp;$C14&amp;"'!K23:K200")=VALUE(RIGHT(J$5,1))),1,0)))</f>
        <v>0</v>
      </c>
      <c r="K14" s="226">
        <f t="array" aca="1" ref="K14" ca="1">IF($C14="","",SUM(IF((INDIRECT("'"&amp;$C14&amp;"'!I23:I200")=$D$1)*(INDIRECT("'"&amp;$C14&amp;"'!H23:H200")="H")*(INDIRECT("'"&amp;$C14&amp;"'!L23:L200")="W")*(INDIRECT("'"&amp;$C14&amp;"'!J23:J200")=VALUE(LEFT(K$5,1)))*(INDIRECT("'"&amp;$C14&amp;"'!K23:K200")=VALUE(RIGHT(K$5,1))),1,0)))</f>
        <v>1</v>
      </c>
      <c r="L14" s="226">
        <f t="array" aca="1" ref="L14" ca="1">IF($C14="","",SUM(IF((INDIRECT("'"&amp;$C14&amp;"'!I23:I200")=$D$1)*(INDIRECT("'"&amp;$C14&amp;"'!H23:H200")="H")*(INDIRECT("'"&amp;$C14&amp;"'!L23:L200")="W")*(INDIRECT("'"&amp;$C14&amp;"'!J23:J200")=VALUE(LEFT(L$5,1)))*(INDIRECT("'"&amp;$C14&amp;"'!K23:K200")=VALUE(RIGHT(L$5,1))),1,0)))</f>
        <v>0</v>
      </c>
      <c r="M14" s="226">
        <f t="array" aca="1" ref="M14" ca="1">IF($C14="","",SUM(IF((INDIRECT("'"&amp;$C14&amp;"'!I23:I200")=$D$1)*(INDIRECT("'"&amp;$C14&amp;"'!H23:H200")="H")*(INDIRECT("'"&amp;$C14&amp;"'!L23:L200")="W")*(INDIRECT("'"&amp;$C14&amp;"'!J23:J200")=VALUE(LEFT(M$5,1)))*(INDIRECT("'"&amp;$C14&amp;"'!K23:K200")=VALUE(RIGHT(M$5,1))),1,0)))</f>
        <v>0</v>
      </c>
      <c r="N14" s="226">
        <f t="array" aca="1" ref="N14" ca="1">IF($C14="","",SUM(IF((INDIRECT("'"&amp;$C14&amp;"'!I23:I200")=$D$1)*(INDIRECT("'"&amp;$C14&amp;"'!H23:H200")="H")*(INDIRECT("'"&amp;$C14&amp;"'!L23:L200")="W")*(INDIRECT("'"&amp;$C14&amp;"'!J23:J200")=VALUE(LEFT(N$5,1)))*(INDIRECT("'"&amp;$C14&amp;"'!K23:K200")=VALUE(RIGHT(N$5,1))),1,0)))</f>
        <v>0</v>
      </c>
      <c r="O14" s="226">
        <f t="array" aca="1" ref="O14" ca="1">IF($C14="","",SUM(IF((INDIRECT("'"&amp;$C14&amp;"'!I23:I200")=$D$1)*(INDIRECT("'"&amp;$C14&amp;"'!H23:H200")="H")*(INDIRECT("'"&amp;$C14&amp;"'!L23:L200")="W")*(INDIRECT("'"&amp;$C14&amp;"'!J23:J200")=VALUE(LEFT(O$5,1)))*(INDIRECT("'"&amp;$C14&amp;"'!K23:K200")=VALUE(RIGHT(O$5,1))),1,0)))</f>
        <v>0</v>
      </c>
      <c r="P14" s="226">
        <f t="array" aca="1" ref="P14" ca="1">IF($C14="","",SUM(IF((INDIRECT("'"&amp;$C14&amp;"'!I23:I200")=$D$1)*(INDIRECT("'"&amp;$C14&amp;"'!H23:H200")="H")*(INDIRECT("'"&amp;$C14&amp;"'!L23:L200")="W"),1,0))-SUM(D14:O14))</f>
        <v>2</v>
      </c>
      <c r="Q14" s="226">
        <f t="array" aca="1" ref="Q14" ca="1">IF($C14="","",SUM(IF((INDIRECT("'"&amp;$C14&amp;"'!I23:I200")=$D$1)*(INDIRECT("'"&amp;$C14&amp;"'!H23:H200")="H")*(INDIRECT("'"&amp;$C14&amp;"'!L23:L200")="D")*(INDIRECT("'"&amp;$C14&amp;"'!J23:J200")=VALUE(LEFT(Q$5,1)))*(INDIRECT("'"&amp;$C14&amp;"'!K23:K200")=VALUE(RIGHT(Q$5,1))),1,0)))</f>
        <v>3</v>
      </c>
      <c r="R14" s="226">
        <f t="array" aca="1" ref="R14" ca="1">IF($C14="","",SUM(IF((INDIRECT("'"&amp;$C14&amp;"'!I23:I200")=$D$1)*(INDIRECT("'"&amp;$C14&amp;"'!H23:H200")="H")*(INDIRECT("'"&amp;$C14&amp;"'!L23:L200")="D")*(INDIRECT("'"&amp;$C14&amp;"'!J23:J200")=VALUE(LEFT(R$5,1)))*(INDIRECT("'"&amp;$C14&amp;"'!K23:K200")=VALUE(RIGHT(R$5,1))),1,0)))</f>
        <v>4</v>
      </c>
      <c r="S14" s="226">
        <f t="array" aca="1" ref="S14" ca="1">IF($C14="","",SUM(IF((INDIRECT("'"&amp;$C14&amp;"'!I23:I200")=$D$1)*(INDIRECT("'"&amp;$C14&amp;"'!H23:H200")="H")*(INDIRECT("'"&amp;$C14&amp;"'!L23:L200")="D")*(INDIRECT("'"&amp;$C14&amp;"'!J23:J200")=VALUE(LEFT(S$5,1)))*(INDIRECT("'"&amp;$C14&amp;"'!K23:K200")=VALUE(RIGHT(S$5,1))),1,0)))</f>
        <v>1</v>
      </c>
      <c r="T14" s="226">
        <f t="array" aca="1" ref="T14" ca="1">IF($C14="","",SUM(IF((INDIRECT("'"&amp;$C14&amp;"'!I23:I200")=$D$1)*(INDIRECT("'"&amp;$C14&amp;"'!H23:H200")="H")*(INDIRECT("'"&amp;$C14&amp;"'!L23:L200")="D")*(INDIRECT("'"&amp;$C14&amp;"'!J23:J200")=VALUE(LEFT(T$5,1)))*(INDIRECT("'"&amp;$C14&amp;"'!K23:K200")=VALUE(RIGHT(T$5,1))),1,0)))</f>
        <v>1</v>
      </c>
      <c r="U14" s="226">
        <f t="array" aca="1" ref="U14" ca="1">IF($C14="","",SUM(IF((INDIRECT("'"&amp;$C14&amp;"'!I23:I200")=$D$1)*(INDIRECT("'"&amp;$C14&amp;"'!H23:H200")="H")*(INDIRECT("'"&amp;$C14&amp;"'!L23:L200")="D"),1,0))-SUM(Q14:T14))</f>
        <v>0</v>
      </c>
      <c r="V14" s="226">
        <f t="array" aca="1" ref="V14" ca="1">IF($C14="","",SUM(IF((INDIRECT("'"&amp;$C14&amp;"'!I23:I200")=$D$1)*(INDIRECT("'"&amp;$C14&amp;"'!H23:H200")="H")*(INDIRECT("'"&amp;$C14&amp;"'!L23:L200")="L")*(INDIRECT("'"&amp;$C14&amp;"'!J23:J200")=VALUE(LEFT(V$5,1)))*(INDIRECT("'"&amp;$C14&amp;"'!K23:K200")=VALUE(RIGHT(V$5,1))),1,0)))</f>
        <v>1</v>
      </c>
      <c r="W14" s="226">
        <f t="array" aca="1" ref="W14" ca="1">IF($C14="","",SUM(IF((INDIRECT("'"&amp;$C14&amp;"'!I23:I200")=$D$1)*(INDIRECT("'"&amp;$C14&amp;"'!H23:H200")="H")*(INDIRECT("'"&amp;$C14&amp;"'!L23:L200")="L")*(INDIRECT("'"&amp;$C14&amp;"'!J23:J200")=VALUE(LEFT(W$5,1)))*(INDIRECT("'"&amp;$C14&amp;"'!K23:K200")=VALUE(RIGHT(W$5,1))),1,0)))</f>
        <v>1</v>
      </c>
      <c r="X14" s="226">
        <f t="array" aca="1" ref="X14" ca="1">IF($C14="","",SUM(IF((INDIRECT("'"&amp;$C14&amp;"'!I23:I200")=$D$1)*(INDIRECT("'"&amp;$C14&amp;"'!H23:H200")="H")*(INDIRECT("'"&amp;$C14&amp;"'!L23:L200")="L")*(INDIRECT("'"&amp;$C14&amp;"'!J23:J200")=VALUE(LEFT(X$5,1)))*(INDIRECT("'"&amp;$C14&amp;"'!K23:K200")=VALUE(RIGHT(X$5,1))),1,0)))</f>
        <v>2</v>
      </c>
      <c r="Y14" s="226">
        <f t="array" aca="1" ref="Y14" ca="1">IF($C14="","",SUM(IF((INDIRECT("'"&amp;$C14&amp;"'!I23:I200")=$D$1)*(INDIRECT("'"&amp;$C14&amp;"'!H23:H200")="H")*(INDIRECT("'"&amp;$C14&amp;"'!L23:L200")="L")*(INDIRECT("'"&amp;$C14&amp;"'!J23:J200")=VALUE(LEFT(Y$5,1)))*(INDIRECT("'"&amp;$C14&amp;"'!K23:K200")=VALUE(RIGHT(Y$5,1))),1,0)))</f>
        <v>0</v>
      </c>
      <c r="Z14" s="226">
        <f t="array" aca="1" ref="Z14" ca="1">IF($C14="","",SUM(IF((INDIRECT("'"&amp;$C14&amp;"'!I23:I200")=$D$1)*(INDIRECT("'"&amp;$C14&amp;"'!H23:H200")="H")*(INDIRECT("'"&amp;$C14&amp;"'!L23:L200")="L")*(INDIRECT("'"&amp;$C14&amp;"'!J23:J200")=VALUE(LEFT(Z$5,1)))*(INDIRECT("'"&amp;$C14&amp;"'!K23:K200")=VALUE(RIGHT(Z$5,1))),1,0)))</f>
        <v>2</v>
      </c>
      <c r="AA14" s="226">
        <f t="array" aca="1" ref="AA14" ca="1">IF($C14="","",SUM(IF((INDIRECT("'"&amp;$C14&amp;"'!I23:I200")=$D$1)*(INDIRECT("'"&amp;$C14&amp;"'!H23:H200")="H")*(INDIRECT("'"&amp;$C14&amp;"'!L23:L200")="L")*(INDIRECT("'"&amp;$C14&amp;"'!J23:J200")=VALUE(LEFT(AA$5,1)))*(INDIRECT("'"&amp;$C14&amp;"'!K23:K200")=VALUE(RIGHT(AA$5,1))),1,0)))</f>
        <v>0</v>
      </c>
      <c r="AB14" s="226">
        <f t="array" aca="1" ref="AB14" ca="1">IF($C14="","",SUM(IF((INDIRECT("'"&amp;$C14&amp;"'!I23:I200")=$D$1)*(INDIRECT("'"&amp;$C14&amp;"'!H23:H200")="H")*(INDIRECT("'"&amp;$C14&amp;"'!L23:L200")="L")*(INDIRECT("'"&amp;$C14&amp;"'!J23:J200")=VALUE(LEFT(AB$5,1)))*(INDIRECT("'"&amp;$C14&amp;"'!K23:K200")=VALUE(RIGHT(AB$5,1))),1,0)))</f>
        <v>0</v>
      </c>
      <c r="AC14" s="226">
        <f t="array" aca="1" ref="AC14" ca="1">IF($C14="","",SUM(IF((INDIRECT("'"&amp;$C14&amp;"'!I23:I200")=$D$1)*(INDIRECT("'"&amp;$C14&amp;"'!H23:H200")="H")*(INDIRECT("'"&amp;$C14&amp;"'!L23:L200")="L")*(INDIRECT("'"&amp;$C14&amp;"'!J23:J200")=VALUE(LEFT(AC$5,1)))*(INDIRECT("'"&amp;$C14&amp;"'!K23:K200")=VALUE(RIGHT(AC$5,1))),1,0)))</f>
        <v>0</v>
      </c>
      <c r="AD14" s="226">
        <f t="array" aca="1" ref="AD14" ca="1">IF($C14="","",SUM(IF((INDIRECT("'"&amp;$C14&amp;"'!I23:I200")=$D$1)*(INDIRECT("'"&amp;$C14&amp;"'!H23:H200")="H")*(INDIRECT("'"&amp;$C14&amp;"'!L23:L200")="L")*(INDIRECT("'"&amp;$C14&amp;"'!J23:J200")=VALUE(LEFT(AD$5,1)))*(INDIRECT("'"&amp;$C14&amp;"'!K23:K200")=VALUE(RIGHT(AD$5,1))),1,0)))</f>
        <v>0</v>
      </c>
      <c r="AE14" s="226">
        <f t="array" aca="1" ref="AE14" ca="1">IF($C14="","",SUM(IF((INDIRECT("'"&amp;$C14&amp;"'!I23:I200")=$D$1)*(INDIRECT("'"&amp;$C14&amp;"'!H23:H200")="H")*(INDIRECT("'"&amp;$C14&amp;"'!L23:L200")="L")*(INDIRECT("'"&amp;$C14&amp;"'!J23:J200")=VALUE(LEFT(AE$5,1)))*(INDIRECT("'"&amp;$C14&amp;"'!K23:K200")=VALUE(RIGHT(AE$5,1))),1,0)))</f>
        <v>0</v>
      </c>
      <c r="AF14" s="226">
        <f t="array" aca="1" ref="AF14" ca="1">IF($C14="","",SUM(IF((INDIRECT("'"&amp;$C14&amp;"'!I23:I200")=$D$1)*(INDIRECT("'"&amp;$C14&amp;"'!H23:H200")="H")*(INDIRECT("'"&amp;$C14&amp;"'!L23:L200")="L")*(INDIRECT("'"&amp;$C14&amp;"'!J23:J200")=VALUE(LEFT(AF$5,1)))*(INDIRECT("'"&amp;$C14&amp;"'!K23:K200")=VALUE(RIGHT(AF$5,1))),1,0)))</f>
        <v>0</v>
      </c>
      <c r="AG14" s="226">
        <f t="array" aca="1" ref="AG14" ca="1">IF($C14="","",SUM(IF((INDIRECT("'"&amp;$C14&amp;"'!I23:I200")=$D$1)*(INDIRECT("'"&amp;$C14&amp;"'!H23:H200")="H")*(INDIRECT("'"&amp;$C14&amp;"'!L23:L200")="L")*(INDIRECT("'"&amp;$C14&amp;"'!J23:J200")=VALUE(LEFT(AG$5,1)))*(INDIRECT("'"&amp;$C14&amp;"'!K23:K200")=VALUE(RIGHT(AG$5,1))),1,0)))</f>
        <v>0</v>
      </c>
      <c r="AH14" s="227">
        <f t="array" aca="1" ref="AH14" ca="1">IF($C14="","",SUM(IF((INDIRECT("'"&amp;$C14&amp;"'!I23:I200")=$D$1)*(INDIRECT("'"&amp;$C14&amp;"'!H23:H200")="H")*(INDIRECT("'"&amp;$C14&amp;"'!L23:L200")="L"),1,0))-SUM(V14:AG14))</f>
        <v>0</v>
      </c>
    </row>
    <row r="15" spans="1:34" ht="14.25">
      <c r="A15" s="228">
        <v>10</v>
      </c>
      <c r="B15" s="229" t="str">
        <f ca="1">IF($A15&gt;$D$3,"",VLOOKUP($A15,Table!$A$9:$C$30,2,FALSE))</f>
        <v>Yokohama</v>
      </c>
      <c r="C15" s="225" t="str">
        <f ca="1">IF($A15&gt;$D$3,"",VLOOKUP($A15,Table!$A$9:$C$30,3,FALSE))</f>
        <v>Yokohama</v>
      </c>
      <c r="D15" s="226">
        <f t="array" aca="1" ref="D15" ca="1">IF($C15="","",SUM(IF((INDIRECT("'"&amp;$C15&amp;"'!H23:H200")=$D$1)*(INDIRECT("'"&amp;$C15&amp;"'!H23:H200")="H")*(INDIRECT("'"&amp;$C15&amp;"'!K23:K200")="W")*(INDIRECT("'"&amp;$C15&amp;"'!I23:I200")=VALUE(LEFT(D$5,1)))*(INDIRECT("'"&amp;$C15&amp;"'!H23:H200")=VALUE(RIGHT(D$5,1))),1,0)))</f>
        <v>0</v>
      </c>
      <c r="E15" s="226">
        <f t="array" aca="1" ref="E15" ca="1">IF($C15="","",SUM(IF((INDIRECT("'"&amp;$C15&amp;"'!I23:I200")=$D$1)*(INDIRECT("'"&amp;$C15&amp;"'!H23:H200")="H")*(INDIRECT("'"&amp;$C15&amp;"'!L23:L200")="W")*(INDIRECT("'"&amp;$C15&amp;"'!J23:J200")=VALUE(LEFT(E$5,1)))*(INDIRECT("'"&amp;$C15&amp;"'!K23:K200")=VALUE(RIGHT(E$5,1))),1,0)))</f>
        <v>3</v>
      </c>
      <c r="F15" s="226">
        <f t="array" aca="1" ref="F15" ca="1">IF($C15="","",SUM(IF((INDIRECT("'"&amp;$C15&amp;"'!I23:I200")=$D$1)*(INDIRECT("'"&amp;$C15&amp;"'!H23:H200")="H")*(INDIRECT("'"&amp;$C15&amp;"'!L23:L200")="W")*(INDIRECT("'"&amp;$C15&amp;"'!J23:J200")=VALUE(LEFT(F$5,1)))*(INDIRECT("'"&amp;$C15&amp;"'!K23:K200")=VALUE(RIGHT(F$5,1))),1,0)))</f>
        <v>2</v>
      </c>
      <c r="G15" s="226">
        <f t="array" aca="1" ref="G15" ca="1">IF($C15="","",SUM(IF((INDIRECT("'"&amp;$C15&amp;"'!I23:I200")=$D$1)*(INDIRECT("'"&amp;$C15&amp;"'!H23:H200")="H")*(INDIRECT("'"&amp;$C15&amp;"'!L23:L200")="W")*(INDIRECT("'"&amp;$C15&amp;"'!J23:J200")=VALUE(LEFT(G$5,1)))*(INDIRECT("'"&amp;$C15&amp;"'!K23:K200")=VALUE(RIGHT(G$5,1))),1,0)))</f>
        <v>0</v>
      </c>
      <c r="H15" s="226">
        <f t="array" aca="1" ref="H15" ca="1">IF($C15="","",SUM(IF((INDIRECT("'"&amp;$C15&amp;"'!I23:I200")=$D$1)*(INDIRECT("'"&amp;$C15&amp;"'!H23:H200")="H")*(INDIRECT("'"&amp;$C15&amp;"'!L23:L200")="W")*(INDIRECT("'"&amp;$C15&amp;"'!J23:J200")=VALUE(LEFT(H$5,1)))*(INDIRECT("'"&amp;$C15&amp;"'!K23:K200")=VALUE(RIGHT(H$5,1))),1,0)))</f>
        <v>0</v>
      </c>
      <c r="I15" s="226">
        <f t="array" aca="1" ref="I15" ca="1">IF($C15="","",SUM(IF((INDIRECT("'"&amp;$C15&amp;"'!I23:I200")=$D$1)*(INDIRECT("'"&amp;$C15&amp;"'!H23:H200")="H")*(INDIRECT("'"&amp;$C15&amp;"'!L23:L200")="W")*(INDIRECT("'"&amp;$C15&amp;"'!J23:J200")=VALUE(LEFT(I$5,1)))*(INDIRECT("'"&amp;$C15&amp;"'!K23:K200")=VALUE(RIGHT(I$5,1))),1,0)))</f>
        <v>0</v>
      </c>
      <c r="J15" s="226">
        <f t="array" aca="1" ref="J15" ca="1">IF($C15="","",SUM(IF((INDIRECT("'"&amp;$C15&amp;"'!I23:I200")=$D$1)*(INDIRECT("'"&amp;$C15&amp;"'!H23:H200")="H")*(INDIRECT("'"&amp;$C15&amp;"'!L23:L200")="W")*(INDIRECT("'"&amp;$C15&amp;"'!J23:J200")=VALUE(LEFT(J$5,1)))*(INDIRECT("'"&amp;$C15&amp;"'!K23:K200")=VALUE(RIGHT(J$5,1))),1,0)))</f>
        <v>2</v>
      </c>
      <c r="K15" s="226">
        <f t="array" aca="1" ref="K15" ca="1">IF($C15="","",SUM(IF((INDIRECT("'"&amp;$C15&amp;"'!I23:I200")=$D$1)*(INDIRECT("'"&amp;$C15&amp;"'!H23:H200")="H")*(INDIRECT("'"&amp;$C15&amp;"'!L23:L200")="W")*(INDIRECT("'"&amp;$C15&amp;"'!J23:J200")=VALUE(LEFT(K$5,1)))*(INDIRECT("'"&amp;$C15&amp;"'!K23:K200")=VALUE(RIGHT(K$5,1))),1,0)))</f>
        <v>0</v>
      </c>
      <c r="L15" s="226">
        <f t="array" aca="1" ref="L15" ca="1">IF($C15="","",SUM(IF((INDIRECT("'"&amp;$C15&amp;"'!I23:I200")=$D$1)*(INDIRECT("'"&amp;$C15&amp;"'!H23:H200")="H")*(INDIRECT("'"&amp;$C15&amp;"'!L23:L200")="W")*(INDIRECT("'"&amp;$C15&amp;"'!J23:J200")=VALUE(LEFT(L$5,1)))*(INDIRECT("'"&amp;$C15&amp;"'!K23:K200")=VALUE(RIGHT(L$5,1))),1,0)))</f>
        <v>0</v>
      </c>
      <c r="M15" s="226">
        <f t="array" aca="1" ref="M15" ca="1">IF($C15="","",SUM(IF((INDIRECT("'"&amp;$C15&amp;"'!I23:I200")=$D$1)*(INDIRECT("'"&amp;$C15&amp;"'!H23:H200")="H")*(INDIRECT("'"&amp;$C15&amp;"'!L23:L200")="W")*(INDIRECT("'"&amp;$C15&amp;"'!J23:J200")=VALUE(LEFT(M$5,1)))*(INDIRECT("'"&amp;$C15&amp;"'!K23:K200")=VALUE(RIGHT(M$5,1))),1,0)))</f>
        <v>0</v>
      </c>
      <c r="N15" s="226">
        <f t="array" aca="1" ref="N15" ca="1">IF($C15="","",SUM(IF((INDIRECT("'"&amp;$C15&amp;"'!I23:I200")=$D$1)*(INDIRECT("'"&amp;$C15&amp;"'!H23:H200")="H")*(INDIRECT("'"&amp;$C15&amp;"'!L23:L200")="W")*(INDIRECT("'"&amp;$C15&amp;"'!J23:J200")=VALUE(LEFT(N$5,1)))*(INDIRECT("'"&amp;$C15&amp;"'!K23:K200")=VALUE(RIGHT(N$5,1))),1,0)))</f>
        <v>0</v>
      </c>
      <c r="O15" s="226">
        <f t="array" aca="1" ref="O15" ca="1">IF($C15="","",SUM(IF((INDIRECT("'"&amp;$C15&amp;"'!I23:I200")=$D$1)*(INDIRECT("'"&amp;$C15&amp;"'!H23:H200")="H")*(INDIRECT("'"&amp;$C15&amp;"'!L23:L200")="W")*(INDIRECT("'"&amp;$C15&amp;"'!J23:J200")=VALUE(LEFT(O$5,1)))*(INDIRECT("'"&amp;$C15&amp;"'!K23:K200")=VALUE(RIGHT(O$5,1))),1,0)))</f>
        <v>0</v>
      </c>
      <c r="P15" s="226">
        <f t="array" aca="1" ref="P15" ca="1">IF($C15="","",SUM(IF((INDIRECT("'"&amp;$C15&amp;"'!I23:I200")=$D$1)*(INDIRECT("'"&amp;$C15&amp;"'!H23:H200")="H")*(INDIRECT("'"&amp;$C15&amp;"'!L23:L200")="W"),1,0))-SUM(D15:O15))</f>
        <v>5</v>
      </c>
      <c r="Q15" s="226">
        <f t="array" aca="1" ref="Q15" ca="1">IF($C15="","",SUM(IF((INDIRECT("'"&amp;$C15&amp;"'!I23:I200")=$D$1)*(INDIRECT("'"&amp;$C15&amp;"'!H23:H200")="H")*(INDIRECT("'"&amp;$C15&amp;"'!L23:L200")="D")*(INDIRECT("'"&amp;$C15&amp;"'!J23:J200")=VALUE(LEFT(Q$5,1)))*(INDIRECT("'"&amp;$C15&amp;"'!K23:K200")=VALUE(RIGHT(Q$5,1))),1,0)))</f>
        <v>0</v>
      </c>
      <c r="R15" s="226">
        <f t="array" aca="1" ref="R15" ca="1">IF($C15="","",SUM(IF((INDIRECT("'"&amp;$C15&amp;"'!I23:I200")=$D$1)*(INDIRECT("'"&amp;$C15&amp;"'!H23:H200")="H")*(INDIRECT("'"&amp;$C15&amp;"'!L23:L200")="D")*(INDIRECT("'"&amp;$C15&amp;"'!J23:J200")=VALUE(LEFT(R$5,1)))*(INDIRECT("'"&amp;$C15&amp;"'!K23:K200")=VALUE(RIGHT(R$5,1))),1,0)))</f>
        <v>2</v>
      </c>
      <c r="S15" s="226">
        <f t="array" aca="1" ref="S15" ca="1">IF($C15="","",SUM(IF((INDIRECT("'"&amp;$C15&amp;"'!I23:I200")=$D$1)*(INDIRECT("'"&amp;$C15&amp;"'!H23:H200")="H")*(INDIRECT("'"&amp;$C15&amp;"'!L23:L200")="D")*(INDIRECT("'"&amp;$C15&amp;"'!J23:J200")=VALUE(LEFT(S$5,1)))*(INDIRECT("'"&amp;$C15&amp;"'!K23:K200")=VALUE(RIGHT(S$5,1))),1,0)))</f>
        <v>1</v>
      </c>
      <c r="T15" s="226">
        <f t="array" aca="1" ref="T15" ca="1">IF($C15="","",SUM(IF((INDIRECT("'"&amp;$C15&amp;"'!I23:I200")=$D$1)*(INDIRECT("'"&amp;$C15&amp;"'!H23:H200")="H")*(INDIRECT("'"&amp;$C15&amp;"'!L23:L200")="D")*(INDIRECT("'"&amp;$C15&amp;"'!J23:J200")=VALUE(LEFT(T$5,1)))*(INDIRECT("'"&amp;$C15&amp;"'!K23:K200")=VALUE(RIGHT(T$5,1))),1,0)))</f>
        <v>0</v>
      </c>
      <c r="U15" s="226">
        <f t="array" aca="1" ref="U15" ca="1">IF($C15="","",SUM(IF((INDIRECT("'"&amp;$C15&amp;"'!I23:I200")=$D$1)*(INDIRECT("'"&amp;$C15&amp;"'!H23:H200")="H")*(INDIRECT("'"&amp;$C15&amp;"'!L23:L200")="D"),1,0))-SUM(Q15:T15))</f>
        <v>0</v>
      </c>
      <c r="V15" s="226">
        <f t="array" aca="1" ref="V15" ca="1">IF($C15="","",SUM(IF((INDIRECT("'"&amp;$C15&amp;"'!I23:I200")=$D$1)*(INDIRECT("'"&amp;$C15&amp;"'!H23:H200")="H")*(INDIRECT("'"&amp;$C15&amp;"'!L23:L200")="L")*(INDIRECT("'"&amp;$C15&amp;"'!J23:J200")=VALUE(LEFT(V$5,1)))*(INDIRECT("'"&amp;$C15&amp;"'!K23:K200")=VALUE(RIGHT(V$5,1))),1,0)))</f>
        <v>2</v>
      </c>
      <c r="W15" s="226">
        <f t="array" aca="1" ref="W15" ca="1">IF($C15="","",SUM(IF((INDIRECT("'"&amp;$C15&amp;"'!I23:I200")=$D$1)*(INDIRECT("'"&amp;$C15&amp;"'!H23:H200")="H")*(INDIRECT("'"&amp;$C15&amp;"'!L23:L200")="L")*(INDIRECT("'"&amp;$C15&amp;"'!J23:J200")=VALUE(LEFT(W$5,1)))*(INDIRECT("'"&amp;$C15&amp;"'!K23:K200")=VALUE(RIGHT(W$5,1))),1,0)))</f>
        <v>1</v>
      </c>
      <c r="X15" s="226">
        <f t="array" aca="1" ref="X15" ca="1">IF($C15="","",SUM(IF((INDIRECT("'"&amp;$C15&amp;"'!I23:I200")=$D$1)*(INDIRECT("'"&amp;$C15&amp;"'!H23:H200")="H")*(INDIRECT("'"&amp;$C15&amp;"'!L23:L200")="L")*(INDIRECT("'"&amp;$C15&amp;"'!J23:J200")=VALUE(LEFT(X$5,1)))*(INDIRECT("'"&amp;$C15&amp;"'!K23:K200")=VALUE(RIGHT(X$5,1))),1,0)))</f>
        <v>2</v>
      </c>
      <c r="Y15" s="226">
        <f t="array" aca="1" ref="Y15" ca="1">IF($C15="","",SUM(IF((INDIRECT("'"&amp;$C15&amp;"'!I23:I200")=$D$1)*(INDIRECT("'"&amp;$C15&amp;"'!H23:H200")="H")*(INDIRECT("'"&amp;$C15&amp;"'!L23:L200")="L")*(INDIRECT("'"&amp;$C15&amp;"'!J23:J200")=VALUE(LEFT(Y$5,1)))*(INDIRECT("'"&amp;$C15&amp;"'!K23:K200")=VALUE(RIGHT(Y$5,1))),1,0)))</f>
        <v>0</v>
      </c>
      <c r="Z15" s="226">
        <f t="array" aca="1" ref="Z15" ca="1">IF($C15="","",SUM(IF((INDIRECT("'"&amp;$C15&amp;"'!I23:I200")=$D$1)*(INDIRECT("'"&amp;$C15&amp;"'!H23:H200")="H")*(INDIRECT("'"&amp;$C15&amp;"'!L23:L200")="L")*(INDIRECT("'"&amp;$C15&amp;"'!J23:J200")=VALUE(LEFT(Z$5,1)))*(INDIRECT("'"&amp;$C15&amp;"'!K23:K200")=VALUE(RIGHT(Z$5,1))),1,0)))</f>
        <v>1</v>
      </c>
      <c r="AA15" s="226">
        <f t="array" aca="1" ref="AA15" ca="1">IF($C15="","",SUM(IF((INDIRECT("'"&amp;$C15&amp;"'!I23:I200")=$D$1)*(INDIRECT("'"&amp;$C15&amp;"'!H23:H200")="H")*(INDIRECT("'"&amp;$C15&amp;"'!L23:L200")="L")*(INDIRECT("'"&amp;$C15&amp;"'!J23:J200")=VALUE(LEFT(AA$5,1)))*(INDIRECT("'"&amp;$C15&amp;"'!K23:K200")=VALUE(RIGHT(AA$5,1))),1,0)))</f>
        <v>0</v>
      </c>
      <c r="AB15" s="226">
        <f t="array" aca="1" ref="AB15" ca="1">IF($C15="","",SUM(IF((INDIRECT("'"&amp;$C15&amp;"'!I23:I200")=$D$1)*(INDIRECT("'"&amp;$C15&amp;"'!H23:H200")="H")*(INDIRECT("'"&amp;$C15&amp;"'!L23:L200")="L")*(INDIRECT("'"&amp;$C15&amp;"'!J23:J200")=VALUE(LEFT(AB$5,1)))*(INDIRECT("'"&amp;$C15&amp;"'!K23:K200")=VALUE(RIGHT(AB$5,1))),1,0)))</f>
        <v>0</v>
      </c>
      <c r="AC15" s="226">
        <f t="array" aca="1" ref="AC15" ca="1">IF($C15="","",SUM(IF((INDIRECT("'"&amp;$C15&amp;"'!I23:I200")=$D$1)*(INDIRECT("'"&amp;$C15&amp;"'!H23:H200")="H")*(INDIRECT("'"&amp;$C15&amp;"'!L23:L200")="L")*(INDIRECT("'"&amp;$C15&amp;"'!J23:J200")=VALUE(LEFT(AC$5,1)))*(INDIRECT("'"&amp;$C15&amp;"'!K23:K200")=VALUE(RIGHT(AC$5,1))),1,0)))</f>
        <v>0</v>
      </c>
      <c r="AD15" s="226">
        <f t="array" aca="1" ref="AD15" ca="1">IF($C15="","",SUM(IF((INDIRECT("'"&amp;$C15&amp;"'!I23:I200")=$D$1)*(INDIRECT("'"&amp;$C15&amp;"'!H23:H200")="H")*(INDIRECT("'"&amp;$C15&amp;"'!L23:L200")="L")*(INDIRECT("'"&amp;$C15&amp;"'!J23:J200")=VALUE(LEFT(AD$5,1)))*(INDIRECT("'"&amp;$C15&amp;"'!K23:K200")=VALUE(RIGHT(AD$5,1))),1,0)))</f>
        <v>0</v>
      </c>
      <c r="AE15" s="226">
        <f t="array" aca="1" ref="AE15" ca="1">IF($C15="","",SUM(IF((INDIRECT("'"&amp;$C15&amp;"'!I23:I200")=$D$1)*(INDIRECT("'"&amp;$C15&amp;"'!H23:H200")="H")*(INDIRECT("'"&amp;$C15&amp;"'!L23:L200")="L")*(INDIRECT("'"&amp;$C15&amp;"'!J23:J200")=VALUE(LEFT(AE$5,1)))*(INDIRECT("'"&amp;$C15&amp;"'!K23:K200")=VALUE(RIGHT(AE$5,1))),1,0)))</f>
        <v>0</v>
      </c>
      <c r="AF15" s="226">
        <f t="array" aca="1" ref="AF15" ca="1">IF($C15="","",SUM(IF((INDIRECT("'"&amp;$C15&amp;"'!I23:I200")=$D$1)*(INDIRECT("'"&amp;$C15&amp;"'!H23:H200")="H")*(INDIRECT("'"&amp;$C15&amp;"'!L23:L200")="L")*(INDIRECT("'"&amp;$C15&amp;"'!J23:J200")=VALUE(LEFT(AF$5,1)))*(INDIRECT("'"&amp;$C15&amp;"'!K23:K200")=VALUE(RIGHT(AF$5,1))),1,0)))</f>
        <v>0</v>
      </c>
      <c r="AG15" s="226">
        <f t="array" aca="1" ref="AG15" ca="1">IF($C15="","",SUM(IF((INDIRECT("'"&amp;$C15&amp;"'!I23:I200")=$D$1)*(INDIRECT("'"&amp;$C15&amp;"'!H23:H200")="H")*(INDIRECT("'"&amp;$C15&amp;"'!L23:L200")="L")*(INDIRECT("'"&amp;$C15&amp;"'!J23:J200")=VALUE(LEFT(AG$5,1)))*(INDIRECT("'"&amp;$C15&amp;"'!K23:K200")=VALUE(RIGHT(AG$5,1))),1,0)))</f>
        <v>0</v>
      </c>
      <c r="AH15" s="227">
        <f t="array" aca="1" ref="AH15" ca="1">IF($C15="","",SUM(IF((INDIRECT("'"&amp;$C15&amp;"'!I23:I200")=$D$1)*(INDIRECT("'"&amp;$C15&amp;"'!H23:H200")="H")*(INDIRECT("'"&amp;$C15&amp;"'!L23:L200")="L"),1,0))-SUM(V15:AG15))</f>
        <v>0</v>
      </c>
    </row>
    <row r="16" spans="1:34" ht="14.25">
      <c r="A16" s="228">
        <v>11</v>
      </c>
      <c r="B16" s="229" t="str">
        <f ca="1">IF($A16&gt;$D$3,"",VLOOKUP($A16,Table!$A$9:$C$30,2,FALSE))</f>
        <v>Montedio Yamagata</v>
      </c>
      <c r="C16" s="225" t="str">
        <f ca="1">IF($A16&gt;$D$3,"",VLOOKUP($A16,Table!$A$9:$C$30,3,FALSE))</f>
        <v>Montedio Yamagata</v>
      </c>
      <c r="D16" s="226">
        <f t="array" aca="1" ref="D16" ca="1">IF($C16="","",SUM(IF((INDIRECT("'"&amp;$C16&amp;"'!H23:H200")=$D$1)*(INDIRECT("'"&amp;$C16&amp;"'!H23:H200")="H")*(INDIRECT("'"&amp;$C16&amp;"'!K23:K200")="W")*(INDIRECT("'"&amp;$C16&amp;"'!I23:I200")=VALUE(LEFT(D$5,1)))*(INDIRECT("'"&amp;$C16&amp;"'!H23:H200")=VALUE(RIGHT(D$5,1))),1,0)))</f>
        <v>0</v>
      </c>
      <c r="E16" s="226">
        <f t="array" aca="1" ref="E16" ca="1">IF($C16="","",SUM(IF((INDIRECT("'"&amp;$C16&amp;"'!I23:I200")=$D$1)*(INDIRECT("'"&amp;$C16&amp;"'!H23:H200")="H")*(INDIRECT("'"&amp;$C16&amp;"'!L23:L200")="W")*(INDIRECT("'"&amp;$C16&amp;"'!J23:J200")=VALUE(LEFT(E$5,1)))*(INDIRECT("'"&amp;$C16&amp;"'!K23:K200")=VALUE(RIGHT(E$5,1))),1,0)))</f>
        <v>1</v>
      </c>
      <c r="F16" s="226">
        <f t="array" aca="1" ref="F16" ca="1">IF($C16="","",SUM(IF((INDIRECT("'"&amp;$C16&amp;"'!I23:I200")=$D$1)*(INDIRECT("'"&amp;$C16&amp;"'!H23:H200")="H")*(INDIRECT("'"&amp;$C16&amp;"'!L23:L200")="W")*(INDIRECT("'"&amp;$C16&amp;"'!J23:J200")=VALUE(LEFT(F$5,1)))*(INDIRECT("'"&amp;$C16&amp;"'!K23:K200")=VALUE(RIGHT(F$5,1))),1,0)))</f>
        <v>1</v>
      </c>
      <c r="G16" s="226">
        <f t="array" aca="1" ref="G16" ca="1">IF($C16="","",SUM(IF((INDIRECT("'"&amp;$C16&amp;"'!I23:I200")=$D$1)*(INDIRECT("'"&amp;$C16&amp;"'!H23:H200")="H")*(INDIRECT("'"&amp;$C16&amp;"'!L23:L200")="W")*(INDIRECT("'"&amp;$C16&amp;"'!J23:J200")=VALUE(LEFT(G$5,1)))*(INDIRECT("'"&amp;$C16&amp;"'!K23:K200")=VALUE(RIGHT(G$5,1))),1,0)))</f>
        <v>1</v>
      </c>
      <c r="H16" s="226">
        <f t="array" aca="1" ref="H16" ca="1">IF($C16="","",SUM(IF((INDIRECT("'"&amp;$C16&amp;"'!I23:I200")=$D$1)*(INDIRECT("'"&amp;$C16&amp;"'!H23:H200")="H")*(INDIRECT("'"&amp;$C16&amp;"'!L23:L200")="W")*(INDIRECT("'"&amp;$C16&amp;"'!J23:J200")=VALUE(LEFT(H$5,1)))*(INDIRECT("'"&amp;$C16&amp;"'!K23:K200")=VALUE(RIGHT(H$5,1))),1,0)))</f>
        <v>0</v>
      </c>
      <c r="I16" s="226">
        <f t="array" aca="1" ref="I16" ca="1">IF($C16="","",SUM(IF((INDIRECT("'"&amp;$C16&amp;"'!I23:I200")=$D$1)*(INDIRECT("'"&amp;$C16&amp;"'!H23:H200")="H")*(INDIRECT("'"&amp;$C16&amp;"'!L23:L200")="W")*(INDIRECT("'"&amp;$C16&amp;"'!J23:J200")=VALUE(LEFT(I$5,1)))*(INDIRECT("'"&amp;$C16&amp;"'!K23:K200")=VALUE(RIGHT(I$5,1))),1,0)))</f>
        <v>2</v>
      </c>
      <c r="J16" s="226">
        <f t="array" aca="1" ref="J16" ca="1">IF($C16="","",SUM(IF((INDIRECT("'"&amp;$C16&amp;"'!I23:I200")=$D$1)*(INDIRECT("'"&amp;$C16&amp;"'!H23:H200")="H")*(INDIRECT("'"&amp;$C16&amp;"'!L23:L200")="W")*(INDIRECT("'"&amp;$C16&amp;"'!J23:J200")=VALUE(LEFT(J$5,1)))*(INDIRECT("'"&amp;$C16&amp;"'!K23:K200")=VALUE(RIGHT(J$5,1))),1,0)))</f>
        <v>0</v>
      </c>
      <c r="K16" s="226">
        <f t="array" aca="1" ref="K16" ca="1">IF($C16="","",SUM(IF((INDIRECT("'"&amp;$C16&amp;"'!I23:I200")=$D$1)*(INDIRECT("'"&amp;$C16&amp;"'!H23:H200")="H")*(INDIRECT("'"&amp;$C16&amp;"'!L23:L200")="W")*(INDIRECT("'"&amp;$C16&amp;"'!J23:J200")=VALUE(LEFT(K$5,1)))*(INDIRECT("'"&amp;$C16&amp;"'!K23:K200")=VALUE(RIGHT(K$5,1))),1,0)))</f>
        <v>1</v>
      </c>
      <c r="L16" s="226">
        <f t="array" aca="1" ref="L16" ca="1">IF($C16="","",SUM(IF((INDIRECT("'"&amp;$C16&amp;"'!I23:I200")=$D$1)*(INDIRECT("'"&amp;$C16&amp;"'!H23:H200")="H")*(INDIRECT("'"&amp;$C16&amp;"'!L23:L200")="W")*(INDIRECT("'"&amp;$C16&amp;"'!J23:J200")=VALUE(LEFT(L$5,1)))*(INDIRECT("'"&amp;$C16&amp;"'!K23:K200")=VALUE(RIGHT(L$5,1))),1,0)))</f>
        <v>0</v>
      </c>
      <c r="M16" s="226">
        <f t="array" aca="1" ref="M16" ca="1">IF($C16="","",SUM(IF((INDIRECT("'"&amp;$C16&amp;"'!I23:I200")=$D$1)*(INDIRECT("'"&amp;$C16&amp;"'!H23:H200")="H")*(INDIRECT("'"&amp;$C16&amp;"'!L23:L200")="W")*(INDIRECT("'"&amp;$C16&amp;"'!J23:J200")=VALUE(LEFT(M$5,1)))*(INDIRECT("'"&amp;$C16&amp;"'!K23:K200")=VALUE(RIGHT(M$5,1))),1,0)))</f>
        <v>0</v>
      </c>
      <c r="N16" s="226">
        <f t="array" aca="1" ref="N16" ca="1">IF($C16="","",SUM(IF((INDIRECT("'"&amp;$C16&amp;"'!I23:I200")=$D$1)*(INDIRECT("'"&amp;$C16&amp;"'!H23:H200")="H")*(INDIRECT("'"&amp;$C16&amp;"'!L23:L200")="W")*(INDIRECT("'"&amp;$C16&amp;"'!J23:J200")=VALUE(LEFT(N$5,1)))*(INDIRECT("'"&amp;$C16&amp;"'!K23:K200")=VALUE(RIGHT(N$5,1))),1,0)))</f>
        <v>0</v>
      </c>
      <c r="O16" s="226">
        <f t="array" aca="1" ref="O16" ca="1">IF($C16="","",SUM(IF((INDIRECT("'"&amp;$C16&amp;"'!I23:I200")=$D$1)*(INDIRECT("'"&amp;$C16&amp;"'!H23:H200")="H")*(INDIRECT("'"&amp;$C16&amp;"'!L23:L200")="W")*(INDIRECT("'"&amp;$C16&amp;"'!J23:J200")=VALUE(LEFT(O$5,1)))*(INDIRECT("'"&amp;$C16&amp;"'!K23:K200")=VALUE(RIGHT(O$5,1))),1,0)))</f>
        <v>0</v>
      </c>
      <c r="P16" s="226">
        <f t="array" aca="1" ref="P16" ca="1">IF($C16="","",SUM(IF((INDIRECT("'"&amp;$C16&amp;"'!I23:I200")=$D$1)*(INDIRECT("'"&amp;$C16&amp;"'!H23:H200")="H")*(INDIRECT("'"&amp;$C16&amp;"'!L23:L200")="W"),1,0))-SUM(D16:O16))</f>
        <v>3</v>
      </c>
      <c r="Q16" s="226">
        <f t="array" aca="1" ref="Q16" ca="1">IF($C16="","",SUM(IF((INDIRECT("'"&amp;$C16&amp;"'!I23:I200")=$D$1)*(INDIRECT("'"&amp;$C16&amp;"'!H23:H200")="H")*(INDIRECT("'"&amp;$C16&amp;"'!L23:L200")="D")*(INDIRECT("'"&amp;$C16&amp;"'!J23:J200")=VALUE(LEFT(Q$5,1)))*(INDIRECT("'"&amp;$C16&amp;"'!K23:K200")=VALUE(RIGHT(Q$5,1))),1,0)))</f>
        <v>5</v>
      </c>
      <c r="R16" s="226">
        <f t="array" aca="1" ref="R16" ca="1">IF($C16="","",SUM(IF((INDIRECT("'"&amp;$C16&amp;"'!I23:I200")=$D$1)*(INDIRECT("'"&amp;$C16&amp;"'!H23:H200")="H")*(INDIRECT("'"&amp;$C16&amp;"'!L23:L200")="D")*(INDIRECT("'"&amp;$C16&amp;"'!J23:J200")=VALUE(LEFT(R$5,1)))*(INDIRECT("'"&amp;$C16&amp;"'!K23:K200")=VALUE(RIGHT(R$5,1))),1,0)))</f>
        <v>1</v>
      </c>
      <c r="S16" s="226">
        <f t="array" aca="1" ref="S16" ca="1">IF($C16="","",SUM(IF((INDIRECT("'"&amp;$C16&amp;"'!I23:I200")=$D$1)*(INDIRECT("'"&amp;$C16&amp;"'!H23:H200")="H")*(INDIRECT("'"&amp;$C16&amp;"'!L23:L200")="D")*(INDIRECT("'"&amp;$C16&amp;"'!J23:J200")=VALUE(LEFT(S$5,1)))*(INDIRECT("'"&amp;$C16&amp;"'!K23:K200")=VALUE(RIGHT(S$5,1))),1,0)))</f>
        <v>3</v>
      </c>
      <c r="T16" s="226">
        <f t="array" aca="1" ref="T16" ca="1">IF($C16="","",SUM(IF((INDIRECT("'"&amp;$C16&amp;"'!I23:I200")=$D$1)*(INDIRECT("'"&amp;$C16&amp;"'!H23:H200")="H")*(INDIRECT("'"&amp;$C16&amp;"'!L23:L200")="D")*(INDIRECT("'"&amp;$C16&amp;"'!J23:J200")=VALUE(LEFT(T$5,1)))*(INDIRECT("'"&amp;$C16&amp;"'!K23:K200")=VALUE(RIGHT(T$5,1))),1,0)))</f>
        <v>0</v>
      </c>
      <c r="U16" s="226">
        <f t="array" aca="1" ref="U16" ca="1">IF($C16="","",SUM(IF((INDIRECT("'"&amp;$C16&amp;"'!I23:I200")=$D$1)*(INDIRECT("'"&amp;$C16&amp;"'!H23:H200")="H")*(INDIRECT("'"&amp;$C16&amp;"'!L23:L200")="D"),1,0))-SUM(Q16:T16))</f>
        <v>0</v>
      </c>
      <c r="V16" s="226">
        <f t="array" aca="1" ref="V16" ca="1">IF($C16="","",SUM(IF((INDIRECT("'"&amp;$C16&amp;"'!I23:I200")=$D$1)*(INDIRECT("'"&amp;$C16&amp;"'!H23:H200")="H")*(INDIRECT("'"&amp;$C16&amp;"'!L23:L200")="L")*(INDIRECT("'"&amp;$C16&amp;"'!J23:J200")=VALUE(LEFT(V$5,1)))*(INDIRECT("'"&amp;$C16&amp;"'!K23:K200")=VALUE(RIGHT(V$5,1))),1,0)))</f>
        <v>1</v>
      </c>
      <c r="W16" s="226">
        <f t="array" aca="1" ref="W16" ca="1">IF($C16="","",SUM(IF((INDIRECT("'"&amp;$C16&amp;"'!I23:I200")=$D$1)*(INDIRECT("'"&amp;$C16&amp;"'!H23:H200")="H")*(INDIRECT("'"&amp;$C16&amp;"'!L23:L200")="L")*(INDIRECT("'"&amp;$C16&amp;"'!J23:J200")=VALUE(LEFT(W$5,1)))*(INDIRECT("'"&amp;$C16&amp;"'!K23:K200")=VALUE(RIGHT(W$5,1))),1,0)))</f>
        <v>0</v>
      </c>
      <c r="X16" s="226">
        <f t="array" aca="1" ref="X16" ca="1">IF($C16="","",SUM(IF((INDIRECT("'"&amp;$C16&amp;"'!I23:I200")=$D$1)*(INDIRECT("'"&amp;$C16&amp;"'!H23:H200")="H")*(INDIRECT("'"&amp;$C16&amp;"'!L23:L200")="L")*(INDIRECT("'"&amp;$C16&amp;"'!J23:J200")=VALUE(LEFT(X$5,1)))*(INDIRECT("'"&amp;$C16&amp;"'!K23:K200")=VALUE(RIGHT(X$5,1))),1,0)))</f>
        <v>0</v>
      </c>
      <c r="Y16" s="226">
        <f t="array" aca="1" ref="Y16" ca="1">IF($C16="","",SUM(IF((INDIRECT("'"&amp;$C16&amp;"'!I23:I200")=$D$1)*(INDIRECT("'"&amp;$C16&amp;"'!H23:H200")="H")*(INDIRECT("'"&amp;$C16&amp;"'!L23:L200")="L")*(INDIRECT("'"&amp;$C16&amp;"'!J23:J200")=VALUE(LEFT(Y$5,1)))*(INDIRECT("'"&amp;$C16&amp;"'!K23:K200")=VALUE(RIGHT(Y$5,1))),1,0)))</f>
        <v>0</v>
      </c>
      <c r="Z16" s="226">
        <f t="array" aca="1" ref="Z16" ca="1">IF($C16="","",SUM(IF((INDIRECT("'"&amp;$C16&amp;"'!I23:I200")=$D$1)*(INDIRECT("'"&amp;$C16&amp;"'!H23:H200")="H")*(INDIRECT("'"&amp;$C16&amp;"'!L23:L200")="L")*(INDIRECT("'"&amp;$C16&amp;"'!J23:J200")=VALUE(LEFT(Z$5,1)))*(INDIRECT("'"&amp;$C16&amp;"'!K23:K200")=VALUE(RIGHT(Z$5,1))),1,0)))</f>
        <v>1</v>
      </c>
      <c r="AA16" s="226">
        <f t="array" aca="1" ref="AA16" ca="1">IF($C16="","",SUM(IF((INDIRECT("'"&amp;$C16&amp;"'!I23:I200")=$D$1)*(INDIRECT("'"&amp;$C16&amp;"'!H23:H200")="H")*(INDIRECT("'"&amp;$C16&amp;"'!L23:L200")="L")*(INDIRECT("'"&amp;$C16&amp;"'!J23:J200")=VALUE(LEFT(AA$5,1)))*(INDIRECT("'"&amp;$C16&amp;"'!K23:K200")=VALUE(RIGHT(AA$5,1))),1,0)))</f>
        <v>0</v>
      </c>
      <c r="AB16" s="226">
        <f t="array" aca="1" ref="AB16" ca="1">IF($C16="","",SUM(IF((INDIRECT("'"&amp;$C16&amp;"'!I23:I200")=$D$1)*(INDIRECT("'"&amp;$C16&amp;"'!H23:H200")="H")*(INDIRECT("'"&amp;$C16&amp;"'!L23:L200")="L")*(INDIRECT("'"&amp;$C16&amp;"'!J23:J200")=VALUE(LEFT(AB$5,1)))*(INDIRECT("'"&amp;$C16&amp;"'!K23:K200")=VALUE(RIGHT(AB$5,1))),1,0)))</f>
        <v>0</v>
      </c>
      <c r="AC16" s="226">
        <f t="array" aca="1" ref="AC16" ca="1">IF($C16="","",SUM(IF((INDIRECT("'"&amp;$C16&amp;"'!I23:I200")=$D$1)*(INDIRECT("'"&amp;$C16&amp;"'!H23:H200")="H")*(INDIRECT("'"&amp;$C16&amp;"'!L23:L200")="L")*(INDIRECT("'"&amp;$C16&amp;"'!J23:J200")=VALUE(LEFT(AC$5,1)))*(INDIRECT("'"&amp;$C16&amp;"'!K23:K200")=VALUE(RIGHT(AC$5,1))),1,0)))</f>
        <v>0</v>
      </c>
      <c r="AD16" s="226">
        <f t="array" aca="1" ref="AD16" ca="1">IF($C16="","",SUM(IF((INDIRECT("'"&amp;$C16&amp;"'!I23:I200")=$D$1)*(INDIRECT("'"&amp;$C16&amp;"'!H23:H200")="H")*(INDIRECT("'"&amp;$C16&amp;"'!L23:L200")="L")*(INDIRECT("'"&amp;$C16&amp;"'!J23:J200")=VALUE(LEFT(AD$5,1)))*(INDIRECT("'"&amp;$C16&amp;"'!K23:K200")=VALUE(RIGHT(AD$5,1))),1,0)))</f>
        <v>0</v>
      </c>
      <c r="AE16" s="226">
        <f t="array" aca="1" ref="AE16" ca="1">IF($C16="","",SUM(IF((INDIRECT("'"&amp;$C16&amp;"'!I23:I200")=$D$1)*(INDIRECT("'"&amp;$C16&amp;"'!H23:H200")="H")*(INDIRECT("'"&amp;$C16&amp;"'!L23:L200")="L")*(INDIRECT("'"&amp;$C16&amp;"'!J23:J200")=VALUE(LEFT(AE$5,1)))*(INDIRECT("'"&amp;$C16&amp;"'!K23:K200")=VALUE(RIGHT(AE$5,1))),1,0)))</f>
        <v>0</v>
      </c>
      <c r="AF16" s="226">
        <f t="array" aca="1" ref="AF16" ca="1">IF($C16="","",SUM(IF((INDIRECT("'"&amp;$C16&amp;"'!I23:I200")=$D$1)*(INDIRECT("'"&amp;$C16&amp;"'!H23:H200")="H")*(INDIRECT("'"&amp;$C16&amp;"'!L23:L200")="L")*(INDIRECT("'"&amp;$C16&amp;"'!J23:J200")=VALUE(LEFT(AF$5,1)))*(INDIRECT("'"&amp;$C16&amp;"'!K23:K200")=VALUE(RIGHT(AF$5,1))),1,0)))</f>
        <v>0</v>
      </c>
      <c r="AG16" s="226">
        <f t="array" aca="1" ref="AG16" ca="1">IF($C16="","",SUM(IF((INDIRECT("'"&amp;$C16&amp;"'!I23:I200")=$D$1)*(INDIRECT("'"&amp;$C16&amp;"'!H23:H200")="H")*(INDIRECT("'"&amp;$C16&amp;"'!L23:L200")="L")*(INDIRECT("'"&amp;$C16&amp;"'!J23:J200")=VALUE(LEFT(AG$5,1)))*(INDIRECT("'"&amp;$C16&amp;"'!K23:K200")=VALUE(RIGHT(AG$5,1))),1,0)))</f>
        <v>0</v>
      </c>
      <c r="AH16" s="227">
        <f t="array" aca="1" ref="AH16" ca="1">IF($C16="","",SUM(IF((INDIRECT("'"&amp;$C16&amp;"'!I23:I200")=$D$1)*(INDIRECT("'"&amp;$C16&amp;"'!H23:H200")="H")*(INDIRECT("'"&amp;$C16&amp;"'!L23:L200")="L"),1,0))-SUM(V16:AG16))</f>
        <v>1</v>
      </c>
    </row>
    <row r="17" spans="1:59" ht="14.25">
      <c r="A17" s="228">
        <v>12</v>
      </c>
      <c r="B17" s="229" t="str">
        <f ca="1">IF($A17&gt;$D$3,"",VLOOKUP($A17,Table!$A$9:$C$30,2,FALSE))</f>
        <v>Kyoto Sanga</v>
      </c>
      <c r="C17" s="225" t="str">
        <f ca="1">IF($A17&gt;$D$3,"",VLOOKUP($A17,Table!$A$9:$C$30,3,FALSE))</f>
        <v>Kyoto Sanga</v>
      </c>
      <c r="D17" s="226">
        <f t="array" aca="1" ref="D17" ca="1">IF($C17="","",SUM(IF((INDIRECT("'"&amp;$C17&amp;"'!H23:H200")=$D$1)*(INDIRECT("'"&amp;$C17&amp;"'!H23:H200")="H")*(INDIRECT("'"&amp;$C17&amp;"'!K23:K200")="W")*(INDIRECT("'"&amp;$C17&amp;"'!I23:I200")=VALUE(LEFT(D$5,1)))*(INDIRECT("'"&amp;$C17&amp;"'!H23:H200")=VALUE(RIGHT(D$5,1))),1,0)))</f>
        <v>0</v>
      </c>
      <c r="E17" s="226">
        <f t="array" aca="1" ref="E17" ca="1">IF($C17="","",SUM(IF((INDIRECT("'"&amp;$C17&amp;"'!I23:I200")=$D$1)*(INDIRECT("'"&amp;$C17&amp;"'!H23:H200")="H")*(INDIRECT("'"&amp;$C17&amp;"'!L23:L200")="W")*(INDIRECT("'"&amp;$C17&amp;"'!J23:J200")=VALUE(LEFT(E$5,1)))*(INDIRECT("'"&amp;$C17&amp;"'!K23:K200")=VALUE(RIGHT(E$5,1))),1,0)))</f>
        <v>1</v>
      </c>
      <c r="F17" s="226">
        <f t="array" aca="1" ref="F17" ca="1">IF($C17="","",SUM(IF((INDIRECT("'"&amp;$C17&amp;"'!I23:I200")=$D$1)*(INDIRECT("'"&amp;$C17&amp;"'!H23:H200")="H")*(INDIRECT("'"&amp;$C17&amp;"'!L23:L200")="W")*(INDIRECT("'"&amp;$C17&amp;"'!J23:J200")=VALUE(LEFT(F$5,1)))*(INDIRECT("'"&amp;$C17&amp;"'!K23:K200")=VALUE(RIGHT(F$5,1))),1,0)))</f>
        <v>1</v>
      </c>
      <c r="G17" s="226">
        <f t="array" aca="1" ref="G17" ca="1">IF($C17="","",SUM(IF((INDIRECT("'"&amp;$C17&amp;"'!I23:I200")=$D$1)*(INDIRECT("'"&amp;$C17&amp;"'!H23:H200")="H")*(INDIRECT("'"&amp;$C17&amp;"'!L23:L200")="W")*(INDIRECT("'"&amp;$C17&amp;"'!J23:J200")=VALUE(LEFT(G$5,1)))*(INDIRECT("'"&amp;$C17&amp;"'!K23:K200")=VALUE(RIGHT(G$5,1))),1,0)))</f>
        <v>0</v>
      </c>
      <c r="H17" s="226">
        <f t="array" aca="1" ref="H17" ca="1">IF($C17="","",SUM(IF((INDIRECT("'"&amp;$C17&amp;"'!I23:I200")=$D$1)*(INDIRECT("'"&amp;$C17&amp;"'!H23:H200")="H")*(INDIRECT("'"&amp;$C17&amp;"'!L23:L200")="W")*(INDIRECT("'"&amp;$C17&amp;"'!J23:J200")=VALUE(LEFT(H$5,1)))*(INDIRECT("'"&amp;$C17&amp;"'!K23:K200")=VALUE(RIGHT(H$5,1))),1,0)))</f>
        <v>1</v>
      </c>
      <c r="I17" s="226">
        <f t="array" aca="1" ref="I17" ca="1">IF($C17="","",SUM(IF((INDIRECT("'"&amp;$C17&amp;"'!I23:I200")=$D$1)*(INDIRECT("'"&amp;$C17&amp;"'!H23:H200")="H")*(INDIRECT("'"&amp;$C17&amp;"'!L23:L200")="W")*(INDIRECT("'"&amp;$C17&amp;"'!J23:J200")=VALUE(LEFT(I$5,1)))*(INDIRECT("'"&amp;$C17&amp;"'!K23:K200")=VALUE(RIGHT(I$5,1))),1,0)))</f>
        <v>1</v>
      </c>
      <c r="J17" s="226">
        <f t="array" aca="1" ref="J17" ca="1">IF($C17="","",SUM(IF((INDIRECT("'"&amp;$C17&amp;"'!I23:I200")=$D$1)*(INDIRECT("'"&amp;$C17&amp;"'!H23:H200")="H")*(INDIRECT("'"&amp;$C17&amp;"'!L23:L200")="W")*(INDIRECT("'"&amp;$C17&amp;"'!J23:J200")=VALUE(LEFT(J$5,1)))*(INDIRECT("'"&amp;$C17&amp;"'!K23:K200")=VALUE(RIGHT(J$5,1))),1,0)))</f>
        <v>0</v>
      </c>
      <c r="K17" s="226">
        <f t="array" aca="1" ref="K17" ca="1">IF($C17="","",SUM(IF((INDIRECT("'"&amp;$C17&amp;"'!I23:I200")=$D$1)*(INDIRECT("'"&amp;$C17&amp;"'!H23:H200")="H")*(INDIRECT("'"&amp;$C17&amp;"'!L23:L200")="W")*(INDIRECT("'"&amp;$C17&amp;"'!J23:J200")=VALUE(LEFT(K$5,1)))*(INDIRECT("'"&amp;$C17&amp;"'!K23:K200")=VALUE(RIGHT(K$5,1))),1,0)))</f>
        <v>0</v>
      </c>
      <c r="L17" s="226">
        <f t="array" aca="1" ref="L17" ca="1">IF($C17="","",SUM(IF((INDIRECT("'"&amp;$C17&amp;"'!I23:I200")=$D$1)*(INDIRECT("'"&amp;$C17&amp;"'!H23:H200")="H")*(INDIRECT("'"&amp;$C17&amp;"'!L23:L200")="W")*(INDIRECT("'"&amp;$C17&amp;"'!J23:J200")=VALUE(LEFT(L$5,1)))*(INDIRECT("'"&amp;$C17&amp;"'!K23:K200")=VALUE(RIGHT(L$5,1))),1,0)))</f>
        <v>0</v>
      </c>
      <c r="M17" s="226">
        <f t="array" aca="1" ref="M17" ca="1">IF($C17="","",SUM(IF((INDIRECT("'"&amp;$C17&amp;"'!I23:I200")=$D$1)*(INDIRECT("'"&amp;$C17&amp;"'!H23:H200")="H")*(INDIRECT("'"&amp;$C17&amp;"'!L23:L200")="W")*(INDIRECT("'"&amp;$C17&amp;"'!J23:J200")=VALUE(LEFT(M$5,1)))*(INDIRECT("'"&amp;$C17&amp;"'!K23:K200")=VALUE(RIGHT(M$5,1))),1,0)))</f>
        <v>0</v>
      </c>
      <c r="N17" s="226">
        <f t="array" aca="1" ref="N17" ca="1">IF($C17="","",SUM(IF((INDIRECT("'"&amp;$C17&amp;"'!I23:I200")=$D$1)*(INDIRECT("'"&amp;$C17&amp;"'!H23:H200")="H")*(INDIRECT("'"&amp;$C17&amp;"'!L23:L200")="W")*(INDIRECT("'"&amp;$C17&amp;"'!J23:J200")=VALUE(LEFT(N$5,1)))*(INDIRECT("'"&amp;$C17&amp;"'!K23:K200")=VALUE(RIGHT(N$5,1))),1,0)))</f>
        <v>0</v>
      </c>
      <c r="O17" s="226">
        <f t="array" aca="1" ref="O17" ca="1">IF($C17="","",SUM(IF((INDIRECT("'"&amp;$C17&amp;"'!I23:I200")=$D$1)*(INDIRECT("'"&amp;$C17&amp;"'!H23:H200")="H")*(INDIRECT("'"&amp;$C17&amp;"'!L23:L200")="W")*(INDIRECT("'"&amp;$C17&amp;"'!J23:J200")=VALUE(LEFT(O$5,1)))*(INDIRECT("'"&amp;$C17&amp;"'!K23:K200")=VALUE(RIGHT(O$5,1))),1,0)))</f>
        <v>0</v>
      </c>
      <c r="P17" s="226">
        <f t="array" aca="1" ref="P17" ca="1">IF($C17="","",SUM(IF((INDIRECT("'"&amp;$C17&amp;"'!I23:I200")=$D$1)*(INDIRECT("'"&amp;$C17&amp;"'!H23:H200")="H")*(INDIRECT("'"&amp;$C17&amp;"'!L23:L200")="W"),1,0))-SUM(D17:O17))</f>
        <v>3</v>
      </c>
      <c r="Q17" s="226">
        <f t="array" aca="1" ref="Q17" ca="1">IF($C17="","",SUM(IF((INDIRECT("'"&amp;$C17&amp;"'!I23:I200")=$D$1)*(INDIRECT("'"&amp;$C17&amp;"'!H23:H200")="H")*(INDIRECT("'"&amp;$C17&amp;"'!L23:L200")="D")*(INDIRECT("'"&amp;$C17&amp;"'!J23:J200")=VALUE(LEFT(Q$5,1)))*(INDIRECT("'"&amp;$C17&amp;"'!K23:K200")=VALUE(RIGHT(Q$5,1))),1,0)))</f>
        <v>1</v>
      </c>
      <c r="R17" s="226">
        <f t="array" aca="1" ref="R17" ca="1">IF($C17="","",SUM(IF((INDIRECT("'"&amp;$C17&amp;"'!I23:I200")=$D$1)*(INDIRECT("'"&amp;$C17&amp;"'!H23:H200")="H")*(INDIRECT("'"&amp;$C17&amp;"'!L23:L200")="D")*(INDIRECT("'"&amp;$C17&amp;"'!J23:J200")=VALUE(LEFT(R$5,1)))*(INDIRECT("'"&amp;$C17&amp;"'!K23:K200")=VALUE(RIGHT(R$5,1))),1,0)))</f>
        <v>4</v>
      </c>
      <c r="S17" s="226">
        <f t="array" aca="1" ref="S17" ca="1">IF($C17="","",SUM(IF((INDIRECT("'"&amp;$C17&amp;"'!I23:I200")=$D$1)*(INDIRECT("'"&amp;$C17&amp;"'!H23:H200")="H")*(INDIRECT("'"&amp;$C17&amp;"'!L23:L200")="D")*(INDIRECT("'"&amp;$C17&amp;"'!J23:J200")=VALUE(LEFT(S$5,1)))*(INDIRECT("'"&amp;$C17&amp;"'!K23:K200")=VALUE(RIGHT(S$5,1))),1,0)))</f>
        <v>3</v>
      </c>
      <c r="T17" s="226">
        <f t="array" aca="1" ref="T17" ca="1">IF($C17="","",SUM(IF((INDIRECT("'"&amp;$C17&amp;"'!I23:I200")=$D$1)*(INDIRECT("'"&amp;$C17&amp;"'!H23:H200")="H")*(INDIRECT("'"&amp;$C17&amp;"'!L23:L200")="D")*(INDIRECT("'"&amp;$C17&amp;"'!J23:J200")=VALUE(LEFT(T$5,1)))*(INDIRECT("'"&amp;$C17&amp;"'!K23:K200")=VALUE(RIGHT(T$5,1))),1,0)))</f>
        <v>0</v>
      </c>
      <c r="U17" s="226">
        <f t="array" aca="1" ref="U17" ca="1">IF($C17="","",SUM(IF((INDIRECT("'"&amp;$C17&amp;"'!I23:I200")=$D$1)*(INDIRECT("'"&amp;$C17&amp;"'!H23:H200")="H")*(INDIRECT("'"&amp;$C17&amp;"'!L23:L200")="D"),1,0))-SUM(Q17:T17))</f>
        <v>0</v>
      </c>
      <c r="V17" s="226">
        <f t="array" aca="1" ref="V17" ca="1">IF($C17="","",SUM(IF((INDIRECT("'"&amp;$C17&amp;"'!I23:I200")=$D$1)*(INDIRECT("'"&amp;$C17&amp;"'!H23:H200")="H")*(INDIRECT("'"&amp;$C17&amp;"'!L23:L200")="L")*(INDIRECT("'"&amp;$C17&amp;"'!J23:J200")=VALUE(LEFT(V$5,1)))*(INDIRECT("'"&amp;$C17&amp;"'!K23:K200")=VALUE(RIGHT(V$5,1))),1,0)))</f>
        <v>3</v>
      </c>
      <c r="W17" s="226">
        <f t="array" aca="1" ref="W17" ca="1">IF($C17="","",SUM(IF((INDIRECT("'"&amp;$C17&amp;"'!I23:I200")=$D$1)*(INDIRECT("'"&amp;$C17&amp;"'!H23:H200")="H")*(INDIRECT("'"&amp;$C17&amp;"'!L23:L200")="L")*(INDIRECT("'"&amp;$C17&amp;"'!J23:J200")=VALUE(LEFT(W$5,1)))*(INDIRECT("'"&amp;$C17&amp;"'!K23:K200")=VALUE(RIGHT(W$5,1))),1,0)))</f>
        <v>0</v>
      </c>
      <c r="X17" s="226">
        <f t="array" aca="1" ref="X17" ca="1">IF($C17="","",SUM(IF((INDIRECT("'"&amp;$C17&amp;"'!I23:I200")=$D$1)*(INDIRECT("'"&amp;$C17&amp;"'!H23:H200")="H")*(INDIRECT("'"&amp;$C17&amp;"'!L23:L200")="L")*(INDIRECT("'"&amp;$C17&amp;"'!J23:J200")=VALUE(LEFT(X$5,1)))*(INDIRECT("'"&amp;$C17&amp;"'!K23:K200")=VALUE(RIGHT(X$5,1))),1,0)))</f>
        <v>2</v>
      </c>
      <c r="Y17" s="226">
        <f t="array" aca="1" ref="Y17" ca="1">IF($C17="","",SUM(IF((INDIRECT("'"&amp;$C17&amp;"'!I23:I200")=$D$1)*(INDIRECT("'"&amp;$C17&amp;"'!H23:H200")="H")*(INDIRECT("'"&amp;$C17&amp;"'!L23:L200")="L")*(INDIRECT("'"&amp;$C17&amp;"'!J23:J200")=VALUE(LEFT(Y$5,1)))*(INDIRECT("'"&amp;$C17&amp;"'!K23:K200")=VALUE(RIGHT(Y$5,1))),1,0)))</f>
        <v>0</v>
      </c>
      <c r="Z17" s="226">
        <f t="array" aca="1" ref="Z17" ca="1">IF($C17="","",SUM(IF((INDIRECT("'"&amp;$C17&amp;"'!I23:I200")=$D$1)*(INDIRECT("'"&amp;$C17&amp;"'!H23:H200")="H")*(INDIRECT("'"&amp;$C17&amp;"'!L23:L200")="L")*(INDIRECT("'"&amp;$C17&amp;"'!J23:J200")=VALUE(LEFT(Z$5,1)))*(INDIRECT("'"&amp;$C17&amp;"'!K23:K200")=VALUE(RIGHT(Z$5,1))),1,0)))</f>
        <v>1</v>
      </c>
      <c r="AA17" s="226">
        <f t="array" aca="1" ref="AA17" ca="1">IF($C17="","",SUM(IF((INDIRECT("'"&amp;$C17&amp;"'!I23:I200")=$D$1)*(INDIRECT("'"&amp;$C17&amp;"'!H23:H200")="H")*(INDIRECT("'"&amp;$C17&amp;"'!L23:L200")="L")*(INDIRECT("'"&amp;$C17&amp;"'!J23:J200")=VALUE(LEFT(AA$5,1)))*(INDIRECT("'"&amp;$C17&amp;"'!K23:K200")=VALUE(RIGHT(AA$5,1))),1,0)))</f>
        <v>0</v>
      </c>
      <c r="AB17" s="226">
        <f t="array" aca="1" ref="AB17" ca="1">IF($C17="","",SUM(IF((INDIRECT("'"&amp;$C17&amp;"'!I23:I200")=$D$1)*(INDIRECT("'"&amp;$C17&amp;"'!H23:H200")="H")*(INDIRECT("'"&amp;$C17&amp;"'!L23:L200")="L")*(INDIRECT("'"&amp;$C17&amp;"'!J23:J200")=VALUE(LEFT(AB$5,1)))*(INDIRECT("'"&amp;$C17&amp;"'!K23:K200")=VALUE(RIGHT(AB$5,1))),1,0)))</f>
        <v>0</v>
      </c>
      <c r="AC17" s="226">
        <f t="array" aca="1" ref="AC17" ca="1">IF($C17="","",SUM(IF((INDIRECT("'"&amp;$C17&amp;"'!I23:I200")=$D$1)*(INDIRECT("'"&amp;$C17&amp;"'!H23:H200")="H")*(INDIRECT("'"&amp;$C17&amp;"'!L23:L200")="L")*(INDIRECT("'"&amp;$C17&amp;"'!J23:J200")=VALUE(LEFT(AC$5,1)))*(INDIRECT("'"&amp;$C17&amp;"'!K23:K200")=VALUE(RIGHT(AC$5,1))),1,0)))</f>
        <v>0</v>
      </c>
      <c r="AD17" s="226">
        <f t="array" aca="1" ref="AD17" ca="1">IF($C17="","",SUM(IF((INDIRECT("'"&amp;$C17&amp;"'!I23:I200")=$D$1)*(INDIRECT("'"&amp;$C17&amp;"'!H23:H200")="H")*(INDIRECT("'"&amp;$C17&amp;"'!L23:L200")="L")*(INDIRECT("'"&amp;$C17&amp;"'!J23:J200")=VALUE(LEFT(AD$5,1)))*(INDIRECT("'"&amp;$C17&amp;"'!K23:K200")=VALUE(RIGHT(AD$5,1))),1,0)))</f>
        <v>0</v>
      </c>
      <c r="AE17" s="226">
        <f t="array" aca="1" ref="AE17" ca="1">IF($C17="","",SUM(IF((INDIRECT("'"&amp;$C17&amp;"'!I23:I200")=$D$1)*(INDIRECT("'"&amp;$C17&amp;"'!H23:H200")="H")*(INDIRECT("'"&amp;$C17&amp;"'!L23:L200")="L")*(INDIRECT("'"&amp;$C17&amp;"'!J23:J200")=VALUE(LEFT(AE$5,1)))*(INDIRECT("'"&amp;$C17&amp;"'!K23:K200")=VALUE(RIGHT(AE$5,1))),1,0)))</f>
        <v>0</v>
      </c>
      <c r="AF17" s="226">
        <f t="array" aca="1" ref="AF17" ca="1">IF($C17="","",SUM(IF((INDIRECT("'"&amp;$C17&amp;"'!I23:I200")=$D$1)*(INDIRECT("'"&amp;$C17&amp;"'!H23:H200")="H")*(INDIRECT("'"&amp;$C17&amp;"'!L23:L200")="L")*(INDIRECT("'"&amp;$C17&amp;"'!J23:J200")=VALUE(LEFT(AF$5,1)))*(INDIRECT("'"&amp;$C17&amp;"'!K23:K200")=VALUE(RIGHT(AF$5,1))),1,0)))</f>
        <v>0</v>
      </c>
      <c r="AG17" s="226">
        <f t="array" aca="1" ref="AG17" ca="1">IF($C17="","",SUM(IF((INDIRECT("'"&amp;$C17&amp;"'!I23:I200")=$D$1)*(INDIRECT("'"&amp;$C17&amp;"'!H23:H200")="H")*(INDIRECT("'"&amp;$C17&amp;"'!L23:L200")="L")*(INDIRECT("'"&amp;$C17&amp;"'!J23:J200")=VALUE(LEFT(AG$5,1)))*(INDIRECT("'"&amp;$C17&amp;"'!K23:K200")=VALUE(RIGHT(AG$5,1))),1,0)))</f>
        <v>0</v>
      </c>
      <c r="AH17" s="227">
        <f t="array" aca="1" ref="AH17" ca="1">IF($C17="","",SUM(IF((INDIRECT("'"&amp;$C17&amp;"'!I23:I200")=$D$1)*(INDIRECT("'"&amp;$C17&amp;"'!H23:H200")="H")*(INDIRECT("'"&amp;$C17&amp;"'!L23:L200")="L"),1,0))-SUM(V17:AG17))</f>
        <v>0</v>
      </c>
    </row>
    <row r="18" spans="1:59" ht="14.25">
      <c r="A18" s="228">
        <v>13</v>
      </c>
      <c r="B18" s="229" t="str">
        <f ca="1">IF($A18&gt;$D$3,"",VLOOKUP($A18,Table!$A$9:$C$30,2,FALSE))</f>
        <v>Fagiano Okayama</v>
      </c>
      <c r="C18" s="225" t="str">
        <f ca="1">IF($A18&gt;$D$3,"",VLOOKUP($A18,Table!$A$9:$C$30,3,FALSE))</f>
        <v>Fagiano Okayama</v>
      </c>
      <c r="D18" s="226">
        <f t="array" aca="1" ref="D18" ca="1">IF($C18="","",SUM(IF((INDIRECT("'"&amp;$C18&amp;"'!H23:H200")=$D$1)*(INDIRECT("'"&amp;$C18&amp;"'!H23:H200")="H")*(INDIRECT("'"&amp;$C18&amp;"'!K23:K200")="W")*(INDIRECT("'"&amp;$C18&amp;"'!I23:I200")=VALUE(LEFT(D$5,1)))*(INDIRECT("'"&amp;$C18&amp;"'!H23:H200")=VALUE(RIGHT(D$5,1))),1,0)))</f>
        <v>0</v>
      </c>
      <c r="E18" s="226">
        <f t="array" aca="1" ref="E18" ca="1">IF($C18="","",SUM(IF((INDIRECT("'"&amp;$C18&amp;"'!I23:I200")=$D$1)*(INDIRECT("'"&amp;$C18&amp;"'!H23:H200")="H")*(INDIRECT("'"&amp;$C18&amp;"'!L23:L200")="W")*(INDIRECT("'"&amp;$C18&amp;"'!J23:J200")=VALUE(LEFT(E$5,1)))*(INDIRECT("'"&amp;$C18&amp;"'!K23:K200")=VALUE(RIGHT(E$5,1))),1,0)))</f>
        <v>1</v>
      </c>
      <c r="F18" s="226">
        <f t="array" aca="1" ref="F18" ca="1">IF($C18="","",SUM(IF((INDIRECT("'"&amp;$C18&amp;"'!I23:I200")=$D$1)*(INDIRECT("'"&amp;$C18&amp;"'!H23:H200")="H")*(INDIRECT("'"&amp;$C18&amp;"'!L23:L200")="W")*(INDIRECT("'"&amp;$C18&amp;"'!J23:J200")=VALUE(LEFT(F$5,1)))*(INDIRECT("'"&amp;$C18&amp;"'!K23:K200")=VALUE(RIGHT(F$5,1))),1,0)))</f>
        <v>6</v>
      </c>
      <c r="G18" s="226">
        <f t="array" aca="1" ref="G18" ca="1">IF($C18="","",SUM(IF((INDIRECT("'"&amp;$C18&amp;"'!I23:I200")=$D$1)*(INDIRECT("'"&amp;$C18&amp;"'!H23:H200")="H")*(INDIRECT("'"&amp;$C18&amp;"'!L23:L200")="W")*(INDIRECT("'"&amp;$C18&amp;"'!J23:J200")=VALUE(LEFT(G$5,1)))*(INDIRECT("'"&amp;$C18&amp;"'!K23:K200")=VALUE(RIGHT(G$5,1))),1,0)))</f>
        <v>1</v>
      </c>
      <c r="H18" s="226">
        <f t="array" aca="1" ref="H18" ca="1">IF($C18="","",SUM(IF((INDIRECT("'"&amp;$C18&amp;"'!I23:I200")=$D$1)*(INDIRECT("'"&amp;$C18&amp;"'!H23:H200")="H")*(INDIRECT("'"&amp;$C18&amp;"'!L23:L200")="W")*(INDIRECT("'"&amp;$C18&amp;"'!J23:J200")=VALUE(LEFT(H$5,1)))*(INDIRECT("'"&amp;$C18&amp;"'!K23:K200")=VALUE(RIGHT(H$5,1))),1,0)))</f>
        <v>0</v>
      </c>
      <c r="I18" s="226">
        <f t="array" aca="1" ref="I18" ca="1">IF($C18="","",SUM(IF((INDIRECT("'"&amp;$C18&amp;"'!I23:I200")=$D$1)*(INDIRECT("'"&amp;$C18&amp;"'!H23:H200")="H")*(INDIRECT("'"&amp;$C18&amp;"'!L23:L200")="W")*(INDIRECT("'"&amp;$C18&amp;"'!J23:J200")=VALUE(LEFT(I$5,1)))*(INDIRECT("'"&amp;$C18&amp;"'!K23:K200")=VALUE(RIGHT(I$5,1))),1,0)))</f>
        <v>1</v>
      </c>
      <c r="J18" s="226">
        <f t="array" aca="1" ref="J18" ca="1">IF($C18="","",SUM(IF((INDIRECT("'"&amp;$C18&amp;"'!I23:I200")=$D$1)*(INDIRECT("'"&amp;$C18&amp;"'!H23:H200")="H")*(INDIRECT("'"&amp;$C18&amp;"'!L23:L200")="W")*(INDIRECT("'"&amp;$C18&amp;"'!J23:J200")=VALUE(LEFT(J$5,1)))*(INDIRECT("'"&amp;$C18&amp;"'!K23:K200")=VALUE(RIGHT(J$5,1))),1,0)))</f>
        <v>0</v>
      </c>
      <c r="K18" s="226">
        <f t="array" aca="1" ref="K18" ca="1">IF($C18="","",SUM(IF((INDIRECT("'"&amp;$C18&amp;"'!I23:I200")=$D$1)*(INDIRECT("'"&amp;$C18&amp;"'!H23:H200")="H")*(INDIRECT("'"&amp;$C18&amp;"'!L23:L200")="W")*(INDIRECT("'"&amp;$C18&amp;"'!J23:J200")=VALUE(LEFT(K$5,1)))*(INDIRECT("'"&amp;$C18&amp;"'!K23:K200")=VALUE(RIGHT(K$5,1))),1,0)))</f>
        <v>0</v>
      </c>
      <c r="L18" s="226">
        <f t="array" aca="1" ref="L18" ca="1">IF($C18="","",SUM(IF((INDIRECT("'"&amp;$C18&amp;"'!I23:I200")=$D$1)*(INDIRECT("'"&amp;$C18&amp;"'!H23:H200")="H")*(INDIRECT("'"&amp;$C18&amp;"'!L23:L200")="W")*(INDIRECT("'"&amp;$C18&amp;"'!J23:J200")=VALUE(LEFT(L$5,1)))*(INDIRECT("'"&amp;$C18&amp;"'!K23:K200")=VALUE(RIGHT(L$5,1))),1,0)))</f>
        <v>0</v>
      </c>
      <c r="M18" s="226">
        <f t="array" aca="1" ref="M18" ca="1">IF($C18="","",SUM(IF((INDIRECT("'"&amp;$C18&amp;"'!I23:I200")=$D$1)*(INDIRECT("'"&amp;$C18&amp;"'!H23:H200")="H")*(INDIRECT("'"&amp;$C18&amp;"'!L23:L200")="W")*(INDIRECT("'"&amp;$C18&amp;"'!J23:J200")=VALUE(LEFT(M$5,1)))*(INDIRECT("'"&amp;$C18&amp;"'!K23:K200")=VALUE(RIGHT(M$5,1))),1,0)))</f>
        <v>0</v>
      </c>
      <c r="N18" s="226">
        <f t="array" aca="1" ref="N18" ca="1">IF($C18="","",SUM(IF((INDIRECT("'"&amp;$C18&amp;"'!I23:I200")=$D$1)*(INDIRECT("'"&amp;$C18&amp;"'!H23:H200")="H")*(INDIRECT("'"&amp;$C18&amp;"'!L23:L200")="W")*(INDIRECT("'"&amp;$C18&amp;"'!J23:J200")=VALUE(LEFT(N$5,1)))*(INDIRECT("'"&amp;$C18&amp;"'!K23:K200")=VALUE(RIGHT(N$5,1))),1,0)))</f>
        <v>0</v>
      </c>
      <c r="O18" s="226">
        <f t="array" aca="1" ref="O18" ca="1">IF($C18="","",SUM(IF((INDIRECT("'"&amp;$C18&amp;"'!I23:I200")=$D$1)*(INDIRECT("'"&amp;$C18&amp;"'!H23:H200")="H")*(INDIRECT("'"&amp;$C18&amp;"'!L23:L200")="W")*(INDIRECT("'"&amp;$C18&amp;"'!J23:J200")=VALUE(LEFT(O$5,1)))*(INDIRECT("'"&amp;$C18&amp;"'!K23:K200")=VALUE(RIGHT(O$5,1))),1,0)))</f>
        <v>0</v>
      </c>
      <c r="P18" s="226">
        <f t="array" aca="1" ref="P18" ca="1">IF($C18="","",SUM(IF((INDIRECT("'"&amp;$C18&amp;"'!I23:I200")=$D$1)*(INDIRECT("'"&amp;$C18&amp;"'!H23:H200")="H")*(INDIRECT("'"&amp;$C18&amp;"'!L23:L200")="W"),1,0))-SUM(D18:O18))</f>
        <v>0</v>
      </c>
      <c r="Q18" s="226">
        <f t="array" aca="1" ref="Q18" ca="1">IF($C18="","",SUM(IF((INDIRECT("'"&amp;$C18&amp;"'!I23:I200")=$D$1)*(INDIRECT("'"&amp;$C18&amp;"'!H23:H200")="H")*(INDIRECT("'"&amp;$C18&amp;"'!L23:L200")="D")*(INDIRECT("'"&amp;$C18&amp;"'!J23:J200")=VALUE(LEFT(Q$5,1)))*(INDIRECT("'"&amp;$C18&amp;"'!K23:K200")=VALUE(RIGHT(Q$5,1))),1,0)))</f>
        <v>1</v>
      </c>
      <c r="R18" s="226">
        <f t="array" aca="1" ref="R18" ca="1">IF($C18="","",SUM(IF((INDIRECT("'"&amp;$C18&amp;"'!I23:I200")=$D$1)*(INDIRECT("'"&amp;$C18&amp;"'!H23:H200")="H")*(INDIRECT("'"&amp;$C18&amp;"'!L23:L200")="D")*(INDIRECT("'"&amp;$C18&amp;"'!J23:J200")=VALUE(LEFT(R$5,1)))*(INDIRECT("'"&amp;$C18&amp;"'!K23:K200")=VALUE(RIGHT(R$5,1))),1,0)))</f>
        <v>4</v>
      </c>
      <c r="S18" s="226">
        <f t="array" aca="1" ref="S18" ca="1">IF($C18="","",SUM(IF((INDIRECT("'"&amp;$C18&amp;"'!I23:I200")=$D$1)*(INDIRECT("'"&amp;$C18&amp;"'!H23:H200")="H")*(INDIRECT("'"&amp;$C18&amp;"'!L23:L200")="D")*(INDIRECT("'"&amp;$C18&amp;"'!J23:J200")=VALUE(LEFT(S$5,1)))*(INDIRECT("'"&amp;$C18&amp;"'!K23:K200")=VALUE(RIGHT(S$5,1))),1,0)))</f>
        <v>0</v>
      </c>
      <c r="T18" s="226">
        <f t="array" aca="1" ref="T18" ca="1">IF($C18="","",SUM(IF((INDIRECT("'"&amp;$C18&amp;"'!I23:I200")=$D$1)*(INDIRECT("'"&amp;$C18&amp;"'!H23:H200")="H")*(INDIRECT("'"&amp;$C18&amp;"'!L23:L200")="D")*(INDIRECT("'"&amp;$C18&amp;"'!J23:J200")=VALUE(LEFT(T$5,1)))*(INDIRECT("'"&amp;$C18&amp;"'!K23:K200")=VALUE(RIGHT(T$5,1))),1,0)))</f>
        <v>0</v>
      </c>
      <c r="U18" s="226">
        <f t="array" aca="1" ref="U18" ca="1">IF($C18="","",SUM(IF((INDIRECT("'"&amp;$C18&amp;"'!I23:I200")=$D$1)*(INDIRECT("'"&amp;$C18&amp;"'!H23:H200")="H")*(INDIRECT("'"&amp;$C18&amp;"'!L23:L200")="D"),1,0))-SUM(Q18:T18))</f>
        <v>0</v>
      </c>
      <c r="V18" s="226">
        <f t="array" aca="1" ref="V18" ca="1">IF($C18="","",SUM(IF((INDIRECT("'"&amp;$C18&amp;"'!I23:I200")=$D$1)*(INDIRECT("'"&amp;$C18&amp;"'!H23:H200")="H")*(INDIRECT("'"&amp;$C18&amp;"'!L23:L200")="L")*(INDIRECT("'"&amp;$C18&amp;"'!J23:J200")=VALUE(LEFT(V$5,1)))*(INDIRECT("'"&amp;$C18&amp;"'!K23:K200")=VALUE(RIGHT(V$5,1))),1,0)))</f>
        <v>5</v>
      </c>
      <c r="W18" s="226">
        <f t="array" aca="1" ref="W18" ca="1">IF($C18="","",SUM(IF((INDIRECT("'"&amp;$C18&amp;"'!I23:I200")=$D$1)*(INDIRECT("'"&amp;$C18&amp;"'!H23:H200")="H")*(INDIRECT("'"&amp;$C18&amp;"'!L23:L200")="L")*(INDIRECT("'"&amp;$C18&amp;"'!J23:J200")=VALUE(LEFT(W$5,1)))*(INDIRECT("'"&amp;$C18&amp;"'!K23:K200")=VALUE(RIGHT(W$5,1))),1,0)))</f>
        <v>1</v>
      </c>
      <c r="X18" s="226">
        <f t="array" aca="1" ref="X18" ca="1">IF($C18="","",SUM(IF((INDIRECT("'"&amp;$C18&amp;"'!I23:I200")=$D$1)*(INDIRECT("'"&amp;$C18&amp;"'!H23:H200")="H")*(INDIRECT("'"&amp;$C18&amp;"'!L23:L200")="L")*(INDIRECT("'"&amp;$C18&amp;"'!J23:J200")=VALUE(LEFT(X$5,1)))*(INDIRECT("'"&amp;$C18&amp;"'!K23:K200")=VALUE(RIGHT(X$5,1))),1,0)))</f>
        <v>0</v>
      </c>
      <c r="Y18" s="226">
        <f t="array" aca="1" ref="Y18" ca="1">IF($C18="","",SUM(IF((INDIRECT("'"&amp;$C18&amp;"'!I23:I200")=$D$1)*(INDIRECT("'"&amp;$C18&amp;"'!H23:H200")="H")*(INDIRECT("'"&amp;$C18&amp;"'!L23:L200")="L")*(INDIRECT("'"&amp;$C18&amp;"'!J23:J200")=VALUE(LEFT(Y$5,1)))*(INDIRECT("'"&amp;$C18&amp;"'!K23:K200")=VALUE(RIGHT(Y$5,1))),1,0)))</f>
        <v>1</v>
      </c>
      <c r="Z18" s="226">
        <f t="array" aca="1" ref="Z18" ca="1">IF($C18="","",SUM(IF((INDIRECT("'"&amp;$C18&amp;"'!I23:I200")=$D$1)*(INDIRECT("'"&amp;$C18&amp;"'!H23:H200")="H")*(INDIRECT("'"&amp;$C18&amp;"'!L23:L200")="L")*(INDIRECT("'"&amp;$C18&amp;"'!J23:J200")=VALUE(LEFT(Z$5,1)))*(INDIRECT("'"&amp;$C18&amp;"'!K23:K200")=VALUE(RIGHT(Z$5,1))),1,0)))</f>
        <v>0</v>
      </c>
      <c r="AA18" s="226">
        <f t="array" aca="1" ref="AA18" ca="1">IF($C18="","",SUM(IF((INDIRECT("'"&amp;$C18&amp;"'!I23:I200")=$D$1)*(INDIRECT("'"&amp;$C18&amp;"'!H23:H200")="H")*(INDIRECT("'"&amp;$C18&amp;"'!L23:L200")="L")*(INDIRECT("'"&amp;$C18&amp;"'!J23:J200")=VALUE(LEFT(AA$5,1)))*(INDIRECT("'"&amp;$C18&amp;"'!K23:K200")=VALUE(RIGHT(AA$5,1))),1,0)))</f>
        <v>0</v>
      </c>
      <c r="AB18" s="226">
        <f t="array" aca="1" ref="AB18" ca="1">IF($C18="","",SUM(IF((INDIRECT("'"&amp;$C18&amp;"'!I23:I200")=$D$1)*(INDIRECT("'"&amp;$C18&amp;"'!H23:H200")="H")*(INDIRECT("'"&amp;$C18&amp;"'!L23:L200")="L")*(INDIRECT("'"&amp;$C18&amp;"'!J23:J200")=VALUE(LEFT(AB$5,1)))*(INDIRECT("'"&amp;$C18&amp;"'!K23:K200")=VALUE(RIGHT(AB$5,1))),1,0)))</f>
        <v>0</v>
      </c>
      <c r="AC18" s="226">
        <f t="array" aca="1" ref="AC18" ca="1">IF($C18="","",SUM(IF((INDIRECT("'"&amp;$C18&amp;"'!I23:I200")=$D$1)*(INDIRECT("'"&amp;$C18&amp;"'!H23:H200")="H")*(INDIRECT("'"&amp;$C18&amp;"'!L23:L200")="L")*(INDIRECT("'"&amp;$C18&amp;"'!J23:J200")=VALUE(LEFT(AC$5,1)))*(INDIRECT("'"&amp;$C18&amp;"'!K23:K200")=VALUE(RIGHT(AC$5,1))),1,0)))</f>
        <v>0</v>
      </c>
      <c r="AD18" s="226">
        <f t="array" aca="1" ref="AD18" ca="1">IF($C18="","",SUM(IF((INDIRECT("'"&amp;$C18&amp;"'!I23:I200")=$D$1)*(INDIRECT("'"&amp;$C18&amp;"'!H23:H200")="H")*(INDIRECT("'"&amp;$C18&amp;"'!L23:L200")="L")*(INDIRECT("'"&amp;$C18&amp;"'!J23:J200")=VALUE(LEFT(AD$5,1)))*(INDIRECT("'"&amp;$C18&amp;"'!K23:K200")=VALUE(RIGHT(AD$5,1))),1,0)))</f>
        <v>0</v>
      </c>
      <c r="AE18" s="226">
        <f t="array" aca="1" ref="AE18" ca="1">IF($C18="","",SUM(IF((INDIRECT("'"&amp;$C18&amp;"'!I23:I200")=$D$1)*(INDIRECT("'"&amp;$C18&amp;"'!H23:H200")="H")*(INDIRECT("'"&amp;$C18&amp;"'!L23:L200")="L")*(INDIRECT("'"&amp;$C18&amp;"'!J23:J200")=VALUE(LEFT(AE$5,1)))*(INDIRECT("'"&amp;$C18&amp;"'!K23:K200")=VALUE(RIGHT(AE$5,1))),1,0)))</f>
        <v>0</v>
      </c>
      <c r="AF18" s="226">
        <f t="array" aca="1" ref="AF18" ca="1">IF($C18="","",SUM(IF((INDIRECT("'"&amp;$C18&amp;"'!I23:I200")=$D$1)*(INDIRECT("'"&amp;$C18&amp;"'!H23:H200")="H")*(INDIRECT("'"&amp;$C18&amp;"'!L23:L200")="L")*(INDIRECT("'"&amp;$C18&amp;"'!J23:J200")=VALUE(LEFT(AF$5,1)))*(INDIRECT("'"&amp;$C18&amp;"'!K23:K200")=VALUE(RIGHT(AF$5,1))),1,0)))</f>
        <v>0</v>
      </c>
      <c r="AG18" s="226">
        <f t="array" aca="1" ref="AG18" ca="1">IF($C18="","",SUM(IF((INDIRECT("'"&amp;$C18&amp;"'!I23:I200")=$D$1)*(INDIRECT("'"&amp;$C18&amp;"'!H23:H200")="H")*(INDIRECT("'"&amp;$C18&amp;"'!L23:L200")="L")*(INDIRECT("'"&amp;$C18&amp;"'!J23:J200")=VALUE(LEFT(AG$5,1)))*(INDIRECT("'"&amp;$C18&amp;"'!K23:K200")=VALUE(RIGHT(AG$5,1))),1,0)))</f>
        <v>0</v>
      </c>
      <c r="AH18" s="227">
        <f t="array" aca="1" ref="AH18" ca="1">IF($C18="","",SUM(IF((INDIRECT("'"&amp;$C18&amp;"'!I23:I200")=$D$1)*(INDIRECT("'"&amp;$C18&amp;"'!H23:H200")="H")*(INDIRECT("'"&amp;$C18&amp;"'!L23:L200")="L"),1,0))-SUM(V18:AG18))</f>
        <v>0</v>
      </c>
    </row>
    <row r="19" spans="1:59" ht="14.25">
      <c r="A19" s="228">
        <v>14</v>
      </c>
      <c r="B19" s="229" t="str">
        <f ca="1">IF($A19&gt;$D$3,"",VLOOKUP($A19,Table!$A$9:$C$30,2,FALSE))</f>
        <v>Mito Hollyhock</v>
      </c>
      <c r="C19" s="225" t="str">
        <f ca="1">IF($A19&gt;$D$3,"",VLOOKUP($A19,Table!$A$9:$C$30,3,FALSE))</f>
        <v>Mito Hollyhock</v>
      </c>
      <c r="D19" s="226">
        <f t="array" aca="1" ref="D19" ca="1">IF($C19="","",SUM(IF((INDIRECT("'"&amp;$C19&amp;"'!H23:H200")=$D$1)*(INDIRECT("'"&amp;$C19&amp;"'!H23:H200")="H")*(INDIRECT("'"&amp;$C19&amp;"'!K23:K200")="W")*(INDIRECT("'"&amp;$C19&amp;"'!I23:I200")=VALUE(LEFT(D$5,1)))*(INDIRECT("'"&amp;$C19&amp;"'!H23:H200")=VALUE(RIGHT(D$5,1))),1,0)))</f>
        <v>0</v>
      </c>
      <c r="E19" s="226">
        <f t="array" aca="1" ref="E19" ca="1">IF($C19="","",SUM(IF((INDIRECT("'"&amp;$C19&amp;"'!I23:I200")=$D$1)*(INDIRECT("'"&amp;$C19&amp;"'!H23:H200")="H")*(INDIRECT("'"&amp;$C19&amp;"'!L23:L200")="W")*(INDIRECT("'"&amp;$C19&amp;"'!J23:J200")=VALUE(LEFT(E$5,1)))*(INDIRECT("'"&amp;$C19&amp;"'!K23:K200")=VALUE(RIGHT(E$5,1))),1,0)))</f>
        <v>2</v>
      </c>
      <c r="F19" s="226">
        <f t="array" aca="1" ref="F19" ca="1">IF($C19="","",SUM(IF((INDIRECT("'"&amp;$C19&amp;"'!I23:I200")=$D$1)*(INDIRECT("'"&amp;$C19&amp;"'!H23:H200")="H")*(INDIRECT("'"&amp;$C19&amp;"'!L23:L200")="W")*(INDIRECT("'"&amp;$C19&amp;"'!J23:J200")=VALUE(LEFT(F$5,1)))*(INDIRECT("'"&amp;$C19&amp;"'!K23:K200")=VALUE(RIGHT(F$5,1))),1,0)))</f>
        <v>1</v>
      </c>
      <c r="G19" s="226">
        <f t="array" aca="1" ref="G19" ca="1">IF($C19="","",SUM(IF((INDIRECT("'"&amp;$C19&amp;"'!I23:I200")=$D$1)*(INDIRECT("'"&amp;$C19&amp;"'!H23:H200")="H")*(INDIRECT("'"&amp;$C19&amp;"'!L23:L200")="W")*(INDIRECT("'"&amp;$C19&amp;"'!J23:J200")=VALUE(LEFT(G$5,1)))*(INDIRECT("'"&amp;$C19&amp;"'!K23:K200")=VALUE(RIGHT(G$5,1))),1,0)))</f>
        <v>0</v>
      </c>
      <c r="H19" s="226">
        <f t="array" aca="1" ref="H19" ca="1">IF($C19="","",SUM(IF((INDIRECT("'"&amp;$C19&amp;"'!I23:I200")=$D$1)*(INDIRECT("'"&amp;$C19&amp;"'!H23:H200")="H")*(INDIRECT("'"&amp;$C19&amp;"'!L23:L200")="W")*(INDIRECT("'"&amp;$C19&amp;"'!J23:J200")=VALUE(LEFT(H$5,1)))*(INDIRECT("'"&amp;$C19&amp;"'!K23:K200")=VALUE(RIGHT(H$5,1))),1,0)))</f>
        <v>1</v>
      </c>
      <c r="I19" s="226">
        <f t="array" aca="1" ref="I19" ca="1">IF($C19="","",SUM(IF((INDIRECT("'"&amp;$C19&amp;"'!I23:I200")=$D$1)*(INDIRECT("'"&amp;$C19&amp;"'!H23:H200")="H")*(INDIRECT("'"&amp;$C19&amp;"'!L23:L200")="W")*(INDIRECT("'"&amp;$C19&amp;"'!J23:J200")=VALUE(LEFT(I$5,1)))*(INDIRECT("'"&amp;$C19&amp;"'!K23:K200")=VALUE(RIGHT(I$5,1))),1,0)))</f>
        <v>2</v>
      </c>
      <c r="J19" s="226">
        <f t="array" aca="1" ref="J19" ca="1">IF($C19="","",SUM(IF((INDIRECT("'"&amp;$C19&amp;"'!I23:I200")=$D$1)*(INDIRECT("'"&amp;$C19&amp;"'!H23:H200")="H")*(INDIRECT("'"&amp;$C19&amp;"'!L23:L200")="W")*(INDIRECT("'"&amp;$C19&amp;"'!J23:J200")=VALUE(LEFT(J$5,1)))*(INDIRECT("'"&amp;$C19&amp;"'!K23:K200")=VALUE(RIGHT(J$5,1))),1,0)))</f>
        <v>2</v>
      </c>
      <c r="K19" s="226">
        <f t="array" aca="1" ref="K19" ca="1">IF($C19="","",SUM(IF((INDIRECT("'"&amp;$C19&amp;"'!I23:I200")=$D$1)*(INDIRECT("'"&amp;$C19&amp;"'!H23:H200")="H")*(INDIRECT("'"&amp;$C19&amp;"'!L23:L200")="W")*(INDIRECT("'"&amp;$C19&amp;"'!J23:J200")=VALUE(LEFT(K$5,1)))*(INDIRECT("'"&amp;$C19&amp;"'!K23:K200")=VALUE(RIGHT(K$5,1))),1,0)))</f>
        <v>0</v>
      </c>
      <c r="L19" s="226">
        <f t="array" aca="1" ref="L19" ca="1">IF($C19="","",SUM(IF((INDIRECT("'"&amp;$C19&amp;"'!I23:I200")=$D$1)*(INDIRECT("'"&amp;$C19&amp;"'!H23:H200")="H")*(INDIRECT("'"&amp;$C19&amp;"'!L23:L200")="W")*(INDIRECT("'"&amp;$C19&amp;"'!J23:J200")=VALUE(LEFT(L$5,1)))*(INDIRECT("'"&amp;$C19&amp;"'!K23:K200")=VALUE(RIGHT(L$5,1))),1,0)))</f>
        <v>0</v>
      </c>
      <c r="M19" s="226">
        <f t="array" aca="1" ref="M19" ca="1">IF($C19="","",SUM(IF((INDIRECT("'"&amp;$C19&amp;"'!I23:I200")=$D$1)*(INDIRECT("'"&amp;$C19&amp;"'!H23:H200")="H")*(INDIRECT("'"&amp;$C19&amp;"'!L23:L200")="W")*(INDIRECT("'"&amp;$C19&amp;"'!J23:J200")=VALUE(LEFT(M$5,1)))*(INDIRECT("'"&amp;$C19&amp;"'!K23:K200")=VALUE(RIGHT(M$5,1))),1,0)))</f>
        <v>0</v>
      </c>
      <c r="N19" s="226">
        <f t="array" aca="1" ref="N19" ca="1">IF($C19="","",SUM(IF((INDIRECT("'"&amp;$C19&amp;"'!I23:I200")=$D$1)*(INDIRECT("'"&amp;$C19&amp;"'!H23:H200")="H")*(INDIRECT("'"&amp;$C19&amp;"'!L23:L200")="W")*(INDIRECT("'"&amp;$C19&amp;"'!J23:J200")=VALUE(LEFT(N$5,1)))*(INDIRECT("'"&amp;$C19&amp;"'!K23:K200")=VALUE(RIGHT(N$5,1))),1,0)))</f>
        <v>0</v>
      </c>
      <c r="O19" s="226">
        <f t="array" aca="1" ref="O19" ca="1">IF($C19="","",SUM(IF((INDIRECT("'"&amp;$C19&amp;"'!I23:I200")=$D$1)*(INDIRECT("'"&amp;$C19&amp;"'!H23:H200")="H")*(INDIRECT("'"&amp;$C19&amp;"'!L23:L200")="W")*(INDIRECT("'"&amp;$C19&amp;"'!J23:J200")=VALUE(LEFT(O$5,1)))*(INDIRECT("'"&amp;$C19&amp;"'!K23:K200")=VALUE(RIGHT(O$5,1))),1,0)))</f>
        <v>0</v>
      </c>
      <c r="P19" s="226">
        <f t="array" aca="1" ref="P19" ca="1">IF($C19="","",SUM(IF((INDIRECT("'"&amp;$C19&amp;"'!I23:I200")=$D$1)*(INDIRECT("'"&amp;$C19&amp;"'!H23:H200")="H")*(INDIRECT("'"&amp;$C19&amp;"'!L23:L200")="W"),1,0))-SUM(D19:O19))</f>
        <v>2</v>
      </c>
      <c r="Q19" s="226">
        <f t="array" aca="1" ref="Q19" ca="1">IF($C19="","",SUM(IF((INDIRECT("'"&amp;$C19&amp;"'!I23:I200")=$D$1)*(INDIRECT("'"&amp;$C19&amp;"'!H23:H200")="H")*(INDIRECT("'"&amp;$C19&amp;"'!L23:L200")="D")*(INDIRECT("'"&amp;$C19&amp;"'!J23:J200")=VALUE(LEFT(Q$5,1)))*(INDIRECT("'"&amp;$C19&amp;"'!K23:K200")=VALUE(RIGHT(Q$5,1))),1,0)))</f>
        <v>1</v>
      </c>
      <c r="R19" s="226">
        <f t="array" aca="1" ref="R19" ca="1">IF($C19="","",SUM(IF((INDIRECT("'"&amp;$C19&amp;"'!I23:I200")=$D$1)*(INDIRECT("'"&amp;$C19&amp;"'!H23:H200")="H")*(INDIRECT("'"&amp;$C19&amp;"'!L23:L200")="D")*(INDIRECT("'"&amp;$C19&amp;"'!J23:J200")=VALUE(LEFT(R$5,1)))*(INDIRECT("'"&amp;$C19&amp;"'!K23:K200")=VALUE(RIGHT(R$5,1))),1,0)))</f>
        <v>4</v>
      </c>
      <c r="S19" s="226">
        <f t="array" aca="1" ref="S19" ca="1">IF($C19="","",SUM(IF((INDIRECT("'"&amp;$C19&amp;"'!I23:I200")=$D$1)*(INDIRECT("'"&amp;$C19&amp;"'!H23:H200")="H")*(INDIRECT("'"&amp;$C19&amp;"'!L23:L200")="D")*(INDIRECT("'"&amp;$C19&amp;"'!J23:J200")=VALUE(LEFT(S$5,1)))*(INDIRECT("'"&amp;$C19&amp;"'!K23:K200")=VALUE(RIGHT(S$5,1))),1,0)))</f>
        <v>1</v>
      </c>
      <c r="T19" s="226">
        <f t="array" aca="1" ref="T19" ca="1">IF($C19="","",SUM(IF((INDIRECT("'"&amp;$C19&amp;"'!I23:I200")=$D$1)*(INDIRECT("'"&amp;$C19&amp;"'!H23:H200")="H")*(INDIRECT("'"&amp;$C19&amp;"'!L23:L200")="D")*(INDIRECT("'"&amp;$C19&amp;"'!J23:J200")=VALUE(LEFT(T$5,1)))*(INDIRECT("'"&amp;$C19&amp;"'!K23:K200")=VALUE(RIGHT(T$5,1))),1,0)))</f>
        <v>0</v>
      </c>
      <c r="U19" s="226">
        <f t="array" aca="1" ref="U19" ca="1">IF($C19="","",SUM(IF((INDIRECT("'"&amp;$C19&amp;"'!I23:I200")=$D$1)*(INDIRECT("'"&amp;$C19&amp;"'!H23:H200")="H")*(INDIRECT("'"&amp;$C19&amp;"'!L23:L200")="D"),1,0))-SUM(Q19:T19))</f>
        <v>0</v>
      </c>
      <c r="V19" s="226">
        <f t="array" aca="1" ref="V19" ca="1">IF($C19="","",SUM(IF((INDIRECT("'"&amp;$C19&amp;"'!I23:I200")=$D$1)*(INDIRECT("'"&amp;$C19&amp;"'!H23:H200")="H")*(INDIRECT("'"&amp;$C19&amp;"'!L23:L200")="L")*(INDIRECT("'"&amp;$C19&amp;"'!J23:J200")=VALUE(LEFT(V$5,1)))*(INDIRECT("'"&amp;$C19&amp;"'!K23:K200")=VALUE(RIGHT(V$5,1))),1,0)))</f>
        <v>3</v>
      </c>
      <c r="W19" s="226">
        <f t="array" aca="1" ref="W19" ca="1">IF($C19="","",SUM(IF((INDIRECT("'"&amp;$C19&amp;"'!I23:I200")=$D$1)*(INDIRECT("'"&amp;$C19&amp;"'!H23:H200")="H")*(INDIRECT("'"&amp;$C19&amp;"'!L23:L200")="L")*(INDIRECT("'"&amp;$C19&amp;"'!J23:J200")=VALUE(LEFT(W$5,1)))*(INDIRECT("'"&amp;$C19&amp;"'!K23:K200")=VALUE(RIGHT(W$5,1))),1,0)))</f>
        <v>1</v>
      </c>
      <c r="X19" s="226">
        <f t="array" aca="1" ref="X19" ca="1">IF($C19="","",SUM(IF((INDIRECT("'"&amp;$C19&amp;"'!I23:I200")=$D$1)*(INDIRECT("'"&amp;$C19&amp;"'!H23:H200")="H")*(INDIRECT("'"&amp;$C19&amp;"'!L23:L200")="L")*(INDIRECT("'"&amp;$C19&amp;"'!J23:J200")=VALUE(LEFT(X$5,1)))*(INDIRECT("'"&amp;$C19&amp;"'!K23:K200")=VALUE(RIGHT(X$5,1))),1,0)))</f>
        <v>1</v>
      </c>
      <c r="Y19" s="226">
        <f t="array" aca="1" ref="Y19" ca="1">IF($C19="","",SUM(IF((INDIRECT("'"&amp;$C19&amp;"'!I23:I200")=$D$1)*(INDIRECT("'"&amp;$C19&amp;"'!H23:H200")="H")*(INDIRECT("'"&amp;$C19&amp;"'!L23:L200")="L")*(INDIRECT("'"&amp;$C19&amp;"'!J23:J200")=VALUE(LEFT(Y$5,1)))*(INDIRECT("'"&amp;$C19&amp;"'!K23:K200")=VALUE(RIGHT(Y$5,1))),1,0)))</f>
        <v>0</v>
      </c>
      <c r="Z19" s="226">
        <f t="array" aca="1" ref="Z19" ca="1">IF($C19="","",SUM(IF((INDIRECT("'"&amp;$C19&amp;"'!I23:I200")=$D$1)*(INDIRECT("'"&amp;$C19&amp;"'!H23:H200")="H")*(INDIRECT("'"&amp;$C19&amp;"'!L23:L200")="L")*(INDIRECT("'"&amp;$C19&amp;"'!J23:J200")=VALUE(LEFT(Z$5,1)))*(INDIRECT("'"&amp;$C19&amp;"'!K23:K200")=VALUE(RIGHT(Z$5,1))),1,0)))</f>
        <v>0</v>
      </c>
      <c r="AA19" s="226">
        <f t="array" aca="1" ref="AA19" ca="1">IF($C19="","",SUM(IF((INDIRECT("'"&amp;$C19&amp;"'!I23:I200")=$D$1)*(INDIRECT("'"&amp;$C19&amp;"'!H23:H200")="H")*(INDIRECT("'"&amp;$C19&amp;"'!L23:L200")="L")*(INDIRECT("'"&amp;$C19&amp;"'!J23:J200")=VALUE(LEFT(AA$5,1)))*(INDIRECT("'"&amp;$C19&amp;"'!K23:K200")=VALUE(RIGHT(AA$5,1))),1,0)))</f>
        <v>0</v>
      </c>
      <c r="AB19" s="226">
        <f t="array" aca="1" ref="AB19" ca="1">IF($C19="","",SUM(IF((INDIRECT("'"&amp;$C19&amp;"'!I23:I200")=$D$1)*(INDIRECT("'"&amp;$C19&amp;"'!H23:H200")="H")*(INDIRECT("'"&amp;$C19&amp;"'!L23:L200")="L")*(INDIRECT("'"&amp;$C19&amp;"'!J23:J200")=VALUE(LEFT(AB$5,1)))*(INDIRECT("'"&amp;$C19&amp;"'!K23:K200")=VALUE(RIGHT(AB$5,1))),1,0)))</f>
        <v>0</v>
      </c>
      <c r="AC19" s="226">
        <f t="array" aca="1" ref="AC19" ca="1">IF($C19="","",SUM(IF((INDIRECT("'"&amp;$C19&amp;"'!I23:I200")=$D$1)*(INDIRECT("'"&amp;$C19&amp;"'!H23:H200")="H")*(INDIRECT("'"&amp;$C19&amp;"'!L23:L200")="L")*(INDIRECT("'"&amp;$C19&amp;"'!J23:J200")=VALUE(LEFT(AC$5,1)))*(INDIRECT("'"&amp;$C19&amp;"'!K23:K200")=VALUE(RIGHT(AC$5,1))),1,0)))</f>
        <v>0</v>
      </c>
      <c r="AD19" s="226">
        <f t="array" aca="1" ref="AD19" ca="1">IF($C19="","",SUM(IF((INDIRECT("'"&amp;$C19&amp;"'!I23:I200")=$D$1)*(INDIRECT("'"&amp;$C19&amp;"'!H23:H200")="H")*(INDIRECT("'"&amp;$C19&amp;"'!L23:L200")="L")*(INDIRECT("'"&amp;$C19&amp;"'!J23:J200")=VALUE(LEFT(AD$5,1)))*(INDIRECT("'"&amp;$C19&amp;"'!K23:K200")=VALUE(RIGHT(AD$5,1))),1,0)))</f>
        <v>0</v>
      </c>
      <c r="AE19" s="226">
        <f t="array" aca="1" ref="AE19" ca="1">IF($C19="","",SUM(IF((INDIRECT("'"&amp;$C19&amp;"'!I23:I200")=$D$1)*(INDIRECT("'"&amp;$C19&amp;"'!H23:H200")="H")*(INDIRECT("'"&amp;$C19&amp;"'!L23:L200")="L")*(INDIRECT("'"&amp;$C19&amp;"'!J23:J200")=VALUE(LEFT(AE$5,1)))*(INDIRECT("'"&amp;$C19&amp;"'!K23:K200")=VALUE(RIGHT(AE$5,1))),1,0)))</f>
        <v>0</v>
      </c>
      <c r="AF19" s="226">
        <f t="array" aca="1" ref="AF19" ca="1">IF($C19="","",SUM(IF((INDIRECT("'"&amp;$C19&amp;"'!I23:I200")=$D$1)*(INDIRECT("'"&amp;$C19&amp;"'!H23:H200")="H")*(INDIRECT("'"&amp;$C19&amp;"'!L23:L200")="L")*(INDIRECT("'"&amp;$C19&amp;"'!J23:J200")=VALUE(LEFT(AF$5,1)))*(INDIRECT("'"&amp;$C19&amp;"'!K23:K200")=VALUE(RIGHT(AF$5,1))),1,0)))</f>
        <v>0</v>
      </c>
      <c r="AG19" s="226">
        <f t="array" aca="1" ref="AG19" ca="1">IF($C19="","",SUM(IF((INDIRECT("'"&amp;$C19&amp;"'!I23:I200")=$D$1)*(INDIRECT("'"&amp;$C19&amp;"'!H23:H200")="H")*(INDIRECT("'"&amp;$C19&amp;"'!L23:L200")="L")*(INDIRECT("'"&amp;$C19&amp;"'!J23:J200")=VALUE(LEFT(AG$5,1)))*(INDIRECT("'"&amp;$C19&amp;"'!K23:K200")=VALUE(RIGHT(AG$5,1))),1,0)))</f>
        <v>0</v>
      </c>
      <c r="AH19" s="227">
        <f t="array" aca="1" ref="AH19" ca="1">IF($C19="","",SUM(IF((INDIRECT("'"&amp;$C19&amp;"'!I23:I200")=$D$1)*(INDIRECT("'"&amp;$C19&amp;"'!H23:H200")="H")*(INDIRECT("'"&amp;$C19&amp;"'!L23:L200")="L"),1,0))-SUM(V19:AG19))</f>
        <v>0</v>
      </c>
    </row>
    <row r="20" spans="1:59" ht="14.25">
      <c r="A20" s="228">
        <v>15</v>
      </c>
      <c r="B20" s="229" t="str">
        <f ca="1">IF($A20&gt;$D$3,"",VLOOKUP($A20,Table!$A$9:$C$30,2,FALSE))</f>
        <v>Ehime</v>
      </c>
      <c r="C20" s="225" t="str">
        <f ca="1">IF($A20&gt;$D$3,"",VLOOKUP($A20,Table!$A$9:$C$30,3,FALSE))</f>
        <v>Ehime</v>
      </c>
      <c r="D20" s="226">
        <f t="array" aca="1" ref="D20" ca="1">IF($C20="","",SUM(IF((INDIRECT("'"&amp;$C20&amp;"'!H23:H200")=$D$1)*(INDIRECT("'"&amp;$C20&amp;"'!H23:H200")="H")*(INDIRECT("'"&amp;$C20&amp;"'!K23:K200")="W")*(INDIRECT("'"&amp;$C20&amp;"'!I23:I200")=VALUE(LEFT(D$5,1)))*(INDIRECT("'"&amp;$C20&amp;"'!H23:H200")=VALUE(RIGHT(D$5,1))),1,0)))</f>
        <v>0</v>
      </c>
      <c r="E20" s="226">
        <f t="array" aca="1" ref="E20" ca="1">IF($C20="","",SUM(IF((INDIRECT("'"&amp;$C20&amp;"'!I23:I200")=$D$1)*(INDIRECT("'"&amp;$C20&amp;"'!H23:H200")="H")*(INDIRECT("'"&amp;$C20&amp;"'!L23:L200")="W")*(INDIRECT("'"&amp;$C20&amp;"'!J23:J200")=VALUE(LEFT(E$5,1)))*(INDIRECT("'"&amp;$C20&amp;"'!K23:K200")=VALUE(RIGHT(E$5,1))),1,0)))</f>
        <v>3</v>
      </c>
      <c r="F20" s="226">
        <f t="array" aca="1" ref="F20" ca="1">IF($C20="","",SUM(IF((INDIRECT("'"&amp;$C20&amp;"'!I23:I200")=$D$1)*(INDIRECT("'"&amp;$C20&amp;"'!H23:H200")="H")*(INDIRECT("'"&amp;$C20&amp;"'!L23:L200")="W")*(INDIRECT("'"&amp;$C20&amp;"'!J23:J200")=VALUE(LEFT(F$5,1)))*(INDIRECT("'"&amp;$C20&amp;"'!K23:K200")=VALUE(RIGHT(F$5,1))),1,0)))</f>
        <v>2</v>
      </c>
      <c r="G20" s="226">
        <f t="array" aca="1" ref="G20" ca="1">IF($C20="","",SUM(IF((INDIRECT("'"&amp;$C20&amp;"'!I23:I200")=$D$1)*(INDIRECT("'"&amp;$C20&amp;"'!H23:H200")="H")*(INDIRECT("'"&amp;$C20&amp;"'!L23:L200")="W")*(INDIRECT("'"&amp;$C20&amp;"'!J23:J200")=VALUE(LEFT(G$5,1)))*(INDIRECT("'"&amp;$C20&amp;"'!K23:K200")=VALUE(RIGHT(G$5,1))),1,0)))</f>
        <v>0</v>
      </c>
      <c r="H20" s="226">
        <f t="array" aca="1" ref="H20" ca="1">IF($C20="","",SUM(IF((INDIRECT("'"&amp;$C20&amp;"'!I23:I200")=$D$1)*(INDIRECT("'"&amp;$C20&amp;"'!H23:H200")="H")*(INDIRECT("'"&amp;$C20&amp;"'!L23:L200")="W")*(INDIRECT("'"&amp;$C20&amp;"'!J23:J200")=VALUE(LEFT(H$5,1)))*(INDIRECT("'"&amp;$C20&amp;"'!K23:K200")=VALUE(RIGHT(H$5,1))),1,0)))</f>
        <v>0</v>
      </c>
      <c r="I20" s="226">
        <f t="array" aca="1" ref="I20" ca="1">IF($C20="","",SUM(IF((INDIRECT("'"&amp;$C20&amp;"'!I23:I200")=$D$1)*(INDIRECT("'"&amp;$C20&amp;"'!H23:H200")="H")*(INDIRECT("'"&amp;$C20&amp;"'!L23:L200")="W")*(INDIRECT("'"&amp;$C20&amp;"'!J23:J200")=VALUE(LEFT(I$5,1)))*(INDIRECT("'"&amp;$C20&amp;"'!K23:K200")=VALUE(RIGHT(I$5,1))),1,0)))</f>
        <v>0</v>
      </c>
      <c r="J20" s="226">
        <f t="array" aca="1" ref="J20" ca="1">IF($C20="","",SUM(IF((INDIRECT("'"&amp;$C20&amp;"'!I23:I200")=$D$1)*(INDIRECT("'"&amp;$C20&amp;"'!H23:H200")="H")*(INDIRECT("'"&amp;$C20&amp;"'!L23:L200")="W")*(INDIRECT("'"&amp;$C20&amp;"'!J23:J200")=VALUE(LEFT(J$5,1)))*(INDIRECT("'"&amp;$C20&amp;"'!K23:K200")=VALUE(RIGHT(J$5,1))),1,0)))</f>
        <v>0</v>
      </c>
      <c r="K20" s="226">
        <f t="array" aca="1" ref="K20" ca="1">IF($C20="","",SUM(IF((INDIRECT("'"&amp;$C20&amp;"'!I23:I200")=$D$1)*(INDIRECT("'"&amp;$C20&amp;"'!H23:H200")="H")*(INDIRECT("'"&amp;$C20&amp;"'!L23:L200")="W")*(INDIRECT("'"&amp;$C20&amp;"'!J23:J200")=VALUE(LEFT(K$5,1)))*(INDIRECT("'"&amp;$C20&amp;"'!K23:K200")=VALUE(RIGHT(K$5,1))),1,0)))</f>
        <v>0</v>
      </c>
      <c r="L20" s="226">
        <f t="array" aca="1" ref="L20" ca="1">IF($C20="","",SUM(IF((INDIRECT("'"&amp;$C20&amp;"'!I23:I200")=$D$1)*(INDIRECT("'"&amp;$C20&amp;"'!H23:H200")="H")*(INDIRECT("'"&amp;$C20&amp;"'!L23:L200")="W")*(INDIRECT("'"&amp;$C20&amp;"'!J23:J200")=VALUE(LEFT(L$5,1)))*(INDIRECT("'"&amp;$C20&amp;"'!K23:K200")=VALUE(RIGHT(L$5,1))),1,0)))</f>
        <v>1</v>
      </c>
      <c r="M20" s="226">
        <f t="array" aca="1" ref="M20" ca="1">IF($C20="","",SUM(IF((INDIRECT("'"&amp;$C20&amp;"'!I23:I200")=$D$1)*(INDIRECT("'"&amp;$C20&amp;"'!H23:H200")="H")*(INDIRECT("'"&amp;$C20&amp;"'!L23:L200")="W")*(INDIRECT("'"&amp;$C20&amp;"'!J23:J200")=VALUE(LEFT(M$5,1)))*(INDIRECT("'"&amp;$C20&amp;"'!K23:K200")=VALUE(RIGHT(M$5,1))),1,0)))</f>
        <v>0</v>
      </c>
      <c r="N20" s="226">
        <f t="array" aca="1" ref="N20" ca="1">IF($C20="","",SUM(IF((INDIRECT("'"&amp;$C20&amp;"'!I23:I200")=$D$1)*(INDIRECT("'"&amp;$C20&amp;"'!H23:H200")="H")*(INDIRECT("'"&amp;$C20&amp;"'!L23:L200")="W")*(INDIRECT("'"&amp;$C20&amp;"'!J23:J200")=VALUE(LEFT(N$5,1)))*(INDIRECT("'"&amp;$C20&amp;"'!K23:K200")=VALUE(RIGHT(N$5,1))),1,0)))</f>
        <v>0</v>
      </c>
      <c r="O20" s="226">
        <f t="array" aca="1" ref="O20" ca="1">IF($C20="","",SUM(IF((INDIRECT("'"&amp;$C20&amp;"'!I23:I200")=$D$1)*(INDIRECT("'"&amp;$C20&amp;"'!H23:H200")="H")*(INDIRECT("'"&amp;$C20&amp;"'!L23:L200")="W")*(INDIRECT("'"&amp;$C20&amp;"'!J23:J200")=VALUE(LEFT(O$5,1)))*(INDIRECT("'"&amp;$C20&amp;"'!K23:K200")=VALUE(RIGHT(O$5,1))),1,0)))</f>
        <v>0</v>
      </c>
      <c r="P20" s="226">
        <f t="array" aca="1" ref="P20" ca="1">IF($C20="","",SUM(IF((INDIRECT("'"&amp;$C20&amp;"'!I23:I200")=$D$1)*(INDIRECT("'"&amp;$C20&amp;"'!H23:H200")="H")*(INDIRECT("'"&amp;$C20&amp;"'!L23:L200")="W"),1,0))-SUM(D20:O20))</f>
        <v>4</v>
      </c>
      <c r="Q20" s="226">
        <f t="array" aca="1" ref="Q20" ca="1">IF($C20="","",SUM(IF((INDIRECT("'"&amp;$C20&amp;"'!I23:I200")=$D$1)*(INDIRECT("'"&amp;$C20&amp;"'!H23:H200")="H")*(INDIRECT("'"&amp;$C20&amp;"'!L23:L200")="D")*(INDIRECT("'"&amp;$C20&amp;"'!J23:J200")=VALUE(LEFT(Q$5,1)))*(INDIRECT("'"&amp;$C20&amp;"'!K23:K200")=VALUE(RIGHT(Q$5,1))),1,0)))</f>
        <v>2</v>
      </c>
      <c r="R20" s="226">
        <f t="array" aca="1" ref="R20" ca="1">IF($C20="","",SUM(IF((INDIRECT("'"&amp;$C20&amp;"'!I23:I200")=$D$1)*(INDIRECT("'"&amp;$C20&amp;"'!H23:H200")="H")*(INDIRECT("'"&amp;$C20&amp;"'!L23:L200")="D")*(INDIRECT("'"&amp;$C20&amp;"'!J23:J200")=VALUE(LEFT(R$5,1)))*(INDIRECT("'"&amp;$C20&amp;"'!K23:K200")=VALUE(RIGHT(R$5,1))),1,0)))</f>
        <v>1</v>
      </c>
      <c r="S20" s="226">
        <f t="array" aca="1" ref="S20" ca="1">IF($C20="","",SUM(IF((INDIRECT("'"&amp;$C20&amp;"'!I23:I200")=$D$1)*(INDIRECT("'"&amp;$C20&amp;"'!H23:H200")="H")*(INDIRECT("'"&amp;$C20&amp;"'!L23:L200")="D")*(INDIRECT("'"&amp;$C20&amp;"'!J23:J200")=VALUE(LEFT(S$5,1)))*(INDIRECT("'"&amp;$C20&amp;"'!K23:K200")=VALUE(RIGHT(S$5,1))),1,0)))</f>
        <v>1</v>
      </c>
      <c r="T20" s="226">
        <f t="array" aca="1" ref="T20" ca="1">IF($C20="","",SUM(IF((INDIRECT("'"&amp;$C20&amp;"'!I23:I200")=$D$1)*(INDIRECT("'"&amp;$C20&amp;"'!H23:H200")="H")*(INDIRECT("'"&amp;$C20&amp;"'!L23:L200")="D")*(INDIRECT("'"&amp;$C20&amp;"'!J23:J200")=VALUE(LEFT(T$5,1)))*(INDIRECT("'"&amp;$C20&amp;"'!K23:K200")=VALUE(RIGHT(T$5,1))),1,0)))</f>
        <v>0</v>
      </c>
      <c r="U20" s="226">
        <f t="array" aca="1" ref="U20" ca="1">IF($C20="","",SUM(IF((INDIRECT("'"&amp;$C20&amp;"'!I23:I200")=$D$1)*(INDIRECT("'"&amp;$C20&amp;"'!H23:H200")="H")*(INDIRECT("'"&amp;$C20&amp;"'!L23:L200")="D"),1,0))-SUM(Q20:T20))</f>
        <v>0</v>
      </c>
      <c r="V20" s="226">
        <f t="array" aca="1" ref="V20" ca="1">IF($C20="","",SUM(IF((INDIRECT("'"&amp;$C20&amp;"'!I23:I200")=$D$1)*(INDIRECT("'"&amp;$C20&amp;"'!H23:H200")="H")*(INDIRECT("'"&amp;$C20&amp;"'!L23:L200")="L")*(INDIRECT("'"&amp;$C20&amp;"'!J23:J200")=VALUE(LEFT(V$5,1)))*(INDIRECT("'"&amp;$C20&amp;"'!K23:K200")=VALUE(RIGHT(V$5,1))),1,0)))</f>
        <v>2</v>
      </c>
      <c r="W20" s="226">
        <f t="array" aca="1" ref="W20" ca="1">IF($C20="","",SUM(IF((INDIRECT("'"&amp;$C20&amp;"'!I23:I200")=$D$1)*(INDIRECT("'"&amp;$C20&amp;"'!H23:H200")="H")*(INDIRECT("'"&amp;$C20&amp;"'!L23:L200")="L")*(INDIRECT("'"&amp;$C20&amp;"'!J23:J200")=VALUE(LEFT(W$5,1)))*(INDIRECT("'"&amp;$C20&amp;"'!K23:K200")=VALUE(RIGHT(W$5,1))),1,0)))</f>
        <v>1</v>
      </c>
      <c r="X20" s="226">
        <f t="array" aca="1" ref="X20" ca="1">IF($C20="","",SUM(IF((INDIRECT("'"&amp;$C20&amp;"'!I23:I200")=$D$1)*(INDIRECT("'"&amp;$C20&amp;"'!H23:H200")="H")*(INDIRECT("'"&amp;$C20&amp;"'!L23:L200")="L")*(INDIRECT("'"&amp;$C20&amp;"'!J23:J200")=VALUE(LEFT(X$5,1)))*(INDIRECT("'"&amp;$C20&amp;"'!K23:K200")=VALUE(RIGHT(X$5,1))),1,0)))</f>
        <v>1</v>
      </c>
      <c r="Y20" s="226">
        <f t="array" aca="1" ref="Y20" ca="1">IF($C20="","",SUM(IF((INDIRECT("'"&amp;$C20&amp;"'!I23:I200")=$D$1)*(INDIRECT("'"&amp;$C20&amp;"'!H23:H200")="H")*(INDIRECT("'"&amp;$C20&amp;"'!L23:L200")="L")*(INDIRECT("'"&amp;$C20&amp;"'!J23:J200")=VALUE(LEFT(Y$5,1)))*(INDIRECT("'"&amp;$C20&amp;"'!K23:K200")=VALUE(RIGHT(Y$5,1))),1,0)))</f>
        <v>1</v>
      </c>
      <c r="Z20" s="226">
        <f t="array" aca="1" ref="Z20" ca="1">IF($C20="","",SUM(IF((INDIRECT("'"&amp;$C20&amp;"'!I23:I200")=$D$1)*(INDIRECT("'"&amp;$C20&amp;"'!H23:H200")="H")*(INDIRECT("'"&amp;$C20&amp;"'!L23:L200")="L")*(INDIRECT("'"&amp;$C20&amp;"'!J23:J200")=VALUE(LEFT(Z$5,1)))*(INDIRECT("'"&amp;$C20&amp;"'!K23:K200")=VALUE(RIGHT(Z$5,1))),1,0)))</f>
        <v>1</v>
      </c>
      <c r="AA20" s="226">
        <f t="array" aca="1" ref="AA20" ca="1">IF($C20="","",SUM(IF((INDIRECT("'"&amp;$C20&amp;"'!I23:I200")=$D$1)*(INDIRECT("'"&amp;$C20&amp;"'!H23:H200")="H")*(INDIRECT("'"&amp;$C20&amp;"'!L23:L200")="L")*(INDIRECT("'"&amp;$C20&amp;"'!J23:J200")=VALUE(LEFT(AA$5,1)))*(INDIRECT("'"&amp;$C20&amp;"'!K23:K200")=VALUE(RIGHT(AA$5,1))),1,0)))</f>
        <v>1</v>
      </c>
      <c r="AB20" s="226">
        <f t="array" aca="1" ref="AB20" ca="1">IF($C20="","",SUM(IF((INDIRECT("'"&amp;$C20&amp;"'!I23:I200")=$D$1)*(INDIRECT("'"&amp;$C20&amp;"'!H23:H200")="H")*(INDIRECT("'"&amp;$C20&amp;"'!L23:L200")="L")*(INDIRECT("'"&amp;$C20&amp;"'!J23:J200")=VALUE(LEFT(AB$5,1)))*(INDIRECT("'"&amp;$C20&amp;"'!K23:K200")=VALUE(RIGHT(AB$5,1))),1,0)))</f>
        <v>0</v>
      </c>
      <c r="AC20" s="226">
        <f t="array" aca="1" ref="AC20" ca="1">IF($C20="","",SUM(IF((INDIRECT("'"&amp;$C20&amp;"'!I23:I200")=$D$1)*(INDIRECT("'"&amp;$C20&amp;"'!H23:H200")="H")*(INDIRECT("'"&amp;$C20&amp;"'!L23:L200")="L")*(INDIRECT("'"&amp;$C20&amp;"'!J23:J200")=VALUE(LEFT(AC$5,1)))*(INDIRECT("'"&amp;$C20&amp;"'!K23:K200")=VALUE(RIGHT(AC$5,1))),1,0)))</f>
        <v>0</v>
      </c>
      <c r="AD20" s="226">
        <f t="array" aca="1" ref="AD20" ca="1">IF($C20="","",SUM(IF((INDIRECT("'"&amp;$C20&amp;"'!I23:I200")=$D$1)*(INDIRECT("'"&amp;$C20&amp;"'!H23:H200")="H")*(INDIRECT("'"&amp;$C20&amp;"'!L23:L200")="L")*(INDIRECT("'"&amp;$C20&amp;"'!J23:J200")=VALUE(LEFT(AD$5,1)))*(INDIRECT("'"&amp;$C20&amp;"'!K23:K200")=VALUE(RIGHT(AD$5,1))),1,0)))</f>
        <v>0</v>
      </c>
      <c r="AE20" s="226">
        <f t="array" aca="1" ref="AE20" ca="1">IF($C20="","",SUM(IF((INDIRECT("'"&amp;$C20&amp;"'!I23:I200")=$D$1)*(INDIRECT("'"&amp;$C20&amp;"'!H23:H200")="H")*(INDIRECT("'"&amp;$C20&amp;"'!L23:L200")="L")*(INDIRECT("'"&amp;$C20&amp;"'!J23:J200")=VALUE(LEFT(AE$5,1)))*(INDIRECT("'"&amp;$C20&amp;"'!K23:K200")=VALUE(RIGHT(AE$5,1))),1,0)))</f>
        <v>0</v>
      </c>
      <c r="AF20" s="226">
        <f t="array" aca="1" ref="AF20" ca="1">IF($C20="","",SUM(IF((INDIRECT("'"&amp;$C20&amp;"'!I23:I200")=$D$1)*(INDIRECT("'"&amp;$C20&amp;"'!H23:H200")="H")*(INDIRECT("'"&amp;$C20&amp;"'!L23:L200")="L")*(INDIRECT("'"&amp;$C20&amp;"'!J23:J200")=VALUE(LEFT(AF$5,1)))*(INDIRECT("'"&amp;$C20&amp;"'!K23:K200")=VALUE(RIGHT(AF$5,1))),1,0)))</f>
        <v>0</v>
      </c>
      <c r="AG20" s="226">
        <f t="array" aca="1" ref="AG20" ca="1">IF($C20="","",SUM(IF((INDIRECT("'"&amp;$C20&amp;"'!I23:I200")=$D$1)*(INDIRECT("'"&amp;$C20&amp;"'!H23:H200")="H")*(INDIRECT("'"&amp;$C20&amp;"'!L23:L200")="L")*(INDIRECT("'"&amp;$C20&amp;"'!J23:J200")=VALUE(LEFT(AG$5,1)))*(INDIRECT("'"&amp;$C20&amp;"'!K23:K200")=VALUE(RIGHT(AG$5,1))),1,0)))</f>
        <v>0</v>
      </c>
      <c r="AH20" s="227">
        <f t="array" aca="1" ref="AH20" ca="1">IF($C20="","",SUM(IF((INDIRECT("'"&amp;$C20&amp;"'!I23:I200")=$D$1)*(INDIRECT("'"&amp;$C20&amp;"'!H23:H200")="H")*(INDIRECT("'"&amp;$C20&amp;"'!L23:L200")="L"),1,0))-SUM(V20:AG20))</f>
        <v>0</v>
      </c>
    </row>
    <row r="21" spans="1:59" ht="14.25">
      <c r="A21" s="228">
        <v>16</v>
      </c>
      <c r="B21" s="229" t="str">
        <f ca="1">IF($A21&gt;$D$3,"",VLOOKUP($A21,Table!$A$9:$C$30,2,FALSE))</f>
        <v>Machida Zelvia</v>
      </c>
      <c r="C21" s="225" t="str">
        <f ca="1">IF($A21&gt;$D$3,"",VLOOKUP($A21,Table!$A$9:$C$30,3,FALSE))</f>
        <v>Machida Zelvia</v>
      </c>
      <c r="D21" s="226">
        <f t="array" aca="1" ref="D21" ca="1">IF($C21="","",SUM(IF((INDIRECT("'"&amp;$C21&amp;"'!H23:H200")=$D$1)*(INDIRECT("'"&amp;$C21&amp;"'!H23:H200")="H")*(INDIRECT("'"&amp;$C21&amp;"'!K23:K200")="W")*(INDIRECT("'"&amp;$C21&amp;"'!I23:I200")=VALUE(LEFT(D$5,1)))*(INDIRECT("'"&amp;$C21&amp;"'!H23:H200")=VALUE(RIGHT(D$5,1))),1,0)))</f>
        <v>0</v>
      </c>
      <c r="E21" s="226">
        <f t="array" aca="1" ref="E21" ca="1">IF($C21="","",SUM(IF((INDIRECT("'"&amp;$C21&amp;"'!I23:I200")=$D$1)*(INDIRECT("'"&amp;$C21&amp;"'!H23:H200")="H")*(INDIRECT("'"&amp;$C21&amp;"'!L23:L200")="W")*(INDIRECT("'"&amp;$C21&amp;"'!J23:J200")=VALUE(LEFT(E$5,1)))*(INDIRECT("'"&amp;$C21&amp;"'!K23:K200")=VALUE(RIGHT(E$5,1))),1,0)))</f>
        <v>2</v>
      </c>
      <c r="F21" s="226">
        <f t="array" aca="1" ref="F21" ca="1">IF($C21="","",SUM(IF((INDIRECT("'"&amp;$C21&amp;"'!I23:I200")=$D$1)*(INDIRECT("'"&amp;$C21&amp;"'!H23:H200")="H")*(INDIRECT("'"&amp;$C21&amp;"'!L23:L200")="W")*(INDIRECT("'"&amp;$C21&amp;"'!J23:J200")=VALUE(LEFT(F$5,1)))*(INDIRECT("'"&amp;$C21&amp;"'!K23:K200")=VALUE(RIGHT(F$5,1))),1,0)))</f>
        <v>1</v>
      </c>
      <c r="G21" s="226">
        <f t="array" aca="1" ref="G21" ca="1">IF($C21="","",SUM(IF((INDIRECT("'"&amp;$C21&amp;"'!I23:I200")=$D$1)*(INDIRECT("'"&amp;$C21&amp;"'!H23:H200")="H")*(INDIRECT("'"&amp;$C21&amp;"'!L23:L200")="W")*(INDIRECT("'"&amp;$C21&amp;"'!J23:J200")=VALUE(LEFT(G$5,1)))*(INDIRECT("'"&amp;$C21&amp;"'!K23:K200")=VALUE(RIGHT(G$5,1))),1,0)))</f>
        <v>0</v>
      </c>
      <c r="H21" s="226">
        <f t="array" aca="1" ref="H21" ca="1">IF($C21="","",SUM(IF((INDIRECT("'"&amp;$C21&amp;"'!I23:I200")=$D$1)*(INDIRECT("'"&amp;$C21&amp;"'!H23:H200")="H")*(INDIRECT("'"&amp;$C21&amp;"'!L23:L200")="W")*(INDIRECT("'"&amp;$C21&amp;"'!J23:J200")=VALUE(LEFT(H$5,1)))*(INDIRECT("'"&amp;$C21&amp;"'!K23:K200")=VALUE(RIGHT(H$5,1))),1,0)))</f>
        <v>0</v>
      </c>
      <c r="I21" s="226">
        <f t="array" aca="1" ref="I21" ca="1">IF($C21="","",SUM(IF((INDIRECT("'"&amp;$C21&amp;"'!I23:I200")=$D$1)*(INDIRECT("'"&amp;$C21&amp;"'!H23:H200")="H")*(INDIRECT("'"&amp;$C21&amp;"'!L23:L200")="W")*(INDIRECT("'"&amp;$C21&amp;"'!J23:J200")=VALUE(LEFT(I$5,1)))*(INDIRECT("'"&amp;$C21&amp;"'!K23:K200")=VALUE(RIGHT(I$5,1))),1,0)))</f>
        <v>0</v>
      </c>
      <c r="J21" s="226">
        <f t="array" aca="1" ref="J21" ca="1">IF($C21="","",SUM(IF((INDIRECT("'"&amp;$C21&amp;"'!I23:I200")=$D$1)*(INDIRECT("'"&amp;$C21&amp;"'!H23:H200")="H")*(INDIRECT("'"&amp;$C21&amp;"'!L23:L200")="W")*(INDIRECT("'"&amp;$C21&amp;"'!J23:J200")=VALUE(LEFT(J$5,1)))*(INDIRECT("'"&amp;$C21&amp;"'!K23:K200")=VALUE(RIGHT(J$5,1))),1,0)))</f>
        <v>0</v>
      </c>
      <c r="K21" s="226">
        <f t="array" aca="1" ref="K21" ca="1">IF($C21="","",SUM(IF((INDIRECT("'"&amp;$C21&amp;"'!I23:I200")=$D$1)*(INDIRECT("'"&amp;$C21&amp;"'!H23:H200")="H")*(INDIRECT("'"&amp;$C21&amp;"'!L23:L200")="W")*(INDIRECT("'"&amp;$C21&amp;"'!J23:J200")=VALUE(LEFT(K$5,1)))*(INDIRECT("'"&amp;$C21&amp;"'!K23:K200")=VALUE(RIGHT(K$5,1))),1,0)))</f>
        <v>0</v>
      </c>
      <c r="L21" s="226">
        <f t="array" aca="1" ref="L21" ca="1">IF($C21="","",SUM(IF((INDIRECT("'"&amp;$C21&amp;"'!I23:I200")=$D$1)*(INDIRECT("'"&amp;$C21&amp;"'!H23:H200")="H")*(INDIRECT("'"&amp;$C21&amp;"'!L23:L200")="W")*(INDIRECT("'"&amp;$C21&amp;"'!J23:J200")=VALUE(LEFT(L$5,1)))*(INDIRECT("'"&amp;$C21&amp;"'!K23:K200")=VALUE(RIGHT(L$5,1))),1,0)))</f>
        <v>0</v>
      </c>
      <c r="M21" s="226">
        <f t="array" aca="1" ref="M21" ca="1">IF($C21="","",SUM(IF((INDIRECT("'"&amp;$C21&amp;"'!I23:I200")=$D$1)*(INDIRECT("'"&amp;$C21&amp;"'!H23:H200")="H")*(INDIRECT("'"&amp;$C21&amp;"'!L23:L200")="W")*(INDIRECT("'"&amp;$C21&amp;"'!J23:J200")=VALUE(LEFT(M$5,1)))*(INDIRECT("'"&amp;$C21&amp;"'!K23:K200")=VALUE(RIGHT(M$5,1))),1,0)))</f>
        <v>0</v>
      </c>
      <c r="N21" s="226">
        <f t="array" aca="1" ref="N21" ca="1">IF($C21="","",SUM(IF((INDIRECT("'"&amp;$C21&amp;"'!I23:I200")=$D$1)*(INDIRECT("'"&amp;$C21&amp;"'!H23:H200")="H")*(INDIRECT("'"&amp;$C21&amp;"'!L23:L200")="W")*(INDIRECT("'"&amp;$C21&amp;"'!J23:J200")=VALUE(LEFT(N$5,1)))*(INDIRECT("'"&amp;$C21&amp;"'!K23:K200")=VALUE(RIGHT(N$5,1))),1,0)))</f>
        <v>0</v>
      </c>
      <c r="O21" s="226">
        <f t="array" aca="1" ref="O21" ca="1">IF($C21="","",SUM(IF((INDIRECT("'"&amp;$C21&amp;"'!I23:I200")=$D$1)*(INDIRECT("'"&amp;$C21&amp;"'!H23:H200")="H")*(INDIRECT("'"&amp;$C21&amp;"'!L23:L200")="W")*(INDIRECT("'"&amp;$C21&amp;"'!J23:J200")=VALUE(LEFT(O$5,1)))*(INDIRECT("'"&amp;$C21&amp;"'!K23:K200")=VALUE(RIGHT(O$5,1))),1,0)))</f>
        <v>0</v>
      </c>
      <c r="P21" s="226">
        <f t="array" aca="1" ref="P21" ca="1">IF($C21="","",SUM(IF((INDIRECT("'"&amp;$C21&amp;"'!I23:I200")=$D$1)*(INDIRECT("'"&amp;$C21&amp;"'!H23:H200")="H")*(INDIRECT("'"&amp;$C21&amp;"'!L23:L200")="W"),1,0))-SUM(D21:O21))</f>
        <v>1</v>
      </c>
      <c r="Q21" s="226">
        <f t="array" aca="1" ref="Q21" ca="1">IF($C21="","",SUM(IF((INDIRECT("'"&amp;$C21&amp;"'!I23:I200")=$D$1)*(INDIRECT("'"&amp;$C21&amp;"'!H23:H200")="H")*(INDIRECT("'"&amp;$C21&amp;"'!L23:L200")="D")*(INDIRECT("'"&amp;$C21&amp;"'!J23:J200")=VALUE(LEFT(Q$5,1)))*(INDIRECT("'"&amp;$C21&amp;"'!K23:K200")=VALUE(RIGHT(Q$5,1))),1,0)))</f>
        <v>2</v>
      </c>
      <c r="R21" s="226">
        <f t="array" aca="1" ref="R21" ca="1">IF($C21="","",SUM(IF((INDIRECT("'"&amp;$C21&amp;"'!I23:I200")=$D$1)*(INDIRECT("'"&amp;$C21&amp;"'!H23:H200")="H")*(INDIRECT("'"&amp;$C21&amp;"'!L23:L200")="D")*(INDIRECT("'"&amp;$C21&amp;"'!J23:J200")=VALUE(LEFT(R$5,1)))*(INDIRECT("'"&amp;$C21&amp;"'!K23:K200")=VALUE(RIGHT(R$5,1))),1,0)))</f>
        <v>4</v>
      </c>
      <c r="S21" s="226">
        <f t="array" aca="1" ref="S21" ca="1">IF($C21="","",SUM(IF((INDIRECT("'"&amp;$C21&amp;"'!I23:I200")=$D$1)*(INDIRECT("'"&amp;$C21&amp;"'!H23:H200")="H")*(INDIRECT("'"&amp;$C21&amp;"'!L23:L200")="D")*(INDIRECT("'"&amp;$C21&amp;"'!J23:J200")=VALUE(LEFT(S$5,1)))*(INDIRECT("'"&amp;$C21&amp;"'!K23:K200")=VALUE(RIGHT(S$5,1))),1,0)))</f>
        <v>1</v>
      </c>
      <c r="T21" s="226">
        <f t="array" aca="1" ref="T21" ca="1">IF($C21="","",SUM(IF((INDIRECT("'"&amp;$C21&amp;"'!I23:I200")=$D$1)*(INDIRECT("'"&amp;$C21&amp;"'!H23:H200")="H")*(INDIRECT("'"&amp;$C21&amp;"'!L23:L200")="D")*(INDIRECT("'"&amp;$C21&amp;"'!J23:J200")=VALUE(LEFT(T$5,1)))*(INDIRECT("'"&amp;$C21&amp;"'!K23:K200")=VALUE(RIGHT(T$5,1))),1,0)))</f>
        <v>0</v>
      </c>
      <c r="U21" s="226">
        <f t="array" aca="1" ref="U21" ca="1">IF($C21="","",SUM(IF((INDIRECT("'"&amp;$C21&amp;"'!I23:I200")=$D$1)*(INDIRECT("'"&amp;$C21&amp;"'!H23:H200")="H")*(INDIRECT("'"&amp;$C21&amp;"'!L23:L200")="D"),1,0))-SUM(Q21:T21))</f>
        <v>0</v>
      </c>
      <c r="V21" s="226">
        <f t="array" aca="1" ref="V21" ca="1">IF($C21="","",SUM(IF((INDIRECT("'"&amp;$C21&amp;"'!I23:I200")=$D$1)*(INDIRECT("'"&amp;$C21&amp;"'!H23:H200")="H")*(INDIRECT("'"&amp;$C21&amp;"'!L23:L200")="L")*(INDIRECT("'"&amp;$C21&amp;"'!J23:J200")=VALUE(LEFT(V$5,1)))*(INDIRECT("'"&amp;$C21&amp;"'!K23:K200")=VALUE(RIGHT(V$5,1))),1,0)))</f>
        <v>5</v>
      </c>
      <c r="W21" s="226">
        <f t="array" aca="1" ref="W21" ca="1">IF($C21="","",SUM(IF((INDIRECT("'"&amp;$C21&amp;"'!I23:I200")=$D$1)*(INDIRECT("'"&amp;$C21&amp;"'!H23:H200")="H")*(INDIRECT("'"&amp;$C21&amp;"'!L23:L200")="L")*(INDIRECT("'"&amp;$C21&amp;"'!J23:J200")=VALUE(LEFT(W$5,1)))*(INDIRECT("'"&amp;$C21&amp;"'!K23:K200")=VALUE(RIGHT(W$5,1))),1,0)))</f>
        <v>1</v>
      </c>
      <c r="X21" s="226">
        <f t="array" aca="1" ref="X21" ca="1">IF($C21="","",SUM(IF((INDIRECT("'"&amp;$C21&amp;"'!I23:I200")=$D$1)*(INDIRECT("'"&amp;$C21&amp;"'!H23:H200")="H")*(INDIRECT("'"&amp;$C21&amp;"'!L23:L200")="L")*(INDIRECT("'"&amp;$C21&amp;"'!J23:J200")=VALUE(LEFT(X$5,1)))*(INDIRECT("'"&amp;$C21&amp;"'!K23:K200")=VALUE(RIGHT(X$5,1))),1,0)))</f>
        <v>2</v>
      </c>
      <c r="Y21" s="226">
        <f t="array" aca="1" ref="Y21" ca="1">IF($C21="","",SUM(IF((INDIRECT("'"&amp;$C21&amp;"'!I23:I200")=$D$1)*(INDIRECT("'"&amp;$C21&amp;"'!H23:H200")="H")*(INDIRECT("'"&amp;$C21&amp;"'!L23:L200")="L")*(INDIRECT("'"&amp;$C21&amp;"'!J23:J200")=VALUE(LEFT(Y$5,1)))*(INDIRECT("'"&amp;$C21&amp;"'!K23:K200")=VALUE(RIGHT(Y$5,1))),1,0)))</f>
        <v>0</v>
      </c>
      <c r="Z21" s="226">
        <f t="array" aca="1" ref="Z21" ca="1">IF($C21="","",SUM(IF((INDIRECT("'"&amp;$C21&amp;"'!I23:I200")=$D$1)*(INDIRECT("'"&amp;$C21&amp;"'!H23:H200")="H")*(INDIRECT("'"&amp;$C21&amp;"'!L23:L200")="L")*(INDIRECT("'"&amp;$C21&amp;"'!J23:J200")=VALUE(LEFT(Z$5,1)))*(INDIRECT("'"&amp;$C21&amp;"'!K23:K200")=VALUE(RIGHT(Z$5,1))),1,0)))</f>
        <v>0</v>
      </c>
      <c r="AA21" s="226">
        <f t="array" aca="1" ref="AA21" ca="1">IF($C21="","",SUM(IF((INDIRECT("'"&amp;$C21&amp;"'!I23:I200")=$D$1)*(INDIRECT("'"&amp;$C21&amp;"'!H23:H200")="H")*(INDIRECT("'"&amp;$C21&amp;"'!L23:L200")="L")*(INDIRECT("'"&amp;$C21&amp;"'!J23:J200")=VALUE(LEFT(AA$5,1)))*(INDIRECT("'"&amp;$C21&amp;"'!K23:K200")=VALUE(RIGHT(AA$5,1))),1,0)))</f>
        <v>0</v>
      </c>
      <c r="AB21" s="226">
        <f t="array" aca="1" ref="AB21" ca="1">IF($C21="","",SUM(IF((INDIRECT("'"&amp;$C21&amp;"'!I23:I200")=$D$1)*(INDIRECT("'"&amp;$C21&amp;"'!H23:H200")="H")*(INDIRECT("'"&amp;$C21&amp;"'!L23:L200")="L")*(INDIRECT("'"&amp;$C21&amp;"'!J23:J200")=VALUE(LEFT(AB$5,1)))*(INDIRECT("'"&amp;$C21&amp;"'!K23:K200")=VALUE(RIGHT(AB$5,1))),1,0)))</f>
        <v>0</v>
      </c>
      <c r="AC21" s="226">
        <f t="array" aca="1" ref="AC21" ca="1">IF($C21="","",SUM(IF((INDIRECT("'"&amp;$C21&amp;"'!I23:I200")=$D$1)*(INDIRECT("'"&amp;$C21&amp;"'!H23:H200")="H")*(INDIRECT("'"&amp;$C21&amp;"'!L23:L200")="L")*(INDIRECT("'"&amp;$C21&amp;"'!J23:J200")=VALUE(LEFT(AC$5,1)))*(INDIRECT("'"&amp;$C21&amp;"'!K23:K200")=VALUE(RIGHT(AC$5,1))),1,0)))</f>
        <v>0</v>
      </c>
      <c r="AD21" s="226">
        <f t="array" aca="1" ref="AD21" ca="1">IF($C21="","",SUM(IF((INDIRECT("'"&amp;$C21&amp;"'!I23:I200")=$D$1)*(INDIRECT("'"&amp;$C21&amp;"'!H23:H200")="H")*(INDIRECT("'"&amp;$C21&amp;"'!L23:L200")="L")*(INDIRECT("'"&amp;$C21&amp;"'!J23:J200")=VALUE(LEFT(AD$5,1)))*(INDIRECT("'"&amp;$C21&amp;"'!K23:K200")=VALUE(RIGHT(AD$5,1))),1,0)))</f>
        <v>1</v>
      </c>
      <c r="AE21" s="226">
        <f t="array" aca="1" ref="AE21" ca="1">IF($C21="","",SUM(IF((INDIRECT("'"&amp;$C21&amp;"'!I23:I200")=$D$1)*(INDIRECT("'"&amp;$C21&amp;"'!H23:H200")="H")*(INDIRECT("'"&amp;$C21&amp;"'!L23:L200")="L")*(INDIRECT("'"&amp;$C21&amp;"'!J23:J200")=VALUE(LEFT(AE$5,1)))*(INDIRECT("'"&amp;$C21&amp;"'!K23:K200")=VALUE(RIGHT(AE$5,1))),1,0)))</f>
        <v>0</v>
      </c>
      <c r="AF21" s="226">
        <f t="array" aca="1" ref="AF21" ca="1">IF($C21="","",SUM(IF((INDIRECT("'"&amp;$C21&amp;"'!I23:I200")=$D$1)*(INDIRECT("'"&amp;$C21&amp;"'!H23:H200")="H")*(INDIRECT("'"&amp;$C21&amp;"'!L23:L200")="L")*(INDIRECT("'"&amp;$C21&amp;"'!J23:J200")=VALUE(LEFT(AF$5,1)))*(INDIRECT("'"&amp;$C21&amp;"'!K23:K200")=VALUE(RIGHT(AF$5,1))),1,0)))</f>
        <v>0</v>
      </c>
      <c r="AG21" s="226">
        <f t="array" aca="1" ref="AG21" ca="1">IF($C21="","",SUM(IF((INDIRECT("'"&amp;$C21&amp;"'!I23:I200")=$D$1)*(INDIRECT("'"&amp;$C21&amp;"'!H23:H200")="H")*(INDIRECT("'"&amp;$C21&amp;"'!L23:L200")="L")*(INDIRECT("'"&amp;$C21&amp;"'!J23:J200")=VALUE(LEFT(AG$5,1)))*(INDIRECT("'"&amp;$C21&amp;"'!K23:K200")=VALUE(RIGHT(AG$5,1))),1,0)))</f>
        <v>0</v>
      </c>
      <c r="AH21" s="227">
        <f t="array" aca="1" ref="AH21" ca="1">IF($C21="","",SUM(IF((INDIRECT("'"&amp;$C21&amp;"'!I23:I200")=$D$1)*(INDIRECT("'"&amp;$C21&amp;"'!H23:H200")="H")*(INDIRECT("'"&amp;$C21&amp;"'!L23:L200")="L"),1,0))-SUM(V21:AG21))</f>
        <v>1</v>
      </c>
    </row>
    <row r="22" spans="1:59" ht="14.25">
      <c r="A22" s="228">
        <v>17</v>
      </c>
      <c r="B22" s="229" t="str">
        <f ca="1">IF($A22&gt;$D$3,"",VLOOKUP($A22,Table!$A$9:$C$30,2,FALSE))</f>
        <v>Zweigen Kanazawa</v>
      </c>
      <c r="C22" s="225" t="str">
        <f ca="1">IF($A22&gt;$D$3,"",VLOOKUP($A22,Table!$A$9:$C$30,3,FALSE))</f>
        <v>Zweigen Kanazawa</v>
      </c>
      <c r="D22" s="226">
        <f t="array" aca="1" ref="D22" ca="1">IF($C22="","",SUM(IF((INDIRECT("'"&amp;$C22&amp;"'!I23:I200")=$D$1)*(INDIRECT("'"&amp;$C22&amp;"'!H23:H200")="H")*(INDIRECT("'"&amp;$C22&amp;"'!L23:L200")="W")*(INDIRECT("'"&amp;$C22&amp;"'!J23:J200")=VALUE(LEFT(D$5,1)))*(INDIRECT("'"&amp;$C22&amp;"'!K23:K200")=VALUE(RIGHT(D$5,1))),1,0)))</f>
        <v>0</v>
      </c>
      <c r="E22" s="226">
        <f t="array" aca="1" ref="E22" ca="1">IF($C22="","",SUM(IF((INDIRECT("'"&amp;$C22&amp;"'!I23:I200")=$D$1)*(INDIRECT("'"&amp;$C22&amp;"'!H23:H200")="H")*(INDIRECT("'"&amp;$C22&amp;"'!L23:L200")="W")*(INDIRECT("'"&amp;$C22&amp;"'!J23:J200")=VALUE(LEFT(E$5,1)))*(INDIRECT("'"&amp;$C22&amp;"'!K23:K200")=VALUE(RIGHT(E$5,1))),1,0)))</f>
        <v>1</v>
      </c>
      <c r="F22" s="226">
        <f t="array" aca="1" ref="F22" ca="1">IF($C22="","",SUM(IF((INDIRECT("'"&amp;$C22&amp;"'!I23:I200")=$D$1)*(INDIRECT("'"&amp;$C22&amp;"'!H23:H200")="H")*(INDIRECT("'"&amp;$C22&amp;"'!L23:L200")="W")*(INDIRECT("'"&amp;$C22&amp;"'!J23:J200")=VALUE(LEFT(F$5,1)))*(INDIRECT("'"&amp;$C22&amp;"'!K23:K200")=VALUE(RIGHT(F$5,1))),1,0)))</f>
        <v>2</v>
      </c>
      <c r="G22" s="226">
        <f t="array" aca="1" ref="G22" ca="1">IF($C22="","",SUM(IF((INDIRECT("'"&amp;$C22&amp;"'!I23:I200")=$D$1)*(INDIRECT("'"&amp;$C22&amp;"'!H23:H200")="H")*(INDIRECT("'"&amp;$C22&amp;"'!L23:L200")="W")*(INDIRECT("'"&amp;$C22&amp;"'!J23:J200")=VALUE(LEFT(G$5,1)))*(INDIRECT("'"&amp;$C22&amp;"'!K23:K200")=VALUE(RIGHT(G$5,1))),1,0)))</f>
        <v>0</v>
      </c>
      <c r="H22" s="226">
        <f t="array" aca="1" ref="H22" ca="1">IF($C22="","",SUM(IF((INDIRECT("'"&amp;$C22&amp;"'!I23:I200")=$D$1)*(INDIRECT("'"&amp;$C22&amp;"'!H23:H200")="H")*(INDIRECT("'"&amp;$C22&amp;"'!L23:L200")="W")*(INDIRECT("'"&amp;$C22&amp;"'!J23:J200")=VALUE(LEFT(H$5,1)))*(INDIRECT("'"&amp;$C22&amp;"'!K23:K200")=VALUE(RIGHT(H$5,1))),1,0)))</f>
        <v>1</v>
      </c>
      <c r="I22" s="226">
        <f t="array" aca="1" ref="I22" ca="1">IF($C22="","",SUM(IF((INDIRECT("'"&amp;$C22&amp;"'!I23:I200")=$D$1)*(INDIRECT("'"&amp;$C22&amp;"'!H23:H200")="H")*(INDIRECT("'"&amp;$C22&amp;"'!L23:L200")="W")*(INDIRECT("'"&amp;$C22&amp;"'!J23:J200")=VALUE(LEFT(I$5,1)))*(INDIRECT("'"&amp;$C22&amp;"'!K23:K200")=VALUE(RIGHT(I$5,1))),1,0)))</f>
        <v>2</v>
      </c>
      <c r="J22" s="226">
        <f t="array" aca="1" ref="J22" ca="1">IF($C22="","",SUM(IF((INDIRECT("'"&amp;$C22&amp;"'!I23:I200")=$D$1)*(INDIRECT("'"&amp;$C22&amp;"'!H23:H200")="H")*(INDIRECT("'"&amp;$C22&amp;"'!L23:L200")="W")*(INDIRECT("'"&amp;$C22&amp;"'!J23:J200")=VALUE(LEFT(J$5,1)))*(INDIRECT("'"&amp;$C22&amp;"'!K23:K200")=VALUE(RIGHT(J$5,1))),1,0)))</f>
        <v>0</v>
      </c>
      <c r="K22" s="226">
        <f t="array" aca="1" ref="K22" ca="1">IF($C22="","",SUM(IF((INDIRECT("'"&amp;$C22&amp;"'!I23:I200")=$D$1)*(INDIRECT("'"&amp;$C22&amp;"'!H23:H200")="H")*(INDIRECT("'"&amp;$C22&amp;"'!L23:L200")="W")*(INDIRECT("'"&amp;$C22&amp;"'!J23:J200")=VALUE(LEFT(K$5,1)))*(INDIRECT("'"&amp;$C22&amp;"'!K23:K200")=VALUE(RIGHT(K$5,1))),1,0)))</f>
        <v>1</v>
      </c>
      <c r="L22" s="226">
        <f t="array" aca="1" ref="L22" ca="1">IF($C22="","",SUM(IF((INDIRECT("'"&amp;$C22&amp;"'!I23:I200")=$D$1)*(INDIRECT("'"&amp;$C22&amp;"'!H23:H200")="H")*(INDIRECT("'"&amp;$C22&amp;"'!L23:L200")="W")*(INDIRECT("'"&amp;$C22&amp;"'!J23:J200")=VALUE(LEFT(L$5,1)))*(INDIRECT("'"&amp;$C22&amp;"'!K23:K200")=VALUE(RIGHT(L$5,1))),1,0)))</f>
        <v>0</v>
      </c>
      <c r="M22" s="226">
        <f t="array" aca="1" ref="M22" ca="1">IF($C22="","",SUM(IF((INDIRECT("'"&amp;$C22&amp;"'!I23:I200")=$D$1)*(INDIRECT("'"&amp;$C22&amp;"'!H23:H200")="H")*(INDIRECT("'"&amp;$C22&amp;"'!L23:L200")="W")*(INDIRECT("'"&amp;$C22&amp;"'!J23:J200")=VALUE(LEFT(M$5,1)))*(INDIRECT("'"&amp;$C22&amp;"'!K23:K200")=VALUE(RIGHT(M$5,1))),1,0)))</f>
        <v>0</v>
      </c>
      <c r="N22" s="226">
        <f t="array" aca="1" ref="N22" ca="1">IF($C22="","",SUM(IF((INDIRECT("'"&amp;$C22&amp;"'!I23:I200")=$D$1)*(INDIRECT("'"&amp;$C22&amp;"'!H23:H200")="H")*(INDIRECT("'"&amp;$C22&amp;"'!L23:L200")="W")*(INDIRECT("'"&amp;$C22&amp;"'!J23:J200")=VALUE(LEFT(N$5,1)))*(INDIRECT("'"&amp;$C22&amp;"'!K23:K200")=VALUE(RIGHT(N$5,1))),1,0)))</f>
        <v>0</v>
      </c>
      <c r="O22" s="226">
        <f t="array" aca="1" ref="O22" ca="1">IF($C22="","",SUM(IF((INDIRECT("'"&amp;$C22&amp;"'!I23:I200")=$D$1)*(INDIRECT("'"&amp;$C22&amp;"'!H23:H200")="H")*(INDIRECT("'"&amp;$C22&amp;"'!L23:L200")="W")*(INDIRECT("'"&amp;$C22&amp;"'!J23:J200")=VALUE(LEFT(O$5,1)))*(INDIRECT("'"&amp;$C22&amp;"'!K23:K200")=VALUE(RIGHT(O$5,1))),1,0)))</f>
        <v>0</v>
      </c>
      <c r="P22" s="226">
        <f t="array" aca="1" ref="P22" ca="1">IF($C22="","",SUM(IF((INDIRECT("'"&amp;$C22&amp;"'!I23:I200")=$D$1)*(INDIRECT("'"&amp;$C22&amp;"'!H23:H200")="H")*(INDIRECT("'"&amp;$C22&amp;"'!L23:L200")="W"),1,0))-SUM(D22:O22))</f>
        <v>0</v>
      </c>
      <c r="Q22" s="226">
        <f t="array" aca="1" ref="Q22" ca="1">IF($C22="","",SUM(IF((INDIRECT("'"&amp;$C22&amp;"'!I23:I200")=$D$1)*(INDIRECT("'"&amp;$C22&amp;"'!H23:H200")="H")*(INDIRECT("'"&amp;$C22&amp;"'!L23:L200")="D")*(INDIRECT("'"&amp;$C22&amp;"'!J23:J200")=VALUE(LEFT(Q$5,1)))*(INDIRECT("'"&amp;$C22&amp;"'!K23:K200")=VALUE(RIGHT(Q$5,1))),1,0)))</f>
        <v>3</v>
      </c>
      <c r="R22" s="226">
        <f t="array" aca="1" ref="R22" ca="1">IF($C22="","",SUM(IF((INDIRECT("'"&amp;$C22&amp;"'!I23:I200")=$D$1)*(INDIRECT("'"&amp;$C22&amp;"'!H23:H200")="H")*(INDIRECT("'"&amp;$C22&amp;"'!L23:L200")="D")*(INDIRECT("'"&amp;$C22&amp;"'!J23:J200")=VALUE(LEFT(R$5,1)))*(INDIRECT("'"&amp;$C22&amp;"'!K23:K200")=VALUE(RIGHT(R$5,1))),1,0)))</f>
        <v>3</v>
      </c>
      <c r="S22" s="226">
        <f t="array" aca="1" ref="S22" ca="1">IF($C22="","",SUM(IF((INDIRECT("'"&amp;$C22&amp;"'!I23:I200")=$D$1)*(INDIRECT("'"&amp;$C22&amp;"'!H23:H200")="H")*(INDIRECT("'"&amp;$C22&amp;"'!L23:L200")="D")*(INDIRECT("'"&amp;$C22&amp;"'!J23:J200")=VALUE(LEFT(S$5,1)))*(INDIRECT("'"&amp;$C22&amp;"'!K23:K200")=VALUE(RIGHT(S$5,1))),1,0)))</f>
        <v>1</v>
      </c>
      <c r="T22" s="226">
        <f t="array" aca="1" ref="T22" ca="1">IF($C22="","",SUM(IF((INDIRECT("'"&amp;$C22&amp;"'!I23:I200")=$D$1)*(INDIRECT("'"&amp;$C22&amp;"'!H23:H200")="H")*(INDIRECT("'"&amp;$C22&amp;"'!L23:L200")="D")*(INDIRECT("'"&amp;$C22&amp;"'!J23:J200")=VALUE(LEFT(T$5,1)))*(INDIRECT("'"&amp;$C22&amp;"'!K23:K200")=VALUE(RIGHT(T$5,1))),1,0)))</f>
        <v>0</v>
      </c>
      <c r="U22" s="226">
        <f t="array" aca="1" ref="U22" ca="1">IF($C22="","",SUM(IF((INDIRECT("'"&amp;$C22&amp;"'!I23:I200")=$D$1)*(INDIRECT("'"&amp;$C22&amp;"'!H23:H200")="H")*(INDIRECT("'"&amp;$C22&amp;"'!L23:L200")="D"),1,0))-SUM(Q22:T22))</f>
        <v>0</v>
      </c>
      <c r="V22" s="226">
        <f t="array" aca="1" ref="V22" ca="1">IF($C22="","",SUM(IF((INDIRECT("'"&amp;$C22&amp;"'!I23:I200")=$D$1)*(INDIRECT("'"&amp;$C22&amp;"'!H23:H200")="H")*(INDIRECT("'"&amp;$C22&amp;"'!L23:L200")="L")*(INDIRECT("'"&amp;$C22&amp;"'!J23:J200")=VALUE(LEFT(V$5,1)))*(INDIRECT("'"&amp;$C22&amp;"'!K23:K200")=VALUE(RIGHT(V$5,1))),1,0)))</f>
        <v>0</v>
      </c>
      <c r="W22" s="226">
        <f t="array" aca="1" ref="W22" ca="1">IF($C22="","",SUM(IF((INDIRECT("'"&amp;$C22&amp;"'!I23:I200")=$D$1)*(INDIRECT("'"&amp;$C22&amp;"'!H23:H200")="H")*(INDIRECT("'"&amp;$C22&amp;"'!L23:L200")="L")*(INDIRECT("'"&amp;$C22&amp;"'!J23:J200")=VALUE(LEFT(W$5,1)))*(INDIRECT("'"&amp;$C22&amp;"'!K23:K200")=VALUE(RIGHT(W$5,1))),1,0)))</f>
        <v>1</v>
      </c>
      <c r="X22" s="226">
        <f t="array" aca="1" ref="X22" ca="1">IF($C22="","",SUM(IF((INDIRECT("'"&amp;$C22&amp;"'!I23:I200")=$D$1)*(INDIRECT("'"&amp;$C22&amp;"'!H23:H200")="H")*(INDIRECT("'"&amp;$C22&amp;"'!L23:L200")="L")*(INDIRECT("'"&amp;$C22&amp;"'!J23:J200")=VALUE(LEFT(X$5,1)))*(INDIRECT("'"&amp;$C22&amp;"'!K23:K200")=VALUE(RIGHT(X$5,1))),1,0)))</f>
        <v>3</v>
      </c>
      <c r="Y22" s="226">
        <f t="array" aca="1" ref="Y22" ca="1">IF($C22="","",SUM(IF((INDIRECT("'"&amp;$C22&amp;"'!I23:I200")=$D$1)*(INDIRECT("'"&amp;$C22&amp;"'!H23:H200")="H")*(INDIRECT("'"&amp;$C22&amp;"'!L23:L200")="L")*(INDIRECT("'"&amp;$C22&amp;"'!J23:J200")=VALUE(LEFT(Y$5,1)))*(INDIRECT("'"&amp;$C22&amp;"'!K23:K200")=VALUE(RIGHT(Y$5,1))),1,0)))</f>
        <v>0</v>
      </c>
      <c r="Z22" s="226">
        <f t="array" aca="1" ref="Z22" ca="1">IF($C22="","",SUM(IF((INDIRECT("'"&amp;$C22&amp;"'!I23:I200")=$D$1)*(INDIRECT("'"&amp;$C22&amp;"'!H23:H200")="H")*(INDIRECT("'"&amp;$C22&amp;"'!L23:L200")="L")*(INDIRECT("'"&amp;$C22&amp;"'!J23:J200")=VALUE(LEFT(Z$5,1)))*(INDIRECT("'"&amp;$C22&amp;"'!K23:K200")=VALUE(RIGHT(Z$5,1))),1,0)))</f>
        <v>0</v>
      </c>
      <c r="AA22" s="226">
        <f t="array" aca="1" ref="AA22" ca="1">IF($C22="","",SUM(IF((INDIRECT("'"&amp;$C22&amp;"'!I23:I200")=$D$1)*(INDIRECT("'"&amp;$C22&amp;"'!H23:H200")="H")*(INDIRECT("'"&amp;$C22&amp;"'!L23:L200")="L")*(INDIRECT("'"&amp;$C22&amp;"'!J23:J200")=VALUE(LEFT(AA$5,1)))*(INDIRECT("'"&amp;$C22&amp;"'!K23:K200")=VALUE(RIGHT(AA$5,1))),1,0)))</f>
        <v>0</v>
      </c>
      <c r="AB22" s="226">
        <f t="array" aca="1" ref="AB22" ca="1">IF($C22="","",SUM(IF((INDIRECT("'"&amp;$C22&amp;"'!I23:I200")=$D$1)*(INDIRECT("'"&amp;$C22&amp;"'!H23:H200")="H")*(INDIRECT("'"&amp;$C22&amp;"'!L23:L200")="L")*(INDIRECT("'"&amp;$C22&amp;"'!J23:J200")=VALUE(LEFT(AB$5,1)))*(INDIRECT("'"&amp;$C22&amp;"'!K23:K200")=VALUE(RIGHT(AB$5,1))),1,0)))</f>
        <v>2</v>
      </c>
      <c r="AC22" s="226">
        <f t="array" aca="1" ref="AC22" ca="1">IF($C22="","",SUM(IF((INDIRECT("'"&amp;$C22&amp;"'!I23:I200")=$D$1)*(INDIRECT("'"&amp;$C22&amp;"'!H23:H200")="H")*(INDIRECT("'"&amp;$C22&amp;"'!L23:L200")="L")*(INDIRECT("'"&amp;$C22&amp;"'!J23:J200")=VALUE(LEFT(AC$5,1)))*(INDIRECT("'"&amp;$C22&amp;"'!K23:K200")=VALUE(RIGHT(AC$5,1))),1,0)))</f>
        <v>0</v>
      </c>
      <c r="AD22" s="226">
        <f t="array" aca="1" ref="AD22" ca="1">IF($C22="","",SUM(IF((INDIRECT("'"&amp;$C22&amp;"'!I23:I200")=$D$1)*(INDIRECT("'"&amp;$C22&amp;"'!H23:H200")="H")*(INDIRECT("'"&amp;$C22&amp;"'!L23:L200")="L")*(INDIRECT("'"&amp;$C22&amp;"'!J23:J200")=VALUE(LEFT(AD$5,1)))*(INDIRECT("'"&amp;$C22&amp;"'!K23:K200")=VALUE(RIGHT(AD$5,1))),1,0)))</f>
        <v>0</v>
      </c>
      <c r="AE22" s="226">
        <f t="array" aca="1" ref="AE22" ca="1">IF($C22="","",SUM(IF((INDIRECT("'"&amp;$C22&amp;"'!I23:I200")=$D$1)*(INDIRECT("'"&amp;$C22&amp;"'!H23:H200")="H")*(INDIRECT("'"&amp;$C22&amp;"'!L23:L200")="L")*(INDIRECT("'"&amp;$C22&amp;"'!J23:J200")=VALUE(LEFT(AE$5,1)))*(INDIRECT("'"&amp;$C22&amp;"'!K23:K200")=VALUE(RIGHT(AE$5,1))),1,0)))</f>
        <v>1</v>
      </c>
      <c r="AF22" s="226">
        <f t="array" aca="1" ref="AF22" ca="1">IF($C22="","",SUM(IF((INDIRECT("'"&amp;$C22&amp;"'!I23:I200")=$D$1)*(INDIRECT("'"&amp;$C22&amp;"'!H23:H200")="H")*(INDIRECT("'"&amp;$C22&amp;"'!L23:L200")="L")*(INDIRECT("'"&amp;$C22&amp;"'!J23:J200")=VALUE(LEFT(AF$5,1)))*(INDIRECT("'"&amp;$C22&amp;"'!K23:K200")=VALUE(RIGHT(AF$5,1))),1,0)))</f>
        <v>0</v>
      </c>
      <c r="AG22" s="226">
        <f t="array" aca="1" ref="AG22" ca="1">IF($C22="","",SUM(IF((INDIRECT("'"&amp;$C22&amp;"'!I23:I200")=$D$1)*(INDIRECT("'"&amp;$C22&amp;"'!H23:H200")="H")*(INDIRECT("'"&amp;$C22&amp;"'!L23:L200")="L")*(INDIRECT("'"&amp;$C22&amp;"'!J23:J200")=VALUE(LEFT(AG$5,1)))*(INDIRECT("'"&amp;$C22&amp;"'!K23:K200")=VALUE(RIGHT(AG$5,1))),1,0)))</f>
        <v>0</v>
      </c>
      <c r="AH22" s="227">
        <f t="array" aca="1" ref="AH22" ca="1">IF($C22="","",SUM(IF((INDIRECT("'"&amp;$C22&amp;"'!I23:I200")=$D$1)*(INDIRECT("'"&amp;$C22&amp;"'!H23:H200")="H")*(INDIRECT("'"&amp;$C22&amp;"'!L23:L200")="L"),1,0))-SUM(V22:AG22))</f>
        <v>0</v>
      </c>
    </row>
    <row r="23" spans="1:59" ht="14.25">
      <c r="A23" s="228">
        <v>18</v>
      </c>
      <c r="B23" s="229" t="str">
        <f ca="1">IF($A23&gt;$D$3,"",VLOOKUP($A23,Table!$A$9:$C$30,2,FALSE))</f>
        <v>Gifu</v>
      </c>
      <c r="C23" s="225" t="str">
        <f ca="1">IF($A23&gt;$D$3,"",VLOOKUP($A23,Table!$A$9:$C$30,3,FALSE))</f>
        <v>Gifu</v>
      </c>
      <c r="D23" s="226">
        <f t="array" aca="1" ref="D23" ca="1">IF($C23="","",SUM(IF((INDIRECT("'"&amp;$C23&amp;"'!I23:I200")=$D$1)*(INDIRECT("'"&amp;$C23&amp;"'!H23:H200")="H")*(INDIRECT("'"&amp;$C23&amp;"'!L23:L200")="W")*(INDIRECT("'"&amp;$C23&amp;"'!J23:J200")=VALUE(LEFT(D$5,1)))*(INDIRECT("'"&amp;$C23&amp;"'!K23:K200")=VALUE(RIGHT(D$5,1))),1,0)))</f>
        <v>1</v>
      </c>
      <c r="E23" s="226">
        <f t="array" aca="1" ref="E23" ca="1">IF($C23="","",SUM(IF((INDIRECT("'"&amp;$C23&amp;"'!I23:I200")=$D$1)*(INDIRECT("'"&amp;$C23&amp;"'!H23:H200")="H")*(INDIRECT("'"&amp;$C23&amp;"'!L23:L200")="W")*(INDIRECT("'"&amp;$C23&amp;"'!J23:J200")=VALUE(LEFT(E$5,1)))*(INDIRECT("'"&amp;$C23&amp;"'!K23:K200")=VALUE(RIGHT(E$5,1))),1,0)))</f>
        <v>1</v>
      </c>
      <c r="F23" s="226">
        <f t="array" aca="1" ref="F23" ca="1">IF($C23="","",SUM(IF((INDIRECT("'"&amp;$C23&amp;"'!I23:I200")=$D$1)*(INDIRECT("'"&amp;$C23&amp;"'!H23:H200")="H")*(INDIRECT("'"&amp;$C23&amp;"'!L23:L200")="W")*(INDIRECT("'"&amp;$C23&amp;"'!J23:J200")=VALUE(LEFT(F$5,1)))*(INDIRECT("'"&amp;$C23&amp;"'!K23:K200")=VALUE(RIGHT(F$5,1))),1,0)))</f>
        <v>2</v>
      </c>
      <c r="G23" s="226">
        <f t="array" aca="1" ref="G23" ca="1">IF($C23="","",SUM(IF((INDIRECT("'"&amp;$C23&amp;"'!I23:I200")=$D$1)*(INDIRECT("'"&amp;$C23&amp;"'!H23:H200")="H")*(INDIRECT("'"&amp;$C23&amp;"'!L23:L200")="W")*(INDIRECT("'"&amp;$C23&amp;"'!J23:J200")=VALUE(LEFT(G$5,1)))*(INDIRECT("'"&amp;$C23&amp;"'!K23:K200")=VALUE(RIGHT(G$5,1))),1,0)))</f>
        <v>0</v>
      </c>
      <c r="H23" s="226">
        <f t="array" aca="1" ref="H23" ca="1">IF($C23="","",SUM(IF((INDIRECT("'"&amp;$C23&amp;"'!I23:I200")=$D$1)*(INDIRECT("'"&amp;$C23&amp;"'!H23:H200")="H")*(INDIRECT("'"&amp;$C23&amp;"'!L23:L200")="W")*(INDIRECT("'"&amp;$C23&amp;"'!J23:J200")=VALUE(LEFT(H$5,1)))*(INDIRECT("'"&amp;$C23&amp;"'!K23:K200")=VALUE(RIGHT(H$5,1))),1,0)))</f>
        <v>0</v>
      </c>
      <c r="I23" s="226">
        <f t="array" aca="1" ref="I23" ca="1">IF($C23="","",SUM(IF((INDIRECT("'"&amp;$C23&amp;"'!I23:I200")=$D$1)*(INDIRECT("'"&amp;$C23&amp;"'!H23:H200")="H")*(INDIRECT("'"&amp;$C23&amp;"'!L23:L200")="W")*(INDIRECT("'"&amp;$C23&amp;"'!J23:J200")=VALUE(LEFT(I$5,1)))*(INDIRECT("'"&amp;$C23&amp;"'!K23:K200")=VALUE(RIGHT(I$5,1))),1,0)))</f>
        <v>1</v>
      </c>
      <c r="J23" s="226">
        <f t="array" aca="1" ref="J23" ca="1">IF($C23="","",SUM(IF((INDIRECT("'"&amp;$C23&amp;"'!I23:I200")=$D$1)*(INDIRECT("'"&amp;$C23&amp;"'!H23:H200")="H")*(INDIRECT("'"&amp;$C23&amp;"'!L23:L200")="W")*(INDIRECT("'"&amp;$C23&amp;"'!J23:J200")=VALUE(LEFT(J$5,1)))*(INDIRECT("'"&amp;$C23&amp;"'!K23:K200")=VALUE(RIGHT(J$5,1))),1,0)))</f>
        <v>0</v>
      </c>
      <c r="K23" s="226">
        <f t="array" aca="1" ref="K23" ca="1">IF($C23="","",SUM(IF((INDIRECT("'"&amp;$C23&amp;"'!I23:I200")=$D$1)*(INDIRECT("'"&amp;$C23&amp;"'!H23:H200")="H")*(INDIRECT("'"&amp;$C23&amp;"'!L23:L200")="W")*(INDIRECT("'"&amp;$C23&amp;"'!J23:J200")=VALUE(LEFT(K$5,1)))*(INDIRECT("'"&amp;$C23&amp;"'!K23:K200")=VALUE(RIGHT(K$5,1))),1,0)))</f>
        <v>0</v>
      </c>
      <c r="L23" s="226">
        <f t="array" aca="1" ref="L23" ca="1">IF($C23="","",SUM(IF((INDIRECT("'"&amp;$C23&amp;"'!I23:I200")=$D$1)*(INDIRECT("'"&amp;$C23&amp;"'!H23:H200")="H")*(INDIRECT("'"&amp;$C23&amp;"'!L23:L200")="W")*(INDIRECT("'"&amp;$C23&amp;"'!J23:J200")=VALUE(LEFT(L$5,1)))*(INDIRECT("'"&amp;$C23&amp;"'!K23:K200")=VALUE(RIGHT(L$5,1))),1,0)))</f>
        <v>0</v>
      </c>
      <c r="M23" s="226">
        <f t="array" aca="1" ref="M23" ca="1">IF($C23="","",SUM(IF((INDIRECT("'"&amp;$C23&amp;"'!I23:I200")=$D$1)*(INDIRECT("'"&amp;$C23&amp;"'!H23:H200")="H")*(INDIRECT("'"&amp;$C23&amp;"'!L23:L200")="W")*(INDIRECT("'"&amp;$C23&amp;"'!J23:J200")=VALUE(LEFT(M$5,1)))*(INDIRECT("'"&amp;$C23&amp;"'!K23:K200")=VALUE(RIGHT(M$5,1))),1,0)))</f>
        <v>0</v>
      </c>
      <c r="N23" s="226">
        <f t="array" aca="1" ref="N23" ca="1">IF($C23="","",SUM(IF((INDIRECT("'"&amp;$C23&amp;"'!I23:I200")=$D$1)*(INDIRECT("'"&amp;$C23&amp;"'!H23:H200")="H")*(INDIRECT("'"&amp;$C23&amp;"'!L23:L200")="W")*(INDIRECT("'"&amp;$C23&amp;"'!J23:J200")=VALUE(LEFT(N$5,1)))*(INDIRECT("'"&amp;$C23&amp;"'!K23:K200")=VALUE(RIGHT(N$5,1))),1,0)))</f>
        <v>0</v>
      </c>
      <c r="O23" s="226">
        <f t="array" aca="1" ref="O23" ca="1">IF($C23="","",SUM(IF((INDIRECT("'"&amp;$C23&amp;"'!I23:I200")=$D$1)*(INDIRECT("'"&amp;$C23&amp;"'!H23:H200")="H")*(INDIRECT("'"&amp;$C23&amp;"'!L23:L200")="W")*(INDIRECT("'"&amp;$C23&amp;"'!J23:J200")=VALUE(LEFT(O$5,1)))*(INDIRECT("'"&amp;$C23&amp;"'!K23:K200")=VALUE(RIGHT(O$5,1))),1,0)))</f>
        <v>0</v>
      </c>
      <c r="P23" s="226">
        <f t="array" aca="1" ref="P23" ca="1">IF($C23="","",SUM(IF((INDIRECT("'"&amp;$C23&amp;"'!I23:I200")=$D$1)*(INDIRECT("'"&amp;$C23&amp;"'!H23:H200")="H")*(INDIRECT("'"&amp;$C23&amp;"'!L23:L200")="W"),1,0))-SUM(D23:O23))</f>
        <v>0</v>
      </c>
      <c r="Q23" s="226">
        <f t="array" aca="1" ref="Q23" ca="1">IF($C23="","",SUM(IF((INDIRECT("'"&amp;$C23&amp;"'!I23:I200")=$D$1)*(INDIRECT("'"&amp;$C23&amp;"'!H23:H200")="H")*(INDIRECT("'"&amp;$C23&amp;"'!L23:L200")="D")*(INDIRECT("'"&amp;$C23&amp;"'!J23:J200")=VALUE(LEFT(Q$5,1)))*(INDIRECT("'"&amp;$C23&amp;"'!K23:K200")=VALUE(RIGHT(Q$5,1))),1,0)))</f>
        <v>0</v>
      </c>
      <c r="R23" s="226">
        <f t="array" aca="1" ref="R23" ca="1">IF($C23="","",SUM(IF((INDIRECT("'"&amp;$C23&amp;"'!I23:I200")=$D$1)*(INDIRECT("'"&amp;$C23&amp;"'!H23:H200")="H")*(INDIRECT("'"&amp;$C23&amp;"'!L23:L200")="D")*(INDIRECT("'"&amp;$C23&amp;"'!J23:J200")=VALUE(LEFT(R$5,1)))*(INDIRECT("'"&amp;$C23&amp;"'!K23:K200")=VALUE(RIGHT(R$5,1))),1,0)))</f>
        <v>3</v>
      </c>
      <c r="S23" s="226">
        <f t="array" aca="1" ref="S23" ca="1">IF($C23="","",SUM(IF((INDIRECT("'"&amp;$C23&amp;"'!I23:I200")=$D$1)*(INDIRECT("'"&amp;$C23&amp;"'!H23:H200")="H")*(INDIRECT("'"&amp;$C23&amp;"'!L23:L200")="D")*(INDIRECT("'"&amp;$C23&amp;"'!J23:J200")=VALUE(LEFT(S$5,1)))*(INDIRECT("'"&amp;$C23&amp;"'!K23:K200")=VALUE(RIGHT(S$5,1))),1,0)))</f>
        <v>1</v>
      </c>
      <c r="T23" s="226">
        <f t="array" aca="1" ref="T23" ca="1">IF($C23="","",SUM(IF((INDIRECT("'"&amp;$C23&amp;"'!I23:I200")=$D$1)*(INDIRECT("'"&amp;$C23&amp;"'!H23:H200")="H")*(INDIRECT("'"&amp;$C23&amp;"'!L23:L200")="D")*(INDIRECT("'"&amp;$C23&amp;"'!J23:J200")=VALUE(LEFT(T$5,1)))*(INDIRECT("'"&amp;$C23&amp;"'!K23:K200")=VALUE(RIGHT(T$5,1))),1,0)))</f>
        <v>0</v>
      </c>
      <c r="U23" s="226">
        <f t="array" aca="1" ref="U23" ca="1">IF($C23="","",SUM(IF((INDIRECT("'"&amp;$C23&amp;"'!I23:I200")=$D$1)*(INDIRECT("'"&amp;$C23&amp;"'!H23:H200")="H")*(INDIRECT("'"&amp;$C23&amp;"'!L23:L200")="D"),1,0))-SUM(Q23:T23))</f>
        <v>1</v>
      </c>
      <c r="V23" s="226">
        <f t="array" aca="1" ref="V23" ca="1">IF($C23="","",SUM(IF((INDIRECT("'"&amp;$C23&amp;"'!I23:I200")=$D$1)*(INDIRECT("'"&amp;$C23&amp;"'!H23:H200")="H")*(INDIRECT("'"&amp;$C23&amp;"'!L23:L200")="L")*(INDIRECT("'"&amp;$C23&amp;"'!J23:J200")=VALUE(LEFT(V$5,1)))*(INDIRECT("'"&amp;$C23&amp;"'!K23:K200")=VALUE(RIGHT(V$5,1))),1,0)))</f>
        <v>2</v>
      </c>
      <c r="W23" s="226">
        <f t="array" aca="1" ref="W23" ca="1">IF($C23="","",SUM(IF((INDIRECT("'"&amp;$C23&amp;"'!I23:I200")=$D$1)*(INDIRECT("'"&amp;$C23&amp;"'!H23:H200")="H")*(INDIRECT("'"&amp;$C23&amp;"'!L23:L200")="L")*(INDIRECT("'"&amp;$C23&amp;"'!J23:J200")=VALUE(LEFT(W$5,1)))*(INDIRECT("'"&amp;$C23&amp;"'!K23:K200")=VALUE(RIGHT(W$5,1))),1,0)))</f>
        <v>2</v>
      </c>
      <c r="X23" s="226">
        <f t="array" aca="1" ref="X23" ca="1">IF($C23="","",SUM(IF((INDIRECT("'"&amp;$C23&amp;"'!I23:I200")=$D$1)*(INDIRECT("'"&amp;$C23&amp;"'!H23:H200")="H")*(INDIRECT("'"&amp;$C23&amp;"'!L23:L200")="L")*(INDIRECT("'"&amp;$C23&amp;"'!J23:J200")=VALUE(LEFT(X$5,1)))*(INDIRECT("'"&amp;$C23&amp;"'!K23:K200")=VALUE(RIGHT(X$5,1))),1,0)))</f>
        <v>5</v>
      </c>
      <c r="Y23" s="226">
        <f t="array" aca="1" ref="Y23" ca="1">IF($C23="","",SUM(IF((INDIRECT("'"&amp;$C23&amp;"'!I23:I200")=$D$1)*(INDIRECT("'"&amp;$C23&amp;"'!H23:H200")="H")*(INDIRECT("'"&amp;$C23&amp;"'!L23:L200")="L")*(INDIRECT("'"&amp;$C23&amp;"'!J23:J200")=VALUE(LEFT(Y$5,1)))*(INDIRECT("'"&amp;$C23&amp;"'!K23:K200")=VALUE(RIGHT(Y$5,1))),1,0)))</f>
        <v>0</v>
      </c>
      <c r="Z23" s="226">
        <f t="array" aca="1" ref="Z23" ca="1">IF($C23="","",SUM(IF((INDIRECT("'"&amp;$C23&amp;"'!I23:I200")=$D$1)*(INDIRECT("'"&amp;$C23&amp;"'!H23:H200")="H")*(INDIRECT("'"&amp;$C23&amp;"'!L23:L200")="L")*(INDIRECT("'"&amp;$C23&amp;"'!J23:J200")=VALUE(LEFT(Z$5,1)))*(INDIRECT("'"&amp;$C23&amp;"'!K23:K200")=VALUE(RIGHT(Z$5,1))),1,0)))</f>
        <v>0</v>
      </c>
      <c r="AA23" s="226">
        <f t="array" aca="1" ref="AA23" ca="1">IF($C23="","",SUM(IF((INDIRECT("'"&amp;$C23&amp;"'!I23:I200")=$D$1)*(INDIRECT("'"&amp;$C23&amp;"'!H23:H200")="H")*(INDIRECT("'"&amp;$C23&amp;"'!L23:L200")="L")*(INDIRECT("'"&amp;$C23&amp;"'!J23:J200")=VALUE(LEFT(AA$5,1)))*(INDIRECT("'"&amp;$C23&amp;"'!K23:K200")=VALUE(RIGHT(AA$5,1))),1,0)))</f>
        <v>0</v>
      </c>
      <c r="AB23" s="226">
        <f t="array" aca="1" ref="AB23" ca="1">IF($C23="","",SUM(IF((INDIRECT("'"&amp;$C23&amp;"'!I23:I200")=$D$1)*(INDIRECT("'"&amp;$C23&amp;"'!H23:H200")="H")*(INDIRECT("'"&amp;$C23&amp;"'!L23:L200")="L")*(INDIRECT("'"&amp;$C23&amp;"'!J23:J200")=VALUE(LEFT(AB$5,1)))*(INDIRECT("'"&amp;$C23&amp;"'!K23:K200")=VALUE(RIGHT(AB$5,1))),1,0)))</f>
        <v>0</v>
      </c>
      <c r="AC23" s="226">
        <f t="array" aca="1" ref="AC23" ca="1">IF($C23="","",SUM(IF((INDIRECT("'"&amp;$C23&amp;"'!I23:I200")=$D$1)*(INDIRECT("'"&amp;$C23&amp;"'!H23:H200")="H")*(INDIRECT("'"&amp;$C23&amp;"'!L23:L200")="L")*(INDIRECT("'"&amp;$C23&amp;"'!J23:J200")=VALUE(LEFT(AC$5,1)))*(INDIRECT("'"&amp;$C23&amp;"'!K23:K200")=VALUE(RIGHT(AC$5,1))),1,0)))</f>
        <v>0</v>
      </c>
      <c r="AD23" s="226">
        <f t="array" aca="1" ref="AD23" ca="1">IF($C23="","",SUM(IF((INDIRECT("'"&amp;$C23&amp;"'!I23:I200")=$D$1)*(INDIRECT("'"&amp;$C23&amp;"'!H23:H200")="H")*(INDIRECT("'"&amp;$C23&amp;"'!L23:L200")="L")*(INDIRECT("'"&amp;$C23&amp;"'!J23:J200")=VALUE(LEFT(AD$5,1)))*(INDIRECT("'"&amp;$C23&amp;"'!K23:K200")=VALUE(RIGHT(AD$5,1))),1,0)))</f>
        <v>0</v>
      </c>
      <c r="AE23" s="226">
        <f t="array" aca="1" ref="AE23" ca="1">IF($C23="","",SUM(IF((INDIRECT("'"&amp;$C23&amp;"'!I23:I200")=$D$1)*(INDIRECT("'"&amp;$C23&amp;"'!H23:H200")="H")*(INDIRECT("'"&amp;$C23&amp;"'!L23:L200")="L")*(INDIRECT("'"&amp;$C23&amp;"'!J23:J200")=VALUE(LEFT(AE$5,1)))*(INDIRECT("'"&amp;$C23&amp;"'!K23:K200")=VALUE(RIGHT(AE$5,1))),1,0)))</f>
        <v>0</v>
      </c>
      <c r="AF23" s="226">
        <f t="array" aca="1" ref="AF23" ca="1">IF($C23="","",SUM(IF((INDIRECT("'"&amp;$C23&amp;"'!I23:I200")=$D$1)*(INDIRECT("'"&amp;$C23&amp;"'!H23:H200")="H")*(INDIRECT("'"&amp;$C23&amp;"'!L23:L200")="L")*(INDIRECT("'"&amp;$C23&amp;"'!J23:J200")=VALUE(LEFT(AF$5,1)))*(INDIRECT("'"&amp;$C23&amp;"'!K23:K200")=VALUE(RIGHT(AF$5,1))),1,0)))</f>
        <v>0</v>
      </c>
      <c r="AG23" s="226">
        <f t="array" aca="1" ref="AG23" ca="1">IF($C23="","",SUM(IF((INDIRECT("'"&amp;$C23&amp;"'!I23:I200")=$D$1)*(INDIRECT("'"&amp;$C23&amp;"'!H23:H200")="H")*(INDIRECT("'"&amp;$C23&amp;"'!L23:L200")="L")*(INDIRECT("'"&amp;$C23&amp;"'!J23:J200")=VALUE(LEFT(AG$5,1)))*(INDIRECT("'"&amp;$C23&amp;"'!K23:K200")=VALUE(RIGHT(AG$5,1))),1,0)))</f>
        <v>0</v>
      </c>
      <c r="AH23" s="227">
        <f t="array" aca="1" ref="AH23" ca="1">IF($C23="","",SUM(IF((INDIRECT("'"&amp;$C23&amp;"'!I23:I200")=$D$1)*(INDIRECT("'"&amp;$C23&amp;"'!H23:H200")="H")*(INDIRECT("'"&amp;$C23&amp;"'!L23:L200")="L"),1,0))-SUM(V23:AG23))</f>
        <v>2</v>
      </c>
      <c r="AI23" s="230"/>
      <c r="AJ23" s="230"/>
      <c r="AK23" s="230"/>
      <c r="AL23" s="230"/>
      <c r="AM23" s="230"/>
      <c r="AN23" s="230"/>
      <c r="AO23" s="230"/>
      <c r="AP23" s="230"/>
      <c r="AQ23" s="230"/>
      <c r="AR23" s="230"/>
      <c r="AS23" s="230"/>
      <c r="AT23" s="230"/>
      <c r="AU23" s="230"/>
      <c r="AV23" s="230"/>
      <c r="AW23" s="230"/>
      <c r="AX23" s="230"/>
      <c r="AY23" s="230"/>
      <c r="AZ23" s="230"/>
      <c r="BA23" s="230"/>
      <c r="BB23" s="230"/>
      <c r="BC23" s="230"/>
      <c r="BD23" s="230"/>
      <c r="BE23" s="230"/>
      <c r="BF23" s="230"/>
      <c r="BG23" s="230"/>
    </row>
    <row r="24" spans="1:59" ht="14.25">
      <c r="A24" s="228">
        <v>19</v>
      </c>
      <c r="B24" s="229" t="str">
        <f ca="1">IF($A24&gt;$D$3,"",VLOOKUP($A24,Table!$A$9:$C$30,2,FALSE))</f>
        <v>Kamatamare Sanuki</v>
      </c>
      <c r="C24" s="225" t="str">
        <f ca="1">IF($A24&gt;$D$3,"",VLOOKUP($A24,Table!$A$9:$C$30,3,FALSE))</f>
        <v>Kamatamare Sanuki</v>
      </c>
      <c r="D24" s="226">
        <f t="array" aca="1" ref="D24" ca="1">IF($C24="","",SUM(IF((INDIRECT("'"&amp;$C24&amp;"'!I23:I200")=$D$1)*(INDIRECT("'"&amp;$C24&amp;"'!H23:H200")="H")*(INDIRECT("'"&amp;$C24&amp;"'!L23:L200")="W")*(INDIRECT("'"&amp;$C24&amp;"'!J23:J200")=VALUE(LEFT(D$5,1)))*(INDIRECT("'"&amp;$C24&amp;"'!K23:K200")=VALUE(RIGHT(D$5,1))),1,0)))</f>
        <v>2</v>
      </c>
      <c r="E24" s="226">
        <f t="array" aca="1" ref="E24" ca="1">IF($C24="","",SUM(IF((INDIRECT("'"&amp;$C24&amp;"'!I23:I200")=$D$1)*(INDIRECT("'"&amp;$C24&amp;"'!H23:H200")="H")*(INDIRECT("'"&amp;$C24&amp;"'!L23:L200")="W")*(INDIRECT("'"&amp;$C24&amp;"'!J23:J200")=VALUE(LEFT(E$5,1)))*(INDIRECT("'"&amp;$C24&amp;"'!K23:K200")=VALUE(RIGHT(E$5,1))),1,0)))</f>
        <v>1</v>
      </c>
      <c r="F24" s="226">
        <f t="array" aca="1" ref="F24" ca="1">IF($C24="","",SUM(IF((INDIRECT("'"&amp;$C24&amp;"'!I23:I200")=$D$1)*(INDIRECT("'"&amp;$C24&amp;"'!H23:H200")="H")*(INDIRECT("'"&amp;$C24&amp;"'!L23:L200")="W")*(INDIRECT("'"&amp;$C24&amp;"'!J23:J200")=VALUE(LEFT(F$5,1)))*(INDIRECT("'"&amp;$C24&amp;"'!K23:K200")=VALUE(RIGHT(F$5,1))),1,0)))</f>
        <v>0</v>
      </c>
      <c r="G24" s="226">
        <f t="array" aca="1" ref="G24" ca="1">IF($C24="","",SUM(IF((INDIRECT("'"&amp;$C24&amp;"'!I23:I200")=$D$1)*(INDIRECT("'"&amp;$C24&amp;"'!H23:H200")="H")*(INDIRECT("'"&amp;$C24&amp;"'!L23:L200")="W")*(INDIRECT("'"&amp;$C24&amp;"'!J23:J200")=VALUE(LEFT(G$5,1)))*(INDIRECT("'"&amp;$C24&amp;"'!K23:K200")=VALUE(RIGHT(G$5,1))),1,0)))</f>
        <v>1</v>
      </c>
      <c r="H24" s="226">
        <f t="array" aca="1" ref="H24" ca="1">IF($C24="","",SUM(IF((INDIRECT("'"&amp;$C24&amp;"'!I23:I200")=$D$1)*(INDIRECT("'"&amp;$C24&amp;"'!H23:H200")="H")*(INDIRECT("'"&amp;$C24&amp;"'!L23:L200")="W")*(INDIRECT("'"&amp;$C24&amp;"'!J23:J200")=VALUE(LEFT(H$5,1)))*(INDIRECT("'"&amp;$C24&amp;"'!K23:K200")=VALUE(RIGHT(H$5,1))),1,0)))</f>
        <v>0</v>
      </c>
      <c r="I24" s="226">
        <f t="array" aca="1" ref="I24" ca="1">IF($C24="","",SUM(IF((INDIRECT("'"&amp;$C24&amp;"'!I23:I200")=$D$1)*(INDIRECT("'"&amp;$C24&amp;"'!H23:H200")="H")*(INDIRECT("'"&amp;$C24&amp;"'!L23:L200")="W")*(INDIRECT("'"&amp;$C24&amp;"'!J23:J200")=VALUE(LEFT(I$5,1)))*(INDIRECT("'"&amp;$C24&amp;"'!K23:K200")=VALUE(RIGHT(I$5,1))),1,0)))</f>
        <v>0</v>
      </c>
      <c r="J24" s="226">
        <f t="array" aca="1" ref="J24" ca="1">IF($C24="","",SUM(IF((INDIRECT("'"&amp;$C24&amp;"'!I23:I200")=$D$1)*(INDIRECT("'"&amp;$C24&amp;"'!H23:H200")="H")*(INDIRECT("'"&amp;$C24&amp;"'!L23:L200")="W")*(INDIRECT("'"&amp;$C24&amp;"'!J23:J200")=VALUE(LEFT(J$5,1)))*(INDIRECT("'"&amp;$C24&amp;"'!K23:K200")=VALUE(RIGHT(J$5,1))),1,0)))</f>
        <v>0</v>
      </c>
      <c r="K24" s="226">
        <f t="array" aca="1" ref="K24" ca="1">IF($C24="","",SUM(IF((INDIRECT("'"&amp;$C24&amp;"'!I23:I200")=$D$1)*(INDIRECT("'"&amp;$C24&amp;"'!H23:H200")="H")*(INDIRECT("'"&amp;$C24&amp;"'!L23:L200")="W")*(INDIRECT("'"&amp;$C24&amp;"'!J23:J200")=VALUE(LEFT(K$5,1)))*(INDIRECT("'"&amp;$C24&amp;"'!K23:K200")=VALUE(RIGHT(K$5,1))),1,0)))</f>
        <v>0</v>
      </c>
      <c r="L24" s="226">
        <f t="array" aca="1" ref="L24" ca="1">IF($C24="","",SUM(IF((INDIRECT("'"&amp;$C24&amp;"'!I23:I200")=$D$1)*(INDIRECT("'"&amp;$C24&amp;"'!H23:H200")="H")*(INDIRECT("'"&amp;$C24&amp;"'!L23:L200")="W")*(INDIRECT("'"&amp;$C24&amp;"'!J23:J200")=VALUE(LEFT(L$5,1)))*(INDIRECT("'"&amp;$C24&amp;"'!K23:K200")=VALUE(RIGHT(L$5,1))),1,0)))</f>
        <v>0</v>
      </c>
      <c r="M24" s="226">
        <f t="array" aca="1" ref="M24" ca="1">IF($C24="","",SUM(IF((INDIRECT("'"&amp;$C24&amp;"'!I23:I200")=$D$1)*(INDIRECT("'"&amp;$C24&amp;"'!H23:H200")="H")*(INDIRECT("'"&amp;$C24&amp;"'!L23:L200")="W")*(INDIRECT("'"&amp;$C24&amp;"'!J23:J200")=VALUE(LEFT(M$5,1)))*(INDIRECT("'"&amp;$C24&amp;"'!K23:K200")=VALUE(RIGHT(M$5,1))),1,0)))</f>
        <v>0</v>
      </c>
      <c r="N24" s="226">
        <f t="array" aca="1" ref="N24" ca="1">IF($C24="","",SUM(IF((INDIRECT("'"&amp;$C24&amp;"'!I23:I200")=$D$1)*(INDIRECT("'"&amp;$C24&amp;"'!H23:H200")="H")*(INDIRECT("'"&amp;$C24&amp;"'!L23:L200")="W")*(INDIRECT("'"&amp;$C24&amp;"'!J23:J200")=VALUE(LEFT(N$5,1)))*(INDIRECT("'"&amp;$C24&amp;"'!K23:K200")=VALUE(RIGHT(N$5,1))),1,0)))</f>
        <v>0</v>
      </c>
      <c r="O24" s="226">
        <f t="array" aca="1" ref="O24" ca="1">IF($C24="","",SUM(IF((INDIRECT("'"&amp;$C24&amp;"'!I23:I200")=$D$1)*(INDIRECT("'"&amp;$C24&amp;"'!H23:H200")="H")*(INDIRECT("'"&amp;$C24&amp;"'!L23:L200")="W")*(INDIRECT("'"&amp;$C24&amp;"'!J23:J200")=VALUE(LEFT(O$5,1)))*(INDIRECT("'"&amp;$C24&amp;"'!K23:K200")=VALUE(RIGHT(O$5,1))),1,0)))</f>
        <v>0</v>
      </c>
      <c r="P24" s="226">
        <f t="array" aca="1" ref="P24" ca="1">IF($C24="","",SUM(IF((INDIRECT("'"&amp;$C24&amp;"'!I23:I200")=$D$1)*(INDIRECT("'"&amp;$C24&amp;"'!H23:H200")="H")*(INDIRECT("'"&amp;$C24&amp;"'!L23:L200")="W"),1,0))-SUM(D24:O24))</f>
        <v>0</v>
      </c>
      <c r="Q24" s="231" t="e">
        <f t="array" aca="1" ref="Q24" ca="1">IF($C24="","",SUM(IF((INDIRECT($C24&amp;"!I23:I200")=$D$1)*(INDIRECT($C24&amp;"!H23:H200")="H")*(INDIRECT($C24&amp;"!L23:L200")="D")*(INDIRECT($C24&amp;"!J23:J200")=VALUE(LEFT(Q$5,1)))*(INDIRECT($C24&amp;"!K23:K200")=VALUE(RIGHT(Q$5,1))),1,0)))</f>
        <v>#REF!</v>
      </c>
      <c r="R24" s="232" t="e">
        <f t="array" aca="1" ref="R24" ca="1">IF($C24="","",SUM(IF((INDIRECT($C24&amp;"!I23:I200")=$D$1)*(INDIRECT($C24&amp;"!H23:H200")="H")*(INDIRECT($C24&amp;"!L23:L200")="D")*(INDIRECT($C24&amp;"!J23:J200")=VALUE(LEFT(R$5,1)))*(INDIRECT($C24&amp;"!K23:K200")=VALUE(RIGHT(R$5,1))),1,0)))</f>
        <v>#REF!</v>
      </c>
      <c r="S24" s="232" t="e">
        <f t="array" aca="1" ref="S24" ca="1">IF($C24="","",SUM(IF((INDIRECT($C24&amp;"!I23:I200")=$D$1)*(INDIRECT($C24&amp;"!H23:H200")="H")*(INDIRECT($C24&amp;"!L23:L200")="D")*(INDIRECT($C24&amp;"!J23:J200")=VALUE(LEFT(S$5,1)))*(INDIRECT($C24&amp;"!K23:K200")=VALUE(RIGHT(S$5,1))),1,0)))</f>
        <v>#REF!</v>
      </c>
      <c r="T24" s="232" t="e">
        <f t="array" aca="1" ref="T24" ca="1">IF($C24="","",SUM(IF((INDIRECT($C24&amp;"!I23:I200")=$D$1)*(INDIRECT($C24&amp;"!H23:H200")="H")*(INDIRECT($C24&amp;"!L23:L200")="D")*(INDIRECT($C24&amp;"!J23:J200")=VALUE(LEFT(T$5,1)))*(INDIRECT($C24&amp;"!K23:K200")=VALUE(RIGHT(T$5,1))),1,0)))</f>
        <v>#REF!</v>
      </c>
      <c r="U24" s="233" t="e">
        <f t="array" aca="1" ref="U24" ca="1">IF($C24="","",SUM(IF((INDIRECT($C24&amp;"!I23:I200")=$D$1)*(INDIRECT($C24&amp;"!H23:H200")="H")*(INDIRECT($C24&amp;"!L23:L200")="D"),1,0))-SUM(Q24:T24))</f>
        <v>#REF!</v>
      </c>
      <c r="V24" s="231" t="e">
        <f t="array" aca="1" ref="V24" ca="1">IF($C24="","",SUM(IF((INDIRECT($C24&amp;"!I23:I200")=$D$1)*(INDIRECT($C24&amp;"!H23:H200")="H")*(INDIRECT($C24&amp;"!L23:L200")="L")*(INDIRECT($C24&amp;"!J23:J200")=VALUE(LEFT(V$5,1)))*(INDIRECT($C24&amp;"!K23:K200")=VALUE(RIGHT(V$5,1))),1,0)))</f>
        <v>#REF!</v>
      </c>
      <c r="W24" s="232" t="e">
        <f t="array" aca="1" ref="W24" ca="1">IF($C24="","",SUM(IF((INDIRECT($C24&amp;"!I23:I200")=$D$1)*(INDIRECT($C24&amp;"!H23:H200")="H")*(INDIRECT($C24&amp;"!L23:L200")="L")*(INDIRECT($C24&amp;"!J23:J200")=VALUE(LEFT(W$5,1)))*(INDIRECT($C24&amp;"!K23:K200")=VALUE(RIGHT(W$5,1))),1,0)))</f>
        <v>#REF!</v>
      </c>
      <c r="X24" s="232" t="e">
        <f t="array" aca="1" ref="X24" ca="1">IF($C24="","",SUM(IF((INDIRECT($C24&amp;"!I23:I200")=$D$1)*(INDIRECT($C24&amp;"!H23:H200")="H")*(INDIRECT($C24&amp;"!L23:L200")="L")*(INDIRECT($C24&amp;"!J23:J200")=VALUE(LEFT(X$5,1)))*(INDIRECT($C24&amp;"!K23:K200")=VALUE(RIGHT(X$5,1))),1,0)))</f>
        <v>#REF!</v>
      </c>
      <c r="Y24" s="232" t="e">
        <f t="array" aca="1" ref="Y24" ca="1">IF($C24="","",SUM(IF((INDIRECT($C24&amp;"!I23:I200")=$D$1)*(INDIRECT($C24&amp;"!H23:H200")="H")*(INDIRECT($C24&amp;"!L23:L200")="L")*(INDIRECT($C24&amp;"!J23:J200")=VALUE(LEFT(Y$5,1)))*(INDIRECT($C24&amp;"!K23:K200")=VALUE(RIGHT(Y$5,1))),1,0)))</f>
        <v>#REF!</v>
      </c>
      <c r="Z24" s="232" t="e">
        <f t="array" aca="1" ref="Z24" ca="1">IF($C24="","",SUM(IF((INDIRECT($C24&amp;"!I23:I200")=$D$1)*(INDIRECT($C24&amp;"!H23:H200")="H")*(INDIRECT($C24&amp;"!L23:L200")="L")*(INDIRECT($C24&amp;"!J23:J200")=VALUE(LEFT(Z$5,1)))*(INDIRECT($C24&amp;"!K23:K200")=VALUE(RIGHT(Z$5,1))),1,0)))</f>
        <v>#REF!</v>
      </c>
      <c r="AA24" s="232" t="e">
        <f t="array" aca="1" ref="AA24" ca="1">IF($C24="","",SUM(IF((INDIRECT($C24&amp;"!I23:I200")=$D$1)*(INDIRECT($C24&amp;"!H23:H200")="H")*(INDIRECT($C24&amp;"!L23:L200")="L")*(INDIRECT($C24&amp;"!J23:J200")=VALUE(LEFT(AA$5,1)))*(INDIRECT($C24&amp;"!K23:K200")=VALUE(RIGHT(AA$5,1))),1,0)))</f>
        <v>#REF!</v>
      </c>
      <c r="AB24" s="232" t="e">
        <f t="array" aca="1" ref="AB24" ca="1">IF($C24="","",SUM(IF((INDIRECT($C24&amp;"!I23:I200")=$D$1)*(INDIRECT($C24&amp;"!H23:H200")="H")*(INDIRECT($C24&amp;"!L23:L200")="L")*(INDIRECT($C24&amp;"!J23:J200")=VALUE(LEFT(AB$5,1)))*(INDIRECT($C24&amp;"!K23:K200")=VALUE(RIGHT(AB$5,1))),1,0)))</f>
        <v>#REF!</v>
      </c>
      <c r="AC24" s="232" t="e">
        <f t="array" aca="1" ref="AC24" ca="1">IF($C24="","",SUM(IF((INDIRECT($C24&amp;"!I23:I200")=$D$1)*(INDIRECT($C24&amp;"!H23:H200")="H")*(INDIRECT($C24&amp;"!L23:L200")="L")*(INDIRECT($C24&amp;"!J23:J200")=VALUE(LEFT(AC$5,1)))*(INDIRECT($C24&amp;"!K23:K200")=VALUE(RIGHT(AC$5,1))),1,0)))</f>
        <v>#REF!</v>
      </c>
      <c r="AD24" s="232" t="e">
        <f t="array" aca="1" ref="AD24" ca="1">IF($C24="","",SUM(IF((INDIRECT($C24&amp;"!I23:I200")=$D$1)*(INDIRECT($C24&amp;"!H23:H200")="H")*(INDIRECT($C24&amp;"!L23:L200")="L")*(INDIRECT($C24&amp;"!J23:J200")=VALUE(LEFT(AD$5,1)))*(INDIRECT($C24&amp;"!K23:K200")=VALUE(RIGHT(AD$5,1))),1,0)))</f>
        <v>#REF!</v>
      </c>
      <c r="AE24" s="232" t="e">
        <f t="array" aca="1" ref="AE24" ca="1">IF($C24="","",SUM(IF((INDIRECT($C24&amp;"!I23:I200")=$D$1)*(INDIRECT($C24&amp;"!H23:H200")="H")*(INDIRECT($C24&amp;"!L23:L200")="L")*(INDIRECT($C24&amp;"!J23:J200")=VALUE(LEFT(AE$5,1)))*(INDIRECT($C24&amp;"!K23:K200")=VALUE(RIGHT(AE$5,1))),1,0)))</f>
        <v>#REF!</v>
      </c>
      <c r="AF24" s="232" t="e">
        <f t="array" aca="1" ref="AF24" ca="1">IF($C24="","",SUM(IF((INDIRECT($C24&amp;"!I23:I200")=$D$1)*(INDIRECT($C24&amp;"!H23:H200")="H")*(INDIRECT($C24&amp;"!L23:L200")="L")*(INDIRECT($C24&amp;"!J23:J200")=VALUE(LEFT(AF$5,1)))*(INDIRECT($C24&amp;"!K23:K200")=VALUE(RIGHT(AF$5,1))),1,0)))</f>
        <v>#REF!</v>
      </c>
      <c r="AG24" s="232" t="e">
        <f t="array" aca="1" ref="AG24" ca="1">IF($C24="","",SUM(IF((INDIRECT($C24&amp;"!I23:I200")=$D$1)*(INDIRECT($C24&amp;"!H23:H200")="H")*(INDIRECT($C24&amp;"!L23:L200")="L")*(INDIRECT($C24&amp;"!J23:J200")=VALUE(LEFT(AG$5,1)))*(INDIRECT($C24&amp;"!K23:K200")=VALUE(RIGHT(AG$5,1))),1,0)))</f>
        <v>#REF!</v>
      </c>
      <c r="AH24" s="233" t="e">
        <f t="array" aca="1" ref="AH24" ca="1">IF($C24="","",SUM(IF((INDIRECT($C24&amp;"!I23:I200")=$D$1)*(INDIRECT($C24&amp;"!H23:H200")="H")*(INDIRECT($C24&amp;"!L23:L200")="L"),1,0))-SUM(V24:AG24))</f>
        <v>#REF!</v>
      </c>
      <c r="AI24" s="230"/>
      <c r="AJ24" s="230"/>
      <c r="AK24" s="230"/>
      <c r="AL24" s="230"/>
      <c r="AM24" s="230"/>
      <c r="AN24" s="230"/>
      <c r="AO24" s="230"/>
      <c r="AP24" s="230"/>
      <c r="AQ24" s="230"/>
      <c r="AR24" s="230"/>
      <c r="AS24" s="230"/>
      <c r="AT24" s="230"/>
      <c r="AU24" s="230"/>
      <c r="AV24" s="230"/>
      <c r="AW24" s="230"/>
      <c r="AX24" s="230"/>
      <c r="AY24" s="230"/>
      <c r="AZ24" s="230"/>
      <c r="BA24" s="230"/>
      <c r="BB24" s="230"/>
      <c r="BC24" s="230"/>
      <c r="BD24" s="230"/>
      <c r="BE24" s="230"/>
      <c r="BF24" s="230"/>
      <c r="BG24" s="230"/>
    </row>
    <row r="25" spans="1:59" ht="15" thickBot="1">
      <c r="A25" s="228">
        <v>20</v>
      </c>
      <c r="B25" s="234" t="str">
        <f ca="1">IF($A25&gt;$D$3,"",VLOOKUP($A25,Table!$A$9:$C$30,2,FALSE))</f>
        <v>Renofa Yamaguchi</v>
      </c>
      <c r="C25" s="225" t="str">
        <f ca="1">IF($A25&gt;$D$3,"",VLOOKUP($A25,Table!$A$9:$C$30,3,FALSE))</f>
        <v>Renofa Yamaguchi</v>
      </c>
      <c r="D25" s="226">
        <f ca="1">IF($C25="","",SUM(IF((INDIRECT("'"&amp;$C25&amp;"'!I23:I200")=$D$1)*(INDIRECT("'"&amp;$C25&amp;"'!H23:H200")="H")*(INDIRECT("'"&amp;$C25&amp;"'!L23:L200")="W")*(INDIRECT("'"&amp;$C25&amp;"'!J23:J200")=VALUE(LEFT(D$5,1)))*(INDIRECT("'"&amp;$C25&amp;"'!K23:K200")=VALUE(RIGHT(D$5,1))),1,0)))</f>
        <v>0</v>
      </c>
      <c r="E25" s="226">
        <f t="array" aca="1" ref="E25" ca="1">IF($C25="","",SUM(IF((INDIRECT("'"&amp;$C25&amp;"'!I23:I200")=$D$1)*(INDIRECT("'"&amp;$C25&amp;"'!H23:H200")="H")*(INDIRECT("'"&amp;$C25&amp;"'!L23:L200")="W")*(INDIRECT("'"&amp;$C25&amp;"'!J23:J200")=VALUE(LEFT(E$5,1)))*(INDIRECT("'"&amp;$C25&amp;"'!K23:K200")=VALUE(RIGHT(E$5,1))),1,0)))</f>
        <v>1</v>
      </c>
      <c r="F25" s="226">
        <f t="array" aca="1" ref="F25" ca="1">IF($C25="","",SUM(IF((INDIRECT("'"&amp;$C25&amp;"'!I23:I200")=$D$1)*(INDIRECT("'"&amp;$C25&amp;"'!H23:H200")="H")*(INDIRECT("'"&amp;$C25&amp;"'!L23:L200")="W")*(INDIRECT("'"&amp;$C25&amp;"'!J23:J200")=VALUE(LEFT(F$5,1)))*(INDIRECT("'"&amp;$C25&amp;"'!K23:K200")=VALUE(RIGHT(F$5,1))),1,0)))</f>
        <v>0</v>
      </c>
      <c r="G25" s="226">
        <f t="array" aca="1" ref="G25" ca="1">IF($C25="","",SUM(IF((INDIRECT("'"&amp;$C25&amp;"'!I23:I200")=$D$1)*(INDIRECT("'"&amp;$C25&amp;"'!H23:H200")="H")*(INDIRECT("'"&amp;$C25&amp;"'!L23:L200")="W")*(INDIRECT("'"&amp;$C25&amp;"'!J23:J200")=VALUE(LEFT(G$5,1)))*(INDIRECT("'"&amp;$C25&amp;"'!K23:K200")=VALUE(RIGHT(G$5,1))),1,0)))</f>
        <v>0</v>
      </c>
      <c r="H25" s="226">
        <f t="array" aca="1" ref="H25" ca="1">IF($C25="","",SUM(IF((INDIRECT("'"&amp;$C25&amp;"'!I23:I200")=$D$1)*(INDIRECT("'"&amp;$C25&amp;"'!H23:H200")="H")*(INDIRECT("'"&amp;$C25&amp;"'!L23:L200")="W")*(INDIRECT("'"&amp;$C25&amp;"'!J23:J200")=VALUE(LEFT(H$5,1)))*(INDIRECT("'"&amp;$C25&amp;"'!K23:K200")=VALUE(RIGHT(H$5,1))),1,0)))</f>
        <v>0</v>
      </c>
      <c r="I25" s="226">
        <f t="array" aca="1" ref="I25" ca="1">IF($C25="","",SUM(IF((INDIRECT("'"&amp;$C25&amp;"'!I23:I200")=$D$1)*(INDIRECT("'"&amp;$C25&amp;"'!H23:H200")="H")*(INDIRECT("'"&amp;$C25&amp;"'!L23:L200")="W")*(INDIRECT("'"&amp;$C25&amp;"'!J23:J200")=VALUE(LEFT(I$5,1)))*(INDIRECT("'"&amp;$C25&amp;"'!K23:K200")=VALUE(RIGHT(I$5,1))),1,0)))</f>
        <v>1</v>
      </c>
      <c r="J25" s="226">
        <f t="array" aca="1" ref="J25" ca="1">IF($C25="","",SUM(IF((INDIRECT("'"&amp;$C25&amp;"'!I23:I200")=$D$1)*(INDIRECT("'"&amp;$C25&amp;"'!H23:H200")="H")*(INDIRECT("'"&amp;$C25&amp;"'!L23:L200")="W")*(INDIRECT("'"&amp;$C25&amp;"'!J23:J200")=VALUE(LEFT(J$5,1)))*(INDIRECT("'"&amp;$C25&amp;"'!K23:K200")=VALUE(RIGHT(J$5,1))),1,0)))</f>
        <v>0</v>
      </c>
      <c r="K25" s="226">
        <f t="array" aca="1" ref="K25" ca="1">IF($C25="","",SUM(IF((INDIRECT("'"&amp;$C25&amp;"'!I23:I200")=$D$1)*(INDIRECT("'"&amp;$C25&amp;"'!H23:H200")="H")*(INDIRECT("'"&amp;$C25&amp;"'!L23:L200")="W")*(INDIRECT("'"&amp;$C25&amp;"'!J23:J200")=VALUE(LEFT(K$5,1)))*(INDIRECT("'"&amp;$C25&amp;"'!K23:K200")=VALUE(RIGHT(K$5,1))),1,0)))</f>
        <v>0</v>
      </c>
      <c r="L25" s="226">
        <f t="array" aca="1" ref="L25" ca="1">IF($C25="","",SUM(IF((INDIRECT("'"&amp;$C25&amp;"'!I23:I200")=$D$1)*(INDIRECT("'"&amp;$C25&amp;"'!H23:H200")="H")*(INDIRECT("'"&amp;$C25&amp;"'!L23:L200")="W")*(INDIRECT("'"&amp;$C25&amp;"'!J23:J200")=VALUE(LEFT(L$5,1)))*(INDIRECT("'"&amp;$C25&amp;"'!K23:K200")=VALUE(RIGHT(L$5,1))),1,0)))</f>
        <v>0</v>
      </c>
      <c r="M25" s="226">
        <f t="array" aca="1" ref="M25" ca="1">IF($C25="","",SUM(IF((INDIRECT("'"&amp;$C25&amp;"'!I23:I200")=$D$1)*(INDIRECT("'"&amp;$C25&amp;"'!H23:H200")="H")*(INDIRECT("'"&amp;$C25&amp;"'!L23:L200")="W")*(INDIRECT("'"&amp;$C25&amp;"'!J23:J200")=VALUE(LEFT(M$5,1)))*(INDIRECT("'"&amp;$C25&amp;"'!K23:K200")=VALUE(RIGHT(M$5,1))),1,0)))</f>
        <v>0</v>
      </c>
      <c r="N25" s="226">
        <f t="array" aca="1" ref="N25" ca="1">IF($C25="","",SUM(IF((INDIRECT("'"&amp;$C25&amp;"'!I23:I200")=$D$1)*(INDIRECT("'"&amp;$C25&amp;"'!H23:H200")="H")*(INDIRECT("'"&amp;$C25&amp;"'!L23:L200")="W")*(INDIRECT("'"&amp;$C25&amp;"'!J23:J200")=VALUE(LEFT(N$5,1)))*(INDIRECT("'"&amp;$C25&amp;"'!K23:K200")=VALUE(RIGHT(N$5,1))),1,0)))</f>
        <v>0</v>
      </c>
      <c r="O25" s="226">
        <f t="array" aca="1" ref="O25" ca="1">IF($C25="","",SUM(IF((INDIRECT("'"&amp;$C25&amp;"'!I23:I200")=$D$1)*(INDIRECT("'"&amp;$C25&amp;"'!H23:H200")="H")*(INDIRECT("'"&amp;$C25&amp;"'!L23:L200")="W")*(INDIRECT("'"&amp;$C25&amp;"'!J23:J200")=VALUE(LEFT(O$5,1)))*(INDIRECT("'"&amp;$C25&amp;"'!K23:K200")=VALUE(RIGHT(O$5,1))),1,0)))</f>
        <v>0</v>
      </c>
      <c r="P25" s="226">
        <f t="array" aca="1" ref="P25" ca="1">IF($C25="","",SUM(IF((INDIRECT("'"&amp;$C25&amp;"'!I23:I200")=$D$1)*(INDIRECT("'"&amp;$C25&amp;"'!H23:H200")="H")*(INDIRECT("'"&amp;$C25&amp;"'!L23:L200")="W"),1,0))-SUM(D25:O25))</f>
        <v>2</v>
      </c>
      <c r="Q25" s="220" t="e">
        <f t="array" aca="1" ref="Q25" ca="1">IF($C25="","",SUM(IF((INDIRECT($C25&amp;"!I23:I200")=$D$1)*(INDIRECT($C25&amp;"!H23:H200")="H")*(INDIRECT($C25&amp;"!L23:L200")="D")*(INDIRECT($C25&amp;"!J23:J200")=VALUE(LEFT(Q$5,1)))*(INDIRECT($C25&amp;"!K23:K200")=VALUE(RIGHT(Q$5,1))),1,0)))</f>
        <v>#REF!</v>
      </c>
      <c r="R25" s="221" t="e">
        <f t="array" aca="1" ref="R25" ca="1">IF($C25="","",SUM(IF((INDIRECT($C25&amp;"!I23:I200")=$D$1)*(INDIRECT($C25&amp;"!H23:H200")="H")*(INDIRECT($C25&amp;"!L23:L200")="D")*(INDIRECT($C25&amp;"!J23:J200")=VALUE(LEFT(R$5,1)))*(INDIRECT($C25&amp;"!K23:K200")=VALUE(RIGHT(R$5,1))),1,0)))</f>
        <v>#REF!</v>
      </c>
      <c r="S25" s="221" t="e">
        <f t="array" aca="1" ref="S25" ca="1">IF($C25="","",SUM(IF((INDIRECT($C25&amp;"!I23:I200")=$D$1)*(INDIRECT($C25&amp;"!H23:H200")="H")*(INDIRECT($C25&amp;"!L23:L200")="D")*(INDIRECT($C25&amp;"!J23:J200")=VALUE(LEFT(S$5,1)))*(INDIRECT($C25&amp;"!K23:K200")=VALUE(RIGHT(S$5,1))),1,0)))</f>
        <v>#REF!</v>
      </c>
      <c r="T25" s="221" t="e">
        <f t="array" aca="1" ref="T25" ca="1">IF($C25="","",SUM(IF((INDIRECT($C25&amp;"!I23:I200")=$D$1)*(INDIRECT($C25&amp;"!H23:H200")="H")*(INDIRECT($C25&amp;"!L23:L200")="D")*(INDIRECT($C25&amp;"!J23:J200")=VALUE(LEFT(T$5,1)))*(INDIRECT($C25&amp;"!K23:K200")=VALUE(RIGHT(T$5,1))),1,0)))</f>
        <v>#REF!</v>
      </c>
      <c r="U25" s="222" t="e">
        <f t="array" aca="1" ref="U25" ca="1">IF($C25="","",SUM(IF((INDIRECT($C25&amp;"!I23:I200")=$D$1)*(INDIRECT($C25&amp;"!H23:H200")="H")*(INDIRECT($C25&amp;"!L23:L200")="D"),1,0))-SUM(Q25:T25))</f>
        <v>#REF!</v>
      </c>
      <c r="V25" s="220" t="e">
        <f t="array" aca="1" ref="V25" ca="1">IF($C25="","",SUM(IF((INDIRECT($C25&amp;"!I23:I200")=$D$1)*(INDIRECT($C25&amp;"!H23:H200")="H")*(INDIRECT($C25&amp;"!L23:L200")="L")*(INDIRECT($C25&amp;"!J23:J200")=VALUE(LEFT(V$5,1)))*(INDIRECT($C25&amp;"!K23:K200")=VALUE(RIGHT(V$5,1))),1,0)))</f>
        <v>#REF!</v>
      </c>
      <c r="W25" s="221" t="e">
        <f t="array" aca="1" ref="W25" ca="1">IF($C25="","",SUM(IF((INDIRECT($C25&amp;"!I23:I200")=$D$1)*(INDIRECT($C25&amp;"!H23:H200")="H")*(INDIRECT($C25&amp;"!L23:L200")="L")*(INDIRECT($C25&amp;"!J23:J200")=VALUE(LEFT(W$5,1)))*(INDIRECT($C25&amp;"!K23:K200")=VALUE(RIGHT(W$5,1))),1,0)))</f>
        <v>#REF!</v>
      </c>
      <c r="X25" s="221" t="e">
        <f t="array" aca="1" ref="X25" ca="1">IF($C25="","",SUM(IF((INDIRECT($C25&amp;"!I23:I200")=$D$1)*(INDIRECT($C25&amp;"!H23:H200")="H")*(INDIRECT($C25&amp;"!L23:L200")="L")*(INDIRECT($C25&amp;"!J23:J200")=VALUE(LEFT(X$5,1)))*(INDIRECT($C25&amp;"!K23:K200")=VALUE(RIGHT(X$5,1))),1,0)))</f>
        <v>#REF!</v>
      </c>
      <c r="Y25" s="221" t="e">
        <f t="array" aca="1" ref="Y25" ca="1">IF($C25="","",SUM(IF((INDIRECT($C25&amp;"!I23:I200")=$D$1)*(INDIRECT($C25&amp;"!H23:H200")="H")*(INDIRECT($C25&amp;"!L23:L200")="L")*(INDIRECT($C25&amp;"!J23:J200")=VALUE(LEFT(Y$5,1)))*(INDIRECT($C25&amp;"!K23:K200")=VALUE(RIGHT(Y$5,1))),1,0)))</f>
        <v>#REF!</v>
      </c>
      <c r="Z25" s="221" t="e">
        <f t="array" aca="1" ref="Z25" ca="1">IF($C25="","",SUM(IF((INDIRECT($C25&amp;"!I23:I200")=$D$1)*(INDIRECT($C25&amp;"!H23:H200")="H")*(INDIRECT($C25&amp;"!L23:L200")="L")*(INDIRECT($C25&amp;"!J23:J200")=VALUE(LEFT(Z$5,1)))*(INDIRECT($C25&amp;"!K23:K200")=VALUE(RIGHT(Z$5,1))),1,0)))</f>
        <v>#REF!</v>
      </c>
      <c r="AA25" s="221" t="e">
        <f t="array" aca="1" ref="AA25" ca="1">IF($C25="","",SUM(IF((INDIRECT($C25&amp;"!I23:I200")=$D$1)*(INDIRECT($C25&amp;"!H23:H200")="H")*(INDIRECT($C25&amp;"!L23:L200")="L")*(INDIRECT($C25&amp;"!J23:J200")=VALUE(LEFT(AA$5,1)))*(INDIRECT($C25&amp;"!K23:K200")=VALUE(RIGHT(AA$5,1))),1,0)))</f>
        <v>#REF!</v>
      </c>
      <c r="AB25" s="221" t="e">
        <f t="array" aca="1" ref="AB25" ca="1">IF($C25="","",SUM(IF((INDIRECT($C25&amp;"!I23:I200")=$D$1)*(INDIRECT($C25&amp;"!H23:H200")="H")*(INDIRECT($C25&amp;"!L23:L200")="L")*(INDIRECT($C25&amp;"!J23:J200")=VALUE(LEFT(AB$5,1)))*(INDIRECT($C25&amp;"!K23:K200")=VALUE(RIGHT(AB$5,1))),1,0)))</f>
        <v>#REF!</v>
      </c>
      <c r="AC25" s="221" t="e">
        <f t="array" aca="1" ref="AC25" ca="1">IF($C25="","",SUM(IF((INDIRECT($C25&amp;"!I23:I200")=$D$1)*(INDIRECT($C25&amp;"!H23:H200")="H")*(INDIRECT($C25&amp;"!L23:L200")="L")*(INDIRECT($C25&amp;"!J23:J200")=VALUE(LEFT(AC$5,1)))*(INDIRECT($C25&amp;"!K23:K200")=VALUE(RIGHT(AC$5,1))),1,0)))</f>
        <v>#REF!</v>
      </c>
      <c r="AD25" s="221" t="e">
        <f t="array" aca="1" ref="AD25" ca="1">IF($C25="","",SUM(IF((INDIRECT($C25&amp;"!I23:I200")=$D$1)*(INDIRECT($C25&amp;"!H23:H200")="H")*(INDIRECT($C25&amp;"!L23:L200")="L")*(INDIRECT($C25&amp;"!J23:J200")=VALUE(LEFT(AD$5,1)))*(INDIRECT($C25&amp;"!K23:K200")=VALUE(RIGHT(AD$5,1))),1,0)))</f>
        <v>#REF!</v>
      </c>
      <c r="AE25" s="221" t="e">
        <f t="array" aca="1" ref="AE25" ca="1">IF($C25="","",SUM(IF((INDIRECT($C25&amp;"!I23:I200")=$D$1)*(INDIRECT($C25&amp;"!H23:H200")="H")*(INDIRECT($C25&amp;"!L23:L200")="L")*(INDIRECT($C25&amp;"!J23:J200")=VALUE(LEFT(AE$5,1)))*(INDIRECT($C25&amp;"!K23:K200")=VALUE(RIGHT(AE$5,1))),1,0)))</f>
        <v>#REF!</v>
      </c>
      <c r="AF25" s="221" t="e">
        <f t="array" aca="1" ref="AF25" ca="1">IF($C25="","",SUM(IF((INDIRECT($C25&amp;"!I23:I200")=$D$1)*(INDIRECT($C25&amp;"!H23:H200")="H")*(INDIRECT($C25&amp;"!L23:L200")="L")*(INDIRECT($C25&amp;"!J23:J200")=VALUE(LEFT(AF$5,1)))*(INDIRECT($C25&amp;"!K23:K200")=VALUE(RIGHT(AF$5,1))),1,0)))</f>
        <v>#REF!</v>
      </c>
      <c r="AG25" s="221" t="e">
        <f t="array" aca="1" ref="AG25" ca="1">IF($C25="","",SUM(IF((INDIRECT($C25&amp;"!I23:I200")=$D$1)*(INDIRECT($C25&amp;"!H23:H200")="H")*(INDIRECT($C25&amp;"!L23:L200")="L")*(INDIRECT($C25&amp;"!J23:J200")=VALUE(LEFT(AG$5,1)))*(INDIRECT($C25&amp;"!K23:K200")=VALUE(RIGHT(AG$5,1))),1,0)))</f>
        <v>#REF!</v>
      </c>
      <c r="AH25" s="222" t="e">
        <f t="array" aca="1" ref="AH25" ca="1">IF($C25="","",SUM(IF((INDIRECT($C25&amp;"!I23:I200")=$D$1)*(INDIRECT($C25&amp;"!H23:H200")="H")*(INDIRECT($C25&amp;"!L23:L200")="L"),1,0))-SUM(V25:AG25))</f>
        <v>#REF!</v>
      </c>
      <c r="AI25" s="230"/>
      <c r="AJ25" s="230"/>
      <c r="AK25" s="230"/>
      <c r="AL25" s="230"/>
      <c r="AM25" s="230"/>
      <c r="AN25" s="230"/>
      <c r="AO25" s="230"/>
      <c r="AP25" s="230"/>
      <c r="AQ25" s="230"/>
      <c r="AR25" s="230"/>
      <c r="AS25" s="230"/>
      <c r="AT25" s="230"/>
      <c r="AU25" s="230"/>
      <c r="AV25" s="230"/>
      <c r="AW25" s="230"/>
      <c r="AX25" s="230"/>
      <c r="AY25" s="230"/>
      <c r="AZ25" s="230"/>
      <c r="BA25" s="230"/>
      <c r="BB25" s="230"/>
      <c r="BC25" s="230"/>
      <c r="BD25" s="230"/>
      <c r="BE25" s="230"/>
      <c r="BF25" s="230"/>
      <c r="BG25" s="230"/>
    </row>
    <row r="26" spans="1:59" ht="15" hidden="1" thickBot="1">
      <c r="A26" s="235">
        <v>21</v>
      </c>
      <c r="B26" s="225" t="s">
        <v>32</v>
      </c>
      <c r="C26" s="225" t="s">
        <v>32</v>
      </c>
      <c r="D26" s="226" t="str">
        <f t="array" aca="1" ref="D26" ca="1">IF($C26="","",SUM(IF((INDIRECT($C26&amp;"!J23:J200")=$D$1)*(INDIRECT($C26&amp;"!I23:I200")="H")*(INDIRECT($C26&amp;"!M23:M200")="W")*(INDIRECT($C26&amp;"!K23:K200")=VALUE(LEFT(D$5,1)))*(INDIRECT($C26&amp;"!L23:L200")=VALUE(RIGHT(D$5,1))),1,0)))</f>
        <v/>
      </c>
      <c r="E26" s="236" t="str">
        <f t="array" aca="1" ref="E26" ca="1">IF($C26="","",SUM(IF((INDIRECT($C26&amp;"!J23:J200")=$D$1)*(INDIRECT($C26&amp;"!I23:I200")="H")*(INDIRECT($C26&amp;"!M23:M200")="W")*(INDIRECT($C26&amp;"!K23:K200")=VALUE(LEFT(E$5,1)))*(INDIRECT($C26&amp;"!L23:L200")=VALUE(RIGHT(E$5,1))),1,0)))</f>
        <v/>
      </c>
      <c r="F26" s="236" t="str">
        <f t="array" aca="1" ref="F26" ca="1">IF($C26="","",SUM(IF((INDIRECT($C26&amp;"!J23:J200")=$D$1)*(INDIRECT($C26&amp;"!I23:I200")="H")*(INDIRECT($C26&amp;"!M23:M200")="W")*(INDIRECT($C26&amp;"!K23:K200")=VALUE(LEFT(F$5,1)))*(INDIRECT($C26&amp;"!L23:L200")=VALUE(RIGHT(F$5,1))),1,0)))</f>
        <v/>
      </c>
      <c r="G26" s="236" t="str">
        <f t="array" aca="1" ref="G26" ca="1">IF($C26="","",SUM(IF((INDIRECT($C26&amp;"!J23:J200")=$D$1)*(INDIRECT($C26&amp;"!I23:I200")="H")*(INDIRECT($C26&amp;"!M23:M200")="W")*(INDIRECT($C26&amp;"!K23:K200")=VALUE(LEFT(G$5,1)))*(INDIRECT($C26&amp;"!L23:L200")=VALUE(RIGHT(G$5,1))),1,0)))</f>
        <v/>
      </c>
      <c r="H26" s="236" t="str">
        <f t="array" aca="1" ref="H26" ca="1">IF($C26="","",SUM(IF((INDIRECT($C26&amp;"!J23:J200")=$D$1)*(INDIRECT($C26&amp;"!I23:I200")="H")*(INDIRECT($C26&amp;"!M23:M200")="W")*(INDIRECT($C26&amp;"!K23:K200")=VALUE(LEFT(H$5,1)))*(INDIRECT($C26&amp;"!L23:L200")=VALUE(RIGHT(H$5,1))),1,0)))</f>
        <v/>
      </c>
      <c r="I26" s="236" t="str">
        <f t="array" aca="1" ref="I26" ca="1">IF($C26="","",SUM(IF((INDIRECT($C26&amp;"!J23:J200")=$D$1)*(INDIRECT($C26&amp;"!I23:I200")="H")*(INDIRECT($C26&amp;"!M23:M200")="W")*(INDIRECT($C26&amp;"!K23:K200")=VALUE(LEFT(I$5,1)))*(INDIRECT($C26&amp;"!L23:L200")=VALUE(RIGHT(I$5,1))),1,0)))</f>
        <v/>
      </c>
      <c r="J26" s="236" t="str">
        <f t="array" aca="1" ref="J26" ca="1">IF($C26="","",SUM(IF((INDIRECT($C26&amp;"!J23:J200")=$D$1)*(INDIRECT($C26&amp;"!I23:I200")="H")*(INDIRECT($C26&amp;"!M23:M200")="W")*(INDIRECT($C26&amp;"!K23:K200")=VALUE(LEFT(J$5,1)))*(INDIRECT($C26&amp;"!L23:L200")=VALUE(RIGHT(J$5,1))),1,0)))</f>
        <v/>
      </c>
      <c r="K26" s="236" t="str">
        <f t="array" aca="1" ref="K26" ca="1">IF($C26="","",SUM(IF((INDIRECT($C26&amp;"!J23:J200")=$D$1)*(INDIRECT($C26&amp;"!I23:I200")="H")*(INDIRECT($C26&amp;"!M23:M200")="W")*(INDIRECT($C26&amp;"!K23:K200")=VALUE(LEFT(K$5,1)))*(INDIRECT($C26&amp;"!L23:L200")=VALUE(RIGHT(K$5,1))),1,0)))</f>
        <v/>
      </c>
      <c r="L26" s="236" t="str">
        <f t="array" aca="1" ref="L26" ca="1">IF($C26="","",SUM(IF((INDIRECT($C26&amp;"!J23:J200")=$D$1)*(INDIRECT($C26&amp;"!I23:I200")="H")*(INDIRECT($C26&amp;"!M23:M200")="W")*(INDIRECT($C26&amp;"!K23:K200")=VALUE(LEFT(L$5,1)))*(INDIRECT($C26&amp;"!L23:L200")=VALUE(RIGHT(L$5,1))),1,0)))</f>
        <v/>
      </c>
      <c r="M26" s="236" t="str">
        <f t="array" aca="1" ref="M26" ca="1">IF($C26="","",SUM(IF((INDIRECT($C26&amp;"!J23:J200")=$D$1)*(INDIRECT($C26&amp;"!I23:I200")="H")*(INDIRECT($C26&amp;"!M23:M200")="W")*(INDIRECT($C26&amp;"!K23:K200")=VALUE(LEFT(M$5,1)))*(INDIRECT($C26&amp;"!L23:L200")=VALUE(RIGHT(M$5,1))),1,0)))</f>
        <v/>
      </c>
      <c r="N26" s="236" t="str">
        <f t="array" aca="1" ref="N26" ca="1">IF($C26="","",SUM(IF((INDIRECT($C26&amp;"!J23:J200")=$D$1)*(INDIRECT($C26&amp;"!I23:I200")="H")*(INDIRECT($C26&amp;"!M23:M200")="W")*(INDIRECT($C26&amp;"!K23:K200")=VALUE(LEFT(N$5,1)))*(INDIRECT($C26&amp;"!L23:L200")=VALUE(RIGHT(N$5,1))),1,0)))</f>
        <v/>
      </c>
      <c r="O26" s="236" t="str">
        <f t="array" aca="1" ref="O26" ca="1">IF($C26="","",SUM(IF((INDIRECT($C26&amp;"!J23:J200")=$D$1)*(INDIRECT($C26&amp;"!I23:I200")="H")*(INDIRECT($C26&amp;"!M23:M200")="W")*(INDIRECT($C26&amp;"!K23:K200")=VALUE(LEFT(O$5,1)))*(INDIRECT($C26&amp;"!L23:L200")=VALUE(RIGHT(O$5,1))),1,0)))</f>
        <v/>
      </c>
      <c r="P26" s="237" t="str">
        <f t="array" aca="1" ref="P26" ca="1">IF($C26="","",SUM(IF((INDIRECT($C26&amp;"!J23:J200")=$D$1)*(INDIRECT($C26&amp;"!I23:I200")="H")*(INDIRECT($C26&amp;"!M23:M200")="W"),1,0))-SUM(D26:O26))</f>
        <v/>
      </c>
      <c r="Q26" s="226" t="str">
        <f t="array" aca="1" ref="Q26" ca="1">IF($C26="","",SUM(IF((INDIRECT($C26&amp;"!J23:J200")=$D$1)*(INDIRECT($C26&amp;"!I23:I200")="H")*(INDIRECT($C26&amp;"!M23:M200")="D")*(INDIRECT($C26&amp;"!K23:K200")=VALUE(LEFT(Q$5,1)))*(INDIRECT($C26&amp;"!L23:L200")=VALUE(RIGHT(Q$5,1))),1,0)))</f>
        <v/>
      </c>
      <c r="R26" s="236" t="str">
        <f t="array" aca="1" ref="R26" ca="1">IF($C26="","",SUM(IF((INDIRECT($C26&amp;"!J23:J200")=$D$1)*(INDIRECT($C26&amp;"!I23:I200")="H")*(INDIRECT($C26&amp;"!M23:M200")="D")*(INDIRECT($C26&amp;"!K23:K200")=VALUE(LEFT(R$5,1)))*(INDIRECT($C26&amp;"!L23:L200")=VALUE(RIGHT(R$5,1))),1,0)))</f>
        <v/>
      </c>
      <c r="S26" s="236" t="str">
        <f t="array" aca="1" ref="S26" ca="1">IF($C26="","",SUM(IF((INDIRECT($C26&amp;"!J23:J200")=$D$1)*(INDIRECT($C26&amp;"!I23:I200")="H")*(INDIRECT($C26&amp;"!M23:M200")="D")*(INDIRECT($C26&amp;"!K23:K200")=VALUE(LEFT(S$5,1)))*(INDIRECT($C26&amp;"!L23:L200")=VALUE(RIGHT(S$5,1))),1,0)))</f>
        <v/>
      </c>
      <c r="T26" s="236" t="str">
        <f t="array" aca="1" ref="T26" ca="1">IF($C26="","",SUM(IF((INDIRECT($C26&amp;"!J23:J200")=$D$1)*(INDIRECT($C26&amp;"!I23:I200")="H")*(INDIRECT($C26&amp;"!M23:M200")="D")*(INDIRECT($C26&amp;"!K23:K200")=VALUE(LEFT(T$5,1)))*(INDIRECT($C26&amp;"!L23:L200")=VALUE(RIGHT(T$5,1))),1,0)))</f>
        <v/>
      </c>
      <c r="U26" s="237" t="str">
        <f t="array" aca="1" ref="U26" ca="1">IF($C26="","",SUM(IF((INDIRECT($C26&amp;"!J23:J200")=$D$1)*(INDIRECT($C26&amp;"!I23:I200")="H")*(INDIRECT($C26&amp;"!M23:M200")="D"),1,0))-SUM(Q26:T26))</f>
        <v/>
      </c>
      <c r="V26" s="226" t="str">
        <f t="array" aca="1" ref="V26" ca="1">IF($C26="","",SUM(IF((INDIRECT($C26&amp;"!J23:J200")=$D$1)*(INDIRECT($C26&amp;"!I23:I200")="H")*(INDIRECT($C26&amp;"!M23:M200")="L")*(INDIRECT($C26&amp;"!K23:K200")=VALUE(LEFT(V$5,1)))*(INDIRECT($C26&amp;"!L23:L200")=VALUE(RIGHT(V$5,1))),1,0)))</f>
        <v/>
      </c>
      <c r="W26" s="236" t="str">
        <f t="array" aca="1" ref="W26" ca="1">IF($C26="","",SUM(IF((INDIRECT($C26&amp;"!J23:J200")=$D$1)*(INDIRECT($C26&amp;"!I23:I200")="H")*(INDIRECT($C26&amp;"!M23:M200")="L")*(INDIRECT($C26&amp;"!K23:K200")=VALUE(LEFT(W$5,1)))*(INDIRECT($C26&amp;"!L23:L200")=VALUE(RIGHT(W$5,1))),1,0)))</f>
        <v/>
      </c>
      <c r="X26" s="236" t="str">
        <f t="array" aca="1" ref="X26" ca="1">IF($C26="","",SUM(IF((INDIRECT($C26&amp;"!J23:J200")=$D$1)*(INDIRECT($C26&amp;"!I23:I200")="H")*(INDIRECT($C26&amp;"!M23:M200")="L")*(INDIRECT($C26&amp;"!K23:K200")=VALUE(LEFT(X$5,1)))*(INDIRECT($C26&amp;"!L23:L200")=VALUE(RIGHT(X$5,1))),1,0)))</f>
        <v/>
      </c>
      <c r="Y26" s="236" t="str">
        <f t="array" aca="1" ref="Y26" ca="1">IF($C26="","",SUM(IF((INDIRECT($C26&amp;"!J23:J200")=$D$1)*(INDIRECT($C26&amp;"!I23:I200")="H")*(INDIRECT($C26&amp;"!M23:M200")="L")*(INDIRECT($C26&amp;"!K23:K200")=VALUE(LEFT(Y$5,1)))*(INDIRECT($C26&amp;"!L23:L200")=VALUE(RIGHT(Y$5,1))),1,0)))</f>
        <v/>
      </c>
      <c r="Z26" s="236" t="str">
        <f t="array" aca="1" ref="Z26" ca="1">IF($C26="","",SUM(IF((INDIRECT($C26&amp;"!J23:J200")=$D$1)*(INDIRECT($C26&amp;"!I23:I200")="H")*(INDIRECT($C26&amp;"!M23:M200")="L")*(INDIRECT($C26&amp;"!K23:K200")=VALUE(LEFT(Z$5,1)))*(INDIRECT($C26&amp;"!L23:L200")=VALUE(RIGHT(Z$5,1))),1,0)))</f>
        <v/>
      </c>
      <c r="AA26" s="236" t="str">
        <f t="array" aca="1" ref="AA26" ca="1">IF($C26="","",SUM(IF((INDIRECT($C26&amp;"!J23:J200")=$D$1)*(INDIRECT($C26&amp;"!I23:I200")="H")*(INDIRECT($C26&amp;"!M23:M200")="L")*(INDIRECT($C26&amp;"!K23:K200")=VALUE(LEFT(AA$5,1)))*(INDIRECT($C26&amp;"!L23:L200")=VALUE(RIGHT(AA$5,1))),1,0)))</f>
        <v/>
      </c>
      <c r="AB26" s="236" t="str">
        <f t="array" aca="1" ref="AB26" ca="1">IF($C26="","",SUM(IF((INDIRECT($C26&amp;"!J23:J200")=$D$1)*(INDIRECT($C26&amp;"!I23:I200")="H")*(INDIRECT($C26&amp;"!M23:M200")="L")*(INDIRECT($C26&amp;"!K23:K200")=VALUE(LEFT(AB$5,1)))*(INDIRECT($C26&amp;"!L23:L200")=VALUE(RIGHT(AB$5,1))),1,0)))</f>
        <v/>
      </c>
      <c r="AC26" s="236" t="str">
        <f t="array" aca="1" ref="AC26" ca="1">IF($C26="","",SUM(IF((INDIRECT($C26&amp;"!J23:J200")=$D$1)*(INDIRECT($C26&amp;"!I23:I200")="H")*(INDIRECT($C26&amp;"!M23:M200")="L")*(INDIRECT($C26&amp;"!K23:K200")=VALUE(LEFT(AC$5,1)))*(INDIRECT($C26&amp;"!L23:L200")=VALUE(RIGHT(AC$5,1))),1,0)))</f>
        <v/>
      </c>
      <c r="AD26" s="236" t="str">
        <f t="array" aca="1" ref="AD26" ca="1">IF($C26="","",SUM(IF((INDIRECT($C26&amp;"!J23:J200")=$D$1)*(INDIRECT($C26&amp;"!I23:I200")="H")*(INDIRECT($C26&amp;"!M23:M200")="L")*(INDIRECT($C26&amp;"!K23:K200")=VALUE(LEFT(AD$5,1)))*(INDIRECT($C26&amp;"!L23:L200")=VALUE(RIGHT(AD$5,1))),1,0)))</f>
        <v/>
      </c>
      <c r="AE26" s="236" t="str">
        <f t="array" aca="1" ref="AE26" ca="1">IF($C26="","",SUM(IF((INDIRECT($C26&amp;"!J23:J200")=$D$1)*(INDIRECT($C26&amp;"!I23:I200")="H")*(INDIRECT($C26&amp;"!M23:M200")="L")*(INDIRECT($C26&amp;"!K23:K200")=VALUE(LEFT(AE$5,1)))*(INDIRECT($C26&amp;"!L23:L200")=VALUE(RIGHT(AE$5,1))),1,0)))</f>
        <v/>
      </c>
      <c r="AF26" s="236" t="str">
        <f t="array" aca="1" ref="AF26" ca="1">IF($C26="","",SUM(IF((INDIRECT($C26&amp;"!J23:J200")=$D$1)*(INDIRECT($C26&amp;"!I23:I200")="H")*(INDIRECT($C26&amp;"!M23:M200")="L")*(INDIRECT($C26&amp;"!K23:K200")=VALUE(LEFT(AF$5,1)))*(INDIRECT($C26&amp;"!L23:L200")=VALUE(RIGHT(AF$5,1))),1,0)))</f>
        <v/>
      </c>
      <c r="AG26" s="236" t="str">
        <f t="array" aca="1" ref="AG26" ca="1">IF($C26="","",SUM(IF((INDIRECT($C26&amp;"!J23:J200")=$D$1)*(INDIRECT($C26&amp;"!I23:I200")="H")*(INDIRECT($C26&amp;"!M23:M200")="L")*(INDIRECT($C26&amp;"!K23:K200")=VALUE(LEFT(AG$5,1)))*(INDIRECT($C26&amp;"!L23:L200")=VALUE(RIGHT(AG$5,1))),1,0)))</f>
        <v/>
      </c>
      <c r="AH26" s="237" t="str">
        <f t="array" aca="1" ref="AH26" ca="1">IF($C26="","",SUM(IF((INDIRECT($C26&amp;"!J23:J200")=$D$1)*(INDIRECT($C26&amp;"!I23:I200")="H")*(INDIRECT($C26&amp;"!M23:M200")="L"),1,0))-SUM(V26:AG26))</f>
        <v/>
      </c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</row>
    <row r="27" spans="1:59" ht="15" hidden="1" thickBot="1">
      <c r="A27" s="235">
        <v>22</v>
      </c>
      <c r="B27" s="225" t="s">
        <v>32</v>
      </c>
      <c r="C27" s="225" t="s">
        <v>32</v>
      </c>
      <c r="D27" s="231" t="str">
        <f t="array" aca="1" ref="D27" ca="1">IF($C27="","",SUM(IF((INDIRECT($C27&amp;"!J23:J200")=$D$1)*(INDIRECT($C27&amp;"!I23:I200")="H")*(INDIRECT($C27&amp;"!M23:M200")="W")*(INDIRECT($C27&amp;"!K23:K200")=VALUE(LEFT(D$5,1)))*(INDIRECT($C27&amp;"!L23:L200")=VALUE(RIGHT(D$5,1))),1,0)))</f>
        <v/>
      </c>
      <c r="E27" s="232" t="str">
        <f t="array" aca="1" ref="E27" ca="1">IF($C27="","",SUM(IF((INDIRECT($C27&amp;"!J23:J200")=$D$1)*(INDIRECT($C27&amp;"!I23:I200")="H")*(INDIRECT($C27&amp;"!M23:M200")="W")*(INDIRECT($C27&amp;"!K23:K200")=VALUE(LEFT(E$5,1)))*(INDIRECT($C27&amp;"!L23:L200")=VALUE(RIGHT(E$5,1))),1,0)))</f>
        <v/>
      </c>
      <c r="F27" s="232" t="str">
        <f t="array" aca="1" ref="F27" ca="1">IF($C27="","",SUM(IF((INDIRECT($C27&amp;"!J23:J200")=$D$1)*(INDIRECT($C27&amp;"!I23:I200")="H")*(INDIRECT($C27&amp;"!M23:M200")="W")*(INDIRECT($C27&amp;"!K23:K200")=VALUE(LEFT(F$5,1)))*(INDIRECT($C27&amp;"!L23:L200")=VALUE(RIGHT(F$5,1))),1,0)))</f>
        <v/>
      </c>
      <c r="G27" s="232" t="str">
        <f t="array" aca="1" ref="G27" ca="1">IF($C27="","",SUM(IF((INDIRECT($C27&amp;"!J23:J200")=$D$1)*(INDIRECT($C27&amp;"!I23:I200")="H")*(INDIRECT($C27&amp;"!M23:M200")="W")*(INDIRECT($C27&amp;"!K23:K200")=VALUE(LEFT(G$5,1)))*(INDIRECT($C27&amp;"!L23:L200")=VALUE(RIGHT(G$5,1))),1,0)))</f>
        <v/>
      </c>
      <c r="H27" s="232" t="str">
        <f t="array" aca="1" ref="H27" ca="1">IF($C27="","",SUM(IF((INDIRECT($C27&amp;"!J23:J200")=$D$1)*(INDIRECT($C27&amp;"!I23:I200")="H")*(INDIRECT($C27&amp;"!M23:M200")="W")*(INDIRECT($C27&amp;"!K23:K200")=VALUE(LEFT(H$5,1)))*(INDIRECT($C27&amp;"!L23:L200")=VALUE(RIGHT(H$5,1))),1,0)))</f>
        <v/>
      </c>
      <c r="I27" s="232" t="str">
        <f t="array" aca="1" ref="I27" ca="1">IF($C27="","",SUM(IF((INDIRECT($C27&amp;"!J23:J200")=$D$1)*(INDIRECT($C27&amp;"!I23:I200")="H")*(INDIRECT($C27&amp;"!M23:M200")="W")*(INDIRECT($C27&amp;"!K23:K200")=VALUE(LEFT(I$5,1)))*(INDIRECT($C27&amp;"!L23:L200")=VALUE(RIGHT(I$5,1))),1,0)))</f>
        <v/>
      </c>
      <c r="J27" s="232" t="str">
        <f t="array" aca="1" ref="J27" ca="1">IF($C27="","",SUM(IF((INDIRECT($C27&amp;"!J23:J200")=$D$1)*(INDIRECT($C27&amp;"!I23:I200")="H")*(INDIRECT($C27&amp;"!M23:M200")="W")*(INDIRECT($C27&amp;"!K23:K200")=VALUE(LEFT(J$5,1)))*(INDIRECT($C27&amp;"!L23:L200")=VALUE(RIGHT(J$5,1))),1,0)))</f>
        <v/>
      </c>
      <c r="K27" s="232" t="str">
        <f t="array" aca="1" ref="K27" ca="1">IF($C27="","",SUM(IF((INDIRECT($C27&amp;"!J23:J200")=$D$1)*(INDIRECT($C27&amp;"!I23:I200")="H")*(INDIRECT($C27&amp;"!M23:M200")="W")*(INDIRECT($C27&amp;"!K23:K200")=VALUE(LEFT(K$5,1)))*(INDIRECT($C27&amp;"!L23:L200")=VALUE(RIGHT(K$5,1))),1,0)))</f>
        <v/>
      </c>
      <c r="L27" s="232" t="str">
        <f t="array" aca="1" ref="L27" ca="1">IF($C27="","",SUM(IF((INDIRECT($C27&amp;"!J23:J200")=$D$1)*(INDIRECT($C27&amp;"!I23:I200")="H")*(INDIRECT($C27&amp;"!M23:M200")="W")*(INDIRECT($C27&amp;"!K23:K200")=VALUE(LEFT(L$5,1)))*(INDIRECT($C27&amp;"!L23:L200")=VALUE(RIGHT(L$5,1))),1,0)))</f>
        <v/>
      </c>
      <c r="M27" s="232" t="str">
        <f t="array" aca="1" ref="M27" ca="1">IF($C27="","",SUM(IF((INDIRECT($C27&amp;"!J23:J200")=$D$1)*(INDIRECT($C27&amp;"!I23:I200")="H")*(INDIRECT($C27&amp;"!M23:M200")="W")*(INDIRECT($C27&amp;"!K23:K200")=VALUE(LEFT(M$5,1)))*(INDIRECT($C27&amp;"!L23:L200")=VALUE(RIGHT(M$5,1))),1,0)))</f>
        <v/>
      </c>
      <c r="N27" s="232" t="str">
        <f t="array" aca="1" ref="N27" ca="1">IF($C27="","",SUM(IF((INDIRECT($C27&amp;"!J23:J200")=$D$1)*(INDIRECT($C27&amp;"!I23:I200")="H")*(INDIRECT($C27&amp;"!M23:M200")="W")*(INDIRECT($C27&amp;"!K23:K200")=VALUE(LEFT(N$5,1)))*(INDIRECT($C27&amp;"!L23:L200")=VALUE(RIGHT(N$5,1))),1,0)))</f>
        <v/>
      </c>
      <c r="O27" s="232" t="str">
        <f t="array" aca="1" ref="O27" ca="1">IF($C27="","",SUM(IF((INDIRECT($C27&amp;"!J23:J200")=$D$1)*(INDIRECT($C27&amp;"!I23:I200")="H")*(INDIRECT($C27&amp;"!M23:M200")="W")*(INDIRECT($C27&amp;"!K23:K200")=VALUE(LEFT(O$5,1)))*(INDIRECT($C27&amp;"!L23:L200")=VALUE(RIGHT(O$5,1))),1,0)))</f>
        <v/>
      </c>
      <c r="P27" s="233" t="str">
        <f t="array" aca="1" ref="P27" ca="1">IF($C27="","",SUM(IF((INDIRECT($C27&amp;"!J23:J200")=$D$1)*(INDIRECT($C27&amp;"!I23:I200")="H")*(INDIRECT($C27&amp;"!M23:M200")="W"),1,0))-SUM(D27:O27))</f>
        <v/>
      </c>
      <c r="Q27" s="231" t="str">
        <f t="array" aca="1" ref="Q27" ca="1">IF($C27="","",SUM(IF((INDIRECT($C27&amp;"!J23:J200")=$D$1)*(INDIRECT($C27&amp;"!I23:I200")="H")*(INDIRECT($C27&amp;"!M23:M200")="D")*(INDIRECT($C27&amp;"!K23:K200")=VALUE(LEFT(Q$5,1)))*(INDIRECT($C27&amp;"!L23:L200")=VALUE(RIGHT(Q$5,1))),1,0)))</f>
        <v/>
      </c>
      <c r="R27" s="232" t="str">
        <f t="array" aca="1" ref="R27" ca="1">IF($C27="","",SUM(IF((INDIRECT($C27&amp;"!J23:J200")=$D$1)*(INDIRECT($C27&amp;"!I23:I200")="H")*(INDIRECT($C27&amp;"!M23:M200")="D")*(INDIRECT($C27&amp;"!K23:K200")=VALUE(LEFT(R$5,1)))*(INDIRECT($C27&amp;"!L23:L200")=VALUE(RIGHT(R$5,1))),1,0)))</f>
        <v/>
      </c>
      <c r="S27" s="232" t="str">
        <f t="array" aca="1" ref="S27" ca="1">IF($C27="","",SUM(IF((INDIRECT($C27&amp;"!J23:J200")=$D$1)*(INDIRECT($C27&amp;"!I23:I200")="H")*(INDIRECT($C27&amp;"!M23:M200")="D")*(INDIRECT($C27&amp;"!K23:K200")=VALUE(LEFT(S$5,1)))*(INDIRECT($C27&amp;"!L23:L200")=VALUE(RIGHT(S$5,1))),1,0)))</f>
        <v/>
      </c>
      <c r="T27" s="232" t="str">
        <f t="array" aca="1" ref="T27" ca="1">IF($C27="","",SUM(IF((INDIRECT($C27&amp;"!J23:J200")=$D$1)*(INDIRECT($C27&amp;"!I23:I200")="H")*(INDIRECT($C27&amp;"!M23:M200")="D")*(INDIRECT($C27&amp;"!K23:K200")=VALUE(LEFT(T$5,1)))*(INDIRECT($C27&amp;"!L23:L200")=VALUE(RIGHT(T$5,1))),1,0)))</f>
        <v/>
      </c>
      <c r="U27" s="233" t="str">
        <f t="array" aca="1" ref="U27" ca="1">IF($C27="","",SUM(IF((INDIRECT($C27&amp;"!J23:J200")=$D$1)*(INDIRECT($C27&amp;"!I23:I200")="H")*(INDIRECT($C27&amp;"!M23:M200")="D"),1,0))-SUM(Q27:T27))</f>
        <v/>
      </c>
      <c r="V27" s="231" t="str">
        <f t="array" aca="1" ref="V27" ca="1">IF($C27="","",SUM(IF((INDIRECT($C27&amp;"!J23:J200")=$D$1)*(INDIRECT($C27&amp;"!I23:I200")="H")*(INDIRECT($C27&amp;"!M23:M200")="L")*(INDIRECT($C27&amp;"!K23:K200")=VALUE(LEFT(V$5,1)))*(INDIRECT($C27&amp;"!L23:L200")=VALUE(RIGHT(V$5,1))),1,0)))</f>
        <v/>
      </c>
      <c r="W27" s="232" t="str">
        <f t="array" aca="1" ref="W27" ca="1">IF($C27="","",SUM(IF((INDIRECT($C27&amp;"!J23:J200")=$D$1)*(INDIRECT($C27&amp;"!I23:I200")="H")*(INDIRECT($C27&amp;"!M23:M200")="L")*(INDIRECT($C27&amp;"!K23:K200")=VALUE(LEFT(W$5,1)))*(INDIRECT($C27&amp;"!L23:L200")=VALUE(RIGHT(W$5,1))),1,0)))</f>
        <v/>
      </c>
      <c r="X27" s="232" t="str">
        <f t="array" aca="1" ref="X27" ca="1">IF($C27="","",SUM(IF((INDIRECT($C27&amp;"!J23:J200")=$D$1)*(INDIRECT($C27&amp;"!I23:I200")="H")*(INDIRECT($C27&amp;"!M23:M200")="L")*(INDIRECT($C27&amp;"!K23:K200")=VALUE(LEFT(X$5,1)))*(INDIRECT($C27&amp;"!L23:L200")=VALUE(RIGHT(X$5,1))),1,0)))</f>
        <v/>
      </c>
      <c r="Y27" s="232" t="str">
        <f t="array" aca="1" ref="Y27" ca="1">IF($C27="","",SUM(IF((INDIRECT($C27&amp;"!J23:J200")=$D$1)*(INDIRECT($C27&amp;"!I23:I200")="H")*(INDIRECT($C27&amp;"!M23:M200")="L")*(INDIRECT($C27&amp;"!K23:K200")=VALUE(LEFT(Y$5,1)))*(INDIRECT($C27&amp;"!L23:L200")=VALUE(RIGHT(Y$5,1))),1,0)))</f>
        <v/>
      </c>
      <c r="Z27" s="232" t="str">
        <f t="array" aca="1" ref="Z27" ca="1">IF($C27="","",SUM(IF((INDIRECT($C27&amp;"!J23:J200")=$D$1)*(INDIRECT($C27&amp;"!I23:I200")="H")*(INDIRECT($C27&amp;"!M23:M200")="L")*(INDIRECT($C27&amp;"!K23:K200")=VALUE(LEFT(Z$5,1)))*(INDIRECT($C27&amp;"!L23:L200")=VALUE(RIGHT(Z$5,1))),1,0)))</f>
        <v/>
      </c>
      <c r="AA27" s="232" t="str">
        <f t="array" aca="1" ref="AA27" ca="1">IF($C27="","",SUM(IF((INDIRECT($C27&amp;"!J23:J200")=$D$1)*(INDIRECT($C27&amp;"!I23:I200")="H")*(INDIRECT($C27&amp;"!M23:M200")="L")*(INDIRECT($C27&amp;"!K23:K200")=VALUE(LEFT(AA$5,1)))*(INDIRECT($C27&amp;"!L23:L200")=VALUE(RIGHT(AA$5,1))),1,0)))</f>
        <v/>
      </c>
      <c r="AB27" s="232" t="str">
        <f t="array" aca="1" ref="AB27" ca="1">IF($C27="","",SUM(IF((INDIRECT($C27&amp;"!J23:J200")=$D$1)*(INDIRECT($C27&amp;"!I23:I200")="H")*(INDIRECT($C27&amp;"!M23:M200")="L")*(INDIRECT($C27&amp;"!K23:K200")=VALUE(LEFT(AB$5,1)))*(INDIRECT($C27&amp;"!L23:L200")=VALUE(RIGHT(AB$5,1))),1,0)))</f>
        <v/>
      </c>
      <c r="AC27" s="232" t="str">
        <f t="array" aca="1" ref="AC27" ca="1">IF($C27="","",SUM(IF((INDIRECT($C27&amp;"!J23:J200")=$D$1)*(INDIRECT($C27&amp;"!I23:I200")="H")*(INDIRECT($C27&amp;"!M23:M200")="L")*(INDIRECT($C27&amp;"!K23:K200")=VALUE(LEFT(AC$5,1)))*(INDIRECT($C27&amp;"!L23:L200")=VALUE(RIGHT(AC$5,1))),1,0)))</f>
        <v/>
      </c>
      <c r="AD27" s="232" t="str">
        <f t="array" aca="1" ref="AD27" ca="1">IF($C27="","",SUM(IF((INDIRECT($C27&amp;"!J23:J200")=$D$1)*(INDIRECT($C27&amp;"!I23:I200")="H")*(INDIRECT($C27&amp;"!M23:M200")="L")*(INDIRECT($C27&amp;"!K23:K200")=VALUE(LEFT(AD$5,1)))*(INDIRECT($C27&amp;"!L23:L200")=VALUE(RIGHT(AD$5,1))),1,0)))</f>
        <v/>
      </c>
      <c r="AE27" s="232" t="str">
        <f t="array" aca="1" ref="AE27" ca="1">IF($C27="","",SUM(IF((INDIRECT($C27&amp;"!J23:J200")=$D$1)*(INDIRECT($C27&amp;"!I23:I200")="H")*(INDIRECT($C27&amp;"!M23:M200")="L")*(INDIRECT($C27&amp;"!K23:K200")=VALUE(LEFT(AE$5,1)))*(INDIRECT($C27&amp;"!L23:L200")=VALUE(RIGHT(AE$5,1))),1,0)))</f>
        <v/>
      </c>
      <c r="AF27" s="232" t="str">
        <f t="array" aca="1" ref="AF27" ca="1">IF($C27="","",SUM(IF((INDIRECT($C27&amp;"!J23:J200")=$D$1)*(INDIRECT($C27&amp;"!I23:I200")="H")*(INDIRECT($C27&amp;"!M23:M200")="L")*(INDIRECT($C27&amp;"!K23:K200")=VALUE(LEFT(AF$5,1)))*(INDIRECT($C27&amp;"!L23:L200")=VALUE(RIGHT(AF$5,1))),1,0)))</f>
        <v/>
      </c>
      <c r="AG27" s="232" t="str">
        <f t="array" aca="1" ref="AG27" ca="1">IF($C27="","",SUM(IF((INDIRECT($C27&amp;"!J23:J200")=$D$1)*(INDIRECT($C27&amp;"!I23:I200")="H")*(INDIRECT($C27&amp;"!M23:M200")="L")*(INDIRECT($C27&amp;"!K23:K200")=VALUE(LEFT(AG$5,1)))*(INDIRECT($C27&amp;"!L23:L200")=VALUE(RIGHT(AG$5,1))),1,0)))</f>
        <v/>
      </c>
      <c r="AH27" s="233" t="str">
        <f t="array" aca="1" ref="AH27" ca="1">IF($C27="","",SUM(IF((INDIRECT($C27&amp;"!J23:J200")=$D$1)*(INDIRECT($C27&amp;"!I23:I200")="H")*(INDIRECT($C27&amp;"!M23:M200")="L"),1,0))-SUM(V27:AG27))</f>
        <v/>
      </c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</row>
    <row r="28" spans="1:59" ht="15" hidden="1" thickBot="1">
      <c r="A28" s="235">
        <v>23</v>
      </c>
      <c r="B28" s="225" t="s">
        <v>32</v>
      </c>
      <c r="C28" s="225" t="s">
        <v>32</v>
      </c>
      <c r="D28" s="231" t="str">
        <f t="array" aca="1" ref="D28" ca="1">IF($C28="","",SUM(IF((INDIRECT($C28&amp;"!J23:J200")=$D$1)*(INDIRECT($C28&amp;"!I23:I200")="H")*(INDIRECT($C28&amp;"!M23:M200")="W")*(INDIRECT($C28&amp;"!K23:K200")=VALUE(LEFT(D$5,1)))*(INDIRECT($C28&amp;"!L23:L200")=VALUE(RIGHT(D$5,1))),1,0)))</f>
        <v/>
      </c>
      <c r="E28" s="232" t="str">
        <f t="array" aca="1" ref="E28" ca="1">IF($C28="","",SUM(IF((INDIRECT($C28&amp;"!J23:J200")=$D$1)*(INDIRECT($C28&amp;"!I23:I200")="H")*(INDIRECT($C28&amp;"!M23:M200")="W")*(INDIRECT($C28&amp;"!K23:K200")=VALUE(LEFT(E$5,1)))*(INDIRECT($C28&amp;"!L23:L200")=VALUE(RIGHT(E$5,1))),1,0)))</f>
        <v/>
      </c>
      <c r="F28" s="232" t="str">
        <f t="array" aca="1" ref="F28" ca="1">IF($C28="","",SUM(IF((INDIRECT($C28&amp;"!J23:J200")=$D$1)*(INDIRECT($C28&amp;"!I23:I200")="H")*(INDIRECT($C28&amp;"!M23:M200")="W")*(INDIRECT($C28&amp;"!K23:K200")=VALUE(LEFT(F$5,1)))*(INDIRECT($C28&amp;"!L23:L200")=VALUE(RIGHT(F$5,1))),1,0)))</f>
        <v/>
      </c>
      <c r="G28" s="232" t="str">
        <f t="array" aca="1" ref="G28" ca="1">IF($C28="","",SUM(IF((INDIRECT($C28&amp;"!J23:J200")=$D$1)*(INDIRECT($C28&amp;"!I23:I200")="H")*(INDIRECT($C28&amp;"!M23:M200")="W")*(INDIRECT($C28&amp;"!K23:K200")=VALUE(LEFT(G$5,1)))*(INDIRECT($C28&amp;"!L23:L200")=VALUE(RIGHT(G$5,1))),1,0)))</f>
        <v/>
      </c>
      <c r="H28" s="232" t="str">
        <f t="array" aca="1" ref="H28" ca="1">IF($C28="","",SUM(IF((INDIRECT($C28&amp;"!J23:J200")=$D$1)*(INDIRECT($C28&amp;"!I23:I200")="H")*(INDIRECT($C28&amp;"!M23:M200")="W")*(INDIRECT($C28&amp;"!K23:K200")=VALUE(LEFT(H$5,1)))*(INDIRECT($C28&amp;"!L23:L200")=VALUE(RIGHT(H$5,1))),1,0)))</f>
        <v/>
      </c>
      <c r="I28" s="232" t="str">
        <f t="array" aca="1" ref="I28" ca="1">IF($C28="","",SUM(IF((INDIRECT($C28&amp;"!J23:J200")=$D$1)*(INDIRECT($C28&amp;"!I23:I200")="H")*(INDIRECT($C28&amp;"!M23:M200")="W")*(INDIRECT($C28&amp;"!K23:K200")=VALUE(LEFT(I$5,1)))*(INDIRECT($C28&amp;"!L23:L200")=VALUE(RIGHT(I$5,1))),1,0)))</f>
        <v/>
      </c>
      <c r="J28" s="232" t="str">
        <f t="array" aca="1" ref="J28" ca="1">IF($C28="","",SUM(IF((INDIRECT($C28&amp;"!J23:J200")=$D$1)*(INDIRECT($C28&amp;"!I23:I200")="H")*(INDIRECT($C28&amp;"!M23:M200")="W")*(INDIRECT($C28&amp;"!K23:K200")=VALUE(LEFT(J$5,1)))*(INDIRECT($C28&amp;"!L23:L200")=VALUE(RIGHT(J$5,1))),1,0)))</f>
        <v/>
      </c>
      <c r="K28" s="232" t="str">
        <f t="array" aca="1" ref="K28" ca="1">IF($C28="","",SUM(IF((INDIRECT($C28&amp;"!J23:J200")=$D$1)*(INDIRECT($C28&amp;"!I23:I200")="H")*(INDIRECT($C28&amp;"!M23:M200")="W")*(INDIRECT($C28&amp;"!K23:K200")=VALUE(LEFT(K$5,1)))*(INDIRECT($C28&amp;"!L23:L200")=VALUE(RIGHT(K$5,1))),1,0)))</f>
        <v/>
      </c>
      <c r="L28" s="232" t="str">
        <f t="array" aca="1" ref="L28" ca="1">IF($C28="","",SUM(IF((INDIRECT($C28&amp;"!J23:J200")=$D$1)*(INDIRECT($C28&amp;"!I23:I200")="H")*(INDIRECT($C28&amp;"!M23:M200")="W")*(INDIRECT($C28&amp;"!K23:K200")=VALUE(LEFT(L$5,1)))*(INDIRECT($C28&amp;"!L23:L200")=VALUE(RIGHT(L$5,1))),1,0)))</f>
        <v/>
      </c>
      <c r="M28" s="232" t="str">
        <f t="array" aca="1" ref="M28" ca="1">IF($C28="","",SUM(IF((INDIRECT($C28&amp;"!J23:J200")=$D$1)*(INDIRECT($C28&amp;"!I23:I200")="H")*(INDIRECT($C28&amp;"!M23:M200")="W")*(INDIRECT($C28&amp;"!K23:K200")=VALUE(LEFT(M$5,1)))*(INDIRECT($C28&amp;"!L23:L200")=VALUE(RIGHT(M$5,1))),1,0)))</f>
        <v/>
      </c>
      <c r="N28" s="232" t="str">
        <f t="array" aca="1" ref="N28" ca="1">IF($C28="","",SUM(IF((INDIRECT($C28&amp;"!J23:J200")=$D$1)*(INDIRECT($C28&amp;"!I23:I200")="H")*(INDIRECT($C28&amp;"!M23:M200")="W")*(INDIRECT($C28&amp;"!K23:K200")=VALUE(LEFT(N$5,1)))*(INDIRECT($C28&amp;"!L23:L200")=VALUE(RIGHT(N$5,1))),1,0)))</f>
        <v/>
      </c>
      <c r="O28" s="232" t="str">
        <f t="array" aca="1" ref="O28" ca="1">IF($C28="","",SUM(IF((INDIRECT($C28&amp;"!J23:J200")=$D$1)*(INDIRECT($C28&amp;"!I23:I200")="H")*(INDIRECT($C28&amp;"!M23:M200")="W")*(INDIRECT($C28&amp;"!K23:K200")=VALUE(LEFT(O$5,1)))*(INDIRECT($C28&amp;"!L23:L200")=VALUE(RIGHT(O$5,1))),1,0)))</f>
        <v/>
      </c>
      <c r="P28" s="233" t="str">
        <f t="array" aca="1" ref="P28" ca="1">IF($C28="","",SUM(IF((INDIRECT($C28&amp;"!J23:J200")=$D$1)*(INDIRECT($C28&amp;"!I23:I200")="H")*(INDIRECT($C28&amp;"!M23:M200")="W"),1,0))-SUM(D28:O28))</f>
        <v/>
      </c>
      <c r="Q28" s="231" t="str">
        <f t="array" aca="1" ref="Q28" ca="1">IF($C28="","",SUM(IF((INDIRECT($C28&amp;"!J23:J200")=$D$1)*(INDIRECT($C28&amp;"!I23:I200")="H")*(INDIRECT($C28&amp;"!M23:M200")="D")*(INDIRECT($C28&amp;"!K23:K200")=VALUE(LEFT(Q$5,1)))*(INDIRECT($C28&amp;"!L23:L200")=VALUE(RIGHT(Q$5,1))),1,0)))</f>
        <v/>
      </c>
      <c r="R28" s="232" t="str">
        <f t="array" aca="1" ref="R28" ca="1">IF($C28="","",SUM(IF((INDIRECT($C28&amp;"!J23:J200")=$D$1)*(INDIRECT($C28&amp;"!I23:I200")="H")*(INDIRECT($C28&amp;"!M23:M200")="D")*(INDIRECT($C28&amp;"!K23:K200")=VALUE(LEFT(R$5,1)))*(INDIRECT($C28&amp;"!L23:L200")=VALUE(RIGHT(R$5,1))),1,0)))</f>
        <v/>
      </c>
      <c r="S28" s="232" t="str">
        <f t="array" aca="1" ref="S28" ca="1">IF($C28="","",SUM(IF((INDIRECT($C28&amp;"!J23:J200")=$D$1)*(INDIRECT($C28&amp;"!I23:I200")="H")*(INDIRECT($C28&amp;"!M23:M200")="D")*(INDIRECT($C28&amp;"!K23:K200")=VALUE(LEFT(S$5,1)))*(INDIRECT($C28&amp;"!L23:L200")=VALUE(RIGHT(S$5,1))),1,0)))</f>
        <v/>
      </c>
      <c r="T28" s="232" t="str">
        <f t="array" aca="1" ref="T28" ca="1">IF($C28="","",SUM(IF((INDIRECT($C28&amp;"!J23:J200")=$D$1)*(INDIRECT($C28&amp;"!I23:I200")="H")*(INDIRECT($C28&amp;"!M23:M200")="D")*(INDIRECT($C28&amp;"!K23:K200")=VALUE(LEFT(T$5,1)))*(INDIRECT($C28&amp;"!L23:L200")=VALUE(RIGHT(T$5,1))),1,0)))</f>
        <v/>
      </c>
      <c r="U28" s="233" t="str">
        <f t="array" aca="1" ref="U28" ca="1">IF($C28="","",SUM(IF((INDIRECT($C28&amp;"!J23:J200")=$D$1)*(INDIRECT($C28&amp;"!I23:I200")="H")*(INDIRECT($C28&amp;"!M23:M200")="D"),1,0))-SUM(Q28:T28))</f>
        <v/>
      </c>
      <c r="V28" s="231" t="str">
        <f t="array" aca="1" ref="V28" ca="1">IF($C28="","",SUM(IF((INDIRECT($C28&amp;"!J23:J200")=$D$1)*(INDIRECT($C28&amp;"!I23:I200")="H")*(INDIRECT($C28&amp;"!M23:M200")="L")*(INDIRECT($C28&amp;"!K23:K200")=VALUE(LEFT(V$5,1)))*(INDIRECT($C28&amp;"!L23:L200")=VALUE(RIGHT(V$5,1))),1,0)))</f>
        <v/>
      </c>
      <c r="W28" s="232" t="str">
        <f t="array" aca="1" ref="W28" ca="1">IF($C28="","",SUM(IF((INDIRECT($C28&amp;"!J23:J200")=$D$1)*(INDIRECT($C28&amp;"!I23:I200")="H")*(INDIRECT($C28&amp;"!M23:M200")="L")*(INDIRECT($C28&amp;"!K23:K200")=VALUE(LEFT(W$5,1)))*(INDIRECT($C28&amp;"!L23:L200")=VALUE(RIGHT(W$5,1))),1,0)))</f>
        <v/>
      </c>
      <c r="X28" s="232" t="str">
        <f t="array" aca="1" ref="X28" ca="1">IF($C28="","",SUM(IF((INDIRECT($C28&amp;"!J23:J200")=$D$1)*(INDIRECT($C28&amp;"!I23:I200")="H")*(INDIRECT($C28&amp;"!M23:M200")="L")*(INDIRECT($C28&amp;"!K23:K200")=VALUE(LEFT(X$5,1)))*(INDIRECT($C28&amp;"!L23:L200")=VALUE(RIGHT(X$5,1))),1,0)))</f>
        <v/>
      </c>
      <c r="Y28" s="232" t="str">
        <f t="array" aca="1" ref="Y28" ca="1">IF($C28="","",SUM(IF((INDIRECT($C28&amp;"!J23:J200")=$D$1)*(INDIRECT($C28&amp;"!I23:I200")="H")*(INDIRECT($C28&amp;"!M23:M200")="L")*(INDIRECT($C28&amp;"!K23:K200")=VALUE(LEFT(Y$5,1)))*(INDIRECT($C28&amp;"!L23:L200")=VALUE(RIGHT(Y$5,1))),1,0)))</f>
        <v/>
      </c>
      <c r="Z28" s="232" t="str">
        <f t="array" aca="1" ref="Z28" ca="1">IF($C28="","",SUM(IF((INDIRECT($C28&amp;"!J23:J200")=$D$1)*(INDIRECT($C28&amp;"!I23:I200")="H")*(INDIRECT($C28&amp;"!M23:M200")="L")*(INDIRECT($C28&amp;"!K23:K200")=VALUE(LEFT(Z$5,1)))*(INDIRECT($C28&amp;"!L23:L200")=VALUE(RIGHT(Z$5,1))),1,0)))</f>
        <v/>
      </c>
      <c r="AA28" s="232" t="str">
        <f t="array" aca="1" ref="AA28" ca="1">IF($C28="","",SUM(IF((INDIRECT($C28&amp;"!J23:J200")=$D$1)*(INDIRECT($C28&amp;"!I23:I200")="H")*(INDIRECT($C28&amp;"!M23:M200")="L")*(INDIRECT($C28&amp;"!K23:K200")=VALUE(LEFT(AA$5,1)))*(INDIRECT($C28&amp;"!L23:L200")=VALUE(RIGHT(AA$5,1))),1,0)))</f>
        <v/>
      </c>
      <c r="AB28" s="232" t="str">
        <f t="array" aca="1" ref="AB28" ca="1">IF($C28="","",SUM(IF((INDIRECT($C28&amp;"!J23:J200")=$D$1)*(INDIRECT($C28&amp;"!I23:I200")="H")*(INDIRECT($C28&amp;"!M23:M200")="L")*(INDIRECT($C28&amp;"!K23:K200")=VALUE(LEFT(AB$5,1)))*(INDIRECT($C28&amp;"!L23:L200")=VALUE(RIGHT(AB$5,1))),1,0)))</f>
        <v/>
      </c>
      <c r="AC28" s="232" t="str">
        <f t="array" aca="1" ref="AC28" ca="1">IF($C28="","",SUM(IF((INDIRECT($C28&amp;"!J23:J200")=$D$1)*(INDIRECT($C28&amp;"!I23:I200")="H")*(INDIRECT($C28&amp;"!M23:M200")="L")*(INDIRECT($C28&amp;"!K23:K200")=VALUE(LEFT(AC$5,1)))*(INDIRECT($C28&amp;"!L23:L200")=VALUE(RIGHT(AC$5,1))),1,0)))</f>
        <v/>
      </c>
      <c r="AD28" s="232" t="str">
        <f t="array" aca="1" ref="AD28" ca="1">IF($C28="","",SUM(IF((INDIRECT($C28&amp;"!J23:J200")=$D$1)*(INDIRECT($C28&amp;"!I23:I200")="H")*(INDIRECT($C28&amp;"!M23:M200")="L")*(INDIRECT($C28&amp;"!K23:K200")=VALUE(LEFT(AD$5,1)))*(INDIRECT($C28&amp;"!L23:L200")=VALUE(RIGHT(AD$5,1))),1,0)))</f>
        <v/>
      </c>
      <c r="AE28" s="232" t="str">
        <f t="array" aca="1" ref="AE28" ca="1">IF($C28="","",SUM(IF((INDIRECT($C28&amp;"!J23:J200")=$D$1)*(INDIRECT($C28&amp;"!I23:I200")="H")*(INDIRECT($C28&amp;"!M23:M200")="L")*(INDIRECT($C28&amp;"!K23:K200")=VALUE(LEFT(AE$5,1)))*(INDIRECT($C28&amp;"!L23:L200")=VALUE(RIGHT(AE$5,1))),1,0)))</f>
        <v/>
      </c>
      <c r="AF28" s="232" t="str">
        <f t="array" aca="1" ref="AF28" ca="1">IF($C28="","",SUM(IF((INDIRECT($C28&amp;"!J23:J200")=$D$1)*(INDIRECT($C28&amp;"!I23:I200")="H")*(INDIRECT($C28&amp;"!M23:M200")="L")*(INDIRECT($C28&amp;"!K23:K200")=VALUE(LEFT(AF$5,1)))*(INDIRECT($C28&amp;"!L23:L200")=VALUE(RIGHT(AF$5,1))),1,0)))</f>
        <v/>
      </c>
      <c r="AG28" s="232" t="str">
        <f t="array" aca="1" ref="AG28" ca="1">IF($C28="","",SUM(IF((INDIRECT($C28&amp;"!J23:J200")=$D$1)*(INDIRECT($C28&amp;"!I23:I200")="H")*(INDIRECT($C28&amp;"!M23:M200")="L")*(INDIRECT($C28&amp;"!K23:K200")=VALUE(LEFT(AG$5,1)))*(INDIRECT($C28&amp;"!L23:L200")=VALUE(RIGHT(AG$5,1))),1,0)))</f>
        <v/>
      </c>
      <c r="AH28" s="233" t="str">
        <f t="array" aca="1" ref="AH28" ca="1">IF($C28="","",SUM(IF((INDIRECT($C28&amp;"!J23:J200")=$D$1)*(INDIRECT($C28&amp;"!I23:I200")="H")*(INDIRECT($C28&amp;"!M23:M200")="L"),1,0))-SUM(V28:AG28))</f>
        <v/>
      </c>
      <c r="AI28" s="230"/>
      <c r="AJ28" s="230"/>
      <c r="AK28" s="230"/>
      <c r="AL28" s="230"/>
      <c r="AM28" s="230"/>
      <c r="AN28" s="230"/>
      <c r="AO28" s="230"/>
      <c r="AP28" s="230"/>
      <c r="AQ28" s="230"/>
      <c r="AR28" s="230"/>
      <c r="AS28" s="230"/>
      <c r="AT28" s="230"/>
      <c r="AU28" s="230"/>
      <c r="AV28" s="230"/>
      <c r="AW28" s="230"/>
      <c r="AX28" s="230"/>
      <c r="AY28" s="230"/>
      <c r="AZ28" s="230"/>
      <c r="BA28" s="230"/>
      <c r="BB28" s="230"/>
      <c r="BC28" s="230"/>
      <c r="BD28" s="230"/>
      <c r="BE28" s="230"/>
      <c r="BF28" s="230"/>
      <c r="BG28" s="230"/>
    </row>
    <row r="29" spans="1:59" ht="15" hidden="1" thickBot="1">
      <c r="A29" s="235">
        <v>24</v>
      </c>
      <c r="B29" s="225" t="s">
        <v>32</v>
      </c>
      <c r="C29" s="225" t="s">
        <v>32</v>
      </c>
      <c r="D29" s="238" t="str">
        <f t="array" aca="1" ref="D29" ca="1">IF($C29="","",SUM(IF((INDIRECT($C29&amp;"!J23:J200")=$D$1)*(INDIRECT($C29&amp;"!I23:I200")="H")*(INDIRECT($C29&amp;"!M23:M200")="W")*(INDIRECT($C29&amp;"!K23:K200")=VALUE(LEFT(D$5,1)))*(INDIRECT($C29&amp;"!L23:L200")=VALUE(RIGHT(D$5,1))),1,0)))</f>
        <v/>
      </c>
      <c r="E29" s="239" t="str">
        <f t="array" aca="1" ref="E29" ca="1">IF($C29="","",SUM(IF((INDIRECT($C29&amp;"!J23:J200")=$D$1)*(INDIRECT($C29&amp;"!I23:I200")="H")*(INDIRECT($C29&amp;"!M23:M200")="W")*(INDIRECT($C29&amp;"!K23:K200")=VALUE(LEFT(E$5,1)))*(INDIRECT($C29&amp;"!L23:L200")=VALUE(RIGHT(E$5,1))),1,0)))</f>
        <v/>
      </c>
      <c r="F29" s="239" t="str">
        <f t="array" aca="1" ref="F29" ca="1">IF($C29="","",SUM(IF((INDIRECT($C29&amp;"!J23:J200")=$D$1)*(INDIRECT($C29&amp;"!I23:I200")="H")*(INDIRECT($C29&amp;"!M23:M200")="W")*(INDIRECT($C29&amp;"!K23:K200")=VALUE(LEFT(F$5,1)))*(INDIRECT($C29&amp;"!L23:L200")=VALUE(RIGHT(F$5,1))),1,0)))</f>
        <v/>
      </c>
      <c r="G29" s="239" t="str">
        <f t="array" aca="1" ref="G29" ca="1">IF($C29="","",SUM(IF((INDIRECT($C29&amp;"!J23:J200")=$D$1)*(INDIRECT($C29&amp;"!I23:I200")="H")*(INDIRECT($C29&amp;"!M23:M200")="W")*(INDIRECT($C29&amp;"!K23:K200")=VALUE(LEFT(G$5,1)))*(INDIRECT($C29&amp;"!L23:L200")=VALUE(RIGHT(G$5,1))),1,0)))</f>
        <v/>
      </c>
      <c r="H29" s="239" t="str">
        <f t="array" aca="1" ref="H29" ca="1">IF($C29="","",SUM(IF((INDIRECT($C29&amp;"!J23:J200")=$D$1)*(INDIRECT($C29&amp;"!I23:I200")="H")*(INDIRECT($C29&amp;"!M23:M200")="W")*(INDIRECT($C29&amp;"!K23:K200")=VALUE(LEFT(H$5,1)))*(INDIRECT($C29&amp;"!L23:L200")=VALUE(RIGHT(H$5,1))),1,0)))</f>
        <v/>
      </c>
      <c r="I29" s="239" t="str">
        <f t="array" aca="1" ref="I29" ca="1">IF($C29="","",SUM(IF((INDIRECT($C29&amp;"!J23:J200")=$D$1)*(INDIRECT($C29&amp;"!I23:I200")="H")*(INDIRECT($C29&amp;"!M23:M200")="W")*(INDIRECT($C29&amp;"!K23:K200")=VALUE(LEFT(I$5,1)))*(INDIRECT($C29&amp;"!L23:L200")=VALUE(RIGHT(I$5,1))),1,0)))</f>
        <v/>
      </c>
      <c r="J29" s="239" t="str">
        <f t="array" aca="1" ref="J29" ca="1">IF($C29="","",SUM(IF((INDIRECT($C29&amp;"!J23:J200")=$D$1)*(INDIRECT($C29&amp;"!I23:I200")="H")*(INDIRECT($C29&amp;"!M23:M200")="W")*(INDIRECT($C29&amp;"!K23:K200")=VALUE(LEFT(J$5,1)))*(INDIRECT($C29&amp;"!L23:L200")=VALUE(RIGHT(J$5,1))),1,0)))</f>
        <v/>
      </c>
      <c r="K29" s="239" t="str">
        <f t="array" aca="1" ref="K29" ca="1">IF($C29="","",SUM(IF((INDIRECT($C29&amp;"!J23:J200")=$D$1)*(INDIRECT($C29&amp;"!I23:I200")="H")*(INDIRECT($C29&amp;"!M23:M200")="W")*(INDIRECT($C29&amp;"!K23:K200")=VALUE(LEFT(K$5,1)))*(INDIRECT($C29&amp;"!L23:L200")=VALUE(RIGHT(K$5,1))),1,0)))</f>
        <v/>
      </c>
      <c r="L29" s="239" t="str">
        <f t="array" aca="1" ref="L29" ca="1">IF($C29="","",SUM(IF((INDIRECT($C29&amp;"!J23:J200")=$D$1)*(INDIRECT($C29&amp;"!I23:I200")="H")*(INDIRECT($C29&amp;"!M23:M200")="W")*(INDIRECT($C29&amp;"!K23:K200")=VALUE(LEFT(L$5,1)))*(INDIRECT($C29&amp;"!L23:L200")=VALUE(RIGHT(L$5,1))),1,0)))</f>
        <v/>
      </c>
      <c r="M29" s="239" t="str">
        <f t="array" aca="1" ref="M29" ca="1">IF($C29="","",SUM(IF((INDIRECT($C29&amp;"!J23:J200")=$D$1)*(INDIRECT($C29&amp;"!I23:I200")="H")*(INDIRECT($C29&amp;"!M23:M200")="W")*(INDIRECT($C29&amp;"!K23:K200")=VALUE(LEFT(M$5,1)))*(INDIRECT($C29&amp;"!L23:L200")=VALUE(RIGHT(M$5,1))),1,0)))</f>
        <v/>
      </c>
      <c r="N29" s="239" t="str">
        <f t="array" aca="1" ref="N29" ca="1">IF($C29="","",SUM(IF((INDIRECT($C29&amp;"!J23:J200")=$D$1)*(INDIRECT($C29&amp;"!I23:I200")="H")*(INDIRECT($C29&amp;"!M23:M200")="W")*(INDIRECT($C29&amp;"!K23:K200")=VALUE(LEFT(N$5,1)))*(INDIRECT($C29&amp;"!L23:L200")=VALUE(RIGHT(N$5,1))),1,0)))</f>
        <v/>
      </c>
      <c r="O29" s="239" t="str">
        <f t="array" aca="1" ref="O29" ca="1">IF($C29="","",SUM(IF((INDIRECT($C29&amp;"!J23:J200")=$D$1)*(INDIRECT($C29&amp;"!I23:I200")="H")*(INDIRECT($C29&amp;"!M23:M200")="W")*(INDIRECT($C29&amp;"!K23:K200")=VALUE(LEFT(O$5,1)))*(INDIRECT($C29&amp;"!L23:L200")=VALUE(RIGHT(O$5,1))),1,0)))</f>
        <v/>
      </c>
      <c r="P29" s="240" t="str">
        <f t="array" aca="1" ref="P29" ca="1">IF($C29="","",SUM(IF((INDIRECT($C29&amp;"!J23:J200")=$D$1)*(INDIRECT($C29&amp;"!I23:I200")="H")*(INDIRECT($C29&amp;"!M23:M200")="W"),1,0))-SUM(D29:O29))</f>
        <v/>
      </c>
      <c r="Q29" s="238" t="str">
        <f t="array" aca="1" ref="Q29" ca="1">IF($C29="","",SUM(IF((INDIRECT($C29&amp;"!J23:J200")=$D$1)*(INDIRECT($C29&amp;"!I23:I200")="H")*(INDIRECT($C29&amp;"!M23:M200")="D")*(INDIRECT($C29&amp;"!K23:K200")=VALUE(LEFT(Q$5,1)))*(INDIRECT($C29&amp;"!L23:L200")=VALUE(RIGHT(Q$5,1))),1,0)))</f>
        <v/>
      </c>
      <c r="R29" s="239" t="str">
        <f t="array" aca="1" ref="R29" ca="1">IF($C29="","",SUM(IF((INDIRECT($C29&amp;"!J23:J200")=$D$1)*(INDIRECT($C29&amp;"!I23:I200")="H")*(INDIRECT($C29&amp;"!M23:M200")="D")*(INDIRECT($C29&amp;"!K23:K200")=VALUE(LEFT(R$5,1)))*(INDIRECT($C29&amp;"!L23:L200")=VALUE(RIGHT(R$5,1))),1,0)))</f>
        <v/>
      </c>
      <c r="S29" s="239" t="str">
        <f t="array" aca="1" ref="S29" ca="1">IF($C29="","",SUM(IF((INDIRECT($C29&amp;"!J23:J200")=$D$1)*(INDIRECT($C29&amp;"!I23:I200")="H")*(INDIRECT($C29&amp;"!M23:M200")="D")*(INDIRECT($C29&amp;"!K23:K200")=VALUE(LEFT(S$5,1)))*(INDIRECT($C29&amp;"!L23:L200")=VALUE(RIGHT(S$5,1))),1,0)))</f>
        <v/>
      </c>
      <c r="T29" s="239" t="str">
        <f t="array" aca="1" ref="T29" ca="1">IF($C29="","",SUM(IF((INDIRECT($C29&amp;"!J23:J200")=$D$1)*(INDIRECT($C29&amp;"!I23:I200")="H")*(INDIRECT($C29&amp;"!M23:M200")="D")*(INDIRECT($C29&amp;"!K23:K200")=VALUE(LEFT(T$5,1)))*(INDIRECT($C29&amp;"!L23:L200")=VALUE(RIGHT(T$5,1))),1,0)))</f>
        <v/>
      </c>
      <c r="U29" s="240" t="str">
        <f t="array" aca="1" ref="U29" ca="1">IF($C29="","",SUM(IF((INDIRECT($C29&amp;"!J23:J200")=$D$1)*(INDIRECT($C29&amp;"!I23:I200")="H")*(INDIRECT($C29&amp;"!M23:M200")="D"),1,0))-SUM(Q29:T29))</f>
        <v/>
      </c>
      <c r="V29" s="238" t="str">
        <f t="array" aca="1" ref="V29" ca="1">IF($C29="","",SUM(IF((INDIRECT($C29&amp;"!J23:J200")=$D$1)*(INDIRECT($C29&amp;"!I23:I200")="H")*(INDIRECT($C29&amp;"!M23:M200")="L")*(INDIRECT($C29&amp;"!K23:K200")=VALUE(LEFT(V$5,1)))*(INDIRECT($C29&amp;"!L23:L200")=VALUE(RIGHT(V$5,1))),1,0)))</f>
        <v/>
      </c>
      <c r="W29" s="239" t="str">
        <f t="array" aca="1" ref="W29" ca="1">IF($C29="","",SUM(IF((INDIRECT($C29&amp;"!J23:J200")=$D$1)*(INDIRECT($C29&amp;"!I23:I200")="H")*(INDIRECT($C29&amp;"!M23:M200")="L")*(INDIRECT($C29&amp;"!K23:K200")=VALUE(LEFT(W$5,1)))*(INDIRECT($C29&amp;"!L23:L200")=VALUE(RIGHT(W$5,1))),1,0)))</f>
        <v/>
      </c>
      <c r="X29" s="239" t="str">
        <f t="array" aca="1" ref="X29" ca="1">IF($C29="","",SUM(IF((INDIRECT($C29&amp;"!J23:J200")=$D$1)*(INDIRECT($C29&amp;"!I23:I200")="H")*(INDIRECT($C29&amp;"!M23:M200")="L")*(INDIRECT($C29&amp;"!K23:K200")=VALUE(LEFT(X$5,1)))*(INDIRECT($C29&amp;"!L23:L200")=VALUE(RIGHT(X$5,1))),1,0)))</f>
        <v/>
      </c>
      <c r="Y29" s="239" t="str">
        <f t="array" aca="1" ref="Y29" ca="1">IF($C29="","",SUM(IF((INDIRECT($C29&amp;"!J23:J200")=$D$1)*(INDIRECT($C29&amp;"!I23:I200")="H")*(INDIRECT($C29&amp;"!M23:M200")="L")*(INDIRECT($C29&amp;"!K23:K200")=VALUE(LEFT(Y$5,1)))*(INDIRECT($C29&amp;"!L23:L200")=VALUE(RIGHT(Y$5,1))),1,0)))</f>
        <v/>
      </c>
      <c r="Z29" s="239" t="str">
        <f t="array" aca="1" ref="Z29" ca="1">IF($C29="","",SUM(IF((INDIRECT($C29&amp;"!J23:J200")=$D$1)*(INDIRECT($C29&amp;"!I23:I200")="H")*(INDIRECT($C29&amp;"!M23:M200")="L")*(INDIRECT($C29&amp;"!K23:K200")=VALUE(LEFT(Z$5,1)))*(INDIRECT($C29&amp;"!L23:L200")=VALUE(RIGHT(Z$5,1))),1,0)))</f>
        <v/>
      </c>
      <c r="AA29" s="239" t="str">
        <f t="array" aca="1" ref="AA29" ca="1">IF($C29="","",SUM(IF((INDIRECT($C29&amp;"!J23:J200")=$D$1)*(INDIRECT($C29&amp;"!I23:I200")="H")*(INDIRECT($C29&amp;"!M23:M200")="L")*(INDIRECT($C29&amp;"!K23:K200")=VALUE(LEFT(AA$5,1)))*(INDIRECT($C29&amp;"!L23:L200")=VALUE(RIGHT(AA$5,1))),1,0)))</f>
        <v/>
      </c>
      <c r="AB29" s="239" t="str">
        <f t="array" aca="1" ref="AB29" ca="1">IF($C29="","",SUM(IF((INDIRECT($C29&amp;"!J23:J200")=$D$1)*(INDIRECT($C29&amp;"!I23:I200")="H")*(INDIRECT($C29&amp;"!M23:M200")="L")*(INDIRECT($C29&amp;"!K23:K200")=VALUE(LEFT(AB$5,1)))*(INDIRECT($C29&amp;"!L23:L200")=VALUE(RIGHT(AB$5,1))),1,0)))</f>
        <v/>
      </c>
      <c r="AC29" s="239" t="str">
        <f t="array" aca="1" ref="AC29" ca="1">IF($C29="","",SUM(IF((INDIRECT($C29&amp;"!J23:J200")=$D$1)*(INDIRECT($C29&amp;"!I23:I200")="H")*(INDIRECT($C29&amp;"!M23:M200")="L")*(INDIRECT($C29&amp;"!K23:K200")=VALUE(LEFT(AC$5,1)))*(INDIRECT($C29&amp;"!L23:L200")=VALUE(RIGHT(AC$5,1))),1,0)))</f>
        <v/>
      </c>
      <c r="AD29" s="239" t="str">
        <f t="array" aca="1" ref="AD29" ca="1">IF($C29="","",SUM(IF((INDIRECT($C29&amp;"!J23:J200")=$D$1)*(INDIRECT($C29&amp;"!I23:I200")="H")*(INDIRECT($C29&amp;"!M23:M200")="L")*(INDIRECT($C29&amp;"!K23:K200")=VALUE(LEFT(AD$5,1)))*(INDIRECT($C29&amp;"!L23:L200")=VALUE(RIGHT(AD$5,1))),1,0)))</f>
        <v/>
      </c>
      <c r="AE29" s="239" t="str">
        <f t="array" aca="1" ref="AE29" ca="1">IF($C29="","",SUM(IF((INDIRECT($C29&amp;"!J23:J200")=$D$1)*(INDIRECT($C29&amp;"!I23:I200")="H")*(INDIRECT($C29&amp;"!M23:M200")="L")*(INDIRECT($C29&amp;"!K23:K200")=VALUE(LEFT(AE$5,1)))*(INDIRECT($C29&amp;"!L23:L200")=VALUE(RIGHT(AE$5,1))),1,0)))</f>
        <v/>
      </c>
      <c r="AF29" s="239" t="str">
        <f t="array" aca="1" ref="AF29" ca="1">IF($C29="","",SUM(IF((INDIRECT($C29&amp;"!J23:J200")=$D$1)*(INDIRECT($C29&amp;"!I23:I200")="H")*(INDIRECT($C29&amp;"!M23:M200")="L")*(INDIRECT($C29&amp;"!K23:K200")=VALUE(LEFT(AF$5,1)))*(INDIRECT($C29&amp;"!L23:L200")=VALUE(RIGHT(AF$5,1))),1,0)))</f>
        <v/>
      </c>
      <c r="AG29" s="239" t="str">
        <f t="array" aca="1" ref="AG29" ca="1">IF($C29="","",SUM(IF((INDIRECT($C29&amp;"!J23:J200")=$D$1)*(INDIRECT($C29&amp;"!I23:I200")="H")*(INDIRECT($C29&amp;"!M23:M200")="L")*(INDIRECT($C29&amp;"!K23:K200")=VALUE(LEFT(AG$5,1)))*(INDIRECT($C29&amp;"!L23:L200")=VALUE(RIGHT(AG$5,1))),1,0)))</f>
        <v/>
      </c>
      <c r="AH29" s="240" t="str">
        <f t="array" aca="1" ref="AH29" ca="1">IF($C29="","",SUM(IF((INDIRECT($C29&amp;"!J23:J200")=$D$1)*(INDIRECT($C29&amp;"!I23:I200")="H")*(INDIRECT($C29&amp;"!M23:M200")="L"),1,0))-SUM(V29:AG29))</f>
        <v/>
      </c>
      <c r="AI29" s="230"/>
      <c r="AJ29" s="230"/>
      <c r="AK29" s="230"/>
      <c r="AL29" s="230"/>
      <c r="AM29" s="230"/>
      <c r="AN29" s="230"/>
      <c r="AO29" s="230"/>
      <c r="AP29" s="230"/>
      <c r="AQ29" s="230"/>
      <c r="AR29" s="230"/>
      <c r="AS29" s="230"/>
      <c r="AT29" s="230"/>
      <c r="AU29" s="230"/>
      <c r="AV29" s="230"/>
      <c r="AW29" s="230"/>
      <c r="AX29" s="230"/>
      <c r="AY29" s="230"/>
      <c r="AZ29" s="230"/>
      <c r="BA29" s="230"/>
      <c r="BB29" s="230"/>
      <c r="BC29" s="230"/>
      <c r="BD29" s="230"/>
      <c r="BE29" s="230"/>
      <c r="BF29" s="230"/>
      <c r="BG29" s="230"/>
    </row>
    <row r="30" spans="1:59">
      <c r="B30" s="241" t="e">
        <f ca="1">SUM(D30:AH30)</f>
        <v>#REF!</v>
      </c>
      <c r="D30" s="242">
        <f ca="1">SUM(D6:D29)</f>
        <v>3</v>
      </c>
      <c r="E30" s="243">
        <f t="shared" ref="E30:AH30" ca="1" si="0">SUM(E6:E29)</f>
        <v>29</v>
      </c>
      <c r="F30" s="243">
        <f t="shared" ca="1" si="0"/>
        <v>46</v>
      </c>
      <c r="G30" s="243">
        <f t="shared" ca="1" si="0"/>
        <v>9</v>
      </c>
      <c r="H30" s="243">
        <f t="shared" ca="1" si="0"/>
        <v>16</v>
      </c>
      <c r="I30" s="243">
        <f t="shared" ca="1" si="0"/>
        <v>12</v>
      </c>
      <c r="J30" s="243">
        <f t="shared" ca="1" si="0"/>
        <v>8</v>
      </c>
      <c r="K30" s="243">
        <f t="shared" ca="1" si="0"/>
        <v>7</v>
      </c>
      <c r="L30" s="243">
        <f t="shared" ca="1" si="0"/>
        <v>5</v>
      </c>
      <c r="M30" s="243">
        <f t="shared" ca="1" si="0"/>
        <v>2</v>
      </c>
      <c r="N30" s="243">
        <f t="shared" ca="1" si="0"/>
        <v>2</v>
      </c>
      <c r="O30" s="243">
        <f t="shared" ca="1" si="0"/>
        <v>1</v>
      </c>
      <c r="P30" s="244">
        <f t="shared" ca="1" si="0"/>
        <v>42</v>
      </c>
      <c r="Q30" s="242" t="e">
        <f t="shared" ca="1" si="0"/>
        <v>#REF!</v>
      </c>
      <c r="R30" s="243" t="e">
        <f t="shared" ca="1" si="0"/>
        <v>#REF!</v>
      </c>
      <c r="S30" s="243" t="e">
        <f t="shared" ca="1" si="0"/>
        <v>#REF!</v>
      </c>
      <c r="T30" s="243" t="e">
        <f t="shared" ca="1" si="0"/>
        <v>#REF!</v>
      </c>
      <c r="U30" s="244" t="e">
        <f t="shared" ca="1" si="0"/>
        <v>#REF!</v>
      </c>
      <c r="V30" s="242" t="e">
        <f t="shared" ca="1" si="0"/>
        <v>#REF!</v>
      </c>
      <c r="W30" s="243" t="e">
        <f t="shared" ca="1" si="0"/>
        <v>#REF!</v>
      </c>
      <c r="X30" s="243" t="e">
        <f t="shared" ca="1" si="0"/>
        <v>#REF!</v>
      </c>
      <c r="Y30" s="243" t="e">
        <f t="shared" ca="1" si="0"/>
        <v>#REF!</v>
      </c>
      <c r="Z30" s="243" t="e">
        <f t="shared" ca="1" si="0"/>
        <v>#REF!</v>
      </c>
      <c r="AA30" s="243" t="e">
        <f t="shared" ca="1" si="0"/>
        <v>#REF!</v>
      </c>
      <c r="AB30" s="243" t="e">
        <f t="shared" ca="1" si="0"/>
        <v>#REF!</v>
      </c>
      <c r="AC30" s="243" t="e">
        <f t="shared" ca="1" si="0"/>
        <v>#REF!</v>
      </c>
      <c r="AD30" s="243" t="e">
        <f t="shared" ca="1" si="0"/>
        <v>#REF!</v>
      </c>
      <c r="AE30" s="243" t="e">
        <f t="shared" ca="1" si="0"/>
        <v>#REF!</v>
      </c>
      <c r="AF30" s="243" t="e">
        <f t="shared" ca="1" si="0"/>
        <v>#REF!</v>
      </c>
      <c r="AG30" s="243" t="e">
        <f t="shared" ca="1" si="0"/>
        <v>#REF!</v>
      </c>
      <c r="AH30" s="244" t="e">
        <f t="shared" ca="1" si="0"/>
        <v>#REF!</v>
      </c>
      <c r="AI30" s="230"/>
      <c r="AJ30" s="230"/>
      <c r="AK30" s="230"/>
      <c r="AL30" s="230"/>
      <c r="AM30" s="230"/>
      <c r="AN30" s="230"/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0"/>
      <c r="BE30" s="230"/>
      <c r="BF30" s="230"/>
      <c r="BG30" s="230"/>
    </row>
    <row r="31" spans="1:59">
      <c r="B31" s="245" t="e">
        <f ca="1">SUM(D31:AH31)</f>
        <v>#REF!</v>
      </c>
      <c r="D31" s="246">
        <f ca="1">D30/$D$2</f>
        <v>6.4655172413793103E-3</v>
      </c>
      <c r="E31" s="247">
        <f t="shared" ref="E31:AH31" ca="1" si="1">E30/$D$2</f>
        <v>6.25E-2</v>
      </c>
      <c r="F31" s="247">
        <f t="shared" ca="1" si="1"/>
        <v>9.9137931034482762E-2</v>
      </c>
      <c r="G31" s="247">
        <f t="shared" ca="1" si="1"/>
        <v>1.9396551724137932E-2</v>
      </c>
      <c r="H31" s="247">
        <f t="shared" ca="1" si="1"/>
        <v>3.4482758620689655E-2</v>
      </c>
      <c r="I31" s="247">
        <f t="shared" ca="1" si="1"/>
        <v>2.5862068965517241E-2</v>
      </c>
      <c r="J31" s="247">
        <f t="shared" ca="1" si="1"/>
        <v>1.7241379310344827E-2</v>
      </c>
      <c r="K31" s="247">
        <f t="shared" ca="1" si="1"/>
        <v>1.5086206896551725E-2</v>
      </c>
      <c r="L31" s="247">
        <f t="shared" ca="1" si="1"/>
        <v>1.0775862068965518E-2</v>
      </c>
      <c r="M31" s="247">
        <f t="shared" ca="1" si="1"/>
        <v>4.3103448275862068E-3</v>
      </c>
      <c r="N31" s="247">
        <f t="shared" ca="1" si="1"/>
        <v>4.3103448275862068E-3</v>
      </c>
      <c r="O31" s="247">
        <f t="shared" ca="1" si="1"/>
        <v>2.1551724137931034E-3</v>
      </c>
      <c r="P31" s="248">
        <f t="shared" ca="1" si="1"/>
        <v>9.0517241379310345E-2</v>
      </c>
      <c r="Q31" s="246" t="e">
        <f t="shared" ca="1" si="1"/>
        <v>#REF!</v>
      </c>
      <c r="R31" s="247" t="e">
        <f t="shared" ca="1" si="1"/>
        <v>#REF!</v>
      </c>
      <c r="S31" s="247" t="e">
        <f t="shared" ca="1" si="1"/>
        <v>#REF!</v>
      </c>
      <c r="T31" s="247" t="e">
        <f t="shared" ca="1" si="1"/>
        <v>#REF!</v>
      </c>
      <c r="U31" s="248" t="e">
        <f t="shared" ca="1" si="1"/>
        <v>#REF!</v>
      </c>
      <c r="V31" s="246" t="e">
        <f t="shared" ca="1" si="1"/>
        <v>#REF!</v>
      </c>
      <c r="W31" s="247" t="e">
        <f t="shared" ca="1" si="1"/>
        <v>#REF!</v>
      </c>
      <c r="X31" s="247" t="e">
        <f t="shared" ca="1" si="1"/>
        <v>#REF!</v>
      </c>
      <c r="Y31" s="247" t="e">
        <f t="shared" ca="1" si="1"/>
        <v>#REF!</v>
      </c>
      <c r="Z31" s="247" t="e">
        <f t="shared" ca="1" si="1"/>
        <v>#REF!</v>
      </c>
      <c r="AA31" s="247" t="e">
        <f t="shared" ca="1" si="1"/>
        <v>#REF!</v>
      </c>
      <c r="AB31" s="247" t="e">
        <f t="shared" ca="1" si="1"/>
        <v>#REF!</v>
      </c>
      <c r="AC31" s="247" t="e">
        <f t="shared" ca="1" si="1"/>
        <v>#REF!</v>
      </c>
      <c r="AD31" s="247" t="e">
        <f t="shared" ca="1" si="1"/>
        <v>#REF!</v>
      </c>
      <c r="AE31" s="247" t="e">
        <f t="shared" ca="1" si="1"/>
        <v>#REF!</v>
      </c>
      <c r="AF31" s="247" t="e">
        <f t="shared" ca="1" si="1"/>
        <v>#REF!</v>
      </c>
      <c r="AG31" s="247" t="e">
        <f t="shared" ca="1" si="1"/>
        <v>#REF!</v>
      </c>
      <c r="AH31" s="248" t="e">
        <f t="shared" ca="1" si="1"/>
        <v>#REF!</v>
      </c>
      <c r="AI31" s="230"/>
      <c r="AJ31" s="230"/>
      <c r="AK31" s="230"/>
      <c r="AL31" s="230"/>
      <c r="AM31" s="230"/>
      <c r="AN31" s="230"/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0"/>
      <c r="BE31" s="230"/>
      <c r="BF31" s="230"/>
      <c r="BG31" s="230"/>
    </row>
    <row r="32" spans="1:59" ht="14.25" thickBot="1">
      <c r="B32" s="249"/>
      <c r="D32" s="250" t="str">
        <f>D5</f>
        <v>1-0</v>
      </c>
      <c r="E32" s="251" t="str">
        <f t="shared" ref="E32:AH32" si="2">E5</f>
        <v>2-0</v>
      </c>
      <c r="F32" s="251" t="str">
        <f t="shared" si="2"/>
        <v>2-1</v>
      </c>
      <c r="G32" s="251" t="str">
        <f t="shared" si="2"/>
        <v>3-0</v>
      </c>
      <c r="H32" s="251" t="str">
        <f t="shared" si="2"/>
        <v>3-1</v>
      </c>
      <c r="I32" s="251" t="str">
        <f t="shared" si="2"/>
        <v>3-2</v>
      </c>
      <c r="J32" s="251" t="str">
        <f t="shared" si="2"/>
        <v>4-0</v>
      </c>
      <c r="K32" s="251" t="str">
        <f t="shared" si="2"/>
        <v>4-1</v>
      </c>
      <c r="L32" s="251" t="str">
        <f t="shared" si="2"/>
        <v>4-2</v>
      </c>
      <c r="M32" s="251" t="str">
        <f t="shared" si="2"/>
        <v>5-0</v>
      </c>
      <c r="N32" s="251" t="str">
        <f t="shared" si="2"/>
        <v>5-1</v>
      </c>
      <c r="O32" s="251" t="str">
        <f t="shared" si="2"/>
        <v>5-2</v>
      </c>
      <c r="P32" s="252" t="str">
        <f t="shared" si="2"/>
        <v>HO</v>
      </c>
      <c r="Q32" s="250" t="str">
        <f t="shared" si="2"/>
        <v>0-0</v>
      </c>
      <c r="R32" s="251" t="str">
        <f t="shared" si="2"/>
        <v>1-1</v>
      </c>
      <c r="S32" s="251" t="str">
        <f t="shared" si="2"/>
        <v>2-2</v>
      </c>
      <c r="T32" s="251" t="str">
        <f t="shared" si="2"/>
        <v>3-3</v>
      </c>
      <c r="U32" s="252" t="str">
        <f t="shared" si="2"/>
        <v>DO</v>
      </c>
      <c r="V32" s="250" t="str">
        <f t="shared" si="2"/>
        <v>0-1</v>
      </c>
      <c r="W32" s="251" t="str">
        <f t="shared" si="2"/>
        <v>0-2</v>
      </c>
      <c r="X32" s="251" t="str">
        <f t="shared" si="2"/>
        <v>1-2</v>
      </c>
      <c r="Y32" s="251" t="str">
        <f t="shared" si="2"/>
        <v>0-3</v>
      </c>
      <c r="Z32" s="251" t="str">
        <f t="shared" si="2"/>
        <v>1-3</v>
      </c>
      <c r="AA32" s="251" t="str">
        <f t="shared" si="2"/>
        <v>2-3</v>
      </c>
      <c r="AB32" s="251" t="str">
        <f t="shared" si="2"/>
        <v>0-4</v>
      </c>
      <c r="AC32" s="251" t="str">
        <f t="shared" si="2"/>
        <v>1-4</v>
      </c>
      <c r="AD32" s="251" t="str">
        <f t="shared" si="2"/>
        <v>2-4</v>
      </c>
      <c r="AE32" s="251" t="str">
        <f t="shared" si="2"/>
        <v>0-5</v>
      </c>
      <c r="AF32" s="251" t="str">
        <f t="shared" si="2"/>
        <v>1-5</v>
      </c>
      <c r="AG32" s="251" t="str">
        <f t="shared" si="2"/>
        <v>2-5</v>
      </c>
      <c r="AH32" s="252" t="str">
        <f t="shared" si="2"/>
        <v>AO</v>
      </c>
      <c r="AI32" s="230"/>
      <c r="AJ32" s="230"/>
      <c r="AK32" s="230"/>
      <c r="AL32" s="230"/>
      <c r="AM32" s="230"/>
      <c r="AN32" s="230"/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0"/>
      <c r="BE32" s="230"/>
      <c r="BF32" s="230"/>
      <c r="BG32" s="230"/>
    </row>
    <row r="33" spans="24:59"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0"/>
      <c r="AN33" s="230"/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0"/>
      <c r="BE33" s="230"/>
      <c r="BF33" s="230"/>
      <c r="BG33" s="230"/>
    </row>
    <row r="34" spans="24:59"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</row>
    <row r="35" spans="24:59">
      <c r="X35" s="230"/>
      <c r="Y35" s="230"/>
      <c r="Z35" s="230"/>
      <c r="AA35" s="230"/>
      <c r="AB35" s="230"/>
      <c r="AC35" s="230"/>
      <c r="AD35" s="230"/>
      <c r="AE35" s="230"/>
      <c r="AF35" s="230"/>
      <c r="AG35" s="230"/>
      <c r="AH35" s="230"/>
      <c r="AI35" s="230"/>
      <c r="AJ35" s="230"/>
      <c r="AK35" s="230"/>
      <c r="AL35" s="230"/>
      <c r="AM35" s="230"/>
      <c r="AN35" s="230"/>
      <c r="AO35" s="230"/>
      <c r="AP35" s="230"/>
      <c r="AQ35" s="230"/>
      <c r="AR35" s="230"/>
      <c r="AS35" s="230"/>
      <c r="AT35" s="230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</row>
    <row r="36" spans="24:59">
      <c r="X36" s="230"/>
      <c r="Y36" s="230"/>
      <c r="Z36" s="230"/>
      <c r="AA36" s="230"/>
      <c r="AB36" s="230"/>
      <c r="AC36" s="230"/>
      <c r="AD36" s="230"/>
      <c r="AE36" s="230"/>
      <c r="AF36" s="230"/>
      <c r="AG36" s="230"/>
      <c r="AH36" s="230"/>
      <c r="AI36" s="230"/>
      <c r="AJ36" s="230"/>
      <c r="AK36" s="230"/>
      <c r="AL36" s="230"/>
      <c r="AM36" s="230"/>
      <c r="AN36" s="230"/>
      <c r="AO36" s="230"/>
      <c r="AP36" s="230"/>
      <c r="AQ36" s="230"/>
      <c r="AR36" s="230"/>
      <c r="AS36" s="230"/>
      <c r="AT36" s="230"/>
      <c r="AU36" s="230"/>
      <c r="AV36" s="230"/>
      <c r="AW36" s="230"/>
      <c r="AX36" s="230"/>
      <c r="AY36" s="230"/>
      <c r="AZ36" s="230"/>
      <c r="BA36" s="230"/>
      <c r="BB36" s="230"/>
      <c r="BC36" s="230"/>
      <c r="BD36" s="230"/>
      <c r="BE36" s="230"/>
      <c r="BF36" s="230"/>
      <c r="BG36" s="230"/>
    </row>
    <row r="37" spans="24:59"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0"/>
      <c r="AI37" s="230"/>
      <c r="AJ37" s="230"/>
      <c r="AK37" s="230"/>
      <c r="AL37" s="230"/>
      <c r="AM37" s="230"/>
      <c r="AN37" s="230"/>
      <c r="AO37" s="230"/>
      <c r="AP37" s="230"/>
      <c r="AQ37" s="230"/>
      <c r="AR37" s="230"/>
      <c r="AS37" s="230"/>
      <c r="AT37" s="230"/>
      <c r="AU37" s="230"/>
      <c r="AV37" s="230"/>
      <c r="AW37" s="230"/>
      <c r="AX37" s="230"/>
      <c r="AY37" s="230"/>
      <c r="AZ37" s="230"/>
      <c r="BA37" s="230"/>
      <c r="BB37" s="230"/>
      <c r="BC37" s="230"/>
      <c r="BD37" s="230"/>
      <c r="BE37" s="230"/>
      <c r="BF37" s="230"/>
      <c r="BG37" s="230"/>
    </row>
    <row r="38" spans="24:59"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0"/>
      <c r="AI38" s="230"/>
      <c r="AJ38" s="230"/>
      <c r="AK38" s="230"/>
      <c r="AL38" s="230"/>
      <c r="AM38" s="230"/>
      <c r="AN38" s="230"/>
      <c r="AO38" s="230"/>
      <c r="AP38" s="230"/>
      <c r="AQ38" s="230"/>
      <c r="AR38" s="230"/>
      <c r="AS38" s="230"/>
      <c r="AT38" s="230"/>
      <c r="AU38" s="230"/>
      <c r="AV38" s="230"/>
      <c r="AW38" s="230"/>
      <c r="AX38" s="230"/>
      <c r="AY38" s="230"/>
      <c r="AZ38" s="230"/>
      <c r="BA38" s="230"/>
      <c r="BB38" s="230"/>
      <c r="BC38" s="230"/>
      <c r="BD38" s="230"/>
      <c r="BE38" s="230"/>
      <c r="BF38" s="230"/>
      <c r="BG38" s="230"/>
    </row>
    <row r="39" spans="24:59"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</row>
    <row r="40" spans="24:59"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0"/>
      <c r="AJ40" s="230"/>
      <c r="AK40" s="230"/>
      <c r="AL40" s="230"/>
      <c r="AM40" s="230"/>
      <c r="AN40" s="230"/>
      <c r="AO40" s="230"/>
      <c r="AP40" s="230"/>
      <c r="AQ40" s="230"/>
      <c r="AR40" s="230"/>
      <c r="AS40" s="230"/>
      <c r="AT40" s="230"/>
      <c r="AU40" s="230"/>
      <c r="AV40" s="230"/>
      <c r="AW40" s="230"/>
      <c r="AX40" s="230"/>
      <c r="AY40" s="230"/>
      <c r="AZ40" s="230"/>
      <c r="BA40" s="230"/>
      <c r="BB40" s="230"/>
      <c r="BC40" s="230"/>
      <c r="BD40" s="230"/>
      <c r="BE40" s="230"/>
      <c r="BF40" s="230"/>
      <c r="BG40" s="230"/>
    </row>
    <row r="41" spans="24:59"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0"/>
      <c r="AM41" s="230"/>
      <c r="AN41" s="230"/>
      <c r="AO41" s="230"/>
      <c r="AP41" s="230"/>
      <c r="AQ41" s="230"/>
      <c r="AR41" s="230"/>
      <c r="AS41" s="230"/>
      <c r="AT41" s="230"/>
      <c r="AU41" s="230"/>
      <c r="AV41" s="230"/>
      <c r="AW41" s="230"/>
      <c r="AX41" s="230"/>
      <c r="AY41" s="230"/>
      <c r="AZ41" s="230"/>
      <c r="BA41" s="230"/>
      <c r="BB41" s="230"/>
      <c r="BC41" s="230"/>
      <c r="BD41" s="230"/>
      <c r="BE41" s="230"/>
      <c r="BF41" s="230"/>
      <c r="BG41" s="230"/>
    </row>
    <row r="42" spans="24:59"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30"/>
      <c r="AJ42" s="230"/>
      <c r="AK42" s="230"/>
      <c r="AL42" s="230"/>
      <c r="AM42" s="230"/>
      <c r="AN42" s="230"/>
      <c r="AO42" s="230"/>
      <c r="AP42" s="230"/>
      <c r="AQ42" s="230"/>
      <c r="AR42" s="230"/>
      <c r="AS42" s="230"/>
      <c r="AT42" s="230"/>
      <c r="AU42" s="230"/>
      <c r="AV42" s="230"/>
      <c r="AW42" s="230"/>
      <c r="AX42" s="230"/>
      <c r="AY42" s="230"/>
      <c r="AZ42" s="230"/>
      <c r="BA42" s="230"/>
      <c r="BB42" s="230"/>
      <c r="BC42" s="230"/>
      <c r="BD42" s="230"/>
      <c r="BE42" s="230"/>
      <c r="BF42" s="230"/>
      <c r="BG42" s="230"/>
    </row>
    <row r="43" spans="24:59"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0"/>
      <c r="AM43" s="230"/>
      <c r="AN43" s="230"/>
      <c r="AO43" s="230"/>
      <c r="AP43" s="230"/>
      <c r="AQ43" s="230"/>
      <c r="AR43" s="230"/>
      <c r="AS43" s="230"/>
      <c r="AT43" s="230"/>
      <c r="AU43" s="230"/>
      <c r="AV43" s="230"/>
      <c r="AW43" s="230"/>
      <c r="AX43" s="230"/>
      <c r="AY43" s="230"/>
      <c r="AZ43" s="230"/>
      <c r="BA43" s="230"/>
      <c r="BB43" s="230"/>
      <c r="BC43" s="230"/>
      <c r="BD43" s="230"/>
      <c r="BE43" s="230"/>
      <c r="BF43" s="230"/>
      <c r="BG43" s="230"/>
    </row>
    <row r="44" spans="24:59"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</row>
    <row r="45" spans="24:59">
      <c r="X45" s="230"/>
      <c r="Y45" s="230"/>
      <c r="Z45" s="230"/>
      <c r="AA45" s="230"/>
      <c r="AB45" s="230"/>
      <c r="AC45" s="230"/>
      <c r="AD45" s="230"/>
      <c r="AE45" s="230"/>
      <c r="AF45" s="230"/>
      <c r="AG45" s="230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0"/>
      <c r="AS45" s="230"/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</row>
    <row r="46" spans="24:59">
      <c r="X46" s="230"/>
      <c r="Y46" s="230"/>
      <c r="Z46" s="230"/>
      <c r="AA46" s="230"/>
      <c r="AB46" s="230"/>
      <c r="AC46" s="230"/>
      <c r="AD46" s="230"/>
      <c r="AE46" s="230"/>
      <c r="AF46" s="230"/>
      <c r="AG46" s="230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0"/>
      <c r="AS46" s="230"/>
      <c r="AT46" s="230"/>
      <c r="AU46" s="230"/>
      <c r="AV46" s="230"/>
      <c r="AW46" s="230"/>
      <c r="AX46" s="230"/>
      <c r="AY46" s="230"/>
      <c r="AZ46" s="230"/>
      <c r="BA46" s="230"/>
      <c r="BB46" s="230"/>
      <c r="BC46" s="230"/>
      <c r="BD46" s="230"/>
      <c r="BE46" s="230"/>
      <c r="BF46" s="230"/>
      <c r="BG46" s="230"/>
    </row>
    <row r="47" spans="24:59">
      <c r="X47" s="230"/>
      <c r="Y47" s="230"/>
      <c r="Z47" s="230"/>
      <c r="AA47" s="230"/>
      <c r="AB47" s="230"/>
      <c r="AC47" s="230"/>
      <c r="AD47" s="230"/>
      <c r="AE47" s="230"/>
      <c r="AF47" s="230"/>
      <c r="AG47" s="230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0"/>
      <c r="AS47" s="230"/>
      <c r="AT47" s="230"/>
      <c r="AU47" s="230"/>
      <c r="AV47" s="230"/>
      <c r="AW47" s="230"/>
      <c r="AX47" s="230"/>
      <c r="AY47" s="230"/>
      <c r="AZ47" s="230"/>
      <c r="BA47" s="230"/>
      <c r="BB47" s="230"/>
      <c r="BC47" s="230"/>
      <c r="BD47" s="230"/>
      <c r="BE47" s="230"/>
      <c r="BF47" s="230"/>
      <c r="BG47" s="230"/>
    </row>
    <row r="48" spans="24:59"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0"/>
      <c r="AS48" s="230"/>
      <c r="AT48" s="230"/>
      <c r="AU48" s="230"/>
      <c r="AV48" s="230"/>
      <c r="AW48" s="230"/>
      <c r="AX48" s="230"/>
      <c r="AY48" s="230"/>
      <c r="AZ48" s="230"/>
      <c r="BA48" s="230"/>
      <c r="BB48" s="230"/>
      <c r="BC48" s="230"/>
      <c r="BD48" s="230"/>
      <c r="BE48" s="230"/>
      <c r="BF48" s="230"/>
      <c r="BG48" s="230"/>
    </row>
    <row r="49" spans="24:59">
      <c r="X49" s="230"/>
      <c r="Y49" s="230"/>
      <c r="Z49" s="230"/>
      <c r="AA49" s="230"/>
      <c r="AB49" s="230"/>
      <c r="AC49" s="230"/>
      <c r="AD49" s="230"/>
      <c r="AE49" s="230"/>
      <c r="AF49" s="230"/>
      <c r="AG49" s="230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0"/>
      <c r="AS49" s="230"/>
      <c r="AT49" s="230"/>
      <c r="AU49" s="230"/>
      <c r="AV49" s="230"/>
      <c r="AW49" s="230"/>
      <c r="AX49" s="230"/>
      <c r="AY49" s="230"/>
      <c r="AZ49" s="230"/>
      <c r="BA49" s="230"/>
      <c r="BB49" s="230"/>
      <c r="BC49" s="230"/>
      <c r="BD49" s="230"/>
      <c r="BE49" s="230"/>
      <c r="BF49" s="230"/>
      <c r="BG49" s="230"/>
    </row>
    <row r="50" spans="24:59">
      <c r="X50" s="230"/>
      <c r="Y50" s="230"/>
      <c r="Z50" s="230"/>
      <c r="AA50" s="230"/>
      <c r="AB50" s="230"/>
      <c r="AC50" s="230"/>
      <c r="AD50" s="230"/>
      <c r="AE50" s="230"/>
      <c r="AF50" s="230"/>
      <c r="AG50" s="230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0"/>
      <c r="AS50" s="230"/>
      <c r="AT50" s="230"/>
      <c r="AU50" s="230"/>
      <c r="AV50" s="230"/>
      <c r="AW50" s="230"/>
      <c r="AX50" s="230"/>
      <c r="AY50" s="230"/>
      <c r="AZ50" s="230"/>
      <c r="BA50" s="230"/>
      <c r="BB50" s="230"/>
      <c r="BC50" s="230"/>
      <c r="BD50" s="230"/>
      <c r="BE50" s="230"/>
      <c r="BF50" s="230"/>
      <c r="BG50" s="230"/>
    </row>
    <row r="51" spans="24:59">
      <c r="X51" s="230"/>
      <c r="Y51" s="230"/>
      <c r="Z51" s="230"/>
      <c r="AA51" s="230"/>
      <c r="AB51" s="230"/>
      <c r="AC51" s="230"/>
      <c r="AD51" s="230"/>
      <c r="AE51" s="230"/>
      <c r="AF51" s="230"/>
      <c r="AG51" s="230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0"/>
      <c r="AS51" s="230"/>
      <c r="AT51" s="230"/>
      <c r="AU51" s="230"/>
      <c r="AV51" s="230"/>
      <c r="AW51" s="230"/>
      <c r="AX51" s="230"/>
      <c r="AY51" s="230"/>
      <c r="AZ51" s="230"/>
      <c r="BA51" s="230"/>
      <c r="BB51" s="230"/>
      <c r="BC51" s="230"/>
      <c r="BD51" s="230"/>
      <c r="BE51" s="230"/>
      <c r="BF51" s="230"/>
      <c r="BG51" s="230"/>
    </row>
    <row r="52" spans="24:59">
      <c r="X52" s="230"/>
      <c r="Y52" s="230"/>
      <c r="Z52" s="230"/>
      <c r="AA52" s="230"/>
      <c r="AB52" s="230"/>
      <c r="AC52" s="230"/>
      <c r="AD52" s="230"/>
      <c r="AE52" s="230"/>
      <c r="AF52" s="230"/>
      <c r="AG52" s="230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0"/>
      <c r="AS52" s="230"/>
      <c r="AT52" s="230"/>
      <c r="AU52" s="230"/>
      <c r="AV52" s="230"/>
      <c r="AW52" s="230"/>
      <c r="AX52" s="230"/>
      <c r="AY52" s="230"/>
      <c r="AZ52" s="230"/>
      <c r="BA52" s="230"/>
      <c r="BB52" s="230"/>
      <c r="BC52" s="230"/>
      <c r="BD52" s="230"/>
      <c r="BE52" s="230"/>
      <c r="BF52" s="230"/>
      <c r="BG52" s="230"/>
    </row>
    <row r="53" spans="24:59">
      <c r="X53" s="230"/>
      <c r="Y53" s="230"/>
      <c r="Z53" s="230"/>
      <c r="AA53" s="230"/>
      <c r="AB53" s="230"/>
      <c r="AC53" s="230"/>
      <c r="AD53" s="230"/>
      <c r="AE53" s="230"/>
      <c r="AF53" s="230"/>
      <c r="AG53" s="230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0"/>
      <c r="AS53" s="230"/>
      <c r="AT53" s="230"/>
      <c r="AU53" s="230"/>
      <c r="AV53" s="230"/>
      <c r="AW53" s="230"/>
      <c r="AX53" s="230"/>
      <c r="AY53" s="230"/>
      <c r="AZ53" s="230"/>
      <c r="BA53" s="230"/>
      <c r="BB53" s="230"/>
      <c r="BC53" s="230"/>
      <c r="BD53" s="230"/>
      <c r="BE53" s="230"/>
      <c r="BF53" s="230"/>
      <c r="BG53" s="230"/>
    </row>
    <row r="54" spans="24:59">
      <c r="X54" s="230"/>
      <c r="Y54" s="230"/>
      <c r="Z54" s="230"/>
      <c r="AA54" s="230"/>
      <c r="AB54" s="230"/>
      <c r="AC54" s="230"/>
      <c r="AD54" s="230"/>
      <c r="AE54" s="230"/>
      <c r="AF54" s="230"/>
      <c r="AG54" s="230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0"/>
      <c r="AS54" s="230"/>
      <c r="AT54" s="230"/>
      <c r="AU54" s="230"/>
      <c r="AV54" s="230"/>
      <c r="AW54" s="230"/>
      <c r="AX54" s="230"/>
      <c r="AY54" s="230"/>
      <c r="AZ54" s="230"/>
      <c r="BA54" s="230"/>
      <c r="BB54" s="230"/>
      <c r="BC54" s="230"/>
      <c r="BD54" s="230"/>
      <c r="BE54" s="230"/>
      <c r="BF54" s="230"/>
      <c r="BG54" s="230"/>
    </row>
    <row r="55" spans="24:59">
      <c r="X55" s="230"/>
      <c r="Y55" s="230"/>
      <c r="Z55" s="230"/>
      <c r="AA55" s="230"/>
      <c r="AB55" s="230"/>
      <c r="AC55" s="230"/>
      <c r="AD55" s="230"/>
      <c r="AE55" s="230"/>
      <c r="AF55" s="230"/>
      <c r="AG55" s="230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0"/>
      <c r="AS55" s="230"/>
      <c r="AT55" s="230"/>
      <c r="AU55" s="230"/>
      <c r="AV55" s="230"/>
      <c r="AW55" s="230"/>
      <c r="AX55" s="230"/>
      <c r="AY55" s="230"/>
      <c r="AZ55" s="230"/>
      <c r="BA55" s="230"/>
      <c r="BB55" s="230"/>
      <c r="BC55" s="230"/>
      <c r="BD55" s="230"/>
      <c r="BE55" s="230"/>
      <c r="BF55" s="230"/>
      <c r="BG55" s="230"/>
    </row>
    <row r="56" spans="24:59">
      <c r="X56" s="230"/>
      <c r="Y56" s="230"/>
      <c r="Z56" s="230"/>
      <c r="AA56" s="230"/>
      <c r="AB56" s="230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</row>
    <row r="57" spans="24:59">
      <c r="X57" s="230"/>
      <c r="Y57" s="230"/>
      <c r="Z57" s="230"/>
      <c r="AA57" s="230"/>
      <c r="AB57" s="230"/>
      <c r="AC57" s="230"/>
      <c r="AD57" s="230"/>
      <c r="AE57" s="230"/>
      <c r="AF57" s="230"/>
      <c r="AG57" s="230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0"/>
      <c r="AS57" s="230"/>
      <c r="AT57" s="230"/>
      <c r="AU57" s="230"/>
      <c r="AV57" s="230"/>
      <c r="AW57" s="230"/>
      <c r="AX57" s="230"/>
      <c r="AY57" s="230"/>
      <c r="AZ57" s="230"/>
      <c r="BA57" s="230"/>
      <c r="BB57" s="230"/>
      <c r="BC57" s="230"/>
      <c r="BD57" s="230"/>
      <c r="BE57" s="230"/>
      <c r="BF57" s="230"/>
      <c r="BG57" s="230"/>
    </row>
    <row r="58" spans="24:59">
      <c r="X58" s="230"/>
      <c r="Y58" s="230"/>
      <c r="Z58" s="230"/>
      <c r="AA58" s="230"/>
      <c r="AB58" s="230"/>
      <c r="AC58" s="230"/>
      <c r="AD58" s="230"/>
      <c r="AE58" s="230"/>
      <c r="AF58" s="230"/>
      <c r="AG58" s="230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0"/>
      <c r="AS58" s="230"/>
      <c r="AT58" s="230"/>
      <c r="AU58" s="230"/>
      <c r="AV58" s="230"/>
      <c r="AW58" s="230"/>
      <c r="AX58" s="230"/>
      <c r="AY58" s="230"/>
      <c r="AZ58" s="230"/>
      <c r="BA58" s="230"/>
      <c r="BB58" s="230"/>
      <c r="BC58" s="230"/>
      <c r="BD58" s="230"/>
      <c r="BE58" s="230"/>
      <c r="BF58" s="230"/>
      <c r="BG58" s="230"/>
    </row>
    <row r="59" spans="24:59">
      <c r="X59" s="230"/>
      <c r="Y59" s="230"/>
      <c r="Z59" s="230"/>
      <c r="AA59" s="230"/>
      <c r="AB59" s="230"/>
      <c r="AC59" s="230"/>
      <c r="AD59" s="230"/>
      <c r="AE59" s="230"/>
      <c r="AF59" s="230"/>
      <c r="AG59" s="230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0"/>
      <c r="AS59" s="230"/>
      <c r="AT59" s="230"/>
      <c r="AU59" s="230"/>
      <c r="AV59" s="230"/>
      <c r="AW59" s="230"/>
      <c r="AX59" s="230"/>
      <c r="AY59" s="230"/>
      <c r="AZ59" s="230"/>
      <c r="BA59" s="230"/>
      <c r="BB59" s="230"/>
      <c r="BC59" s="230"/>
      <c r="BD59" s="230"/>
      <c r="BE59" s="230"/>
      <c r="BF59" s="230"/>
      <c r="BG59" s="230"/>
    </row>
    <row r="60" spans="24:59">
      <c r="X60" s="230"/>
      <c r="Y60" s="230"/>
      <c r="Z60" s="230"/>
      <c r="AA60" s="230"/>
      <c r="AB60" s="230"/>
      <c r="AC60" s="230"/>
      <c r="AD60" s="230"/>
      <c r="AE60" s="230"/>
      <c r="AF60" s="230"/>
      <c r="AG60" s="230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0"/>
      <c r="AS60" s="230"/>
      <c r="AT60" s="230"/>
      <c r="AU60" s="230"/>
      <c r="AV60" s="230"/>
      <c r="AW60" s="230"/>
      <c r="AX60" s="230"/>
      <c r="AY60" s="230"/>
      <c r="AZ60" s="230"/>
      <c r="BA60" s="230"/>
      <c r="BB60" s="230"/>
      <c r="BC60" s="230"/>
      <c r="BD60" s="230"/>
      <c r="BE60" s="230"/>
      <c r="BF60" s="230"/>
      <c r="BG60" s="230"/>
    </row>
    <row r="61" spans="24:59">
      <c r="X61" s="230"/>
      <c r="Y61" s="230"/>
      <c r="Z61" s="230"/>
      <c r="AA61" s="230"/>
      <c r="AB61" s="230"/>
      <c r="AC61" s="230"/>
      <c r="AD61" s="230"/>
      <c r="AE61" s="230"/>
      <c r="AF61" s="230"/>
      <c r="AG61" s="230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0"/>
      <c r="AS61" s="230"/>
      <c r="AT61" s="230"/>
      <c r="AU61" s="230"/>
      <c r="AV61" s="230"/>
      <c r="AW61" s="230"/>
      <c r="AX61" s="230"/>
      <c r="AY61" s="230"/>
      <c r="AZ61" s="230"/>
      <c r="BA61" s="230"/>
      <c r="BB61" s="230"/>
      <c r="BC61" s="230"/>
      <c r="BD61" s="230"/>
      <c r="BE61" s="230"/>
      <c r="BF61" s="230"/>
      <c r="BG61" s="230"/>
    </row>
    <row r="62" spans="24:59">
      <c r="X62" s="230"/>
      <c r="Y62" s="230"/>
      <c r="Z62" s="230"/>
      <c r="AA62" s="230"/>
      <c r="AB62" s="230"/>
      <c r="AC62" s="230"/>
      <c r="AD62" s="230"/>
      <c r="AE62" s="230"/>
      <c r="AF62" s="230"/>
      <c r="AG62" s="230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0"/>
      <c r="AS62" s="230"/>
      <c r="AT62" s="230"/>
      <c r="AU62" s="230"/>
      <c r="AV62" s="230"/>
      <c r="AW62" s="230"/>
      <c r="AX62" s="230"/>
      <c r="AY62" s="230"/>
      <c r="AZ62" s="230"/>
      <c r="BA62" s="230"/>
      <c r="BB62" s="230"/>
      <c r="BC62" s="230"/>
      <c r="BD62" s="230"/>
      <c r="BE62" s="230"/>
      <c r="BF62" s="230"/>
      <c r="BG62" s="230"/>
    </row>
    <row r="63" spans="24:59">
      <c r="X63" s="230"/>
      <c r="Y63" s="230"/>
      <c r="Z63" s="230"/>
      <c r="AA63" s="230"/>
      <c r="AB63" s="230"/>
      <c r="AC63" s="230"/>
      <c r="AD63" s="230"/>
      <c r="AE63" s="230"/>
      <c r="AF63" s="230"/>
      <c r="AG63" s="230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0"/>
      <c r="AS63" s="230"/>
      <c r="AT63" s="230"/>
      <c r="AU63" s="230"/>
      <c r="AV63" s="230"/>
      <c r="AW63" s="230"/>
      <c r="AX63" s="230"/>
      <c r="AY63" s="230"/>
      <c r="AZ63" s="230"/>
      <c r="BA63" s="230"/>
      <c r="BB63" s="230"/>
      <c r="BC63" s="230"/>
      <c r="BD63" s="230"/>
      <c r="BE63" s="230"/>
      <c r="BF63" s="230"/>
      <c r="BG63" s="230"/>
    </row>
    <row r="64" spans="24:59">
      <c r="X64" s="230"/>
      <c r="Y64" s="230"/>
      <c r="Z64" s="230"/>
      <c r="AA64" s="230"/>
      <c r="AB64" s="230"/>
      <c r="AC64" s="230"/>
      <c r="AD64" s="230"/>
      <c r="AE64" s="230"/>
      <c r="AF64" s="230"/>
      <c r="AG64" s="230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0"/>
      <c r="AS64" s="230"/>
      <c r="AT64" s="230"/>
      <c r="AU64" s="230"/>
      <c r="AV64" s="230"/>
      <c r="AW64" s="230"/>
      <c r="AX64" s="230"/>
      <c r="AY64" s="230"/>
      <c r="AZ64" s="230"/>
      <c r="BA64" s="230"/>
      <c r="BB64" s="230"/>
      <c r="BC64" s="230"/>
      <c r="BD64" s="230"/>
      <c r="BE64" s="230"/>
      <c r="BF64" s="230"/>
      <c r="BG64" s="230"/>
    </row>
    <row r="65" spans="24:59">
      <c r="X65" s="230"/>
      <c r="Y65" s="230"/>
      <c r="Z65" s="230"/>
      <c r="AA65" s="230"/>
      <c r="AB65" s="230"/>
      <c r="AC65" s="230"/>
      <c r="AD65" s="230"/>
      <c r="AE65" s="230"/>
      <c r="AF65" s="230"/>
      <c r="AG65" s="230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0"/>
      <c r="AS65" s="230"/>
      <c r="AT65" s="230"/>
      <c r="AU65" s="230"/>
      <c r="AV65" s="230"/>
      <c r="AW65" s="230"/>
      <c r="AX65" s="230"/>
      <c r="AY65" s="230"/>
      <c r="AZ65" s="230"/>
      <c r="BA65" s="230"/>
      <c r="BB65" s="230"/>
      <c r="BC65" s="230"/>
      <c r="BD65" s="230"/>
      <c r="BE65" s="230"/>
      <c r="BF65" s="230"/>
      <c r="BG65" s="230"/>
    </row>
    <row r="66" spans="24:59">
      <c r="X66" s="230"/>
      <c r="Y66" s="230"/>
      <c r="Z66" s="230"/>
      <c r="AA66" s="230"/>
      <c r="AB66" s="230"/>
      <c r="AC66" s="230"/>
      <c r="AD66" s="230"/>
      <c r="AE66" s="230"/>
      <c r="AF66" s="230"/>
      <c r="AG66" s="230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0"/>
      <c r="AS66" s="230"/>
      <c r="AT66" s="230"/>
      <c r="AU66" s="230"/>
      <c r="AV66" s="230"/>
      <c r="AW66" s="230"/>
      <c r="AX66" s="230"/>
      <c r="AY66" s="230"/>
      <c r="AZ66" s="230"/>
      <c r="BA66" s="230"/>
      <c r="BB66" s="230"/>
      <c r="BC66" s="230"/>
      <c r="BD66" s="230"/>
      <c r="BE66" s="230"/>
      <c r="BF66" s="230"/>
      <c r="BG66" s="230"/>
    </row>
    <row r="67" spans="24:59">
      <c r="X67" s="230"/>
      <c r="Y67" s="230"/>
      <c r="Z67" s="230"/>
      <c r="AA67" s="230"/>
      <c r="AB67" s="230"/>
      <c r="AC67" s="230"/>
      <c r="AD67" s="230"/>
      <c r="AE67" s="230"/>
      <c r="AF67" s="230"/>
      <c r="AG67" s="230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0"/>
      <c r="AS67" s="230"/>
      <c r="AT67" s="230"/>
      <c r="AU67" s="230"/>
      <c r="AV67" s="230"/>
      <c r="AW67" s="230"/>
      <c r="AX67" s="230"/>
      <c r="AY67" s="230"/>
      <c r="AZ67" s="230"/>
      <c r="BA67" s="230"/>
      <c r="BB67" s="230"/>
      <c r="BC67" s="230"/>
      <c r="BD67" s="230"/>
      <c r="BE67" s="230"/>
      <c r="BF67" s="230"/>
      <c r="BG67" s="230"/>
    </row>
    <row r="68" spans="24:59">
      <c r="X68" s="230"/>
      <c r="Y68" s="230"/>
      <c r="Z68" s="230"/>
      <c r="AA68" s="230"/>
      <c r="AB68" s="230"/>
      <c r="AC68" s="230"/>
      <c r="AD68" s="230"/>
      <c r="AE68" s="230"/>
      <c r="AF68" s="230"/>
      <c r="AG68" s="230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0"/>
      <c r="AS68" s="230"/>
      <c r="AT68" s="230"/>
      <c r="AU68" s="230"/>
      <c r="AV68" s="230"/>
      <c r="AW68" s="230"/>
      <c r="AX68" s="230"/>
      <c r="AY68" s="230"/>
      <c r="AZ68" s="230"/>
      <c r="BA68" s="230"/>
      <c r="BB68" s="230"/>
      <c r="BC68" s="230"/>
      <c r="BD68" s="230"/>
      <c r="BE68" s="230"/>
      <c r="BF68" s="230"/>
      <c r="BG68" s="230"/>
    </row>
    <row r="69" spans="24:59">
      <c r="X69" s="230"/>
      <c r="Y69" s="230"/>
      <c r="Z69" s="230"/>
      <c r="AA69" s="230"/>
      <c r="AB69" s="230"/>
      <c r="AC69" s="230"/>
      <c r="AD69" s="230"/>
      <c r="AE69" s="230"/>
      <c r="AF69" s="230"/>
      <c r="AG69" s="230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0"/>
      <c r="AS69" s="230"/>
      <c r="AT69" s="230"/>
      <c r="AU69" s="230"/>
      <c r="AV69" s="230"/>
      <c r="AW69" s="230"/>
      <c r="AX69" s="230"/>
      <c r="AY69" s="230"/>
      <c r="AZ69" s="230"/>
      <c r="BA69" s="230"/>
      <c r="BB69" s="230"/>
      <c r="BC69" s="230"/>
      <c r="BD69" s="230"/>
      <c r="BE69" s="230"/>
      <c r="BF69" s="230"/>
      <c r="BG69" s="230"/>
    </row>
    <row r="70" spans="24:59">
      <c r="X70" s="230"/>
      <c r="Y70" s="230"/>
      <c r="Z70" s="230"/>
      <c r="AA70" s="230"/>
      <c r="AB70" s="230"/>
      <c r="AC70" s="230"/>
      <c r="AD70" s="230"/>
      <c r="AE70" s="230"/>
      <c r="AF70" s="230"/>
      <c r="AG70" s="230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0"/>
      <c r="AS70" s="230"/>
      <c r="AT70" s="230"/>
      <c r="AU70" s="230"/>
      <c r="AV70" s="230"/>
      <c r="AW70" s="230"/>
      <c r="AX70" s="230"/>
      <c r="AY70" s="230"/>
      <c r="AZ70" s="230"/>
      <c r="BA70" s="230"/>
      <c r="BB70" s="230"/>
      <c r="BC70" s="230"/>
      <c r="BD70" s="230"/>
      <c r="BE70" s="230"/>
      <c r="BF70" s="230"/>
      <c r="BG70" s="230"/>
    </row>
    <row r="71" spans="24:59">
      <c r="X71" s="230"/>
      <c r="Y71" s="230"/>
      <c r="Z71" s="230"/>
      <c r="AA71" s="230"/>
      <c r="AB71" s="230"/>
      <c r="AC71" s="230"/>
      <c r="AD71" s="230"/>
      <c r="AE71" s="230"/>
      <c r="AF71" s="230"/>
      <c r="AG71" s="230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0"/>
      <c r="AS71" s="230"/>
      <c r="AT71" s="230"/>
      <c r="AU71" s="230"/>
      <c r="AV71" s="230"/>
      <c r="AW71" s="230"/>
      <c r="AX71" s="230"/>
      <c r="AY71" s="230"/>
      <c r="AZ71" s="230"/>
      <c r="BA71" s="230"/>
      <c r="BB71" s="230"/>
      <c r="BC71" s="230"/>
      <c r="BD71" s="230"/>
      <c r="BE71" s="230"/>
      <c r="BF71" s="230"/>
      <c r="BG71" s="230"/>
    </row>
    <row r="72" spans="24:59"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</row>
    <row r="73" spans="24:59">
      <c r="X73" s="230"/>
      <c r="Y73" s="230"/>
      <c r="Z73" s="230"/>
      <c r="AA73" s="230"/>
      <c r="AB73" s="230"/>
      <c r="AC73" s="230"/>
      <c r="AD73" s="230"/>
      <c r="AE73" s="230"/>
      <c r="AF73" s="230"/>
      <c r="AG73" s="230"/>
      <c r="AH73" s="230"/>
      <c r="AI73" s="230"/>
      <c r="AJ73" s="230"/>
      <c r="AK73" s="230"/>
      <c r="AL73" s="230"/>
      <c r="AM73" s="230"/>
      <c r="AN73" s="230"/>
      <c r="AO73" s="230"/>
      <c r="AP73" s="230"/>
      <c r="AQ73" s="230"/>
      <c r="AR73" s="230"/>
      <c r="AS73" s="230"/>
      <c r="AT73" s="230"/>
      <c r="AU73" s="230"/>
      <c r="AV73" s="230"/>
      <c r="AW73" s="230"/>
      <c r="AX73" s="230"/>
      <c r="AY73" s="230"/>
      <c r="AZ73" s="230"/>
      <c r="BA73" s="230"/>
      <c r="BB73" s="230"/>
      <c r="BC73" s="230"/>
      <c r="BD73" s="230"/>
      <c r="BE73" s="230"/>
      <c r="BF73" s="230"/>
      <c r="BG73" s="230"/>
    </row>
    <row r="74" spans="24:59">
      <c r="X74" s="230"/>
      <c r="Y74" s="230"/>
      <c r="Z74" s="230"/>
      <c r="AA74" s="230"/>
      <c r="AB74" s="230"/>
      <c r="AC74" s="230"/>
      <c r="AD74" s="230"/>
      <c r="AE74" s="230"/>
      <c r="AF74" s="230"/>
      <c r="AG74" s="230"/>
      <c r="AH74" s="230"/>
      <c r="AI74" s="230"/>
      <c r="AJ74" s="230"/>
      <c r="AK74" s="230"/>
      <c r="AL74" s="230"/>
      <c r="AM74" s="230"/>
      <c r="AN74" s="230"/>
      <c r="AO74" s="230"/>
      <c r="AP74" s="230"/>
      <c r="AQ74" s="230"/>
      <c r="AR74" s="230"/>
      <c r="AS74" s="230"/>
      <c r="AT74" s="230"/>
      <c r="AU74" s="230"/>
      <c r="AV74" s="230"/>
      <c r="AW74" s="230"/>
      <c r="AX74" s="230"/>
      <c r="AY74" s="230"/>
      <c r="AZ74" s="230"/>
      <c r="BA74" s="230"/>
      <c r="BB74" s="230"/>
      <c r="BC74" s="230"/>
      <c r="BD74" s="230"/>
      <c r="BE74" s="230"/>
      <c r="BF74" s="230"/>
      <c r="BG74" s="230"/>
    </row>
    <row r="75" spans="24:59">
      <c r="X75" s="230"/>
      <c r="Y75" s="230"/>
      <c r="Z75" s="230"/>
      <c r="AA75" s="230"/>
      <c r="AB75" s="230"/>
      <c r="AC75" s="230"/>
      <c r="AD75" s="230"/>
      <c r="AE75" s="230"/>
      <c r="AF75" s="230"/>
      <c r="AG75" s="230"/>
      <c r="AH75" s="230"/>
      <c r="AI75" s="230"/>
      <c r="AJ75" s="230"/>
      <c r="AK75" s="230"/>
      <c r="AL75" s="230"/>
      <c r="AM75" s="230"/>
      <c r="AN75" s="230"/>
      <c r="AO75" s="230"/>
      <c r="AP75" s="230"/>
      <c r="AQ75" s="230"/>
      <c r="AR75" s="230"/>
      <c r="AS75" s="230"/>
      <c r="AT75" s="230"/>
      <c r="AU75" s="230"/>
      <c r="AV75" s="230"/>
      <c r="AW75" s="230"/>
      <c r="AX75" s="230"/>
      <c r="AY75" s="230"/>
      <c r="AZ75" s="230"/>
      <c r="BA75" s="230"/>
      <c r="BB75" s="230"/>
      <c r="BC75" s="230"/>
      <c r="BD75" s="230"/>
      <c r="BE75" s="230"/>
      <c r="BF75" s="230"/>
      <c r="BG75" s="230"/>
    </row>
    <row r="76" spans="24:59">
      <c r="X76" s="230"/>
      <c r="Y76" s="230"/>
      <c r="Z76" s="230"/>
      <c r="AA76" s="230"/>
      <c r="AB76" s="230"/>
      <c r="AC76" s="230"/>
      <c r="AD76" s="230"/>
      <c r="AE76" s="230"/>
      <c r="AF76" s="230"/>
      <c r="AG76" s="230"/>
      <c r="AH76" s="230"/>
      <c r="AI76" s="230"/>
      <c r="AJ76" s="230"/>
      <c r="AK76" s="230"/>
      <c r="AL76" s="230"/>
      <c r="AM76" s="230"/>
      <c r="AN76" s="230"/>
      <c r="AO76" s="230"/>
      <c r="AP76" s="230"/>
      <c r="AQ76" s="230"/>
      <c r="AR76" s="230"/>
      <c r="AS76" s="230"/>
      <c r="AT76" s="230"/>
      <c r="AU76" s="230"/>
      <c r="AV76" s="230"/>
      <c r="AW76" s="230"/>
      <c r="AX76" s="230"/>
      <c r="AY76" s="230"/>
      <c r="AZ76" s="230"/>
      <c r="BA76" s="230"/>
      <c r="BB76" s="230"/>
      <c r="BC76" s="230"/>
      <c r="BD76" s="230"/>
      <c r="BE76" s="230"/>
      <c r="BF76" s="230"/>
      <c r="BG76" s="230"/>
    </row>
    <row r="77" spans="24:59">
      <c r="X77" s="230"/>
      <c r="Y77" s="230"/>
      <c r="Z77" s="230"/>
      <c r="AA77" s="230"/>
      <c r="AB77" s="230"/>
      <c r="AC77" s="230"/>
      <c r="AD77" s="230"/>
      <c r="AE77" s="230"/>
      <c r="AF77" s="230"/>
      <c r="AG77" s="230"/>
      <c r="AH77" s="230"/>
      <c r="AI77" s="230"/>
      <c r="AJ77" s="230"/>
      <c r="AK77" s="230"/>
      <c r="AL77" s="230"/>
      <c r="AM77" s="230"/>
      <c r="AN77" s="230"/>
      <c r="AO77" s="230"/>
      <c r="AP77" s="230"/>
      <c r="AQ77" s="230"/>
      <c r="AR77" s="230"/>
      <c r="AS77" s="230"/>
      <c r="AT77" s="230"/>
      <c r="AU77" s="230"/>
      <c r="AV77" s="230"/>
      <c r="AW77" s="230"/>
      <c r="AX77" s="230"/>
      <c r="AY77" s="230"/>
      <c r="AZ77" s="230"/>
      <c r="BA77" s="230"/>
      <c r="BB77" s="230"/>
      <c r="BC77" s="230"/>
      <c r="BD77" s="230"/>
      <c r="BE77" s="230"/>
      <c r="BF77" s="230"/>
      <c r="BG77" s="230"/>
    </row>
    <row r="78" spans="24:59">
      <c r="X78" s="230"/>
      <c r="Y78" s="230"/>
      <c r="Z78" s="230"/>
      <c r="AA78" s="230"/>
      <c r="AB78" s="230"/>
      <c r="AC78" s="230"/>
      <c r="AD78" s="230"/>
      <c r="AE78" s="230"/>
      <c r="AF78" s="230"/>
      <c r="AG78" s="230"/>
      <c r="AH78" s="230"/>
      <c r="AI78" s="230"/>
      <c r="AJ78" s="230"/>
      <c r="AK78" s="230"/>
      <c r="AL78" s="230"/>
      <c r="AM78" s="230"/>
      <c r="AN78" s="230"/>
      <c r="AO78" s="230"/>
      <c r="AP78" s="230"/>
      <c r="AQ78" s="230"/>
      <c r="AR78" s="230"/>
      <c r="AS78" s="230"/>
      <c r="AT78" s="230"/>
      <c r="AU78" s="230"/>
      <c r="AV78" s="230"/>
      <c r="AW78" s="230"/>
      <c r="AX78" s="230"/>
      <c r="AY78" s="230"/>
      <c r="AZ78" s="230"/>
      <c r="BA78" s="230"/>
      <c r="BB78" s="230"/>
      <c r="BC78" s="230"/>
      <c r="BD78" s="230"/>
      <c r="BE78" s="230"/>
      <c r="BF78" s="230"/>
      <c r="BG78" s="230"/>
    </row>
    <row r="79" spans="24:59">
      <c r="X79" s="230"/>
      <c r="Y79" s="230"/>
      <c r="Z79" s="230"/>
      <c r="AA79" s="230"/>
      <c r="AB79" s="230"/>
      <c r="AC79" s="230"/>
      <c r="AD79" s="230"/>
      <c r="AE79" s="230"/>
      <c r="AF79" s="230"/>
      <c r="AG79" s="230"/>
      <c r="AH79" s="230"/>
      <c r="AI79" s="230"/>
      <c r="AJ79" s="230"/>
      <c r="AK79" s="230"/>
      <c r="AL79" s="230"/>
      <c r="AM79" s="230"/>
      <c r="AN79" s="230"/>
      <c r="AO79" s="230"/>
      <c r="AP79" s="230"/>
      <c r="AQ79" s="230"/>
      <c r="AR79" s="230"/>
      <c r="AS79" s="230"/>
      <c r="AT79" s="230"/>
      <c r="AU79" s="230"/>
      <c r="AV79" s="230"/>
      <c r="AW79" s="230"/>
      <c r="AX79" s="230"/>
      <c r="AY79" s="230"/>
      <c r="AZ79" s="230"/>
      <c r="BA79" s="230"/>
      <c r="BB79" s="230"/>
      <c r="BC79" s="230"/>
      <c r="BD79" s="230"/>
      <c r="BE79" s="230"/>
      <c r="BF79" s="230"/>
      <c r="BG79" s="230"/>
    </row>
    <row r="80" spans="24:59">
      <c r="X80" s="230"/>
      <c r="Y80" s="230"/>
      <c r="Z80" s="230"/>
      <c r="AA80" s="230"/>
      <c r="AB80" s="230"/>
      <c r="AC80" s="230"/>
      <c r="AD80" s="230"/>
      <c r="AE80" s="230"/>
      <c r="AF80" s="230"/>
      <c r="AG80" s="230"/>
      <c r="AH80" s="230"/>
      <c r="AI80" s="230"/>
      <c r="AJ80" s="230"/>
      <c r="AK80" s="230"/>
      <c r="AL80" s="230"/>
      <c r="AM80" s="230"/>
      <c r="AN80" s="230"/>
      <c r="AO80" s="230"/>
      <c r="AP80" s="230"/>
      <c r="AQ80" s="230"/>
      <c r="AR80" s="230"/>
      <c r="AS80" s="230"/>
      <c r="AT80" s="230"/>
      <c r="AU80" s="230"/>
      <c r="AV80" s="230"/>
      <c r="AW80" s="230"/>
      <c r="AX80" s="230"/>
      <c r="AY80" s="230"/>
      <c r="AZ80" s="230"/>
      <c r="BA80" s="230"/>
      <c r="BB80" s="230"/>
      <c r="BC80" s="230"/>
      <c r="BD80" s="230"/>
      <c r="BE80" s="230"/>
      <c r="BF80" s="230"/>
      <c r="BG80" s="230"/>
    </row>
    <row r="81" spans="24:59">
      <c r="X81" s="230"/>
      <c r="Y81" s="230"/>
      <c r="Z81" s="230"/>
      <c r="AA81" s="230"/>
      <c r="AB81" s="230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0"/>
      <c r="AN81" s="230"/>
      <c r="AO81" s="230"/>
      <c r="AP81" s="230"/>
      <c r="AQ81" s="230"/>
      <c r="AR81" s="230"/>
      <c r="AS81" s="230"/>
      <c r="AT81" s="230"/>
      <c r="AU81" s="230"/>
      <c r="AV81" s="230"/>
      <c r="AW81" s="230"/>
      <c r="AX81" s="230"/>
      <c r="AY81" s="230"/>
      <c r="AZ81" s="230"/>
      <c r="BA81" s="230"/>
      <c r="BB81" s="230"/>
      <c r="BC81" s="230"/>
      <c r="BD81" s="230"/>
      <c r="BE81" s="230"/>
      <c r="BF81" s="230"/>
      <c r="BG81" s="230"/>
    </row>
    <row r="82" spans="24:59">
      <c r="X82" s="230"/>
      <c r="Y82" s="230"/>
      <c r="Z82" s="230"/>
      <c r="AA82" s="230"/>
      <c r="AB82" s="230"/>
      <c r="AC82" s="230"/>
      <c r="AD82" s="230"/>
      <c r="AE82" s="230"/>
      <c r="AF82" s="230"/>
      <c r="AG82" s="230"/>
      <c r="AH82" s="230"/>
      <c r="AI82" s="230"/>
      <c r="AJ82" s="230"/>
      <c r="AK82" s="230"/>
      <c r="AL82" s="230"/>
      <c r="AM82" s="230"/>
      <c r="AN82" s="230"/>
      <c r="AO82" s="230"/>
      <c r="AP82" s="230"/>
      <c r="AQ82" s="230"/>
      <c r="AR82" s="230"/>
      <c r="AS82" s="230"/>
      <c r="AT82" s="230"/>
      <c r="AU82" s="230"/>
      <c r="AV82" s="230"/>
      <c r="AW82" s="230"/>
      <c r="AX82" s="230"/>
      <c r="AY82" s="230"/>
      <c r="AZ82" s="230"/>
      <c r="BA82" s="230"/>
      <c r="BB82" s="230"/>
      <c r="BC82" s="230"/>
      <c r="BD82" s="230"/>
      <c r="BE82" s="230"/>
      <c r="BF82" s="230"/>
      <c r="BG82" s="230"/>
    </row>
    <row r="83" spans="24:59">
      <c r="X83" s="230"/>
      <c r="Y83" s="230"/>
      <c r="Z83" s="230"/>
      <c r="AA83" s="230"/>
      <c r="AB83" s="230"/>
      <c r="AC83" s="230"/>
      <c r="AD83" s="230"/>
      <c r="AE83" s="230"/>
      <c r="AF83" s="230"/>
      <c r="AG83" s="230"/>
      <c r="AH83" s="230"/>
      <c r="AI83" s="230"/>
      <c r="AJ83" s="230"/>
      <c r="AK83" s="230"/>
      <c r="AL83" s="230"/>
      <c r="AM83" s="230"/>
      <c r="AN83" s="230"/>
      <c r="AO83" s="230"/>
      <c r="AP83" s="230"/>
      <c r="AQ83" s="230"/>
      <c r="AR83" s="230"/>
      <c r="AS83" s="230"/>
      <c r="AT83" s="230"/>
      <c r="AU83" s="230"/>
      <c r="AV83" s="230"/>
      <c r="AW83" s="230"/>
      <c r="AX83" s="230"/>
      <c r="AY83" s="230"/>
      <c r="AZ83" s="230"/>
      <c r="BA83" s="230"/>
      <c r="BB83" s="230"/>
      <c r="BC83" s="230"/>
      <c r="BD83" s="230"/>
      <c r="BE83" s="230"/>
      <c r="BF83" s="230"/>
      <c r="BG83" s="230"/>
    </row>
    <row r="84" spans="24:59">
      <c r="X84" s="230"/>
      <c r="Y84" s="230"/>
      <c r="Z84" s="230"/>
      <c r="AA84" s="230"/>
      <c r="AB84" s="230"/>
      <c r="AC84" s="230"/>
      <c r="AD84" s="230"/>
      <c r="AE84" s="230"/>
      <c r="AF84" s="230"/>
      <c r="AG84" s="230"/>
      <c r="AH84" s="230"/>
      <c r="AI84" s="230"/>
      <c r="AJ84" s="230"/>
      <c r="AK84" s="230"/>
      <c r="AL84" s="230"/>
      <c r="AM84" s="230"/>
      <c r="AN84" s="230"/>
      <c r="AO84" s="230"/>
      <c r="AP84" s="230"/>
      <c r="AQ84" s="230"/>
      <c r="AR84" s="230"/>
      <c r="AS84" s="230"/>
      <c r="AT84" s="230"/>
      <c r="AU84" s="230"/>
      <c r="AV84" s="230"/>
      <c r="AW84" s="230"/>
      <c r="AX84" s="230"/>
      <c r="AY84" s="230"/>
      <c r="AZ84" s="230"/>
      <c r="BA84" s="230"/>
      <c r="BB84" s="230"/>
      <c r="BC84" s="230"/>
      <c r="BD84" s="230"/>
      <c r="BE84" s="230"/>
      <c r="BF84" s="230"/>
      <c r="BG84" s="230"/>
    </row>
    <row r="85" spans="24:59">
      <c r="X85" s="230"/>
      <c r="Y85" s="230"/>
      <c r="Z85" s="230"/>
      <c r="AA85" s="230"/>
      <c r="AB85" s="230"/>
      <c r="AC85" s="230"/>
      <c r="AD85" s="230"/>
      <c r="AE85" s="230"/>
      <c r="AF85" s="230"/>
      <c r="AG85" s="230"/>
      <c r="AH85" s="230"/>
      <c r="AI85" s="230"/>
      <c r="AJ85" s="230"/>
      <c r="AK85" s="230"/>
      <c r="AL85" s="230"/>
      <c r="AM85" s="230"/>
      <c r="AN85" s="230"/>
      <c r="AO85" s="230"/>
      <c r="AP85" s="230"/>
      <c r="AQ85" s="230"/>
      <c r="AR85" s="230"/>
      <c r="AS85" s="230"/>
      <c r="AT85" s="230"/>
      <c r="AU85" s="230"/>
      <c r="AV85" s="230"/>
      <c r="AW85" s="230"/>
      <c r="AX85" s="230"/>
      <c r="AY85" s="230"/>
      <c r="AZ85" s="230"/>
      <c r="BA85" s="230"/>
      <c r="BB85" s="230"/>
      <c r="BC85" s="230"/>
      <c r="BD85" s="230"/>
      <c r="BE85" s="230"/>
      <c r="BF85" s="230"/>
      <c r="BG85" s="230"/>
    </row>
    <row r="86" spans="24:59">
      <c r="X86" s="230"/>
      <c r="Y86" s="230"/>
      <c r="Z86" s="230"/>
      <c r="AA86" s="230"/>
      <c r="AB86" s="230"/>
      <c r="AC86" s="230"/>
      <c r="AD86" s="230"/>
      <c r="AE86" s="230"/>
      <c r="AF86" s="230"/>
      <c r="AG86" s="230"/>
      <c r="AH86" s="230"/>
      <c r="AI86" s="230"/>
      <c r="AJ86" s="230"/>
      <c r="AK86" s="230"/>
      <c r="AL86" s="230"/>
      <c r="AM86" s="230"/>
      <c r="AN86" s="230"/>
      <c r="AO86" s="230"/>
      <c r="AP86" s="230"/>
      <c r="AQ86" s="230"/>
      <c r="AR86" s="230"/>
      <c r="AS86" s="230"/>
      <c r="AT86" s="230"/>
      <c r="AU86" s="230"/>
      <c r="AV86" s="230"/>
      <c r="AW86" s="230"/>
      <c r="AX86" s="230"/>
      <c r="AY86" s="230"/>
      <c r="AZ86" s="230"/>
      <c r="BA86" s="230"/>
      <c r="BB86" s="230"/>
      <c r="BC86" s="230"/>
      <c r="BD86" s="230"/>
      <c r="BE86" s="230"/>
      <c r="BF86" s="230"/>
      <c r="BG86" s="230"/>
    </row>
    <row r="87" spans="24:59">
      <c r="X87" s="230"/>
      <c r="Y87" s="230"/>
      <c r="Z87" s="230"/>
      <c r="AA87" s="230"/>
      <c r="AB87" s="230"/>
      <c r="AC87" s="230"/>
      <c r="AD87" s="230"/>
      <c r="AE87" s="230"/>
      <c r="AF87" s="230"/>
      <c r="AG87" s="230"/>
      <c r="AH87" s="230"/>
      <c r="AI87" s="230"/>
      <c r="AJ87" s="230"/>
      <c r="AK87" s="230"/>
      <c r="AL87" s="230"/>
      <c r="AM87" s="230"/>
      <c r="AN87" s="230"/>
      <c r="AO87" s="230"/>
      <c r="AP87" s="230"/>
      <c r="AQ87" s="230"/>
      <c r="AR87" s="230"/>
      <c r="AS87" s="230"/>
      <c r="AT87" s="230"/>
      <c r="AU87" s="230"/>
      <c r="AV87" s="230"/>
      <c r="AW87" s="230"/>
      <c r="AX87" s="230"/>
      <c r="AY87" s="230"/>
      <c r="AZ87" s="230"/>
      <c r="BA87" s="230"/>
      <c r="BB87" s="230"/>
      <c r="BC87" s="230"/>
      <c r="BD87" s="230"/>
      <c r="BE87" s="230"/>
      <c r="BF87" s="230"/>
      <c r="BG87" s="230"/>
    </row>
    <row r="88" spans="24:59">
      <c r="X88" s="230"/>
      <c r="Y88" s="230"/>
      <c r="Z88" s="230"/>
      <c r="AA88" s="230"/>
      <c r="AB88" s="230"/>
      <c r="AC88" s="230"/>
      <c r="AD88" s="230"/>
      <c r="AE88" s="230"/>
      <c r="AF88" s="230"/>
      <c r="AG88" s="230"/>
      <c r="AH88" s="230"/>
      <c r="AI88" s="230"/>
      <c r="AJ88" s="230"/>
      <c r="AK88" s="230"/>
      <c r="AL88" s="230"/>
      <c r="AM88" s="230"/>
      <c r="AN88" s="230"/>
      <c r="AO88" s="230"/>
      <c r="AP88" s="230"/>
      <c r="AQ88" s="230"/>
      <c r="AR88" s="230"/>
      <c r="AS88" s="230"/>
      <c r="AT88" s="230"/>
      <c r="AU88" s="230"/>
      <c r="AV88" s="230"/>
      <c r="AW88" s="230"/>
      <c r="AX88" s="230"/>
      <c r="AY88" s="230"/>
      <c r="AZ88" s="230"/>
      <c r="BA88" s="230"/>
      <c r="BB88" s="230"/>
      <c r="BC88" s="230"/>
      <c r="BD88" s="230"/>
      <c r="BE88" s="230"/>
      <c r="BF88" s="230"/>
      <c r="BG88" s="230"/>
    </row>
    <row r="89" spans="24:59">
      <c r="X89" s="230"/>
      <c r="Y89" s="230"/>
      <c r="Z89" s="230"/>
      <c r="AA89" s="230"/>
      <c r="AB89" s="230"/>
      <c r="AC89" s="230"/>
      <c r="AD89" s="230"/>
      <c r="AE89" s="230"/>
      <c r="AF89" s="230"/>
      <c r="AG89" s="230"/>
      <c r="AH89" s="230"/>
      <c r="AI89" s="230"/>
      <c r="AJ89" s="230"/>
      <c r="AK89" s="230"/>
      <c r="AL89" s="230"/>
      <c r="AM89" s="230"/>
      <c r="AN89" s="230"/>
      <c r="AO89" s="230"/>
      <c r="AP89" s="230"/>
      <c r="AQ89" s="230"/>
      <c r="AR89" s="230"/>
      <c r="AS89" s="230"/>
      <c r="AT89" s="230"/>
      <c r="AU89" s="230"/>
      <c r="AV89" s="230"/>
      <c r="AW89" s="230"/>
      <c r="AX89" s="230"/>
      <c r="AY89" s="230"/>
      <c r="AZ89" s="230"/>
      <c r="BA89" s="230"/>
      <c r="BB89" s="230"/>
      <c r="BC89" s="230"/>
      <c r="BD89" s="230"/>
      <c r="BE89" s="230"/>
      <c r="BF89" s="230"/>
      <c r="BG89" s="230"/>
    </row>
    <row r="90" spans="24:59">
      <c r="X90" s="230"/>
      <c r="Y90" s="230"/>
      <c r="Z90" s="230"/>
      <c r="AA90" s="230"/>
      <c r="AB90" s="230"/>
      <c r="AC90" s="230"/>
      <c r="AD90" s="230"/>
      <c r="AE90" s="230"/>
      <c r="AF90" s="230"/>
      <c r="AG90" s="230"/>
      <c r="AH90" s="230"/>
      <c r="AI90" s="230"/>
      <c r="AJ90" s="230"/>
      <c r="AK90" s="230"/>
      <c r="AL90" s="230"/>
      <c r="AM90" s="230"/>
      <c r="AN90" s="230"/>
      <c r="AO90" s="230"/>
      <c r="AP90" s="230"/>
      <c r="AQ90" s="230"/>
      <c r="AR90" s="230"/>
      <c r="AS90" s="230"/>
      <c r="AT90" s="230"/>
      <c r="AU90" s="230"/>
      <c r="AV90" s="230"/>
      <c r="AW90" s="230"/>
      <c r="AX90" s="230"/>
      <c r="AY90" s="230"/>
      <c r="AZ90" s="230"/>
      <c r="BA90" s="230"/>
      <c r="BB90" s="230"/>
      <c r="BC90" s="230"/>
      <c r="BD90" s="230"/>
      <c r="BE90" s="230"/>
      <c r="BF90" s="230"/>
      <c r="BG90" s="230"/>
    </row>
    <row r="91" spans="24:59">
      <c r="X91" s="230"/>
      <c r="Y91" s="230"/>
      <c r="Z91" s="230"/>
      <c r="AA91" s="230"/>
      <c r="AB91" s="230"/>
      <c r="AC91" s="230"/>
      <c r="AD91" s="230"/>
      <c r="AE91" s="230"/>
      <c r="AF91" s="230"/>
      <c r="AG91" s="230"/>
      <c r="AH91" s="230"/>
      <c r="AI91" s="230"/>
      <c r="AJ91" s="230"/>
      <c r="AK91" s="230"/>
      <c r="AL91" s="230"/>
      <c r="AM91" s="230"/>
      <c r="AN91" s="230"/>
      <c r="AO91" s="230"/>
      <c r="AP91" s="230"/>
      <c r="AQ91" s="230"/>
      <c r="AR91" s="230"/>
      <c r="AS91" s="230"/>
      <c r="AT91" s="230"/>
      <c r="AU91" s="230"/>
      <c r="AV91" s="230"/>
      <c r="AW91" s="230"/>
      <c r="AX91" s="230"/>
      <c r="AY91" s="230"/>
      <c r="AZ91" s="230"/>
      <c r="BA91" s="230"/>
      <c r="BB91" s="230"/>
      <c r="BC91" s="230"/>
      <c r="BD91" s="230"/>
      <c r="BE91" s="230"/>
      <c r="BF91" s="230"/>
      <c r="BG91" s="230"/>
    </row>
    <row r="92" spans="24:59"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  <c r="AX92" s="230"/>
      <c r="AY92" s="230"/>
      <c r="AZ92" s="230"/>
      <c r="BA92" s="230"/>
      <c r="BB92" s="230"/>
      <c r="BC92" s="230"/>
      <c r="BD92" s="230"/>
      <c r="BE92" s="230"/>
      <c r="BF92" s="230"/>
      <c r="BG92" s="230"/>
    </row>
    <row r="93" spans="24:59"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  <c r="AK93" s="230"/>
      <c r="AL93" s="230"/>
      <c r="AM93" s="230"/>
      <c r="AN93" s="230"/>
      <c r="AO93" s="230"/>
      <c r="AP93" s="230"/>
      <c r="AQ93" s="230"/>
      <c r="AR93" s="230"/>
      <c r="AS93" s="230"/>
      <c r="AT93" s="230"/>
      <c r="AU93" s="230"/>
      <c r="AV93" s="230"/>
      <c r="AW93" s="230"/>
      <c r="AX93" s="230"/>
      <c r="AY93" s="230"/>
      <c r="AZ93" s="230"/>
      <c r="BA93" s="230"/>
      <c r="BB93" s="230"/>
      <c r="BC93" s="230"/>
      <c r="BD93" s="230"/>
      <c r="BE93" s="230"/>
      <c r="BF93" s="230"/>
      <c r="BG93" s="230"/>
    </row>
    <row r="94" spans="24:59">
      <c r="X94" s="230"/>
      <c r="Y94" s="230"/>
      <c r="Z94" s="230"/>
      <c r="AA94" s="230"/>
      <c r="AB94" s="230"/>
      <c r="AC94" s="230"/>
      <c r="AD94" s="230"/>
      <c r="AE94" s="230"/>
      <c r="AF94" s="230"/>
      <c r="AG94" s="230"/>
      <c r="AH94" s="230"/>
      <c r="AI94" s="230"/>
      <c r="AJ94" s="230"/>
      <c r="AK94" s="230"/>
      <c r="AL94" s="230"/>
      <c r="AM94" s="230"/>
      <c r="AN94" s="230"/>
      <c r="AO94" s="230"/>
      <c r="AP94" s="230"/>
      <c r="AQ94" s="230"/>
      <c r="AR94" s="230"/>
      <c r="AS94" s="230"/>
      <c r="AT94" s="230"/>
      <c r="AU94" s="230"/>
      <c r="AV94" s="230"/>
      <c r="AW94" s="230"/>
      <c r="AX94" s="230"/>
      <c r="AY94" s="230"/>
      <c r="AZ94" s="230"/>
      <c r="BA94" s="230"/>
      <c r="BB94" s="230"/>
      <c r="BC94" s="230"/>
      <c r="BD94" s="230"/>
      <c r="BE94" s="230"/>
      <c r="BF94" s="230"/>
      <c r="BG94" s="230"/>
    </row>
    <row r="95" spans="24:59">
      <c r="X95" s="230"/>
      <c r="Y95" s="230"/>
      <c r="Z95" s="230"/>
      <c r="AA95" s="230"/>
      <c r="AB95" s="230"/>
      <c r="AC95" s="230"/>
      <c r="AD95" s="230"/>
      <c r="AE95" s="230"/>
      <c r="AF95" s="230"/>
      <c r="AG95" s="230"/>
      <c r="AH95" s="230"/>
      <c r="AI95" s="230"/>
      <c r="AJ95" s="230"/>
      <c r="AK95" s="230"/>
      <c r="AL95" s="230"/>
      <c r="AM95" s="230"/>
      <c r="AN95" s="230"/>
      <c r="AO95" s="230"/>
      <c r="AP95" s="230"/>
      <c r="AQ95" s="230"/>
      <c r="AR95" s="230"/>
      <c r="AS95" s="230"/>
      <c r="AT95" s="230"/>
      <c r="AU95" s="230"/>
      <c r="AV95" s="230"/>
      <c r="AW95" s="230"/>
      <c r="AX95" s="230"/>
      <c r="AY95" s="230"/>
      <c r="AZ95" s="230"/>
      <c r="BA95" s="230"/>
      <c r="BB95" s="230"/>
      <c r="BC95" s="230"/>
      <c r="BD95" s="230"/>
      <c r="BE95" s="230"/>
      <c r="BF95" s="230"/>
      <c r="BG95" s="230"/>
    </row>
    <row r="96" spans="24:59">
      <c r="X96" s="230"/>
      <c r="Y96" s="230"/>
      <c r="Z96" s="230"/>
      <c r="AA96" s="230"/>
      <c r="AB96" s="230"/>
      <c r="AC96" s="230"/>
      <c r="AD96" s="230"/>
      <c r="AE96" s="230"/>
      <c r="AF96" s="230"/>
      <c r="AG96" s="230"/>
      <c r="AH96" s="230"/>
      <c r="AI96" s="230"/>
      <c r="AJ96" s="230"/>
      <c r="AK96" s="230"/>
      <c r="AL96" s="230"/>
      <c r="AM96" s="230"/>
      <c r="AN96" s="230"/>
      <c r="AO96" s="230"/>
      <c r="AP96" s="230"/>
      <c r="AQ96" s="230"/>
      <c r="AR96" s="230"/>
      <c r="AS96" s="230"/>
      <c r="AT96" s="230"/>
      <c r="AU96" s="230"/>
      <c r="AV96" s="230"/>
      <c r="AW96" s="230"/>
      <c r="AX96" s="230"/>
      <c r="AY96" s="230"/>
      <c r="AZ96" s="230"/>
      <c r="BA96" s="230"/>
      <c r="BB96" s="230"/>
      <c r="BC96" s="230"/>
      <c r="BD96" s="230"/>
      <c r="BE96" s="230"/>
      <c r="BF96" s="230"/>
      <c r="BG96" s="230"/>
    </row>
    <row r="97" spans="24:59">
      <c r="X97" s="230"/>
      <c r="Y97" s="230"/>
      <c r="Z97" s="230"/>
      <c r="AA97" s="230"/>
      <c r="AB97" s="230"/>
      <c r="AC97" s="230"/>
      <c r="AD97" s="230"/>
      <c r="AE97" s="230"/>
      <c r="AF97" s="230"/>
      <c r="AG97" s="230"/>
      <c r="AH97" s="230"/>
      <c r="AI97" s="230"/>
      <c r="AJ97" s="230"/>
      <c r="AK97" s="230"/>
      <c r="AL97" s="230"/>
      <c r="AM97" s="230"/>
      <c r="AN97" s="230"/>
      <c r="AO97" s="230"/>
      <c r="AP97" s="230"/>
      <c r="AQ97" s="230"/>
      <c r="AR97" s="230"/>
      <c r="AS97" s="230"/>
      <c r="AT97" s="230"/>
      <c r="AU97" s="230"/>
      <c r="AV97" s="230"/>
      <c r="AW97" s="230"/>
      <c r="AX97" s="230"/>
      <c r="AY97" s="230"/>
      <c r="AZ97" s="230"/>
      <c r="BA97" s="230"/>
      <c r="BB97" s="230"/>
      <c r="BC97" s="230"/>
      <c r="BD97" s="230"/>
      <c r="BE97" s="230"/>
      <c r="BF97" s="230"/>
      <c r="BG97" s="230"/>
    </row>
    <row r="98" spans="24:59">
      <c r="X98" s="230"/>
      <c r="Y98" s="230"/>
      <c r="Z98" s="230"/>
      <c r="AA98" s="230"/>
      <c r="AB98" s="230"/>
      <c r="AC98" s="230"/>
      <c r="AD98" s="230"/>
      <c r="AE98" s="230"/>
      <c r="AF98" s="230"/>
      <c r="AG98" s="230"/>
      <c r="AH98" s="230"/>
      <c r="AI98" s="230"/>
      <c r="AJ98" s="230"/>
      <c r="AK98" s="230"/>
      <c r="AL98" s="230"/>
      <c r="AM98" s="230"/>
      <c r="AN98" s="230"/>
      <c r="AO98" s="230"/>
      <c r="AP98" s="230"/>
      <c r="AQ98" s="230"/>
      <c r="AR98" s="230"/>
      <c r="AS98" s="230"/>
      <c r="AT98" s="230"/>
      <c r="AU98" s="230"/>
      <c r="AV98" s="230"/>
      <c r="AW98" s="230"/>
      <c r="AX98" s="230"/>
      <c r="AY98" s="230"/>
      <c r="AZ98" s="230"/>
      <c r="BA98" s="230"/>
      <c r="BB98" s="230"/>
      <c r="BC98" s="230"/>
      <c r="BD98" s="230"/>
      <c r="BE98" s="230"/>
      <c r="BF98" s="230"/>
      <c r="BG98" s="230"/>
    </row>
    <row r="99" spans="24:59">
      <c r="X99" s="230"/>
      <c r="Y99" s="230"/>
      <c r="Z99" s="230"/>
      <c r="AA99" s="230"/>
      <c r="AB99" s="230"/>
      <c r="AC99" s="230"/>
      <c r="AD99" s="230"/>
      <c r="AE99" s="230"/>
      <c r="AF99" s="230"/>
      <c r="AG99" s="230"/>
      <c r="AH99" s="230"/>
      <c r="AI99" s="230"/>
      <c r="AJ99" s="230"/>
      <c r="AK99" s="230"/>
      <c r="AL99" s="230"/>
      <c r="AM99" s="230"/>
      <c r="AN99" s="230"/>
      <c r="AO99" s="230"/>
      <c r="AP99" s="230"/>
      <c r="AQ99" s="230"/>
      <c r="AR99" s="230"/>
      <c r="AS99" s="230"/>
      <c r="AT99" s="230"/>
      <c r="AU99" s="230"/>
      <c r="AV99" s="230"/>
      <c r="AW99" s="230"/>
      <c r="AX99" s="230"/>
      <c r="AY99" s="230"/>
      <c r="AZ99" s="230"/>
      <c r="BA99" s="230"/>
      <c r="BB99" s="230"/>
      <c r="BC99" s="230"/>
      <c r="BD99" s="230"/>
      <c r="BE99" s="230"/>
      <c r="BF99" s="230"/>
      <c r="BG99" s="230"/>
    </row>
    <row r="100" spans="24:59"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</row>
  </sheetData>
  <mergeCells count="3">
    <mergeCell ref="D4:P4"/>
    <mergeCell ref="Q4:U4"/>
    <mergeCell ref="V4:AH4"/>
  </mergeCells>
  <phoneticPr fontId="21" type="noConversion"/>
  <conditionalFormatting sqref="D6:AH23 D7:P25">
    <cfRule type="cellIs" dxfId="192" priority="1" operator="notEqual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G1529"/>
  <sheetViews>
    <sheetView zoomScale="80" zoomScaleNormal="80" workbookViewId="0">
      <pane ySplit="2" topLeftCell="A3" activePane="bottomLeft" state="frozen"/>
      <selection sqref="A1:XFD1048576"/>
      <selection pane="bottomLeft" activeCell="M44" sqref="M44"/>
    </sheetView>
  </sheetViews>
  <sheetFormatPr defaultRowHeight="12.75"/>
  <cols>
    <col min="1" max="1" width="8.375" style="126" customWidth="1"/>
    <col min="2" max="2" width="10.375" style="126" customWidth="1"/>
    <col min="3" max="3" width="11.125" style="126" customWidth="1"/>
    <col min="4" max="4" width="11.125" style="213" customWidth="1"/>
    <col min="5" max="5" width="9" style="125" customWidth="1"/>
    <col min="6" max="6" width="9.125" style="126"/>
    <col min="7" max="7" width="8.75" style="125" customWidth="1"/>
    <col min="8" max="8" width="9.625" style="126" customWidth="1"/>
    <col min="9" max="9" width="9.125" style="126"/>
    <col min="10" max="10" width="9.25" style="126" customWidth="1"/>
    <col min="11" max="11" width="9.375" style="126" customWidth="1"/>
    <col min="12" max="12" width="9.625" style="126" customWidth="1"/>
    <col min="13" max="13" width="10" style="126" customWidth="1"/>
    <col min="14" max="14" width="9.625" style="126" customWidth="1"/>
    <col min="15" max="15" width="9" style="126" customWidth="1"/>
    <col min="16" max="16" width="9.125" style="126"/>
    <col min="17" max="17" width="8.375" style="126" customWidth="1"/>
    <col min="18" max="18" width="8.75" style="126" customWidth="1"/>
    <col min="19" max="19" width="9.125" style="126"/>
    <col min="20" max="20" width="1.375" style="126" customWidth="1"/>
    <col min="21" max="21" width="11.625" style="126" bestFit="1" customWidth="1"/>
    <col min="22" max="22" width="7.125" style="126" customWidth="1"/>
    <col min="23" max="27" width="6.25" style="126" customWidth="1"/>
    <col min="28" max="28" width="7.75" style="126" customWidth="1"/>
    <col min="29" max="256" width="9.125" style="126"/>
    <col min="257" max="257" width="8.375" style="126" customWidth="1"/>
    <col min="258" max="258" width="10.375" style="126" customWidth="1"/>
    <col min="259" max="260" width="11.125" style="126" customWidth="1"/>
    <col min="261" max="261" width="9" style="126" customWidth="1"/>
    <col min="262" max="262" width="9.125" style="126"/>
    <col min="263" max="263" width="8.75" style="126" customWidth="1"/>
    <col min="264" max="264" width="9.625" style="126" customWidth="1"/>
    <col min="265" max="265" width="9.125" style="126"/>
    <col min="266" max="266" width="9.25" style="126" customWidth="1"/>
    <col min="267" max="267" width="9.375" style="126" customWidth="1"/>
    <col min="268" max="268" width="9.625" style="126" customWidth="1"/>
    <col min="269" max="269" width="10" style="126" customWidth="1"/>
    <col min="270" max="270" width="9.625" style="126" customWidth="1"/>
    <col min="271" max="271" width="9" style="126" customWidth="1"/>
    <col min="272" max="272" width="9.125" style="126"/>
    <col min="273" max="273" width="8.375" style="126" customWidth="1"/>
    <col min="274" max="274" width="8.75" style="126" customWidth="1"/>
    <col min="275" max="275" width="9.125" style="126"/>
    <col min="276" max="276" width="1.375" style="126" customWidth="1"/>
    <col min="277" max="277" width="11.625" style="126" bestFit="1" customWidth="1"/>
    <col min="278" max="278" width="7.125" style="126" customWidth="1"/>
    <col min="279" max="283" width="6.25" style="126" customWidth="1"/>
    <col min="284" max="284" width="7.75" style="126" customWidth="1"/>
    <col min="285" max="512" width="9.125" style="126"/>
    <col min="513" max="513" width="8.375" style="126" customWidth="1"/>
    <col min="514" max="514" width="10.375" style="126" customWidth="1"/>
    <col min="515" max="516" width="11.125" style="126" customWidth="1"/>
    <col min="517" max="517" width="9" style="126" customWidth="1"/>
    <col min="518" max="518" width="9.125" style="126"/>
    <col min="519" max="519" width="8.75" style="126" customWidth="1"/>
    <col min="520" max="520" width="9.625" style="126" customWidth="1"/>
    <col min="521" max="521" width="9.125" style="126"/>
    <col min="522" max="522" width="9.25" style="126" customWidth="1"/>
    <col min="523" max="523" width="9.375" style="126" customWidth="1"/>
    <col min="524" max="524" width="9.625" style="126" customWidth="1"/>
    <col min="525" max="525" width="10" style="126" customWidth="1"/>
    <col min="526" max="526" width="9.625" style="126" customWidth="1"/>
    <col min="527" max="527" width="9" style="126" customWidth="1"/>
    <col min="528" max="528" width="9.125" style="126"/>
    <col min="529" max="529" width="8.375" style="126" customWidth="1"/>
    <col min="530" max="530" width="8.75" style="126" customWidth="1"/>
    <col min="531" max="531" width="9.125" style="126"/>
    <col min="532" max="532" width="1.375" style="126" customWidth="1"/>
    <col min="533" max="533" width="11.625" style="126" bestFit="1" customWidth="1"/>
    <col min="534" max="534" width="7.125" style="126" customWidth="1"/>
    <col min="535" max="539" width="6.25" style="126" customWidth="1"/>
    <col min="540" max="540" width="7.75" style="126" customWidth="1"/>
    <col min="541" max="768" width="9.125" style="126"/>
    <col min="769" max="769" width="8.375" style="126" customWidth="1"/>
    <col min="770" max="770" width="10.375" style="126" customWidth="1"/>
    <col min="771" max="772" width="11.125" style="126" customWidth="1"/>
    <col min="773" max="773" width="9" style="126" customWidth="1"/>
    <col min="774" max="774" width="9.125" style="126"/>
    <col min="775" max="775" width="8.75" style="126" customWidth="1"/>
    <col min="776" max="776" width="9.625" style="126" customWidth="1"/>
    <col min="777" max="777" width="9.125" style="126"/>
    <col min="778" max="778" width="9.25" style="126" customWidth="1"/>
    <col min="779" max="779" width="9.375" style="126" customWidth="1"/>
    <col min="780" max="780" width="9.625" style="126" customWidth="1"/>
    <col min="781" max="781" width="10" style="126" customWidth="1"/>
    <col min="782" max="782" width="9.625" style="126" customWidth="1"/>
    <col min="783" max="783" width="9" style="126" customWidth="1"/>
    <col min="784" max="784" width="9.125" style="126"/>
    <col min="785" max="785" width="8.375" style="126" customWidth="1"/>
    <col min="786" max="786" width="8.75" style="126" customWidth="1"/>
    <col min="787" max="787" width="9.125" style="126"/>
    <col min="788" max="788" width="1.375" style="126" customWidth="1"/>
    <col min="789" max="789" width="11.625" style="126" bestFit="1" customWidth="1"/>
    <col min="790" max="790" width="7.125" style="126" customWidth="1"/>
    <col min="791" max="795" width="6.25" style="126" customWidth="1"/>
    <col min="796" max="796" width="7.75" style="126" customWidth="1"/>
    <col min="797" max="1024" width="9.125" style="126"/>
    <col min="1025" max="1025" width="8.375" style="126" customWidth="1"/>
    <col min="1026" max="1026" width="10.375" style="126" customWidth="1"/>
    <col min="1027" max="1028" width="11.125" style="126" customWidth="1"/>
    <col min="1029" max="1029" width="9" style="126" customWidth="1"/>
    <col min="1030" max="1030" width="9.125" style="126"/>
    <col min="1031" max="1031" width="8.75" style="126" customWidth="1"/>
    <col min="1032" max="1032" width="9.625" style="126" customWidth="1"/>
    <col min="1033" max="1033" width="9.125" style="126"/>
    <col min="1034" max="1034" width="9.25" style="126" customWidth="1"/>
    <col min="1035" max="1035" width="9.375" style="126" customWidth="1"/>
    <col min="1036" max="1036" width="9.625" style="126" customWidth="1"/>
    <col min="1037" max="1037" width="10" style="126" customWidth="1"/>
    <col min="1038" max="1038" width="9.625" style="126" customWidth="1"/>
    <col min="1039" max="1039" width="9" style="126" customWidth="1"/>
    <col min="1040" max="1040" width="9.125" style="126"/>
    <col min="1041" max="1041" width="8.375" style="126" customWidth="1"/>
    <col min="1042" max="1042" width="8.75" style="126" customWidth="1"/>
    <col min="1043" max="1043" width="9.125" style="126"/>
    <col min="1044" max="1044" width="1.375" style="126" customWidth="1"/>
    <col min="1045" max="1045" width="11.625" style="126" bestFit="1" customWidth="1"/>
    <col min="1046" max="1046" width="7.125" style="126" customWidth="1"/>
    <col min="1047" max="1051" width="6.25" style="126" customWidth="1"/>
    <col min="1052" max="1052" width="7.75" style="126" customWidth="1"/>
    <col min="1053" max="1280" width="9.125" style="126"/>
    <col min="1281" max="1281" width="8.375" style="126" customWidth="1"/>
    <col min="1282" max="1282" width="10.375" style="126" customWidth="1"/>
    <col min="1283" max="1284" width="11.125" style="126" customWidth="1"/>
    <col min="1285" max="1285" width="9" style="126" customWidth="1"/>
    <col min="1286" max="1286" width="9.125" style="126"/>
    <col min="1287" max="1287" width="8.75" style="126" customWidth="1"/>
    <col min="1288" max="1288" width="9.625" style="126" customWidth="1"/>
    <col min="1289" max="1289" width="9.125" style="126"/>
    <col min="1290" max="1290" width="9.25" style="126" customWidth="1"/>
    <col min="1291" max="1291" width="9.375" style="126" customWidth="1"/>
    <col min="1292" max="1292" width="9.625" style="126" customWidth="1"/>
    <col min="1293" max="1293" width="10" style="126" customWidth="1"/>
    <col min="1294" max="1294" width="9.625" style="126" customWidth="1"/>
    <col min="1295" max="1295" width="9" style="126" customWidth="1"/>
    <col min="1296" max="1296" width="9.125" style="126"/>
    <col min="1297" max="1297" width="8.375" style="126" customWidth="1"/>
    <col min="1298" max="1298" width="8.75" style="126" customWidth="1"/>
    <col min="1299" max="1299" width="9.125" style="126"/>
    <col min="1300" max="1300" width="1.375" style="126" customWidth="1"/>
    <col min="1301" max="1301" width="11.625" style="126" bestFit="1" customWidth="1"/>
    <col min="1302" max="1302" width="7.125" style="126" customWidth="1"/>
    <col min="1303" max="1307" width="6.25" style="126" customWidth="1"/>
    <col min="1308" max="1308" width="7.75" style="126" customWidth="1"/>
    <col min="1309" max="1536" width="9.125" style="126"/>
    <col min="1537" max="1537" width="8.375" style="126" customWidth="1"/>
    <col min="1538" max="1538" width="10.375" style="126" customWidth="1"/>
    <col min="1539" max="1540" width="11.125" style="126" customWidth="1"/>
    <col min="1541" max="1541" width="9" style="126" customWidth="1"/>
    <col min="1542" max="1542" width="9.125" style="126"/>
    <col min="1543" max="1543" width="8.75" style="126" customWidth="1"/>
    <col min="1544" max="1544" width="9.625" style="126" customWidth="1"/>
    <col min="1545" max="1545" width="9.125" style="126"/>
    <col min="1546" max="1546" width="9.25" style="126" customWidth="1"/>
    <col min="1547" max="1547" width="9.375" style="126" customWidth="1"/>
    <col min="1548" max="1548" width="9.625" style="126" customWidth="1"/>
    <col min="1549" max="1549" width="10" style="126" customWidth="1"/>
    <col min="1550" max="1550" width="9.625" style="126" customWidth="1"/>
    <col min="1551" max="1551" width="9" style="126" customWidth="1"/>
    <col min="1552" max="1552" width="9.125" style="126"/>
    <col min="1553" max="1553" width="8.375" style="126" customWidth="1"/>
    <col min="1554" max="1554" width="8.75" style="126" customWidth="1"/>
    <col min="1555" max="1555" width="9.125" style="126"/>
    <col min="1556" max="1556" width="1.375" style="126" customWidth="1"/>
    <col min="1557" max="1557" width="11.625" style="126" bestFit="1" customWidth="1"/>
    <col min="1558" max="1558" width="7.125" style="126" customWidth="1"/>
    <col min="1559" max="1563" width="6.25" style="126" customWidth="1"/>
    <col min="1564" max="1564" width="7.75" style="126" customWidth="1"/>
    <col min="1565" max="1792" width="9.125" style="126"/>
    <col min="1793" max="1793" width="8.375" style="126" customWidth="1"/>
    <col min="1794" max="1794" width="10.375" style="126" customWidth="1"/>
    <col min="1795" max="1796" width="11.125" style="126" customWidth="1"/>
    <col min="1797" max="1797" width="9" style="126" customWidth="1"/>
    <col min="1798" max="1798" width="9.125" style="126"/>
    <col min="1799" max="1799" width="8.75" style="126" customWidth="1"/>
    <col min="1800" max="1800" width="9.625" style="126" customWidth="1"/>
    <col min="1801" max="1801" width="9.125" style="126"/>
    <col min="1802" max="1802" width="9.25" style="126" customWidth="1"/>
    <col min="1803" max="1803" width="9.375" style="126" customWidth="1"/>
    <col min="1804" max="1804" width="9.625" style="126" customWidth="1"/>
    <col min="1805" max="1805" width="10" style="126" customWidth="1"/>
    <col min="1806" max="1806" width="9.625" style="126" customWidth="1"/>
    <col min="1807" max="1807" width="9" style="126" customWidth="1"/>
    <col min="1808" max="1808" width="9.125" style="126"/>
    <col min="1809" max="1809" width="8.375" style="126" customWidth="1"/>
    <col min="1810" max="1810" width="8.75" style="126" customWidth="1"/>
    <col min="1811" max="1811" width="9.125" style="126"/>
    <col min="1812" max="1812" width="1.375" style="126" customWidth="1"/>
    <col min="1813" max="1813" width="11.625" style="126" bestFit="1" customWidth="1"/>
    <col min="1814" max="1814" width="7.125" style="126" customWidth="1"/>
    <col min="1815" max="1819" width="6.25" style="126" customWidth="1"/>
    <col min="1820" max="1820" width="7.75" style="126" customWidth="1"/>
    <col min="1821" max="2048" width="9.125" style="126"/>
    <col min="2049" max="2049" width="8.375" style="126" customWidth="1"/>
    <col min="2050" max="2050" width="10.375" style="126" customWidth="1"/>
    <col min="2051" max="2052" width="11.125" style="126" customWidth="1"/>
    <col min="2053" max="2053" width="9" style="126" customWidth="1"/>
    <col min="2054" max="2054" width="9.125" style="126"/>
    <col min="2055" max="2055" width="8.75" style="126" customWidth="1"/>
    <col min="2056" max="2056" width="9.625" style="126" customWidth="1"/>
    <col min="2057" max="2057" width="9.125" style="126"/>
    <col min="2058" max="2058" width="9.25" style="126" customWidth="1"/>
    <col min="2059" max="2059" width="9.375" style="126" customWidth="1"/>
    <col min="2060" max="2060" width="9.625" style="126" customWidth="1"/>
    <col min="2061" max="2061" width="10" style="126" customWidth="1"/>
    <col min="2062" max="2062" width="9.625" style="126" customWidth="1"/>
    <col min="2063" max="2063" width="9" style="126" customWidth="1"/>
    <col min="2064" max="2064" width="9.125" style="126"/>
    <col min="2065" max="2065" width="8.375" style="126" customWidth="1"/>
    <col min="2066" max="2066" width="8.75" style="126" customWidth="1"/>
    <col min="2067" max="2067" width="9.125" style="126"/>
    <col min="2068" max="2068" width="1.375" style="126" customWidth="1"/>
    <col min="2069" max="2069" width="11.625" style="126" bestFit="1" customWidth="1"/>
    <col min="2070" max="2070" width="7.125" style="126" customWidth="1"/>
    <col min="2071" max="2075" width="6.25" style="126" customWidth="1"/>
    <col min="2076" max="2076" width="7.75" style="126" customWidth="1"/>
    <col min="2077" max="2304" width="9.125" style="126"/>
    <col min="2305" max="2305" width="8.375" style="126" customWidth="1"/>
    <col min="2306" max="2306" width="10.375" style="126" customWidth="1"/>
    <col min="2307" max="2308" width="11.125" style="126" customWidth="1"/>
    <col min="2309" max="2309" width="9" style="126" customWidth="1"/>
    <col min="2310" max="2310" width="9.125" style="126"/>
    <col min="2311" max="2311" width="8.75" style="126" customWidth="1"/>
    <col min="2312" max="2312" width="9.625" style="126" customWidth="1"/>
    <col min="2313" max="2313" width="9.125" style="126"/>
    <col min="2314" max="2314" width="9.25" style="126" customWidth="1"/>
    <col min="2315" max="2315" width="9.375" style="126" customWidth="1"/>
    <col min="2316" max="2316" width="9.625" style="126" customWidth="1"/>
    <col min="2317" max="2317" width="10" style="126" customWidth="1"/>
    <col min="2318" max="2318" width="9.625" style="126" customWidth="1"/>
    <col min="2319" max="2319" width="9" style="126" customWidth="1"/>
    <col min="2320" max="2320" width="9.125" style="126"/>
    <col min="2321" max="2321" width="8.375" style="126" customWidth="1"/>
    <col min="2322" max="2322" width="8.75" style="126" customWidth="1"/>
    <col min="2323" max="2323" width="9.125" style="126"/>
    <col min="2324" max="2324" width="1.375" style="126" customWidth="1"/>
    <col min="2325" max="2325" width="11.625" style="126" bestFit="1" customWidth="1"/>
    <col min="2326" max="2326" width="7.125" style="126" customWidth="1"/>
    <col min="2327" max="2331" width="6.25" style="126" customWidth="1"/>
    <col min="2332" max="2332" width="7.75" style="126" customWidth="1"/>
    <col min="2333" max="2560" width="9.125" style="126"/>
    <col min="2561" max="2561" width="8.375" style="126" customWidth="1"/>
    <col min="2562" max="2562" width="10.375" style="126" customWidth="1"/>
    <col min="2563" max="2564" width="11.125" style="126" customWidth="1"/>
    <col min="2565" max="2565" width="9" style="126" customWidth="1"/>
    <col min="2566" max="2566" width="9.125" style="126"/>
    <col min="2567" max="2567" width="8.75" style="126" customWidth="1"/>
    <col min="2568" max="2568" width="9.625" style="126" customWidth="1"/>
    <col min="2569" max="2569" width="9.125" style="126"/>
    <col min="2570" max="2570" width="9.25" style="126" customWidth="1"/>
    <col min="2571" max="2571" width="9.375" style="126" customWidth="1"/>
    <col min="2572" max="2572" width="9.625" style="126" customWidth="1"/>
    <col min="2573" max="2573" width="10" style="126" customWidth="1"/>
    <col min="2574" max="2574" width="9.625" style="126" customWidth="1"/>
    <col min="2575" max="2575" width="9" style="126" customWidth="1"/>
    <col min="2576" max="2576" width="9.125" style="126"/>
    <col min="2577" max="2577" width="8.375" style="126" customWidth="1"/>
    <col min="2578" max="2578" width="8.75" style="126" customWidth="1"/>
    <col min="2579" max="2579" width="9.125" style="126"/>
    <col min="2580" max="2580" width="1.375" style="126" customWidth="1"/>
    <col min="2581" max="2581" width="11.625" style="126" bestFit="1" customWidth="1"/>
    <col min="2582" max="2582" width="7.125" style="126" customWidth="1"/>
    <col min="2583" max="2587" width="6.25" style="126" customWidth="1"/>
    <col min="2588" max="2588" width="7.75" style="126" customWidth="1"/>
    <col min="2589" max="2816" width="9.125" style="126"/>
    <col min="2817" max="2817" width="8.375" style="126" customWidth="1"/>
    <col min="2818" max="2818" width="10.375" style="126" customWidth="1"/>
    <col min="2819" max="2820" width="11.125" style="126" customWidth="1"/>
    <col min="2821" max="2821" width="9" style="126" customWidth="1"/>
    <col min="2822" max="2822" width="9.125" style="126"/>
    <col min="2823" max="2823" width="8.75" style="126" customWidth="1"/>
    <col min="2824" max="2824" width="9.625" style="126" customWidth="1"/>
    <col min="2825" max="2825" width="9.125" style="126"/>
    <col min="2826" max="2826" width="9.25" style="126" customWidth="1"/>
    <col min="2827" max="2827" width="9.375" style="126" customWidth="1"/>
    <col min="2828" max="2828" width="9.625" style="126" customWidth="1"/>
    <col min="2829" max="2829" width="10" style="126" customWidth="1"/>
    <col min="2830" max="2830" width="9.625" style="126" customWidth="1"/>
    <col min="2831" max="2831" width="9" style="126" customWidth="1"/>
    <col min="2832" max="2832" width="9.125" style="126"/>
    <col min="2833" max="2833" width="8.375" style="126" customWidth="1"/>
    <col min="2834" max="2834" width="8.75" style="126" customWidth="1"/>
    <col min="2835" max="2835" width="9.125" style="126"/>
    <col min="2836" max="2836" width="1.375" style="126" customWidth="1"/>
    <col min="2837" max="2837" width="11.625" style="126" bestFit="1" customWidth="1"/>
    <col min="2838" max="2838" width="7.125" style="126" customWidth="1"/>
    <col min="2839" max="2843" width="6.25" style="126" customWidth="1"/>
    <col min="2844" max="2844" width="7.75" style="126" customWidth="1"/>
    <col min="2845" max="3072" width="9.125" style="126"/>
    <col min="3073" max="3073" width="8.375" style="126" customWidth="1"/>
    <col min="3074" max="3074" width="10.375" style="126" customWidth="1"/>
    <col min="3075" max="3076" width="11.125" style="126" customWidth="1"/>
    <col min="3077" max="3077" width="9" style="126" customWidth="1"/>
    <col min="3078" max="3078" width="9.125" style="126"/>
    <col min="3079" max="3079" width="8.75" style="126" customWidth="1"/>
    <col min="3080" max="3080" width="9.625" style="126" customWidth="1"/>
    <col min="3081" max="3081" width="9.125" style="126"/>
    <col min="3082" max="3082" width="9.25" style="126" customWidth="1"/>
    <col min="3083" max="3083" width="9.375" style="126" customWidth="1"/>
    <col min="3084" max="3084" width="9.625" style="126" customWidth="1"/>
    <col min="3085" max="3085" width="10" style="126" customWidth="1"/>
    <col min="3086" max="3086" width="9.625" style="126" customWidth="1"/>
    <col min="3087" max="3087" width="9" style="126" customWidth="1"/>
    <col min="3088" max="3088" width="9.125" style="126"/>
    <col min="3089" max="3089" width="8.375" style="126" customWidth="1"/>
    <col min="3090" max="3090" width="8.75" style="126" customWidth="1"/>
    <col min="3091" max="3091" width="9.125" style="126"/>
    <col min="3092" max="3092" width="1.375" style="126" customWidth="1"/>
    <col min="3093" max="3093" width="11.625" style="126" bestFit="1" customWidth="1"/>
    <col min="3094" max="3094" width="7.125" style="126" customWidth="1"/>
    <col min="3095" max="3099" width="6.25" style="126" customWidth="1"/>
    <col min="3100" max="3100" width="7.75" style="126" customWidth="1"/>
    <col min="3101" max="3328" width="9.125" style="126"/>
    <col min="3329" max="3329" width="8.375" style="126" customWidth="1"/>
    <col min="3330" max="3330" width="10.375" style="126" customWidth="1"/>
    <col min="3331" max="3332" width="11.125" style="126" customWidth="1"/>
    <col min="3333" max="3333" width="9" style="126" customWidth="1"/>
    <col min="3334" max="3334" width="9.125" style="126"/>
    <col min="3335" max="3335" width="8.75" style="126" customWidth="1"/>
    <col min="3336" max="3336" width="9.625" style="126" customWidth="1"/>
    <col min="3337" max="3337" width="9.125" style="126"/>
    <col min="3338" max="3338" width="9.25" style="126" customWidth="1"/>
    <col min="3339" max="3339" width="9.375" style="126" customWidth="1"/>
    <col min="3340" max="3340" width="9.625" style="126" customWidth="1"/>
    <col min="3341" max="3341" width="10" style="126" customWidth="1"/>
    <col min="3342" max="3342" width="9.625" style="126" customWidth="1"/>
    <col min="3343" max="3343" width="9" style="126" customWidth="1"/>
    <col min="3344" max="3344" width="9.125" style="126"/>
    <col min="3345" max="3345" width="8.375" style="126" customWidth="1"/>
    <col min="3346" max="3346" width="8.75" style="126" customWidth="1"/>
    <col min="3347" max="3347" width="9.125" style="126"/>
    <col min="3348" max="3348" width="1.375" style="126" customWidth="1"/>
    <col min="3349" max="3349" width="11.625" style="126" bestFit="1" customWidth="1"/>
    <col min="3350" max="3350" width="7.125" style="126" customWidth="1"/>
    <col min="3351" max="3355" width="6.25" style="126" customWidth="1"/>
    <col min="3356" max="3356" width="7.75" style="126" customWidth="1"/>
    <col min="3357" max="3584" width="9.125" style="126"/>
    <col min="3585" max="3585" width="8.375" style="126" customWidth="1"/>
    <col min="3586" max="3586" width="10.375" style="126" customWidth="1"/>
    <col min="3587" max="3588" width="11.125" style="126" customWidth="1"/>
    <col min="3589" max="3589" width="9" style="126" customWidth="1"/>
    <col min="3590" max="3590" width="9.125" style="126"/>
    <col min="3591" max="3591" width="8.75" style="126" customWidth="1"/>
    <col min="3592" max="3592" width="9.625" style="126" customWidth="1"/>
    <col min="3593" max="3593" width="9.125" style="126"/>
    <col min="3594" max="3594" width="9.25" style="126" customWidth="1"/>
    <col min="3595" max="3595" width="9.375" style="126" customWidth="1"/>
    <col min="3596" max="3596" width="9.625" style="126" customWidth="1"/>
    <col min="3597" max="3597" width="10" style="126" customWidth="1"/>
    <col min="3598" max="3598" width="9.625" style="126" customWidth="1"/>
    <col min="3599" max="3599" width="9" style="126" customWidth="1"/>
    <col min="3600" max="3600" width="9.125" style="126"/>
    <col min="3601" max="3601" width="8.375" style="126" customWidth="1"/>
    <col min="3602" max="3602" width="8.75" style="126" customWidth="1"/>
    <col min="3603" max="3603" width="9.125" style="126"/>
    <col min="3604" max="3604" width="1.375" style="126" customWidth="1"/>
    <col min="3605" max="3605" width="11.625" style="126" bestFit="1" customWidth="1"/>
    <col min="3606" max="3606" width="7.125" style="126" customWidth="1"/>
    <col min="3607" max="3611" width="6.25" style="126" customWidth="1"/>
    <col min="3612" max="3612" width="7.75" style="126" customWidth="1"/>
    <col min="3613" max="3840" width="9.125" style="126"/>
    <col min="3841" max="3841" width="8.375" style="126" customWidth="1"/>
    <col min="3842" max="3842" width="10.375" style="126" customWidth="1"/>
    <col min="3843" max="3844" width="11.125" style="126" customWidth="1"/>
    <col min="3845" max="3845" width="9" style="126" customWidth="1"/>
    <col min="3846" max="3846" width="9.125" style="126"/>
    <col min="3847" max="3847" width="8.75" style="126" customWidth="1"/>
    <col min="3848" max="3848" width="9.625" style="126" customWidth="1"/>
    <col min="3849" max="3849" width="9.125" style="126"/>
    <col min="3850" max="3850" width="9.25" style="126" customWidth="1"/>
    <col min="3851" max="3851" width="9.375" style="126" customWidth="1"/>
    <col min="3852" max="3852" width="9.625" style="126" customWidth="1"/>
    <col min="3853" max="3853" width="10" style="126" customWidth="1"/>
    <col min="3854" max="3854" width="9.625" style="126" customWidth="1"/>
    <col min="3855" max="3855" width="9" style="126" customWidth="1"/>
    <col min="3856" max="3856" width="9.125" style="126"/>
    <col min="3857" max="3857" width="8.375" style="126" customWidth="1"/>
    <col min="3858" max="3858" width="8.75" style="126" customWidth="1"/>
    <col min="3859" max="3859" width="9.125" style="126"/>
    <col min="3860" max="3860" width="1.375" style="126" customWidth="1"/>
    <col min="3861" max="3861" width="11.625" style="126" bestFit="1" customWidth="1"/>
    <col min="3862" max="3862" width="7.125" style="126" customWidth="1"/>
    <col min="3863" max="3867" width="6.25" style="126" customWidth="1"/>
    <col min="3868" max="3868" width="7.75" style="126" customWidth="1"/>
    <col min="3869" max="4096" width="9.125" style="126"/>
    <col min="4097" max="4097" width="8.375" style="126" customWidth="1"/>
    <col min="4098" max="4098" width="10.375" style="126" customWidth="1"/>
    <col min="4099" max="4100" width="11.125" style="126" customWidth="1"/>
    <col min="4101" max="4101" width="9" style="126" customWidth="1"/>
    <col min="4102" max="4102" width="9.125" style="126"/>
    <col min="4103" max="4103" width="8.75" style="126" customWidth="1"/>
    <col min="4104" max="4104" width="9.625" style="126" customWidth="1"/>
    <col min="4105" max="4105" width="9.125" style="126"/>
    <col min="4106" max="4106" width="9.25" style="126" customWidth="1"/>
    <col min="4107" max="4107" width="9.375" style="126" customWidth="1"/>
    <col min="4108" max="4108" width="9.625" style="126" customWidth="1"/>
    <col min="4109" max="4109" width="10" style="126" customWidth="1"/>
    <col min="4110" max="4110" width="9.625" style="126" customWidth="1"/>
    <col min="4111" max="4111" width="9" style="126" customWidth="1"/>
    <col min="4112" max="4112" width="9.125" style="126"/>
    <col min="4113" max="4113" width="8.375" style="126" customWidth="1"/>
    <col min="4114" max="4114" width="8.75" style="126" customWidth="1"/>
    <col min="4115" max="4115" width="9.125" style="126"/>
    <col min="4116" max="4116" width="1.375" style="126" customWidth="1"/>
    <col min="4117" max="4117" width="11.625" style="126" bestFit="1" customWidth="1"/>
    <col min="4118" max="4118" width="7.125" style="126" customWidth="1"/>
    <col min="4119" max="4123" width="6.25" style="126" customWidth="1"/>
    <col min="4124" max="4124" width="7.75" style="126" customWidth="1"/>
    <col min="4125" max="4352" width="9.125" style="126"/>
    <col min="4353" max="4353" width="8.375" style="126" customWidth="1"/>
    <col min="4354" max="4354" width="10.375" style="126" customWidth="1"/>
    <col min="4355" max="4356" width="11.125" style="126" customWidth="1"/>
    <col min="4357" max="4357" width="9" style="126" customWidth="1"/>
    <col min="4358" max="4358" width="9.125" style="126"/>
    <col min="4359" max="4359" width="8.75" style="126" customWidth="1"/>
    <col min="4360" max="4360" width="9.625" style="126" customWidth="1"/>
    <col min="4361" max="4361" width="9.125" style="126"/>
    <col min="4362" max="4362" width="9.25" style="126" customWidth="1"/>
    <col min="4363" max="4363" width="9.375" style="126" customWidth="1"/>
    <col min="4364" max="4364" width="9.625" style="126" customWidth="1"/>
    <col min="4365" max="4365" width="10" style="126" customWidth="1"/>
    <col min="4366" max="4366" width="9.625" style="126" customWidth="1"/>
    <col min="4367" max="4367" width="9" style="126" customWidth="1"/>
    <col min="4368" max="4368" width="9.125" style="126"/>
    <col min="4369" max="4369" width="8.375" style="126" customWidth="1"/>
    <col min="4370" max="4370" width="8.75" style="126" customWidth="1"/>
    <col min="4371" max="4371" width="9.125" style="126"/>
    <col min="4372" max="4372" width="1.375" style="126" customWidth="1"/>
    <col min="4373" max="4373" width="11.625" style="126" bestFit="1" customWidth="1"/>
    <col min="4374" max="4374" width="7.125" style="126" customWidth="1"/>
    <col min="4375" max="4379" width="6.25" style="126" customWidth="1"/>
    <col min="4380" max="4380" width="7.75" style="126" customWidth="1"/>
    <col min="4381" max="4608" width="9.125" style="126"/>
    <col min="4609" max="4609" width="8.375" style="126" customWidth="1"/>
    <col min="4610" max="4610" width="10.375" style="126" customWidth="1"/>
    <col min="4611" max="4612" width="11.125" style="126" customWidth="1"/>
    <col min="4613" max="4613" width="9" style="126" customWidth="1"/>
    <col min="4614" max="4614" width="9.125" style="126"/>
    <col min="4615" max="4615" width="8.75" style="126" customWidth="1"/>
    <col min="4616" max="4616" width="9.625" style="126" customWidth="1"/>
    <col min="4617" max="4617" width="9.125" style="126"/>
    <col min="4618" max="4618" width="9.25" style="126" customWidth="1"/>
    <col min="4619" max="4619" width="9.375" style="126" customWidth="1"/>
    <col min="4620" max="4620" width="9.625" style="126" customWidth="1"/>
    <col min="4621" max="4621" width="10" style="126" customWidth="1"/>
    <col min="4622" max="4622" width="9.625" style="126" customWidth="1"/>
    <col min="4623" max="4623" width="9" style="126" customWidth="1"/>
    <col min="4624" max="4624" width="9.125" style="126"/>
    <col min="4625" max="4625" width="8.375" style="126" customWidth="1"/>
    <col min="4626" max="4626" width="8.75" style="126" customWidth="1"/>
    <col min="4627" max="4627" width="9.125" style="126"/>
    <col min="4628" max="4628" width="1.375" style="126" customWidth="1"/>
    <col min="4629" max="4629" width="11.625" style="126" bestFit="1" customWidth="1"/>
    <col min="4630" max="4630" width="7.125" style="126" customWidth="1"/>
    <col min="4631" max="4635" width="6.25" style="126" customWidth="1"/>
    <col min="4636" max="4636" width="7.75" style="126" customWidth="1"/>
    <col min="4637" max="4864" width="9.125" style="126"/>
    <col min="4865" max="4865" width="8.375" style="126" customWidth="1"/>
    <col min="4866" max="4866" width="10.375" style="126" customWidth="1"/>
    <col min="4867" max="4868" width="11.125" style="126" customWidth="1"/>
    <col min="4869" max="4869" width="9" style="126" customWidth="1"/>
    <col min="4870" max="4870" width="9.125" style="126"/>
    <col min="4871" max="4871" width="8.75" style="126" customWidth="1"/>
    <col min="4872" max="4872" width="9.625" style="126" customWidth="1"/>
    <col min="4873" max="4873" width="9.125" style="126"/>
    <col min="4874" max="4874" width="9.25" style="126" customWidth="1"/>
    <col min="4875" max="4875" width="9.375" style="126" customWidth="1"/>
    <col min="4876" max="4876" width="9.625" style="126" customWidth="1"/>
    <col min="4877" max="4877" width="10" style="126" customWidth="1"/>
    <col min="4878" max="4878" width="9.625" style="126" customWidth="1"/>
    <col min="4879" max="4879" width="9" style="126" customWidth="1"/>
    <col min="4880" max="4880" width="9.125" style="126"/>
    <col min="4881" max="4881" width="8.375" style="126" customWidth="1"/>
    <col min="4882" max="4882" width="8.75" style="126" customWidth="1"/>
    <col min="4883" max="4883" width="9.125" style="126"/>
    <col min="4884" max="4884" width="1.375" style="126" customWidth="1"/>
    <col min="4885" max="4885" width="11.625" style="126" bestFit="1" customWidth="1"/>
    <col min="4886" max="4886" width="7.125" style="126" customWidth="1"/>
    <col min="4887" max="4891" width="6.25" style="126" customWidth="1"/>
    <col min="4892" max="4892" width="7.75" style="126" customWidth="1"/>
    <col min="4893" max="5120" width="9.125" style="126"/>
    <col min="5121" max="5121" width="8.375" style="126" customWidth="1"/>
    <col min="5122" max="5122" width="10.375" style="126" customWidth="1"/>
    <col min="5123" max="5124" width="11.125" style="126" customWidth="1"/>
    <col min="5125" max="5125" width="9" style="126" customWidth="1"/>
    <col min="5126" max="5126" width="9.125" style="126"/>
    <col min="5127" max="5127" width="8.75" style="126" customWidth="1"/>
    <col min="5128" max="5128" width="9.625" style="126" customWidth="1"/>
    <col min="5129" max="5129" width="9.125" style="126"/>
    <col min="5130" max="5130" width="9.25" style="126" customWidth="1"/>
    <col min="5131" max="5131" width="9.375" style="126" customWidth="1"/>
    <col min="5132" max="5132" width="9.625" style="126" customWidth="1"/>
    <col min="5133" max="5133" width="10" style="126" customWidth="1"/>
    <col min="5134" max="5134" width="9.625" style="126" customWidth="1"/>
    <col min="5135" max="5135" width="9" style="126" customWidth="1"/>
    <col min="5136" max="5136" width="9.125" style="126"/>
    <col min="5137" max="5137" width="8.375" style="126" customWidth="1"/>
    <col min="5138" max="5138" width="8.75" style="126" customWidth="1"/>
    <col min="5139" max="5139" width="9.125" style="126"/>
    <col min="5140" max="5140" width="1.375" style="126" customWidth="1"/>
    <col min="5141" max="5141" width="11.625" style="126" bestFit="1" customWidth="1"/>
    <col min="5142" max="5142" width="7.125" style="126" customWidth="1"/>
    <col min="5143" max="5147" width="6.25" style="126" customWidth="1"/>
    <col min="5148" max="5148" width="7.75" style="126" customWidth="1"/>
    <col min="5149" max="5376" width="9.125" style="126"/>
    <col min="5377" max="5377" width="8.375" style="126" customWidth="1"/>
    <col min="5378" max="5378" width="10.375" style="126" customWidth="1"/>
    <col min="5379" max="5380" width="11.125" style="126" customWidth="1"/>
    <col min="5381" max="5381" width="9" style="126" customWidth="1"/>
    <col min="5382" max="5382" width="9.125" style="126"/>
    <col min="5383" max="5383" width="8.75" style="126" customWidth="1"/>
    <col min="5384" max="5384" width="9.625" style="126" customWidth="1"/>
    <col min="5385" max="5385" width="9.125" style="126"/>
    <col min="5386" max="5386" width="9.25" style="126" customWidth="1"/>
    <col min="5387" max="5387" width="9.375" style="126" customWidth="1"/>
    <col min="5388" max="5388" width="9.625" style="126" customWidth="1"/>
    <col min="5389" max="5389" width="10" style="126" customWidth="1"/>
    <col min="5390" max="5390" width="9.625" style="126" customWidth="1"/>
    <col min="5391" max="5391" width="9" style="126" customWidth="1"/>
    <col min="5392" max="5392" width="9.125" style="126"/>
    <col min="5393" max="5393" width="8.375" style="126" customWidth="1"/>
    <col min="5394" max="5394" width="8.75" style="126" customWidth="1"/>
    <col min="5395" max="5395" width="9.125" style="126"/>
    <col min="5396" max="5396" width="1.375" style="126" customWidth="1"/>
    <col min="5397" max="5397" width="11.625" style="126" bestFit="1" customWidth="1"/>
    <col min="5398" max="5398" width="7.125" style="126" customWidth="1"/>
    <col min="5399" max="5403" width="6.25" style="126" customWidth="1"/>
    <col min="5404" max="5404" width="7.75" style="126" customWidth="1"/>
    <col min="5405" max="5632" width="9.125" style="126"/>
    <col min="5633" max="5633" width="8.375" style="126" customWidth="1"/>
    <col min="5634" max="5634" width="10.375" style="126" customWidth="1"/>
    <col min="5635" max="5636" width="11.125" style="126" customWidth="1"/>
    <col min="5637" max="5637" width="9" style="126" customWidth="1"/>
    <col min="5638" max="5638" width="9.125" style="126"/>
    <col min="5639" max="5639" width="8.75" style="126" customWidth="1"/>
    <col min="5640" max="5640" width="9.625" style="126" customWidth="1"/>
    <col min="5641" max="5641" width="9.125" style="126"/>
    <col min="5642" max="5642" width="9.25" style="126" customWidth="1"/>
    <col min="5643" max="5643" width="9.375" style="126" customWidth="1"/>
    <col min="5644" max="5644" width="9.625" style="126" customWidth="1"/>
    <col min="5645" max="5645" width="10" style="126" customWidth="1"/>
    <col min="5646" max="5646" width="9.625" style="126" customWidth="1"/>
    <col min="5647" max="5647" width="9" style="126" customWidth="1"/>
    <col min="5648" max="5648" width="9.125" style="126"/>
    <col min="5649" max="5649" width="8.375" style="126" customWidth="1"/>
    <col min="5650" max="5650" width="8.75" style="126" customWidth="1"/>
    <col min="5651" max="5651" width="9.125" style="126"/>
    <col min="5652" max="5652" width="1.375" style="126" customWidth="1"/>
    <col min="5653" max="5653" width="11.625" style="126" bestFit="1" customWidth="1"/>
    <col min="5654" max="5654" width="7.125" style="126" customWidth="1"/>
    <col min="5655" max="5659" width="6.25" style="126" customWidth="1"/>
    <col min="5660" max="5660" width="7.75" style="126" customWidth="1"/>
    <col min="5661" max="5888" width="9.125" style="126"/>
    <col min="5889" max="5889" width="8.375" style="126" customWidth="1"/>
    <col min="5890" max="5890" width="10.375" style="126" customWidth="1"/>
    <col min="5891" max="5892" width="11.125" style="126" customWidth="1"/>
    <col min="5893" max="5893" width="9" style="126" customWidth="1"/>
    <col min="5894" max="5894" width="9.125" style="126"/>
    <col min="5895" max="5895" width="8.75" style="126" customWidth="1"/>
    <col min="5896" max="5896" width="9.625" style="126" customWidth="1"/>
    <col min="5897" max="5897" width="9.125" style="126"/>
    <col min="5898" max="5898" width="9.25" style="126" customWidth="1"/>
    <col min="5899" max="5899" width="9.375" style="126" customWidth="1"/>
    <col min="5900" max="5900" width="9.625" style="126" customWidth="1"/>
    <col min="5901" max="5901" width="10" style="126" customWidth="1"/>
    <col min="5902" max="5902" width="9.625" style="126" customWidth="1"/>
    <col min="5903" max="5903" width="9" style="126" customWidth="1"/>
    <col min="5904" max="5904" width="9.125" style="126"/>
    <col min="5905" max="5905" width="8.375" style="126" customWidth="1"/>
    <col min="5906" max="5906" width="8.75" style="126" customWidth="1"/>
    <col min="5907" max="5907" width="9.125" style="126"/>
    <col min="5908" max="5908" width="1.375" style="126" customWidth="1"/>
    <col min="5909" max="5909" width="11.625" style="126" bestFit="1" customWidth="1"/>
    <col min="5910" max="5910" width="7.125" style="126" customWidth="1"/>
    <col min="5911" max="5915" width="6.25" style="126" customWidth="1"/>
    <col min="5916" max="5916" width="7.75" style="126" customWidth="1"/>
    <col min="5917" max="6144" width="9.125" style="126"/>
    <col min="6145" max="6145" width="8.375" style="126" customWidth="1"/>
    <col min="6146" max="6146" width="10.375" style="126" customWidth="1"/>
    <col min="6147" max="6148" width="11.125" style="126" customWidth="1"/>
    <col min="6149" max="6149" width="9" style="126" customWidth="1"/>
    <col min="6150" max="6150" width="9.125" style="126"/>
    <col min="6151" max="6151" width="8.75" style="126" customWidth="1"/>
    <col min="6152" max="6152" width="9.625" style="126" customWidth="1"/>
    <col min="6153" max="6153" width="9.125" style="126"/>
    <col min="6154" max="6154" width="9.25" style="126" customWidth="1"/>
    <col min="6155" max="6155" width="9.375" style="126" customWidth="1"/>
    <col min="6156" max="6156" width="9.625" style="126" customWidth="1"/>
    <col min="6157" max="6157" width="10" style="126" customWidth="1"/>
    <col min="6158" max="6158" width="9.625" style="126" customWidth="1"/>
    <col min="6159" max="6159" width="9" style="126" customWidth="1"/>
    <col min="6160" max="6160" width="9.125" style="126"/>
    <col min="6161" max="6161" width="8.375" style="126" customWidth="1"/>
    <col min="6162" max="6162" width="8.75" style="126" customWidth="1"/>
    <col min="6163" max="6163" width="9.125" style="126"/>
    <col min="6164" max="6164" width="1.375" style="126" customWidth="1"/>
    <col min="6165" max="6165" width="11.625" style="126" bestFit="1" customWidth="1"/>
    <col min="6166" max="6166" width="7.125" style="126" customWidth="1"/>
    <col min="6167" max="6171" width="6.25" style="126" customWidth="1"/>
    <col min="6172" max="6172" width="7.75" style="126" customWidth="1"/>
    <col min="6173" max="6400" width="9.125" style="126"/>
    <col min="6401" max="6401" width="8.375" style="126" customWidth="1"/>
    <col min="6402" max="6402" width="10.375" style="126" customWidth="1"/>
    <col min="6403" max="6404" width="11.125" style="126" customWidth="1"/>
    <col min="6405" max="6405" width="9" style="126" customWidth="1"/>
    <col min="6406" max="6406" width="9.125" style="126"/>
    <col min="6407" max="6407" width="8.75" style="126" customWidth="1"/>
    <col min="6408" max="6408" width="9.625" style="126" customWidth="1"/>
    <col min="6409" max="6409" width="9.125" style="126"/>
    <col min="6410" max="6410" width="9.25" style="126" customWidth="1"/>
    <col min="6411" max="6411" width="9.375" style="126" customWidth="1"/>
    <col min="6412" max="6412" width="9.625" style="126" customWidth="1"/>
    <col min="6413" max="6413" width="10" style="126" customWidth="1"/>
    <col min="6414" max="6414" width="9.625" style="126" customWidth="1"/>
    <col min="6415" max="6415" width="9" style="126" customWidth="1"/>
    <col min="6416" max="6416" width="9.125" style="126"/>
    <col min="6417" max="6417" width="8.375" style="126" customWidth="1"/>
    <col min="6418" max="6418" width="8.75" style="126" customWidth="1"/>
    <col min="6419" max="6419" width="9.125" style="126"/>
    <col min="6420" max="6420" width="1.375" style="126" customWidth="1"/>
    <col min="6421" max="6421" width="11.625" style="126" bestFit="1" customWidth="1"/>
    <col min="6422" max="6422" width="7.125" style="126" customWidth="1"/>
    <col min="6423" max="6427" width="6.25" style="126" customWidth="1"/>
    <col min="6428" max="6428" width="7.75" style="126" customWidth="1"/>
    <col min="6429" max="6656" width="9.125" style="126"/>
    <col min="6657" max="6657" width="8.375" style="126" customWidth="1"/>
    <col min="6658" max="6658" width="10.375" style="126" customWidth="1"/>
    <col min="6659" max="6660" width="11.125" style="126" customWidth="1"/>
    <col min="6661" max="6661" width="9" style="126" customWidth="1"/>
    <col min="6662" max="6662" width="9.125" style="126"/>
    <col min="6663" max="6663" width="8.75" style="126" customWidth="1"/>
    <col min="6664" max="6664" width="9.625" style="126" customWidth="1"/>
    <col min="6665" max="6665" width="9.125" style="126"/>
    <col min="6666" max="6666" width="9.25" style="126" customWidth="1"/>
    <col min="6667" max="6667" width="9.375" style="126" customWidth="1"/>
    <col min="6668" max="6668" width="9.625" style="126" customWidth="1"/>
    <col min="6669" max="6669" width="10" style="126" customWidth="1"/>
    <col min="6670" max="6670" width="9.625" style="126" customWidth="1"/>
    <col min="6671" max="6671" width="9" style="126" customWidth="1"/>
    <col min="6672" max="6672" width="9.125" style="126"/>
    <col min="6673" max="6673" width="8.375" style="126" customWidth="1"/>
    <col min="6674" max="6674" width="8.75" style="126" customWidth="1"/>
    <col min="6675" max="6675" width="9.125" style="126"/>
    <col min="6676" max="6676" width="1.375" style="126" customWidth="1"/>
    <col min="6677" max="6677" width="11.625" style="126" bestFit="1" customWidth="1"/>
    <col min="6678" max="6678" width="7.125" style="126" customWidth="1"/>
    <col min="6679" max="6683" width="6.25" style="126" customWidth="1"/>
    <col min="6684" max="6684" width="7.75" style="126" customWidth="1"/>
    <col min="6685" max="6912" width="9.125" style="126"/>
    <col min="6913" max="6913" width="8.375" style="126" customWidth="1"/>
    <col min="6914" max="6914" width="10.375" style="126" customWidth="1"/>
    <col min="6915" max="6916" width="11.125" style="126" customWidth="1"/>
    <col min="6917" max="6917" width="9" style="126" customWidth="1"/>
    <col min="6918" max="6918" width="9.125" style="126"/>
    <col min="6919" max="6919" width="8.75" style="126" customWidth="1"/>
    <col min="6920" max="6920" width="9.625" style="126" customWidth="1"/>
    <col min="6921" max="6921" width="9.125" style="126"/>
    <col min="6922" max="6922" width="9.25" style="126" customWidth="1"/>
    <col min="6923" max="6923" width="9.375" style="126" customWidth="1"/>
    <col min="6924" max="6924" width="9.625" style="126" customWidth="1"/>
    <col min="6925" max="6925" width="10" style="126" customWidth="1"/>
    <col min="6926" max="6926" width="9.625" style="126" customWidth="1"/>
    <col min="6927" max="6927" width="9" style="126" customWidth="1"/>
    <col min="6928" max="6928" width="9.125" style="126"/>
    <col min="6929" max="6929" width="8.375" style="126" customWidth="1"/>
    <col min="6930" max="6930" width="8.75" style="126" customWidth="1"/>
    <col min="6931" max="6931" width="9.125" style="126"/>
    <col min="6932" max="6932" width="1.375" style="126" customWidth="1"/>
    <col min="6933" max="6933" width="11.625" style="126" bestFit="1" customWidth="1"/>
    <col min="6934" max="6934" width="7.125" style="126" customWidth="1"/>
    <col min="6935" max="6939" width="6.25" style="126" customWidth="1"/>
    <col min="6940" max="6940" width="7.75" style="126" customWidth="1"/>
    <col min="6941" max="7168" width="9.125" style="126"/>
    <col min="7169" max="7169" width="8.375" style="126" customWidth="1"/>
    <col min="7170" max="7170" width="10.375" style="126" customWidth="1"/>
    <col min="7171" max="7172" width="11.125" style="126" customWidth="1"/>
    <col min="7173" max="7173" width="9" style="126" customWidth="1"/>
    <col min="7174" max="7174" width="9.125" style="126"/>
    <col min="7175" max="7175" width="8.75" style="126" customWidth="1"/>
    <col min="7176" max="7176" width="9.625" style="126" customWidth="1"/>
    <col min="7177" max="7177" width="9.125" style="126"/>
    <col min="7178" max="7178" width="9.25" style="126" customWidth="1"/>
    <col min="7179" max="7179" width="9.375" style="126" customWidth="1"/>
    <col min="7180" max="7180" width="9.625" style="126" customWidth="1"/>
    <col min="7181" max="7181" width="10" style="126" customWidth="1"/>
    <col min="7182" max="7182" width="9.625" style="126" customWidth="1"/>
    <col min="7183" max="7183" width="9" style="126" customWidth="1"/>
    <col min="7184" max="7184" width="9.125" style="126"/>
    <col min="7185" max="7185" width="8.375" style="126" customWidth="1"/>
    <col min="7186" max="7186" width="8.75" style="126" customWidth="1"/>
    <col min="7187" max="7187" width="9.125" style="126"/>
    <col min="7188" max="7188" width="1.375" style="126" customWidth="1"/>
    <col min="7189" max="7189" width="11.625" style="126" bestFit="1" customWidth="1"/>
    <col min="7190" max="7190" width="7.125" style="126" customWidth="1"/>
    <col min="7191" max="7195" width="6.25" style="126" customWidth="1"/>
    <col min="7196" max="7196" width="7.75" style="126" customWidth="1"/>
    <col min="7197" max="7424" width="9.125" style="126"/>
    <col min="7425" max="7425" width="8.375" style="126" customWidth="1"/>
    <col min="7426" max="7426" width="10.375" style="126" customWidth="1"/>
    <col min="7427" max="7428" width="11.125" style="126" customWidth="1"/>
    <col min="7429" max="7429" width="9" style="126" customWidth="1"/>
    <col min="7430" max="7430" width="9.125" style="126"/>
    <col min="7431" max="7431" width="8.75" style="126" customWidth="1"/>
    <col min="7432" max="7432" width="9.625" style="126" customWidth="1"/>
    <col min="7433" max="7433" width="9.125" style="126"/>
    <col min="7434" max="7434" width="9.25" style="126" customWidth="1"/>
    <col min="7435" max="7435" width="9.375" style="126" customWidth="1"/>
    <col min="7436" max="7436" width="9.625" style="126" customWidth="1"/>
    <col min="7437" max="7437" width="10" style="126" customWidth="1"/>
    <col min="7438" max="7438" width="9.625" style="126" customWidth="1"/>
    <col min="7439" max="7439" width="9" style="126" customWidth="1"/>
    <col min="7440" max="7440" width="9.125" style="126"/>
    <col min="7441" max="7441" width="8.375" style="126" customWidth="1"/>
    <col min="7442" max="7442" width="8.75" style="126" customWidth="1"/>
    <col min="7443" max="7443" width="9.125" style="126"/>
    <col min="7444" max="7444" width="1.375" style="126" customWidth="1"/>
    <col min="7445" max="7445" width="11.625" style="126" bestFit="1" customWidth="1"/>
    <col min="7446" max="7446" width="7.125" style="126" customWidth="1"/>
    <col min="7447" max="7451" width="6.25" style="126" customWidth="1"/>
    <col min="7452" max="7452" width="7.75" style="126" customWidth="1"/>
    <col min="7453" max="7680" width="9.125" style="126"/>
    <col min="7681" max="7681" width="8.375" style="126" customWidth="1"/>
    <col min="7682" max="7682" width="10.375" style="126" customWidth="1"/>
    <col min="7683" max="7684" width="11.125" style="126" customWidth="1"/>
    <col min="7685" max="7685" width="9" style="126" customWidth="1"/>
    <col min="7686" max="7686" width="9.125" style="126"/>
    <col min="7687" max="7687" width="8.75" style="126" customWidth="1"/>
    <col min="7688" max="7688" width="9.625" style="126" customWidth="1"/>
    <col min="7689" max="7689" width="9.125" style="126"/>
    <col min="7690" max="7690" width="9.25" style="126" customWidth="1"/>
    <col min="7691" max="7691" width="9.375" style="126" customWidth="1"/>
    <col min="7692" max="7692" width="9.625" style="126" customWidth="1"/>
    <col min="7693" max="7693" width="10" style="126" customWidth="1"/>
    <col min="7694" max="7694" width="9.625" style="126" customWidth="1"/>
    <col min="7695" max="7695" width="9" style="126" customWidth="1"/>
    <col min="7696" max="7696" width="9.125" style="126"/>
    <col min="7697" max="7697" width="8.375" style="126" customWidth="1"/>
    <col min="7698" max="7698" width="8.75" style="126" customWidth="1"/>
    <col min="7699" max="7699" width="9.125" style="126"/>
    <col min="7700" max="7700" width="1.375" style="126" customWidth="1"/>
    <col min="7701" max="7701" width="11.625" style="126" bestFit="1" customWidth="1"/>
    <col min="7702" max="7702" width="7.125" style="126" customWidth="1"/>
    <col min="7703" max="7707" width="6.25" style="126" customWidth="1"/>
    <col min="7708" max="7708" width="7.75" style="126" customWidth="1"/>
    <col min="7709" max="7936" width="9.125" style="126"/>
    <col min="7937" max="7937" width="8.375" style="126" customWidth="1"/>
    <col min="7938" max="7938" width="10.375" style="126" customWidth="1"/>
    <col min="7939" max="7940" width="11.125" style="126" customWidth="1"/>
    <col min="7941" max="7941" width="9" style="126" customWidth="1"/>
    <col min="7942" max="7942" width="9.125" style="126"/>
    <col min="7943" max="7943" width="8.75" style="126" customWidth="1"/>
    <col min="7944" max="7944" width="9.625" style="126" customWidth="1"/>
    <col min="7945" max="7945" width="9.125" style="126"/>
    <col min="7946" max="7946" width="9.25" style="126" customWidth="1"/>
    <col min="7947" max="7947" width="9.375" style="126" customWidth="1"/>
    <col min="7948" max="7948" width="9.625" style="126" customWidth="1"/>
    <col min="7949" max="7949" width="10" style="126" customWidth="1"/>
    <col min="7950" max="7950" width="9.625" style="126" customWidth="1"/>
    <col min="7951" max="7951" width="9" style="126" customWidth="1"/>
    <col min="7952" max="7952" width="9.125" style="126"/>
    <col min="7953" max="7953" width="8.375" style="126" customWidth="1"/>
    <col min="7954" max="7954" width="8.75" style="126" customWidth="1"/>
    <col min="7955" max="7955" width="9.125" style="126"/>
    <col min="7956" max="7956" width="1.375" style="126" customWidth="1"/>
    <col min="7957" max="7957" width="11.625" style="126" bestFit="1" customWidth="1"/>
    <col min="7958" max="7958" width="7.125" style="126" customWidth="1"/>
    <col min="7959" max="7963" width="6.25" style="126" customWidth="1"/>
    <col min="7964" max="7964" width="7.75" style="126" customWidth="1"/>
    <col min="7965" max="8192" width="9.125" style="126"/>
    <col min="8193" max="8193" width="8.375" style="126" customWidth="1"/>
    <col min="8194" max="8194" width="10.375" style="126" customWidth="1"/>
    <col min="8195" max="8196" width="11.125" style="126" customWidth="1"/>
    <col min="8197" max="8197" width="9" style="126" customWidth="1"/>
    <col min="8198" max="8198" width="9.125" style="126"/>
    <col min="8199" max="8199" width="8.75" style="126" customWidth="1"/>
    <col min="8200" max="8200" width="9.625" style="126" customWidth="1"/>
    <col min="8201" max="8201" width="9.125" style="126"/>
    <col min="8202" max="8202" width="9.25" style="126" customWidth="1"/>
    <col min="8203" max="8203" width="9.375" style="126" customWidth="1"/>
    <col min="8204" max="8204" width="9.625" style="126" customWidth="1"/>
    <col min="8205" max="8205" width="10" style="126" customWidth="1"/>
    <col min="8206" max="8206" width="9.625" style="126" customWidth="1"/>
    <col min="8207" max="8207" width="9" style="126" customWidth="1"/>
    <col min="8208" max="8208" width="9.125" style="126"/>
    <col min="8209" max="8209" width="8.375" style="126" customWidth="1"/>
    <col min="8210" max="8210" width="8.75" style="126" customWidth="1"/>
    <col min="8211" max="8211" width="9.125" style="126"/>
    <col min="8212" max="8212" width="1.375" style="126" customWidth="1"/>
    <col min="8213" max="8213" width="11.625" style="126" bestFit="1" customWidth="1"/>
    <col min="8214" max="8214" width="7.125" style="126" customWidth="1"/>
    <col min="8215" max="8219" width="6.25" style="126" customWidth="1"/>
    <col min="8220" max="8220" width="7.75" style="126" customWidth="1"/>
    <col min="8221" max="8448" width="9.125" style="126"/>
    <col min="8449" max="8449" width="8.375" style="126" customWidth="1"/>
    <col min="8450" max="8450" width="10.375" style="126" customWidth="1"/>
    <col min="8451" max="8452" width="11.125" style="126" customWidth="1"/>
    <col min="8453" max="8453" width="9" style="126" customWidth="1"/>
    <col min="8454" max="8454" width="9.125" style="126"/>
    <col min="8455" max="8455" width="8.75" style="126" customWidth="1"/>
    <col min="8456" max="8456" width="9.625" style="126" customWidth="1"/>
    <col min="8457" max="8457" width="9.125" style="126"/>
    <col min="8458" max="8458" width="9.25" style="126" customWidth="1"/>
    <col min="8459" max="8459" width="9.375" style="126" customWidth="1"/>
    <col min="8460" max="8460" width="9.625" style="126" customWidth="1"/>
    <col min="8461" max="8461" width="10" style="126" customWidth="1"/>
    <col min="8462" max="8462" width="9.625" style="126" customWidth="1"/>
    <col min="8463" max="8463" width="9" style="126" customWidth="1"/>
    <col min="8464" max="8464" width="9.125" style="126"/>
    <col min="8465" max="8465" width="8.375" style="126" customWidth="1"/>
    <col min="8466" max="8466" width="8.75" style="126" customWidth="1"/>
    <col min="8467" max="8467" width="9.125" style="126"/>
    <col min="8468" max="8468" width="1.375" style="126" customWidth="1"/>
    <col min="8469" max="8469" width="11.625" style="126" bestFit="1" customWidth="1"/>
    <col min="8470" max="8470" width="7.125" style="126" customWidth="1"/>
    <col min="8471" max="8475" width="6.25" style="126" customWidth="1"/>
    <col min="8476" max="8476" width="7.75" style="126" customWidth="1"/>
    <col min="8477" max="8704" width="9.125" style="126"/>
    <col min="8705" max="8705" width="8.375" style="126" customWidth="1"/>
    <col min="8706" max="8706" width="10.375" style="126" customWidth="1"/>
    <col min="8707" max="8708" width="11.125" style="126" customWidth="1"/>
    <col min="8709" max="8709" width="9" style="126" customWidth="1"/>
    <col min="8710" max="8710" width="9.125" style="126"/>
    <col min="8711" max="8711" width="8.75" style="126" customWidth="1"/>
    <col min="8712" max="8712" width="9.625" style="126" customWidth="1"/>
    <col min="8713" max="8713" width="9.125" style="126"/>
    <col min="8714" max="8714" width="9.25" style="126" customWidth="1"/>
    <col min="8715" max="8715" width="9.375" style="126" customWidth="1"/>
    <col min="8716" max="8716" width="9.625" style="126" customWidth="1"/>
    <col min="8717" max="8717" width="10" style="126" customWidth="1"/>
    <col min="8718" max="8718" width="9.625" style="126" customWidth="1"/>
    <col min="8719" max="8719" width="9" style="126" customWidth="1"/>
    <col min="8720" max="8720" width="9.125" style="126"/>
    <col min="8721" max="8721" width="8.375" style="126" customWidth="1"/>
    <col min="8722" max="8722" width="8.75" style="126" customWidth="1"/>
    <col min="8723" max="8723" width="9.125" style="126"/>
    <col min="8724" max="8724" width="1.375" style="126" customWidth="1"/>
    <col min="8725" max="8725" width="11.625" style="126" bestFit="1" customWidth="1"/>
    <col min="8726" max="8726" width="7.125" style="126" customWidth="1"/>
    <col min="8727" max="8731" width="6.25" style="126" customWidth="1"/>
    <col min="8732" max="8732" width="7.75" style="126" customWidth="1"/>
    <col min="8733" max="8960" width="9.125" style="126"/>
    <col min="8961" max="8961" width="8.375" style="126" customWidth="1"/>
    <col min="8962" max="8962" width="10.375" style="126" customWidth="1"/>
    <col min="8963" max="8964" width="11.125" style="126" customWidth="1"/>
    <col min="8965" max="8965" width="9" style="126" customWidth="1"/>
    <col min="8966" max="8966" width="9.125" style="126"/>
    <col min="8967" max="8967" width="8.75" style="126" customWidth="1"/>
    <col min="8968" max="8968" width="9.625" style="126" customWidth="1"/>
    <col min="8969" max="8969" width="9.125" style="126"/>
    <col min="8970" max="8970" width="9.25" style="126" customWidth="1"/>
    <col min="8971" max="8971" width="9.375" style="126" customWidth="1"/>
    <col min="8972" max="8972" width="9.625" style="126" customWidth="1"/>
    <col min="8973" max="8973" width="10" style="126" customWidth="1"/>
    <col min="8974" max="8974" width="9.625" style="126" customWidth="1"/>
    <col min="8975" max="8975" width="9" style="126" customWidth="1"/>
    <col min="8976" max="8976" width="9.125" style="126"/>
    <col min="8977" max="8977" width="8.375" style="126" customWidth="1"/>
    <col min="8978" max="8978" width="8.75" style="126" customWidth="1"/>
    <col min="8979" max="8979" width="9.125" style="126"/>
    <col min="8980" max="8980" width="1.375" style="126" customWidth="1"/>
    <col min="8981" max="8981" width="11.625" style="126" bestFit="1" customWidth="1"/>
    <col min="8982" max="8982" width="7.125" style="126" customWidth="1"/>
    <col min="8983" max="8987" width="6.25" style="126" customWidth="1"/>
    <col min="8988" max="8988" width="7.75" style="126" customWidth="1"/>
    <col min="8989" max="9216" width="9.125" style="126"/>
    <col min="9217" max="9217" width="8.375" style="126" customWidth="1"/>
    <col min="9218" max="9218" width="10.375" style="126" customWidth="1"/>
    <col min="9219" max="9220" width="11.125" style="126" customWidth="1"/>
    <col min="9221" max="9221" width="9" style="126" customWidth="1"/>
    <col min="9222" max="9222" width="9.125" style="126"/>
    <col min="9223" max="9223" width="8.75" style="126" customWidth="1"/>
    <col min="9224" max="9224" width="9.625" style="126" customWidth="1"/>
    <col min="9225" max="9225" width="9.125" style="126"/>
    <col min="9226" max="9226" width="9.25" style="126" customWidth="1"/>
    <col min="9227" max="9227" width="9.375" style="126" customWidth="1"/>
    <col min="9228" max="9228" width="9.625" style="126" customWidth="1"/>
    <col min="9229" max="9229" width="10" style="126" customWidth="1"/>
    <col min="9230" max="9230" width="9.625" style="126" customWidth="1"/>
    <col min="9231" max="9231" width="9" style="126" customWidth="1"/>
    <col min="9232" max="9232" width="9.125" style="126"/>
    <col min="9233" max="9233" width="8.375" style="126" customWidth="1"/>
    <col min="9234" max="9234" width="8.75" style="126" customWidth="1"/>
    <col min="9235" max="9235" width="9.125" style="126"/>
    <col min="9236" max="9236" width="1.375" style="126" customWidth="1"/>
    <col min="9237" max="9237" width="11.625" style="126" bestFit="1" customWidth="1"/>
    <col min="9238" max="9238" width="7.125" style="126" customWidth="1"/>
    <col min="9239" max="9243" width="6.25" style="126" customWidth="1"/>
    <col min="9244" max="9244" width="7.75" style="126" customWidth="1"/>
    <col min="9245" max="9472" width="9.125" style="126"/>
    <col min="9473" max="9473" width="8.375" style="126" customWidth="1"/>
    <col min="9474" max="9474" width="10.375" style="126" customWidth="1"/>
    <col min="9475" max="9476" width="11.125" style="126" customWidth="1"/>
    <col min="9477" max="9477" width="9" style="126" customWidth="1"/>
    <col min="9478" max="9478" width="9.125" style="126"/>
    <col min="9479" max="9479" width="8.75" style="126" customWidth="1"/>
    <col min="9480" max="9480" width="9.625" style="126" customWidth="1"/>
    <col min="9481" max="9481" width="9.125" style="126"/>
    <col min="9482" max="9482" width="9.25" style="126" customWidth="1"/>
    <col min="9483" max="9483" width="9.375" style="126" customWidth="1"/>
    <col min="9484" max="9484" width="9.625" style="126" customWidth="1"/>
    <col min="9485" max="9485" width="10" style="126" customWidth="1"/>
    <col min="9486" max="9486" width="9.625" style="126" customWidth="1"/>
    <col min="9487" max="9487" width="9" style="126" customWidth="1"/>
    <col min="9488" max="9488" width="9.125" style="126"/>
    <col min="9489" max="9489" width="8.375" style="126" customWidth="1"/>
    <col min="9490" max="9490" width="8.75" style="126" customWidth="1"/>
    <col min="9491" max="9491" width="9.125" style="126"/>
    <col min="9492" max="9492" width="1.375" style="126" customWidth="1"/>
    <col min="9493" max="9493" width="11.625" style="126" bestFit="1" customWidth="1"/>
    <col min="9494" max="9494" width="7.125" style="126" customWidth="1"/>
    <col min="9495" max="9499" width="6.25" style="126" customWidth="1"/>
    <col min="9500" max="9500" width="7.75" style="126" customWidth="1"/>
    <col min="9501" max="9728" width="9.125" style="126"/>
    <col min="9729" max="9729" width="8.375" style="126" customWidth="1"/>
    <col min="9730" max="9730" width="10.375" style="126" customWidth="1"/>
    <col min="9731" max="9732" width="11.125" style="126" customWidth="1"/>
    <col min="9733" max="9733" width="9" style="126" customWidth="1"/>
    <col min="9734" max="9734" width="9.125" style="126"/>
    <col min="9735" max="9735" width="8.75" style="126" customWidth="1"/>
    <col min="9736" max="9736" width="9.625" style="126" customWidth="1"/>
    <col min="9737" max="9737" width="9.125" style="126"/>
    <col min="9738" max="9738" width="9.25" style="126" customWidth="1"/>
    <col min="9739" max="9739" width="9.375" style="126" customWidth="1"/>
    <col min="9740" max="9740" width="9.625" style="126" customWidth="1"/>
    <col min="9741" max="9741" width="10" style="126" customWidth="1"/>
    <col min="9742" max="9742" width="9.625" style="126" customWidth="1"/>
    <col min="9743" max="9743" width="9" style="126" customWidth="1"/>
    <col min="9744" max="9744" width="9.125" style="126"/>
    <col min="9745" max="9745" width="8.375" style="126" customWidth="1"/>
    <col min="9746" max="9746" width="8.75" style="126" customWidth="1"/>
    <col min="9747" max="9747" width="9.125" style="126"/>
    <col min="9748" max="9748" width="1.375" style="126" customWidth="1"/>
    <col min="9749" max="9749" width="11.625" style="126" bestFit="1" customWidth="1"/>
    <col min="9750" max="9750" width="7.125" style="126" customWidth="1"/>
    <col min="9751" max="9755" width="6.25" style="126" customWidth="1"/>
    <col min="9756" max="9756" width="7.75" style="126" customWidth="1"/>
    <col min="9757" max="9984" width="9.125" style="126"/>
    <col min="9985" max="9985" width="8.375" style="126" customWidth="1"/>
    <col min="9986" max="9986" width="10.375" style="126" customWidth="1"/>
    <col min="9987" max="9988" width="11.125" style="126" customWidth="1"/>
    <col min="9989" max="9989" width="9" style="126" customWidth="1"/>
    <col min="9990" max="9990" width="9.125" style="126"/>
    <col min="9991" max="9991" width="8.75" style="126" customWidth="1"/>
    <col min="9992" max="9992" width="9.625" style="126" customWidth="1"/>
    <col min="9993" max="9993" width="9.125" style="126"/>
    <col min="9994" max="9994" width="9.25" style="126" customWidth="1"/>
    <col min="9995" max="9995" width="9.375" style="126" customWidth="1"/>
    <col min="9996" max="9996" width="9.625" style="126" customWidth="1"/>
    <col min="9997" max="9997" width="10" style="126" customWidth="1"/>
    <col min="9998" max="9998" width="9.625" style="126" customWidth="1"/>
    <col min="9999" max="9999" width="9" style="126" customWidth="1"/>
    <col min="10000" max="10000" width="9.125" style="126"/>
    <col min="10001" max="10001" width="8.375" style="126" customWidth="1"/>
    <col min="10002" max="10002" width="8.75" style="126" customWidth="1"/>
    <col min="10003" max="10003" width="9.125" style="126"/>
    <col min="10004" max="10004" width="1.375" style="126" customWidth="1"/>
    <col min="10005" max="10005" width="11.625" style="126" bestFit="1" customWidth="1"/>
    <col min="10006" max="10006" width="7.125" style="126" customWidth="1"/>
    <col min="10007" max="10011" width="6.25" style="126" customWidth="1"/>
    <col min="10012" max="10012" width="7.75" style="126" customWidth="1"/>
    <col min="10013" max="10240" width="9.125" style="126"/>
    <col min="10241" max="10241" width="8.375" style="126" customWidth="1"/>
    <col min="10242" max="10242" width="10.375" style="126" customWidth="1"/>
    <col min="10243" max="10244" width="11.125" style="126" customWidth="1"/>
    <col min="10245" max="10245" width="9" style="126" customWidth="1"/>
    <col min="10246" max="10246" width="9.125" style="126"/>
    <col min="10247" max="10247" width="8.75" style="126" customWidth="1"/>
    <col min="10248" max="10248" width="9.625" style="126" customWidth="1"/>
    <col min="10249" max="10249" width="9.125" style="126"/>
    <col min="10250" max="10250" width="9.25" style="126" customWidth="1"/>
    <col min="10251" max="10251" width="9.375" style="126" customWidth="1"/>
    <col min="10252" max="10252" width="9.625" style="126" customWidth="1"/>
    <col min="10253" max="10253" width="10" style="126" customWidth="1"/>
    <col min="10254" max="10254" width="9.625" style="126" customWidth="1"/>
    <col min="10255" max="10255" width="9" style="126" customWidth="1"/>
    <col min="10256" max="10256" width="9.125" style="126"/>
    <col min="10257" max="10257" width="8.375" style="126" customWidth="1"/>
    <col min="10258" max="10258" width="8.75" style="126" customWidth="1"/>
    <col min="10259" max="10259" width="9.125" style="126"/>
    <col min="10260" max="10260" width="1.375" style="126" customWidth="1"/>
    <col min="10261" max="10261" width="11.625" style="126" bestFit="1" customWidth="1"/>
    <col min="10262" max="10262" width="7.125" style="126" customWidth="1"/>
    <col min="10263" max="10267" width="6.25" style="126" customWidth="1"/>
    <col min="10268" max="10268" width="7.75" style="126" customWidth="1"/>
    <col min="10269" max="10496" width="9.125" style="126"/>
    <col min="10497" max="10497" width="8.375" style="126" customWidth="1"/>
    <col min="10498" max="10498" width="10.375" style="126" customWidth="1"/>
    <col min="10499" max="10500" width="11.125" style="126" customWidth="1"/>
    <col min="10501" max="10501" width="9" style="126" customWidth="1"/>
    <col min="10502" max="10502" width="9.125" style="126"/>
    <col min="10503" max="10503" width="8.75" style="126" customWidth="1"/>
    <col min="10504" max="10504" width="9.625" style="126" customWidth="1"/>
    <col min="10505" max="10505" width="9.125" style="126"/>
    <col min="10506" max="10506" width="9.25" style="126" customWidth="1"/>
    <col min="10507" max="10507" width="9.375" style="126" customWidth="1"/>
    <col min="10508" max="10508" width="9.625" style="126" customWidth="1"/>
    <col min="10509" max="10509" width="10" style="126" customWidth="1"/>
    <col min="10510" max="10510" width="9.625" style="126" customWidth="1"/>
    <col min="10511" max="10511" width="9" style="126" customWidth="1"/>
    <col min="10512" max="10512" width="9.125" style="126"/>
    <col min="10513" max="10513" width="8.375" style="126" customWidth="1"/>
    <col min="10514" max="10514" width="8.75" style="126" customWidth="1"/>
    <col min="10515" max="10515" width="9.125" style="126"/>
    <col min="10516" max="10516" width="1.375" style="126" customWidth="1"/>
    <col min="10517" max="10517" width="11.625" style="126" bestFit="1" customWidth="1"/>
    <col min="10518" max="10518" width="7.125" style="126" customWidth="1"/>
    <col min="10519" max="10523" width="6.25" style="126" customWidth="1"/>
    <col min="10524" max="10524" width="7.75" style="126" customWidth="1"/>
    <col min="10525" max="10752" width="9.125" style="126"/>
    <col min="10753" max="10753" width="8.375" style="126" customWidth="1"/>
    <col min="10754" max="10754" width="10.375" style="126" customWidth="1"/>
    <col min="10755" max="10756" width="11.125" style="126" customWidth="1"/>
    <col min="10757" max="10757" width="9" style="126" customWidth="1"/>
    <col min="10758" max="10758" width="9.125" style="126"/>
    <col min="10759" max="10759" width="8.75" style="126" customWidth="1"/>
    <col min="10760" max="10760" width="9.625" style="126" customWidth="1"/>
    <col min="10761" max="10761" width="9.125" style="126"/>
    <col min="10762" max="10762" width="9.25" style="126" customWidth="1"/>
    <col min="10763" max="10763" width="9.375" style="126" customWidth="1"/>
    <col min="10764" max="10764" width="9.625" style="126" customWidth="1"/>
    <col min="10765" max="10765" width="10" style="126" customWidth="1"/>
    <col min="10766" max="10766" width="9.625" style="126" customWidth="1"/>
    <col min="10767" max="10767" width="9" style="126" customWidth="1"/>
    <col min="10768" max="10768" width="9.125" style="126"/>
    <col min="10769" max="10769" width="8.375" style="126" customWidth="1"/>
    <col min="10770" max="10770" width="8.75" style="126" customWidth="1"/>
    <col min="10771" max="10771" width="9.125" style="126"/>
    <col min="10772" max="10772" width="1.375" style="126" customWidth="1"/>
    <col min="10773" max="10773" width="11.625" style="126" bestFit="1" customWidth="1"/>
    <col min="10774" max="10774" width="7.125" style="126" customWidth="1"/>
    <col min="10775" max="10779" width="6.25" style="126" customWidth="1"/>
    <col min="10780" max="10780" width="7.75" style="126" customWidth="1"/>
    <col min="10781" max="11008" width="9.125" style="126"/>
    <col min="11009" max="11009" width="8.375" style="126" customWidth="1"/>
    <col min="11010" max="11010" width="10.375" style="126" customWidth="1"/>
    <col min="11011" max="11012" width="11.125" style="126" customWidth="1"/>
    <col min="11013" max="11013" width="9" style="126" customWidth="1"/>
    <col min="11014" max="11014" width="9.125" style="126"/>
    <col min="11015" max="11015" width="8.75" style="126" customWidth="1"/>
    <col min="11016" max="11016" width="9.625" style="126" customWidth="1"/>
    <col min="11017" max="11017" width="9.125" style="126"/>
    <col min="11018" max="11018" width="9.25" style="126" customWidth="1"/>
    <col min="11019" max="11019" width="9.375" style="126" customWidth="1"/>
    <col min="11020" max="11020" width="9.625" style="126" customWidth="1"/>
    <col min="11021" max="11021" width="10" style="126" customWidth="1"/>
    <col min="11022" max="11022" width="9.625" style="126" customWidth="1"/>
    <col min="11023" max="11023" width="9" style="126" customWidth="1"/>
    <col min="11024" max="11024" width="9.125" style="126"/>
    <col min="11025" max="11025" width="8.375" style="126" customWidth="1"/>
    <col min="11026" max="11026" width="8.75" style="126" customWidth="1"/>
    <col min="11027" max="11027" width="9.125" style="126"/>
    <col min="11028" max="11028" width="1.375" style="126" customWidth="1"/>
    <col min="11029" max="11029" width="11.625" style="126" bestFit="1" customWidth="1"/>
    <col min="11030" max="11030" width="7.125" style="126" customWidth="1"/>
    <col min="11031" max="11035" width="6.25" style="126" customWidth="1"/>
    <col min="11036" max="11036" width="7.75" style="126" customWidth="1"/>
    <col min="11037" max="11264" width="9.125" style="126"/>
    <col min="11265" max="11265" width="8.375" style="126" customWidth="1"/>
    <col min="11266" max="11266" width="10.375" style="126" customWidth="1"/>
    <col min="11267" max="11268" width="11.125" style="126" customWidth="1"/>
    <col min="11269" max="11269" width="9" style="126" customWidth="1"/>
    <col min="11270" max="11270" width="9.125" style="126"/>
    <col min="11271" max="11271" width="8.75" style="126" customWidth="1"/>
    <col min="11272" max="11272" width="9.625" style="126" customWidth="1"/>
    <col min="11273" max="11273" width="9.125" style="126"/>
    <col min="11274" max="11274" width="9.25" style="126" customWidth="1"/>
    <col min="11275" max="11275" width="9.375" style="126" customWidth="1"/>
    <col min="11276" max="11276" width="9.625" style="126" customWidth="1"/>
    <col min="11277" max="11277" width="10" style="126" customWidth="1"/>
    <col min="11278" max="11278" width="9.625" style="126" customWidth="1"/>
    <col min="11279" max="11279" width="9" style="126" customWidth="1"/>
    <col min="11280" max="11280" width="9.125" style="126"/>
    <col min="11281" max="11281" width="8.375" style="126" customWidth="1"/>
    <col min="11282" max="11282" width="8.75" style="126" customWidth="1"/>
    <col min="11283" max="11283" width="9.125" style="126"/>
    <col min="11284" max="11284" width="1.375" style="126" customWidth="1"/>
    <col min="11285" max="11285" width="11.625" style="126" bestFit="1" customWidth="1"/>
    <col min="11286" max="11286" width="7.125" style="126" customWidth="1"/>
    <col min="11287" max="11291" width="6.25" style="126" customWidth="1"/>
    <col min="11292" max="11292" width="7.75" style="126" customWidth="1"/>
    <col min="11293" max="11520" width="9.125" style="126"/>
    <col min="11521" max="11521" width="8.375" style="126" customWidth="1"/>
    <col min="11522" max="11522" width="10.375" style="126" customWidth="1"/>
    <col min="11523" max="11524" width="11.125" style="126" customWidth="1"/>
    <col min="11525" max="11525" width="9" style="126" customWidth="1"/>
    <col min="11526" max="11526" width="9.125" style="126"/>
    <col min="11527" max="11527" width="8.75" style="126" customWidth="1"/>
    <col min="11528" max="11528" width="9.625" style="126" customWidth="1"/>
    <col min="11529" max="11529" width="9.125" style="126"/>
    <col min="11530" max="11530" width="9.25" style="126" customWidth="1"/>
    <col min="11531" max="11531" width="9.375" style="126" customWidth="1"/>
    <col min="11532" max="11532" width="9.625" style="126" customWidth="1"/>
    <col min="11533" max="11533" width="10" style="126" customWidth="1"/>
    <col min="11534" max="11534" width="9.625" style="126" customWidth="1"/>
    <col min="11535" max="11535" width="9" style="126" customWidth="1"/>
    <col min="11536" max="11536" width="9.125" style="126"/>
    <col min="11537" max="11537" width="8.375" style="126" customWidth="1"/>
    <col min="11538" max="11538" width="8.75" style="126" customWidth="1"/>
    <col min="11539" max="11539" width="9.125" style="126"/>
    <col min="11540" max="11540" width="1.375" style="126" customWidth="1"/>
    <col min="11541" max="11541" width="11.625" style="126" bestFit="1" customWidth="1"/>
    <col min="11542" max="11542" width="7.125" style="126" customWidth="1"/>
    <col min="11543" max="11547" width="6.25" style="126" customWidth="1"/>
    <col min="11548" max="11548" width="7.75" style="126" customWidth="1"/>
    <col min="11549" max="11776" width="9.125" style="126"/>
    <col min="11777" max="11777" width="8.375" style="126" customWidth="1"/>
    <col min="11778" max="11778" width="10.375" style="126" customWidth="1"/>
    <col min="11779" max="11780" width="11.125" style="126" customWidth="1"/>
    <col min="11781" max="11781" width="9" style="126" customWidth="1"/>
    <col min="11782" max="11782" width="9.125" style="126"/>
    <col min="11783" max="11783" width="8.75" style="126" customWidth="1"/>
    <col min="11784" max="11784" width="9.625" style="126" customWidth="1"/>
    <col min="11785" max="11785" width="9.125" style="126"/>
    <col min="11786" max="11786" width="9.25" style="126" customWidth="1"/>
    <col min="11787" max="11787" width="9.375" style="126" customWidth="1"/>
    <col min="11788" max="11788" width="9.625" style="126" customWidth="1"/>
    <col min="11789" max="11789" width="10" style="126" customWidth="1"/>
    <col min="11790" max="11790" width="9.625" style="126" customWidth="1"/>
    <col min="11791" max="11791" width="9" style="126" customWidth="1"/>
    <col min="11792" max="11792" width="9.125" style="126"/>
    <col min="11793" max="11793" width="8.375" style="126" customWidth="1"/>
    <col min="11794" max="11794" width="8.75" style="126" customWidth="1"/>
    <col min="11795" max="11795" width="9.125" style="126"/>
    <col min="11796" max="11796" width="1.375" style="126" customWidth="1"/>
    <col min="11797" max="11797" width="11.625" style="126" bestFit="1" customWidth="1"/>
    <col min="11798" max="11798" width="7.125" style="126" customWidth="1"/>
    <col min="11799" max="11803" width="6.25" style="126" customWidth="1"/>
    <col min="11804" max="11804" width="7.75" style="126" customWidth="1"/>
    <col min="11805" max="12032" width="9.125" style="126"/>
    <col min="12033" max="12033" width="8.375" style="126" customWidth="1"/>
    <col min="12034" max="12034" width="10.375" style="126" customWidth="1"/>
    <col min="12035" max="12036" width="11.125" style="126" customWidth="1"/>
    <col min="12037" max="12037" width="9" style="126" customWidth="1"/>
    <col min="12038" max="12038" width="9.125" style="126"/>
    <col min="12039" max="12039" width="8.75" style="126" customWidth="1"/>
    <col min="12040" max="12040" width="9.625" style="126" customWidth="1"/>
    <col min="12041" max="12041" width="9.125" style="126"/>
    <col min="12042" max="12042" width="9.25" style="126" customWidth="1"/>
    <col min="12043" max="12043" width="9.375" style="126" customWidth="1"/>
    <col min="12044" max="12044" width="9.625" style="126" customWidth="1"/>
    <col min="12045" max="12045" width="10" style="126" customWidth="1"/>
    <col min="12046" max="12046" width="9.625" style="126" customWidth="1"/>
    <col min="12047" max="12047" width="9" style="126" customWidth="1"/>
    <col min="12048" max="12048" width="9.125" style="126"/>
    <col min="12049" max="12049" width="8.375" style="126" customWidth="1"/>
    <col min="12050" max="12050" width="8.75" style="126" customWidth="1"/>
    <col min="12051" max="12051" width="9.125" style="126"/>
    <col min="12052" max="12052" width="1.375" style="126" customWidth="1"/>
    <col min="12053" max="12053" width="11.625" style="126" bestFit="1" customWidth="1"/>
    <col min="12054" max="12054" width="7.125" style="126" customWidth="1"/>
    <col min="12055" max="12059" width="6.25" style="126" customWidth="1"/>
    <col min="12060" max="12060" width="7.75" style="126" customWidth="1"/>
    <col min="12061" max="12288" width="9.125" style="126"/>
    <col min="12289" max="12289" width="8.375" style="126" customWidth="1"/>
    <col min="12290" max="12290" width="10.375" style="126" customWidth="1"/>
    <col min="12291" max="12292" width="11.125" style="126" customWidth="1"/>
    <col min="12293" max="12293" width="9" style="126" customWidth="1"/>
    <col min="12294" max="12294" width="9.125" style="126"/>
    <col min="12295" max="12295" width="8.75" style="126" customWidth="1"/>
    <col min="12296" max="12296" width="9.625" style="126" customWidth="1"/>
    <col min="12297" max="12297" width="9.125" style="126"/>
    <col min="12298" max="12298" width="9.25" style="126" customWidth="1"/>
    <col min="12299" max="12299" width="9.375" style="126" customWidth="1"/>
    <col min="12300" max="12300" width="9.625" style="126" customWidth="1"/>
    <col min="12301" max="12301" width="10" style="126" customWidth="1"/>
    <col min="12302" max="12302" width="9.625" style="126" customWidth="1"/>
    <col min="12303" max="12303" width="9" style="126" customWidth="1"/>
    <col min="12304" max="12304" width="9.125" style="126"/>
    <col min="12305" max="12305" width="8.375" style="126" customWidth="1"/>
    <col min="12306" max="12306" width="8.75" style="126" customWidth="1"/>
    <col min="12307" max="12307" width="9.125" style="126"/>
    <col min="12308" max="12308" width="1.375" style="126" customWidth="1"/>
    <col min="12309" max="12309" width="11.625" style="126" bestFit="1" customWidth="1"/>
    <col min="12310" max="12310" width="7.125" style="126" customWidth="1"/>
    <col min="12311" max="12315" width="6.25" style="126" customWidth="1"/>
    <col min="12316" max="12316" width="7.75" style="126" customWidth="1"/>
    <col min="12317" max="12544" width="9.125" style="126"/>
    <col min="12545" max="12545" width="8.375" style="126" customWidth="1"/>
    <col min="12546" max="12546" width="10.375" style="126" customWidth="1"/>
    <col min="12547" max="12548" width="11.125" style="126" customWidth="1"/>
    <col min="12549" max="12549" width="9" style="126" customWidth="1"/>
    <col min="12550" max="12550" width="9.125" style="126"/>
    <col min="12551" max="12551" width="8.75" style="126" customWidth="1"/>
    <col min="12552" max="12552" width="9.625" style="126" customWidth="1"/>
    <col min="12553" max="12553" width="9.125" style="126"/>
    <col min="12554" max="12554" width="9.25" style="126" customWidth="1"/>
    <col min="12555" max="12555" width="9.375" style="126" customWidth="1"/>
    <col min="12556" max="12556" width="9.625" style="126" customWidth="1"/>
    <col min="12557" max="12557" width="10" style="126" customWidth="1"/>
    <col min="12558" max="12558" width="9.625" style="126" customWidth="1"/>
    <col min="12559" max="12559" width="9" style="126" customWidth="1"/>
    <col min="12560" max="12560" width="9.125" style="126"/>
    <col min="12561" max="12561" width="8.375" style="126" customWidth="1"/>
    <col min="12562" max="12562" width="8.75" style="126" customWidth="1"/>
    <col min="12563" max="12563" width="9.125" style="126"/>
    <col min="12564" max="12564" width="1.375" style="126" customWidth="1"/>
    <col min="12565" max="12565" width="11.625" style="126" bestFit="1" customWidth="1"/>
    <col min="12566" max="12566" width="7.125" style="126" customWidth="1"/>
    <col min="12567" max="12571" width="6.25" style="126" customWidth="1"/>
    <col min="12572" max="12572" width="7.75" style="126" customWidth="1"/>
    <col min="12573" max="12800" width="9.125" style="126"/>
    <col min="12801" max="12801" width="8.375" style="126" customWidth="1"/>
    <col min="12802" max="12802" width="10.375" style="126" customWidth="1"/>
    <col min="12803" max="12804" width="11.125" style="126" customWidth="1"/>
    <col min="12805" max="12805" width="9" style="126" customWidth="1"/>
    <col min="12806" max="12806" width="9.125" style="126"/>
    <col min="12807" max="12807" width="8.75" style="126" customWidth="1"/>
    <col min="12808" max="12808" width="9.625" style="126" customWidth="1"/>
    <col min="12809" max="12809" width="9.125" style="126"/>
    <col min="12810" max="12810" width="9.25" style="126" customWidth="1"/>
    <col min="12811" max="12811" width="9.375" style="126" customWidth="1"/>
    <col min="12812" max="12812" width="9.625" style="126" customWidth="1"/>
    <col min="12813" max="12813" width="10" style="126" customWidth="1"/>
    <col min="12814" max="12814" width="9.625" style="126" customWidth="1"/>
    <col min="12815" max="12815" width="9" style="126" customWidth="1"/>
    <col min="12816" max="12816" width="9.125" style="126"/>
    <col min="12817" max="12817" width="8.375" style="126" customWidth="1"/>
    <col min="12818" max="12818" width="8.75" style="126" customWidth="1"/>
    <col min="12819" max="12819" width="9.125" style="126"/>
    <col min="12820" max="12820" width="1.375" style="126" customWidth="1"/>
    <col min="12821" max="12821" width="11.625" style="126" bestFit="1" customWidth="1"/>
    <col min="12822" max="12822" width="7.125" style="126" customWidth="1"/>
    <col min="12823" max="12827" width="6.25" style="126" customWidth="1"/>
    <col min="12828" max="12828" width="7.75" style="126" customWidth="1"/>
    <col min="12829" max="13056" width="9.125" style="126"/>
    <col min="13057" max="13057" width="8.375" style="126" customWidth="1"/>
    <col min="13058" max="13058" width="10.375" style="126" customWidth="1"/>
    <col min="13059" max="13060" width="11.125" style="126" customWidth="1"/>
    <col min="13061" max="13061" width="9" style="126" customWidth="1"/>
    <col min="13062" max="13062" width="9.125" style="126"/>
    <col min="13063" max="13063" width="8.75" style="126" customWidth="1"/>
    <col min="13064" max="13064" width="9.625" style="126" customWidth="1"/>
    <col min="13065" max="13065" width="9.125" style="126"/>
    <col min="13066" max="13066" width="9.25" style="126" customWidth="1"/>
    <col min="13067" max="13067" width="9.375" style="126" customWidth="1"/>
    <col min="13068" max="13068" width="9.625" style="126" customWidth="1"/>
    <col min="13069" max="13069" width="10" style="126" customWidth="1"/>
    <col min="13070" max="13070" width="9.625" style="126" customWidth="1"/>
    <col min="13071" max="13071" width="9" style="126" customWidth="1"/>
    <col min="13072" max="13072" width="9.125" style="126"/>
    <col min="13073" max="13073" width="8.375" style="126" customWidth="1"/>
    <col min="13074" max="13074" width="8.75" style="126" customWidth="1"/>
    <col min="13075" max="13075" width="9.125" style="126"/>
    <col min="13076" max="13076" width="1.375" style="126" customWidth="1"/>
    <col min="13077" max="13077" width="11.625" style="126" bestFit="1" customWidth="1"/>
    <col min="13078" max="13078" width="7.125" style="126" customWidth="1"/>
    <col min="13079" max="13083" width="6.25" style="126" customWidth="1"/>
    <col min="13084" max="13084" width="7.75" style="126" customWidth="1"/>
    <col min="13085" max="13312" width="9.125" style="126"/>
    <col min="13313" max="13313" width="8.375" style="126" customWidth="1"/>
    <col min="13314" max="13314" width="10.375" style="126" customWidth="1"/>
    <col min="13315" max="13316" width="11.125" style="126" customWidth="1"/>
    <col min="13317" max="13317" width="9" style="126" customWidth="1"/>
    <col min="13318" max="13318" width="9.125" style="126"/>
    <col min="13319" max="13319" width="8.75" style="126" customWidth="1"/>
    <col min="13320" max="13320" width="9.625" style="126" customWidth="1"/>
    <col min="13321" max="13321" width="9.125" style="126"/>
    <col min="13322" max="13322" width="9.25" style="126" customWidth="1"/>
    <col min="13323" max="13323" width="9.375" style="126" customWidth="1"/>
    <col min="13324" max="13324" width="9.625" style="126" customWidth="1"/>
    <col min="13325" max="13325" width="10" style="126" customWidth="1"/>
    <col min="13326" max="13326" width="9.625" style="126" customWidth="1"/>
    <col min="13327" max="13327" width="9" style="126" customWidth="1"/>
    <col min="13328" max="13328" width="9.125" style="126"/>
    <col min="13329" max="13329" width="8.375" style="126" customWidth="1"/>
    <col min="13330" max="13330" width="8.75" style="126" customWidth="1"/>
    <col min="13331" max="13331" width="9.125" style="126"/>
    <col min="13332" max="13332" width="1.375" style="126" customWidth="1"/>
    <col min="13333" max="13333" width="11.625" style="126" bestFit="1" customWidth="1"/>
    <col min="13334" max="13334" width="7.125" style="126" customWidth="1"/>
    <col min="13335" max="13339" width="6.25" style="126" customWidth="1"/>
    <col min="13340" max="13340" width="7.75" style="126" customWidth="1"/>
    <col min="13341" max="13568" width="9.125" style="126"/>
    <col min="13569" max="13569" width="8.375" style="126" customWidth="1"/>
    <col min="13570" max="13570" width="10.375" style="126" customWidth="1"/>
    <col min="13571" max="13572" width="11.125" style="126" customWidth="1"/>
    <col min="13573" max="13573" width="9" style="126" customWidth="1"/>
    <col min="13574" max="13574" width="9.125" style="126"/>
    <col min="13575" max="13575" width="8.75" style="126" customWidth="1"/>
    <col min="13576" max="13576" width="9.625" style="126" customWidth="1"/>
    <col min="13577" max="13577" width="9.125" style="126"/>
    <col min="13578" max="13578" width="9.25" style="126" customWidth="1"/>
    <col min="13579" max="13579" width="9.375" style="126" customWidth="1"/>
    <col min="13580" max="13580" width="9.625" style="126" customWidth="1"/>
    <col min="13581" max="13581" width="10" style="126" customWidth="1"/>
    <col min="13582" max="13582" width="9.625" style="126" customWidth="1"/>
    <col min="13583" max="13583" width="9" style="126" customWidth="1"/>
    <col min="13584" max="13584" width="9.125" style="126"/>
    <col min="13585" max="13585" width="8.375" style="126" customWidth="1"/>
    <col min="13586" max="13586" width="8.75" style="126" customWidth="1"/>
    <col min="13587" max="13587" width="9.125" style="126"/>
    <col min="13588" max="13588" width="1.375" style="126" customWidth="1"/>
    <col min="13589" max="13589" width="11.625" style="126" bestFit="1" customWidth="1"/>
    <col min="13590" max="13590" width="7.125" style="126" customWidth="1"/>
    <col min="13591" max="13595" width="6.25" style="126" customWidth="1"/>
    <col min="13596" max="13596" width="7.75" style="126" customWidth="1"/>
    <col min="13597" max="13824" width="9.125" style="126"/>
    <col min="13825" max="13825" width="8.375" style="126" customWidth="1"/>
    <col min="13826" max="13826" width="10.375" style="126" customWidth="1"/>
    <col min="13827" max="13828" width="11.125" style="126" customWidth="1"/>
    <col min="13829" max="13829" width="9" style="126" customWidth="1"/>
    <col min="13830" max="13830" width="9.125" style="126"/>
    <col min="13831" max="13831" width="8.75" style="126" customWidth="1"/>
    <col min="13832" max="13832" width="9.625" style="126" customWidth="1"/>
    <col min="13833" max="13833" width="9.125" style="126"/>
    <col min="13834" max="13834" width="9.25" style="126" customWidth="1"/>
    <col min="13835" max="13835" width="9.375" style="126" customWidth="1"/>
    <col min="13836" max="13836" width="9.625" style="126" customWidth="1"/>
    <col min="13837" max="13837" width="10" style="126" customWidth="1"/>
    <col min="13838" max="13838" width="9.625" style="126" customWidth="1"/>
    <col min="13839" max="13839" width="9" style="126" customWidth="1"/>
    <col min="13840" max="13840" width="9.125" style="126"/>
    <col min="13841" max="13841" width="8.375" style="126" customWidth="1"/>
    <col min="13842" max="13842" width="8.75" style="126" customWidth="1"/>
    <col min="13843" max="13843" width="9.125" style="126"/>
    <col min="13844" max="13844" width="1.375" style="126" customWidth="1"/>
    <col min="13845" max="13845" width="11.625" style="126" bestFit="1" customWidth="1"/>
    <col min="13846" max="13846" width="7.125" style="126" customWidth="1"/>
    <col min="13847" max="13851" width="6.25" style="126" customWidth="1"/>
    <col min="13852" max="13852" width="7.75" style="126" customWidth="1"/>
    <col min="13853" max="14080" width="9.125" style="126"/>
    <col min="14081" max="14081" width="8.375" style="126" customWidth="1"/>
    <col min="14082" max="14082" width="10.375" style="126" customWidth="1"/>
    <col min="14083" max="14084" width="11.125" style="126" customWidth="1"/>
    <col min="14085" max="14085" width="9" style="126" customWidth="1"/>
    <col min="14086" max="14086" width="9.125" style="126"/>
    <col min="14087" max="14087" width="8.75" style="126" customWidth="1"/>
    <col min="14088" max="14088" width="9.625" style="126" customWidth="1"/>
    <col min="14089" max="14089" width="9.125" style="126"/>
    <col min="14090" max="14090" width="9.25" style="126" customWidth="1"/>
    <col min="14091" max="14091" width="9.375" style="126" customWidth="1"/>
    <col min="14092" max="14092" width="9.625" style="126" customWidth="1"/>
    <col min="14093" max="14093" width="10" style="126" customWidth="1"/>
    <col min="14094" max="14094" width="9.625" style="126" customWidth="1"/>
    <col min="14095" max="14095" width="9" style="126" customWidth="1"/>
    <col min="14096" max="14096" width="9.125" style="126"/>
    <col min="14097" max="14097" width="8.375" style="126" customWidth="1"/>
    <col min="14098" max="14098" width="8.75" style="126" customWidth="1"/>
    <col min="14099" max="14099" width="9.125" style="126"/>
    <col min="14100" max="14100" width="1.375" style="126" customWidth="1"/>
    <col min="14101" max="14101" width="11.625" style="126" bestFit="1" customWidth="1"/>
    <col min="14102" max="14102" width="7.125" style="126" customWidth="1"/>
    <col min="14103" max="14107" width="6.25" style="126" customWidth="1"/>
    <col min="14108" max="14108" width="7.75" style="126" customWidth="1"/>
    <col min="14109" max="14336" width="9.125" style="126"/>
    <col min="14337" max="14337" width="8.375" style="126" customWidth="1"/>
    <col min="14338" max="14338" width="10.375" style="126" customWidth="1"/>
    <col min="14339" max="14340" width="11.125" style="126" customWidth="1"/>
    <col min="14341" max="14341" width="9" style="126" customWidth="1"/>
    <col min="14342" max="14342" width="9.125" style="126"/>
    <col min="14343" max="14343" width="8.75" style="126" customWidth="1"/>
    <col min="14344" max="14344" width="9.625" style="126" customWidth="1"/>
    <col min="14345" max="14345" width="9.125" style="126"/>
    <col min="14346" max="14346" width="9.25" style="126" customWidth="1"/>
    <col min="14347" max="14347" width="9.375" style="126" customWidth="1"/>
    <col min="14348" max="14348" width="9.625" style="126" customWidth="1"/>
    <col min="14349" max="14349" width="10" style="126" customWidth="1"/>
    <col min="14350" max="14350" width="9.625" style="126" customWidth="1"/>
    <col min="14351" max="14351" width="9" style="126" customWidth="1"/>
    <col min="14352" max="14352" width="9.125" style="126"/>
    <col min="14353" max="14353" width="8.375" style="126" customWidth="1"/>
    <col min="14354" max="14354" width="8.75" style="126" customWidth="1"/>
    <col min="14355" max="14355" width="9.125" style="126"/>
    <col min="14356" max="14356" width="1.375" style="126" customWidth="1"/>
    <col min="14357" max="14357" width="11.625" style="126" bestFit="1" customWidth="1"/>
    <col min="14358" max="14358" width="7.125" style="126" customWidth="1"/>
    <col min="14359" max="14363" width="6.25" style="126" customWidth="1"/>
    <col min="14364" max="14364" width="7.75" style="126" customWidth="1"/>
    <col min="14365" max="14592" width="9.125" style="126"/>
    <col min="14593" max="14593" width="8.375" style="126" customWidth="1"/>
    <col min="14594" max="14594" width="10.375" style="126" customWidth="1"/>
    <col min="14595" max="14596" width="11.125" style="126" customWidth="1"/>
    <col min="14597" max="14597" width="9" style="126" customWidth="1"/>
    <col min="14598" max="14598" width="9.125" style="126"/>
    <col min="14599" max="14599" width="8.75" style="126" customWidth="1"/>
    <col min="14600" max="14600" width="9.625" style="126" customWidth="1"/>
    <col min="14601" max="14601" width="9.125" style="126"/>
    <col min="14602" max="14602" width="9.25" style="126" customWidth="1"/>
    <col min="14603" max="14603" width="9.375" style="126" customWidth="1"/>
    <col min="14604" max="14604" width="9.625" style="126" customWidth="1"/>
    <col min="14605" max="14605" width="10" style="126" customWidth="1"/>
    <col min="14606" max="14606" width="9.625" style="126" customWidth="1"/>
    <col min="14607" max="14607" width="9" style="126" customWidth="1"/>
    <col min="14608" max="14608" width="9.125" style="126"/>
    <col min="14609" max="14609" width="8.375" style="126" customWidth="1"/>
    <col min="14610" max="14610" width="8.75" style="126" customWidth="1"/>
    <col min="14611" max="14611" width="9.125" style="126"/>
    <col min="14612" max="14612" width="1.375" style="126" customWidth="1"/>
    <col min="14613" max="14613" width="11.625" style="126" bestFit="1" customWidth="1"/>
    <col min="14614" max="14614" width="7.125" style="126" customWidth="1"/>
    <col min="14615" max="14619" width="6.25" style="126" customWidth="1"/>
    <col min="14620" max="14620" width="7.75" style="126" customWidth="1"/>
    <col min="14621" max="14848" width="9.125" style="126"/>
    <col min="14849" max="14849" width="8.375" style="126" customWidth="1"/>
    <col min="14850" max="14850" width="10.375" style="126" customWidth="1"/>
    <col min="14851" max="14852" width="11.125" style="126" customWidth="1"/>
    <col min="14853" max="14853" width="9" style="126" customWidth="1"/>
    <col min="14854" max="14854" width="9.125" style="126"/>
    <col min="14855" max="14855" width="8.75" style="126" customWidth="1"/>
    <col min="14856" max="14856" width="9.625" style="126" customWidth="1"/>
    <col min="14857" max="14857" width="9.125" style="126"/>
    <col min="14858" max="14858" width="9.25" style="126" customWidth="1"/>
    <col min="14859" max="14859" width="9.375" style="126" customWidth="1"/>
    <col min="14860" max="14860" width="9.625" style="126" customWidth="1"/>
    <col min="14861" max="14861" width="10" style="126" customWidth="1"/>
    <col min="14862" max="14862" width="9.625" style="126" customWidth="1"/>
    <col min="14863" max="14863" width="9" style="126" customWidth="1"/>
    <col min="14864" max="14864" width="9.125" style="126"/>
    <col min="14865" max="14865" width="8.375" style="126" customWidth="1"/>
    <col min="14866" max="14866" width="8.75" style="126" customWidth="1"/>
    <col min="14867" max="14867" width="9.125" style="126"/>
    <col min="14868" max="14868" width="1.375" style="126" customWidth="1"/>
    <col min="14869" max="14869" width="11.625" style="126" bestFit="1" customWidth="1"/>
    <col min="14870" max="14870" width="7.125" style="126" customWidth="1"/>
    <col min="14871" max="14875" width="6.25" style="126" customWidth="1"/>
    <col min="14876" max="14876" width="7.75" style="126" customWidth="1"/>
    <col min="14877" max="15104" width="9.125" style="126"/>
    <col min="15105" max="15105" width="8.375" style="126" customWidth="1"/>
    <col min="15106" max="15106" width="10.375" style="126" customWidth="1"/>
    <col min="15107" max="15108" width="11.125" style="126" customWidth="1"/>
    <col min="15109" max="15109" width="9" style="126" customWidth="1"/>
    <col min="15110" max="15110" width="9.125" style="126"/>
    <col min="15111" max="15111" width="8.75" style="126" customWidth="1"/>
    <col min="15112" max="15112" width="9.625" style="126" customWidth="1"/>
    <col min="15113" max="15113" width="9.125" style="126"/>
    <col min="15114" max="15114" width="9.25" style="126" customWidth="1"/>
    <col min="15115" max="15115" width="9.375" style="126" customWidth="1"/>
    <col min="15116" max="15116" width="9.625" style="126" customWidth="1"/>
    <col min="15117" max="15117" width="10" style="126" customWidth="1"/>
    <col min="15118" max="15118" width="9.625" style="126" customWidth="1"/>
    <col min="15119" max="15119" width="9" style="126" customWidth="1"/>
    <col min="15120" max="15120" width="9.125" style="126"/>
    <col min="15121" max="15121" width="8.375" style="126" customWidth="1"/>
    <col min="15122" max="15122" width="8.75" style="126" customWidth="1"/>
    <col min="15123" max="15123" width="9.125" style="126"/>
    <col min="15124" max="15124" width="1.375" style="126" customWidth="1"/>
    <col min="15125" max="15125" width="11.625" style="126" bestFit="1" customWidth="1"/>
    <col min="15126" max="15126" width="7.125" style="126" customWidth="1"/>
    <col min="15127" max="15131" width="6.25" style="126" customWidth="1"/>
    <col min="15132" max="15132" width="7.75" style="126" customWidth="1"/>
    <col min="15133" max="15360" width="9.125" style="126"/>
    <col min="15361" max="15361" width="8.375" style="126" customWidth="1"/>
    <col min="15362" max="15362" width="10.375" style="126" customWidth="1"/>
    <col min="15363" max="15364" width="11.125" style="126" customWidth="1"/>
    <col min="15365" max="15365" width="9" style="126" customWidth="1"/>
    <col min="15366" max="15366" width="9.125" style="126"/>
    <col min="15367" max="15367" width="8.75" style="126" customWidth="1"/>
    <col min="15368" max="15368" width="9.625" style="126" customWidth="1"/>
    <col min="15369" max="15369" width="9.125" style="126"/>
    <col min="15370" max="15370" width="9.25" style="126" customWidth="1"/>
    <col min="15371" max="15371" width="9.375" style="126" customWidth="1"/>
    <col min="15372" max="15372" width="9.625" style="126" customWidth="1"/>
    <col min="15373" max="15373" width="10" style="126" customWidth="1"/>
    <col min="15374" max="15374" width="9.625" style="126" customWidth="1"/>
    <col min="15375" max="15375" width="9" style="126" customWidth="1"/>
    <col min="15376" max="15376" width="9.125" style="126"/>
    <col min="15377" max="15377" width="8.375" style="126" customWidth="1"/>
    <col min="15378" max="15378" width="8.75" style="126" customWidth="1"/>
    <col min="15379" max="15379" width="9.125" style="126"/>
    <col min="15380" max="15380" width="1.375" style="126" customWidth="1"/>
    <col min="15381" max="15381" width="11.625" style="126" bestFit="1" customWidth="1"/>
    <col min="15382" max="15382" width="7.125" style="126" customWidth="1"/>
    <col min="15383" max="15387" width="6.25" style="126" customWidth="1"/>
    <col min="15388" max="15388" width="7.75" style="126" customWidth="1"/>
    <col min="15389" max="15616" width="9.125" style="126"/>
    <col min="15617" max="15617" width="8.375" style="126" customWidth="1"/>
    <col min="15618" max="15618" width="10.375" style="126" customWidth="1"/>
    <col min="15619" max="15620" width="11.125" style="126" customWidth="1"/>
    <col min="15621" max="15621" width="9" style="126" customWidth="1"/>
    <col min="15622" max="15622" width="9.125" style="126"/>
    <col min="15623" max="15623" width="8.75" style="126" customWidth="1"/>
    <col min="15624" max="15624" width="9.625" style="126" customWidth="1"/>
    <col min="15625" max="15625" width="9.125" style="126"/>
    <col min="15626" max="15626" width="9.25" style="126" customWidth="1"/>
    <col min="15627" max="15627" width="9.375" style="126" customWidth="1"/>
    <col min="15628" max="15628" width="9.625" style="126" customWidth="1"/>
    <col min="15629" max="15629" width="10" style="126" customWidth="1"/>
    <col min="15630" max="15630" width="9.625" style="126" customWidth="1"/>
    <col min="15631" max="15631" width="9" style="126" customWidth="1"/>
    <col min="15632" max="15632" width="9.125" style="126"/>
    <col min="15633" max="15633" width="8.375" style="126" customWidth="1"/>
    <col min="15634" max="15634" width="8.75" style="126" customWidth="1"/>
    <col min="15635" max="15635" width="9.125" style="126"/>
    <col min="15636" max="15636" width="1.375" style="126" customWidth="1"/>
    <col min="15637" max="15637" width="11.625" style="126" bestFit="1" customWidth="1"/>
    <col min="15638" max="15638" width="7.125" style="126" customWidth="1"/>
    <col min="15639" max="15643" width="6.25" style="126" customWidth="1"/>
    <col min="15644" max="15644" width="7.75" style="126" customWidth="1"/>
    <col min="15645" max="15872" width="9.125" style="126"/>
    <col min="15873" max="15873" width="8.375" style="126" customWidth="1"/>
    <col min="15874" max="15874" width="10.375" style="126" customWidth="1"/>
    <col min="15875" max="15876" width="11.125" style="126" customWidth="1"/>
    <col min="15877" max="15877" width="9" style="126" customWidth="1"/>
    <col min="15878" max="15878" width="9.125" style="126"/>
    <col min="15879" max="15879" width="8.75" style="126" customWidth="1"/>
    <col min="15880" max="15880" width="9.625" style="126" customWidth="1"/>
    <col min="15881" max="15881" width="9.125" style="126"/>
    <col min="15882" max="15882" width="9.25" style="126" customWidth="1"/>
    <col min="15883" max="15883" width="9.375" style="126" customWidth="1"/>
    <col min="15884" max="15884" width="9.625" style="126" customWidth="1"/>
    <col min="15885" max="15885" width="10" style="126" customWidth="1"/>
    <col min="15886" max="15886" width="9.625" style="126" customWidth="1"/>
    <col min="15887" max="15887" width="9" style="126" customWidth="1"/>
    <col min="15888" max="15888" width="9.125" style="126"/>
    <col min="15889" max="15889" width="8.375" style="126" customWidth="1"/>
    <col min="15890" max="15890" width="8.75" style="126" customWidth="1"/>
    <col min="15891" max="15891" width="9.125" style="126"/>
    <col min="15892" max="15892" width="1.375" style="126" customWidth="1"/>
    <col min="15893" max="15893" width="11.625" style="126" bestFit="1" customWidth="1"/>
    <col min="15894" max="15894" width="7.125" style="126" customWidth="1"/>
    <col min="15895" max="15899" width="6.25" style="126" customWidth="1"/>
    <col min="15900" max="15900" width="7.75" style="126" customWidth="1"/>
    <col min="15901" max="16128" width="9.125" style="126"/>
    <col min="16129" max="16129" width="8.375" style="126" customWidth="1"/>
    <col min="16130" max="16130" width="10.375" style="126" customWidth="1"/>
    <col min="16131" max="16132" width="11.125" style="126" customWidth="1"/>
    <col min="16133" max="16133" width="9" style="126" customWidth="1"/>
    <col min="16134" max="16134" width="9.125" style="126"/>
    <col min="16135" max="16135" width="8.75" style="126" customWidth="1"/>
    <col min="16136" max="16136" width="9.625" style="126" customWidth="1"/>
    <col min="16137" max="16137" width="9.125" style="126"/>
    <col min="16138" max="16138" width="9.25" style="126" customWidth="1"/>
    <col min="16139" max="16139" width="9.375" style="126" customWidth="1"/>
    <col min="16140" max="16140" width="9.625" style="126" customWidth="1"/>
    <col min="16141" max="16141" width="10" style="126" customWidth="1"/>
    <col min="16142" max="16142" width="9.625" style="126" customWidth="1"/>
    <col min="16143" max="16143" width="9" style="126" customWidth="1"/>
    <col min="16144" max="16144" width="9.125" style="126"/>
    <col min="16145" max="16145" width="8.375" style="126" customWidth="1"/>
    <col min="16146" max="16146" width="8.75" style="126" customWidth="1"/>
    <col min="16147" max="16147" width="9.125" style="126"/>
    <col min="16148" max="16148" width="1.375" style="126" customWidth="1"/>
    <col min="16149" max="16149" width="11.625" style="126" bestFit="1" customWidth="1"/>
    <col min="16150" max="16150" width="7.125" style="126" customWidth="1"/>
    <col min="16151" max="16155" width="6.25" style="126" customWidth="1"/>
    <col min="16156" max="16156" width="7.75" style="126" customWidth="1"/>
    <col min="16157" max="16384" width="9.125" style="126"/>
  </cols>
  <sheetData>
    <row r="1" spans="1:29" s="121" customFormat="1">
      <c r="A1" s="120" t="s">
        <v>793</v>
      </c>
      <c r="B1" s="121" t="s">
        <v>794</v>
      </c>
      <c r="C1" s="122">
        <f>Table!C3</f>
        <v>22</v>
      </c>
      <c r="D1" s="26" t="str">
        <f>Table!C38</f>
        <v>Avispa Fukuoka</v>
      </c>
      <c r="E1" s="26" t="str">
        <f>Table!C39</f>
        <v>Oita Trinita</v>
      </c>
      <c r="F1" s="26" t="str">
        <f>Table!C40</f>
        <v>Ehime</v>
      </c>
      <c r="G1" s="26" t="str">
        <f>Table!C41</f>
        <v>Fagiano Okayama</v>
      </c>
      <c r="H1" s="26" t="str">
        <f>Table!C42</f>
        <v>Gifu</v>
      </c>
      <c r="I1" s="26" t="str">
        <f>Table!C43</f>
        <v>Shonan Bellmare</v>
      </c>
      <c r="J1" s="26" t="str">
        <f>Table!C44</f>
        <v>JEF United</v>
      </c>
      <c r="K1" s="26" t="str">
        <f>Table!C45</f>
        <v>Kamatamare Sanuki</v>
      </c>
      <c r="L1" s="26" t="str">
        <f>Table!C46</f>
        <v>Kyoto Sanga</v>
      </c>
      <c r="M1" s="26" t="str">
        <f>Table!C47</f>
        <v>Machida Zelvia</v>
      </c>
      <c r="N1" s="26" t="str">
        <f>Table!C48</f>
        <v>Matsumoto Yamaga</v>
      </c>
      <c r="O1" s="26" t="str">
        <f>Table!C49</f>
        <v>Mito Hollyhock</v>
      </c>
      <c r="P1" s="27"/>
      <c r="Q1" s="27"/>
    </row>
    <row r="2" spans="1:29" s="121" customFormat="1">
      <c r="A2" s="26" t="str">
        <f>Table!C1</f>
        <v>J2L</v>
      </c>
      <c r="B2" s="123"/>
      <c r="C2" s="123"/>
      <c r="D2" s="26" t="str">
        <f>Table!C50</f>
        <v>Montedio Yamagata</v>
      </c>
      <c r="E2" s="26" t="str">
        <f>Table!C51</f>
        <v>Renofa Yamaguchi</v>
      </c>
      <c r="F2" s="26" t="str">
        <f>Table!C52</f>
        <v>Roasso Kumamoto</v>
      </c>
      <c r="G2" s="26" t="str">
        <f>Table!C53</f>
        <v>Nagoya Grampus</v>
      </c>
      <c r="H2" s="26" t="str">
        <f>Table!C54</f>
        <v>ThespaKusatsu Gunma</v>
      </c>
      <c r="I2" s="26" t="str">
        <f>Table!C55</f>
        <v>Tokushima Vortis</v>
      </c>
      <c r="J2" s="26" t="str">
        <f>Table!C56</f>
        <v>Tokyo Verdy</v>
      </c>
      <c r="K2" s="26" t="str">
        <f>Table!C57</f>
        <v>V-Varen Nagasaki</v>
      </c>
      <c r="L2" s="26" t="str">
        <f>Table!C58</f>
        <v>Yokohama</v>
      </c>
      <c r="M2" s="26" t="str">
        <f>Table!C59</f>
        <v>Zweigen Kanazawa</v>
      </c>
      <c r="N2" s="26">
        <f>Table!C60</f>
        <v>0</v>
      </c>
      <c r="O2" s="26">
        <f>Table!C61</f>
        <v>0</v>
      </c>
      <c r="P2" s="27"/>
      <c r="Q2" s="27"/>
    </row>
    <row r="3" spans="1:29">
      <c r="A3" s="124"/>
      <c r="B3" s="125"/>
      <c r="C3" s="31"/>
      <c r="D3" s="126"/>
      <c r="F3" s="125"/>
      <c r="H3" s="125"/>
      <c r="I3" s="125"/>
      <c r="J3" s="125"/>
      <c r="K3" s="125"/>
      <c r="L3" s="125"/>
      <c r="M3" s="125"/>
      <c r="N3" s="125"/>
      <c r="O3" s="125"/>
    </row>
    <row r="4" spans="1:29" ht="13.5" thickBot="1">
      <c r="A4" s="124"/>
      <c r="B4" s="125"/>
      <c r="C4" s="125"/>
      <c r="D4" s="127" t="s">
        <v>795</v>
      </c>
      <c r="L4" s="128"/>
      <c r="M4" s="128"/>
      <c r="N4" s="128"/>
      <c r="O4" s="128"/>
      <c r="P4" s="128"/>
      <c r="Q4" s="128"/>
      <c r="R4" s="128"/>
      <c r="S4" s="128"/>
      <c r="T4" s="128"/>
      <c r="U4" s="128" t="s">
        <v>796</v>
      </c>
      <c r="V4" s="128"/>
      <c r="W4" s="128"/>
      <c r="X4" s="128"/>
      <c r="Y4" s="128"/>
      <c r="Z4" s="128"/>
      <c r="AA4" s="128"/>
      <c r="AB4" s="128"/>
      <c r="AC4" s="128"/>
    </row>
    <row r="5" spans="1:29" ht="13.5" thickBot="1">
      <c r="A5" s="129" t="s">
        <v>13</v>
      </c>
      <c r="B5" s="125"/>
      <c r="C5" s="125"/>
      <c r="D5" s="130" t="s">
        <v>0</v>
      </c>
      <c r="E5" s="131" t="s">
        <v>22</v>
      </c>
      <c r="F5" s="132"/>
      <c r="G5" s="131" t="s">
        <v>18</v>
      </c>
      <c r="H5" s="132"/>
      <c r="I5" s="131" t="s">
        <v>121</v>
      </c>
      <c r="J5" s="133"/>
      <c r="L5" s="128"/>
      <c r="M5" s="134"/>
      <c r="N5" s="135"/>
      <c r="O5" s="135"/>
      <c r="P5" s="135"/>
      <c r="Q5" s="135"/>
      <c r="R5" s="135"/>
      <c r="S5" s="136"/>
      <c r="T5" s="128"/>
      <c r="U5" s="137" t="s">
        <v>797</v>
      </c>
      <c r="V5" s="137" t="s">
        <v>798</v>
      </c>
      <c r="W5" s="137" t="s">
        <v>799</v>
      </c>
      <c r="X5" s="135"/>
      <c r="Y5" s="135"/>
      <c r="Z5" s="135"/>
      <c r="AA5" s="136"/>
      <c r="AB5" s="128"/>
      <c r="AC5" s="128"/>
    </row>
    <row r="6" spans="1:29" ht="13.5" thickBot="1">
      <c r="A6" s="138"/>
      <c r="B6" s="125"/>
      <c r="C6" s="125"/>
      <c r="D6" s="139"/>
      <c r="E6" s="140" t="s">
        <v>125</v>
      </c>
      <c r="F6" s="141" t="s">
        <v>800</v>
      </c>
      <c r="G6" s="140" t="s">
        <v>125</v>
      </c>
      <c r="H6" s="141" t="s">
        <v>800</v>
      </c>
      <c r="I6" s="142" t="s">
        <v>125</v>
      </c>
      <c r="J6" s="143" t="s">
        <v>800</v>
      </c>
      <c r="L6" s="128"/>
      <c r="M6" s="134"/>
      <c r="N6" s="137"/>
      <c r="O6" s="134"/>
      <c r="P6" s="137"/>
      <c r="Q6" s="134"/>
      <c r="R6" s="134"/>
      <c r="S6" s="134"/>
      <c r="T6" s="128"/>
      <c r="U6" s="144">
        <v>0</v>
      </c>
      <c r="V6" s="145">
        <v>0.13</v>
      </c>
      <c r="W6" s="146">
        <v>0</v>
      </c>
      <c r="X6" s="137"/>
      <c r="Y6" s="134"/>
      <c r="Z6" s="134"/>
      <c r="AA6" s="134"/>
      <c r="AB6" s="128"/>
      <c r="AC6" s="128"/>
    </row>
    <row r="7" spans="1:29">
      <c r="A7" s="147">
        <v>1</v>
      </c>
      <c r="B7" s="125" t="str">
        <f ca="1">IF(A7&gt;$C$1,"",VLOOKUP($A7,Table!$A$9:$C$32,3,FALSE))</f>
        <v>Shonan Bellmare</v>
      </c>
      <c r="C7" s="125"/>
      <c r="D7" s="148" t="str">
        <f ca="1">IF(A7&gt;$C$1,"",VLOOKUP($A7,Table!$A$9:$C$32,2,FALSE))</f>
        <v>Shonan Bellmare</v>
      </c>
      <c r="E7" s="149" t="e">
        <f t="shared" ref="E7:E30" ca="1" si="0">IF(D7="","",VLOOKUP($B7,$C:$J,3,FALSE))</f>
        <v>#REF!</v>
      </c>
      <c r="F7" s="150" t="e">
        <f t="shared" ref="F7:F30" ca="1" si="1">IF(D7="","",VLOOKUP($B7,$C:$J,4,FALSE))</f>
        <v>#REF!</v>
      </c>
      <c r="G7" s="151" t="e">
        <f t="shared" ref="G7:G30" ca="1" si="2">IF(D7="","",VLOOKUP($B7,$C:$J,5,FALSE))</f>
        <v>#REF!</v>
      </c>
      <c r="H7" s="152" t="e">
        <f t="shared" ref="H7:H30" ca="1" si="3">IF(D7="","",VLOOKUP($B7,$C:$J,6,FALSE))</f>
        <v>#REF!</v>
      </c>
      <c r="I7" s="153" t="e">
        <f t="shared" ref="I7:I30" ca="1" si="4">IF(D7="","",VLOOKUP($B7,$C:$J,7,FALSE))</f>
        <v>#REF!</v>
      </c>
      <c r="J7" s="154" t="e">
        <f t="shared" ref="J7:J30" ca="1" si="5">IF(D7="","",VLOOKUP($B7,$C:$J,8,FALSE))</f>
        <v>#REF!</v>
      </c>
      <c r="L7" s="128"/>
      <c r="M7" s="134"/>
      <c r="N7" s="137"/>
      <c r="O7" s="134"/>
      <c r="P7" s="137"/>
      <c r="Q7" s="134"/>
      <c r="R7" s="155"/>
      <c r="S7" s="134"/>
      <c r="T7" s="128"/>
      <c r="U7" s="156">
        <v>0.14000000000000001</v>
      </c>
      <c r="V7" s="157">
        <v>0.42</v>
      </c>
      <c r="W7" s="158">
        <v>0.25</v>
      </c>
      <c r="X7" s="137"/>
      <c r="Y7" s="60"/>
      <c r="Z7" s="137"/>
      <c r="AA7" s="60"/>
      <c r="AB7" s="128"/>
      <c r="AC7" s="128"/>
    </row>
    <row r="8" spans="1:29">
      <c r="A8" s="159">
        <v>2</v>
      </c>
      <c r="B8" s="125" t="str">
        <f ca="1">IF(A8&gt;$C$1,"",VLOOKUP($A8,Table!$A$9:$C$32,3,FALSE))</f>
        <v>V-Varen Nagasaki</v>
      </c>
      <c r="C8" s="125"/>
      <c r="D8" s="160" t="str">
        <f ca="1">IF(A8&gt;$C$1,"",VLOOKUP($A8,Table!$A$9:$C$32,2,FALSE))</f>
        <v>V-Varen Nagasaki</v>
      </c>
      <c r="E8" s="161" t="e">
        <f t="shared" ca="1" si="0"/>
        <v>#REF!</v>
      </c>
      <c r="F8" s="162" t="e">
        <f t="shared" ca="1" si="1"/>
        <v>#REF!</v>
      </c>
      <c r="G8" s="163" t="e">
        <f t="shared" ca="1" si="2"/>
        <v>#REF!</v>
      </c>
      <c r="H8" s="164" t="e">
        <f t="shared" ca="1" si="3"/>
        <v>#REF!</v>
      </c>
      <c r="I8" s="165" t="e">
        <f t="shared" ca="1" si="4"/>
        <v>#REF!</v>
      </c>
      <c r="J8" s="166" t="e">
        <f t="shared" ca="1" si="5"/>
        <v>#REF!</v>
      </c>
      <c r="L8" s="128"/>
      <c r="M8" s="134"/>
      <c r="N8" s="137"/>
      <c r="O8" s="134"/>
      <c r="P8" s="137"/>
      <c r="Q8" s="134"/>
      <c r="R8" s="155"/>
      <c r="S8" s="134"/>
      <c r="T8" s="128"/>
      <c r="U8" s="156">
        <v>0.43</v>
      </c>
      <c r="V8" s="157">
        <v>0.7</v>
      </c>
      <c r="W8" s="158">
        <v>0.5</v>
      </c>
      <c r="X8" s="137"/>
      <c r="Y8" s="60"/>
      <c r="Z8" s="137"/>
      <c r="AA8" s="60"/>
      <c r="AB8" s="128"/>
      <c r="AC8" s="128"/>
    </row>
    <row r="9" spans="1:29">
      <c r="A9" s="167">
        <v>3</v>
      </c>
      <c r="B9" s="125" t="str">
        <f ca="1">IF(A9&gt;$C$1,"",VLOOKUP($A9,Table!$A$9:$C$32,3,FALSE))</f>
        <v>Nagoya Grampus</v>
      </c>
      <c r="C9" s="125"/>
      <c r="D9" s="168" t="str">
        <f ca="1">IF(A9&gt;$C$1,"",VLOOKUP($A9,Table!$A$9:$C$32,2,FALSE))</f>
        <v>Nagoya Grampus</v>
      </c>
      <c r="E9" s="169" t="e">
        <f t="shared" ca="1" si="0"/>
        <v>#REF!</v>
      </c>
      <c r="F9" s="170" t="e">
        <f t="shared" ca="1" si="1"/>
        <v>#REF!</v>
      </c>
      <c r="G9" s="171" t="e">
        <f t="shared" ca="1" si="2"/>
        <v>#REF!</v>
      </c>
      <c r="H9" s="164" t="e">
        <f t="shared" ca="1" si="3"/>
        <v>#REF!</v>
      </c>
      <c r="I9" s="172" t="e">
        <f t="shared" ca="1" si="4"/>
        <v>#REF!</v>
      </c>
      <c r="J9" s="170" t="e">
        <f t="shared" ca="1" si="5"/>
        <v>#REF!</v>
      </c>
      <c r="L9" s="128"/>
      <c r="M9" s="134"/>
      <c r="N9" s="137"/>
      <c r="O9" s="134"/>
      <c r="P9" s="137"/>
      <c r="Q9" s="134"/>
      <c r="R9" s="155"/>
      <c r="S9" s="134"/>
      <c r="T9" s="128"/>
      <c r="U9" s="156">
        <v>0.71</v>
      </c>
      <c r="V9" s="157">
        <v>0.95</v>
      </c>
      <c r="W9" s="158">
        <v>0.75</v>
      </c>
      <c r="X9" s="137"/>
      <c r="Y9" s="60"/>
      <c r="Z9" s="137"/>
      <c r="AA9" s="60"/>
      <c r="AB9" s="128"/>
      <c r="AC9" s="128"/>
    </row>
    <row r="10" spans="1:29">
      <c r="A10" s="167">
        <v>4</v>
      </c>
      <c r="B10" s="125" t="str">
        <f ca="1">IF(A10&gt;$C$1,"",VLOOKUP($A10,Table!$A$9:$C$32,3,FALSE))</f>
        <v>Avispa Fukuoka</v>
      </c>
      <c r="C10" s="125"/>
      <c r="D10" s="168" t="str">
        <f ca="1">IF(A10&gt;$C$1,"",VLOOKUP($A10,Table!$A$9:$C$32,2,FALSE))</f>
        <v>Avispa Fukuoka</v>
      </c>
      <c r="E10" s="169" t="e">
        <f t="shared" ca="1" si="0"/>
        <v>#REF!</v>
      </c>
      <c r="F10" s="170" t="e">
        <f t="shared" ca="1" si="1"/>
        <v>#REF!</v>
      </c>
      <c r="G10" s="171" t="e">
        <f t="shared" ca="1" si="2"/>
        <v>#REF!</v>
      </c>
      <c r="H10" s="164" t="e">
        <f t="shared" ca="1" si="3"/>
        <v>#REF!</v>
      </c>
      <c r="I10" s="172" t="e">
        <f t="shared" ca="1" si="4"/>
        <v>#REF!</v>
      </c>
      <c r="J10" s="170" t="e">
        <f t="shared" ca="1" si="5"/>
        <v>#REF!</v>
      </c>
      <c r="L10" s="128"/>
      <c r="M10" s="134"/>
      <c r="N10" s="137"/>
      <c r="O10" s="134"/>
      <c r="P10" s="137"/>
      <c r="Q10" s="134"/>
      <c r="R10" s="155"/>
      <c r="S10" s="134"/>
      <c r="T10" s="128"/>
      <c r="U10" s="156">
        <v>0.96</v>
      </c>
      <c r="V10" s="157">
        <v>1.21</v>
      </c>
      <c r="W10" s="158">
        <v>1</v>
      </c>
      <c r="X10" s="137"/>
      <c r="Y10" s="60"/>
      <c r="Z10" s="137"/>
      <c r="AA10" s="60"/>
      <c r="AB10" s="128"/>
      <c r="AC10" s="128"/>
    </row>
    <row r="11" spans="1:29">
      <c r="A11" s="159">
        <v>5</v>
      </c>
      <c r="B11" s="125" t="str">
        <f ca="1">IF(A11&gt;$C$1,"",VLOOKUP($A11,Table!$A$9:$C$32,3,FALSE))</f>
        <v>Tokyo Verdy</v>
      </c>
      <c r="C11" s="125"/>
      <c r="D11" s="160" t="str">
        <f ca="1">IF(A11&gt;$C$1,"",VLOOKUP($A11,Table!$A$9:$C$32,2,FALSE))</f>
        <v>Tokyo Verdy</v>
      </c>
      <c r="E11" s="161" t="e">
        <f t="shared" ca="1" si="0"/>
        <v>#REF!</v>
      </c>
      <c r="F11" s="162" t="e">
        <f t="shared" ca="1" si="1"/>
        <v>#REF!</v>
      </c>
      <c r="G11" s="163" t="e">
        <f t="shared" ca="1" si="2"/>
        <v>#REF!</v>
      </c>
      <c r="H11" s="164" t="e">
        <f t="shared" ca="1" si="3"/>
        <v>#REF!</v>
      </c>
      <c r="I11" s="153" t="e">
        <f t="shared" ca="1" si="4"/>
        <v>#REF!</v>
      </c>
      <c r="J11" s="154" t="e">
        <f t="shared" ca="1" si="5"/>
        <v>#REF!</v>
      </c>
      <c r="L11" s="128"/>
      <c r="M11" s="134"/>
      <c r="N11" s="137"/>
      <c r="O11" s="134"/>
      <c r="P11" s="137"/>
      <c r="Q11" s="134"/>
      <c r="R11" s="155"/>
      <c r="S11" s="134"/>
      <c r="T11" s="128"/>
      <c r="U11" s="156">
        <v>1.22</v>
      </c>
      <c r="V11" s="157">
        <v>1.47</v>
      </c>
      <c r="W11" s="158">
        <v>1.25</v>
      </c>
      <c r="X11" s="137"/>
      <c r="Y11" s="60"/>
      <c r="Z11" s="137"/>
      <c r="AA11" s="60"/>
      <c r="AB11" s="128"/>
      <c r="AC11" s="128"/>
    </row>
    <row r="12" spans="1:29">
      <c r="A12" s="159">
        <v>6</v>
      </c>
      <c r="B12" s="125" t="str">
        <f ca="1">IF(A12&gt;$C$1,"",VLOOKUP($A12,Table!$A$9:$C$32,3,FALSE))</f>
        <v>JEF United</v>
      </c>
      <c r="C12" s="125"/>
      <c r="D12" s="160" t="str">
        <f ca="1">IF(A12&gt;$C$1,"",VLOOKUP($A12,Table!$A$9:$C$32,2,FALSE))</f>
        <v>JEF United</v>
      </c>
      <c r="E12" s="161" t="e">
        <f t="shared" ca="1" si="0"/>
        <v>#REF!</v>
      </c>
      <c r="F12" s="162" t="e">
        <f t="shared" ca="1" si="1"/>
        <v>#REF!</v>
      </c>
      <c r="G12" s="163" t="e">
        <f t="shared" ca="1" si="2"/>
        <v>#REF!</v>
      </c>
      <c r="H12" s="164" t="e">
        <f t="shared" ca="1" si="3"/>
        <v>#REF!</v>
      </c>
      <c r="I12" s="165" t="e">
        <f t="shared" ca="1" si="4"/>
        <v>#REF!</v>
      </c>
      <c r="J12" s="166" t="e">
        <f t="shared" ca="1" si="5"/>
        <v>#REF!</v>
      </c>
      <c r="L12" s="128"/>
      <c r="M12" s="134"/>
      <c r="N12" s="137"/>
      <c r="O12" s="134"/>
      <c r="P12" s="137"/>
      <c r="Q12" s="134"/>
      <c r="R12" s="155"/>
      <c r="S12" s="134"/>
      <c r="T12" s="128"/>
      <c r="U12" s="156">
        <v>1.48</v>
      </c>
      <c r="V12" s="157">
        <v>1.75</v>
      </c>
      <c r="W12" s="158">
        <v>1.5</v>
      </c>
      <c r="X12" s="137"/>
      <c r="Y12" s="60"/>
      <c r="Z12" s="137"/>
      <c r="AA12" s="60"/>
      <c r="AB12" s="128"/>
      <c r="AC12" s="128"/>
    </row>
    <row r="13" spans="1:29">
      <c r="A13" s="167">
        <v>7</v>
      </c>
      <c r="B13" s="125" t="str">
        <f ca="1">IF(A13&gt;$C$1,"",VLOOKUP($A13,Table!$A$9:$C$32,3,FALSE))</f>
        <v>Tokushima Vortis</v>
      </c>
      <c r="C13" s="125"/>
      <c r="D13" s="168" t="str">
        <f ca="1">IF(A13&gt;$C$1,"",VLOOKUP($A13,Table!$A$9:$C$32,2,FALSE))</f>
        <v>Tokushima Vortis</v>
      </c>
      <c r="E13" s="169" t="e">
        <f t="shared" ca="1" si="0"/>
        <v>#REF!</v>
      </c>
      <c r="F13" s="170" t="e">
        <f t="shared" ca="1" si="1"/>
        <v>#REF!</v>
      </c>
      <c r="G13" s="171" t="e">
        <f t="shared" ca="1" si="2"/>
        <v>#REF!</v>
      </c>
      <c r="H13" s="164" t="e">
        <f t="shared" ca="1" si="3"/>
        <v>#REF!</v>
      </c>
      <c r="I13" s="172" t="e">
        <f t="shared" ca="1" si="4"/>
        <v>#REF!</v>
      </c>
      <c r="J13" s="170" t="e">
        <f t="shared" ca="1" si="5"/>
        <v>#REF!</v>
      </c>
      <c r="L13" s="128"/>
      <c r="M13" s="134"/>
      <c r="N13" s="137"/>
      <c r="O13" s="134"/>
      <c r="P13" s="137"/>
      <c r="Q13" s="134"/>
      <c r="R13" s="155"/>
      <c r="S13" s="134"/>
      <c r="T13" s="128"/>
      <c r="U13" s="156">
        <v>1.76</v>
      </c>
      <c r="V13" s="157">
        <v>1.99</v>
      </c>
      <c r="W13" s="158">
        <v>1.75</v>
      </c>
      <c r="X13" s="137"/>
      <c r="Y13" s="60"/>
      <c r="Z13" s="137"/>
      <c r="AA13" s="60"/>
      <c r="AB13" s="128"/>
      <c r="AC13" s="128"/>
    </row>
    <row r="14" spans="1:29">
      <c r="A14" s="167">
        <v>8</v>
      </c>
      <c r="B14" s="125" t="str">
        <f ca="1">IF(A14&gt;$C$1,"",VLOOKUP($A14,Table!$A$9:$C$32,3,FALSE))</f>
        <v>Matsumoto Yamaga</v>
      </c>
      <c r="C14" s="125"/>
      <c r="D14" s="168" t="str">
        <f ca="1">IF(A14&gt;$C$1,"",VLOOKUP($A14,Table!$A$9:$C$32,2,FALSE))</f>
        <v>Matsumoto Yamaga</v>
      </c>
      <c r="E14" s="169" t="e">
        <f t="shared" ca="1" si="0"/>
        <v>#REF!</v>
      </c>
      <c r="F14" s="170" t="e">
        <f t="shared" ca="1" si="1"/>
        <v>#REF!</v>
      </c>
      <c r="G14" s="171" t="e">
        <f t="shared" ca="1" si="2"/>
        <v>#REF!</v>
      </c>
      <c r="H14" s="164" t="e">
        <f t="shared" ca="1" si="3"/>
        <v>#REF!</v>
      </c>
      <c r="I14" s="172" t="e">
        <f t="shared" ca="1" si="4"/>
        <v>#REF!</v>
      </c>
      <c r="J14" s="170" t="e">
        <f t="shared" ca="1" si="5"/>
        <v>#REF!</v>
      </c>
      <c r="L14" s="128"/>
      <c r="M14" s="134"/>
      <c r="N14" s="137"/>
      <c r="O14" s="134"/>
      <c r="P14" s="137"/>
      <c r="Q14" s="134"/>
      <c r="R14" s="155"/>
      <c r="S14" s="134"/>
      <c r="T14" s="128"/>
      <c r="U14" s="156">
        <v>2</v>
      </c>
      <c r="V14" s="157">
        <v>2.2400000000000002</v>
      </c>
      <c r="W14" s="158">
        <v>2</v>
      </c>
      <c r="X14" s="137"/>
      <c r="Y14" s="60"/>
      <c r="Z14" s="137"/>
      <c r="AA14" s="60"/>
      <c r="AB14" s="128"/>
      <c r="AC14" s="128"/>
    </row>
    <row r="15" spans="1:29">
      <c r="A15" s="159">
        <v>9</v>
      </c>
      <c r="B15" s="125" t="str">
        <f ca="1">IF(A15&gt;$C$1,"",VLOOKUP($A15,Table!$A$9:$C$32,3,FALSE))</f>
        <v>Oita Trinita</v>
      </c>
      <c r="C15" s="125"/>
      <c r="D15" s="160" t="str">
        <f ca="1">IF(A15&gt;$C$1,"",VLOOKUP($A15,Table!$A$9:$C$32,2,FALSE))</f>
        <v>Oita Trinita</v>
      </c>
      <c r="E15" s="161" t="e">
        <f t="shared" ca="1" si="0"/>
        <v>#REF!</v>
      </c>
      <c r="F15" s="162" t="e">
        <f t="shared" ca="1" si="1"/>
        <v>#REF!</v>
      </c>
      <c r="G15" s="163" t="e">
        <f t="shared" ca="1" si="2"/>
        <v>#REF!</v>
      </c>
      <c r="H15" s="164" t="e">
        <f t="shared" ca="1" si="3"/>
        <v>#REF!</v>
      </c>
      <c r="I15" s="153" t="e">
        <f t="shared" ca="1" si="4"/>
        <v>#REF!</v>
      </c>
      <c r="J15" s="154" t="e">
        <f t="shared" ca="1" si="5"/>
        <v>#REF!</v>
      </c>
      <c r="L15" s="128"/>
      <c r="M15" s="134"/>
      <c r="N15" s="137"/>
      <c r="O15" s="134"/>
      <c r="P15" s="137"/>
      <c r="Q15" s="134"/>
      <c r="R15" s="155"/>
      <c r="S15" s="134"/>
      <c r="T15" s="128"/>
      <c r="U15" s="156">
        <v>2.25</v>
      </c>
      <c r="V15" s="157">
        <v>2.5</v>
      </c>
      <c r="W15" s="158">
        <v>2.25</v>
      </c>
      <c r="X15" s="137"/>
      <c r="Y15" s="60"/>
      <c r="Z15" s="137"/>
      <c r="AA15" s="60"/>
      <c r="AB15" s="128"/>
      <c r="AC15" s="128"/>
    </row>
    <row r="16" spans="1:29">
      <c r="A16" s="159">
        <v>10</v>
      </c>
      <c r="B16" s="125" t="str">
        <f ca="1">IF(A16&gt;$C$1,"",VLOOKUP($A16,Table!$A$9:$C$32,3,FALSE))</f>
        <v>Yokohama</v>
      </c>
      <c r="C16" s="125"/>
      <c r="D16" s="160" t="str">
        <f ca="1">IF(A16&gt;$C$1,"",VLOOKUP($A16,Table!$A$9:$C$32,2,FALSE))</f>
        <v>Yokohama</v>
      </c>
      <c r="E16" s="161">
        <f t="shared" ca="1" si="0"/>
        <v>21</v>
      </c>
      <c r="F16" s="162">
        <f t="shared" ca="1" si="1"/>
        <v>-2.8600000000000003</v>
      </c>
      <c r="G16" s="163">
        <f t="shared" ca="1" si="2"/>
        <v>21</v>
      </c>
      <c r="H16" s="164">
        <f t="shared" ca="1" si="3"/>
        <v>11.419999999999998</v>
      </c>
      <c r="I16" s="165">
        <f t="shared" ca="1" si="4"/>
        <v>42</v>
      </c>
      <c r="J16" s="166">
        <f t="shared" ca="1" si="5"/>
        <v>8.5599999999999987</v>
      </c>
      <c r="L16" s="128"/>
      <c r="M16" s="134"/>
      <c r="N16" s="137"/>
      <c r="O16" s="134"/>
      <c r="P16" s="137"/>
      <c r="Q16" s="134"/>
      <c r="R16" s="155"/>
      <c r="S16" s="134"/>
      <c r="T16" s="128"/>
      <c r="U16" s="156">
        <v>2.5099999999999998</v>
      </c>
      <c r="V16" s="157">
        <v>2.75</v>
      </c>
      <c r="W16" s="158">
        <v>2.5</v>
      </c>
      <c r="X16" s="137"/>
      <c r="Y16" s="60"/>
      <c r="Z16" s="137"/>
      <c r="AA16" s="60"/>
      <c r="AB16" s="128"/>
      <c r="AC16" s="128"/>
    </row>
    <row r="17" spans="1:59">
      <c r="A17" s="167">
        <v>11</v>
      </c>
      <c r="B17" s="125" t="str">
        <f ca="1">IF(A17&gt;$C$1,"",VLOOKUP($A17,Table!$A$9:$C$32,3,FALSE))</f>
        <v>Montedio Yamagata</v>
      </c>
      <c r="C17" s="125"/>
      <c r="D17" s="168" t="str">
        <f ca="1">IF(A17&gt;$C$1,"",VLOOKUP($A17,Table!$A$9:$C$32,2,FALSE))</f>
        <v>Montedio Yamagata</v>
      </c>
      <c r="E17" s="169" t="e">
        <f t="shared" ca="1" si="0"/>
        <v>#REF!</v>
      </c>
      <c r="F17" s="170" t="e">
        <f t="shared" ca="1" si="1"/>
        <v>#REF!</v>
      </c>
      <c r="G17" s="171" t="e">
        <f t="shared" ca="1" si="2"/>
        <v>#REF!</v>
      </c>
      <c r="H17" s="164" t="e">
        <f t="shared" ca="1" si="3"/>
        <v>#REF!</v>
      </c>
      <c r="I17" s="172" t="e">
        <f t="shared" ca="1" si="4"/>
        <v>#REF!</v>
      </c>
      <c r="J17" s="170" t="e">
        <f t="shared" ca="1" si="5"/>
        <v>#REF!</v>
      </c>
      <c r="L17" s="128"/>
      <c r="M17" s="134"/>
      <c r="N17" s="137"/>
      <c r="O17" s="134"/>
      <c r="P17" s="137"/>
      <c r="Q17" s="134"/>
      <c r="R17" s="155"/>
      <c r="S17" s="134"/>
      <c r="T17" s="128"/>
      <c r="U17" s="156">
        <v>2.76</v>
      </c>
      <c r="V17" s="157">
        <v>3</v>
      </c>
      <c r="W17" s="158">
        <v>2.75</v>
      </c>
      <c r="X17" s="137"/>
      <c r="Y17" s="60"/>
      <c r="Z17" s="137"/>
      <c r="AA17" s="60"/>
      <c r="AB17" s="128"/>
      <c r="AC17" s="128"/>
    </row>
    <row r="18" spans="1:59">
      <c r="A18" s="167">
        <v>12</v>
      </c>
      <c r="B18" s="125" t="str">
        <f ca="1">IF(A18&gt;$C$1,"",VLOOKUP($A18,Table!$A$9:$C$32,3,FALSE))</f>
        <v>Kyoto Sanga</v>
      </c>
      <c r="C18" s="125"/>
      <c r="D18" s="168" t="str">
        <f ca="1">IF(A18&gt;$C$1,"",VLOOKUP($A18,Table!$A$9:$C$32,2,FALSE))</f>
        <v>Kyoto Sanga</v>
      </c>
      <c r="E18" s="169" t="e">
        <f t="shared" ca="1" si="0"/>
        <v>#REF!</v>
      </c>
      <c r="F18" s="170" t="e">
        <f t="shared" ca="1" si="1"/>
        <v>#REF!</v>
      </c>
      <c r="G18" s="171" t="e">
        <f t="shared" ca="1" si="2"/>
        <v>#REF!</v>
      </c>
      <c r="H18" s="164" t="e">
        <f t="shared" ca="1" si="3"/>
        <v>#REF!</v>
      </c>
      <c r="I18" s="172" t="e">
        <f t="shared" ca="1" si="4"/>
        <v>#REF!</v>
      </c>
      <c r="J18" s="170" t="e">
        <f t="shared" ca="1" si="5"/>
        <v>#REF!</v>
      </c>
      <c r="L18" s="128"/>
      <c r="M18" s="134"/>
      <c r="N18" s="137"/>
      <c r="O18" s="134"/>
      <c r="P18" s="137"/>
      <c r="Q18" s="134"/>
      <c r="R18" s="155"/>
      <c r="S18" s="134"/>
      <c r="T18" s="128"/>
      <c r="U18" s="156">
        <v>3.01</v>
      </c>
      <c r="V18" s="157">
        <v>3.25</v>
      </c>
      <c r="W18" s="158">
        <v>3</v>
      </c>
      <c r="X18" s="137"/>
      <c r="Y18" s="60"/>
      <c r="Z18" s="137"/>
      <c r="AA18" s="60"/>
      <c r="AB18" s="128"/>
      <c r="AC18" s="128"/>
    </row>
    <row r="19" spans="1:59">
      <c r="A19" s="159">
        <v>13</v>
      </c>
      <c r="B19" s="125" t="str">
        <f ca="1">IF(A19&gt;$C$1,"",VLOOKUP($A19,Table!$A$9:$C$32,3,FALSE))</f>
        <v>Fagiano Okayama</v>
      </c>
      <c r="C19" s="125"/>
      <c r="D19" s="160" t="str">
        <f ca="1">IF(A19&gt;$C$1,"",VLOOKUP($A19,Table!$A$9:$C$32,2,FALSE))</f>
        <v>Fagiano Okayama</v>
      </c>
      <c r="E19" s="161" t="e">
        <f t="shared" ca="1" si="0"/>
        <v>#REF!</v>
      </c>
      <c r="F19" s="162" t="e">
        <f t="shared" ca="1" si="1"/>
        <v>#REF!</v>
      </c>
      <c r="G19" s="163" t="e">
        <f t="shared" ca="1" si="2"/>
        <v>#REF!</v>
      </c>
      <c r="H19" s="164" t="e">
        <f t="shared" ca="1" si="3"/>
        <v>#REF!</v>
      </c>
      <c r="I19" s="153" t="e">
        <f t="shared" ca="1" si="4"/>
        <v>#REF!</v>
      </c>
      <c r="J19" s="154" t="e">
        <f t="shared" ca="1" si="5"/>
        <v>#REF!</v>
      </c>
      <c r="L19" s="128"/>
      <c r="M19" s="134"/>
      <c r="N19" s="137"/>
      <c r="O19" s="134"/>
      <c r="P19" s="137"/>
      <c r="Q19" s="134"/>
      <c r="R19" s="155"/>
      <c r="S19" s="134"/>
      <c r="T19" s="128"/>
      <c r="U19" s="156">
        <v>3.26</v>
      </c>
      <c r="V19" s="157">
        <v>3.5</v>
      </c>
      <c r="W19" s="158">
        <v>3.25</v>
      </c>
      <c r="X19" s="137"/>
      <c r="Y19" s="60"/>
      <c r="Z19" s="137"/>
      <c r="AA19" s="60"/>
      <c r="AB19" s="128"/>
      <c r="AC19" s="128"/>
    </row>
    <row r="20" spans="1:59">
      <c r="A20" s="159">
        <v>14</v>
      </c>
      <c r="B20" s="125" t="str">
        <f ca="1">IF(A20&gt;$C$1,"",VLOOKUP($A20,Table!$A$9:$C$32,3,FALSE))</f>
        <v>Mito Hollyhock</v>
      </c>
      <c r="C20" s="125"/>
      <c r="D20" s="160" t="str">
        <f ca="1">IF(A20&gt;$C$1,"",VLOOKUP($A20,Table!$A$9:$C$32,2,FALSE))</f>
        <v>Mito Hollyhock</v>
      </c>
      <c r="E20" s="161" t="e">
        <f t="shared" ca="1" si="0"/>
        <v>#REF!</v>
      </c>
      <c r="F20" s="162" t="e">
        <f t="shared" ca="1" si="1"/>
        <v>#REF!</v>
      </c>
      <c r="G20" s="163" t="e">
        <f t="shared" ca="1" si="2"/>
        <v>#REF!</v>
      </c>
      <c r="H20" s="164" t="e">
        <f t="shared" ca="1" si="3"/>
        <v>#REF!</v>
      </c>
      <c r="I20" s="165" t="e">
        <f t="shared" ca="1" si="4"/>
        <v>#REF!</v>
      </c>
      <c r="J20" s="166" t="e">
        <f t="shared" ca="1" si="5"/>
        <v>#REF!</v>
      </c>
      <c r="L20" s="128"/>
      <c r="M20" s="134"/>
      <c r="N20" s="137"/>
      <c r="O20" s="134"/>
      <c r="P20" s="137"/>
      <c r="Q20" s="134"/>
      <c r="R20" s="155"/>
      <c r="S20" s="134"/>
      <c r="T20" s="128"/>
      <c r="U20" s="156">
        <v>3.51</v>
      </c>
      <c r="V20" s="157">
        <v>3.75</v>
      </c>
      <c r="W20" s="158">
        <v>3.5</v>
      </c>
      <c r="X20" s="137"/>
      <c r="Y20" s="60"/>
      <c r="Z20" s="137"/>
      <c r="AA20" s="60"/>
      <c r="AB20" s="128"/>
      <c r="AC20" s="128"/>
    </row>
    <row r="21" spans="1:59">
      <c r="A21" s="167">
        <v>15</v>
      </c>
      <c r="B21" s="125" t="str">
        <f ca="1">IF(A21&gt;$C$1,"",VLOOKUP($A21,Table!$A$9:$C$32,3,FALSE))</f>
        <v>Ehime</v>
      </c>
      <c r="C21" s="125"/>
      <c r="D21" s="168" t="str">
        <f ca="1">IF(A21&gt;$C$1,"",VLOOKUP($A21,Table!$A$9:$C$32,2,FALSE))</f>
        <v>Ehime</v>
      </c>
      <c r="E21" s="169">
        <f t="shared" ca="1" si="0"/>
        <v>21</v>
      </c>
      <c r="F21" s="170">
        <f t="shared" ca="1" si="1"/>
        <v>-3.8199999999999981</v>
      </c>
      <c r="G21" s="171">
        <f t="shared" ca="1" si="2"/>
        <v>21</v>
      </c>
      <c r="H21" s="164">
        <f t="shared" ca="1" si="3"/>
        <v>23.740000000000006</v>
      </c>
      <c r="I21" s="172">
        <f t="shared" ca="1" si="4"/>
        <v>42</v>
      </c>
      <c r="J21" s="170">
        <f t="shared" ca="1" si="5"/>
        <v>19.920000000000009</v>
      </c>
      <c r="L21" s="128"/>
      <c r="M21" s="134"/>
      <c r="N21" s="137"/>
      <c r="O21" s="134"/>
      <c r="P21" s="137"/>
      <c r="Q21" s="134"/>
      <c r="R21" s="155"/>
      <c r="S21" s="134"/>
      <c r="T21" s="128"/>
      <c r="U21" s="156">
        <v>3.76</v>
      </c>
      <c r="V21" s="157">
        <v>4</v>
      </c>
      <c r="W21" s="158">
        <v>3.75</v>
      </c>
      <c r="X21" s="137"/>
      <c r="Y21" s="60"/>
      <c r="Z21" s="137"/>
      <c r="AA21" s="60"/>
      <c r="AB21" s="128"/>
      <c r="AC21" s="128"/>
    </row>
    <row r="22" spans="1:59">
      <c r="A22" s="167">
        <v>16</v>
      </c>
      <c r="B22" s="125" t="str">
        <f ca="1">IF(A22&gt;$C$1,"",VLOOKUP($A22,Table!$A$9:$C$32,3,FALSE))</f>
        <v>Machida Zelvia</v>
      </c>
      <c r="C22" s="125"/>
      <c r="D22" s="168" t="str">
        <f ca="1">IF(A22&gt;$C$1,"",VLOOKUP($A22,Table!$A$9:$C$32,2,FALSE))</f>
        <v>Machida Zelvia</v>
      </c>
      <c r="E22" s="169" t="e">
        <f t="shared" ca="1" si="0"/>
        <v>#REF!</v>
      </c>
      <c r="F22" s="170" t="e">
        <f t="shared" ca="1" si="1"/>
        <v>#REF!</v>
      </c>
      <c r="G22" s="171" t="e">
        <f t="shared" ca="1" si="2"/>
        <v>#REF!</v>
      </c>
      <c r="H22" s="164" t="e">
        <f t="shared" ca="1" si="3"/>
        <v>#REF!</v>
      </c>
      <c r="I22" s="172" t="e">
        <f t="shared" ca="1" si="4"/>
        <v>#REF!</v>
      </c>
      <c r="J22" s="170" t="e">
        <f t="shared" ca="1" si="5"/>
        <v>#REF!</v>
      </c>
      <c r="L22" s="128"/>
      <c r="M22" s="134"/>
      <c r="N22" s="137"/>
      <c r="O22" s="134"/>
      <c r="P22" s="137"/>
      <c r="Q22" s="134"/>
      <c r="R22" s="155"/>
      <c r="S22" s="134"/>
      <c r="T22" s="128"/>
      <c r="U22" s="156">
        <v>4.01</v>
      </c>
      <c r="V22" s="157">
        <v>4.25</v>
      </c>
      <c r="W22" s="158">
        <v>4</v>
      </c>
      <c r="X22" s="137"/>
      <c r="Y22" s="60"/>
      <c r="Z22" s="137"/>
      <c r="AA22" s="60"/>
      <c r="AB22" s="128"/>
      <c r="AC22" s="128"/>
    </row>
    <row r="23" spans="1:59">
      <c r="A23" s="159">
        <v>17</v>
      </c>
      <c r="B23" s="125" t="str">
        <f ca="1">IF(A23&gt;$C$1,"",VLOOKUP($A23,Table!$A$9:$C$32,3,FALSE))</f>
        <v>Zweigen Kanazawa</v>
      </c>
      <c r="C23" s="125"/>
      <c r="D23" s="160" t="str">
        <f ca="1">IF(A23&gt;$C$1,"",VLOOKUP($A23,Table!$A$9:$C$32,2,FALSE))</f>
        <v>Zweigen Kanazawa</v>
      </c>
      <c r="E23" s="161" t="e">
        <f t="shared" ca="1" si="0"/>
        <v>#REF!</v>
      </c>
      <c r="F23" s="162" t="e">
        <f t="shared" ca="1" si="1"/>
        <v>#REF!</v>
      </c>
      <c r="G23" s="163" t="e">
        <f t="shared" ca="1" si="2"/>
        <v>#REF!</v>
      </c>
      <c r="H23" s="164" t="e">
        <f t="shared" ca="1" si="3"/>
        <v>#REF!</v>
      </c>
      <c r="I23" s="153" t="e">
        <f t="shared" ca="1" si="4"/>
        <v>#REF!</v>
      </c>
      <c r="J23" s="154" t="e">
        <f t="shared" ca="1" si="5"/>
        <v>#REF!</v>
      </c>
      <c r="L23" s="128"/>
      <c r="M23" s="134"/>
      <c r="N23" s="137"/>
      <c r="O23" s="134"/>
      <c r="P23" s="137"/>
      <c r="Q23" s="134"/>
      <c r="R23" s="155"/>
      <c r="S23" s="134"/>
      <c r="T23" s="128"/>
      <c r="U23" s="156">
        <v>4.26</v>
      </c>
      <c r="V23" s="157">
        <v>4.5</v>
      </c>
      <c r="W23" s="158">
        <v>4.25</v>
      </c>
      <c r="X23" s="173"/>
      <c r="Y23" s="77"/>
      <c r="Z23" s="173"/>
      <c r="AA23" s="77"/>
      <c r="AB23" s="174"/>
      <c r="AC23" s="174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</row>
    <row r="24" spans="1:59">
      <c r="A24" s="159">
        <v>18</v>
      </c>
      <c r="B24" s="125" t="str">
        <f ca="1">IF(A24&gt;$C$1,"",VLOOKUP($A24,Table!$A$9:$C$32,3,FALSE))</f>
        <v>Gifu</v>
      </c>
      <c r="C24" s="125"/>
      <c r="D24" s="160" t="str">
        <f ca="1">IF(A24&gt;$C$1,"",VLOOKUP($A24,Table!$A$9:$C$32,2,FALSE))</f>
        <v>Gifu</v>
      </c>
      <c r="E24" s="161">
        <f t="shared" ca="1" si="0"/>
        <v>21</v>
      </c>
      <c r="F24" s="162">
        <f t="shared" ca="1" si="1"/>
        <v>16.709999999999997</v>
      </c>
      <c r="G24" s="163">
        <f t="shared" ca="1" si="2"/>
        <v>21</v>
      </c>
      <c r="H24" s="164">
        <f t="shared" ca="1" si="3"/>
        <v>-1.5099999999999993</v>
      </c>
      <c r="I24" s="165">
        <f t="shared" ca="1" si="4"/>
        <v>42</v>
      </c>
      <c r="J24" s="166">
        <f t="shared" ca="1" si="5"/>
        <v>15.199999999999998</v>
      </c>
      <c r="L24" s="128"/>
      <c r="M24" s="134"/>
      <c r="N24" s="137"/>
      <c r="O24" s="134"/>
      <c r="P24" s="137"/>
      <c r="Q24" s="134"/>
      <c r="R24" s="155"/>
      <c r="S24" s="134"/>
      <c r="T24" s="128"/>
      <c r="U24" s="156">
        <v>4.51</v>
      </c>
      <c r="V24" s="157">
        <v>4.75</v>
      </c>
      <c r="W24" s="158">
        <v>4.5</v>
      </c>
      <c r="X24" s="173"/>
      <c r="Y24" s="77"/>
      <c r="Z24" s="173"/>
      <c r="AA24" s="77"/>
      <c r="AB24" s="174"/>
      <c r="AC24" s="174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</row>
    <row r="25" spans="1:59">
      <c r="A25" s="167">
        <v>19</v>
      </c>
      <c r="B25" s="125" t="str">
        <f ca="1">IF(A25&gt;$C$1,"",VLOOKUP($A25,Table!$A$9:$C$32,3,FALSE))</f>
        <v>Kamatamare Sanuki</v>
      </c>
      <c r="C25" s="125"/>
      <c r="D25" s="168" t="str">
        <f ca="1">IF(A25&gt;$C$1,"",VLOOKUP($A25,Table!$A$9:$C$32,2,FALSE))</f>
        <v>Kamatamare Sanuki</v>
      </c>
      <c r="E25" s="169" t="e">
        <f t="shared" ca="1" si="0"/>
        <v>#REF!</v>
      </c>
      <c r="F25" s="170" t="e">
        <f t="shared" ca="1" si="1"/>
        <v>#REF!</v>
      </c>
      <c r="G25" s="171" t="e">
        <f t="shared" ca="1" si="2"/>
        <v>#REF!</v>
      </c>
      <c r="H25" s="176" t="e">
        <f t="shared" ca="1" si="3"/>
        <v>#REF!</v>
      </c>
      <c r="I25" s="172" t="e">
        <f t="shared" ca="1" si="4"/>
        <v>#REF!</v>
      </c>
      <c r="J25" s="170" t="e">
        <f t="shared" ca="1" si="5"/>
        <v>#REF!</v>
      </c>
      <c r="L25" s="128"/>
      <c r="M25" s="134"/>
      <c r="N25" s="137"/>
      <c r="O25" s="134"/>
      <c r="P25" s="137"/>
      <c r="Q25" s="134"/>
      <c r="R25" s="155"/>
      <c r="S25" s="134"/>
      <c r="T25" s="128"/>
      <c r="U25" s="156">
        <v>4.76</v>
      </c>
      <c r="V25" s="157">
        <v>5</v>
      </c>
      <c r="W25" s="158">
        <v>4.75</v>
      </c>
      <c r="X25" s="173"/>
      <c r="Y25" s="77"/>
      <c r="Z25" s="173"/>
      <c r="AA25" s="77"/>
      <c r="AB25" s="174"/>
      <c r="AC25" s="174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</row>
    <row r="26" spans="1:59">
      <c r="A26" s="167">
        <v>20</v>
      </c>
      <c r="B26" s="125" t="str">
        <f ca="1">IF(A26&gt;$C$1,"",VLOOKUP($A26,Table!$A$9:$C$32,3,FALSE))</f>
        <v>Renofa Yamaguchi</v>
      </c>
      <c r="C26" s="125"/>
      <c r="D26" s="168" t="str">
        <f ca="1">IF(A26&gt;$C$1,"",VLOOKUP($A26,Table!$A$9:$C$32,2,FALSE))</f>
        <v>Renofa Yamaguchi</v>
      </c>
      <c r="E26" s="169" t="e">
        <f t="shared" ca="1" si="0"/>
        <v>#REF!</v>
      </c>
      <c r="F26" s="170" t="e">
        <f t="shared" ca="1" si="1"/>
        <v>#REF!</v>
      </c>
      <c r="G26" s="171" t="e">
        <f t="shared" ca="1" si="2"/>
        <v>#REF!</v>
      </c>
      <c r="H26" s="176" t="e">
        <f t="shared" ca="1" si="3"/>
        <v>#REF!</v>
      </c>
      <c r="I26" s="172" t="e">
        <f t="shared" ca="1" si="4"/>
        <v>#REF!</v>
      </c>
      <c r="J26" s="170" t="e">
        <f t="shared" ca="1" si="5"/>
        <v>#REF!</v>
      </c>
      <c r="L26" s="128"/>
      <c r="M26" s="134"/>
      <c r="N26" s="137"/>
      <c r="O26" s="134"/>
      <c r="P26" s="137"/>
      <c r="Q26" s="134"/>
      <c r="R26" s="155"/>
      <c r="S26" s="134"/>
      <c r="T26" s="128"/>
      <c r="U26" s="156">
        <v>5.01</v>
      </c>
      <c r="V26" s="157">
        <v>5.25</v>
      </c>
      <c r="W26" s="158">
        <v>5</v>
      </c>
      <c r="X26" s="173"/>
      <c r="Y26" s="77"/>
      <c r="Z26" s="173"/>
      <c r="AA26" s="77"/>
      <c r="AB26" s="174"/>
      <c r="AC26" s="174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</row>
    <row r="27" spans="1:59">
      <c r="A27" s="177">
        <v>21</v>
      </c>
      <c r="B27" s="125" t="str">
        <f ca="1">IF(A27&gt;$C$1,"",VLOOKUP($A27,Table!$A$9:$C$32,3,FALSE))</f>
        <v>Roasso Kumamoto</v>
      </c>
      <c r="C27" s="125"/>
      <c r="D27" s="178" t="str">
        <f ca="1">IF(A27&gt;$C$1,"",VLOOKUP($A27,Table!$A$9:$C$32,2,FALSE))</f>
        <v>Roasso Kumamoto</v>
      </c>
      <c r="E27" s="179" t="e">
        <f t="shared" ca="1" si="0"/>
        <v>#REF!</v>
      </c>
      <c r="F27" s="180" t="e">
        <f t="shared" ca="1" si="1"/>
        <v>#REF!</v>
      </c>
      <c r="G27" s="181" t="e">
        <f t="shared" ca="1" si="2"/>
        <v>#REF!</v>
      </c>
      <c r="H27" s="182" t="e">
        <f t="shared" ca="1" si="3"/>
        <v>#REF!</v>
      </c>
      <c r="I27" s="153" t="e">
        <f t="shared" ca="1" si="4"/>
        <v>#REF!</v>
      </c>
      <c r="J27" s="154" t="e">
        <f t="shared" ca="1" si="5"/>
        <v>#REF!</v>
      </c>
      <c r="L27" s="128"/>
      <c r="M27" s="134"/>
      <c r="N27" s="137"/>
      <c r="O27" s="134"/>
      <c r="P27" s="137"/>
      <c r="Q27" s="134"/>
      <c r="R27" s="155"/>
      <c r="S27" s="134"/>
      <c r="T27" s="128"/>
      <c r="U27" s="156">
        <v>5.26</v>
      </c>
      <c r="V27" s="157">
        <v>5.5</v>
      </c>
      <c r="W27" s="158">
        <v>5.25</v>
      </c>
      <c r="X27" s="174"/>
      <c r="Y27" s="87"/>
      <c r="Z27" s="174"/>
      <c r="AA27" s="87"/>
      <c r="AB27" s="174"/>
      <c r="AC27" s="174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</row>
    <row r="28" spans="1:59">
      <c r="A28" s="159">
        <v>22</v>
      </c>
      <c r="B28" s="125" t="str">
        <f ca="1">IF(A28&gt;$C$1,"",VLOOKUP($A28,Table!$A$9:$C$32,3,FALSE))</f>
        <v>ThespaKusatsu Gunma</v>
      </c>
      <c r="C28" s="125"/>
      <c r="D28" s="160" t="str">
        <f ca="1">IF(A28&gt;$C$1,"",VLOOKUP($A28,Table!$A$9:$C$32,2,FALSE))</f>
        <v>ThespaKusatsu Gunma</v>
      </c>
      <c r="E28" s="161" t="e">
        <f t="shared" ca="1" si="0"/>
        <v>#REF!</v>
      </c>
      <c r="F28" s="162" t="e">
        <f t="shared" ca="1" si="1"/>
        <v>#REF!</v>
      </c>
      <c r="G28" s="163" t="e">
        <f t="shared" ca="1" si="2"/>
        <v>#REF!</v>
      </c>
      <c r="H28" s="164" t="e">
        <f t="shared" ca="1" si="3"/>
        <v>#REF!</v>
      </c>
      <c r="I28" s="165" t="e">
        <f t="shared" ca="1" si="4"/>
        <v>#REF!</v>
      </c>
      <c r="J28" s="166" t="e">
        <f t="shared" ca="1" si="5"/>
        <v>#REF!</v>
      </c>
      <c r="L28" s="128"/>
      <c r="M28" s="134"/>
      <c r="N28" s="137"/>
      <c r="O28" s="134"/>
      <c r="P28" s="137"/>
      <c r="Q28" s="134"/>
      <c r="R28" s="155"/>
      <c r="S28" s="134"/>
      <c r="T28" s="128"/>
      <c r="U28" s="156">
        <v>5.51</v>
      </c>
      <c r="V28" s="157">
        <v>5.75</v>
      </c>
      <c r="W28" s="158">
        <v>5.5</v>
      </c>
      <c r="X28" s="174"/>
      <c r="Y28" s="174"/>
      <c r="Z28" s="174"/>
      <c r="AA28" s="174"/>
      <c r="AB28" s="174"/>
      <c r="AC28" s="174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</row>
    <row r="29" spans="1:59">
      <c r="A29" s="167">
        <v>23</v>
      </c>
      <c r="B29" s="125" t="str">
        <f>IF(A29&gt;$C$1,"",VLOOKUP($A29,Table!$A$9:$C$32,3,FALSE))</f>
        <v/>
      </c>
      <c r="C29" s="125"/>
      <c r="D29" s="168" t="str">
        <f>IF(A29&gt;$C$1,"",VLOOKUP($A29,Table!$A$9:$C$32,2,FALSE))</f>
        <v/>
      </c>
      <c r="E29" s="169" t="str">
        <f t="shared" si="0"/>
        <v/>
      </c>
      <c r="F29" s="170" t="str">
        <f t="shared" si="1"/>
        <v/>
      </c>
      <c r="G29" s="171" t="str">
        <f t="shared" si="2"/>
        <v/>
      </c>
      <c r="H29" s="176" t="str">
        <f t="shared" si="3"/>
        <v/>
      </c>
      <c r="I29" s="172" t="str">
        <f t="shared" si="4"/>
        <v/>
      </c>
      <c r="J29" s="170" t="str">
        <f t="shared" si="5"/>
        <v/>
      </c>
      <c r="L29" s="128"/>
      <c r="M29" s="134"/>
      <c r="N29" s="137"/>
      <c r="O29" s="134"/>
      <c r="P29" s="137"/>
      <c r="Q29" s="134"/>
      <c r="R29" s="155"/>
      <c r="S29" s="134"/>
      <c r="T29" s="128"/>
      <c r="U29" s="156">
        <v>5.76</v>
      </c>
      <c r="V29" s="157">
        <v>6</v>
      </c>
      <c r="W29" s="158">
        <v>5.75</v>
      </c>
      <c r="X29" s="174"/>
      <c r="Y29" s="174"/>
      <c r="Z29" s="174"/>
      <c r="AA29" s="174"/>
      <c r="AB29" s="174"/>
      <c r="AC29" s="174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</row>
    <row r="30" spans="1:59" ht="13.5" thickBot="1">
      <c r="A30" s="183">
        <v>24</v>
      </c>
      <c r="B30" s="125" t="str">
        <f>IF(A30&gt;$C$1,"",VLOOKUP($A30,Table!$A$9:$C$32,3,FALSE))</f>
        <v/>
      </c>
      <c r="C30" s="125"/>
      <c r="D30" s="184" t="str">
        <f>IF(A30&gt;$C$1,"",VLOOKUP($A30,Table!$A$9:$C$32,2,FALSE))</f>
        <v/>
      </c>
      <c r="E30" s="185" t="str">
        <f t="shared" si="0"/>
        <v/>
      </c>
      <c r="F30" s="186" t="str">
        <f t="shared" si="1"/>
        <v/>
      </c>
      <c r="G30" s="187" t="str">
        <f t="shared" si="2"/>
        <v/>
      </c>
      <c r="H30" s="188" t="str">
        <f t="shared" si="3"/>
        <v/>
      </c>
      <c r="I30" s="189" t="str">
        <f t="shared" si="4"/>
        <v/>
      </c>
      <c r="J30" s="186" t="str">
        <f t="shared" si="5"/>
        <v/>
      </c>
      <c r="L30" s="128"/>
      <c r="M30" s="134"/>
      <c r="N30" s="155"/>
      <c r="O30" s="134"/>
      <c r="P30" s="155"/>
      <c r="Q30" s="134"/>
      <c r="R30" s="128"/>
      <c r="S30" s="128"/>
      <c r="T30" s="128"/>
      <c r="U30" s="156">
        <v>6.01</v>
      </c>
      <c r="V30" s="157">
        <v>6.25</v>
      </c>
      <c r="W30" s="158">
        <v>6</v>
      </c>
      <c r="X30" s="174"/>
      <c r="Y30" s="174"/>
      <c r="Z30" s="174"/>
      <c r="AA30" s="174"/>
      <c r="AB30" s="174"/>
      <c r="AC30" s="174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</row>
    <row r="31" spans="1:59" ht="13.5" thickBot="1">
      <c r="A31" s="124"/>
      <c r="B31" s="125"/>
      <c r="C31" s="125"/>
      <c r="D31" s="190" t="s">
        <v>19</v>
      </c>
      <c r="E31" s="191" t="e">
        <f ca="1">SUM(E7:E30)</f>
        <v>#REF!</v>
      </c>
      <c r="F31" s="192" t="e">
        <f ca="1">SUM(F7:F30)</f>
        <v>#REF!</v>
      </c>
      <c r="G31" s="191" t="e">
        <f ca="1">SUM(G7:G30)</f>
        <v>#REF!</v>
      </c>
      <c r="H31" s="192" t="e">
        <f ca="1">SUM(H7:H30)</f>
        <v>#REF!</v>
      </c>
      <c r="L31" s="128"/>
      <c r="M31" s="128"/>
      <c r="N31" s="128"/>
      <c r="O31" s="128"/>
      <c r="P31" s="128"/>
      <c r="Q31" s="128"/>
      <c r="R31" s="128"/>
      <c r="S31" s="128"/>
      <c r="T31" s="128"/>
      <c r="U31" s="156">
        <v>6.26</v>
      </c>
      <c r="V31" s="157">
        <v>6.5</v>
      </c>
      <c r="W31" s="158">
        <v>6.25</v>
      </c>
      <c r="X31" s="174"/>
      <c r="Y31" s="174"/>
      <c r="Z31" s="174"/>
      <c r="AA31" s="174"/>
      <c r="AB31" s="174"/>
      <c r="AC31" s="174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</row>
    <row r="32" spans="1:59">
      <c r="A32" s="124"/>
      <c r="B32" s="125"/>
      <c r="C32" s="125"/>
      <c r="D32" s="126"/>
      <c r="L32" s="128"/>
      <c r="M32" s="128"/>
      <c r="N32" s="128"/>
      <c r="O32" s="128"/>
      <c r="P32" s="128"/>
      <c r="Q32" s="128"/>
      <c r="R32" s="128"/>
      <c r="S32" s="128"/>
      <c r="T32" s="128"/>
      <c r="U32" s="156">
        <v>6.51</v>
      </c>
      <c r="V32" s="157">
        <v>6.75</v>
      </c>
      <c r="W32" s="158">
        <v>6.5</v>
      </c>
      <c r="X32" s="174"/>
      <c r="Y32" s="174"/>
      <c r="Z32" s="174"/>
      <c r="AA32" s="174"/>
      <c r="AB32" s="174"/>
      <c r="AC32" s="174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</row>
    <row r="33" spans="1:59">
      <c r="A33" s="124"/>
      <c r="B33" s="125"/>
      <c r="C33" s="125"/>
      <c r="D33" s="126"/>
      <c r="L33" s="128"/>
      <c r="M33" s="128"/>
      <c r="N33" s="128"/>
      <c r="O33" s="128"/>
      <c r="P33" s="128"/>
      <c r="Q33" s="128"/>
      <c r="R33" s="128"/>
      <c r="S33" s="128"/>
      <c r="T33" s="128"/>
      <c r="U33" s="156">
        <v>6.76</v>
      </c>
      <c r="V33" s="157">
        <v>7</v>
      </c>
      <c r="W33" s="158">
        <v>6.75</v>
      </c>
      <c r="X33" s="174"/>
      <c r="Y33" s="174"/>
      <c r="Z33" s="174"/>
      <c r="AA33" s="174"/>
      <c r="AB33" s="174"/>
      <c r="AC33" s="174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</row>
    <row r="34" spans="1:59" ht="13.5" thickBot="1">
      <c r="A34" s="124"/>
      <c r="B34" s="125"/>
      <c r="C34" s="125"/>
      <c r="D34" s="126"/>
      <c r="L34" s="128"/>
      <c r="M34" s="128"/>
      <c r="N34" s="128"/>
      <c r="O34" s="128"/>
      <c r="P34" s="128"/>
      <c r="Q34" s="128"/>
      <c r="R34" s="128"/>
      <c r="S34" s="128"/>
      <c r="T34" s="128"/>
      <c r="U34" s="156">
        <v>7.01</v>
      </c>
      <c r="V34" s="157">
        <v>7.25</v>
      </c>
      <c r="W34" s="158">
        <v>7</v>
      </c>
      <c r="X34" s="174"/>
      <c r="Y34" s="174"/>
      <c r="Z34" s="174"/>
      <c r="AA34" s="174"/>
      <c r="AB34" s="174"/>
      <c r="AC34" s="174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</row>
    <row r="35" spans="1:59">
      <c r="B35" s="125"/>
      <c r="C35" s="125"/>
      <c r="D35" s="193" t="str">
        <f>D1</f>
        <v>Avispa Fukuoka</v>
      </c>
      <c r="E35" s="194" t="s">
        <v>22</v>
      </c>
      <c r="F35" s="195"/>
      <c r="G35" s="194" t="s">
        <v>18</v>
      </c>
      <c r="H35" s="195"/>
      <c r="I35" s="194" t="s">
        <v>121</v>
      </c>
      <c r="J35" s="196"/>
      <c r="L35" s="128"/>
      <c r="M35" s="128"/>
      <c r="N35" s="128"/>
      <c r="O35" s="128"/>
      <c r="P35" s="128"/>
      <c r="Q35" s="128"/>
      <c r="R35" s="128"/>
      <c r="S35" s="128"/>
      <c r="T35" s="128"/>
      <c r="U35" s="156">
        <v>7.26</v>
      </c>
      <c r="V35" s="157">
        <v>7.5</v>
      </c>
      <c r="W35" s="158">
        <v>7.25</v>
      </c>
      <c r="X35" s="174"/>
      <c r="Y35" s="174"/>
      <c r="Z35" s="174"/>
      <c r="AA35" s="174"/>
      <c r="AB35" s="174"/>
      <c r="AC35" s="174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</row>
    <row r="36" spans="1:59" ht="13.5" thickBot="1">
      <c r="B36" s="125"/>
      <c r="C36" s="125"/>
      <c r="D36" s="197" t="s">
        <v>801</v>
      </c>
      <c r="E36" s="142" t="s">
        <v>125</v>
      </c>
      <c r="F36" s="186" t="s">
        <v>800</v>
      </c>
      <c r="G36" s="142" t="s">
        <v>125</v>
      </c>
      <c r="H36" s="186" t="s">
        <v>800</v>
      </c>
      <c r="I36" s="198" t="s">
        <v>125</v>
      </c>
      <c r="J36" s="186" t="s">
        <v>800</v>
      </c>
      <c r="K36" s="199"/>
      <c r="L36" s="199"/>
      <c r="U36" s="200">
        <v>7.51</v>
      </c>
      <c r="V36" s="201">
        <v>7.75</v>
      </c>
      <c r="W36" s="202">
        <v>7.5</v>
      </c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</row>
    <row r="37" spans="1:59" ht="13.5" thickBot="1">
      <c r="B37" s="105" t="str">
        <f>IF(D35=0,"N",D35)</f>
        <v>Avispa Fukuoka</v>
      </c>
      <c r="D37" s="203"/>
      <c r="E37" s="107" t="e">
        <f ca="1">IF($B37="N","",SUM(IF((INDIRECT($B37&amp;"!I23:I200")=$A$2)*(INDIRECT($B37&amp;"!Q23:Q200")&lt;&gt;"")*(INDIRECT($B37&amp;"!H23:H200")=$E$5),1,0)))</f>
        <v>#REF!</v>
      </c>
      <c r="F37" s="108" t="e">
        <f t="array" aca="1" ref="F37" ca="1">IF($B37="N","",SUM(IF((INDIRECT($B37&amp;"!I23:I200")=$A$2)*(INDIRECT($B37&amp;"!Q23:Q200")&lt;&gt;"")*(INDIRECT($B37&amp;"!H23:H200")=$E$5),INDIRECT($B37&amp;"!T23:T200"),0)))</f>
        <v>#REF!</v>
      </c>
      <c r="G37" s="107" t="e">
        <f t="array" aca="1" ref="G37" ca="1">IF($B37="N","",SUM(IF((INDIRECT($B37&amp;"!I23:I200")=$A$2)*(INDIRECT($B37&amp;"!Q23:Q200")&lt;&gt;"")*(INDIRECT($B37&amp;"!H23:H200")=$G$5),1,0)))</f>
        <v>#REF!</v>
      </c>
      <c r="H37" s="108" t="e">
        <f t="array" aca="1" ref="H37" ca="1">IF($B37="N","",SUM(IF((INDIRECT($B37&amp;"!I23:I200")=$A$2)*(INDIRECT($B37&amp;"!Q23:Q200")&lt;&gt;"")*(INDIRECT($B37&amp;"!H23:H200")=$G$5),INDIRECT($B37&amp;"!T23:T200"),0)))</f>
        <v>#REF!</v>
      </c>
      <c r="I37" s="165" t="e">
        <f ca="1">IF(B37="N","",G37+E37)</f>
        <v>#REF!</v>
      </c>
      <c r="J37" s="170" t="e">
        <f ca="1">IF(I37="","",F37+H37)</f>
        <v>#REF!</v>
      </c>
      <c r="K37" s="199"/>
      <c r="L37" s="199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</row>
    <row r="38" spans="1:59" ht="13.5" thickBot="1">
      <c r="A38" s="204"/>
      <c r="B38" s="205"/>
      <c r="C38" s="206" t="str">
        <f>D35</f>
        <v>Avispa Fukuoka</v>
      </c>
      <c r="D38" s="207" t="s">
        <v>19</v>
      </c>
      <c r="E38" s="208" t="e">
        <f t="shared" ref="E38:J38" ca="1" si="6">SUM(E37:E37)</f>
        <v>#REF!</v>
      </c>
      <c r="F38" s="108" t="e">
        <f t="shared" ca="1" si="6"/>
        <v>#REF!</v>
      </c>
      <c r="G38" s="208" t="e">
        <f t="shared" ca="1" si="6"/>
        <v>#REF!</v>
      </c>
      <c r="H38" s="108" t="e">
        <f t="shared" ca="1" si="6"/>
        <v>#REF!</v>
      </c>
      <c r="I38" s="209" t="e">
        <f t="shared" ca="1" si="6"/>
        <v>#REF!</v>
      </c>
      <c r="J38" s="108" t="e">
        <f t="shared" ca="1" si="6"/>
        <v>#REF!</v>
      </c>
      <c r="K38" s="199"/>
      <c r="L38" s="199"/>
      <c r="M38" s="199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</row>
    <row r="39" spans="1:59" ht="13.5" thickBot="1">
      <c r="A39" s="204"/>
      <c r="B39" s="205"/>
      <c r="C39" s="206"/>
      <c r="D39" s="210"/>
      <c r="E39" s="211"/>
      <c r="F39" s="210"/>
      <c r="G39" s="211"/>
      <c r="H39" s="210"/>
      <c r="I39" s="210"/>
      <c r="J39" s="210"/>
      <c r="K39" s="199"/>
      <c r="L39" s="199"/>
      <c r="M39" s="199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</row>
    <row r="40" spans="1:59">
      <c r="A40" s="204"/>
      <c r="B40" s="125"/>
      <c r="C40" s="206"/>
      <c r="D40" s="193" t="str">
        <f>E1</f>
        <v>Oita Trinita</v>
      </c>
      <c r="E40" s="194" t="s">
        <v>22</v>
      </c>
      <c r="F40" s="195"/>
      <c r="G40" s="194" t="s">
        <v>18</v>
      </c>
      <c r="H40" s="195"/>
      <c r="I40" s="194" t="s">
        <v>121</v>
      </c>
      <c r="J40" s="196"/>
      <c r="K40" s="199"/>
      <c r="L40" s="199"/>
      <c r="M40" s="199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</row>
    <row r="41" spans="1:59" ht="13.5" thickBot="1">
      <c r="B41" s="125"/>
      <c r="C41" s="125"/>
      <c r="D41" s="197" t="s">
        <v>801</v>
      </c>
      <c r="E41" s="142" t="s">
        <v>125</v>
      </c>
      <c r="F41" s="186" t="s">
        <v>800</v>
      </c>
      <c r="G41" s="142" t="s">
        <v>125</v>
      </c>
      <c r="H41" s="186" t="s">
        <v>800</v>
      </c>
      <c r="I41" s="198" t="s">
        <v>125</v>
      </c>
      <c r="J41" s="186" t="s">
        <v>800</v>
      </c>
      <c r="K41" s="199"/>
      <c r="L41" s="199"/>
      <c r="M41" s="199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</row>
    <row r="42" spans="1:59" ht="13.5" thickBot="1">
      <c r="B42" s="105" t="str">
        <f>IF(D40=0,"N",D40)</f>
        <v>Oita Trinita</v>
      </c>
      <c r="D42" s="203"/>
      <c r="E42" s="107" t="e">
        <f t="array" aca="1" ref="E42" ca="1">IF($B42="N","",SUM(IF((INDIRECT($B42&amp;"!I23:I200")=$A$2)*(INDIRECT($B42&amp;"!Q23:Q200")&lt;&gt;"")*(INDIRECT($B42&amp;"!H23:H200")=$E$5),1,0)))</f>
        <v>#REF!</v>
      </c>
      <c r="F42" s="108" t="e">
        <f t="array" aca="1" ref="F42" ca="1">IF($B42="N","",SUM(IF((INDIRECT($B42&amp;"!I23:I200")=$A$2)*(INDIRECT($B42&amp;"!Q23:Q200")&lt;&gt;"")*(INDIRECT($B42&amp;"!H23:H200")=$E$5),INDIRECT($B42&amp;"!T23:T200"),0)))</f>
        <v>#REF!</v>
      </c>
      <c r="G42" s="107" t="e">
        <f t="array" aca="1" ref="G42" ca="1">IF($B42="N","",SUM(IF((INDIRECT($B42&amp;"!I23:I200")=$A$2)*(INDIRECT($B42&amp;"!Q23:Q200")&lt;&gt;"")*(INDIRECT($B42&amp;"!H23:H200")=$G$5),1,0)))</f>
        <v>#REF!</v>
      </c>
      <c r="H42" s="108" t="e">
        <f t="array" aca="1" ref="H42" ca="1">IF($B42="N","",SUM(IF((INDIRECT($B42&amp;"!I23:I200")=$A$2)*(INDIRECT($B42&amp;"!Q23:Q200")&lt;&gt;"")*(INDIRECT($B42&amp;"!H23:H200")=$G$5),INDIRECT($B42&amp;"!T23:T200"),0)))</f>
        <v>#REF!</v>
      </c>
      <c r="I42" s="165" t="e">
        <f ca="1">IF(B42="N","",G42+E42)</f>
        <v>#REF!</v>
      </c>
      <c r="J42" s="170" t="e">
        <f ca="1">IF(I42="","",F42+H42)</f>
        <v>#REF!</v>
      </c>
      <c r="K42" s="199"/>
      <c r="L42" s="199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</row>
    <row r="43" spans="1:59" ht="13.5" thickBot="1">
      <c r="A43" s="204"/>
      <c r="B43" s="205"/>
      <c r="C43" s="206" t="str">
        <f>D40</f>
        <v>Oita Trinita</v>
      </c>
      <c r="D43" s="207" t="s">
        <v>19</v>
      </c>
      <c r="E43" s="208" t="e">
        <f t="shared" ref="E43:J43" ca="1" si="7">SUM(E42:E42)</f>
        <v>#REF!</v>
      </c>
      <c r="F43" s="108" t="e">
        <f t="shared" ca="1" si="7"/>
        <v>#REF!</v>
      </c>
      <c r="G43" s="208" t="e">
        <f t="shared" ca="1" si="7"/>
        <v>#REF!</v>
      </c>
      <c r="H43" s="108" t="e">
        <f t="shared" ca="1" si="7"/>
        <v>#REF!</v>
      </c>
      <c r="I43" s="209" t="e">
        <f t="shared" ca="1" si="7"/>
        <v>#REF!</v>
      </c>
      <c r="J43" s="108" t="e">
        <f t="shared" ca="1" si="7"/>
        <v>#REF!</v>
      </c>
      <c r="M43" s="199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</row>
    <row r="44" spans="1:59" ht="13.5" thickBot="1">
      <c r="A44" s="204"/>
      <c r="C44" s="212"/>
      <c r="M44" s="199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</row>
    <row r="45" spans="1:59">
      <c r="A45" s="204"/>
      <c r="C45" s="212"/>
      <c r="D45" s="193" t="str">
        <f>F1</f>
        <v>Ehime</v>
      </c>
      <c r="E45" s="194" t="s">
        <v>22</v>
      </c>
      <c r="F45" s="195"/>
      <c r="G45" s="194" t="s">
        <v>18</v>
      </c>
      <c r="H45" s="195"/>
      <c r="I45" s="194" t="s">
        <v>121</v>
      </c>
      <c r="J45" s="196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</row>
    <row r="46" spans="1:59" ht="13.5" thickBot="1">
      <c r="B46" s="125"/>
      <c r="C46" s="125"/>
      <c r="D46" s="197" t="s">
        <v>801</v>
      </c>
      <c r="E46" s="142" t="s">
        <v>125</v>
      </c>
      <c r="F46" s="186" t="s">
        <v>800</v>
      </c>
      <c r="G46" s="142" t="s">
        <v>125</v>
      </c>
      <c r="H46" s="186" t="s">
        <v>800</v>
      </c>
      <c r="I46" s="198" t="s">
        <v>125</v>
      </c>
      <c r="J46" s="186" t="s">
        <v>800</v>
      </c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</row>
    <row r="47" spans="1:59" ht="13.5" thickBot="1">
      <c r="B47" s="105" t="str">
        <f>IF(D45=0,"N",D45)</f>
        <v>Ehime</v>
      </c>
      <c r="D47" s="203"/>
      <c r="E47" s="107">
        <f t="array" aca="1" ref="E47" ca="1">IF($B47="N","",SUM(IF((INDIRECT($B47&amp;"!I23:I200")=$A$2)*(INDIRECT($B47&amp;"!Q23:Q200")&lt;&gt;"")*(INDIRECT($B47&amp;"!H23:H200")=$E$5),1,0)))</f>
        <v>21</v>
      </c>
      <c r="F47" s="108">
        <f t="array" aca="1" ref="F47" ca="1">IF($B47="N","",SUM(IF((INDIRECT($B47&amp;"!I23:I200")=$A$2)*(INDIRECT($B47&amp;"!Q23:Q200")&lt;&gt;"")*(INDIRECT($B47&amp;"!H23:H200")=$E$5),INDIRECT($B47&amp;"!T23:T200"),0)))</f>
        <v>-3.8199999999999981</v>
      </c>
      <c r="G47" s="107">
        <f t="array" aca="1" ref="G47" ca="1">IF($B47="N","",SUM(IF((INDIRECT($B47&amp;"!I23:I200")=$A$2)*(INDIRECT($B47&amp;"!Q23:Q200")&lt;&gt;"")*(INDIRECT($B47&amp;"!H23:H200")=$G$5),1,0)))</f>
        <v>21</v>
      </c>
      <c r="H47" s="108">
        <f t="array" aca="1" ref="H47" ca="1">IF($B47="N","",SUM(IF((INDIRECT($B47&amp;"!I23:I200")=$A$2)*(INDIRECT($B47&amp;"!Q23:Q200")&lt;&gt;"")*(INDIRECT($B47&amp;"!H23:H200")=$G$5),INDIRECT($B47&amp;"!T23:T200"),0)))</f>
        <v>23.740000000000006</v>
      </c>
      <c r="I47" s="165">
        <f ca="1">IF(B47="N","",G47+E47)</f>
        <v>42</v>
      </c>
      <c r="J47" s="170">
        <f ca="1">IF(I47="","",F47+H47)</f>
        <v>19.920000000000009</v>
      </c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</row>
    <row r="48" spans="1:59" ht="13.5" thickBot="1">
      <c r="A48" s="204"/>
      <c r="B48" s="205"/>
      <c r="C48" s="206" t="str">
        <f>D45</f>
        <v>Ehime</v>
      </c>
      <c r="D48" s="207" t="s">
        <v>19</v>
      </c>
      <c r="E48" s="208">
        <f t="shared" ref="E48:J48" ca="1" si="8">SUM(E47:E47)</f>
        <v>21</v>
      </c>
      <c r="F48" s="108">
        <f t="shared" ca="1" si="8"/>
        <v>-3.8199999999999981</v>
      </c>
      <c r="G48" s="208">
        <f t="shared" ca="1" si="8"/>
        <v>21</v>
      </c>
      <c r="H48" s="108">
        <f t="shared" ca="1" si="8"/>
        <v>23.740000000000006</v>
      </c>
      <c r="I48" s="209">
        <f t="shared" ca="1" si="8"/>
        <v>42</v>
      </c>
      <c r="J48" s="108">
        <f t="shared" ca="1" si="8"/>
        <v>19.920000000000009</v>
      </c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</row>
    <row r="49" spans="1:59" ht="13.5" thickBot="1">
      <c r="A49" s="204"/>
      <c r="C49" s="212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</row>
    <row r="50" spans="1:59">
      <c r="A50" s="204"/>
      <c r="B50" s="125"/>
      <c r="C50" s="206"/>
      <c r="D50" s="193" t="str">
        <f>G1</f>
        <v>Fagiano Okayama</v>
      </c>
      <c r="E50" s="194" t="s">
        <v>22</v>
      </c>
      <c r="F50" s="195"/>
      <c r="G50" s="194" t="s">
        <v>18</v>
      </c>
      <c r="H50" s="195"/>
      <c r="I50" s="194" t="s">
        <v>121</v>
      </c>
      <c r="J50" s="196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</row>
    <row r="51" spans="1:59" ht="13.5" thickBot="1">
      <c r="B51" s="125"/>
      <c r="C51" s="125"/>
      <c r="D51" s="197" t="s">
        <v>801</v>
      </c>
      <c r="E51" s="142" t="s">
        <v>125</v>
      </c>
      <c r="F51" s="186" t="s">
        <v>800</v>
      </c>
      <c r="G51" s="142" t="s">
        <v>125</v>
      </c>
      <c r="H51" s="186" t="s">
        <v>800</v>
      </c>
      <c r="I51" s="198" t="s">
        <v>125</v>
      </c>
      <c r="J51" s="186" t="s">
        <v>800</v>
      </c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</row>
    <row r="52" spans="1:59" ht="13.5" thickBot="1">
      <c r="B52" s="105" t="str">
        <f>IF(D50=0,"N",D50)</f>
        <v>Fagiano Okayama</v>
      </c>
      <c r="D52" s="203"/>
      <c r="E52" s="107" t="e">
        <f t="array" aca="1" ref="E52" ca="1">IF($B52="N","",SUM(IF((INDIRECT($B52&amp;"!I23:I200")=$A$2)*(INDIRECT($B52&amp;"!Q23:Q200")&lt;&gt;"")*(INDIRECT($B52&amp;"!H23:H200")=$E$5),1,0)))</f>
        <v>#REF!</v>
      </c>
      <c r="F52" s="108" t="e">
        <f t="array" aca="1" ref="F52" ca="1">IF($B52="N","",SUM(IF((INDIRECT($B52&amp;"!I23:I200")=$A$2)*(INDIRECT($B52&amp;"!Q23:Q200")&lt;&gt;"")*(INDIRECT($B52&amp;"!H23:H200")=$E$5),INDIRECT($B52&amp;"!T23:T200"),0)))</f>
        <v>#REF!</v>
      </c>
      <c r="G52" s="107" t="e">
        <f t="array" aca="1" ref="G52" ca="1">IF($B52="N","",SUM(IF((INDIRECT($B52&amp;"!I23:I200")=$A$2)*(INDIRECT($B52&amp;"!Q23:Q200")&lt;&gt;"")*(INDIRECT($B52&amp;"!H23:H200")=$G$5),1,0)))</f>
        <v>#REF!</v>
      </c>
      <c r="H52" s="108" t="e">
        <f t="array" aca="1" ref="H52" ca="1">IF($B52="N","",SUM(IF((INDIRECT($B52&amp;"!I23:I200")=$A$2)*(INDIRECT($B52&amp;"!Q23:Q200")&lt;&gt;"")*(INDIRECT($B52&amp;"!H23:H200")=$G$5),INDIRECT($B52&amp;"!T23:T200"),0)))</f>
        <v>#REF!</v>
      </c>
      <c r="I52" s="165" t="e">
        <f ca="1">IF(B52="N","",G52+E52)</f>
        <v>#REF!</v>
      </c>
      <c r="J52" s="170" t="e">
        <f ca="1">IF(I52="","",F52+H52)</f>
        <v>#REF!</v>
      </c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</row>
    <row r="53" spans="1:59" ht="13.5" thickBot="1">
      <c r="A53" s="204"/>
      <c r="B53" s="205"/>
      <c r="C53" s="206" t="str">
        <f>D50</f>
        <v>Fagiano Okayama</v>
      </c>
      <c r="D53" s="207" t="s">
        <v>19</v>
      </c>
      <c r="E53" s="208" t="e">
        <f t="shared" ref="E53:J53" ca="1" si="9">SUM(E52:E52)</f>
        <v>#REF!</v>
      </c>
      <c r="F53" s="108" t="e">
        <f t="shared" ca="1" si="9"/>
        <v>#REF!</v>
      </c>
      <c r="G53" s="208" t="e">
        <f t="shared" ca="1" si="9"/>
        <v>#REF!</v>
      </c>
      <c r="H53" s="108" t="e">
        <f t="shared" ca="1" si="9"/>
        <v>#REF!</v>
      </c>
      <c r="I53" s="209" t="e">
        <f t="shared" ca="1" si="9"/>
        <v>#REF!</v>
      </c>
      <c r="J53" s="108" t="e">
        <f t="shared" ca="1" si="9"/>
        <v>#REF!</v>
      </c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</row>
    <row r="54" spans="1:59" ht="13.5" thickBot="1">
      <c r="A54" s="204"/>
      <c r="C54" s="212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</row>
    <row r="55" spans="1:59">
      <c r="A55" s="204"/>
      <c r="B55" s="125"/>
      <c r="C55" s="206"/>
      <c r="D55" s="193" t="str">
        <f>H1</f>
        <v>Gifu</v>
      </c>
      <c r="E55" s="194" t="s">
        <v>22</v>
      </c>
      <c r="F55" s="195"/>
      <c r="G55" s="194" t="s">
        <v>18</v>
      </c>
      <c r="H55" s="195"/>
      <c r="I55" s="194" t="s">
        <v>121</v>
      </c>
      <c r="J55" s="196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</row>
    <row r="56" spans="1:59" ht="13.5" thickBot="1">
      <c r="B56" s="125"/>
      <c r="C56" s="125"/>
      <c r="D56" s="197" t="s">
        <v>801</v>
      </c>
      <c r="E56" s="142" t="s">
        <v>125</v>
      </c>
      <c r="F56" s="186" t="s">
        <v>800</v>
      </c>
      <c r="G56" s="142" t="s">
        <v>125</v>
      </c>
      <c r="H56" s="186" t="s">
        <v>800</v>
      </c>
      <c r="I56" s="198" t="s">
        <v>125</v>
      </c>
      <c r="J56" s="186" t="s">
        <v>800</v>
      </c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</row>
    <row r="57" spans="1:59" ht="13.5" thickBot="1">
      <c r="B57" s="105" t="str">
        <f>IF(D55=0,"N",D55)</f>
        <v>Gifu</v>
      </c>
      <c r="D57" s="203"/>
      <c r="E57" s="107">
        <f t="array" aca="1" ref="E57" ca="1">IF($B57="N","",SUM(IF((INDIRECT($B57&amp;"!I23:I200")=$A$2)*(INDIRECT($B57&amp;"!Q23:Q200")&lt;&gt;"")*(INDIRECT($B57&amp;"!H23:H200")=$E$5),1,0)))</f>
        <v>21</v>
      </c>
      <c r="F57" s="108">
        <f t="array" aca="1" ref="F57" ca="1">IF($B57="N","",SUM(IF((INDIRECT($B57&amp;"!I23:I200")=$A$2)*(INDIRECT($B57&amp;"!Q23:Q200")&lt;&gt;"")*(INDIRECT($B57&amp;"!H23:H200")=$E$5),INDIRECT($B57&amp;"!T23:T200"),0)))</f>
        <v>16.709999999999997</v>
      </c>
      <c r="G57" s="107">
        <f t="array" aca="1" ref="G57" ca="1">IF($B57="N","",SUM(IF((INDIRECT($B57&amp;"!I23:I200")=$A$2)*(INDIRECT($B57&amp;"!Q23:Q200")&lt;&gt;"")*(INDIRECT($B57&amp;"!H23:H200")=$G$5),1,0)))</f>
        <v>21</v>
      </c>
      <c r="H57" s="108">
        <f t="array" aca="1" ref="H57" ca="1">IF($B57="N","",SUM(IF((INDIRECT($B57&amp;"!I23:I200")=$A$2)*(INDIRECT($B57&amp;"!Q23:Q200")&lt;&gt;"")*(INDIRECT($B57&amp;"!H23:H200")=$G$5),INDIRECT($B57&amp;"!T23:T200"),0)))</f>
        <v>-1.5099999999999993</v>
      </c>
      <c r="I57" s="165">
        <f ca="1">IF(B57="N","",G57+E57)</f>
        <v>42</v>
      </c>
      <c r="J57" s="170">
        <f ca="1">IF(I57="","",F57+H57)</f>
        <v>15.199999999999998</v>
      </c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</row>
    <row r="58" spans="1:59" ht="13.5" thickBot="1">
      <c r="A58" s="204"/>
      <c r="B58" s="205"/>
      <c r="C58" s="206" t="str">
        <f>D55</f>
        <v>Gifu</v>
      </c>
      <c r="D58" s="207" t="s">
        <v>19</v>
      </c>
      <c r="E58" s="208">
        <f t="shared" ref="E58:J58" ca="1" si="10">SUM(E57:E57)</f>
        <v>21</v>
      </c>
      <c r="F58" s="108">
        <f t="shared" ca="1" si="10"/>
        <v>16.709999999999997</v>
      </c>
      <c r="G58" s="208">
        <f t="shared" ca="1" si="10"/>
        <v>21</v>
      </c>
      <c r="H58" s="108">
        <f t="shared" ca="1" si="10"/>
        <v>-1.5099999999999993</v>
      </c>
      <c r="I58" s="209">
        <f t="shared" ca="1" si="10"/>
        <v>42</v>
      </c>
      <c r="J58" s="108">
        <f t="shared" ca="1" si="10"/>
        <v>15.199999999999998</v>
      </c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</row>
    <row r="59" spans="1:59" ht="13.5" thickBot="1">
      <c r="A59" s="204"/>
      <c r="C59" s="212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</row>
    <row r="60" spans="1:59">
      <c r="A60" s="204"/>
      <c r="B60" s="125"/>
      <c r="C60" s="206"/>
      <c r="D60" s="193" t="str">
        <f>I1</f>
        <v>Shonan Bellmare</v>
      </c>
      <c r="E60" s="194" t="s">
        <v>22</v>
      </c>
      <c r="F60" s="195"/>
      <c r="G60" s="194" t="s">
        <v>18</v>
      </c>
      <c r="H60" s="195"/>
      <c r="I60" s="194" t="s">
        <v>121</v>
      </c>
      <c r="J60" s="196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</row>
    <row r="61" spans="1:59" ht="13.5" thickBot="1">
      <c r="B61" s="125"/>
      <c r="C61" s="125"/>
      <c r="D61" s="197" t="s">
        <v>801</v>
      </c>
      <c r="E61" s="142" t="s">
        <v>125</v>
      </c>
      <c r="F61" s="186" t="s">
        <v>800</v>
      </c>
      <c r="G61" s="142" t="s">
        <v>125</v>
      </c>
      <c r="H61" s="186" t="s">
        <v>800</v>
      </c>
      <c r="I61" s="198" t="s">
        <v>125</v>
      </c>
      <c r="J61" s="186" t="s">
        <v>800</v>
      </c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</row>
    <row r="62" spans="1:59" ht="13.5" thickBot="1">
      <c r="B62" s="105" t="str">
        <f>IF(D60=0,"N",D60)</f>
        <v>Shonan Bellmare</v>
      </c>
      <c r="D62" s="203"/>
      <c r="E62" s="107" t="e">
        <f t="array" aca="1" ref="E62" ca="1">IF($B62="N","",SUM(IF((INDIRECT($B62&amp;"!I23:I200")=$A$2)*(INDIRECT($B62&amp;"!Q23:Q200")&lt;&gt;"")*(INDIRECT($B62&amp;"!H23:H200")=$E$5),1,0)))</f>
        <v>#REF!</v>
      </c>
      <c r="F62" s="108" t="e">
        <f t="array" aca="1" ref="F62" ca="1">IF($B62="N","",SUM(IF((INDIRECT($B62&amp;"!I23:I200")=$A$2)*(INDIRECT($B62&amp;"!Q23:Q200")&lt;&gt;"")*(INDIRECT($B62&amp;"!H23:H200")=$E$5),INDIRECT($B62&amp;"!T23:T200"),0)))</f>
        <v>#REF!</v>
      </c>
      <c r="G62" s="107" t="e">
        <f t="array" aca="1" ref="G62" ca="1">IF($B62="N","",SUM(IF((INDIRECT($B62&amp;"!I23:I200")=$A$2)*(INDIRECT($B62&amp;"!Q23:Q200")&lt;&gt;"")*(INDIRECT($B62&amp;"!H23:H200")=$G$5),1,0)))</f>
        <v>#REF!</v>
      </c>
      <c r="H62" s="108" t="e">
        <f t="array" aca="1" ref="H62" ca="1">IF($B62="N","",SUM(IF((INDIRECT($B62&amp;"!I23:I200")=$A$2)*(INDIRECT($B62&amp;"!Q23:Q200")&lt;&gt;"")*(INDIRECT($B62&amp;"!H23:H200")=$G$5),INDIRECT($B62&amp;"!T23:T200"),0)))</f>
        <v>#REF!</v>
      </c>
      <c r="I62" s="165" t="e">
        <f ca="1">IF(B62="N","",G62+E62)</f>
        <v>#REF!</v>
      </c>
      <c r="J62" s="170" t="e">
        <f ca="1">IF(I62="","",F62+H62)</f>
        <v>#REF!</v>
      </c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</row>
    <row r="63" spans="1:59" ht="13.5" thickBot="1">
      <c r="A63" s="204"/>
      <c r="B63" s="205"/>
      <c r="C63" s="206" t="str">
        <f>D60</f>
        <v>Shonan Bellmare</v>
      </c>
      <c r="D63" s="207" t="s">
        <v>19</v>
      </c>
      <c r="E63" s="208" t="e">
        <f t="shared" ref="E63:J63" ca="1" si="11">SUM(E62:E62)</f>
        <v>#REF!</v>
      </c>
      <c r="F63" s="108" t="e">
        <f t="shared" ca="1" si="11"/>
        <v>#REF!</v>
      </c>
      <c r="G63" s="208" t="e">
        <f t="shared" ca="1" si="11"/>
        <v>#REF!</v>
      </c>
      <c r="H63" s="108" t="e">
        <f t="shared" ca="1" si="11"/>
        <v>#REF!</v>
      </c>
      <c r="I63" s="209" t="e">
        <f t="shared" ca="1" si="11"/>
        <v>#REF!</v>
      </c>
      <c r="J63" s="108" t="e">
        <f t="shared" ca="1" si="11"/>
        <v>#REF!</v>
      </c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</row>
    <row r="64" spans="1:59" ht="13.5" thickBot="1">
      <c r="A64" s="204"/>
      <c r="C64" s="212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</row>
    <row r="65" spans="1:59">
      <c r="A65" s="204"/>
      <c r="B65" s="125"/>
      <c r="C65" s="206"/>
      <c r="D65" s="193" t="str">
        <f>J1</f>
        <v>JEF United</v>
      </c>
      <c r="E65" s="194" t="s">
        <v>22</v>
      </c>
      <c r="F65" s="195"/>
      <c r="G65" s="194" t="s">
        <v>18</v>
      </c>
      <c r="H65" s="195"/>
      <c r="I65" s="194" t="s">
        <v>121</v>
      </c>
      <c r="J65" s="196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</row>
    <row r="66" spans="1:59" ht="13.5" thickBot="1">
      <c r="B66" s="125"/>
      <c r="C66" s="125"/>
      <c r="D66" s="197" t="s">
        <v>801</v>
      </c>
      <c r="E66" s="142" t="s">
        <v>125</v>
      </c>
      <c r="F66" s="186" t="s">
        <v>800</v>
      </c>
      <c r="G66" s="142" t="s">
        <v>125</v>
      </c>
      <c r="H66" s="186" t="s">
        <v>800</v>
      </c>
      <c r="I66" s="198" t="s">
        <v>125</v>
      </c>
      <c r="J66" s="186" t="s">
        <v>800</v>
      </c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</row>
    <row r="67" spans="1:59" ht="13.5" thickBot="1">
      <c r="B67" s="105" t="str">
        <f>IF(D65=0,"N",D65)</f>
        <v>JEF United</v>
      </c>
      <c r="D67" s="203"/>
      <c r="E67" s="107" t="e">
        <f t="array" aca="1" ref="E67" ca="1">IF($B67="N","",SUM(IF((INDIRECT($B67&amp;"!I23:I200")=$A$2)*(INDIRECT($B67&amp;"!Q23:Q200")&lt;&gt;"")*(INDIRECT($B67&amp;"!H23:H200")=$E$5),1,0)))</f>
        <v>#REF!</v>
      </c>
      <c r="F67" s="108" t="e">
        <f t="array" aca="1" ref="F67" ca="1">IF($B67="N","",SUM(IF((INDIRECT($B67&amp;"!I23:I200")=$A$2)*(INDIRECT($B67&amp;"!Q23:Q200")&lt;&gt;"")*(INDIRECT($B67&amp;"!H23:H200")=$E$5),INDIRECT($B67&amp;"!T23:T200"),0)))</f>
        <v>#REF!</v>
      </c>
      <c r="G67" s="107" t="e">
        <f t="array" aca="1" ref="G67" ca="1">IF($B67="N","",SUM(IF((INDIRECT($B67&amp;"!I23:I200")=$A$2)*(INDIRECT($B67&amp;"!Q23:Q200")&lt;&gt;"")*(INDIRECT($B67&amp;"!H23:H200")=$G$5),1,0)))</f>
        <v>#REF!</v>
      </c>
      <c r="H67" s="108" t="e">
        <f t="array" aca="1" ref="H67" ca="1">IF($B67="N","",SUM(IF((INDIRECT($B67&amp;"!I23:I200")=$A$2)*(INDIRECT($B67&amp;"!Q23:Q200")&lt;&gt;"")*(INDIRECT($B67&amp;"!H23:H200")=$G$5),INDIRECT($B67&amp;"!T23:T200"),0)))</f>
        <v>#REF!</v>
      </c>
      <c r="I67" s="165" t="e">
        <f ca="1">IF(B67="N","",G67+E67)</f>
        <v>#REF!</v>
      </c>
      <c r="J67" s="170" t="e">
        <f ca="1">IF(I67="","",F67+H67)</f>
        <v>#REF!</v>
      </c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</row>
    <row r="68" spans="1:59" ht="13.5" thickBot="1">
      <c r="A68" s="204"/>
      <c r="B68" s="205"/>
      <c r="C68" s="206" t="str">
        <f>D65</f>
        <v>JEF United</v>
      </c>
      <c r="D68" s="207" t="s">
        <v>19</v>
      </c>
      <c r="E68" s="208" t="e">
        <f t="shared" ref="E68:J68" ca="1" si="12">SUM(E67:E67)</f>
        <v>#REF!</v>
      </c>
      <c r="F68" s="108" t="e">
        <f t="shared" ca="1" si="12"/>
        <v>#REF!</v>
      </c>
      <c r="G68" s="208" t="e">
        <f t="shared" ca="1" si="12"/>
        <v>#REF!</v>
      </c>
      <c r="H68" s="108" t="e">
        <f t="shared" ca="1" si="12"/>
        <v>#REF!</v>
      </c>
      <c r="I68" s="209" t="e">
        <f t="shared" ca="1" si="12"/>
        <v>#REF!</v>
      </c>
      <c r="J68" s="108" t="e">
        <f t="shared" ca="1" si="12"/>
        <v>#REF!</v>
      </c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</row>
    <row r="69" spans="1:59" ht="13.5" thickBot="1">
      <c r="A69" s="204"/>
      <c r="C69" s="212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</row>
    <row r="70" spans="1:59">
      <c r="A70" s="204"/>
      <c r="B70" s="125"/>
      <c r="C70" s="206"/>
      <c r="D70" s="193" t="str">
        <f>K1</f>
        <v>Kamatamare Sanuki</v>
      </c>
      <c r="E70" s="194" t="s">
        <v>22</v>
      </c>
      <c r="F70" s="195"/>
      <c r="G70" s="194" t="s">
        <v>18</v>
      </c>
      <c r="H70" s="195"/>
      <c r="I70" s="194" t="s">
        <v>121</v>
      </c>
      <c r="J70" s="196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</row>
    <row r="71" spans="1:59" ht="13.5" thickBot="1">
      <c r="B71" s="125"/>
      <c r="C71" s="125"/>
      <c r="D71" s="197" t="s">
        <v>801</v>
      </c>
      <c r="E71" s="142" t="s">
        <v>125</v>
      </c>
      <c r="F71" s="186" t="s">
        <v>800</v>
      </c>
      <c r="G71" s="142" t="s">
        <v>125</v>
      </c>
      <c r="H71" s="186" t="s">
        <v>800</v>
      </c>
      <c r="I71" s="198" t="s">
        <v>125</v>
      </c>
      <c r="J71" s="186" t="s">
        <v>800</v>
      </c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</row>
    <row r="72" spans="1:59" ht="13.5" thickBot="1">
      <c r="B72" s="105" t="str">
        <f>IF(D70=0,"N",D70)</f>
        <v>Kamatamare Sanuki</v>
      </c>
      <c r="D72" s="203"/>
      <c r="E72" s="107" t="e">
        <f t="array" aca="1" ref="E72" ca="1">IF($B72="N","",SUM(IF((INDIRECT($B72&amp;"!I23:I200")=$A$2)*(INDIRECT($B72&amp;"!Q23:Q200")&lt;&gt;"")*(INDIRECT($B72&amp;"!H23:H200")=$E$5),1,0)))</f>
        <v>#REF!</v>
      </c>
      <c r="F72" s="108" t="e">
        <f t="array" aca="1" ref="F72" ca="1">IF($B72="N","",SUM(IF((INDIRECT($B72&amp;"!I23:I200")=$A$2)*(INDIRECT($B72&amp;"!Q23:Q200")&lt;&gt;"")*(INDIRECT($B72&amp;"!H23:H200")=$E$5),INDIRECT($B72&amp;"!T23:T200"),0)))</f>
        <v>#REF!</v>
      </c>
      <c r="G72" s="107" t="e">
        <f t="array" aca="1" ref="G72" ca="1">IF($B72="N","",SUM(IF((INDIRECT($B72&amp;"!I23:I200")=$A$2)*(INDIRECT($B72&amp;"!Q23:Q200")&lt;&gt;"")*(INDIRECT($B72&amp;"!H23:H200")=$G$5),1,0)))</f>
        <v>#REF!</v>
      </c>
      <c r="H72" s="108" t="e">
        <f t="array" aca="1" ref="H72" ca="1">IF($B72="N","",SUM(IF((INDIRECT($B72&amp;"!I23:I200")=$A$2)*(INDIRECT($B72&amp;"!Q23:Q200")&lt;&gt;"")*(INDIRECT($B72&amp;"!H23:H200")=$G$5),INDIRECT($B72&amp;"!T23:T200"),0)))</f>
        <v>#REF!</v>
      </c>
      <c r="I72" s="165" t="e">
        <f ca="1">IF(B72="N","",G72+E72)</f>
        <v>#REF!</v>
      </c>
      <c r="J72" s="170" t="e">
        <f ca="1">IF(I72="","",F72+H72)</f>
        <v>#REF!</v>
      </c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</row>
    <row r="73" spans="1:59" ht="13.5" thickBot="1">
      <c r="A73" s="204"/>
      <c r="B73" s="205"/>
      <c r="C73" s="206" t="str">
        <f>D70</f>
        <v>Kamatamare Sanuki</v>
      </c>
      <c r="D73" s="207" t="s">
        <v>19</v>
      </c>
      <c r="E73" s="208" t="e">
        <f t="shared" ref="E73:J73" ca="1" si="13">SUM(E72:E72)</f>
        <v>#REF!</v>
      </c>
      <c r="F73" s="108" t="e">
        <f t="shared" ca="1" si="13"/>
        <v>#REF!</v>
      </c>
      <c r="G73" s="208" t="e">
        <f t="shared" ca="1" si="13"/>
        <v>#REF!</v>
      </c>
      <c r="H73" s="108" t="e">
        <f t="shared" ca="1" si="13"/>
        <v>#REF!</v>
      </c>
      <c r="I73" s="209" t="e">
        <f t="shared" ca="1" si="13"/>
        <v>#REF!</v>
      </c>
      <c r="J73" s="108" t="e">
        <f t="shared" ca="1" si="13"/>
        <v>#REF!</v>
      </c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</row>
    <row r="74" spans="1:59" ht="13.5" thickBot="1">
      <c r="A74" s="204"/>
      <c r="C74" s="212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</row>
    <row r="75" spans="1:59">
      <c r="A75" s="204"/>
      <c r="B75" s="125"/>
      <c r="C75" s="206"/>
      <c r="D75" s="193" t="str">
        <f>L1</f>
        <v>Kyoto Sanga</v>
      </c>
      <c r="E75" s="194" t="s">
        <v>22</v>
      </c>
      <c r="F75" s="195"/>
      <c r="G75" s="194" t="s">
        <v>18</v>
      </c>
      <c r="H75" s="195"/>
      <c r="I75" s="194" t="s">
        <v>121</v>
      </c>
      <c r="J75" s="196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</row>
    <row r="76" spans="1:59" ht="13.5" thickBot="1">
      <c r="B76" s="125"/>
      <c r="C76" s="125"/>
      <c r="D76" s="197" t="s">
        <v>801</v>
      </c>
      <c r="E76" s="142" t="s">
        <v>125</v>
      </c>
      <c r="F76" s="186" t="s">
        <v>800</v>
      </c>
      <c r="G76" s="142" t="s">
        <v>125</v>
      </c>
      <c r="H76" s="186" t="s">
        <v>800</v>
      </c>
      <c r="I76" s="198" t="s">
        <v>125</v>
      </c>
      <c r="J76" s="186" t="s">
        <v>800</v>
      </c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</row>
    <row r="77" spans="1:59" ht="13.5" thickBot="1">
      <c r="B77" s="105" t="str">
        <f>IF(D75=0,"N",D75)</f>
        <v>Kyoto Sanga</v>
      </c>
      <c r="D77" s="203"/>
      <c r="E77" s="107" t="e">
        <f t="array" aca="1" ref="E77" ca="1">IF($B77="N","",SUM(IF((INDIRECT($B77&amp;"!I23:I200")=$A$2)*(INDIRECT($B77&amp;"!Q23:Q200")&lt;&gt;"")*(INDIRECT($B77&amp;"!H23:H200")=$E$5),1,0)))</f>
        <v>#REF!</v>
      </c>
      <c r="F77" s="108" t="e">
        <f t="array" aca="1" ref="F77" ca="1">IF($B77="N","",SUM(IF((INDIRECT($B77&amp;"!I23:I200")=$A$2)*(INDIRECT($B77&amp;"!Q23:Q200")&lt;&gt;"")*(INDIRECT($B77&amp;"!H23:H200")=$E$5),INDIRECT($B77&amp;"!T23:T200"),0)))</f>
        <v>#REF!</v>
      </c>
      <c r="G77" s="107" t="e">
        <f t="array" aca="1" ref="G77" ca="1">IF($B77="N","",SUM(IF((INDIRECT($B77&amp;"!I23:I200")=$A$2)*(INDIRECT($B77&amp;"!Q23:Q200")&lt;&gt;"")*(INDIRECT($B77&amp;"!H23:H200")=$G$5),1,0)))</f>
        <v>#REF!</v>
      </c>
      <c r="H77" s="108" t="e">
        <f t="array" aca="1" ref="H77" ca="1">IF($B77="N","",SUM(IF((INDIRECT($B77&amp;"!I23:I200")=$A$2)*(INDIRECT($B77&amp;"!Q23:Q200")&lt;&gt;"")*(INDIRECT($B77&amp;"!H23:H200")=$G$5),INDIRECT($B77&amp;"!T23:T200"),0)))</f>
        <v>#REF!</v>
      </c>
      <c r="I77" s="165" t="e">
        <f ca="1">IF(B77="N","",G77+E77)</f>
        <v>#REF!</v>
      </c>
      <c r="J77" s="170" t="e">
        <f ca="1">IF(I77="","",F77+H77)</f>
        <v>#REF!</v>
      </c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</row>
    <row r="78" spans="1:59" ht="13.5" thickBot="1">
      <c r="A78" s="204"/>
      <c r="B78" s="205"/>
      <c r="C78" s="206" t="str">
        <f>D75</f>
        <v>Kyoto Sanga</v>
      </c>
      <c r="D78" s="207" t="s">
        <v>19</v>
      </c>
      <c r="E78" s="208" t="e">
        <f t="shared" ref="E78:J78" ca="1" si="14">SUM(E77:E77)</f>
        <v>#REF!</v>
      </c>
      <c r="F78" s="108" t="e">
        <f t="shared" ca="1" si="14"/>
        <v>#REF!</v>
      </c>
      <c r="G78" s="208" t="e">
        <f t="shared" ca="1" si="14"/>
        <v>#REF!</v>
      </c>
      <c r="H78" s="108" t="e">
        <f t="shared" ca="1" si="14"/>
        <v>#REF!</v>
      </c>
      <c r="I78" s="209" t="e">
        <f t="shared" ca="1" si="14"/>
        <v>#REF!</v>
      </c>
      <c r="J78" s="108" t="e">
        <f t="shared" ca="1" si="14"/>
        <v>#REF!</v>
      </c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</row>
    <row r="79" spans="1:59" ht="13.5" thickBot="1">
      <c r="A79" s="204"/>
      <c r="C79" s="212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</row>
    <row r="80" spans="1:59">
      <c r="A80" s="204"/>
      <c r="B80" s="125"/>
      <c r="C80" s="206"/>
      <c r="D80" s="193" t="str">
        <f>M1</f>
        <v>Machida Zelvia</v>
      </c>
      <c r="E80" s="194" t="s">
        <v>22</v>
      </c>
      <c r="F80" s="195"/>
      <c r="G80" s="194" t="s">
        <v>18</v>
      </c>
      <c r="H80" s="195"/>
      <c r="I80" s="194" t="s">
        <v>121</v>
      </c>
      <c r="J80" s="196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</row>
    <row r="81" spans="1:59" ht="13.5" thickBot="1">
      <c r="B81" s="125"/>
      <c r="C81" s="125"/>
      <c r="D81" s="197" t="s">
        <v>801</v>
      </c>
      <c r="E81" s="142" t="s">
        <v>125</v>
      </c>
      <c r="F81" s="186" t="s">
        <v>800</v>
      </c>
      <c r="G81" s="142" t="s">
        <v>125</v>
      </c>
      <c r="H81" s="186" t="s">
        <v>800</v>
      </c>
      <c r="I81" s="198" t="s">
        <v>125</v>
      </c>
      <c r="J81" s="186" t="s">
        <v>800</v>
      </c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</row>
    <row r="82" spans="1:59" ht="13.5" thickBot="1">
      <c r="B82" s="105" t="str">
        <f>IF(D80=0,"N",D80)</f>
        <v>Machida Zelvia</v>
      </c>
      <c r="D82" s="203"/>
      <c r="E82" s="107" t="e">
        <f t="array" aca="1" ref="E82" ca="1">IF($B82="N","",SUM(IF((INDIRECT($B82&amp;"!I23:I200")=$A$2)*(INDIRECT($B82&amp;"!Q23:Q200")&lt;&gt;"")*(INDIRECT($B82&amp;"!H23:H200")=$E$5),1,0)))</f>
        <v>#REF!</v>
      </c>
      <c r="F82" s="108" t="e">
        <f t="array" aca="1" ref="F82" ca="1">IF($B82="N","",SUM(IF((INDIRECT($B82&amp;"!I23:I200")=$A$2)*(INDIRECT($B82&amp;"!Q23:Q200")&lt;&gt;"")*(INDIRECT($B82&amp;"!H23:H200")=$E$5),INDIRECT($B82&amp;"!T23:T200"),0)))</f>
        <v>#REF!</v>
      </c>
      <c r="G82" s="107" t="e">
        <f t="array" aca="1" ref="G82" ca="1">IF($B82="N","",SUM(IF((INDIRECT($B82&amp;"!I23:I200")=$A$2)*(INDIRECT($B82&amp;"!Q23:Q200")&lt;&gt;"")*(INDIRECT($B82&amp;"!H23:H200")=$G$5),1,0)))</f>
        <v>#REF!</v>
      </c>
      <c r="H82" s="108" t="e">
        <f t="array" aca="1" ref="H82" ca="1">IF($B82="N","",SUM(IF((INDIRECT($B82&amp;"!I23:I200")=$A$2)*(INDIRECT($B82&amp;"!Q23:Q200")&lt;&gt;"")*(INDIRECT($B82&amp;"!H23:H200")=$G$5),INDIRECT($B82&amp;"!T23:T200"),0)))</f>
        <v>#REF!</v>
      </c>
      <c r="I82" s="165" t="e">
        <f ca="1">IF(B82="N","",G82+E82)</f>
        <v>#REF!</v>
      </c>
      <c r="J82" s="170" t="e">
        <f ca="1">IF(I82="","",F82+H82)</f>
        <v>#REF!</v>
      </c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</row>
    <row r="83" spans="1:59" ht="13.5" thickBot="1">
      <c r="A83" s="204"/>
      <c r="B83" s="205"/>
      <c r="C83" s="206" t="str">
        <f>D80</f>
        <v>Machida Zelvia</v>
      </c>
      <c r="D83" s="207" t="s">
        <v>19</v>
      </c>
      <c r="E83" s="208" t="e">
        <f t="shared" ref="E83:J83" ca="1" si="15">SUM(E82:E82)</f>
        <v>#REF!</v>
      </c>
      <c r="F83" s="108" t="e">
        <f t="shared" ca="1" si="15"/>
        <v>#REF!</v>
      </c>
      <c r="G83" s="208" t="e">
        <f t="shared" ca="1" si="15"/>
        <v>#REF!</v>
      </c>
      <c r="H83" s="108" t="e">
        <f t="shared" ca="1" si="15"/>
        <v>#REF!</v>
      </c>
      <c r="I83" s="209" t="e">
        <f t="shared" ca="1" si="15"/>
        <v>#REF!</v>
      </c>
      <c r="J83" s="108" t="e">
        <f t="shared" ca="1" si="15"/>
        <v>#REF!</v>
      </c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</row>
    <row r="84" spans="1:59" ht="13.5" thickBot="1">
      <c r="A84" s="204"/>
      <c r="C84" s="212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</row>
    <row r="85" spans="1:59">
      <c r="A85" s="204"/>
      <c r="B85" s="125"/>
      <c r="C85" s="206"/>
      <c r="D85" s="193" t="str">
        <f>N1</f>
        <v>Matsumoto Yamaga</v>
      </c>
      <c r="E85" s="194" t="s">
        <v>22</v>
      </c>
      <c r="F85" s="195"/>
      <c r="G85" s="194" t="s">
        <v>18</v>
      </c>
      <c r="H85" s="195"/>
      <c r="I85" s="194" t="s">
        <v>121</v>
      </c>
      <c r="J85" s="196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  <c r="AI85" s="175"/>
      <c r="AJ85" s="175"/>
      <c r="AK85" s="175"/>
      <c r="AL85" s="175"/>
      <c r="AM85" s="175"/>
      <c r="AN85" s="175"/>
      <c r="AO85" s="175"/>
      <c r="AP85" s="175"/>
      <c r="AQ85" s="175"/>
      <c r="AR85" s="175"/>
      <c r="AS85" s="175"/>
      <c r="AT85" s="175"/>
      <c r="AU85" s="175"/>
      <c r="AV85" s="175"/>
      <c r="AW85" s="175"/>
      <c r="AX85" s="175"/>
      <c r="AY85" s="175"/>
      <c r="AZ85" s="175"/>
      <c r="BA85" s="175"/>
      <c r="BB85" s="175"/>
      <c r="BC85" s="175"/>
      <c r="BD85" s="175"/>
      <c r="BE85" s="175"/>
      <c r="BF85" s="175"/>
      <c r="BG85" s="175"/>
    </row>
    <row r="86" spans="1:59" ht="13.5" thickBot="1">
      <c r="B86" s="125"/>
      <c r="C86" s="125"/>
      <c r="D86" s="197" t="s">
        <v>801</v>
      </c>
      <c r="E86" s="142" t="s">
        <v>125</v>
      </c>
      <c r="F86" s="186" t="s">
        <v>800</v>
      </c>
      <c r="G86" s="142" t="s">
        <v>125</v>
      </c>
      <c r="H86" s="186" t="s">
        <v>800</v>
      </c>
      <c r="I86" s="198" t="s">
        <v>125</v>
      </c>
      <c r="J86" s="186" t="s">
        <v>800</v>
      </c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</row>
    <row r="87" spans="1:59" ht="13.5" thickBot="1">
      <c r="B87" s="105" t="str">
        <f>IF(D85=0,"N",D85)</f>
        <v>Matsumoto Yamaga</v>
      </c>
      <c r="D87" s="203"/>
      <c r="E87" s="107" t="e">
        <f t="array" aca="1" ref="E87" ca="1">IF($B87="N","",SUM(IF((INDIRECT($B87&amp;"!I23:I200")=$A$2)*(INDIRECT($B87&amp;"!Q23:Q200")&lt;&gt;"")*(INDIRECT($B87&amp;"!H23:H200")=$E$5),1,0)))</f>
        <v>#REF!</v>
      </c>
      <c r="F87" s="108" t="e">
        <f t="array" aca="1" ref="F87" ca="1">IF($B87="N","",SUM(IF((INDIRECT($B87&amp;"!I23:I200")=$A$2)*(INDIRECT($B87&amp;"!Q23:Q200")&lt;&gt;"")*(INDIRECT($B87&amp;"!H23:H200")=$E$5),INDIRECT($B87&amp;"!T23:T200"),0)))</f>
        <v>#REF!</v>
      </c>
      <c r="G87" s="107" t="e">
        <f t="array" aca="1" ref="G87" ca="1">IF($B87="N","",SUM(IF((INDIRECT($B87&amp;"!I23:I200")=$A$2)*(INDIRECT($B87&amp;"!Q23:Q200")&lt;&gt;"")*(INDIRECT($B87&amp;"!H23:H200")=$G$5),1,0)))</f>
        <v>#REF!</v>
      </c>
      <c r="H87" s="108" t="e">
        <f t="array" aca="1" ref="H87" ca="1">IF($B87="N","",SUM(IF((INDIRECT($B87&amp;"!I23:I200")=$A$2)*(INDIRECT($B87&amp;"!Q23:Q200")&lt;&gt;"")*(INDIRECT($B87&amp;"!H23:H200")=$G$5),INDIRECT($B87&amp;"!T23:T200"),0)))</f>
        <v>#REF!</v>
      </c>
      <c r="I87" s="165" t="e">
        <f ca="1">IF(B87="N","",G87+E87)</f>
        <v>#REF!</v>
      </c>
      <c r="J87" s="170" t="e">
        <f ca="1">IF(I87="","",F87+H87)</f>
        <v>#REF!</v>
      </c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</row>
    <row r="88" spans="1:59" ht="13.5" thickBot="1">
      <c r="A88" s="204"/>
      <c r="B88" s="205"/>
      <c r="C88" s="206" t="str">
        <f>D85</f>
        <v>Matsumoto Yamaga</v>
      </c>
      <c r="D88" s="207" t="s">
        <v>19</v>
      </c>
      <c r="E88" s="208" t="e">
        <f t="shared" ref="E88:J88" ca="1" si="16">SUM(E87:E87)</f>
        <v>#REF!</v>
      </c>
      <c r="F88" s="108" t="e">
        <f t="shared" ca="1" si="16"/>
        <v>#REF!</v>
      </c>
      <c r="G88" s="208" t="e">
        <f t="shared" ca="1" si="16"/>
        <v>#REF!</v>
      </c>
      <c r="H88" s="108" t="e">
        <f t="shared" ca="1" si="16"/>
        <v>#REF!</v>
      </c>
      <c r="I88" s="209" t="e">
        <f t="shared" ca="1" si="16"/>
        <v>#REF!</v>
      </c>
      <c r="J88" s="108" t="e">
        <f t="shared" ca="1" si="16"/>
        <v>#REF!</v>
      </c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</row>
    <row r="89" spans="1:59" ht="13.5" thickBot="1">
      <c r="A89" s="204"/>
      <c r="C89" s="212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</row>
    <row r="90" spans="1:59">
      <c r="A90" s="204"/>
      <c r="B90" s="125"/>
      <c r="C90" s="206"/>
      <c r="D90" s="193" t="str">
        <f>O1</f>
        <v>Mito Hollyhock</v>
      </c>
      <c r="E90" s="194" t="s">
        <v>22</v>
      </c>
      <c r="F90" s="195"/>
      <c r="G90" s="194" t="s">
        <v>18</v>
      </c>
      <c r="H90" s="195"/>
      <c r="I90" s="194" t="s">
        <v>121</v>
      </c>
      <c r="J90" s="196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</row>
    <row r="91" spans="1:59" ht="13.5" thickBot="1">
      <c r="B91" s="125"/>
      <c r="C91" s="125"/>
      <c r="D91" s="197" t="s">
        <v>801</v>
      </c>
      <c r="E91" s="142" t="s">
        <v>125</v>
      </c>
      <c r="F91" s="186" t="s">
        <v>800</v>
      </c>
      <c r="G91" s="142" t="s">
        <v>125</v>
      </c>
      <c r="H91" s="186" t="s">
        <v>800</v>
      </c>
      <c r="I91" s="198" t="s">
        <v>125</v>
      </c>
      <c r="J91" s="186" t="s">
        <v>800</v>
      </c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</row>
    <row r="92" spans="1:59" ht="13.5" thickBot="1">
      <c r="B92" s="105" t="str">
        <f>IF(D90=0,"N",D90)</f>
        <v>Mito Hollyhock</v>
      </c>
      <c r="D92" s="203"/>
      <c r="E92" s="107" t="e">
        <f t="array" aca="1" ref="E92" ca="1">IF($B92="N","",SUM(IF((INDIRECT($B92&amp;"!I23:I200")=$A$2)*(INDIRECT($B92&amp;"!Q23:Q200")&lt;&gt;"")*(INDIRECT($B92&amp;"!H23:H200")=$E$5),1,0)))</f>
        <v>#REF!</v>
      </c>
      <c r="F92" s="108" t="e">
        <f t="array" aca="1" ref="F92" ca="1">IF($B92="N","",SUM(IF((INDIRECT($B92&amp;"!I23:I200")=$A$2)*(INDIRECT($B92&amp;"!Q23:Q200")&lt;&gt;"")*(INDIRECT($B92&amp;"!H23:H200")=$E$5),INDIRECT($B92&amp;"!T23:T200"),0)))</f>
        <v>#REF!</v>
      </c>
      <c r="G92" s="107" t="e">
        <f t="array" aca="1" ref="G92" ca="1">IF($B92="N","",SUM(IF((INDIRECT($B92&amp;"!I23:I200")=$A$2)*(INDIRECT($B92&amp;"!Q23:Q200")&lt;&gt;"")*(INDIRECT($B92&amp;"!H23:H200")=$G$5),1,0)))</f>
        <v>#REF!</v>
      </c>
      <c r="H92" s="108" t="e">
        <f t="array" aca="1" ref="H92" ca="1">IF($B92="N","",SUM(IF((INDIRECT($B92&amp;"!I23:I200")=$A$2)*(INDIRECT($B92&amp;"!Q23:Q200")&lt;&gt;"")*(INDIRECT($B92&amp;"!H23:H200")=$G$5),INDIRECT($B92&amp;"!T23:T200"),0)))</f>
        <v>#REF!</v>
      </c>
      <c r="I92" s="165" t="e">
        <f ca="1">IF(B92="N","",G92+E92)</f>
        <v>#REF!</v>
      </c>
      <c r="J92" s="170" t="e">
        <f ca="1">IF(I92="","",F92+H92)</f>
        <v>#REF!</v>
      </c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</row>
    <row r="93" spans="1:59" ht="13.5" thickBot="1">
      <c r="A93" s="204"/>
      <c r="B93" s="205"/>
      <c r="C93" s="206" t="str">
        <f>D90</f>
        <v>Mito Hollyhock</v>
      </c>
      <c r="D93" s="207" t="s">
        <v>19</v>
      </c>
      <c r="E93" s="208" t="e">
        <f t="shared" ref="E93:J93" ca="1" si="17">SUM(E92:E92)</f>
        <v>#REF!</v>
      </c>
      <c r="F93" s="108" t="e">
        <f t="shared" ca="1" si="17"/>
        <v>#REF!</v>
      </c>
      <c r="G93" s="208" t="e">
        <f t="shared" ca="1" si="17"/>
        <v>#REF!</v>
      </c>
      <c r="H93" s="108" t="e">
        <f t="shared" ca="1" si="17"/>
        <v>#REF!</v>
      </c>
      <c r="I93" s="209" t="e">
        <f t="shared" ca="1" si="17"/>
        <v>#REF!</v>
      </c>
      <c r="J93" s="108" t="e">
        <f t="shared" ca="1" si="17"/>
        <v>#REF!</v>
      </c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</row>
    <row r="94" spans="1:59" ht="13.5" thickBot="1">
      <c r="A94" s="204"/>
      <c r="C94" s="212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</row>
    <row r="95" spans="1:59">
      <c r="A95" s="204"/>
      <c r="B95" s="125"/>
      <c r="C95" s="206"/>
      <c r="D95" s="193" t="str">
        <f>D2</f>
        <v>Montedio Yamagata</v>
      </c>
      <c r="E95" s="194" t="s">
        <v>22</v>
      </c>
      <c r="F95" s="195"/>
      <c r="G95" s="194" t="s">
        <v>18</v>
      </c>
      <c r="H95" s="195"/>
      <c r="I95" s="194" t="s">
        <v>121</v>
      </c>
      <c r="J95" s="196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</row>
    <row r="96" spans="1:59" ht="13.5" thickBot="1">
      <c r="B96" s="125"/>
      <c r="C96" s="125"/>
      <c r="D96" s="197" t="s">
        <v>801</v>
      </c>
      <c r="E96" s="142" t="s">
        <v>125</v>
      </c>
      <c r="F96" s="186" t="s">
        <v>800</v>
      </c>
      <c r="G96" s="142" t="s">
        <v>125</v>
      </c>
      <c r="H96" s="186" t="s">
        <v>800</v>
      </c>
      <c r="I96" s="198" t="s">
        <v>125</v>
      </c>
      <c r="J96" s="186" t="s">
        <v>800</v>
      </c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</row>
    <row r="97" spans="1:59" ht="13.5" thickBot="1">
      <c r="B97" s="105" t="str">
        <f>IF(D95=0,"N",D95)</f>
        <v>Montedio Yamagata</v>
      </c>
      <c r="D97" s="203"/>
      <c r="E97" s="107" t="e">
        <f t="array" aca="1" ref="E97" ca="1">IF($B97="N","",SUM(IF((INDIRECT($B97&amp;"!I23:I200")=$A$2)*(INDIRECT($B97&amp;"!Q23:Q200")&lt;&gt;"")*(INDIRECT($B97&amp;"!H23:H200")=$E$5),1,0)))</f>
        <v>#REF!</v>
      </c>
      <c r="F97" s="108" t="e">
        <f t="array" aca="1" ref="F97" ca="1">IF($B97="N","",SUM(IF((INDIRECT($B97&amp;"!I23:I200")=$A$2)*(INDIRECT($B97&amp;"!Q23:Q200")&lt;&gt;"")*(INDIRECT($B97&amp;"!H23:H200")=$E$5),INDIRECT($B97&amp;"!T23:T200"),0)))</f>
        <v>#REF!</v>
      </c>
      <c r="G97" s="107" t="e">
        <f t="array" aca="1" ref="G97" ca="1">IF($B97="N","",SUM(IF((INDIRECT($B97&amp;"!I23:I200")=$A$2)*(INDIRECT($B97&amp;"!Q23:Q200")&lt;&gt;"")*(INDIRECT($B97&amp;"!H23:H200")=$G$5),1,0)))</f>
        <v>#REF!</v>
      </c>
      <c r="H97" s="108" t="e">
        <f t="array" aca="1" ref="H97" ca="1">IF($B97="N","",SUM(IF((INDIRECT($B97&amp;"!I23:I200")=$A$2)*(INDIRECT($B97&amp;"!Q23:Q200")&lt;&gt;"")*(INDIRECT($B97&amp;"!H23:H200")=$G$5),INDIRECT($B97&amp;"!T23:T200"),0)))</f>
        <v>#REF!</v>
      </c>
      <c r="I97" s="165" t="e">
        <f ca="1">IF(B97="N","",G97+E97)</f>
        <v>#REF!</v>
      </c>
      <c r="J97" s="170" t="e">
        <f ca="1">IF(I97="","",F97+H97)</f>
        <v>#REF!</v>
      </c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</row>
    <row r="98" spans="1:59" ht="13.5" thickBot="1">
      <c r="A98" s="204"/>
      <c r="B98" s="205"/>
      <c r="C98" s="206" t="str">
        <f>D95</f>
        <v>Montedio Yamagata</v>
      </c>
      <c r="D98" s="207" t="s">
        <v>19</v>
      </c>
      <c r="E98" s="208" t="e">
        <f t="shared" ref="E98:J98" ca="1" si="18">SUM(E97:E97)</f>
        <v>#REF!</v>
      </c>
      <c r="F98" s="108" t="e">
        <f t="shared" ca="1" si="18"/>
        <v>#REF!</v>
      </c>
      <c r="G98" s="208" t="e">
        <f t="shared" ca="1" si="18"/>
        <v>#REF!</v>
      </c>
      <c r="H98" s="108" t="e">
        <f t="shared" ca="1" si="18"/>
        <v>#REF!</v>
      </c>
      <c r="I98" s="209" t="e">
        <f t="shared" ca="1" si="18"/>
        <v>#REF!</v>
      </c>
      <c r="J98" s="108" t="e">
        <f t="shared" ca="1" si="18"/>
        <v>#REF!</v>
      </c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</row>
    <row r="99" spans="1:59" ht="13.5" thickBot="1">
      <c r="A99" s="204"/>
      <c r="C99" s="212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</row>
    <row r="100" spans="1:59">
      <c r="A100" s="204"/>
      <c r="B100" s="125"/>
      <c r="C100" s="206"/>
      <c r="D100" s="193" t="str">
        <f>E2</f>
        <v>Renofa Yamaguchi</v>
      </c>
      <c r="E100" s="194" t="s">
        <v>22</v>
      </c>
      <c r="F100" s="195"/>
      <c r="G100" s="194" t="s">
        <v>18</v>
      </c>
      <c r="H100" s="195"/>
      <c r="I100" s="194" t="s">
        <v>121</v>
      </c>
      <c r="J100" s="196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</row>
    <row r="101" spans="1:59" ht="13.5" thickBot="1">
      <c r="B101" s="125"/>
      <c r="C101" s="125"/>
      <c r="D101" s="197" t="s">
        <v>801</v>
      </c>
      <c r="E101" s="142" t="s">
        <v>125</v>
      </c>
      <c r="F101" s="186" t="s">
        <v>800</v>
      </c>
      <c r="G101" s="142" t="s">
        <v>125</v>
      </c>
      <c r="H101" s="186" t="s">
        <v>800</v>
      </c>
      <c r="I101" s="198" t="s">
        <v>125</v>
      </c>
      <c r="J101" s="186" t="s">
        <v>800</v>
      </c>
    </row>
    <row r="102" spans="1:59" ht="13.5" thickBot="1">
      <c r="B102" s="105" t="str">
        <f>IF(D100=0,"N",D100)</f>
        <v>Renofa Yamaguchi</v>
      </c>
      <c r="D102" s="203"/>
      <c r="E102" s="107" t="e">
        <f t="array" aca="1" ref="E102" ca="1">IF($B102="N","",SUM(IF((INDIRECT($B102&amp;"!I23:I200")=$A$2)*(INDIRECT($B102&amp;"!Q23:Q200")&lt;&gt;"")*(INDIRECT($B102&amp;"!H23:H200")=$E$5),1,0)))</f>
        <v>#REF!</v>
      </c>
      <c r="F102" s="108" t="e">
        <f t="array" aca="1" ref="F102" ca="1">IF($B102="N","",SUM(IF((INDIRECT($B102&amp;"!I23:I200")=$A$2)*(INDIRECT($B102&amp;"!Q23:Q200")&lt;&gt;"")*(INDIRECT($B102&amp;"!H23:H200")=$E$5),INDIRECT($B102&amp;"!T23:T200"),0)))</f>
        <v>#REF!</v>
      </c>
      <c r="G102" s="107" t="e">
        <f t="array" aca="1" ref="G102" ca="1">IF($B102="N","",SUM(IF((INDIRECT($B102&amp;"!I23:I200")=$A$2)*(INDIRECT($B102&amp;"!Q23:Q200")&lt;&gt;"")*(INDIRECT($B102&amp;"!H23:H200")=$G$5),1,0)))</f>
        <v>#REF!</v>
      </c>
      <c r="H102" s="108" t="e">
        <f t="array" aca="1" ref="H102" ca="1">IF($B102="N","",SUM(IF((INDIRECT($B102&amp;"!I23:I200")=$A$2)*(INDIRECT($B102&amp;"!Q23:Q200")&lt;&gt;"")*(INDIRECT($B102&amp;"!H23:H200")=$G$5),INDIRECT($B102&amp;"!T23:T200"),0)))</f>
        <v>#REF!</v>
      </c>
      <c r="I102" s="165" t="e">
        <f ca="1">IF(B102="N","",G102+E102)</f>
        <v>#REF!</v>
      </c>
      <c r="J102" s="170" t="e">
        <f ca="1">IF(I102="","",F102+H102)</f>
        <v>#REF!</v>
      </c>
    </row>
    <row r="103" spans="1:59" ht="13.5" thickBot="1">
      <c r="A103" s="204"/>
      <c r="B103" s="205"/>
      <c r="C103" s="206" t="str">
        <f>D100</f>
        <v>Renofa Yamaguchi</v>
      </c>
      <c r="D103" s="207" t="s">
        <v>19</v>
      </c>
      <c r="E103" s="208" t="e">
        <f t="shared" ref="E103:J103" ca="1" si="19">SUM(E102:E102)</f>
        <v>#REF!</v>
      </c>
      <c r="F103" s="108" t="e">
        <f t="shared" ca="1" si="19"/>
        <v>#REF!</v>
      </c>
      <c r="G103" s="208" t="e">
        <f t="shared" ca="1" si="19"/>
        <v>#REF!</v>
      </c>
      <c r="H103" s="108" t="e">
        <f t="shared" ca="1" si="19"/>
        <v>#REF!</v>
      </c>
      <c r="I103" s="209" t="e">
        <f t="shared" ca="1" si="19"/>
        <v>#REF!</v>
      </c>
      <c r="J103" s="108" t="e">
        <f t="shared" ca="1" si="19"/>
        <v>#REF!</v>
      </c>
    </row>
    <row r="104" spans="1:59" ht="13.5" thickBot="1">
      <c r="A104" s="204"/>
      <c r="C104" s="212"/>
    </row>
    <row r="105" spans="1:59">
      <c r="A105" s="204"/>
      <c r="B105" s="125"/>
      <c r="C105" s="206"/>
      <c r="D105" s="193" t="str">
        <f>F2</f>
        <v>Roasso Kumamoto</v>
      </c>
      <c r="E105" s="194" t="s">
        <v>22</v>
      </c>
      <c r="F105" s="195"/>
      <c r="G105" s="194" t="s">
        <v>18</v>
      </c>
      <c r="H105" s="195"/>
      <c r="I105" s="194" t="s">
        <v>121</v>
      </c>
      <c r="J105" s="196"/>
    </row>
    <row r="106" spans="1:59" ht="13.5" thickBot="1">
      <c r="B106" s="125"/>
      <c r="C106" s="125"/>
      <c r="D106" s="197" t="s">
        <v>801</v>
      </c>
      <c r="E106" s="142" t="s">
        <v>125</v>
      </c>
      <c r="F106" s="186" t="s">
        <v>800</v>
      </c>
      <c r="G106" s="142" t="s">
        <v>125</v>
      </c>
      <c r="H106" s="186" t="s">
        <v>800</v>
      </c>
      <c r="I106" s="198" t="s">
        <v>125</v>
      </c>
      <c r="J106" s="186" t="s">
        <v>800</v>
      </c>
    </row>
    <row r="107" spans="1:59" ht="13.5" thickBot="1">
      <c r="B107" s="105" t="str">
        <f>IF(D105=0,"N",D105)</f>
        <v>Roasso Kumamoto</v>
      </c>
      <c r="D107" s="203"/>
      <c r="E107" s="107" t="e">
        <f t="array" aca="1" ref="E107" ca="1">IF($B107="N","",SUM(IF((INDIRECT($B107&amp;"!I23:I200")=$A$2)*(INDIRECT($B107&amp;"!Q23:Q200")&lt;&gt;"")*(INDIRECT($B107&amp;"!H23:H200")=$E$5),1,0)))</f>
        <v>#REF!</v>
      </c>
      <c r="F107" s="108" t="e">
        <f t="array" aca="1" ref="F107" ca="1">IF($B107="N","",SUM(IF((INDIRECT($B107&amp;"!I23:I200")=$A$2)*(INDIRECT($B107&amp;"!Q23:Q200")&lt;&gt;"")*(INDIRECT($B107&amp;"!H23:H200")=$E$5),INDIRECT($B107&amp;"!T23:T200"),0)))</f>
        <v>#REF!</v>
      </c>
      <c r="G107" s="107" t="e">
        <f t="array" aca="1" ref="G107" ca="1">IF($B107="N","",SUM(IF((INDIRECT($B107&amp;"!I23:I200")=$A$2)*(INDIRECT($B107&amp;"!Q23:Q200")&lt;&gt;"")*(INDIRECT($B107&amp;"!H23:H200")=$G$5),1,0)))</f>
        <v>#REF!</v>
      </c>
      <c r="H107" s="108" t="e">
        <f t="array" aca="1" ref="H107" ca="1">IF($B107="N","",SUM(IF((INDIRECT($B107&amp;"!I23:I200")=$A$2)*(INDIRECT($B107&amp;"!Q23:Q200")&lt;&gt;"")*(INDIRECT($B107&amp;"!H23:H200")=$G$5),INDIRECT($B107&amp;"!T23:T200"),0)))</f>
        <v>#REF!</v>
      </c>
      <c r="I107" s="165" t="e">
        <f ca="1">IF(B107="N","",G107+E107)</f>
        <v>#REF!</v>
      </c>
      <c r="J107" s="170" t="e">
        <f ca="1">IF(I107="","",F107+H107)</f>
        <v>#REF!</v>
      </c>
    </row>
    <row r="108" spans="1:59" ht="13.5" thickBot="1">
      <c r="A108" s="204"/>
      <c r="B108" s="205"/>
      <c r="C108" s="206" t="str">
        <f>D105</f>
        <v>Roasso Kumamoto</v>
      </c>
      <c r="D108" s="207" t="s">
        <v>19</v>
      </c>
      <c r="E108" s="208" t="e">
        <f t="shared" ref="E108:J108" ca="1" si="20">SUM(E107:E107)</f>
        <v>#REF!</v>
      </c>
      <c r="F108" s="108" t="e">
        <f t="shared" ca="1" si="20"/>
        <v>#REF!</v>
      </c>
      <c r="G108" s="208" t="e">
        <f t="shared" ca="1" si="20"/>
        <v>#REF!</v>
      </c>
      <c r="H108" s="108" t="e">
        <f t="shared" ca="1" si="20"/>
        <v>#REF!</v>
      </c>
      <c r="I108" s="209" t="e">
        <f t="shared" ca="1" si="20"/>
        <v>#REF!</v>
      </c>
      <c r="J108" s="108" t="e">
        <f t="shared" ca="1" si="20"/>
        <v>#REF!</v>
      </c>
    </row>
    <row r="109" spans="1:59" ht="13.5" thickBot="1">
      <c r="A109" s="204"/>
      <c r="C109" s="212"/>
    </row>
    <row r="110" spans="1:59">
      <c r="A110" s="204"/>
      <c r="B110" s="125"/>
      <c r="C110" s="206"/>
      <c r="D110" s="193" t="str">
        <f>G2</f>
        <v>Nagoya Grampus</v>
      </c>
      <c r="E110" s="194" t="s">
        <v>22</v>
      </c>
      <c r="F110" s="195"/>
      <c r="G110" s="194" t="s">
        <v>18</v>
      </c>
      <c r="H110" s="195"/>
      <c r="I110" s="194" t="s">
        <v>121</v>
      </c>
      <c r="J110" s="196"/>
    </row>
    <row r="111" spans="1:59" ht="13.5" thickBot="1">
      <c r="B111" s="125"/>
      <c r="C111" s="125"/>
      <c r="D111" s="197" t="s">
        <v>801</v>
      </c>
      <c r="E111" s="142" t="s">
        <v>125</v>
      </c>
      <c r="F111" s="186" t="s">
        <v>800</v>
      </c>
      <c r="G111" s="142" t="s">
        <v>125</v>
      </c>
      <c r="H111" s="186" t="s">
        <v>800</v>
      </c>
      <c r="I111" s="198" t="s">
        <v>125</v>
      </c>
      <c r="J111" s="186" t="s">
        <v>800</v>
      </c>
    </row>
    <row r="112" spans="1:59" ht="13.5" thickBot="1">
      <c r="B112" s="105" t="str">
        <f>IF(D110=0,"N",D110)</f>
        <v>Nagoya Grampus</v>
      </c>
      <c r="D112" s="203"/>
      <c r="E112" s="107" t="e">
        <f t="array" aca="1" ref="E112" ca="1">IF($B112="N","",SUM(IF((INDIRECT($B112&amp;"!I23:I200")=$A$2)*(INDIRECT($B112&amp;"!Q23:Q200")&lt;&gt;"")*(INDIRECT($B112&amp;"!H23:H200")=$E$5),1,0)))</f>
        <v>#REF!</v>
      </c>
      <c r="F112" s="108" t="e">
        <f t="array" aca="1" ref="F112" ca="1">IF($B112="N","",SUM(IF((INDIRECT($B112&amp;"!I23:I200")=$A$2)*(INDIRECT($B112&amp;"!Q23:Q200")&lt;&gt;"")*(INDIRECT($B112&amp;"!H23:H200")=$E$5),INDIRECT($B112&amp;"!T23:T200"),0)))</f>
        <v>#REF!</v>
      </c>
      <c r="G112" s="107" t="e">
        <f t="array" aca="1" ref="G112" ca="1">IF($B112="N","",SUM(IF((INDIRECT($B112&amp;"!I23:I200")=$A$2)*(INDIRECT($B112&amp;"!Q23:Q200")&lt;&gt;"")*(INDIRECT($B112&amp;"!H23:H200")=$G$5),1,0)))</f>
        <v>#REF!</v>
      </c>
      <c r="H112" s="108" t="e">
        <f t="array" aca="1" ref="H112" ca="1">IF($B112="N","",SUM(IF((INDIRECT($B112&amp;"!I23:I200")=$A$2)*(INDIRECT($B112&amp;"!Q23:Q200")&lt;&gt;"")*(INDIRECT($B112&amp;"!H23:H200")=$G$5),INDIRECT($B112&amp;"!T23:T200"),0)))</f>
        <v>#REF!</v>
      </c>
      <c r="I112" s="165" t="e">
        <f ca="1">IF(B112="N","",G112+E112)</f>
        <v>#REF!</v>
      </c>
      <c r="J112" s="170" t="e">
        <f ca="1">IF(I112="","",F112+H112)</f>
        <v>#REF!</v>
      </c>
    </row>
    <row r="113" spans="1:10" ht="13.5" thickBot="1">
      <c r="A113" s="204"/>
      <c r="B113" s="205"/>
      <c r="C113" s="206" t="str">
        <f>D110</f>
        <v>Nagoya Grampus</v>
      </c>
      <c r="D113" s="207" t="s">
        <v>19</v>
      </c>
      <c r="E113" s="208" t="e">
        <f t="shared" ref="E113:J113" ca="1" si="21">SUM(E112:E112)</f>
        <v>#REF!</v>
      </c>
      <c r="F113" s="108" t="e">
        <f t="shared" ca="1" si="21"/>
        <v>#REF!</v>
      </c>
      <c r="G113" s="208" t="e">
        <f t="shared" ca="1" si="21"/>
        <v>#REF!</v>
      </c>
      <c r="H113" s="108" t="e">
        <f t="shared" ca="1" si="21"/>
        <v>#REF!</v>
      </c>
      <c r="I113" s="209" t="e">
        <f t="shared" ca="1" si="21"/>
        <v>#REF!</v>
      </c>
      <c r="J113" s="108" t="e">
        <f t="shared" ca="1" si="21"/>
        <v>#REF!</v>
      </c>
    </row>
    <row r="114" spans="1:10" ht="13.5" thickBot="1">
      <c r="A114" s="204"/>
      <c r="C114" s="212"/>
    </row>
    <row r="115" spans="1:10">
      <c r="A115" s="204"/>
      <c r="B115" s="125"/>
      <c r="C115" s="206"/>
      <c r="D115" s="193" t="str">
        <f>H2</f>
        <v>ThespaKusatsu Gunma</v>
      </c>
      <c r="E115" s="194" t="s">
        <v>22</v>
      </c>
      <c r="F115" s="195"/>
      <c r="G115" s="194" t="s">
        <v>18</v>
      </c>
      <c r="H115" s="195"/>
      <c r="I115" s="194" t="s">
        <v>121</v>
      </c>
      <c r="J115" s="196"/>
    </row>
    <row r="116" spans="1:10" ht="13.5" thickBot="1">
      <c r="B116" s="125"/>
      <c r="C116" s="125"/>
      <c r="D116" s="197" t="s">
        <v>801</v>
      </c>
      <c r="E116" s="142" t="s">
        <v>125</v>
      </c>
      <c r="F116" s="186" t="s">
        <v>800</v>
      </c>
      <c r="G116" s="142" t="s">
        <v>125</v>
      </c>
      <c r="H116" s="186" t="s">
        <v>800</v>
      </c>
      <c r="I116" s="198" t="s">
        <v>125</v>
      </c>
      <c r="J116" s="186" t="s">
        <v>800</v>
      </c>
    </row>
    <row r="117" spans="1:10" ht="13.5" thickBot="1">
      <c r="B117" s="105" t="str">
        <f>IF(D115=0,"N",D115)</f>
        <v>ThespaKusatsu Gunma</v>
      </c>
      <c r="D117" s="203"/>
      <c r="E117" s="107" t="e">
        <f t="array" aca="1" ref="E117" ca="1">IF($B117="N","",SUM(IF((INDIRECT($B117&amp;"!I23:I200")=$A$2)*(INDIRECT($B117&amp;"!Q23:Q200")&lt;&gt;"")*(INDIRECT($B117&amp;"!H23:H200")=$E$5),1,0)))</f>
        <v>#REF!</v>
      </c>
      <c r="F117" s="108" t="e">
        <f t="array" aca="1" ref="F117" ca="1">IF($B117="N","",SUM(IF((INDIRECT($B117&amp;"!I23:I200")=$A$2)*(INDIRECT($B117&amp;"!Q23:Q200")&lt;&gt;"")*(INDIRECT($B117&amp;"!H23:H200")=$E$5),INDIRECT($B117&amp;"!T23:T200"),0)))</f>
        <v>#REF!</v>
      </c>
      <c r="G117" s="107" t="e">
        <f t="array" aca="1" ref="G117" ca="1">IF($B117="N","",SUM(IF((INDIRECT($B117&amp;"!I23:I200")=$A$2)*(INDIRECT($B117&amp;"!Q23:Q200")&lt;&gt;"")*(INDIRECT($B117&amp;"!H23:H200")=$G$5),1,0)))</f>
        <v>#REF!</v>
      </c>
      <c r="H117" s="108" t="e">
        <f t="array" aca="1" ref="H117" ca="1">IF($B117="N","",SUM(IF((INDIRECT($B117&amp;"!I23:I200")=$A$2)*(INDIRECT($B117&amp;"!Q23:Q200")&lt;&gt;"")*(INDIRECT($B117&amp;"!H23:H200")=$G$5),INDIRECT($B117&amp;"!T23:T200"),0)))</f>
        <v>#REF!</v>
      </c>
      <c r="I117" s="165" t="e">
        <f ca="1">IF(B117="N","",G117+E117)</f>
        <v>#REF!</v>
      </c>
      <c r="J117" s="170" t="e">
        <f ca="1">IF(I117="","",F117+H117)</f>
        <v>#REF!</v>
      </c>
    </row>
    <row r="118" spans="1:10" ht="13.5" thickBot="1">
      <c r="A118" s="204"/>
      <c r="B118" s="205"/>
      <c r="C118" s="206" t="str">
        <f>D115</f>
        <v>ThespaKusatsu Gunma</v>
      </c>
      <c r="D118" s="207" t="s">
        <v>19</v>
      </c>
      <c r="E118" s="208" t="e">
        <f t="shared" ref="E118:J118" ca="1" si="22">SUM(E117:E117)</f>
        <v>#REF!</v>
      </c>
      <c r="F118" s="108" t="e">
        <f t="shared" ca="1" si="22"/>
        <v>#REF!</v>
      </c>
      <c r="G118" s="208" t="e">
        <f t="shared" ca="1" si="22"/>
        <v>#REF!</v>
      </c>
      <c r="H118" s="108" t="e">
        <f t="shared" ca="1" si="22"/>
        <v>#REF!</v>
      </c>
      <c r="I118" s="209" t="e">
        <f t="shared" ca="1" si="22"/>
        <v>#REF!</v>
      </c>
      <c r="J118" s="108" t="e">
        <f t="shared" ca="1" si="22"/>
        <v>#REF!</v>
      </c>
    </row>
    <row r="119" spans="1:10" ht="13.5" thickBot="1">
      <c r="A119" s="204"/>
      <c r="C119" s="212"/>
    </row>
    <row r="120" spans="1:10">
      <c r="A120" s="204"/>
      <c r="B120" s="125"/>
      <c r="C120" s="206"/>
      <c r="D120" s="193" t="str">
        <f>I2</f>
        <v>Tokushima Vortis</v>
      </c>
      <c r="E120" s="194" t="s">
        <v>22</v>
      </c>
      <c r="F120" s="195"/>
      <c r="G120" s="194" t="s">
        <v>18</v>
      </c>
      <c r="H120" s="195"/>
      <c r="I120" s="194" t="s">
        <v>121</v>
      </c>
      <c r="J120" s="196"/>
    </row>
    <row r="121" spans="1:10" ht="13.5" thickBot="1">
      <c r="B121" s="125"/>
      <c r="C121" s="125"/>
      <c r="D121" s="197" t="s">
        <v>801</v>
      </c>
      <c r="E121" s="142" t="s">
        <v>125</v>
      </c>
      <c r="F121" s="186" t="s">
        <v>800</v>
      </c>
      <c r="G121" s="142" t="s">
        <v>125</v>
      </c>
      <c r="H121" s="186" t="s">
        <v>800</v>
      </c>
      <c r="I121" s="198" t="s">
        <v>125</v>
      </c>
      <c r="J121" s="186" t="s">
        <v>800</v>
      </c>
    </row>
    <row r="122" spans="1:10" ht="13.5" thickBot="1">
      <c r="B122" s="105" t="str">
        <f>IF(D120=0,"N",D120)</f>
        <v>Tokushima Vortis</v>
      </c>
      <c r="D122" s="203"/>
      <c r="E122" s="107" t="e">
        <f t="array" aca="1" ref="E122" ca="1">IF($B122="N","",SUM(IF((INDIRECT($B122&amp;"!I23:I200")=$A$2)*(INDIRECT($B122&amp;"!Q23:Q200")&lt;&gt;"")*(INDIRECT($B122&amp;"!H23:H200")=$E$5),1,0)))</f>
        <v>#REF!</v>
      </c>
      <c r="F122" s="108" t="e">
        <f t="array" aca="1" ref="F122" ca="1">IF($B122="N","",SUM(IF((INDIRECT($B122&amp;"!I23:I200")=$A$2)*(INDIRECT($B122&amp;"!Q23:Q200")&lt;&gt;"")*(INDIRECT($B122&amp;"!H23:H200")=$E$5),INDIRECT($B122&amp;"!T23:T200"),0)))</f>
        <v>#REF!</v>
      </c>
      <c r="G122" s="107" t="e">
        <f t="array" aca="1" ref="G122" ca="1">IF($B122="N","",SUM(IF((INDIRECT($B122&amp;"!I23:I200")=$A$2)*(INDIRECT($B122&amp;"!Q23:Q200")&lt;&gt;"")*(INDIRECT($B122&amp;"!H23:H200")=$G$5),1,0)))</f>
        <v>#REF!</v>
      </c>
      <c r="H122" s="108" t="e">
        <f t="array" aca="1" ref="H122" ca="1">IF($B122="N","",SUM(IF((INDIRECT($B122&amp;"!I23:I200")=$A$2)*(INDIRECT($B122&amp;"!Q23:Q200")&lt;&gt;"")*(INDIRECT($B122&amp;"!H23:H200")=$G$5),INDIRECT($B122&amp;"!T23:T200"),0)))</f>
        <v>#REF!</v>
      </c>
      <c r="I122" s="165" t="e">
        <f ca="1">IF(B122="N","",G122+E122)</f>
        <v>#REF!</v>
      </c>
      <c r="J122" s="170" t="e">
        <f ca="1">IF(I122="","",F122+H122)</f>
        <v>#REF!</v>
      </c>
    </row>
    <row r="123" spans="1:10" ht="13.5" thickBot="1">
      <c r="A123" s="204"/>
      <c r="B123" s="205"/>
      <c r="C123" s="206" t="str">
        <f>D120</f>
        <v>Tokushima Vortis</v>
      </c>
      <c r="D123" s="207" t="s">
        <v>19</v>
      </c>
      <c r="E123" s="208" t="e">
        <f t="shared" ref="E123:J123" ca="1" si="23">SUM(E122:E122)</f>
        <v>#REF!</v>
      </c>
      <c r="F123" s="108" t="e">
        <f t="shared" ca="1" si="23"/>
        <v>#REF!</v>
      </c>
      <c r="G123" s="208" t="e">
        <f t="shared" ca="1" si="23"/>
        <v>#REF!</v>
      </c>
      <c r="H123" s="108" t="e">
        <f t="shared" ca="1" si="23"/>
        <v>#REF!</v>
      </c>
      <c r="I123" s="209" t="e">
        <f t="shared" ca="1" si="23"/>
        <v>#REF!</v>
      </c>
      <c r="J123" s="108" t="e">
        <f t="shared" ca="1" si="23"/>
        <v>#REF!</v>
      </c>
    </row>
    <row r="124" spans="1:10" ht="13.5" thickBot="1">
      <c r="A124" s="204"/>
      <c r="C124" s="212"/>
    </row>
    <row r="125" spans="1:10">
      <c r="A125" s="204"/>
      <c r="B125" s="125"/>
      <c r="C125" s="206"/>
      <c r="D125" s="193" t="str">
        <f>J2</f>
        <v>Tokyo Verdy</v>
      </c>
      <c r="E125" s="194" t="s">
        <v>22</v>
      </c>
      <c r="F125" s="195"/>
      <c r="G125" s="194" t="s">
        <v>18</v>
      </c>
      <c r="H125" s="195"/>
      <c r="I125" s="194" t="s">
        <v>121</v>
      </c>
      <c r="J125" s="196"/>
    </row>
    <row r="126" spans="1:10" ht="13.5" thickBot="1">
      <c r="B126" s="125"/>
      <c r="C126" s="125"/>
      <c r="D126" s="197" t="s">
        <v>801</v>
      </c>
      <c r="E126" s="142" t="s">
        <v>125</v>
      </c>
      <c r="F126" s="186" t="s">
        <v>800</v>
      </c>
      <c r="G126" s="142" t="s">
        <v>125</v>
      </c>
      <c r="H126" s="186" t="s">
        <v>800</v>
      </c>
      <c r="I126" s="198" t="s">
        <v>125</v>
      </c>
      <c r="J126" s="186" t="s">
        <v>800</v>
      </c>
    </row>
    <row r="127" spans="1:10" ht="13.5" thickBot="1">
      <c r="B127" s="105" t="str">
        <f>IF(D125=0,"N",D125)</f>
        <v>Tokyo Verdy</v>
      </c>
      <c r="D127" s="203"/>
      <c r="E127" s="107" t="e">
        <f t="array" aca="1" ref="E127" ca="1">IF($B127="N","",SUM(IF((INDIRECT($B127&amp;"!I23:I200")=$A$2)*(INDIRECT($B127&amp;"!Q23:Q200")&lt;&gt;"")*(INDIRECT($B127&amp;"!H23:H200")=$E$5),1,0)))</f>
        <v>#REF!</v>
      </c>
      <c r="F127" s="108" t="e">
        <f t="array" aca="1" ref="F127" ca="1">IF($B127="N","",SUM(IF((INDIRECT($B127&amp;"!I23:I200")=$A$2)*(INDIRECT($B127&amp;"!Q23:Q200")&lt;&gt;"")*(INDIRECT($B127&amp;"!H23:H200")=$E$5),INDIRECT($B127&amp;"!T23:T200"),0)))</f>
        <v>#REF!</v>
      </c>
      <c r="G127" s="107" t="e">
        <f t="array" aca="1" ref="G127" ca="1">IF($B127="N","",SUM(IF((INDIRECT($B127&amp;"!I23:I200")=$A$2)*(INDIRECT($B127&amp;"!Q23:Q200")&lt;&gt;"")*(INDIRECT($B127&amp;"!H23:H200")=$G$5),1,0)))</f>
        <v>#REF!</v>
      </c>
      <c r="H127" s="108" t="e">
        <f t="array" aca="1" ref="H127" ca="1">IF($B127="N","",SUM(IF((INDIRECT($B127&amp;"!I23:I200")=$A$2)*(INDIRECT($B127&amp;"!Q23:Q200")&lt;&gt;"")*(INDIRECT($B127&amp;"!H23:H200")=$G$5),INDIRECT($B127&amp;"!T23:T200"),0)))</f>
        <v>#REF!</v>
      </c>
      <c r="I127" s="165" t="e">
        <f ca="1">IF(B127="N","",G127+E127)</f>
        <v>#REF!</v>
      </c>
      <c r="J127" s="170" t="e">
        <f ca="1">IF(I127="","",F127+H127)</f>
        <v>#REF!</v>
      </c>
    </row>
    <row r="128" spans="1:10" ht="13.5" thickBot="1">
      <c r="A128" s="204"/>
      <c r="B128" s="205"/>
      <c r="C128" s="206" t="str">
        <f>D125</f>
        <v>Tokyo Verdy</v>
      </c>
      <c r="D128" s="207" t="s">
        <v>19</v>
      </c>
      <c r="E128" s="208" t="e">
        <f t="shared" ref="E128:J128" ca="1" si="24">SUM(E127:E127)</f>
        <v>#REF!</v>
      </c>
      <c r="F128" s="214" t="e">
        <f t="shared" ca="1" si="24"/>
        <v>#REF!</v>
      </c>
      <c r="G128" s="208" t="e">
        <f t="shared" ca="1" si="24"/>
        <v>#REF!</v>
      </c>
      <c r="H128" s="214" t="e">
        <f t="shared" ca="1" si="24"/>
        <v>#REF!</v>
      </c>
      <c r="I128" s="209" t="e">
        <f t="shared" ca="1" si="24"/>
        <v>#REF!</v>
      </c>
      <c r="J128" s="214" t="e">
        <f t="shared" ca="1" si="24"/>
        <v>#REF!</v>
      </c>
    </row>
    <row r="129" spans="1:10" ht="13.5" thickBot="1">
      <c r="A129" s="204"/>
      <c r="C129" s="212"/>
    </row>
    <row r="130" spans="1:10">
      <c r="A130" s="204"/>
      <c r="B130" s="125"/>
      <c r="C130" s="206"/>
      <c r="D130" s="193" t="str">
        <f>K2</f>
        <v>V-Varen Nagasaki</v>
      </c>
      <c r="E130" s="194" t="s">
        <v>22</v>
      </c>
      <c r="F130" s="195"/>
      <c r="G130" s="194" t="s">
        <v>18</v>
      </c>
      <c r="H130" s="195"/>
      <c r="I130" s="194" t="s">
        <v>121</v>
      </c>
      <c r="J130" s="196"/>
    </row>
    <row r="131" spans="1:10" ht="13.5" thickBot="1">
      <c r="B131" s="125"/>
      <c r="C131" s="125"/>
      <c r="D131" s="197" t="s">
        <v>801</v>
      </c>
      <c r="E131" s="142" t="s">
        <v>125</v>
      </c>
      <c r="F131" s="186" t="s">
        <v>800</v>
      </c>
      <c r="G131" s="142" t="s">
        <v>125</v>
      </c>
      <c r="H131" s="186" t="s">
        <v>800</v>
      </c>
      <c r="I131" s="198" t="s">
        <v>125</v>
      </c>
      <c r="J131" s="186" t="s">
        <v>800</v>
      </c>
    </row>
    <row r="132" spans="1:10" ht="13.5" thickBot="1">
      <c r="B132" s="105" t="str">
        <f>IF(D130=0,"N",D130)</f>
        <v>V-Varen Nagasaki</v>
      </c>
      <c r="D132" s="203"/>
      <c r="E132" s="107" t="e">
        <f t="array" aca="1" ref="E132" ca="1">IF($B132="N","",SUM(IF((INDIRECT($B132&amp;"!I23:I200")=$A$2)*(INDIRECT($B132&amp;"!Q23:Q200")&lt;&gt;"")*(INDIRECT($B132&amp;"!H23:H200")=$E$5),1,0)))</f>
        <v>#REF!</v>
      </c>
      <c r="F132" s="108" t="e">
        <f t="array" aca="1" ref="F132" ca="1">IF($B132="N","",SUM(IF((INDIRECT($B132&amp;"!I23:I200")=$A$2)*(INDIRECT($B132&amp;"!Q23:Q200")&lt;&gt;"")*(INDIRECT($B132&amp;"!H23:H200")=$E$5),INDIRECT($B132&amp;"!T23:T200"),0)))</f>
        <v>#REF!</v>
      </c>
      <c r="G132" s="107" t="e">
        <f t="array" aca="1" ref="G132" ca="1">IF($B132="N","",SUM(IF((INDIRECT($B132&amp;"!I23:I200")=$A$2)*(INDIRECT($B132&amp;"!Q23:Q200")&lt;&gt;"")*(INDIRECT($B132&amp;"!H23:H200")=$G$5),1,0)))</f>
        <v>#REF!</v>
      </c>
      <c r="H132" s="108" t="e">
        <f t="array" aca="1" ref="H132" ca="1">IF($B132="N","",SUM(IF((INDIRECT($B132&amp;"!I23:I200")=$A$2)*(INDIRECT($B132&amp;"!Q23:Q200")&lt;&gt;"")*(INDIRECT($B132&amp;"!H23:H200")=$G$5),INDIRECT($B132&amp;"!T23:T200"),0)))</f>
        <v>#REF!</v>
      </c>
      <c r="I132" s="165" t="e">
        <f ca="1">IF(B132="N","",G132+E132)</f>
        <v>#REF!</v>
      </c>
      <c r="J132" s="170" t="e">
        <f ca="1">IF(I132="","",F132+H132)</f>
        <v>#REF!</v>
      </c>
    </row>
    <row r="133" spans="1:10" ht="13.5" thickBot="1">
      <c r="A133" s="204"/>
      <c r="B133" s="205"/>
      <c r="C133" s="206" t="str">
        <f>D130</f>
        <v>V-Varen Nagasaki</v>
      </c>
      <c r="D133" s="207" t="s">
        <v>19</v>
      </c>
      <c r="E133" s="208" t="e">
        <f t="shared" ref="E133:J133" ca="1" si="25">SUM(E132:E132)</f>
        <v>#REF!</v>
      </c>
      <c r="F133" s="214" t="e">
        <f t="shared" ca="1" si="25"/>
        <v>#REF!</v>
      </c>
      <c r="G133" s="208" t="e">
        <f t="shared" ca="1" si="25"/>
        <v>#REF!</v>
      </c>
      <c r="H133" s="214" t="e">
        <f t="shared" ca="1" si="25"/>
        <v>#REF!</v>
      </c>
      <c r="I133" s="209" t="e">
        <f t="shared" ca="1" si="25"/>
        <v>#REF!</v>
      </c>
      <c r="J133" s="214" t="e">
        <f t="shared" ca="1" si="25"/>
        <v>#REF!</v>
      </c>
    </row>
    <row r="134" spans="1:10" ht="13.5" thickBot="1">
      <c r="A134" s="204"/>
      <c r="C134" s="212"/>
    </row>
    <row r="135" spans="1:10">
      <c r="A135" s="204"/>
      <c r="B135" s="125"/>
      <c r="C135" s="206"/>
      <c r="D135" s="193" t="str">
        <f>L2</f>
        <v>Yokohama</v>
      </c>
      <c r="E135" s="194" t="s">
        <v>22</v>
      </c>
      <c r="F135" s="195"/>
      <c r="G135" s="194" t="s">
        <v>18</v>
      </c>
      <c r="H135" s="195"/>
      <c r="I135" s="194" t="s">
        <v>121</v>
      </c>
      <c r="J135" s="196"/>
    </row>
    <row r="136" spans="1:10" ht="13.5" thickBot="1">
      <c r="B136" s="125"/>
      <c r="C136" s="125"/>
      <c r="D136" s="197" t="s">
        <v>801</v>
      </c>
      <c r="E136" s="142" t="s">
        <v>125</v>
      </c>
      <c r="F136" s="186" t="s">
        <v>800</v>
      </c>
      <c r="G136" s="142" t="s">
        <v>125</v>
      </c>
      <c r="H136" s="186" t="s">
        <v>800</v>
      </c>
      <c r="I136" s="198" t="s">
        <v>125</v>
      </c>
      <c r="J136" s="186" t="s">
        <v>800</v>
      </c>
    </row>
    <row r="137" spans="1:10" ht="13.5" thickBot="1">
      <c r="B137" s="105" t="str">
        <f>IF(D135=0,"N",D135)</f>
        <v>Yokohama</v>
      </c>
      <c r="D137" s="203"/>
      <c r="E137" s="107">
        <f t="array" aca="1" ref="E137" ca="1">IF($B137="N","",SUM(IF((INDIRECT($B137&amp;"!I23:I200")=$A$2)*(INDIRECT($B137&amp;"!Q23:Q200")&lt;&gt;"")*(INDIRECT($B137&amp;"!H23:H200")=$E$5),1,0)))</f>
        <v>21</v>
      </c>
      <c r="F137" s="108">
        <f t="array" aca="1" ref="F137" ca="1">IF($B137="N","",SUM(IF((INDIRECT($B137&amp;"!I23:I200")=$A$2)*(INDIRECT($B137&amp;"!Q23:Q200")&lt;&gt;"")*(INDIRECT($B137&amp;"!H23:H200")=$E$5),INDIRECT($B137&amp;"!T23:T200"),0)))</f>
        <v>-2.8600000000000003</v>
      </c>
      <c r="G137" s="107">
        <f t="array" aca="1" ref="G137" ca="1">IF($B137="N","",SUM(IF((INDIRECT($B137&amp;"!I23:I200")=$A$2)*(INDIRECT($B137&amp;"!Q23:Q200")&lt;&gt;"")*(INDIRECT($B137&amp;"!H23:H200")=$G$5),1,0)))</f>
        <v>21</v>
      </c>
      <c r="H137" s="108">
        <f t="array" aca="1" ref="H137" ca="1">IF($B137="N","",SUM(IF((INDIRECT($B137&amp;"!I23:I200")=$A$2)*(INDIRECT($B137&amp;"!Q23:Q200")&lt;&gt;"")*(INDIRECT($B137&amp;"!H23:H200")=$G$5),INDIRECT($B137&amp;"!T23:T200"),0)))</f>
        <v>11.419999999999998</v>
      </c>
      <c r="I137" s="165">
        <f ca="1">IF(B137="N","",G137+E137)</f>
        <v>42</v>
      </c>
      <c r="J137" s="170">
        <f ca="1">IF(I137="","",F137+H137)</f>
        <v>8.5599999999999987</v>
      </c>
    </row>
    <row r="138" spans="1:10" ht="13.5" thickBot="1">
      <c r="A138" s="204"/>
      <c r="B138" s="205"/>
      <c r="C138" s="206" t="str">
        <f>D135</f>
        <v>Yokohama</v>
      </c>
      <c r="D138" s="207" t="s">
        <v>19</v>
      </c>
      <c r="E138" s="208">
        <f t="shared" ref="E138:J138" ca="1" si="26">SUM(E137:E137)</f>
        <v>21</v>
      </c>
      <c r="F138" s="214">
        <f t="shared" ca="1" si="26"/>
        <v>-2.8600000000000003</v>
      </c>
      <c r="G138" s="208">
        <f t="shared" ca="1" si="26"/>
        <v>21</v>
      </c>
      <c r="H138" s="214">
        <f t="shared" ca="1" si="26"/>
        <v>11.419999999999998</v>
      </c>
      <c r="I138" s="209">
        <f t="shared" ca="1" si="26"/>
        <v>42</v>
      </c>
      <c r="J138" s="214">
        <f t="shared" ca="1" si="26"/>
        <v>8.5599999999999987</v>
      </c>
    </row>
    <row r="139" spans="1:10" ht="13.5" thickBot="1">
      <c r="A139" s="204"/>
      <c r="C139" s="212"/>
    </row>
    <row r="140" spans="1:10">
      <c r="A140" s="204"/>
      <c r="B140" s="125"/>
      <c r="C140" s="206"/>
      <c r="D140" s="193" t="str">
        <f>M2</f>
        <v>Zweigen Kanazawa</v>
      </c>
      <c r="E140" s="194" t="s">
        <v>22</v>
      </c>
      <c r="F140" s="195"/>
      <c r="G140" s="194" t="s">
        <v>18</v>
      </c>
      <c r="H140" s="195"/>
      <c r="I140" s="194" t="s">
        <v>121</v>
      </c>
      <c r="J140" s="196"/>
    </row>
    <row r="141" spans="1:10" ht="13.5" thickBot="1">
      <c r="B141" s="125"/>
      <c r="C141" s="125"/>
      <c r="D141" s="197" t="s">
        <v>801</v>
      </c>
      <c r="E141" s="142" t="s">
        <v>125</v>
      </c>
      <c r="F141" s="186" t="s">
        <v>800</v>
      </c>
      <c r="G141" s="142" t="s">
        <v>125</v>
      </c>
      <c r="H141" s="186" t="s">
        <v>800</v>
      </c>
      <c r="I141" s="198" t="s">
        <v>125</v>
      </c>
      <c r="J141" s="186" t="s">
        <v>800</v>
      </c>
    </row>
    <row r="142" spans="1:10" ht="13.5" thickBot="1">
      <c r="B142" s="105" t="str">
        <f>IF(D140=0,"N",D140)</f>
        <v>Zweigen Kanazawa</v>
      </c>
      <c r="D142" s="203"/>
      <c r="E142" s="107" t="e">
        <f t="array" aca="1" ref="E142" ca="1">IF($B142="N","",SUM(IF((INDIRECT($B142&amp;"!I23:I200")=$A$2)*(INDIRECT($B142&amp;"!Q23:Q200")&lt;&gt;"")*(INDIRECT($B142&amp;"!H23:H200")=$E$5),1,0)))</f>
        <v>#REF!</v>
      </c>
      <c r="F142" s="108" t="e">
        <f t="array" aca="1" ref="F142" ca="1">IF($B142="N","",SUM(IF((INDIRECT($B142&amp;"!I23:I200")=$A$2)*(INDIRECT($B142&amp;"!Q23:Q200")&lt;&gt;"")*(INDIRECT($B142&amp;"!H23:H200")=$E$5),INDIRECT($B142&amp;"!T23:T200"),0)))</f>
        <v>#REF!</v>
      </c>
      <c r="G142" s="107" t="e">
        <f t="array" aca="1" ref="G142" ca="1">IF($B142="N","",SUM(IF((INDIRECT($B142&amp;"!I23:I200")=$A$2)*(INDIRECT($B142&amp;"!Q23:Q200")&lt;&gt;"")*(INDIRECT($B142&amp;"!H23:H200")=$G$5),1,0)))</f>
        <v>#REF!</v>
      </c>
      <c r="H142" s="108" t="e">
        <f t="array" aca="1" ref="H142" ca="1">IF($B142="N","",SUM(IF((INDIRECT($B142&amp;"!I23:I200")=$A$2)*(INDIRECT($B142&amp;"!Q23:Q200")&lt;&gt;"")*(INDIRECT($B142&amp;"!H23:H200")=$G$5),INDIRECT($B142&amp;"!T23:T200"),0)))</f>
        <v>#REF!</v>
      </c>
      <c r="I142" s="165" t="e">
        <f ca="1">IF(B142="N","",G142+E142)</f>
        <v>#REF!</v>
      </c>
      <c r="J142" s="170" t="e">
        <f ca="1">IF(I142="","",F142+H142)</f>
        <v>#REF!</v>
      </c>
    </row>
    <row r="143" spans="1:10" ht="13.5" thickBot="1">
      <c r="A143" s="204"/>
      <c r="B143" s="205"/>
      <c r="C143" s="206" t="str">
        <f>D140</f>
        <v>Zweigen Kanazawa</v>
      </c>
      <c r="D143" s="207" t="s">
        <v>19</v>
      </c>
      <c r="E143" s="208" t="e">
        <f t="shared" ref="E143:J143" ca="1" si="27">SUM(E142:E142)</f>
        <v>#REF!</v>
      </c>
      <c r="F143" s="214" t="e">
        <f t="shared" ca="1" si="27"/>
        <v>#REF!</v>
      </c>
      <c r="G143" s="208" t="e">
        <f t="shared" ca="1" si="27"/>
        <v>#REF!</v>
      </c>
      <c r="H143" s="214" t="e">
        <f t="shared" ca="1" si="27"/>
        <v>#REF!</v>
      </c>
      <c r="I143" s="209" t="e">
        <f t="shared" ca="1" si="27"/>
        <v>#REF!</v>
      </c>
      <c r="J143" s="214" t="e">
        <f t="shared" ca="1" si="27"/>
        <v>#REF!</v>
      </c>
    </row>
    <row r="144" spans="1:10" ht="13.5" thickBot="1">
      <c r="A144" s="204"/>
      <c r="C144" s="212"/>
    </row>
    <row r="145" spans="1:10">
      <c r="A145" s="204"/>
      <c r="B145" s="125"/>
      <c r="C145" s="206"/>
      <c r="D145" s="193">
        <f>N2</f>
        <v>0</v>
      </c>
      <c r="E145" s="194" t="s">
        <v>22</v>
      </c>
      <c r="F145" s="195"/>
      <c r="G145" s="194" t="s">
        <v>18</v>
      </c>
      <c r="H145" s="195"/>
      <c r="I145" s="194" t="s">
        <v>121</v>
      </c>
      <c r="J145" s="196"/>
    </row>
    <row r="146" spans="1:10" ht="13.5" thickBot="1">
      <c r="B146" s="125"/>
      <c r="C146" s="125"/>
      <c r="D146" s="197" t="s">
        <v>801</v>
      </c>
      <c r="E146" s="142" t="s">
        <v>125</v>
      </c>
      <c r="F146" s="186" t="s">
        <v>800</v>
      </c>
      <c r="G146" s="142" t="s">
        <v>125</v>
      </c>
      <c r="H146" s="186" t="s">
        <v>800</v>
      </c>
      <c r="I146" s="198" t="s">
        <v>125</v>
      </c>
      <c r="J146" s="186" t="s">
        <v>800</v>
      </c>
    </row>
    <row r="147" spans="1:10" ht="13.5" thickBot="1">
      <c r="B147" s="105" t="str">
        <f>IF(D145=0,"N",D145)</f>
        <v>N</v>
      </c>
      <c r="D147" s="203"/>
      <c r="E147" s="107" t="str">
        <f t="array" aca="1" ref="E147" ca="1">IF($B147="N","",SUM(IF((INDIRECT($B147&amp;"!I23:I200")=$A$2)*(INDIRECT($B147&amp;"!Q23:Q200")&lt;&gt;"")*(INDIRECT($B147&amp;"!H23:H200")=$E$5),1,0)))</f>
        <v/>
      </c>
      <c r="F147" s="108" t="str">
        <f t="array" aca="1" ref="F147" ca="1">IF($B147="N","",SUM(IF((INDIRECT($B147&amp;"!I23:I200")=$A$2)*(INDIRECT($B147&amp;"!Q23:Q200")&lt;&gt;"")*(INDIRECT($B147&amp;"!H23:H200")=$E$5),INDIRECT($B147&amp;"!T23:T200"),0)))</f>
        <v/>
      </c>
      <c r="G147" s="107" t="str">
        <f t="array" aca="1" ref="G147" ca="1">IF($B147="N","",SUM(IF((INDIRECT($B147&amp;"!I23:I200")=$A$2)*(INDIRECT($B147&amp;"!Q23:Q200")&lt;&gt;"")*(INDIRECT($B147&amp;"!H23:H200")=$G$5),1,0)))</f>
        <v/>
      </c>
      <c r="H147" s="108" t="str">
        <f t="array" aca="1" ref="H147" ca="1">IF($B147="N","",SUM(IF((INDIRECT($B147&amp;"!I23:I200")=$A$2)*(INDIRECT($B147&amp;"!Q23:Q200")&lt;&gt;"")*(INDIRECT($B147&amp;"!H23:H200")=$G$5),INDIRECT($B147&amp;"!T23:T200"),0)))</f>
        <v/>
      </c>
      <c r="I147" s="165" t="str">
        <f>IF(B147="N","",G147+E147)</f>
        <v/>
      </c>
      <c r="J147" s="170" t="str">
        <f>IF(I147="","",F147+H147)</f>
        <v/>
      </c>
    </row>
    <row r="148" spans="1:10" ht="13.5" thickBot="1">
      <c r="A148" s="204"/>
      <c r="B148" s="205"/>
      <c r="C148" s="206">
        <f>D145</f>
        <v>0</v>
      </c>
      <c r="D148" s="207" t="s">
        <v>19</v>
      </c>
      <c r="E148" s="208">
        <f t="shared" ref="E148:J148" ca="1" si="28">SUM(E147:E147)</f>
        <v>0</v>
      </c>
      <c r="F148" s="214">
        <f t="shared" ca="1" si="28"/>
        <v>0</v>
      </c>
      <c r="G148" s="208">
        <f t="shared" ca="1" si="28"/>
        <v>0</v>
      </c>
      <c r="H148" s="214">
        <f t="shared" ca="1" si="28"/>
        <v>0</v>
      </c>
      <c r="I148" s="209">
        <f t="shared" si="28"/>
        <v>0</v>
      </c>
      <c r="J148" s="214">
        <f t="shared" si="28"/>
        <v>0</v>
      </c>
    </row>
    <row r="149" spans="1:10" ht="13.5" thickBot="1">
      <c r="A149" s="204"/>
      <c r="C149" s="212"/>
    </row>
    <row r="150" spans="1:10">
      <c r="A150" s="204"/>
      <c r="B150" s="125"/>
      <c r="C150" s="206"/>
      <c r="D150" s="193">
        <f>O2</f>
        <v>0</v>
      </c>
      <c r="E150" s="194" t="s">
        <v>22</v>
      </c>
      <c r="F150" s="195"/>
      <c r="G150" s="194" t="s">
        <v>18</v>
      </c>
      <c r="H150" s="195"/>
      <c r="I150" s="194" t="s">
        <v>121</v>
      </c>
      <c r="J150" s="196"/>
    </row>
    <row r="151" spans="1:10" ht="13.5" thickBot="1">
      <c r="B151" s="125"/>
      <c r="C151" s="125"/>
      <c r="D151" s="197" t="s">
        <v>801</v>
      </c>
      <c r="E151" s="142" t="s">
        <v>125</v>
      </c>
      <c r="F151" s="186" t="s">
        <v>800</v>
      </c>
      <c r="G151" s="142" t="s">
        <v>125</v>
      </c>
      <c r="H151" s="186" t="s">
        <v>800</v>
      </c>
      <c r="I151" s="198" t="s">
        <v>125</v>
      </c>
      <c r="J151" s="186" t="s">
        <v>800</v>
      </c>
    </row>
    <row r="152" spans="1:10" ht="13.5" thickBot="1">
      <c r="B152" s="105" t="str">
        <f>IF(D150=0,"N",D150)</f>
        <v>N</v>
      </c>
      <c r="D152" s="203"/>
      <c r="E152" s="107" t="str">
        <f t="array" aca="1" ref="E152" ca="1">IF($B152="N","",SUM(IF((INDIRECT($B152&amp;"!I23:I200")=$A$2)*(INDIRECT($B152&amp;"!Q23:Q200")&lt;&gt;"")*(INDIRECT($B152&amp;"!H23:H200")=$E$5),1,0)))</f>
        <v/>
      </c>
      <c r="F152" s="108" t="str">
        <f t="array" aca="1" ref="F152" ca="1">IF($B152="N","",SUM(IF((INDIRECT($B152&amp;"!I23:I200")=$A$2)*(INDIRECT($B152&amp;"!Q23:Q200")&lt;&gt;"")*(INDIRECT($B152&amp;"!H23:H200")=$E$5),INDIRECT($B152&amp;"!T23:T200"),0)))</f>
        <v/>
      </c>
      <c r="G152" s="107" t="str">
        <f t="array" aca="1" ref="G152" ca="1">IF($B152="N","",SUM(IF((INDIRECT($B152&amp;"!I23:I200")=$A$2)*(INDIRECT($B152&amp;"!Q23:Q200")&lt;&gt;"")*(INDIRECT($B152&amp;"!H23:H200")=$G$5),1,0)))</f>
        <v/>
      </c>
      <c r="H152" s="108" t="str">
        <f t="array" aca="1" ref="H152" ca="1">IF($B152="N","",SUM(IF((INDIRECT($B152&amp;"!I23:I200")=$A$2)*(INDIRECT($B152&amp;"!Q23:Q200")&lt;&gt;"")*(INDIRECT($B152&amp;"!H23:H200")=$G$5),INDIRECT($B152&amp;"!T23:T200"),0)))</f>
        <v/>
      </c>
      <c r="I152" s="165" t="str">
        <f>IF(B152="N","",G152+E152)</f>
        <v/>
      </c>
      <c r="J152" s="170" t="str">
        <f>IF(I152="","",F152+H152)</f>
        <v/>
      </c>
    </row>
    <row r="153" spans="1:10" ht="13.5" thickBot="1">
      <c r="A153" s="204"/>
      <c r="B153" s="205"/>
      <c r="C153" s="206">
        <f>D150</f>
        <v>0</v>
      </c>
      <c r="D153" s="207" t="s">
        <v>19</v>
      </c>
      <c r="E153" s="208">
        <f t="shared" ref="E153:J153" ca="1" si="29">SUM(E152:E152)</f>
        <v>0</v>
      </c>
      <c r="F153" s="214">
        <f t="shared" ca="1" si="29"/>
        <v>0</v>
      </c>
      <c r="G153" s="208">
        <f t="shared" ca="1" si="29"/>
        <v>0</v>
      </c>
      <c r="H153" s="214">
        <f t="shared" ca="1" si="29"/>
        <v>0</v>
      </c>
      <c r="I153" s="209">
        <f t="shared" si="29"/>
        <v>0</v>
      </c>
      <c r="J153" s="214">
        <f t="shared" si="29"/>
        <v>0</v>
      </c>
    </row>
    <row r="154" spans="1:10">
      <c r="A154" s="204"/>
      <c r="C154" s="212"/>
    </row>
    <row r="155" spans="1:10">
      <c r="A155" s="204"/>
      <c r="C155" s="212"/>
    </row>
    <row r="156" spans="1:10">
      <c r="A156" s="204"/>
      <c r="C156" s="212"/>
    </row>
    <row r="157" spans="1:10">
      <c r="A157" s="204"/>
      <c r="C157" s="212"/>
    </row>
    <row r="158" spans="1:10">
      <c r="A158" s="204"/>
      <c r="C158" s="212"/>
    </row>
    <row r="159" spans="1:10">
      <c r="A159" s="204"/>
      <c r="C159" s="212"/>
    </row>
    <row r="160" spans="1:10">
      <c r="A160" s="204"/>
      <c r="C160" s="212"/>
    </row>
    <row r="161" spans="1:3">
      <c r="A161" s="204"/>
      <c r="C161" s="212"/>
    </row>
    <row r="162" spans="1:3">
      <c r="A162" s="204"/>
      <c r="C162" s="212"/>
    </row>
    <row r="163" spans="1:3">
      <c r="A163" s="204"/>
      <c r="C163" s="212"/>
    </row>
    <row r="164" spans="1:3">
      <c r="C164" s="212"/>
    </row>
    <row r="165" spans="1:3">
      <c r="C165" s="212"/>
    </row>
    <row r="166" spans="1:3">
      <c r="C166" s="212"/>
    </row>
    <row r="167" spans="1:3">
      <c r="C167" s="212"/>
    </row>
    <row r="168" spans="1:3">
      <c r="C168" s="212"/>
    </row>
    <row r="169" spans="1:3">
      <c r="C169" s="212"/>
    </row>
    <row r="170" spans="1:3">
      <c r="C170" s="212"/>
    </row>
    <row r="171" spans="1:3">
      <c r="C171" s="212"/>
    </row>
    <row r="172" spans="1:3">
      <c r="C172" s="212"/>
    </row>
    <row r="173" spans="1:3">
      <c r="C173" s="212"/>
    </row>
    <row r="174" spans="1:3">
      <c r="C174" s="212"/>
    </row>
    <row r="175" spans="1:3">
      <c r="C175" s="212"/>
    </row>
    <row r="176" spans="1:3">
      <c r="C176" s="212"/>
    </row>
    <row r="177" spans="3:3">
      <c r="C177" s="212"/>
    </row>
    <row r="178" spans="3:3">
      <c r="C178" s="212"/>
    </row>
    <row r="179" spans="3:3">
      <c r="C179" s="212"/>
    </row>
    <row r="180" spans="3:3">
      <c r="C180" s="212"/>
    </row>
    <row r="181" spans="3:3">
      <c r="C181" s="212"/>
    </row>
    <row r="182" spans="3:3">
      <c r="C182" s="212"/>
    </row>
    <row r="183" spans="3:3">
      <c r="C183" s="212"/>
    </row>
    <row r="184" spans="3:3">
      <c r="C184" s="212"/>
    </row>
    <row r="185" spans="3:3">
      <c r="C185" s="212"/>
    </row>
    <row r="186" spans="3:3">
      <c r="C186" s="212"/>
    </row>
    <row r="187" spans="3:3">
      <c r="C187" s="212"/>
    </row>
    <row r="188" spans="3:3">
      <c r="C188" s="212"/>
    </row>
    <row r="189" spans="3:3">
      <c r="C189" s="212"/>
    </row>
    <row r="190" spans="3:3">
      <c r="C190" s="212"/>
    </row>
    <row r="191" spans="3:3">
      <c r="C191" s="212"/>
    </row>
    <row r="192" spans="3:3">
      <c r="C192" s="212"/>
    </row>
    <row r="193" spans="3:3">
      <c r="C193" s="212"/>
    </row>
    <row r="194" spans="3:3">
      <c r="C194" s="212"/>
    </row>
    <row r="195" spans="3:3">
      <c r="C195" s="212"/>
    </row>
    <row r="196" spans="3:3">
      <c r="C196" s="212"/>
    </row>
    <row r="197" spans="3:3">
      <c r="C197" s="212"/>
    </row>
    <row r="198" spans="3:3">
      <c r="C198" s="212"/>
    </row>
    <row r="199" spans="3:3">
      <c r="C199" s="212"/>
    </row>
    <row r="200" spans="3:3">
      <c r="C200" s="212"/>
    </row>
    <row r="201" spans="3:3">
      <c r="C201" s="212"/>
    </row>
    <row r="202" spans="3:3">
      <c r="C202" s="212"/>
    </row>
    <row r="203" spans="3:3">
      <c r="C203" s="212"/>
    </row>
    <row r="204" spans="3:3">
      <c r="C204" s="212"/>
    </row>
    <row r="205" spans="3:3">
      <c r="C205" s="212"/>
    </row>
    <row r="206" spans="3:3">
      <c r="C206" s="212"/>
    </row>
    <row r="207" spans="3:3">
      <c r="C207" s="212"/>
    </row>
    <row r="208" spans="3:3">
      <c r="C208" s="212"/>
    </row>
    <row r="209" spans="3:3">
      <c r="C209" s="212"/>
    </row>
    <row r="210" spans="3:3">
      <c r="C210" s="212"/>
    </row>
    <row r="211" spans="3:3">
      <c r="C211" s="212"/>
    </row>
    <row r="212" spans="3:3">
      <c r="C212" s="212"/>
    </row>
    <row r="213" spans="3:3">
      <c r="C213" s="212"/>
    </row>
    <row r="214" spans="3:3">
      <c r="C214" s="212"/>
    </row>
    <row r="215" spans="3:3">
      <c r="C215" s="212"/>
    </row>
    <row r="216" spans="3:3">
      <c r="C216" s="212"/>
    </row>
    <row r="217" spans="3:3">
      <c r="C217" s="212"/>
    </row>
    <row r="218" spans="3:3">
      <c r="C218" s="212"/>
    </row>
    <row r="219" spans="3:3">
      <c r="C219" s="212"/>
    </row>
    <row r="220" spans="3:3">
      <c r="C220" s="212"/>
    </row>
    <row r="221" spans="3:3">
      <c r="C221" s="212"/>
    </row>
    <row r="222" spans="3:3">
      <c r="C222" s="212"/>
    </row>
    <row r="223" spans="3:3">
      <c r="C223" s="212"/>
    </row>
    <row r="224" spans="3:3">
      <c r="C224" s="212"/>
    </row>
    <row r="225" spans="3:3">
      <c r="C225" s="212"/>
    </row>
    <row r="226" spans="3:3">
      <c r="C226" s="212"/>
    </row>
    <row r="227" spans="3:3">
      <c r="C227" s="212"/>
    </row>
    <row r="228" spans="3:3">
      <c r="C228" s="212"/>
    </row>
    <row r="229" spans="3:3">
      <c r="C229" s="212"/>
    </row>
    <row r="230" spans="3:3">
      <c r="C230" s="212"/>
    </row>
    <row r="231" spans="3:3">
      <c r="C231" s="212"/>
    </row>
    <row r="232" spans="3:3">
      <c r="C232" s="212"/>
    </row>
    <row r="233" spans="3:3">
      <c r="C233" s="212"/>
    </row>
    <row r="234" spans="3:3">
      <c r="C234" s="212"/>
    </row>
    <row r="235" spans="3:3">
      <c r="C235" s="212"/>
    </row>
    <row r="236" spans="3:3">
      <c r="C236" s="212"/>
    </row>
    <row r="237" spans="3:3">
      <c r="C237" s="212"/>
    </row>
    <row r="238" spans="3:3">
      <c r="C238" s="212"/>
    </row>
    <row r="239" spans="3:3">
      <c r="C239" s="212"/>
    </row>
    <row r="240" spans="3:3">
      <c r="C240" s="212"/>
    </row>
    <row r="241" spans="3:3">
      <c r="C241" s="212"/>
    </row>
    <row r="242" spans="3:3">
      <c r="C242" s="212"/>
    </row>
    <row r="243" spans="3:3">
      <c r="C243" s="212"/>
    </row>
    <row r="244" spans="3:3">
      <c r="C244" s="212"/>
    </row>
    <row r="245" spans="3:3">
      <c r="C245" s="212"/>
    </row>
    <row r="246" spans="3:3">
      <c r="C246" s="212"/>
    </row>
    <row r="247" spans="3:3">
      <c r="C247" s="212"/>
    </row>
    <row r="248" spans="3:3">
      <c r="C248" s="212"/>
    </row>
    <row r="249" spans="3:3">
      <c r="C249" s="212"/>
    </row>
    <row r="250" spans="3:3">
      <c r="C250" s="212"/>
    </row>
    <row r="251" spans="3:3">
      <c r="C251" s="212"/>
    </row>
    <row r="252" spans="3:3">
      <c r="C252" s="212"/>
    </row>
    <row r="253" spans="3:3">
      <c r="C253" s="212"/>
    </row>
    <row r="254" spans="3:3">
      <c r="C254" s="212"/>
    </row>
    <row r="255" spans="3:3">
      <c r="C255" s="212"/>
    </row>
    <row r="256" spans="3:3">
      <c r="C256" s="212"/>
    </row>
    <row r="257" spans="3:3">
      <c r="C257" s="212"/>
    </row>
    <row r="258" spans="3:3">
      <c r="C258" s="212"/>
    </row>
    <row r="259" spans="3:3">
      <c r="C259" s="212"/>
    </row>
    <row r="260" spans="3:3">
      <c r="C260" s="212"/>
    </row>
    <row r="261" spans="3:3">
      <c r="C261" s="212"/>
    </row>
    <row r="262" spans="3:3">
      <c r="C262" s="212"/>
    </row>
    <row r="263" spans="3:3">
      <c r="C263" s="212"/>
    </row>
    <row r="264" spans="3:3">
      <c r="C264" s="212"/>
    </row>
    <row r="265" spans="3:3">
      <c r="C265" s="212"/>
    </row>
    <row r="266" spans="3:3">
      <c r="C266" s="212"/>
    </row>
    <row r="267" spans="3:3">
      <c r="C267" s="212"/>
    </row>
    <row r="268" spans="3:3">
      <c r="C268" s="212"/>
    </row>
    <row r="269" spans="3:3">
      <c r="C269" s="212"/>
    </row>
    <row r="270" spans="3:3">
      <c r="C270" s="212"/>
    </row>
    <row r="271" spans="3:3">
      <c r="C271" s="212"/>
    </row>
    <row r="272" spans="3:3">
      <c r="C272" s="212"/>
    </row>
    <row r="273" spans="3:3">
      <c r="C273" s="212"/>
    </row>
    <row r="274" spans="3:3">
      <c r="C274" s="212"/>
    </row>
    <row r="275" spans="3:3">
      <c r="C275" s="212"/>
    </row>
    <row r="276" spans="3:3">
      <c r="C276" s="212"/>
    </row>
    <row r="277" spans="3:3">
      <c r="C277" s="212"/>
    </row>
    <row r="278" spans="3:3">
      <c r="C278" s="212"/>
    </row>
    <row r="279" spans="3:3">
      <c r="C279" s="212"/>
    </row>
    <row r="280" spans="3:3">
      <c r="C280" s="212"/>
    </row>
    <row r="281" spans="3:3">
      <c r="C281" s="212"/>
    </row>
    <row r="282" spans="3:3">
      <c r="C282" s="212"/>
    </row>
    <row r="283" spans="3:3">
      <c r="C283" s="212"/>
    </row>
    <row r="284" spans="3:3">
      <c r="C284" s="212"/>
    </row>
    <row r="285" spans="3:3">
      <c r="C285" s="212"/>
    </row>
    <row r="286" spans="3:3">
      <c r="C286" s="212"/>
    </row>
    <row r="287" spans="3:3">
      <c r="C287" s="212"/>
    </row>
    <row r="288" spans="3:3">
      <c r="C288" s="212"/>
    </row>
    <row r="289" spans="3:3">
      <c r="C289" s="212"/>
    </row>
    <row r="290" spans="3:3">
      <c r="C290" s="212"/>
    </row>
    <row r="291" spans="3:3">
      <c r="C291" s="212"/>
    </row>
    <row r="292" spans="3:3">
      <c r="C292" s="212"/>
    </row>
    <row r="293" spans="3:3">
      <c r="C293" s="212"/>
    </row>
    <row r="294" spans="3:3">
      <c r="C294" s="212"/>
    </row>
    <row r="295" spans="3:3">
      <c r="C295" s="212"/>
    </row>
    <row r="296" spans="3:3">
      <c r="C296" s="212"/>
    </row>
    <row r="297" spans="3:3">
      <c r="C297" s="212"/>
    </row>
    <row r="298" spans="3:3">
      <c r="C298" s="212"/>
    </row>
    <row r="299" spans="3:3">
      <c r="C299" s="212"/>
    </row>
    <row r="300" spans="3:3">
      <c r="C300" s="212"/>
    </row>
    <row r="301" spans="3:3">
      <c r="C301" s="212"/>
    </row>
    <row r="302" spans="3:3">
      <c r="C302" s="212"/>
    </row>
    <row r="303" spans="3:3">
      <c r="C303" s="212"/>
    </row>
    <row r="304" spans="3:3">
      <c r="C304" s="212"/>
    </row>
    <row r="305" spans="3:3">
      <c r="C305" s="212"/>
    </row>
    <row r="306" spans="3:3">
      <c r="C306" s="212"/>
    </row>
    <row r="307" spans="3:3">
      <c r="C307" s="212"/>
    </row>
    <row r="308" spans="3:3">
      <c r="C308" s="212"/>
    </row>
    <row r="309" spans="3:3">
      <c r="C309" s="212"/>
    </row>
    <row r="310" spans="3:3">
      <c r="C310" s="212"/>
    </row>
    <row r="311" spans="3:3">
      <c r="C311" s="212"/>
    </row>
    <row r="312" spans="3:3">
      <c r="C312" s="212"/>
    </row>
    <row r="313" spans="3:3">
      <c r="C313" s="212"/>
    </row>
    <row r="314" spans="3:3">
      <c r="C314" s="212"/>
    </row>
    <row r="315" spans="3:3">
      <c r="C315" s="212"/>
    </row>
    <row r="316" spans="3:3">
      <c r="C316" s="212"/>
    </row>
    <row r="317" spans="3:3">
      <c r="C317" s="212"/>
    </row>
    <row r="318" spans="3:3">
      <c r="C318" s="212"/>
    </row>
    <row r="319" spans="3:3">
      <c r="C319" s="212"/>
    </row>
    <row r="320" spans="3:3">
      <c r="C320" s="212"/>
    </row>
    <row r="321" spans="3:3">
      <c r="C321" s="212"/>
    </row>
    <row r="322" spans="3:3">
      <c r="C322" s="212"/>
    </row>
    <row r="323" spans="3:3">
      <c r="C323" s="212"/>
    </row>
    <row r="324" spans="3:3">
      <c r="C324" s="212"/>
    </row>
    <row r="325" spans="3:3">
      <c r="C325" s="212"/>
    </row>
    <row r="326" spans="3:3">
      <c r="C326" s="212"/>
    </row>
    <row r="327" spans="3:3">
      <c r="C327" s="212"/>
    </row>
    <row r="328" spans="3:3">
      <c r="C328" s="212"/>
    </row>
    <row r="329" spans="3:3">
      <c r="C329" s="212"/>
    </row>
    <row r="330" spans="3:3">
      <c r="C330" s="212"/>
    </row>
    <row r="331" spans="3:3">
      <c r="C331" s="212"/>
    </row>
    <row r="332" spans="3:3">
      <c r="C332" s="212"/>
    </row>
    <row r="333" spans="3:3">
      <c r="C333" s="212"/>
    </row>
    <row r="334" spans="3:3">
      <c r="C334" s="212"/>
    </row>
    <row r="335" spans="3:3">
      <c r="C335" s="212"/>
    </row>
    <row r="336" spans="3:3">
      <c r="C336" s="212"/>
    </row>
    <row r="337" spans="3:3">
      <c r="C337" s="212"/>
    </row>
    <row r="338" spans="3:3">
      <c r="C338" s="212"/>
    </row>
    <row r="339" spans="3:3">
      <c r="C339" s="212"/>
    </row>
    <row r="340" spans="3:3">
      <c r="C340" s="212"/>
    </row>
    <row r="341" spans="3:3">
      <c r="C341" s="212"/>
    </row>
    <row r="342" spans="3:3">
      <c r="C342" s="212"/>
    </row>
    <row r="343" spans="3:3">
      <c r="C343" s="212"/>
    </row>
    <row r="344" spans="3:3">
      <c r="C344" s="212"/>
    </row>
    <row r="345" spans="3:3">
      <c r="C345" s="212"/>
    </row>
    <row r="346" spans="3:3">
      <c r="C346" s="212"/>
    </row>
    <row r="347" spans="3:3">
      <c r="C347" s="212"/>
    </row>
    <row r="348" spans="3:3">
      <c r="C348" s="212"/>
    </row>
    <row r="349" spans="3:3">
      <c r="C349" s="212"/>
    </row>
    <row r="350" spans="3:3">
      <c r="C350" s="212"/>
    </row>
    <row r="351" spans="3:3">
      <c r="C351" s="212"/>
    </row>
    <row r="352" spans="3:3">
      <c r="C352" s="212"/>
    </row>
    <row r="353" spans="3:3">
      <c r="C353" s="212"/>
    </row>
    <row r="354" spans="3:3">
      <c r="C354" s="212"/>
    </row>
    <row r="355" spans="3:3">
      <c r="C355" s="212"/>
    </row>
    <row r="356" spans="3:3">
      <c r="C356" s="212"/>
    </row>
    <row r="357" spans="3:3">
      <c r="C357" s="212"/>
    </row>
    <row r="358" spans="3:3">
      <c r="C358" s="212"/>
    </row>
    <row r="359" spans="3:3">
      <c r="C359" s="212"/>
    </row>
    <row r="360" spans="3:3">
      <c r="C360" s="212"/>
    </row>
    <row r="361" spans="3:3">
      <c r="C361" s="212"/>
    </row>
    <row r="362" spans="3:3">
      <c r="C362" s="212"/>
    </row>
    <row r="363" spans="3:3">
      <c r="C363" s="212"/>
    </row>
    <row r="364" spans="3:3">
      <c r="C364" s="212"/>
    </row>
    <row r="365" spans="3:3">
      <c r="C365" s="212"/>
    </row>
    <row r="366" spans="3:3">
      <c r="C366" s="212"/>
    </row>
    <row r="367" spans="3:3">
      <c r="C367" s="212"/>
    </row>
    <row r="368" spans="3:3">
      <c r="C368" s="212"/>
    </row>
    <row r="369" spans="3:3">
      <c r="C369" s="212"/>
    </row>
    <row r="370" spans="3:3">
      <c r="C370" s="212"/>
    </row>
    <row r="371" spans="3:3">
      <c r="C371" s="212"/>
    </row>
    <row r="372" spans="3:3">
      <c r="C372" s="212"/>
    </row>
    <row r="373" spans="3:3">
      <c r="C373" s="212"/>
    </row>
    <row r="374" spans="3:3">
      <c r="C374" s="212"/>
    </row>
    <row r="375" spans="3:3">
      <c r="C375" s="212"/>
    </row>
    <row r="376" spans="3:3">
      <c r="C376" s="212"/>
    </row>
    <row r="377" spans="3:3">
      <c r="C377" s="212"/>
    </row>
    <row r="378" spans="3:3">
      <c r="C378" s="212"/>
    </row>
    <row r="379" spans="3:3">
      <c r="C379" s="212"/>
    </row>
    <row r="380" spans="3:3">
      <c r="C380" s="212"/>
    </row>
    <row r="381" spans="3:3">
      <c r="C381" s="212"/>
    </row>
    <row r="382" spans="3:3">
      <c r="C382" s="212"/>
    </row>
    <row r="383" spans="3:3">
      <c r="C383" s="212"/>
    </row>
    <row r="384" spans="3:3">
      <c r="C384" s="212"/>
    </row>
    <row r="385" spans="3:3">
      <c r="C385" s="212"/>
    </row>
    <row r="386" spans="3:3">
      <c r="C386" s="212"/>
    </row>
    <row r="387" spans="3:3">
      <c r="C387" s="212"/>
    </row>
    <row r="388" spans="3:3">
      <c r="C388" s="212"/>
    </row>
    <row r="389" spans="3:3">
      <c r="C389" s="212"/>
    </row>
    <row r="390" spans="3:3">
      <c r="C390" s="212"/>
    </row>
    <row r="391" spans="3:3">
      <c r="C391" s="212"/>
    </row>
    <row r="392" spans="3:3">
      <c r="C392" s="212"/>
    </row>
    <row r="393" spans="3:3">
      <c r="C393" s="212"/>
    </row>
    <row r="394" spans="3:3">
      <c r="C394" s="212"/>
    </row>
    <row r="395" spans="3:3">
      <c r="C395" s="212"/>
    </row>
    <row r="396" spans="3:3">
      <c r="C396" s="212"/>
    </row>
    <row r="397" spans="3:3">
      <c r="C397" s="212"/>
    </row>
    <row r="398" spans="3:3">
      <c r="C398" s="212"/>
    </row>
    <row r="399" spans="3:3">
      <c r="C399" s="212"/>
    </row>
    <row r="400" spans="3:3">
      <c r="C400" s="212"/>
    </row>
    <row r="401" spans="3:3">
      <c r="C401" s="212"/>
    </row>
    <row r="402" spans="3:3">
      <c r="C402" s="212"/>
    </row>
    <row r="403" spans="3:3">
      <c r="C403" s="212"/>
    </row>
    <row r="404" spans="3:3">
      <c r="C404" s="212"/>
    </row>
    <row r="405" spans="3:3">
      <c r="C405" s="212"/>
    </row>
    <row r="406" spans="3:3">
      <c r="C406" s="212"/>
    </row>
    <row r="407" spans="3:3">
      <c r="C407" s="212"/>
    </row>
    <row r="408" spans="3:3">
      <c r="C408" s="212"/>
    </row>
    <row r="409" spans="3:3">
      <c r="C409" s="212"/>
    </row>
    <row r="410" spans="3:3">
      <c r="C410" s="212"/>
    </row>
    <row r="411" spans="3:3">
      <c r="C411" s="212"/>
    </row>
    <row r="412" spans="3:3">
      <c r="C412" s="212"/>
    </row>
    <row r="413" spans="3:3">
      <c r="C413" s="212"/>
    </row>
    <row r="414" spans="3:3">
      <c r="C414" s="212"/>
    </row>
    <row r="415" spans="3:3">
      <c r="C415" s="212"/>
    </row>
    <row r="416" spans="3:3">
      <c r="C416" s="212"/>
    </row>
    <row r="417" spans="3:3">
      <c r="C417" s="212"/>
    </row>
    <row r="418" spans="3:3">
      <c r="C418" s="212"/>
    </row>
    <row r="419" spans="3:3">
      <c r="C419" s="212"/>
    </row>
    <row r="420" spans="3:3">
      <c r="C420" s="212"/>
    </row>
    <row r="421" spans="3:3">
      <c r="C421" s="212"/>
    </row>
    <row r="422" spans="3:3">
      <c r="C422" s="212"/>
    </row>
    <row r="423" spans="3:3">
      <c r="C423" s="212"/>
    </row>
    <row r="424" spans="3:3">
      <c r="C424" s="212"/>
    </row>
    <row r="425" spans="3:3">
      <c r="C425" s="212"/>
    </row>
    <row r="426" spans="3:3">
      <c r="C426" s="212"/>
    </row>
    <row r="427" spans="3:3">
      <c r="C427" s="212"/>
    </row>
    <row r="428" spans="3:3">
      <c r="C428" s="212"/>
    </row>
    <row r="429" spans="3:3">
      <c r="C429" s="212"/>
    </row>
    <row r="430" spans="3:3">
      <c r="C430" s="212"/>
    </row>
    <row r="431" spans="3:3">
      <c r="C431" s="212"/>
    </row>
    <row r="432" spans="3:3">
      <c r="C432" s="212"/>
    </row>
    <row r="433" spans="3:3">
      <c r="C433" s="212"/>
    </row>
    <row r="434" spans="3:3">
      <c r="C434" s="212"/>
    </row>
    <row r="435" spans="3:3">
      <c r="C435" s="212"/>
    </row>
    <row r="436" spans="3:3">
      <c r="C436" s="212"/>
    </row>
    <row r="437" spans="3:3">
      <c r="C437" s="212"/>
    </row>
    <row r="438" spans="3:3">
      <c r="C438" s="212"/>
    </row>
    <row r="439" spans="3:3">
      <c r="C439" s="212"/>
    </row>
    <row r="440" spans="3:3">
      <c r="C440" s="212"/>
    </row>
    <row r="441" spans="3:3">
      <c r="C441" s="212"/>
    </row>
    <row r="442" spans="3:3">
      <c r="C442" s="212"/>
    </row>
    <row r="443" spans="3:3">
      <c r="C443" s="212"/>
    </row>
    <row r="444" spans="3:3">
      <c r="C444" s="212"/>
    </row>
    <row r="445" spans="3:3">
      <c r="C445" s="212"/>
    </row>
    <row r="446" spans="3:3">
      <c r="C446" s="212"/>
    </row>
    <row r="447" spans="3:3">
      <c r="C447" s="212"/>
    </row>
    <row r="448" spans="3:3">
      <c r="C448" s="212"/>
    </row>
    <row r="449" spans="3:3">
      <c r="C449" s="212"/>
    </row>
    <row r="450" spans="3:3">
      <c r="C450" s="212"/>
    </row>
    <row r="451" spans="3:3">
      <c r="C451" s="212"/>
    </row>
    <row r="452" spans="3:3">
      <c r="C452" s="212"/>
    </row>
    <row r="453" spans="3:3">
      <c r="C453" s="212"/>
    </row>
    <row r="454" spans="3:3">
      <c r="C454" s="212"/>
    </row>
    <row r="455" spans="3:3">
      <c r="C455" s="212"/>
    </row>
    <row r="456" spans="3:3">
      <c r="C456" s="212"/>
    </row>
    <row r="457" spans="3:3">
      <c r="C457" s="212"/>
    </row>
    <row r="458" spans="3:3">
      <c r="C458" s="212"/>
    </row>
    <row r="459" spans="3:3">
      <c r="C459" s="212"/>
    </row>
    <row r="460" spans="3:3">
      <c r="C460" s="212"/>
    </row>
    <row r="461" spans="3:3">
      <c r="C461" s="212"/>
    </row>
    <row r="462" spans="3:3">
      <c r="C462" s="212"/>
    </row>
    <row r="463" spans="3:3">
      <c r="C463" s="212"/>
    </row>
    <row r="464" spans="3:3">
      <c r="C464" s="212"/>
    </row>
    <row r="465" spans="3:3">
      <c r="C465" s="212"/>
    </row>
    <row r="466" spans="3:3">
      <c r="C466" s="212"/>
    </row>
    <row r="467" spans="3:3">
      <c r="C467" s="212"/>
    </row>
    <row r="468" spans="3:3">
      <c r="C468" s="212"/>
    </row>
    <row r="469" spans="3:3">
      <c r="C469" s="212"/>
    </row>
    <row r="470" spans="3:3">
      <c r="C470" s="212"/>
    </row>
    <row r="471" spans="3:3">
      <c r="C471" s="212"/>
    </row>
    <row r="472" spans="3:3">
      <c r="C472" s="212"/>
    </row>
    <row r="473" spans="3:3">
      <c r="C473" s="212"/>
    </row>
    <row r="474" spans="3:3">
      <c r="C474" s="212"/>
    </row>
    <row r="475" spans="3:3">
      <c r="C475" s="212"/>
    </row>
    <row r="476" spans="3:3">
      <c r="C476" s="212"/>
    </row>
    <row r="477" spans="3:3">
      <c r="C477" s="212"/>
    </row>
    <row r="478" spans="3:3">
      <c r="C478" s="212"/>
    </row>
    <row r="479" spans="3:3">
      <c r="C479" s="212"/>
    </row>
    <row r="480" spans="3:3">
      <c r="C480" s="212"/>
    </row>
    <row r="481" spans="3:3">
      <c r="C481" s="212"/>
    </row>
    <row r="482" spans="3:3">
      <c r="C482" s="212"/>
    </row>
    <row r="483" spans="3:3">
      <c r="C483" s="212"/>
    </row>
    <row r="484" spans="3:3">
      <c r="C484" s="212"/>
    </row>
    <row r="485" spans="3:3">
      <c r="C485" s="212"/>
    </row>
    <row r="486" spans="3:3">
      <c r="C486" s="212"/>
    </row>
    <row r="487" spans="3:3">
      <c r="C487" s="212"/>
    </row>
    <row r="488" spans="3:3">
      <c r="C488" s="212"/>
    </row>
    <row r="489" spans="3:3">
      <c r="C489" s="212"/>
    </row>
    <row r="490" spans="3:3">
      <c r="C490" s="212"/>
    </row>
    <row r="491" spans="3:3">
      <c r="C491" s="212"/>
    </row>
    <row r="492" spans="3:3">
      <c r="C492" s="212"/>
    </row>
    <row r="493" spans="3:3">
      <c r="C493" s="212"/>
    </row>
    <row r="494" spans="3:3">
      <c r="C494" s="212"/>
    </row>
    <row r="495" spans="3:3">
      <c r="C495" s="212"/>
    </row>
    <row r="496" spans="3:3">
      <c r="C496" s="212"/>
    </row>
    <row r="497" spans="3:3">
      <c r="C497" s="212"/>
    </row>
    <row r="498" spans="3:3">
      <c r="C498" s="212"/>
    </row>
    <row r="499" spans="3:3">
      <c r="C499" s="212"/>
    </row>
    <row r="500" spans="3:3">
      <c r="C500" s="212"/>
    </row>
    <row r="501" spans="3:3">
      <c r="C501" s="212"/>
    </row>
    <row r="502" spans="3:3">
      <c r="C502" s="212"/>
    </row>
    <row r="503" spans="3:3">
      <c r="C503" s="212"/>
    </row>
    <row r="504" spans="3:3">
      <c r="C504" s="212"/>
    </row>
    <row r="505" spans="3:3">
      <c r="C505" s="212"/>
    </row>
    <row r="506" spans="3:3">
      <c r="C506" s="212"/>
    </row>
    <row r="507" spans="3:3">
      <c r="C507" s="212"/>
    </row>
    <row r="508" spans="3:3">
      <c r="C508" s="212"/>
    </row>
    <row r="509" spans="3:3">
      <c r="C509" s="212"/>
    </row>
    <row r="510" spans="3:3">
      <c r="C510" s="212"/>
    </row>
    <row r="511" spans="3:3">
      <c r="C511" s="212"/>
    </row>
    <row r="512" spans="3:3">
      <c r="C512" s="212"/>
    </row>
    <row r="513" spans="3:3">
      <c r="C513" s="212"/>
    </row>
    <row r="514" spans="3:3">
      <c r="C514" s="212"/>
    </row>
    <row r="515" spans="3:3">
      <c r="C515" s="212"/>
    </row>
    <row r="516" spans="3:3">
      <c r="C516" s="212"/>
    </row>
    <row r="517" spans="3:3">
      <c r="C517" s="212"/>
    </row>
    <row r="518" spans="3:3">
      <c r="C518" s="212"/>
    </row>
    <row r="519" spans="3:3">
      <c r="C519" s="212"/>
    </row>
    <row r="520" spans="3:3">
      <c r="C520" s="212"/>
    </row>
    <row r="521" spans="3:3">
      <c r="C521" s="212"/>
    </row>
    <row r="522" spans="3:3">
      <c r="C522" s="212"/>
    </row>
    <row r="523" spans="3:3">
      <c r="C523" s="212"/>
    </row>
    <row r="524" spans="3:3">
      <c r="C524" s="212"/>
    </row>
    <row r="525" spans="3:3">
      <c r="C525" s="212"/>
    </row>
    <row r="526" spans="3:3">
      <c r="C526" s="212"/>
    </row>
    <row r="527" spans="3:3">
      <c r="C527" s="212"/>
    </row>
    <row r="528" spans="3:3">
      <c r="C528" s="212"/>
    </row>
    <row r="529" spans="3:3">
      <c r="C529" s="212"/>
    </row>
    <row r="530" spans="3:3">
      <c r="C530" s="212"/>
    </row>
    <row r="531" spans="3:3">
      <c r="C531" s="212"/>
    </row>
    <row r="532" spans="3:3">
      <c r="C532" s="212"/>
    </row>
    <row r="533" spans="3:3">
      <c r="C533" s="212"/>
    </row>
    <row r="534" spans="3:3">
      <c r="C534" s="212"/>
    </row>
    <row r="535" spans="3:3">
      <c r="C535" s="212"/>
    </row>
    <row r="536" spans="3:3">
      <c r="C536" s="212"/>
    </row>
    <row r="537" spans="3:3">
      <c r="C537" s="212"/>
    </row>
    <row r="538" spans="3:3">
      <c r="C538" s="212"/>
    </row>
    <row r="539" spans="3:3">
      <c r="C539" s="212"/>
    </row>
    <row r="540" spans="3:3">
      <c r="C540" s="212"/>
    </row>
    <row r="541" spans="3:3">
      <c r="C541" s="212"/>
    </row>
    <row r="542" spans="3:3">
      <c r="C542" s="212"/>
    </row>
    <row r="543" spans="3:3">
      <c r="C543" s="212"/>
    </row>
    <row r="544" spans="3:3">
      <c r="C544" s="212"/>
    </row>
    <row r="545" spans="3:3">
      <c r="C545" s="212"/>
    </row>
    <row r="546" spans="3:3">
      <c r="C546" s="212"/>
    </row>
    <row r="547" spans="3:3">
      <c r="C547" s="212"/>
    </row>
    <row r="548" spans="3:3">
      <c r="C548" s="212"/>
    </row>
    <row r="549" spans="3:3">
      <c r="C549" s="212"/>
    </row>
    <row r="550" spans="3:3">
      <c r="C550" s="212"/>
    </row>
    <row r="551" spans="3:3">
      <c r="C551" s="212"/>
    </row>
    <row r="552" spans="3:3">
      <c r="C552" s="212"/>
    </row>
    <row r="553" spans="3:3">
      <c r="C553" s="212"/>
    </row>
    <row r="554" spans="3:3">
      <c r="C554" s="212"/>
    </row>
    <row r="555" spans="3:3">
      <c r="C555" s="212"/>
    </row>
    <row r="556" spans="3:3">
      <c r="C556" s="212"/>
    </row>
    <row r="557" spans="3:3">
      <c r="C557" s="212"/>
    </row>
    <row r="558" spans="3:3">
      <c r="C558" s="212"/>
    </row>
    <row r="559" spans="3:3">
      <c r="C559" s="212"/>
    </row>
    <row r="560" spans="3:3">
      <c r="C560" s="212"/>
    </row>
    <row r="561" spans="3:3">
      <c r="C561" s="212"/>
    </row>
    <row r="562" spans="3:3">
      <c r="C562" s="212"/>
    </row>
    <row r="563" spans="3:3">
      <c r="C563" s="212"/>
    </row>
    <row r="564" spans="3:3">
      <c r="C564" s="212"/>
    </row>
    <row r="565" spans="3:3">
      <c r="C565" s="212"/>
    </row>
    <row r="566" spans="3:3">
      <c r="C566" s="212"/>
    </row>
    <row r="567" spans="3:3">
      <c r="C567" s="212"/>
    </row>
    <row r="568" spans="3:3">
      <c r="C568" s="212"/>
    </row>
    <row r="569" spans="3:3">
      <c r="C569" s="212"/>
    </row>
    <row r="570" spans="3:3">
      <c r="C570" s="212"/>
    </row>
    <row r="571" spans="3:3">
      <c r="C571" s="212"/>
    </row>
    <row r="572" spans="3:3">
      <c r="C572" s="212"/>
    </row>
    <row r="573" spans="3:3">
      <c r="C573" s="212"/>
    </row>
    <row r="574" spans="3:3">
      <c r="C574" s="212"/>
    </row>
    <row r="575" spans="3:3">
      <c r="C575" s="212"/>
    </row>
    <row r="576" spans="3:3">
      <c r="C576" s="212"/>
    </row>
    <row r="577" spans="3:3">
      <c r="C577" s="212"/>
    </row>
    <row r="578" spans="3:3">
      <c r="C578" s="212"/>
    </row>
    <row r="579" spans="3:3">
      <c r="C579" s="212"/>
    </row>
    <row r="580" spans="3:3">
      <c r="C580" s="212"/>
    </row>
    <row r="581" spans="3:3">
      <c r="C581" s="212"/>
    </row>
    <row r="582" spans="3:3">
      <c r="C582" s="212"/>
    </row>
    <row r="583" spans="3:3">
      <c r="C583" s="212"/>
    </row>
    <row r="584" spans="3:3">
      <c r="C584" s="212"/>
    </row>
    <row r="585" spans="3:3">
      <c r="C585" s="212"/>
    </row>
    <row r="586" spans="3:3">
      <c r="C586" s="212"/>
    </row>
    <row r="587" spans="3:3">
      <c r="C587" s="212"/>
    </row>
    <row r="588" spans="3:3">
      <c r="C588" s="212"/>
    </row>
    <row r="589" spans="3:3">
      <c r="C589" s="212"/>
    </row>
    <row r="590" spans="3:3">
      <c r="C590" s="212"/>
    </row>
    <row r="591" spans="3:3">
      <c r="C591" s="212"/>
    </row>
    <row r="592" spans="3:3">
      <c r="C592" s="212"/>
    </row>
    <row r="593" spans="3:3">
      <c r="C593" s="212"/>
    </row>
    <row r="594" spans="3:3">
      <c r="C594" s="212"/>
    </row>
    <row r="595" spans="3:3">
      <c r="C595" s="212"/>
    </row>
    <row r="596" spans="3:3">
      <c r="C596" s="212"/>
    </row>
    <row r="597" spans="3:3">
      <c r="C597" s="212"/>
    </row>
    <row r="598" spans="3:3">
      <c r="C598" s="212"/>
    </row>
    <row r="599" spans="3:3">
      <c r="C599" s="212"/>
    </row>
    <row r="600" spans="3:3">
      <c r="C600" s="212"/>
    </row>
    <row r="601" spans="3:3">
      <c r="C601" s="212"/>
    </row>
    <row r="602" spans="3:3">
      <c r="C602" s="212"/>
    </row>
    <row r="603" spans="3:3">
      <c r="C603" s="212"/>
    </row>
    <row r="604" spans="3:3">
      <c r="C604" s="212"/>
    </row>
    <row r="605" spans="3:3">
      <c r="C605" s="212"/>
    </row>
    <row r="606" spans="3:3">
      <c r="C606" s="212"/>
    </row>
    <row r="607" spans="3:3">
      <c r="C607" s="212"/>
    </row>
    <row r="608" spans="3:3">
      <c r="C608" s="212"/>
    </row>
    <row r="609" spans="3:3">
      <c r="C609" s="212"/>
    </row>
    <row r="610" spans="3:3">
      <c r="C610" s="212"/>
    </row>
    <row r="611" spans="3:3">
      <c r="C611" s="212"/>
    </row>
    <row r="612" spans="3:3">
      <c r="C612" s="212"/>
    </row>
    <row r="613" spans="3:3">
      <c r="C613" s="212"/>
    </row>
    <row r="614" spans="3:3">
      <c r="C614" s="212"/>
    </row>
    <row r="615" spans="3:3">
      <c r="C615" s="212"/>
    </row>
    <row r="616" spans="3:3">
      <c r="C616" s="212"/>
    </row>
    <row r="617" spans="3:3">
      <c r="C617" s="212"/>
    </row>
    <row r="618" spans="3:3">
      <c r="C618" s="212"/>
    </row>
    <row r="619" spans="3:3">
      <c r="C619" s="212"/>
    </row>
    <row r="620" spans="3:3">
      <c r="C620" s="212"/>
    </row>
    <row r="621" spans="3:3">
      <c r="C621" s="212"/>
    </row>
    <row r="622" spans="3:3">
      <c r="C622" s="212"/>
    </row>
    <row r="623" spans="3:3">
      <c r="C623" s="212"/>
    </row>
    <row r="624" spans="3:3">
      <c r="C624" s="212"/>
    </row>
    <row r="625" spans="3:3">
      <c r="C625" s="212"/>
    </row>
    <row r="626" spans="3:3">
      <c r="C626" s="212"/>
    </row>
    <row r="627" spans="3:3">
      <c r="C627" s="212"/>
    </row>
    <row r="628" spans="3:3">
      <c r="C628" s="212"/>
    </row>
    <row r="629" spans="3:3">
      <c r="C629" s="212"/>
    </row>
    <row r="630" spans="3:3">
      <c r="C630" s="212"/>
    </row>
    <row r="631" spans="3:3">
      <c r="C631" s="212"/>
    </row>
    <row r="632" spans="3:3">
      <c r="C632" s="212"/>
    </row>
    <row r="633" spans="3:3">
      <c r="C633" s="212"/>
    </row>
    <row r="634" spans="3:3">
      <c r="C634" s="212"/>
    </row>
    <row r="635" spans="3:3">
      <c r="C635" s="212"/>
    </row>
    <row r="636" spans="3:3">
      <c r="C636" s="212"/>
    </row>
    <row r="637" spans="3:3">
      <c r="C637" s="212"/>
    </row>
    <row r="638" spans="3:3">
      <c r="C638" s="212"/>
    </row>
    <row r="639" spans="3:3">
      <c r="C639" s="212"/>
    </row>
    <row r="640" spans="3:3">
      <c r="C640" s="212"/>
    </row>
    <row r="641" spans="3:3">
      <c r="C641" s="212"/>
    </row>
    <row r="642" spans="3:3">
      <c r="C642" s="212"/>
    </row>
    <row r="643" spans="3:3">
      <c r="C643" s="212"/>
    </row>
    <row r="644" spans="3:3">
      <c r="C644" s="212"/>
    </row>
    <row r="645" spans="3:3">
      <c r="C645" s="212"/>
    </row>
    <row r="646" spans="3:3">
      <c r="C646" s="212"/>
    </row>
    <row r="647" spans="3:3">
      <c r="C647" s="212"/>
    </row>
    <row r="648" spans="3:3">
      <c r="C648" s="212"/>
    </row>
    <row r="649" spans="3:3">
      <c r="C649" s="212"/>
    </row>
    <row r="650" spans="3:3">
      <c r="C650" s="212"/>
    </row>
    <row r="651" spans="3:3">
      <c r="C651" s="212"/>
    </row>
    <row r="652" spans="3:3">
      <c r="C652" s="212"/>
    </row>
    <row r="653" spans="3:3">
      <c r="C653" s="212"/>
    </row>
    <row r="654" spans="3:3">
      <c r="C654" s="212"/>
    </row>
    <row r="655" spans="3:3">
      <c r="C655" s="212"/>
    </row>
    <row r="656" spans="3:3">
      <c r="C656" s="212"/>
    </row>
    <row r="657" spans="3:3">
      <c r="C657" s="212"/>
    </row>
    <row r="658" spans="3:3">
      <c r="C658" s="212"/>
    </row>
    <row r="659" spans="3:3">
      <c r="C659" s="212"/>
    </row>
    <row r="660" spans="3:3">
      <c r="C660" s="212"/>
    </row>
    <row r="661" spans="3:3">
      <c r="C661" s="212"/>
    </row>
    <row r="662" spans="3:3">
      <c r="C662" s="212"/>
    </row>
    <row r="663" spans="3:3">
      <c r="C663" s="212"/>
    </row>
    <row r="664" spans="3:3">
      <c r="C664" s="212"/>
    </row>
    <row r="665" spans="3:3">
      <c r="C665" s="212"/>
    </row>
    <row r="666" spans="3:3">
      <c r="C666" s="212"/>
    </row>
    <row r="667" spans="3:3">
      <c r="C667" s="212"/>
    </row>
    <row r="668" spans="3:3">
      <c r="C668" s="212"/>
    </row>
    <row r="669" spans="3:3">
      <c r="C669" s="212"/>
    </row>
    <row r="670" spans="3:3">
      <c r="C670" s="212"/>
    </row>
    <row r="671" spans="3:3">
      <c r="C671" s="212"/>
    </row>
    <row r="672" spans="3:3">
      <c r="C672" s="212"/>
    </row>
    <row r="673" spans="3:3">
      <c r="C673" s="212"/>
    </row>
    <row r="674" spans="3:3">
      <c r="C674" s="212"/>
    </row>
    <row r="675" spans="3:3">
      <c r="C675" s="212"/>
    </row>
    <row r="676" spans="3:3">
      <c r="C676" s="212"/>
    </row>
    <row r="677" spans="3:3">
      <c r="C677" s="212"/>
    </row>
    <row r="678" spans="3:3">
      <c r="C678" s="212"/>
    </row>
    <row r="679" spans="3:3">
      <c r="C679" s="212"/>
    </row>
    <row r="680" spans="3:3">
      <c r="C680" s="212"/>
    </row>
    <row r="681" spans="3:3">
      <c r="C681" s="212"/>
    </row>
    <row r="682" spans="3:3">
      <c r="C682" s="212"/>
    </row>
    <row r="683" spans="3:3">
      <c r="C683" s="212"/>
    </row>
    <row r="684" spans="3:3">
      <c r="C684" s="212"/>
    </row>
    <row r="685" spans="3:3">
      <c r="C685" s="212"/>
    </row>
    <row r="686" spans="3:3">
      <c r="C686" s="212"/>
    </row>
    <row r="687" spans="3:3">
      <c r="C687" s="212"/>
    </row>
    <row r="688" spans="3:3">
      <c r="C688" s="212"/>
    </row>
    <row r="689" spans="3:3">
      <c r="C689" s="212"/>
    </row>
    <row r="690" spans="3:3">
      <c r="C690" s="212"/>
    </row>
    <row r="691" spans="3:3">
      <c r="C691" s="212"/>
    </row>
    <row r="692" spans="3:3">
      <c r="C692" s="212"/>
    </row>
    <row r="693" spans="3:3">
      <c r="C693" s="212"/>
    </row>
    <row r="694" spans="3:3">
      <c r="C694" s="212"/>
    </row>
    <row r="695" spans="3:3">
      <c r="C695" s="212"/>
    </row>
    <row r="696" spans="3:3">
      <c r="C696" s="212"/>
    </row>
    <row r="697" spans="3:3">
      <c r="C697" s="212"/>
    </row>
    <row r="698" spans="3:3">
      <c r="C698" s="212"/>
    </row>
    <row r="699" spans="3:3">
      <c r="C699" s="212"/>
    </row>
    <row r="700" spans="3:3">
      <c r="C700" s="212"/>
    </row>
    <row r="701" spans="3:3">
      <c r="C701" s="212"/>
    </row>
    <row r="702" spans="3:3">
      <c r="C702" s="212"/>
    </row>
    <row r="703" spans="3:3">
      <c r="C703" s="212"/>
    </row>
    <row r="704" spans="3:3">
      <c r="C704" s="212"/>
    </row>
    <row r="705" spans="3:3">
      <c r="C705" s="212"/>
    </row>
    <row r="706" spans="3:3">
      <c r="C706" s="212"/>
    </row>
    <row r="707" spans="3:3">
      <c r="C707" s="212"/>
    </row>
    <row r="708" spans="3:3">
      <c r="C708" s="212"/>
    </row>
    <row r="709" spans="3:3">
      <c r="C709" s="212"/>
    </row>
    <row r="710" spans="3:3">
      <c r="C710" s="212"/>
    </row>
    <row r="711" spans="3:3">
      <c r="C711" s="212"/>
    </row>
    <row r="712" spans="3:3">
      <c r="C712" s="212"/>
    </row>
    <row r="713" spans="3:3">
      <c r="C713" s="212"/>
    </row>
    <row r="714" spans="3:3">
      <c r="C714" s="212"/>
    </row>
    <row r="715" spans="3:3">
      <c r="C715" s="212"/>
    </row>
    <row r="716" spans="3:3">
      <c r="C716" s="212"/>
    </row>
    <row r="717" spans="3:3">
      <c r="C717" s="212"/>
    </row>
    <row r="718" spans="3:3">
      <c r="C718" s="212"/>
    </row>
    <row r="719" spans="3:3">
      <c r="C719" s="212"/>
    </row>
    <row r="720" spans="3:3">
      <c r="C720" s="212"/>
    </row>
    <row r="721" spans="3:3">
      <c r="C721" s="212"/>
    </row>
    <row r="722" spans="3:3">
      <c r="C722" s="212"/>
    </row>
    <row r="723" spans="3:3">
      <c r="C723" s="212"/>
    </row>
    <row r="724" spans="3:3">
      <c r="C724" s="212"/>
    </row>
    <row r="725" spans="3:3">
      <c r="C725" s="212"/>
    </row>
    <row r="726" spans="3:3">
      <c r="C726" s="212"/>
    </row>
    <row r="727" spans="3:3">
      <c r="C727" s="212"/>
    </row>
    <row r="728" spans="3:3">
      <c r="C728" s="212"/>
    </row>
    <row r="729" spans="3:3">
      <c r="C729" s="212"/>
    </row>
    <row r="730" spans="3:3">
      <c r="C730" s="212"/>
    </row>
    <row r="731" spans="3:3">
      <c r="C731" s="212"/>
    </row>
    <row r="732" spans="3:3">
      <c r="C732" s="212"/>
    </row>
    <row r="733" spans="3:3">
      <c r="C733" s="212"/>
    </row>
    <row r="734" spans="3:3">
      <c r="C734" s="212"/>
    </row>
    <row r="735" spans="3:3">
      <c r="C735" s="212"/>
    </row>
    <row r="736" spans="3:3">
      <c r="C736" s="212"/>
    </row>
    <row r="737" spans="3:3">
      <c r="C737" s="212"/>
    </row>
    <row r="738" spans="3:3">
      <c r="C738" s="212"/>
    </row>
    <row r="739" spans="3:3">
      <c r="C739" s="212"/>
    </row>
    <row r="740" spans="3:3">
      <c r="C740" s="212"/>
    </row>
    <row r="741" spans="3:3">
      <c r="C741" s="212"/>
    </row>
    <row r="742" spans="3:3">
      <c r="C742" s="212"/>
    </row>
    <row r="743" spans="3:3">
      <c r="C743" s="212"/>
    </row>
    <row r="744" spans="3:3">
      <c r="C744" s="212"/>
    </row>
    <row r="745" spans="3:3">
      <c r="C745" s="212"/>
    </row>
    <row r="746" spans="3:3">
      <c r="C746" s="212"/>
    </row>
    <row r="747" spans="3:3">
      <c r="C747" s="212"/>
    </row>
    <row r="748" spans="3:3">
      <c r="C748" s="212"/>
    </row>
    <row r="749" spans="3:3">
      <c r="C749" s="212"/>
    </row>
    <row r="750" spans="3:3">
      <c r="C750" s="212"/>
    </row>
    <row r="751" spans="3:3">
      <c r="C751" s="212"/>
    </row>
    <row r="752" spans="3:3">
      <c r="C752" s="212"/>
    </row>
    <row r="753" spans="3:3">
      <c r="C753" s="212"/>
    </row>
    <row r="754" spans="3:3">
      <c r="C754" s="212"/>
    </row>
    <row r="755" spans="3:3">
      <c r="C755" s="212"/>
    </row>
    <row r="756" spans="3:3">
      <c r="C756" s="212"/>
    </row>
    <row r="757" spans="3:3">
      <c r="C757" s="212"/>
    </row>
    <row r="758" spans="3:3">
      <c r="C758" s="212"/>
    </row>
    <row r="759" spans="3:3">
      <c r="C759" s="212"/>
    </row>
    <row r="760" spans="3:3">
      <c r="C760" s="212"/>
    </row>
    <row r="761" spans="3:3">
      <c r="C761" s="212"/>
    </row>
    <row r="762" spans="3:3">
      <c r="C762" s="212"/>
    </row>
    <row r="763" spans="3:3">
      <c r="C763" s="212"/>
    </row>
    <row r="764" spans="3:3">
      <c r="C764" s="212"/>
    </row>
    <row r="765" spans="3:3">
      <c r="C765" s="212"/>
    </row>
    <row r="766" spans="3:3">
      <c r="C766" s="212"/>
    </row>
    <row r="767" spans="3:3">
      <c r="C767" s="212"/>
    </row>
    <row r="768" spans="3:3">
      <c r="C768" s="212"/>
    </row>
    <row r="769" spans="3:3">
      <c r="C769" s="212"/>
    </row>
    <row r="770" spans="3:3">
      <c r="C770" s="212"/>
    </row>
    <row r="771" spans="3:3">
      <c r="C771" s="212"/>
    </row>
    <row r="772" spans="3:3">
      <c r="C772" s="212"/>
    </row>
    <row r="773" spans="3:3">
      <c r="C773" s="212"/>
    </row>
    <row r="774" spans="3:3">
      <c r="C774" s="212"/>
    </row>
    <row r="775" spans="3:3">
      <c r="C775" s="212"/>
    </row>
    <row r="776" spans="3:3">
      <c r="C776" s="212"/>
    </row>
    <row r="777" spans="3:3">
      <c r="C777" s="212"/>
    </row>
    <row r="778" spans="3:3">
      <c r="C778" s="212"/>
    </row>
    <row r="779" spans="3:3">
      <c r="C779" s="212"/>
    </row>
    <row r="780" spans="3:3">
      <c r="C780" s="212"/>
    </row>
    <row r="781" spans="3:3">
      <c r="C781" s="212"/>
    </row>
    <row r="782" spans="3:3">
      <c r="C782" s="212"/>
    </row>
    <row r="783" spans="3:3">
      <c r="C783" s="212"/>
    </row>
    <row r="784" spans="3:3">
      <c r="C784" s="212"/>
    </row>
    <row r="785" spans="3:3">
      <c r="C785" s="212"/>
    </row>
    <row r="786" spans="3:3">
      <c r="C786" s="212"/>
    </row>
    <row r="787" spans="3:3">
      <c r="C787" s="212"/>
    </row>
    <row r="788" spans="3:3">
      <c r="C788" s="212"/>
    </row>
    <row r="789" spans="3:3">
      <c r="C789" s="212"/>
    </row>
    <row r="790" spans="3:3">
      <c r="C790" s="212"/>
    </row>
    <row r="791" spans="3:3">
      <c r="C791" s="212"/>
    </row>
    <row r="792" spans="3:3">
      <c r="C792" s="212"/>
    </row>
    <row r="793" spans="3:3">
      <c r="C793" s="212"/>
    </row>
    <row r="794" spans="3:3">
      <c r="C794" s="212"/>
    </row>
    <row r="795" spans="3:3">
      <c r="C795" s="212"/>
    </row>
    <row r="796" spans="3:3">
      <c r="C796" s="212"/>
    </row>
    <row r="797" spans="3:3">
      <c r="C797" s="212"/>
    </row>
    <row r="798" spans="3:3">
      <c r="C798" s="212"/>
    </row>
    <row r="799" spans="3:3">
      <c r="C799" s="212"/>
    </row>
    <row r="800" spans="3:3">
      <c r="C800" s="212"/>
    </row>
    <row r="801" spans="3:3">
      <c r="C801" s="212"/>
    </row>
    <row r="802" spans="3:3">
      <c r="C802" s="212"/>
    </row>
    <row r="803" spans="3:3">
      <c r="C803" s="212"/>
    </row>
    <row r="804" spans="3:3">
      <c r="C804" s="212"/>
    </row>
    <row r="805" spans="3:3">
      <c r="C805" s="212"/>
    </row>
    <row r="806" spans="3:3">
      <c r="C806" s="212"/>
    </row>
    <row r="807" spans="3:3">
      <c r="C807" s="212"/>
    </row>
    <row r="808" spans="3:3">
      <c r="C808" s="212"/>
    </row>
    <row r="809" spans="3:3">
      <c r="C809" s="212"/>
    </row>
    <row r="810" spans="3:3">
      <c r="C810" s="212"/>
    </row>
    <row r="811" spans="3:3">
      <c r="C811" s="212"/>
    </row>
    <row r="812" spans="3:3">
      <c r="C812" s="212"/>
    </row>
    <row r="813" spans="3:3">
      <c r="C813" s="212"/>
    </row>
    <row r="814" spans="3:3">
      <c r="C814" s="212"/>
    </row>
    <row r="815" spans="3:3">
      <c r="C815" s="212"/>
    </row>
    <row r="816" spans="3:3">
      <c r="C816" s="212"/>
    </row>
    <row r="817" spans="3:3">
      <c r="C817" s="212"/>
    </row>
    <row r="818" spans="3:3">
      <c r="C818" s="212"/>
    </row>
    <row r="819" spans="3:3">
      <c r="C819" s="212"/>
    </row>
    <row r="820" spans="3:3">
      <c r="C820" s="212"/>
    </row>
    <row r="821" spans="3:3">
      <c r="C821" s="212"/>
    </row>
    <row r="822" spans="3:3">
      <c r="C822" s="212"/>
    </row>
    <row r="823" spans="3:3">
      <c r="C823" s="212"/>
    </row>
    <row r="824" spans="3:3">
      <c r="C824" s="212"/>
    </row>
    <row r="825" spans="3:3">
      <c r="C825" s="212"/>
    </row>
    <row r="826" spans="3:3">
      <c r="C826" s="212"/>
    </row>
    <row r="827" spans="3:3">
      <c r="C827" s="212"/>
    </row>
    <row r="828" spans="3:3">
      <c r="C828" s="212"/>
    </row>
    <row r="829" spans="3:3">
      <c r="C829" s="212"/>
    </row>
    <row r="830" spans="3:3">
      <c r="C830" s="212"/>
    </row>
    <row r="831" spans="3:3">
      <c r="C831" s="212"/>
    </row>
    <row r="832" spans="3:3">
      <c r="C832" s="212"/>
    </row>
    <row r="833" spans="3:3">
      <c r="C833" s="212"/>
    </row>
    <row r="834" spans="3:3">
      <c r="C834" s="212"/>
    </row>
    <row r="835" spans="3:3">
      <c r="C835" s="212"/>
    </row>
    <row r="836" spans="3:3">
      <c r="C836" s="212"/>
    </row>
    <row r="837" spans="3:3">
      <c r="C837" s="212"/>
    </row>
    <row r="838" spans="3:3">
      <c r="C838" s="212"/>
    </row>
    <row r="839" spans="3:3">
      <c r="C839" s="212"/>
    </row>
    <row r="840" spans="3:3">
      <c r="C840" s="212"/>
    </row>
    <row r="841" spans="3:3">
      <c r="C841" s="212"/>
    </row>
    <row r="842" spans="3:3">
      <c r="C842" s="212"/>
    </row>
    <row r="843" spans="3:3">
      <c r="C843" s="212"/>
    </row>
    <row r="844" spans="3:3">
      <c r="C844" s="212"/>
    </row>
    <row r="845" spans="3:3">
      <c r="C845" s="212"/>
    </row>
    <row r="846" spans="3:3">
      <c r="C846" s="212"/>
    </row>
    <row r="847" spans="3:3">
      <c r="C847" s="212"/>
    </row>
    <row r="848" spans="3:3">
      <c r="C848" s="212"/>
    </row>
    <row r="849" spans="3:3">
      <c r="C849" s="212"/>
    </row>
    <row r="850" spans="3:3">
      <c r="C850" s="212"/>
    </row>
    <row r="851" spans="3:3">
      <c r="C851" s="212"/>
    </row>
    <row r="852" spans="3:3">
      <c r="C852" s="212"/>
    </row>
    <row r="853" spans="3:3">
      <c r="C853" s="212"/>
    </row>
    <row r="854" spans="3:3">
      <c r="C854" s="212"/>
    </row>
    <row r="855" spans="3:3">
      <c r="C855" s="212"/>
    </row>
    <row r="856" spans="3:3">
      <c r="C856" s="212"/>
    </row>
    <row r="857" spans="3:3">
      <c r="C857" s="212"/>
    </row>
    <row r="858" spans="3:3">
      <c r="C858" s="212"/>
    </row>
    <row r="859" spans="3:3">
      <c r="C859" s="212"/>
    </row>
    <row r="860" spans="3:3">
      <c r="C860" s="212"/>
    </row>
    <row r="861" spans="3:3">
      <c r="C861" s="212"/>
    </row>
    <row r="862" spans="3:3">
      <c r="C862" s="212"/>
    </row>
    <row r="863" spans="3:3">
      <c r="C863" s="212"/>
    </row>
    <row r="864" spans="3:3">
      <c r="C864" s="212"/>
    </row>
    <row r="865" spans="3:3">
      <c r="C865" s="212"/>
    </row>
    <row r="866" spans="3:3">
      <c r="C866" s="212"/>
    </row>
    <row r="867" spans="3:3">
      <c r="C867" s="212"/>
    </row>
    <row r="868" spans="3:3">
      <c r="C868" s="212"/>
    </row>
    <row r="869" spans="3:3">
      <c r="C869" s="212"/>
    </row>
    <row r="870" spans="3:3">
      <c r="C870" s="212"/>
    </row>
    <row r="871" spans="3:3">
      <c r="C871" s="212"/>
    </row>
    <row r="872" spans="3:3">
      <c r="C872" s="212"/>
    </row>
    <row r="873" spans="3:3">
      <c r="C873" s="212"/>
    </row>
    <row r="874" spans="3:3">
      <c r="C874" s="212"/>
    </row>
    <row r="875" spans="3:3">
      <c r="C875" s="212"/>
    </row>
    <row r="876" spans="3:3">
      <c r="C876" s="212"/>
    </row>
    <row r="877" spans="3:3">
      <c r="C877" s="212"/>
    </row>
    <row r="878" spans="3:3">
      <c r="C878" s="212"/>
    </row>
    <row r="879" spans="3:3">
      <c r="C879" s="212"/>
    </row>
    <row r="880" spans="3:3">
      <c r="C880" s="212"/>
    </row>
    <row r="881" spans="3:3">
      <c r="C881" s="212"/>
    </row>
    <row r="882" spans="3:3">
      <c r="C882" s="212"/>
    </row>
    <row r="883" spans="3:3">
      <c r="C883" s="212"/>
    </row>
    <row r="884" spans="3:3">
      <c r="C884" s="212"/>
    </row>
    <row r="885" spans="3:3">
      <c r="C885" s="212"/>
    </row>
    <row r="886" spans="3:3">
      <c r="C886" s="212"/>
    </row>
    <row r="887" spans="3:3">
      <c r="C887" s="212"/>
    </row>
    <row r="888" spans="3:3">
      <c r="C888" s="212"/>
    </row>
    <row r="889" spans="3:3">
      <c r="C889" s="212"/>
    </row>
    <row r="890" spans="3:3">
      <c r="C890" s="212"/>
    </row>
    <row r="891" spans="3:3">
      <c r="C891" s="212"/>
    </row>
    <row r="892" spans="3:3">
      <c r="C892" s="212"/>
    </row>
    <row r="893" spans="3:3">
      <c r="C893" s="212"/>
    </row>
    <row r="894" spans="3:3">
      <c r="C894" s="212"/>
    </row>
    <row r="895" spans="3:3">
      <c r="C895" s="212"/>
    </row>
    <row r="896" spans="3:3">
      <c r="C896" s="212"/>
    </row>
    <row r="897" spans="3:3">
      <c r="C897" s="212"/>
    </row>
    <row r="898" spans="3:3">
      <c r="C898" s="212"/>
    </row>
    <row r="899" spans="3:3">
      <c r="C899" s="212"/>
    </row>
    <row r="900" spans="3:3">
      <c r="C900" s="212"/>
    </row>
    <row r="901" spans="3:3">
      <c r="C901" s="212"/>
    </row>
    <row r="902" spans="3:3">
      <c r="C902" s="212"/>
    </row>
    <row r="903" spans="3:3">
      <c r="C903" s="212"/>
    </row>
    <row r="904" spans="3:3">
      <c r="C904" s="212"/>
    </row>
    <row r="905" spans="3:3">
      <c r="C905" s="212"/>
    </row>
    <row r="906" spans="3:3">
      <c r="C906" s="212"/>
    </row>
    <row r="907" spans="3:3">
      <c r="C907" s="212"/>
    </row>
    <row r="908" spans="3:3">
      <c r="C908" s="212"/>
    </row>
    <row r="909" spans="3:3">
      <c r="C909" s="212"/>
    </row>
    <row r="910" spans="3:3">
      <c r="C910" s="212"/>
    </row>
    <row r="911" spans="3:3">
      <c r="C911" s="212"/>
    </row>
    <row r="912" spans="3:3">
      <c r="C912" s="212"/>
    </row>
    <row r="913" spans="3:3">
      <c r="C913" s="212"/>
    </row>
    <row r="914" spans="3:3">
      <c r="C914" s="212"/>
    </row>
    <row r="915" spans="3:3">
      <c r="C915" s="212"/>
    </row>
    <row r="916" spans="3:3">
      <c r="C916" s="212"/>
    </row>
    <row r="917" spans="3:3">
      <c r="C917" s="212"/>
    </row>
    <row r="918" spans="3:3">
      <c r="C918" s="212"/>
    </row>
    <row r="919" spans="3:3">
      <c r="C919" s="212"/>
    </row>
    <row r="920" spans="3:3">
      <c r="C920" s="212"/>
    </row>
    <row r="921" spans="3:3">
      <c r="C921" s="212"/>
    </row>
    <row r="922" spans="3:3">
      <c r="C922" s="212"/>
    </row>
    <row r="923" spans="3:3">
      <c r="C923" s="212"/>
    </row>
    <row r="924" spans="3:3">
      <c r="C924" s="212"/>
    </row>
    <row r="925" spans="3:3">
      <c r="C925" s="212"/>
    </row>
    <row r="926" spans="3:3">
      <c r="C926" s="212"/>
    </row>
    <row r="927" spans="3:3">
      <c r="C927" s="212"/>
    </row>
    <row r="928" spans="3:3">
      <c r="C928" s="212"/>
    </row>
    <row r="929" spans="3:3">
      <c r="C929" s="212"/>
    </row>
    <row r="930" spans="3:3">
      <c r="C930" s="212"/>
    </row>
    <row r="931" spans="3:3">
      <c r="C931" s="212"/>
    </row>
    <row r="932" spans="3:3">
      <c r="C932" s="212"/>
    </row>
    <row r="933" spans="3:3">
      <c r="C933" s="212"/>
    </row>
    <row r="934" spans="3:3">
      <c r="C934" s="212"/>
    </row>
    <row r="935" spans="3:3">
      <c r="C935" s="212"/>
    </row>
    <row r="936" spans="3:3">
      <c r="C936" s="212"/>
    </row>
    <row r="937" spans="3:3">
      <c r="C937" s="212"/>
    </row>
    <row r="938" spans="3:3">
      <c r="C938" s="212"/>
    </row>
    <row r="939" spans="3:3">
      <c r="C939" s="212"/>
    </row>
    <row r="940" spans="3:3">
      <c r="C940" s="212"/>
    </row>
    <row r="941" spans="3:3">
      <c r="C941" s="212"/>
    </row>
    <row r="942" spans="3:3">
      <c r="C942" s="212"/>
    </row>
    <row r="943" spans="3:3">
      <c r="C943" s="212"/>
    </row>
    <row r="944" spans="3:3">
      <c r="C944" s="212"/>
    </row>
    <row r="945" spans="3:3">
      <c r="C945" s="212"/>
    </row>
    <row r="946" spans="3:3">
      <c r="C946" s="212"/>
    </row>
    <row r="947" spans="3:3">
      <c r="C947" s="212"/>
    </row>
    <row r="948" spans="3:3">
      <c r="C948" s="212"/>
    </row>
    <row r="949" spans="3:3">
      <c r="C949" s="212"/>
    </row>
    <row r="950" spans="3:3">
      <c r="C950" s="212"/>
    </row>
    <row r="951" spans="3:3">
      <c r="C951" s="212"/>
    </row>
    <row r="952" spans="3:3">
      <c r="C952" s="212"/>
    </row>
    <row r="953" spans="3:3">
      <c r="C953" s="212"/>
    </row>
    <row r="954" spans="3:3">
      <c r="C954" s="212"/>
    </row>
    <row r="955" spans="3:3">
      <c r="C955" s="212"/>
    </row>
    <row r="956" spans="3:3">
      <c r="C956" s="212"/>
    </row>
    <row r="957" spans="3:3">
      <c r="C957" s="212"/>
    </row>
    <row r="958" spans="3:3">
      <c r="C958" s="212"/>
    </row>
    <row r="959" spans="3:3">
      <c r="C959" s="212"/>
    </row>
    <row r="960" spans="3:3">
      <c r="C960" s="212"/>
    </row>
    <row r="961" spans="3:3">
      <c r="C961" s="212"/>
    </row>
    <row r="962" spans="3:3">
      <c r="C962" s="212"/>
    </row>
    <row r="963" spans="3:3">
      <c r="C963" s="212"/>
    </row>
    <row r="964" spans="3:3">
      <c r="C964" s="212"/>
    </row>
    <row r="965" spans="3:3">
      <c r="C965" s="212"/>
    </row>
    <row r="966" spans="3:3">
      <c r="C966" s="212"/>
    </row>
    <row r="967" spans="3:3">
      <c r="C967" s="212"/>
    </row>
    <row r="968" spans="3:3">
      <c r="C968" s="212"/>
    </row>
    <row r="969" spans="3:3">
      <c r="C969" s="212"/>
    </row>
    <row r="970" spans="3:3">
      <c r="C970" s="212"/>
    </row>
    <row r="971" spans="3:3">
      <c r="C971" s="212"/>
    </row>
    <row r="972" spans="3:3">
      <c r="C972" s="212"/>
    </row>
    <row r="973" spans="3:3">
      <c r="C973" s="212"/>
    </row>
    <row r="974" spans="3:3">
      <c r="C974" s="212"/>
    </row>
    <row r="975" spans="3:3">
      <c r="C975" s="212"/>
    </row>
    <row r="976" spans="3:3">
      <c r="C976" s="212"/>
    </row>
    <row r="977" spans="3:3">
      <c r="C977" s="212"/>
    </row>
    <row r="978" spans="3:3">
      <c r="C978" s="212"/>
    </row>
    <row r="979" spans="3:3">
      <c r="C979" s="212"/>
    </row>
    <row r="980" spans="3:3">
      <c r="C980" s="212"/>
    </row>
    <row r="981" spans="3:3">
      <c r="C981" s="212"/>
    </row>
    <row r="982" spans="3:3">
      <c r="C982" s="212"/>
    </row>
    <row r="983" spans="3:3">
      <c r="C983" s="212"/>
    </row>
    <row r="984" spans="3:3">
      <c r="C984" s="212"/>
    </row>
    <row r="985" spans="3:3">
      <c r="C985" s="212"/>
    </row>
    <row r="986" spans="3:3">
      <c r="C986" s="212"/>
    </row>
    <row r="987" spans="3:3">
      <c r="C987" s="212"/>
    </row>
    <row r="988" spans="3:3">
      <c r="C988" s="212"/>
    </row>
    <row r="989" spans="3:3">
      <c r="C989" s="212"/>
    </row>
    <row r="990" spans="3:3">
      <c r="C990" s="212"/>
    </row>
    <row r="991" spans="3:3">
      <c r="C991" s="212"/>
    </row>
    <row r="992" spans="3:3">
      <c r="C992" s="212"/>
    </row>
    <row r="993" spans="3:3">
      <c r="C993" s="212"/>
    </row>
    <row r="994" spans="3:3">
      <c r="C994" s="212"/>
    </row>
    <row r="995" spans="3:3">
      <c r="C995" s="212"/>
    </row>
    <row r="996" spans="3:3">
      <c r="C996" s="212"/>
    </row>
    <row r="997" spans="3:3">
      <c r="C997" s="212"/>
    </row>
    <row r="998" spans="3:3">
      <c r="C998" s="212"/>
    </row>
    <row r="999" spans="3:3">
      <c r="C999" s="212"/>
    </row>
    <row r="1000" spans="3:3">
      <c r="C1000" s="212"/>
    </row>
    <row r="1001" spans="3:3">
      <c r="C1001" s="212"/>
    </row>
    <row r="1002" spans="3:3">
      <c r="C1002" s="212"/>
    </row>
    <row r="1003" spans="3:3">
      <c r="C1003" s="212"/>
    </row>
    <row r="1004" spans="3:3">
      <c r="C1004" s="212"/>
    </row>
    <row r="1005" spans="3:3">
      <c r="C1005" s="212"/>
    </row>
    <row r="1006" spans="3:3">
      <c r="C1006" s="212"/>
    </row>
    <row r="1007" spans="3:3">
      <c r="C1007" s="212"/>
    </row>
    <row r="1008" spans="3:3">
      <c r="C1008" s="212"/>
    </row>
    <row r="1009" spans="3:3">
      <c r="C1009" s="212"/>
    </row>
    <row r="1010" spans="3:3">
      <c r="C1010" s="212"/>
    </row>
    <row r="1011" spans="3:3">
      <c r="C1011" s="212"/>
    </row>
    <row r="1012" spans="3:3">
      <c r="C1012" s="212"/>
    </row>
    <row r="1013" spans="3:3">
      <c r="C1013" s="212"/>
    </row>
    <row r="1014" spans="3:3">
      <c r="C1014" s="212"/>
    </row>
    <row r="1015" spans="3:3">
      <c r="C1015" s="212"/>
    </row>
    <row r="1016" spans="3:3">
      <c r="C1016" s="212"/>
    </row>
    <row r="1017" spans="3:3">
      <c r="C1017" s="212"/>
    </row>
    <row r="1018" spans="3:3">
      <c r="C1018" s="212"/>
    </row>
    <row r="1019" spans="3:3">
      <c r="C1019" s="212"/>
    </row>
    <row r="1020" spans="3:3">
      <c r="C1020" s="212"/>
    </row>
    <row r="1021" spans="3:3">
      <c r="C1021" s="212"/>
    </row>
    <row r="1022" spans="3:3">
      <c r="C1022" s="212"/>
    </row>
    <row r="1023" spans="3:3">
      <c r="C1023" s="212"/>
    </row>
    <row r="1024" spans="3:3">
      <c r="C1024" s="212"/>
    </row>
    <row r="1025" spans="3:3">
      <c r="C1025" s="212"/>
    </row>
    <row r="1026" spans="3:3">
      <c r="C1026" s="212"/>
    </row>
    <row r="1027" spans="3:3">
      <c r="C1027" s="212"/>
    </row>
    <row r="1028" spans="3:3">
      <c r="C1028" s="212"/>
    </row>
    <row r="1029" spans="3:3">
      <c r="C1029" s="212"/>
    </row>
    <row r="1030" spans="3:3">
      <c r="C1030" s="212"/>
    </row>
    <row r="1031" spans="3:3">
      <c r="C1031" s="212"/>
    </row>
    <row r="1032" spans="3:3">
      <c r="C1032" s="212"/>
    </row>
    <row r="1033" spans="3:3">
      <c r="C1033" s="212"/>
    </row>
    <row r="1034" spans="3:3">
      <c r="C1034" s="212"/>
    </row>
    <row r="1035" spans="3:3">
      <c r="C1035" s="212"/>
    </row>
    <row r="1036" spans="3:3">
      <c r="C1036" s="212"/>
    </row>
    <row r="1037" spans="3:3">
      <c r="C1037" s="212"/>
    </row>
    <row r="1038" spans="3:3">
      <c r="C1038" s="212"/>
    </row>
    <row r="1039" spans="3:3">
      <c r="C1039" s="212"/>
    </row>
    <row r="1040" spans="3:3">
      <c r="C1040" s="212"/>
    </row>
    <row r="1041" spans="3:3">
      <c r="C1041" s="212"/>
    </row>
    <row r="1042" spans="3:3">
      <c r="C1042" s="212"/>
    </row>
    <row r="1043" spans="3:3">
      <c r="C1043" s="212"/>
    </row>
    <row r="1044" spans="3:3">
      <c r="C1044" s="212"/>
    </row>
    <row r="1045" spans="3:3">
      <c r="C1045" s="212"/>
    </row>
    <row r="1046" spans="3:3">
      <c r="C1046" s="212"/>
    </row>
    <row r="1047" spans="3:3">
      <c r="C1047" s="212"/>
    </row>
    <row r="1048" spans="3:3">
      <c r="C1048" s="212"/>
    </row>
    <row r="1049" spans="3:3">
      <c r="C1049" s="212"/>
    </row>
    <row r="1050" spans="3:3">
      <c r="C1050" s="212"/>
    </row>
    <row r="1051" spans="3:3">
      <c r="C1051" s="212"/>
    </row>
    <row r="1052" spans="3:3">
      <c r="C1052" s="212"/>
    </row>
    <row r="1053" spans="3:3">
      <c r="C1053" s="212"/>
    </row>
    <row r="1054" spans="3:3">
      <c r="C1054" s="212"/>
    </row>
    <row r="1055" spans="3:3">
      <c r="C1055" s="212"/>
    </row>
    <row r="1056" spans="3:3">
      <c r="C1056" s="212"/>
    </row>
    <row r="1057" spans="3:3">
      <c r="C1057" s="212"/>
    </row>
    <row r="1058" spans="3:3">
      <c r="C1058" s="212"/>
    </row>
    <row r="1059" spans="3:3">
      <c r="C1059" s="212"/>
    </row>
    <row r="1060" spans="3:3">
      <c r="C1060" s="212"/>
    </row>
    <row r="1061" spans="3:3">
      <c r="C1061" s="212"/>
    </row>
    <row r="1062" spans="3:3">
      <c r="C1062" s="212"/>
    </row>
    <row r="1063" spans="3:3">
      <c r="C1063" s="212"/>
    </row>
    <row r="1064" spans="3:3">
      <c r="C1064" s="212"/>
    </row>
    <row r="1065" spans="3:3">
      <c r="C1065" s="212"/>
    </row>
    <row r="1066" spans="3:3">
      <c r="C1066" s="212"/>
    </row>
    <row r="1067" spans="3:3">
      <c r="C1067" s="212"/>
    </row>
    <row r="1068" spans="3:3">
      <c r="C1068" s="212"/>
    </row>
    <row r="1069" spans="3:3">
      <c r="C1069" s="212"/>
    </row>
    <row r="1070" spans="3:3">
      <c r="C1070" s="212"/>
    </row>
    <row r="1071" spans="3:3">
      <c r="C1071" s="212"/>
    </row>
    <row r="1072" spans="3:3">
      <c r="C1072" s="212"/>
    </row>
    <row r="1073" spans="3:3">
      <c r="C1073" s="212"/>
    </row>
    <row r="1074" spans="3:3">
      <c r="C1074" s="212"/>
    </row>
    <row r="1075" spans="3:3">
      <c r="C1075" s="212"/>
    </row>
    <row r="1076" spans="3:3">
      <c r="C1076" s="212"/>
    </row>
    <row r="1077" spans="3:3">
      <c r="C1077" s="212"/>
    </row>
    <row r="1078" spans="3:3">
      <c r="C1078" s="212"/>
    </row>
    <row r="1079" spans="3:3">
      <c r="C1079" s="212"/>
    </row>
    <row r="1080" spans="3:3">
      <c r="C1080" s="212"/>
    </row>
    <row r="1081" spans="3:3">
      <c r="C1081" s="212"/>
    </row>
    <row r="1082" spans="3:3">
      <c r="C1082" s="212"/>
    </row>
    <row r="1083" spans="3:3">
      <c r="C1083" s="212"/>
    </row>
    <row r="1084" spans="3:3">
      <c r="C1084" s="212"/>
    </row>
    <row r="1085" spans="3:3">
      <c r="C1085" s="212"/>
    </row>
    <row r="1086" spans="3:3">
      <c r="C1086" s="212"/>
    </row>
    <row r="1087" spans="3:3">
      <c r="C1087" s="212"/>
    </row>
    <row r="1088" spans="3:3">
      <c r="C1088" s="212"/>
    </row>
    <row r="1089" spans="3:3">
      <c r="C1089" s="212"/>
    </row>
    <row r="1090" spans="3:3">
      <c r="C1090" s="212"/>
    </row>
    <row r="1091" spans="3:3">
      <c r="C1091" s="212"/>
    </row>
    <row r="1092" spans="3:3">
      <c r="C1092" s="212"/>
    </row>
    <row r="1093" spans="3:3">
      <c r="C1093" s="212"/>
    </row>
    <row r="1094" spans="3:3">
      <c r="C1094" s="212"/>
    </row>
    <row r="1095" spans="3:3">
      <c r="C1095" s="212"/>
    </row>
    <row r="1096" spans="3:3">
      <c r="C1096" s="212"/>
    </row>
    <row r="1097" spans="3:3">
      <c r="C1097" s="212"/>
    </row>
    <row r="1098" spans="3:3">
      <c r="C1098" s="212"/>
    </row>
    <row r="1099" spans="3:3">
      <c r="C1099" s="212"/>
    </row>
    <row r="1100" spans="3:3">
      <c r="C1100" s="212"/>
    </row>
    <row r="1101" spans="3:3">
      <c r="C1101" s="212"/>
    </row>
    <row r="1102" spans="3:3">
      <c r="C1102" s="212"/>
    </row>
    <row r="1103" spans="3:3">
      <c r="C1103" s="212"/>
    </row>
    <row r="1104" spans="3:3">
      <c r="C1104" s="212"/>
    </row>
    <row r="1105" spans="3:3">
      <c r="C1105" s="212"/>
    </row>
    <row r="1106" spans="3:3">
      <c r="C1106" s="212"/>
    </row>
    <row r="1107" spans="3:3">
      <c r="C1107" s="212"/>
    </row>
    <row r="1108" spans="3:3">
      <c r="C1108" s="212"/>
    </row>
    <row r="1109" spans="3:3">
      <c r="C1109" s="212"/>
    </row>
    <row r="1110" spans="3:3">
      <c r="C1110" s="212"/>
    </row>
    <row r="1111" spans="3:3">
      <c r="C1111" s="212"/>
    </row>
    <row r="1112" spans="3:3">
      <c r="C1112" s="212"/>
    </row>
    <row r="1113" spans="3:3">
      <c r="C1113" s="212"/>
    </row>
    <row r="1114" spans="3:3">
      <c r="C1114" s="212"/>
    </row>
    <row r="1115" spans="3:3">
      <c r="C1115" s="212"/>
    </row>
    <row r="1116" spans="3:3">
      <c r="C1116" s="212"/>
    </row>
    <row r="1117" spans="3:3">
      <c r="C1117" s="212"/>
    </row>
    <row r="1118" spans="3:3">
      <c r="C1118" s="212"/>
    </row>
    <row r="1119" spans="3:3">
      <c r="C1119" s="212"/>
    </row>
    <row r="1120" spans="3:3">
      <c r="C1120" s="212"/>
    </row>
    <row r="1121" spans="3:3">
      <c r="C1121" s="212"/>
    </row>
    <row r="1122" spans="3:3">
      <c r="C1122" s="212"/>
    </row>
    <row r="1123" spans="3:3">
      <c r="C1123" s="212"/>
    </row>
    <row r="1124" spans="3:3">
      <c r="C1124" s="212"/>
    </row>
    <row r="1125" spans="3:3">
      <c r="C1125" s="212"/>
    </row>
    <row r="1126" spans="3:3">
      <c r="C1126" s="212"/>
    </row>
    <row r="1127" spans="3:3">
      <c r="C1127" s="212"/>
    </row>
    <row r="1128" spans="3:3">
      <c r="C1128" s="212"/>
    </row>
    <row r="1129" spans="3:3">
      <c r="C1129" s="212"/>
    </row>
    <row r="1130" spans="3:3">
      <c r="C1130" s="212"/>
    </row>
    <row r="1131" spans="3:3">
      <c r="C1131" s="212"/>
    </row>
    <row r="1132" spans="3:3">
      <c r="C1132" s="212"/>
    </row>
    <row r="1133" spans="3:3">
      <c r="C1133" s="212"/>
    </row>
    <row r="1134" spans="3:3">
      <c r="C1134" s="212"/>
    </row>
    <row r="1135" spans="3:3">
      <c r="C1135" s="212"/>
    </row>
    <row r="1136" spans="3:3">
      <c r="C1136" s="212"/>
    </row>
    <row r="1137" spans="3:3">
      <c r="C1137" s="212"/>
    </row>
    <row r="1138" spans="3:3">
      <c r="C1138" s="212"/>
    </row>
    <row r="1139" spans="3:3">
      <c r="C1139" s="212"/>
    </row>
    <row r="1140" spans="3:3">
      <c r="C1140" s="212"/>
    </row>
    <row r="1141" spans="3:3">
      <c r="C1141" s="212"/>
    </row>
    <row r="1142" spans="3:3">
      <c r="C1142" s="212"/>
    </row>
    <row r="1143" spans="3:3">
      <c r="C1143" s="212"/>
    </row>
    <row r="1144" spans="3:3">
      <c r="C1144" s="212"/>
    </row>
    <row r="1145" spans="3:3">
      <c r="C1145" s="212"/>
    </row>
    <row r="1146" spans="3:3">
      <c r="C1146" s="212"/>
    </row>
    <row r="1147" spans="3:3">
      <c r="C1147" s="212"/>
    </row>
    <row r="1148" spans="3:3">
      <c r="C1148" s="212"/>
    </row>
    <row r="1149" spans="3:3">
      <c r="C1149" s="212"/>
    </row>
    <row r="1150" spans="3:3">
      <c r="C1150" s="212"/>
    </row>
    <row r="1151" spans="3:3">
      <c r="C1151" s="212"/>
    </row>
    <row r="1152" spans="3:3">
      <c r="C1152" s="212"/>
    </row>
    <row r="1153" spans="3:3">
      <c r="C1153" s="212"/>
    </row>
    <row r="1154" spans="3:3">
      <c r="C1154" s="212"/>
    </row>
    <row r="1155" spans="3:3">
      <c r="C1155" s="212"/>
    </row>
    <row r="1156" spans="3:3">
      <c r="C1156" s="212"/>
    </row>
    <row r="1157" spans="3:3">
      <c r="C1157" s="212"/>
    </row>
    <row r="1158" spans="3:3">
      <c r="C1158" s="212"/>
    </row>
    <row r="1159" spans="3:3">
      <c r="C1159" s="212"/>
    </row>
    <row r="1160" spans="3:3">
      <c r="C1160" s="212"/>
    </row>
    <row r="1161" spans="3:3">
      <c r="C1161" s="212"/>
    </row>
    <row r="1162" spans="3:3">
      <c r="C1162" s="212"/>
    </row>
    <row r="1163" spans="3:3">
      <c r="C1163" s="212"/>
    </row>
    <row r="1164" spans="3:3">
      <c r="C1164" s="212"/>
    </row>
    <row r="1165" spans="3:3">
      <c r="C1165" s="212"/>
    </row>
    <row r="1166" spans="3:3">
      <c r="C1166" s="212"/>
    </row>
    <row r="1167" spans="3:3">
      <c r="C1167" s="212"/>
    </row>
    <row r="1168" spans="3:3">
      <c r="C1168" s="212"/>
    </row>
    <row r="1169" spans="3:3">
      <c r="C1169" s="212"/>
    </row>
    <row r="1170" spans="3:3">
      <c r="C1170" s="212"/>
    </row>
    <row r="1171" spans="3:3">
      <c r="C1171" s="212"/>
    </row>
    <row r="1172" spans="3:3">
      <c r="C1172" s="212"/>
    </row>
    <row r="1173" spans="3:3">
      <c r="C1173" s="212"/>
    </row>
    <row r="1174" spans="3:3">
      <c r="C1174" s="212"/>
    </row>
    <row r="1175" spans="3:3">
      <c r="C1175" s="212"/>
    </row>
    <row r="1176" spans="3:3">
      <c r="C1176" s="212"/>
    </row>
    <row r="1177" spans="3:3">
      <c r="C1177" s="212"/>
    </row>
    <row r="1178" spans="3:3">
      <c r="C1178" s="212"/>
    </row>
    <row r="1179" spans="3:3">
      <c r="C1179" s="212"/>
    </row>
    <row r="1180" spans="3:3">
      <c r="C1180" s="212"/>
    </row>
    <row r="1181" spans="3:3">
      <c r="C1181" s="212"/>
    </row>
    <row r="1182" spans="3:3">
      <c r="C1182" s="212"/>
    </row>
    <row r="1183" spans="3:3">
      <c r="C1183" s="212"/>
    </row>
    <row r="1184" spans="3:3">
      <c r="C1184" s="212"/>
    </row>
    <row r="1185" spans="3:3">
      <c r="C1185" s="212"/>
    </row>
    <row r="1186" spans="3:3">
      <c r="C1186" s="212"/>
    </row>
    <row r="1187" spans="3:3">
      <c r="C1187" s="212"/>
    </row>
    <row r="1188" spans="3:3">
      <c r="C1188" s="212"/>
    </row>
    <row r="1189" spans="3:3">
      <c r="C1189" s="212"/>
    </row>
    <row r="1190" spans="3:3">
      <c r="C1190" s="212"/>
    </row>
    <row r="1191" spans="3:3">
      <c r="C1191" s="212"/>
    </row>
    <row r="1192" spans="3:3">
      <c r="C1192" s="212"/>
    </row>
    <row r="1193" spans="3:3">
      <c r="C1193" s="212"/>
    </row>
    <row r="1194" spans="3:3">
      <c r="C1194" s="212"/>
    </row>
    <row r="1195" spans="3:3">
      <c r="C1195" s="212"/>
    </row>
    <row r="1196" spans="3:3">
      <c r="C1196" s="212"/>
    </row>
    <row r="1197" spans="3:3">
      <c r="C1197" s="212"/>
    </row>
    <row r="1198" spans="3:3">
      <c r="C1198" s="212"/>
    </row>
    <row r="1199" spans="3:3">
      <c r="C1199" s="212"/>
    </row>
    <row r="1200" spans="3:3">
      <c r="C1200" s="212"/>
    </row>
    <row r="1201" spans="3:3">
      <c r="C1201" s="212"/>
    </row>
    <row r="1202" spans="3:3">
      <c r="C1202" s="212"/>
    </row>
    <row r="1203" spans="3:3">
      <c r="C1203" s="212"/>
    </row>
    <row r="1204" spans="3:3">
      <c r="C1204" s="212"/>
    </row>
    <row r="1205" spans="3:3">
      <c r="C1205" s="212"/>
    </row>
    <row r="1206" spans="3:3">
      <c r="C1206" s="212"/>
    </row>
    <row r="1207" spans="3:3">
      <c r="C1207" s="212"/>
    </row>
    <row r="1208" spans="3:3">
      <c r="C1208" s="212"/>
    </row>
    <row r="1209" spans="3:3">
      <c r="C1209" s="212"/>
    </row>
    <row r="1210" spans="3:3">
      <c r="C1210" s="212"/>
    </row>
    <row r="1211" spans="3:3">
      <c r="C1211" s="212"/>
    </row>
    <row r="1212" spans="3:3">
      <c r="C1212" s="212"/>
    </row>
    <row r="1213" spans="3:3">
      <c r="C1213" s="212"/>
    </row>
    <row r="1214" spans="3:3">
      <c r="C1214" s="212"/>
    </row>
    <row r="1215" spans="3:3">
      <c r="C1215" s="212"/>
    </row>
    <row r="1216" spans="3:3">
      <c r="C1216" s="212"/>
    </row>
    <row r="1217" spans="3:3">
      <c r="C1217" s="212"/>
    </row>
    <row r="1218" spans="3:3">
      <c r="C1218" s="212"/>
    </row>
    <row r="1219" spans="3:3">
      <c r="C1219" s="212"/>
    </row>
    <row r="1220" spans="3:3">
      <c r="C1220" s="212"/>
    </row>
    <row r="1221" spans="3:3">
      <c r="C1221" s="212"/>
    </row>
    <row r="1222" spans="3:3">
      <c r="C1222" s="212"/>
    </row>
    <row r="1223" spans="3:3">
      <c r="C1223" s="212"/>
    </row>
    <row r="1224" spans="3:3">
      <c r="C1224" s="212"/>
    </row>
    <row r="1225" spans="3:3">
      <c r="C1225" s="212"/>
    </row>
    <row r="1226" spans="3:3">
      <c r="C1226" s="212"/>
    </row>
    <row r="1227" spans="3:3">
      <c r="C1227" s="212"/>
    </row>
    <row r="1228" spans="3:3">
      <c r="C1228" s="212"/>
    </row>
    <row r="1229" spans="3:3">
      <c r="C1229" s="212"/>
    </row>
    <row r="1230" spans="3:3">
      <c r="C1230" s="212"/>
    </row>
    <row r="1231" spans="3:3">
      <c r="C1231" s="212"/>
    </row>
    <row r="1232" spans="3:3">
      <c r="C1232" s="212"/>
    </row>
    <row r="1233" spans="3:3">
      <c r="C1233" s="212"/>
    </row>
    <row r="1234" spans="3:3">
      <c r="C1234" s="212"/>
    </row>
    <row r="1235" spans="3:3">
      <c r="C1235" s="212"/>
    </row>
    <row r="1236" spans="3:3">
      <c r="C1236" s="212"/>
    </row>
    <row r="1237" spans="3:3">
      <c r="C1237" s="212"/>
    </row>
    <row r="1238" spans="3:3">
      <c r="C1238" s="212"/>
    </row>
    <row r="1239" spans="3:3">
      <c r="C1239" s="212"/>
    </row>
    <row r="1240" spans="3:3">
      <c r="C1240" s="212"/>
    </row>
    <row r="1241" spans="3:3">
      <c r="C1241" s="212"/>
    </row>
    <row r="1242" spans="3:3">
      <c r="C1242" s="212"/>
    </row>
    <row r="1243" spans="3:3">
      <c r="C1243" s="212"/>
    </row>
    <row r="1244" spans="3:3">
      <c r="C1244" s="212"/>
    </row>
    <row r="1245" spans="3:3">
      <c r="C1245" s="212"/>
    </row>
    <row r="1246" spans="3:3">
      <c r="C1246" s="212"/>
    </row>
    <row r="1247" spans="3:3">
      <c r="C1247" s="212"/>
    </row>
    <row r="1248" spans="3:3">
      <c r="C1248" s="212"/>
    </row>
    <row r="1249" spans="3:3">
      <c r="C1249" s="212"/>
    </row>
    <row r="1250" spans="3:3">
      <c r="C1250" s="212"/>
    </row>
    <row r="1251" spans="3:3">
      <c r="C1251" s="212"/>
    </row>
    <row r="1252" spans="3:3">
      <c r="C1252" s="212"/>
    </row>
    <row r="1253" spans="3:3">
      <c r="C1253" s="212"/>
    </row>
    <row r="1254" spans="3:3">
      <c r="C1254" s="212"/>
    </row>
    <row r="1255" spans="3:3">
      <c r="C1255" s="212"/>
    </row>
    <row r="1256" spans="3:3">
      <c r="C1256" s="212"/>
    </row>
    <row r="1257" spans="3:3">
      <c r="C1257" s="212"/>
    </row>
    <row r="1258" spans="3:3">
      <c r="C1258" s="212"/>
    </row>
    <row r="1259" spans="3:3">
      <c r="C1259" s="212"/>
    </row>
    <row r="1260" spans="3:3">
      <c r="C1260" s="212"/>
    </row>
    <row r="1261" spans="3:3">
      <c r="C1261" s="212"/>
    </row>
    <row r="1262" spans="3:3">
      <c r="C1262" s="212"/>
    </row>
    <row r="1263" spans="3:3">
      <c r="C1263" s="212"/>
    </row>
    <row r="1264" spans="3:3">
      <c r="C1264" s="212"/>
    </row>
    <row r="1265" spans="3:3">
      <c r="C1265" s="212"/>
    </row>
    <row r="1266" spans="3:3">
      <c r="C1266" s="212"/>
    </row>
    <row r="1267" spans="3:3">
      <c r="C1267" s="212"/>
    </row>
    <row r="1268" spans="3:3">
      <c r="C1268" s="212"/>
    </row>
    <row r="1269" spans="3:3">
      <c r="C1269" s="212"/>
    </row>
    <row r="1270" spans="3:3">
      <c r="C1270" s="212"/>
    </row>
    <row r="1271" spans="3:3">
      <c r="C1271" s="212"/>
    </row>
    <row r="1272" spans="3:3">
      <c r="C1272" s="212"/>
    </row>
    <row r="1273" spans="3:3">
      <c r="C1273" s="212"/>
    </row>
    <row r="1274" spans="3:3">
      <c r="C1274" s="212"/>
    </row>
    <row r="1275" spans="3:3">
      <c r="C1275" s="212"/>
    </row>
    <row r="1276" spans="3:3">
      <c r="C1276" s="212"/>
    </row>
    <row r="1277" spans="3:3">
      <c r="C1277" s="212"/>
    </row>
    <row r="1278" spans="3:3">
      <c r="C1278" s="212"/>
    </row>
    <row r="1279" spans="3:3">
      <c r="C1279" s="212"/>
    </row>
    <row r="1280" spans="3:3">
      <c r="C1280" s="212"/>
    </row>
    <row r="1281" spans="3:3">
      <c r="C1281" s="212"/>
    </row>
    <row r="1282" spans="3:3">
      <c r="C1282" s="212"/>
    </row>
    <row r="1283" spans="3:3">
      <c r="C1283" s="212"/>
    </row>
    <row r="1284" spans="3:3">
      <c r="C1284" s="212"/>
    </row>
    <row r="1285" spans="3:3">
      <c r="C1285" s="212"/>
    </row>
    <row r="1286" spans="3:3">
      <c r="C1286" s="212"/>
    </row>
    <row r="1287" spans="3:3">
      <c r="C1287" s="212"/>
    </row>
    <row r="1288" spans="3:3">
      <c r="C1288" s="212"/>
    </row>
    <row r="1289" spans="3:3">
      <c r="C1289" s="212"/>
    </row>
    <row r="1290" spans="3:3">
      <c r="C1290" s="212"/>
    </row>
    <row r="1291" spans="3:3">
      <c r="C1291" s="212"/>
    </row>
    <row r="1292" spans="3:3">
      <c r="C1292" s="212"/>
    </row>
    <row r="1293" spans="3:3">
      <c r="C1293" s="212"/>
    </row>
    <row r="1294" spans="3:3">
      <c r="C1294" s="212"/>
    </row>
    <row r="1295" spans="3:3">
      <c r="C1295" s="212"/>
    </row>
    <row r="1296" spans="3:3">
      <c r="C1296" s="212"/>
    </row>
    <row r="1297" spans="3:3">
      <c r="C1297" s="212"/>
    </row>
    <row r="1298" spans="3:3">
      <c r="C1298" s="212"/>
    </row>
    <row r="1299" spans="3:3">
      <c r="C1299" s="212"/>
    </row>
    <row r="1300" spans="3:3">
      <c r="C1300" s="212"/>
    </row>
    <row r="1301" spans="3:3">
      <c r="C1301" s="212"/>
    </row>
    <row r="1302" spans="3:3">
      <c r="C1302" s="212"/>
    </row>
    <row r="1303" spans="3:3">
      <c r="C1303" s="212"/>
    </row>
    <row r="1304" spans="3:3">
      <c r="C1304" s="212"/>
    </row>
    <row r="1305" spans="3:3">
      <c r="C1305" s="212"/>
    </row>
    <row r="1306" spans="3:3">
      <c r="C1306" s="212"/>
    </row>
    <row r="1307" spans="3:3">
      <c r="C1307" s="212"/>
    </row>
    <row r="1308" spans="3:3">
      <c r="C1308" s="212"/>
    </row>
    <row r="1309" spans="3:3">
      <c r="C1309" s="212"/>
    </row>
    <row r="1310" spans="3:3">
      <c r="C1310" s="212"/>
    </row>
    <row r="1311" spans="3:3">
      <c r="C1311" s="212"/>
    </row>
    <row r="1312" spans="3:3">
      <c r="C1312" s="212"/>
    </row>
    <row r="1313" spans="3:3">
      <c r="C1313" s="212"/>
    </row>
    <row r="1314" spans="3:3">
      <c r="C1314" s="212"/>
    </row>
    <row r="1315" spans="3:3">
      <c r="C1315" s="212"/>
    </row>
    <row r="1316" spans="3:3">
      <c r="C1316" s="212"/>
    </row>
    <row r="1317" spans="3:3">
      <c r="C1317" s="212"/>
    </row>
    <row r="1318" spans="3:3">
      <c r="C1318" s="212"/>
    </row>
    <row r="1319" spans="3:3">
      <c r="C1319" s="212"/>
    </row>
    <row r="1320" spans="3:3">
      <c r="C1320" s="212"/>
    </row>
    <row r="1321" spans="3:3">
      <c r="C1321" s="212"/>
    </row>
    <row r="1322" spans="3:3">
      <c r="C1322" s="212"/>
    </row>
    <row r="1323" spans="3:3">
      <c r="C1323" s="212"/>
    </row>
    <row r="1324" spans="3:3">
      <c r="C1324" s="212"/>
    </row>
    <row r="1325" spans="3:3">
      <c r="C1325" s="212"/>
    </row>
    <row r="1326" spans="3:3">
      <c r="C1326" s="212"/>
    </row>
    <row r="1327" spans="3:3">
      <c r="C1327" s="212"/>
    </row>
    <row r="1328" spans="3:3">
      <c r="C1328" s="212"/>
    </row>
    <row r="1329" spans="3:3">
      <c r="C1329" s="212"/>
    </row>
    <row r="1330" spans="3:3">
      <c r="C1330" s="212"/>
    </row>
    <row r="1331" spans="3:3">
      <c r="C1331" s="212"/>
    </row>
    <row r="1332" spans="3:3">
      <c r="C1332" s="212"/>
    </row>
    <row r="1333" spans="3:3">
      <c r="C1333" s="212"/>
    </row>
    <row r="1334" spans="3:3">
      <c r="C1334" s="212"/>
    </row>
    <row r="1335" spans="3:3">
      <c r="C1335" s="212"/>
    </row>
    <row r="1336" spans="3:3">
      <c r="C1336" s="212"/>
    </row>
    <row r="1337" spans="3:3">
      <c r="C1337" s="212"/>
    </row>
    <row r="1338" spans="3:3">
      <c r="C1338" s="212"/>
    </row>
    <row r="1339" spans="3:3">
      <c r="C1339" s="212"/>
    </row>
    <row r="1340" spans="3:3">
      <c r="C1340" s="212"/>
    </row>
    <row r="1341" spans="3:3">
      <c r="C1341" s="212"/>
    </row>
    <row r="1342" spans="3:3">
      <c r="C1342" s="212"/>
    </row>
    <row r="1343" spans="3:3">
      <c r="C1343" s="212"/>
    </row>
    <row r="1344" spans="3:3">
      <c r="C1344" s="212"/>
    </row>
    <row r="1345" spans="3:3">
      <c r="C1345" s="212"/>
    </row>
    <row r="1346" spans="3:3">
      <c r="C1346" s="212"/>
    </row>
    <row r="1347" spans="3:3">
      <c r="C1347" s="212"/>
    </row>
    <row r="1348" spans="3:3">
      <c r="C1348" s="212"/>
    </row>
    <row r="1349" spans="3:3">
      <c r="C1349" s="212"/>
    </row>
    <row r="1350" spans="3:3">
      <c r="C1350" s="212"/>
    </row>
    <row r="1351" spans="3:3">
      <c r="C1351" s="212"/>
    </row>
    <row r="1352" spans="3:3">
      <c r="C1352" s="212"/>
    </row>
    <row r="1353" spans="3:3">
      <c r="C1353" s="212"/>
    </row>
    <row r="1354" spans="3:3">
      <c r="C1354" s="212"/>
    </row>
    <row r="1355" spans="3:3">
      <c r="C1355" s="212"/>
    </row>
    <row r="1356" spans="3:3">
      <c r="C1356" s="212"/>
    </row>
    <row r="1357" spans="3:3">
      <c r="C1357" s="212"/>
    </row>
    <row r="1358" spans="3:3">
      <c r="C1358" s="212"/>
    </row>
    <row r="1359" spans="3:3">
      <c r="C1359" s="212"/>
    </row>
    <row r="1360" spans="3:3">
      <c r="C1360" s="212"/>
    </row>
    <row r="1361" spans="3:3">
      <c r="C1361" s="212"/>
    </row>
    <row r="1362" spans="3:3">
      <c r="C1362" s="212"/>
    </row>
    <row r="1363" spans="3:3">
      <c r="C1363" s="212"/>
    </row>
    <row r="1364" spans="3:3">
      <c r="C1364" s="212"/>
    </row>
    <row r="1365" spans="3:3">
      <c r="C1365" s="212"/>
    </row>
    <row r="1366" spans="3:3">
      <c r="C1366" s="212"/>
    </row>
    <row r="1367" spans="3:3">
      <c r="C1367" s="212"/>
    </row>
    <row r="1368" spans="3:3">
      <c r="C1368" s="212"/>
    </row>
    <row r="1369" spans="3:3">
      <c r="C1369" s="212"/>
    </row>
    <row r="1370" spans="3:3">
      <c r="C1370" s="212"/>
    </row>
    <row r="1371" spans="3:3">
      <c r="C1371" s="212"/>
    </row>
    <row r="1372" spans="3:3">
      <c r="C1372" s="212"/>
    </row>
    <row r="1373" spans="3:3">
      <c r="C1373" s="212"/>
    </row>
    <row r="1374" spans="3:3">
      <c r="C1374" s="212"/>
    </row>
    <row r="1375" spans="3:3">
      <c r="C1375" s="212"/>
    </row>
    <row r="1376" spans="3:3">
      <c r="C1376" s="212"/>
    </row>
    <row r="1377" spans="3:3">
      <c r="C1377" s="212"/>
    </row>
    <row r="1378" spans="3:3">
      <c r="C1378" s="212"/>
    </row>
    <row r="1379" spans="3:3">
      <c r="C1379" s="212"/>
    </row>
    <row r="1380" spans="3:3">
      <c r="C1380" s="212"/>
    </row>
    <row r="1381" spans="3:3">
      <c r="C1381" s="212"/>
    </row>
    <row r="1382" spans="3:3">
      <c r="C1382" s="212"/>
    </row>
    <row r="1383" spans="3:3">
      <c r="C1383" s="212"/>
    </row>
    <row r="1384" spans="3:3">
      <c r="C1384" s="212"/>
    </row>
    <row r="1385" spans="3:3">
      <c r="C1385" s="212"/>
    </row>
    <row r="1386" spans="3:3">
      <c r="C1386" s="212"/>
    </row>
    <row r="1387" spans="3:3">
      <c r="C1387" s="212"/>
    </row>
    <row r="1388" spans="3:3">
      <c r="C1388" s="212"/>
    </row>
    <row r="1389" spans="3:3">
      <c r="C1389" s="212"/>
    </row>
    <row r="1390" spans="3:3">
      <c r="C1390" s="212"/>
    </row>
    <row r="1391" spans="3:3">
      <c r="C1391" s="212"/>
    </row>
    <row r="1392" spans="3:3">
      <c r="C1392" s="212"/>
    </row>
    <row r="1393" spans="3:3">
      <c r="C1393" s="212"/>
    </row>
    <row r="1394" spans="3:3">
      <c r="C1394" s="212"/>
    </row>
    <row r="1395" spans="3:3">
      <c r="C1395" s="212"/>
    </row>
    <row r="1396" spans="3:3">
      <c r="C1396" s="212"/>
    </row>
    <row r="1397" spans="3:3">
      <c r="C1397" s="212"/>
    </row>
    <row r="1398" spans="3:3">
      <c r="C1398" s="212"/>
    </row>
    <row r="1399" spans="3:3">
      <c r="C1399" s="212"/>
    </row>
    <row r="1400" spans="3:3">
      <c r="C1400" s="212"/>
    </row>
    <row r="1401" spans="3:3">
      <c r="C1401" s="212"/>
    </row>
    <row r="1402" spans="3:3">
      <c r="C1402" s="212"/>
    </row>
    <row r="1403" spans="3:3">
      <c r="C1403" s="212"/>
    </row>
    <row r="1404" spans="3:3">
      <c r="C1404" s="212"/>
    </row>
    <row r="1405" spans="3:3">
      <c r="C1405" s="212"/>
    </row>
    <row r="1406" spans="3:3">
      <c r="C1406" s="212"/>
    </row>
    <row r="1407" spans="3:3">
      <c r="C1407" s="212"/>
    </row>
    <row r="1408" spans="3:3">
      <c r="C1408" s="212"/>
    </row>
    <row r="1409" spans="3:3">
      <c r="C1409" s="212"/>
    </row>
    <row r="1410" spans="3:3">
      <c r="C1410" s="212"/>
    </row>
    <row r="1411" spans="3:3">
      <c r="C1411" s="212"/>
    </row>
    <row r="1412" spans="3:3">
      <c r="C1412" s="212"/>
    </row>
    <row r="1413" spans="3:3">
      <c r="C1413" s="212"/>
    </row>
    <row r="1414" spans="3:3">
      <c r="C1414" s="212"/>
    </row>
    <row r="1415" spans="3:3">
      <c r="C1415" s="212"/>
    </row>
    <row r="1416" spans="3:3">
      <c r="C1416" s="212"/>
    </row>
    <row r="1417" spans="3:3">
      <c r="C1417" s="212"/>
    </row>
    <row r="1418" spans="3:3">
      <c r="C1418" s="212"/>
    </row>
    <row r="1419" spans="3:3">
      <c r="C1419" s="212"/>
    </row>
    <row r="1420" spans="3:3">
      <c r="C1420" s="212"/>
    </row>
    <row r="1421" spans="3:3">
      <c r="C1421" s="212"/>
    </row>
    <row r="1422" spans="3:3">
      <c r="C1422" s="212"/>
    </row>
    <row r="1423" spans="3:3">
      <c r="C1423" s="212"/>
    </row>
    <row r="1424" spans="3:3">
      <c r="C1424" s="212"/>
    </row>
    <row r="1425" spans="3:3">
      <c r="C1425" s="212"/>
    </row>
    <row r="1426" spans="3:3">
      <c r="C1426" s="212"/>
    </row>
    <row r="1427" spans="3:3">
      <c r="C1427" s="212"/>
    </row>
    <row r="1428" spans="3:3">
      <c r="C1428" s="212"/>
    </row>
    <row r="1429" spans="3:3">
      <c r="C1429" s="212"/>
    </row>
    <row r="1430" spans="3:3">
      <c r="C1430" s="212"/>
    </row>
    <row r="1431" spans="3:3">
      <c r="C1431" s="212"/>
    </row>
    <row r="1432" spans="3:3">
      <c r="C1432" s="212"/>
    </row>
    <row r="1433" spans="3:3">
      <c r="C1433" s="212"/>
    </row>
    <row r="1434" spans="3:3">
      <c r="C1434" s="212"/>
    </row>
    <row r="1435" spans="3:3">
      <c r="C1435" s="212"/>
    </row>
    <row r="1436" spans="3:3">
      <c r="C1436" s="212"/>
    </row>
    <row r="1437" spans="3:3">
      <c r="C1437" s="212"/>
    </row>
    <row r="1438" spans="3:3">
      <c r="C1438" s="212"/>
    </row>
    <row r="1439" spans="3:3">
      <c r="C1439" s="212"/>
    </row>
    <row r="1440" spans="3:3">
      <c r="C1440" s="212"/>
    </row>
    <row r="1441" spans="3:3">
      <c r="C1441" s="212"/>
    </row>
    <row r="1442" spans="3:3">
      <c r="C1442" s="212"/>
    </row>
    <row r="1443" spans="3:3">
      <c r="C1443" s="212"/>
    </row>
    <row r="1444" spans="3:3">
      <c r="C1444" s="212"/>
    </row>
    <row r="1445" spans="3:3">
      <c r="C1445" s="212"/>
    </row>
    <row r="1446" spans="3:3">
      <c r="C1446" s="212"/>
    </row>
    <row r="1447" spans="3:3">
      <c r="C1447" s="212"/>
    </row>
    <row r="1448" spans="3:3">
      <c r="C1448" s="212"/>
    </row>
    <row r="1449" spans="3:3">
      <c r="C1449" s="212"/>
    </row>
    <row r="1450" spans="3:3">
      <c r="C1450" s="212"/>
    </row>
    <row r="1451" spans="3:3">
      <c r="C1451" s="212"/>
    </row>
    <row r="1452" spans="3:3">
      <c r="C1452" s="212"/>
    </row>
    <row r="1453" spans="3:3">
      <c r="C1453" s="212"/>
    </row>
    <row r="1454" spans="3:3">
      <c r="C1454" s="212"/>
    </row>
    <row r="1455" spans="3:3">
      <c r="C1455" s="212"/>
    </row>
    <row r="1456" spans="3:3">
      <c r="C1456" s="212"/>
    </row>
    <row r="1457" spans="3:3">
      <c r="C1457" s="212"/>
    </row>
    <row r="1458" spans="3:3">
      <c r="C1458" s="212"/>
    </row>
    <row r="1459" spans="3:3">
      <c r="C1459" s="212"/>
    </row>
    <row r="1460" spans="3:3">
      <c r="C1460" s="212"/>
    </row>
    <row r="1461" spans="3:3">
      <c r="C1461" s="212"/>
    </row>
    <row r="1462" spans="3:3">
      <c r="C1462" s="212"/>
    </row>
    <row r="1463" spans="3:3">
      <c r="C1463" s="212"/>
    </row>
    <row r="1464" spans="3:3">
      <c r="C1464" s="212"/>
    </row>
    <row r="1465" spans="3:3">
      <c r="C1465" s="212"/>
    </row>
    <row r="1466" spans="3:3">
      <c r="C1466" s="212"/>
    </row>
    <row r="1467" spans="3:3">
      <c r="C1467" s="212"/>
    </row>
    <row r="1468" spans="3:3">
      <c r="C1468" s="212"/>
    </row>
    <row r="1469" spans="3:3">
      <c r="C1469" s="212"/>
    </row>
    <row r="1470" spans="3:3">
      <c r="C1470" s="212"/>
    </row>
    <row r="1471" spans="3:3">
      <c r="C1471" s="212"/>
    </row>
    <row r="1472" spans="3:3">
      <c r="C1472" s="212"/>
    </row>
    <row r="1473" spans="3:3">
      <c r="C1473" s="212"/>
    </row>
    <row r="1474" spans="3:3">
      <c r="C1474" s="212"/>
    </row>
    <row r="1475" spans="3:3">
      <c r="C1475" s="212"/>
    </row>
    <row r="1476" spans="3:3">
      <c r="C1476" s="212"/>
    </row>
    <row r="1477" spans="3:3">
      <c r="C1477" s="212"/>
    </row>
    <row r="1478" spans="3:3">
      <c r="C1478" s="212"/>
    </row>
    <row r="1479" spans="3:3">
      <c r="C1479" s="212"/>
    </row>
    <row r="1480" spans="3:3">
      <c r="C1480" s="212"/>
    </row>
    <row r="1481" spans="3:3">
      <c r="C1481" s="212"/>
    </row>
    <row r="1482" spans="3:3">
      <c r="C1482" s="212"/>
    </row>
    <row r="1483" spans="3:3">
      <c r="C1483" s="212"/>
    </row>
    <row r="1484" spans="3:3">
      <c r="C1484" s="212"/>
    </row>
    <row r="1485" spans="3:3">
      <c r="C1485" s="212"/>
    </row>
    <row r="1486" spans="3:3">
      <c r="C1486" s="212"/>
    </row>
    <row r="1487" spans="3:3">
      <c r="C1487" s="212"/>
    </row>
    <row r="1488" spans="3:3">
      <c r="C1488" s="212"/>
    </row>
    <row r="1489" spans="3:3">
      <c r="C1489" s="212"/>
    </row>
    <row r="1490" spans="3:3">
      <c r="C1490" s="212"/>
    </row>
    <row r="1491" spans="3:3">
      <c r="C1491" s="212"/>
    </row>
    <row r="1492" spans="3:3">
      <c r="C1492" s="212"/>
    </row>
    <row r="1493" spans="3:3">
      <c r="C1493" s="212"/>
    </row>
    <row r="1494" spans="3:3">
      <c r="C1494" s="212"/>
    </row>
    <row r="1495" spans="3:3">
      <c r="C1495" s="212"/>
    </row>
    <row r="1496" spans="3:3">
      <c r="C1496" s="212"/>
    </row>
    <row r="1497" spans="3:3">
      <c r="C1497" s="212"/>
    </row>
    <row r="1498" spans="3:3">
      <c r="C1498" s="212"/>
    </row>
    <row r="1499" spans="3:3">
      <c r="C1499" s="212"/>
    </row>
    <row r="1500" spans="3:3">
      <c r="C1500" s="212"/>
    </row>
    <row r="1501" spans="3:3">
      <c r="C1501" s="212"/>
    </row>
    <row r="1502" spans="3:3">
      <c r="C1502" s="212"/>
    </row>
    <row r="1503" spans="3:3">
      <c r="C1503" s="212"/>
    </row>
    <row r="1504" spans="3:3">
      <c r="C1504" s="212"/>
    </row>
    <row r="1505" spans="3:3">
      <c r="C1505" s="212"/>
    </row>
    <row r="1506" spans="3:3">
      <c r="C1506" s="212"/>
    </row>
    <row r="1507" spans="3:3">
      <c r="C1507" s="212"/>
    </row>
    <row r="1508" spans="3:3">
      <c r="C1508" s="212"/>
    </row>
    <row r="1509" spans="3:3">
      <c r="C1509" s="212"/>
    </row>
    <row r="1510" spans="3:3">
      <c r="C1510" s="212"/>
    </row>
    <row r="1511" spans="3:3">
      <c r="C1511" s="212"/>
    </row>
    <row r="1512" spans="3:3">
      <c r="C1512" s="212"/>
    </row>
    <row r="1513" spans="3:3">
      <c r="C1513" s="212"/>
    </row>
    <row r="1514" spans="3:3">
      <c r="C1514" s="212"/>
    </row>
    <row r="1515" spans="3:3">
      <c r="C1515" s="212"/>
    </row>
    <row r="1516" spans="3:3">
      <c r="C1516" s="212"/>
    </row>
    <row r="1517" spans="3:3">
      <c r="C1517" s="212"/>
    </row>
    <row r="1518" spans="3:3">
      <c r="C1518" s="212"/>
    </row>
    <row r="1519" spans="3:3">
      <c r="C1519" s="212"/>
    </row>
    <row r="1520" spans="3:3">
      <c r="C1520" s="212"/>
    </row>
    <row r="1521" spans="3:3">
      <c r="C1521" s="212"/>
    </row>
    <row r="1522" spans="3:3">
      <c r="C1522" s="212"/>
    </row>
    <row r="1523" spans="3:3">
      <c r="C1523" s="212"/>
    </row>
    <row r="1524" spans="3:3">
      <c r="C1524" s="212"/>
    </row>
    <row r="1525" spans="3:3">
      <c r="C1525" s="212"/>
    </row>
    <row r="1526" spans="3:3">
      <c r="C1526" s="212"/>
    </row>
    <row r="1527" spans="3:3">
      <c r="C1527" s="212"/>
    </row>
    <row r="1528" spans="3:3">
      <c r="C1528" s="212"/>
    </row>
    <row r="1529" spans="3:3">
      <c r="C1529" s="212"/>
    </row>
  </sheetData>
  <phoneticPr fontId="21" type="noConversion"/>
  <conditionalFormatting sqref="G31 P30 P18">
    <cfRule type="cellIs" dxfId="191" priority="96" stopIfTrue="1" operator="notEqual">
      <formula>E18</formula>
    </cfRule>
  </conditionalFormatting>
  <conditionalFormatting sqref="Q30">
    <cfRule type="expression" dxfId="190" priority="95" stopIfTrue="1">
      <formula>(Q30+O30)&lt;&gt;0</formula>
    </cfRule>
  </conditionalFormatting>
  <conditionalFormatting sqref="P29">
    <cfRule type="cellIs" dxfId="189" priority="94" stopIfTrue="1" operator="notEqual">
      <formula>N7</formula>
    </cfRule>
  </conditionalFormatting>
  <conditionalFormatting sqref="N7">
    <cfRule type="cellIs" dxfId="188" priority="93" stopIfTrue="1" operator="notEqual">
      <formula>P29</formula>
    </cfRule>
  </conditionalFormatting>
  <conditionalFormatting sqref="N8">
    <cfRule type="cellIs" dxfId="187" priority="92" stopIfTrue="1" operator="notEqual">
      <formula>P28</formula>
    </cfRule>
  </conditionalFormatting>
  <conditionalFormatting sqref="N9">
    <cfRule type="cellIs" dxfId="186" priority="91" stopIfTrue="1" operator="notEqual">
      <formula>P27</formula>
    </cfRule>
  </conditionalFormatting>
  <conditionalFormatting sqref="N10">
    <cfRule type="cellIs" dxfId="185" priority="90" stopIfTrue="1" operator="notEqual">
      <formula>P26</formula>
    </cfRule>
  </conditionalFormatting>
  <conditionalFormatting sqref="N11">
    <cfRule type="cellIs" dxfId="184" priority="89" stopIfTrue="1" operator="notEqual">
      <formula>P25</formula>
    </cfRule>
  </conditionalFormatting>
  <conditionalFormatting sqref="N12">
    <cfRule type="cellIs" dxfId="183" priority="88" stopIfTrue="1" operator="notEqual">
      <formula>P24</formula>
    </cfRule>
  </conditionalFormatting>
  <conditionalFormatting sqref="N13">
    <cfRule type="cellIs" dxfId="182" priority="87" stopIfTrue="1" operator="notEqual">
      <formula>P23</formula>
    </cfRule>
  </conditionalFormatting>
  <conditionalFormatting sqref="N14">
    <cfRule type="cellIs" dxfId="181" priority="86" stopIfTrue="1" operator="notEqual">
      <formula>P22</formula>
    </cfRule>
  </conditionalFormatting>
  <conditionalFormatting sqref="N15">
    <cfRule type="cellIs" dxfId="180" priority="85" stopIfTrue="1" operator="notEqual">
      <formula>P21</formula>
    </cfRule>
  </conditionalFormatting>
  <conditionalFormatting sqref="N16">
    <cfRule type="cellIs" dxfId="179" priority="84" stopIfTrue="1" operator="notEqual">
      <formula>P20</formula>
    </cfRule>
  </conditionalFormatting>
  <conditionalFormatting sqref="N17">
    <cfRule type="cellIs" dxfId="178" priority="83" stopIfTrue="1" operator="notEqual">
      <formula>P19</formula>
    </cfRule>
  </conditionalFormatting>
  <conditionalFormatting sqref="N18">
    <cfRule type="cellIs" dxfId="177" priority="82" stopIfTrue="1" operator="notEqual">
      <formula>P18</formula>
    </cfRule>
  </conditionalFormatting>
  <conditionalFormatting sqref="N19">
    <cfRule type="cellIs" dxfId="176" priority="81" stopIfTrue="1" operator="notEqual">
      <formula>P17</formula>
    </cfRule>
  </conditionalFormatting>
  <conditionalFormatting sqref="N20">
    <cfRule type="cellIs" dxfId="175" priority="80" stopIfTrue="1" operator="notEqual">
      <formula>P16</formula>
    </cfRule>
  </conditionalFormatting>
  <conditionalFormatting sqref="N21">
    <cfRule type="cellIs" dxfId="174" priority="79" stopIfTrue="1" operator="notEqual">
      <formula>P15</formula>
    </cfRule>
  </conditionalFormatting>
  <conditionalFormatting sqref="N22">
    <cfRule type="cellIs" dxfId="173" priority="78" stopIfTrue="1" operator="notEqual">
      <formula>P14</formula>
    </cfRule>
  </conditionalFormatting>
  <conditionalFormatting sqref="N23">
    <cfRule type="cellIs" dxfId="172" priority="77" stopIfTrue="1" operator="notEqual">
      <formula>P13</formula>
    </cfRule>
  </conditionalFormatting>
  <conditionalFormatting sqref="N24">
    <cfRule type="cellIs" dxfId="171" priority="76" stopIfTrue="1" operator="notEqual">
      <formula>P12</formula>
    </cfRule>
  </conditionalFormatting>
  <conditionalFormatting sqref="N25">
    <cfRule type="cellIs" dxfId="170" priority="75" stopIfTrue="1" operator="notEqual">
      <formula>P11</formula>
    </cfRule>
  </conditionalFormatting>
  <conditionalFormatting sqref="N26">
    <cfRule type="cellIs" dxfId="169" priority="74" stopIfTrue="1" operator="notEqual">
      <formula>P10</formula>
    </cfRule>
  </conditionalFormatting>
  <conditionalFormatting sqref="N27">
    <cfRule type="cellIs" dxfId="168" priority="73" stopIfTrue="1" operator="notEqual">
      <formula>P9</formula>
    </cfRule>
  </conditionalFormatting>
  <conditionalFormatting sqref="N28">
    <cfRule type="cellIs" dxfId="167" priority="72" stopIfTrue="1" operator="notEqual">
      <formula>P8</formula>
    </cfRule>
  </conditionalFormatting>
  <conditionalFormatting sqref="N29">
    <cfRule type="cellIs" dxfId="166" priority="71" stopIfTrue="1" operator="notEqual">
      <formula>P7</formula>
    </cfRule>
  </conditionalFormatting>
  <conditionalFormatting sqref="P7">
    <cfRule type="cellIs" dxfId="165" priority="70" stopIfTrue="1" operator="notEqual">
      <formula>N29</formula>
    </cfRule>
  </conditionalFormatting>
  <conditionalFormatting sqref="P8">
    <cfRule type="cellIs" dxfId="164" priority="69" stopIfTrue="1" operator="notEqual">
      <formula>N28</formula>
    </cfRule>
  </conditionalFormatting>
  <conditionalFormatting sqref="P9">
    <cfRule type="cellIs" dxfId="163" priority="68" stopIfTrue="1" operator="notEqual">
      <formula>N27</formula>
    </cfRule>
  </conditionalFormatting>
  <conditionalFormatting sqref="P10">
    <cfRule type="cellIs" dxfId="162" priority="67" stopIfTrue="1" operator="notEqual">
      <formula>N26</formula>
    </cfRule>
  </conditionalFormatting>
  <conditionalFormatting sqref="P11">
    <cfRule type="cellIs" dxfId="161" priority="66" stopIfTrue="1" operator="notEqual">
      <formula>N25</formula>
    </cfRule>
  </conditionalFormatting>
  <conditionalFormatting sqref="P12">
    <cfRule type="cellIs" dxfId="160" priority="65" stopIfTrue="1" operator="notEqual">
      <formula>N24</formula>
    </cfRule>
  </conditionalFormatting>
  <conditionalFormatting sqref="P13">
    <cfRule type="cellIs" dxfId="159" priority="64" stopIfTrue="1" operator="notEqual">
      <formula>N23</formula>
    </cfRule>
  </conditionalFormatting>
  <conditionalFormatting sqref="P14">
    <cfRule type="cellIs" dxfId="158" priority="63" stopIfTrue="1" operator="notEqual">
      <formula>N22</formula>
    </cfRule>
  </conditionalFormatting>
  <conditionalFormatting sqref="P15">
    <cfRule type="cellIs" dxfId="157" priority="62" stopIfTrue="1" operator="notEqual">
      <formula>N21</formula>
    </cfRule>
  </conditionalFormatting>
  <conditionalFormatting sqref="P16">
    <cfRule type="cellIs" dxfId="156" priority="61" stopIfTrue="1" operator="notEqual">
      <formula>N20</formula>
    </cfRule>
  </conditionalFormatting>
  <conditionalFormatting sqref="P17">
    <cfRule type="cellIs" dxfId="155" priority="60" stopIfTrue="1" operator="notEqual">
      <formula>N19</formula>
    </cfRule>
  </conditionalFormatting>
  <conditionalFormatting sqref="P19">
    <cfRule type="cellIs" dxfId="154" priority="59" stopIfTrue="1" operator="notEqual">
      <formula>N17</formula>
    </cfRule>
  </conditionalFormatting>
  <conditionalFormatting sqref="P20">
    <cfRule type="cellIs" dxfId="153" priority="58" stopIfTrue="1" operator="notEqual">
      <formula>N16</formula>
    </cfRule>
  </conditionalFormatting>
  <conditionalFormatting sqref="P21">
    <cfRule type="cellIs" dxfId="152" priority="57" stopIfTrue="1" operator="notEqual">
      <formula>N15</formula>
    </cfRule>
  </conditionalFormatting>
  <conditionalFormatting sqref="P22">
    <cfRule type="cellIs" dxfId="151" priority="56" stopIfTrue="1" operator="notEqual">
      <formula>N14</formula>
    </cfRule>
  </conditionalFormatting>
  <conditionalFormatting sqref="P23">
    <cfRule type="cellIs" dxfId="150" priority="55" stopIfTrue="1" operator="notEqual">
      <formula>N13</formula>
    </cfRule>
  </conditionalFormatting>
  <conditionalFormatting sqref="P24">
    <cfRule type="cellIs" dxfId="149" priority="54" stopIfTrue="1" operator="notEqual">
      <formula>N12</formula>
    </cfRule>
  </conditionalFormatting>
  <conditionalFormatting sqref="P25">
    <cfRule type="cellIs" dxfId="148" priority="53" stopIfTrue="1" operator="notEqual">
      <formula>N11</formula>
    </cfRule>
  </conditionalFormatting>
  <conditionalFormatting sqref="P26">
    <cfRule type="cellIs" dxfId="147" priority="52" stopIfTrue="1" operator="notEqual">
      <formula>N10</formula>
    </cfRule>
  </conditionalFormatting>
  <conditionalFormatting sqref="P27">
    <cfRule type="cellIs" dxfId="146" priority="51" stopIfTrue="1" operator="notEqual">
      <formula>N9</formula>
    </cfRule>
  </conditionalFormatting>
  <conditionalFormatting sqref="P28">
    <cfRule type="cellIs" dxfId="145" priority="50" stopIfTrue="1" operator="notEqual">
      <formula>N8</formula>
    </cfRule>
  </conditionalFormatting>
  <conditionalFormatting sqref="O7">
    <cfRule type="cellIs" dxfId="144" priority="49" stopIfTrue="1" operator="notEqual">
      <formula>Q29*-1</formula>
    </cfRule>
  </conditionalFormatting>
  <conditionalFormatting sqref="O8">
    <cfRule type="cellIs" dxfId="143" priority="48" stopIfTrue="1" operator="notEqual">
      <formula>Q28*-1</formula>
    </cfRule>
  </conditionalFormatting>
  <conditionalFormatting sqref="O9">
    <cfRule type="cellIs" dxfId="142" priority="47" stopIfTrue="1" operator="notEqual">
      <formula>Q27*-1</formula>
    </cfRule>
  </conditionalFormatting>
  <conditionalFormatting sqref="O10">
    <cfRule type="cellIs" dxfId="141" priority="46" stopIfTrue="1" operator="notEqual">
      <formula>Q26*-1</formula>
    </cfRule>
  </conditionalFormatting>
  <conditionalFormatting sqref="O11">
    <cfRule type="cellIs" dxfId="140" priority="45" stopIfTrue="1" operator="notEqual">
      <formula>Q25*-1</formula>
    </cfRule>
  </conditionalFormatting>
  <conditionalFormatting sqref="O12">
    <cfRule type="cellIs" dxfId="139" priority="44" stopIfTrue="1" operator="notEqual">
      <formula>Q24*-1</formula>
    </cfRule>
  </conditionalFormatting>
  <conditionalFormatting sqref="O13">
    <cfRule type="cellIs" dxfId="138" priority="43" stopIfTrue="1" operator="notEqual">
      <formula>Q23*-1</formula>
    </cfRule>
  </conditionalFormatting>
  <conditionalFormatting sqref="O14">
    <cfRule type="cellIs" dxfId="137" priority="42" stopIfTrue="1" operator="notEqual">
      <formula>Q22*-1</formula>
    </cfRule>
  </conditionalFormatting>
  <conditionalFormatting sqref="O15">
    <cfRule type="cellIs" dxfId="136" priority="41" stopIfTrue="1" operator="notEqual">
      <formula>Q21*-1</formula>
    </cfRule>
  </conditionalFormatting>
  <conditionalFormatting sqref="O16">
    <cfRule type="cellIs" dxfId="135" priority="40" stopIfTrue="1" operator="notEqual">
      <formula>Q20*-1</formula>
    </cfRule>
  </conditionalFormatting>
  <conditionalFormatting sqref="O17">
    <cfRule type="cellIs" dxfId="134" priority="39" stopIfTrue="1" operator="notEqual">
      <formula>Q19*-1</formula>
    </cfRule>
  </conditionalFormatting>
  <conditionalFormatting sqref="O18">
    <cfRule type="cellIs" dxfId="133" priority="38" stopIfTrue="1" operator="notEqual">
      <formula>Q18*-1</formula>
    </cfRule>
  </conditionalFormatting>
  <conditionalFormatting sqref="O19">
    <cfRule type="cellIs" dxfId="132" priority="37" stopIfTrue="1" operator="notEqual">
      <formula>Q17*-1</formula>
    </cfRule>
  </conditionalFormatting>
  <conditionalFormatting sqref="O20">
    <cfRule type="cellIs" dxfId="131" priority="36" stopIfTrue="1" operator="notEqual">
      <formula>Q16*-1</formula>
    </cfRule>
  </conditionalFormatting>
  <conditionalFormatting sqref="O21">
    <cfRule type="cellIs" dxfId="130" priority="35" stopIfTrue="1" operator="notEqual">
      <formula>Q15*-1</formula>
    </cfRule>
  </conditionalFormatting>
  <conditionalFormatting sqref="O22">
    <cfRule type="cellIs" dxfId="129" priority="34" stopIfTrue="1" operator="notEqual">
      <formula>Q14*-1</formula>
    </cfRule>
  </conditionalFormatting>
  <conditionalFormatting sqref="O23">
    <cfRule type="cellIs" dxfId="128" priority="33" stopIfTrue="1" operator="notEqual">
      <formula>Q13*-1</formula>
    </cfRule>
  </conditionalFormatting>
  <conditionalFormatting sqref="O24">
    <cfRule type="cellIs" dxfId="127" priority="32" stopIfTrue="1" operator="notEqual">
      <formula>Q12*-1</formula>
    </cfRule>
  </conditionalFormatting>
  <conditionalFormatting sqref="O25">
    <cfRule type="cellIs" dxfId="126" priority="31" stopIfTrue="1" operator="notEqual">
      <formula>Q11*-1</formula>
    </cfRule>
  </conditionalFormatting>
  <conditionalFormatting sqref="O26">
    <cfRule type="cellIs" dxfId="125" priority="30" stopIfTrue="1" operator="notEqual">
      <formula>Q10*-1</formula>
    </cfRule>
  </conditionalFormatting>
  <conditionalFormatting sqref="O27">
    <cfRule type="cellIs" dxfId="124" priority="29" stopIfTrue="1" operator="notEqual">
      <formula>Q9*-1</formula>
    </cfRule>
  </conditionalFormatting>
  <conditionalFormatting sqref="O28">
    <cfRule type="cellIs" dxfId="123" priority="28" stopIfTrue="1" operator="notEqual">
      <formula>Q8*-1</formula>
    </cfRule>
  </conditionalFormatting>
  <conditionalFormatting sqref="O29">
    <cfRule type="cellIs" dxfId="122" priority="27" stopIfTrue="1" operator="notEqual">
      <formula>Q7*-1</formula>
    </cfRule>
  </conditionalFormatting>
  <conditionalFormatting sqref="Q7">
    <cfRule type="cellIs" dxfId="121" priority="26" stopIfTrue="1" operator="notEqual">
      <formula>O29*-1</formula>
    </cfRule>
  </conditionalFormatting>
  <conditionalFormatting sqref="Q8">
    <cfRule type="cellIs" dxfId="120" priority="25" stopIfTrue="1" operator="notEqual">
      <formula>O28*-1</formula>
    </cfRule>
  </conditionalFormatting>
  <conditionalFormatting sqref="Q9">
    <cfRule type="cellIs" dxfId="119" priority="24" stopIfTrue="1" operator="notEqual">
      <formula>O27*-1</formula>
    </cfRule>
  </conditionalFormatting>
  <conditionalFormatting sqref="Q10">
    <cfRule type="cellIs" dxfId="118" priority="23" stopIfTrue="1" operator="notEqual">
      <formula>O26*-1</formula>
    </cfRule>
  </conditionalFormatting>
  <conditionalFormatting sqref="Q11">
    <cfRule type="cellIs" dxfId="117" priority="22" stopIfTrue="1" operator="notEqual">
      <formula>O25*-1</formula>
    </cfRule>
  </conditionalFormatting>
  <conditionalFormatting sqref="Q12">
    <cfRule type="cellIs" dxfId="116" priority="21" stopIfTrue="1" operator="notEqual">
      <formula>O24*-1</formula>
    </cfRule>
  </conditionalFormatting>
  <conditionalFormatting sqref="Q13">
    <cfRule type="cellIs" dxfId="115" priority="20" stopIfTrue="1" operator="notEqual">
      <formula>O23*-1</formula>
    </cfRule>
  </conditionalFormatting>
  <conditionalFormatting sqref="Q14">
    <cfRule type="cellIs" dxfId="114" priority="19" stopIfTrue="1" operator="notEqual">
      <formula>O22*-1</formula>
    </cfRule>
  </conditionalFormatting>
  <conditionalFormatting sqref="Q15">
    <cfRule type="cellIs" dxfId="113" priority="18" stopIfTrue="1" operator="notEqual">
      <formula>O21*-1</formula>
    </cfRule>
  </conditionalFormatting>
  <conditionalFormatting sqref="Q16">
    <cfRule type="cellIs" dxfId="112" priority="17" stopIfTrue="1" operator="notEqual">
      <formula>O20*-1</formula>
    </cfRule>
  </conditionalFormatting>
  <conditionalFormatting sqref="Q17">
    <cfRule type="cellIs" dxfId="111" priority="16" stopIfTrue="1" operator="notEqual">
      <formula>O19*-1</formula>
    </cfRule>
  </conditionalFormatting>
  <conditionalFormatting sqref="Q18">
    <cfRule type="cellIs" dxfId="110" priority="15" stopIfTrue="1" operator="notEqual">
      <formula>O18*-1</formula>
    </cfRule>
  </conditionalFormatting>
  <conditionalFormatting sqref="Q19">
    <cfRule type="cellIs" dxfId="109" priority="14" stopIfTrue="1" operator="notEqual">
      <formula>O17*-1</formula>
    </cfRule>
  </conditionalFormatting>
  <conditionalFormatting sqref="Q20">
    <cfRule type="cellIs" dxfId="108" priority="13" stopIfTrue="1" operator="notEqual">
      <formula>O16*-1</formula>
    </cfRule>
  </conditionalFormatting>
  <conditionalFormatting sqref="Q21">
    <cfRule type="cellIs" dxfId="107" priority="12" stopIfTrue="1" operator="notEqual">
      <formula>O15*-1</formula>
    </cfRule>
  </conditionalFormatting>
  <conditionalFormatting sqref="Q22">
    <cfRule type="cellIs" dxfId="106" priority="11" stopIfTrue="1" operator="notEqual">
      <formula>O14*-1</formula>
    </cfRule>
  </conditionalFormatting>
  <conditionalFormatting sqref="Q23">
    <cfRule type="cellIs" dxfId="105" priority="10" stopIfTrue="1" operator="notEqual">
      <formula>O13*-1</formula>
    </cfRule>
  </conditionalFormatting>
  <conditionalFormatting sqref="Q24">
    <cfRule type="cellIs" dxfId="104" priority="9" stopIfTrue="1" operator="notEqual">
      <formula>O12*-1</formula>
    </cfRule>
  </conditionalFormatting>
  <conditionalFormatting sqref="Q25">
    <cfRule type="cellIs" dxfId="103" priority="8" stopIfTrue="1" operator="notEqual">
      <formula>O11*-1</formula>
    </cfRule>
  </conditionalFormatting>
  <conditionalFormatting sqref="Q26">
    <cfRule type="cellIs" dxfId="102" priority="7" stopIfTrue="1" operator="notEqual">
      <formula>O10*-1</formula>
    </cfRule>
  </conditionalFormatting>
  <conditionalFormatting sqref="Q27">
    <cfRule type="cellIs" dxfId="101" priority="6" stopIfTrue="1" operator="notEqual">
      <formula>O9*-1</formula>
    </cfRule>
  </conditionalFormatting>
  <conditionalFormatting sqref="Q28">
    <cfRule type="cellIs" dxfId="100" priority="5" stopIfTrue="1" operator="notEqual">
      <formula>O8*-1</formula>
    </cfRule>
  </conditionalFormatting>
  <conditionalFormatting sqref="Q29">
    <cfRule type="cellIs" dxfId="99" priority="4" stopIfTrue="1" operator="notEqual">
      <formula>O7*-1</formula>
    </cfRule>
  </conditionalFormatting>
  <conditionalFormatting sqref="R7:S29 I7:J30">
    <cfRule type="cellIs" dxfId="98" priority="3" stopIfTrue="1" operator="notEqual">
      <formula>E7+G7</formula>
    </cfRule>
  </conditionalFormatting>
  <conditionalFormatting sqref="K36:K42">
    <cfRule type="cellIs" dxfId="97" priority="1" stopIfTrue="1" operator="equal">
      <formula>"U"</formula>
    </cfRule>
    <cfRule type="cellIs" dxfId="96" priority="2" stopIfTrue="1" operator="equal">
      <formula>"O"</formula>
    </cfRule>
  </conditionalFormatting>
  <printOptions horizontalCentered="1"/>
  <pageMargins left="0.74803149606299213" right="0.74803149606299213" top="0.74" bottom="0.47244094488188981" header="0.51181102362204722" footer="0.27559055118110237"/>
  <pageSetup paperSize="9" orientation="portrait" r:id="rId1"/>
  <headerFooter alignWithMargins="0">
    <oddHeader>&amp;LFFL 2004-05</oddHeader>
    <oddFooter>&amp;CPage &amp;P of &amp;N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G1529"/>
  <sheetViews>
    <sheetView zoomScale="80" zoomScaleNormal="80" workbookViewId="0">
      <pane ySplit="2" topLeftCell="A3" activePane="bottomLeft" state="frozen"/>
      <selection sqref="A1:XFD1048576"/>
      <selection pane="bottomLeft" activeCell="M18" sqref="M18"/>
    </sheetView>
  </sheetViews>
  <sheetFormatPr defaultRowHeight="12.75"/>
  <cols>
    <col min="1" max="1" width="8.375" style="32" customWidth="1"/>
    <col min="2" max="2" width="10.375" style="32" customWidth="1"/>
    <col min="3" max="3" width="11.125" style="32" customWidth="1"/>
    <col min="4" max="4" width="11.125" style="118" customWidth="1"/>
    <col min="5" max="5" width="9" style="30" customWidth="1"/>
    <col min="6" max="6" width="9.125" style="32"/>
    <col min="7" max="7" width="8.75" style="30" customWidth="1"/>
    <col min="8" max="8" width="9.625" style="32" customWidth="1"/>
    <col min="9" max="9" width="9.125" style="32"/>
    <col min="10" max="10" width="9.25" style="32" customWidth="1"/>
    <col min="11" max="11" width="9.375" style="32" customWidth="1"/>
    <col min="12" max="12" width="9.625" style="32" customWidth="1"/>
    <col min="13" max="13" width="10" style="32" customWidth="1"/>
    <col min="14" max="14" width="9.625" style="32" customWidth="1"/>
    <col min="15" max="15" width="9" style="32" customWidth="1"/>
    <col min="16" max="16" width="9.125" style="32"/>
    <col min="17" max="17" width="8.375" style="32" customWidth="1"/>
    <col min="18" max="18" width="8.75" style="32" customWidth="1"/>
    <col min="19" max="19" width="9.125" style="32"/>
    <col min="20" max="20" width="1.375" style="32" customWidth="1"/>
    <col min="21" max="21" width="11.625" style="32" bestFit="1" customWidth="1"/>
    <col min="22" max="22" width="7.125" style="32" customWidth="1"/>
    <col min="23" max="27" width="6.25" style="32" customWidth="1"/>
    <col min="28" max="28" width="7.75" style="32" customWidth="1"/>
    <col min="29" max="256" width="9.125" style="32"/>
    <col min="257" max="257" width="8.375" style="32" customWidth="1"/>
    <col min="258" max="258" width="10.375" style="32" customWidth="1"/>
    <col min="259" max="260" width="11.125" style="32" customWidth="1"/>
    <col min="261" max="261" width="9" style="32" customWidth="1"/>
    <col min="262" max="262" width="9.125" style="32"/>
    <col min="263" max="263" width="8.75" style="32" customWidth="1"/>
    <col min="264" max="264" width="9.625" style="32" customWidth="1"/>
    <col min="265" max="265" width="9.125" style="32"/>
    <col min="266" max="266" width="9.25" style="32" customWidth="1"/>
    <col min="267" max="267" width="9.375" style="32" customWidth="1"/>
    <col min="268" max="268" width="9.625" style="32" customWidth="1"/>
    <col min="269" max="269" width="10" style="32" customWidth="1"/>
    <col min="270" max="270" width="9.625" style="32" customWidth="1"/>
    <col min="271" max="271" width="9" style="32" customWidth="1"/>
    <col min="272" max="272" width="9.125" style="32"/>
    <col min="273" max="273" width="8.375" style="32" customWidth="1"/>
    <col min="274" max="274" width="8.75" style="32" customWidth="1"/>
    <col min="275" max="275" width="9.125" style="32"/>
    <col min="276" max="276" width="1.375" style="32" customWidth="1"/>
    <col min="277" max="277" width="11.625" style="32" bestFit="1" customWidth="1"/>
    <col min="278" max="278" width="7.125" style="32" customWidth="1"/>
    <col min="279" max="283" width="6.25" style="32" customWidth="1"/>
    <col min="284" max="284" width="7.75" style="32" customWidth="1"/>
    <col min="285" max="512" width="9.125" style="32"/>
    <col min="513" max="513" width="8.375" style="32" customWidth="1"/>
    <col min="514" max="514" width="10.375" style="32" customWidth="1"/>
    <col min="515" max="516" width="11.125" style="32" customWidth="1"/>
    <col min="517" max="517" width="9" style="32" customWidth="1"/>
    <col min="518" max="518" width="9.125" style="32"/>
    <col min="519" max="519" width="8.75" style="32" customWidth="1"/>
    <col min="520" max="520" width="9.625" style="32" customWidth="1"/>
    <col min="521" max="521" width="9.125" style="32"/>
    <col min="522" max="522" width="9.25" style="32" customWidth="1"/>
    <col min="523" max="523" width="9.375" style="32" customWidth="1"/>
    <col min="524" max="524" width="9.625" style="32" customWidth="1"/>
    <col min="525" max="525" width="10" style="32" customWidth="1"/>
    <col min="526" max="526" width="9.625" style="32" customWidth="1"/>
    <col min="527" max="527" width="9" style="32" customWidth="1"/>
    <col min="528" max="528" width="9.125" style="32"/>
    <col min="529" max="529" width="8.375" style="32" customWidth="1"/>
    <col min="530" max="530" width="8.75" style="32" customWidth="1"/>
    <col min="531" max="531" width="9.125" style="32"/>
    <col min="532" max="532" width="1.375" style="32" customWidth="1"/>
    <col min="533" max="533" width="11.625" style="32" bestFit="1" customWidth="1"/>
    <col min="534" max="534" width="7.125" style="32" customWidth="1"/>
    <col min="535" max="539" width="6.25" style="32" customWidth="1"/>
    <col min="540" max="540" width="7.75" style="32" customWidth="1"/>
    <col min="541" max="768" width="9.125" style="32"/>
    <col min="769" max="769" width="8.375" style="32" customWidth="1"/>
    <col min="770" max="770" width="10.375" style="32" customWidth="1"/>
    <col min="771" max="772" width="11.125" style="32" customWidth="1"/>
    <col min="773" max="773" width="9" style="32" customWidth="1"/>
    <col min="774" max="774" width="9.125" style="32"/>
    <col min="775" max="775" width="8.75" style="32" customWidth="1"/>
    <col min="776" max="776" width="9.625" style="32" customWidth="1"/>
    <col min="777" max="777" width="9.125" style="32"/>
    <col min="778" max="778" width="9.25" style="32" customWidth="1"/>
    <col min="779" max="779" width="9.375" style="32" customWidth="1"/>
    <col min="780" max="780" width="9.625" style="32" customWidth="1"/>
    <col min="781" max="781" width="10" style="32" customWidth="1"/>
    <col min="782" max="782" width="9.625" style="32" customWidth="1"/>
    <col min="783" max="783" width="9" style="32" customWidth="1"/>
    <col min="784" max="784" width="9.125" style="32"/>
    <col min="785" max="785" width="8.375" style="32" customWidth="1"/>
    <col min="786" max="786" width="8.75" style="32" customWidth="1"/>
    <col min="787" max="787" width="9.125" style="32"/>
    <col min="788" max="788" width="1.375" style="32" customWidth="1"/>
    <col min="789" max="789" width="11.625" style="32" bestFit="1" customWidth="1"/>
    <col min="790" max="790" width="7.125" style="32" customWidth="1"/>
    <col min="791" max="795" width="6.25" style="32" customWidth="1"/>
    <col min="796" max="796" width="7.75" style="32" customWidth="1"/>
    <col min="797" max="1024" width="9.125" style="32"/>
    <col min="1025" max="1025" width="8.375" style="32" customWidth="1"/>
    <col min="1026" max="1026" width="10.375" style="32" customWidth="1"/>
    <col min="1027" max="1028" width="11.125" style="32" customWidth="1"/>
    <col min="1029" max="1029" width="9" style="32" customWidth="1"/>
    <col min="1030" max="1030" width="9.125" style="32"/>
    <col min="1031" max="1031" width="8.75" style="32" customWidth="1"/>
    <col min="1032" max="1032" width="9.625" style="32" customWidth="1"/>
    <col min="1033" max="1033" width="9.125" style="32"/>
    <col min="1034" max="1034" width="9.25" style="32" customWidth="1"/>
    <col min="1035" max="1035" width="9.375" style="32" customWidth="1"/>
    <col min="1036" max="1036" width="9.625" style="32" customWidth="1"/>
    <col min="1037" max="1037" width="10" style="32" customWidth="1"/>
    <col min="1038" max="1038" width="9.625" style="32" customWidth="1"/>
    <col min="1039" max="1039" width="9" style="32" customWidth="1"/>
    <col min="1040" max="1040" width="9.125" style="32"/>
    <col min="1041" max="1041" width="8.375" style="32" customWidth="1"/>
    <col min="1042" max="1042" width="8.75" style="32" customWidth="1"/>
    <col min="1043" max="1043" width="9.125" style="32"/>
    <col min="1044" max="1044" width="1.375" style="32" customWidth="1"/>
    <col min="1045" max="1045" width="11.625" style="32" bestFit="1" customWidth="1"/>
    <col min="1046" max="1046" width="7.125" style="32" customWidth="1"/>
    <col min="1047" max="1051" width="6.25" style="32" customWidth="1"/>
    <col min="1052" max="1052" width="7.75" style="32" customWidth="1"/>
    <col min="1053" max="1280" width="9.125" style="32"/>
    <col min="1281" max="1281" width="8.375" style="32" customWidth="1"/>
    <col min="1282" max="1282" width="10.375" style="32" customWidth="1"/>
    <col min="1283" max="1284" width="11.125" style="32" customWidth="1"/>
    <col min="1285" max="1285" width="9" style="32" customWidth="1"/>
    <col min="1286" max="1286" width="9.125" style="32"/>
    <col min="1287" max="1287" width="8.75" style="32" customWidth="1"/>
    <col min="1288" max="1288" width="9.625" style="32" customWidth="1"/>
    <col min="1289" max="1289" width="9.125" style="32"/>
    <col min="1290" max="1290" width="9.25" style="32" customWidth="1"/>
    <col min="1291" max="1291" width="9.375" style="32" customWidth="1"/>
    <col min="1292" max="1292" width="9.625" style="32" customWidth="1"/>
    <col min="1293" max="1293" width="10" style="32" customWidth="1"/>
    <col min="1294" max="1294" width="9.625" style="32" customWidth="1"/>
    <col min="1295" max="1295" width="9" style="32" customWidth="1"/>
    <col min="1296" max="1296" width="9.125" style="32"/>
    <col min="1297" max="1297" width="8.375" style="32" customWidth="1"/>
    <col min="1298" max="1298" width="8.75" style="32" customWidth="1"/>
    <col min="1299" max="1299" width="9.125" style="32"/>
    <col min="1300" max="1300" width="1.375" style="32" customWidth="1"/>
    <col min="1301" max="1301" width="11.625" style="32" bestFit="1" customWidth="1"/>
    <col min="1302" max="1302" width="7.125" style="32" customWidth="1"/>
    <col min="1303" max="1307" width="6.25" style="32" customWidth="1"/>
    <col min="1308" max="1308" width="7.75" style="32" customWidth="1"/>
    <col min="1309" max="1536" width="9.125" style="32"/>
    <col min="1537" max="1537" width="8.375" style="32" customWidth="1"/>
    <col min="1538" max="1538" width="10.375" style="32" customWidth="1"/>
    <col min="1539" max="1540" width="11.125" style="32" customWidth="1"/>
    <col min="1541" max="1541" width="9" style="32" customWidth="1"/>
    <col min="1542" max="1542" width="9.125" style="32"/>
    <col min="1543" max="1543" width="8.75" style="32" customWidth="1"/>
    <col min="1544" max="1544" width="9.625" style="32" customWidth="1"/>
    <col min="1545" max="1545" width="9.125" style="32"/>
    <col min="1546" max="1546" width="9.25" style="32" customWidth="1"/>
    <col min="1547" max="1547" width="9.375" style="32" customWidth="1"/>
    <col min="1548" max="1548" width="9.625" style="32" customWidth="1"/>
    <col min="1549" max="1549" width="10" style="32" customWidth="1"/>
    <col min="1550" max="1550" width="9.625" style="32" customWidth="1"/>
    <col min="1551" max="1551" width="9" style="32" customWidth="1"/>
    <col min="1552" max="1552" width="9.125" style="32"/>
    <col min="1553" max="1553" width="8.375" style="32" customWidth="1"/>
    <col min="1554" max="1554" width="8.75" style="32" customWidth="1"/>
    <col min="1555" max="1555" width="9.125" style="32"/>
    <col min="1556" max="1556" width="1.375" style="32" customWidth="1"/>
    <col min="1557" max="1557" width="11.625" style="32" bestFit="1" customWidth="1"/>
    <col min="1558" max="1558" width="7.125" style="32" customWidth="1"/>
    <col min="1559" max="1563" width="6.25" style="32" customWidth="1"/>
    <col min="1564" max="1564" width="7.75" style="32" customWidth="1"/>
    <col min="1565" max="1792" width="9.125" style="32"/>
    <col min="1793" max="1793" width="8.375" style="32" customWidth="1"/>
    <col min="1794" max="1794" width="10.375" style="32" customWidth="1"/>
    <col min="1795" max="1796" width="11.125" style="32" customWidth="1"/>
    <col min="1797" max="1797" width="9" style="32" customWidth="1"/>
    <col min="1798" max="1798" width="9.125" style="32"/>
    <col min="1799" max="1799" width="8.75" style="32" customWidth="1"/>
    <col min="1800" max="1800" width="9.625" style="32" customWidth="1"/>
    <col min="1801" max="1801" width="9.125" style="32"/>
    <col min="1802" max="1802" width="9.25" style="32" customWidth="1"/>
    <col min="1803" max="1803" width="9.375" style="32" customWidth="1"/>
    <col min="1804" max="1804" width="9.625" style="32" customWidth="1"/>
    <col min="1805" max="1805" width="10" style="32" customWidth="1"/>
    <col min="1806" max="1806" width="9.625" style="32" customWidth="1"/>
    <col min="1807" max="1807" width="9" style="32" customWidth="1"/>
    <col min="1808" max="1808" width="9.125" style="32"/>
    <col min="1809" max="1809" width="8.375" style="32" customWidth="1"/>
    <col min="1810" max="1810" width="8.75" style="32" customWidth="1"/>
    <col min="1811" max="1811" width="9.125" style="32"/>
    <col min="1812" max="1812" width="1.375" style="32" customWidth="1"/>
    <col min="1813" max="1813" width="11.625" style="32" bestFit="1" customWidth="1"/>
    <col min="1814" max="1814" width="7.125" style="32" customWidth="1"/>
    <col min="1815" max="1819" width="6.25" style="32" customWidth="1"/>
    <col min="1820" max="1820" width="7.75" style="32" customWidth="1"/>
    <col min="1821" max="2048" width="9.125" style="32"/>
    <col min="2049" max="2049" width="8.375" style="32" customWidth="1"/>
    <col min="2050" max="2050" width="10.375" style="32" customWidth="1"/>
    <col min="2051" max="2052" width="11.125" style="32" customWidth="1"/>
    <col min="2053" max="2053" width="9" style="32" customWidth="1"/>
    <col min="2054" max="2054" width="9.125" style="32"/>
    <col min="2055" max="2055" width="8.75" style="32" customWidth="1"/>
    <col min="2056" max="2056" width="9.625" style="32" customWidth="1"/>
    <col min="2057" max="2057" width="9.125" style="32"/>
    <col min="2058" max="2058" width="9.25" style="32" customWidth="1"/>
    <col min="2059" max="2059" width="9.375" style="32" customWidth="1"/>
    <col min="2060" max="2060" width="9.625" style="32" customWidth="1"/>
    <col min="2061" max="2061" width="10" style="32" customWidth="1"/>
    <col min="2062" max="2062" width="9.625" style="32" customWidth="1"/>
    <col min="2063" max="2063" width="9" style="32" customWidth="1"/>
    <col min="2064" max="2064" width="9.125" style="32"/>
    <col min="2065" max="2065" width="8.375" style="32" customWidth="1"/>
    <col min="2066" max="2066" width="8.75" style="32" customWidth="1"/>
    <col min="2067" max="2067" width="9.125" style="32"/>
    <col min="2068" max="2068" width="1.375" style="32" customWidth="1"/>
    <col min="2069" max="2069" width="11.625" style="32" bestFit="1" customWidth="1"/>
    <col min="2070" max="2070" width="7.125" style="32" customWidth="1"/>
    <col min="2071" max="2075" width="6.25" style="32" customWidth="1"/>
    <col min="2076" max="2076" width="7.75" style="32" customWidth="1"/>
    <col min="2077" max="2304" width="9.125" style="32"/>
    <col min="2305" max="2305" width="8.375" style="32" customWidth="1"/>
    <col min="2306" max="2306" width="10.375" style="32" customWidth="1"/>
    <col min="2307" max="2308" width="11.125" style="32" customWidth="1"/>
    <col min="2309" max="2309" width="9" style="32" customWidth="1"/>
    <col min="2310" max="2310" width="9.125" style="32"/>
    <col min="2311" max="2311" width="8.75" style="32" customWidth="1"/>
    <col min="2312" max="2312" width="9.625" style="32" customWidth="1"/>
    <col min="2313" max="2313" width="9.125" style="32"/>
    <col min="2314" max="2314" width="9.25" style="32" customWidth="1"/>
    <col min="2315" max="2315" width="9.375" style="32" customWidth="1"/>
    <col min="2316" max="2316" width="9.625" style="32" customWidth="1"/>
    <col min="2317" max="2317" width="10" style="32" customWidth="1"/>
    <col min="2318" max="2318" width="9.625" style="32" customWidth="1"/>
    <col min="2319" max="2319" width="9" style="32" customWidth="1"/>
    <col min="2320" max="2320" width="9.125" style="32"/>
    <col min="2321" max="2321" width="8.375" style="32" customWidth="1"/>
    <col min="2322" max="2322" width="8.75" style="32" customWidth="1"/>
    <col min="2323" max="2323" width="9.125" style="32"/>
    <col min="2324" max="2324" width="1.375" style="32" customWidth="1"/>
    <col min="2325" max="2325" width="11.625" style="32" bestFit="1" customWidth="1"/>
    <col min="2326" max="2326" width="7.125" style="32" customWidth="1"/>
    <col min="2327" max="2331" width="6.25" style="32" customWidth="1"/>
    <col min="2332" max="2332" width="7.75" style="32" customWidth="1"/>
    <col min="2333" max="2560" width="9.125" style="32"/>
    <col min="2561" max="2561" width="8.375" style="32" customWidth="1"/>
    <col min="2562" max="2562" width="10.375" style="32" customWidth="1"/>
    <col min="2563" max="2564" width="11.125" style="32" customWidth="1"/>
    <col min="2565" max="2565" width="9" style="32" customWidth="1"/>
    <col min="2566" max="2566" width="9.125" style="32"/>
    <col min="2567" max="2567" width="8.75" style="32" customWidth="1"/>
    <col min="2568" max="2568" width="9.625" style="32" customWidth="1"/>
    <col min="2569" max="2569" width="9.125" style="32"/>
    <col min="2570" max="2570" width="9.25" style="32" customWidth="1"/>
    <col min="2571" max="2571" width="9.375" style="32" customWidth="1"/>
    <col min="2572" max="2572" width="9.625" style="32" customWidth="1"/>
    <col min="2573" max="2573" width="10" style="32" customWidth="1"/>
    <col min="2574" max="2574" width="9.625" style="32" customWidth="1"/>
    <col min="2575" max="2575" width="9" style="32" customWidth="1"/>
    <col min="2576" max="2576" width="9.125" style="32"/>
    <col min="2577" max="2577" width="8.375" style="32" customWidth="1"/>
    <col min="2578" max="2578" width="8.75" style="32" customWidth="1"/>
    <col min="2579" max="2579" width="9.125" style="32"/>
    <col min="2580" max="2580" width="1.375" style="32" customWidth="1"/>
    <col min="2581" max="2581" width="11.625" style="32" bestFit="1" customWidth="1"/>
    <col min="2582" max="2582" width="7.125" style="32" customWidth="1"/>
    <col min="2583" max="2587" width="6.25" style="32" customWidth="1"/>
    <col min="2588" max="2588" width="7.75" style="32" customWidth="1"/>
    <col min="2589" max="2816" width="9.125" style="32"/>
    <col min="2817" max="2817" width="8.375" style="32" customWidth="1"/>
    <col min="2818" max="2818" width="10.375" style="32" customWidth="1"/>
    <col min="2819" max="2820" width="11.125" style="32" customWidth="1"/>
    <col min="2821" max="2821" width="9" style="32" customWidth="1"/>
    <col min="2822" max="2822" width="9.125" style="32"/>
    <col min="2823" max="2823" width="8.75" style="32" customWidth="1"/>
    <col min="2824" max="2824" width="9.625" style="32" customWidth="1"/>
    <col min="2825" max="2825" width="9.125" style="32"/>
    <col min="2826" max="2826" width="9.25" style="32" customWidth="1"/>
    <col min="2827" max="2827" width="9.375" style="32" customWidth="1"/>
    <col min="2828" max="2828" width="9.625" style="32" customWidth="1"/>
    <col min="2829" max="2829" width="10" style="32" customWidth="1"/>
    <col min="2830" max="2830" width="9.625" style="32" customWidth="1"/>
    <col min="2831" max="2831" width="9" style="32" customWidth="1"/>
    <col min="2832" max="2832" width="9.125" style="32"/>
    <col min="2833" max="2833" width="8.375" style="32" customWidth="1"/>
    <col min="2834" max="2834" width="8.75" style="32" customWidth="1"/>
    <col min="2835" max="2835" width="9.125" style="32"/>
    <col min="2836" max="2836" width="1.375" style="32" customWidth="1"/>
    <col min="2837" max="2837" width="11.625" style="32" bestFit="1" customWidth="1"/>
    <col min="2838" max="2838" width="7.125" style="32" customWidth="1"/>
    <col min="2839" max="2843" width="6.25" style="32" customWidth="1"/>
    <col min="2844" max="2844" width="7.75" style="32" customWidth="1"/>
    <col min="2845" max="3072" width="9.125" style="32"/>
    <col min="3073" max="3073" width="8.375" style="32" customWidth="1"/>
    <col min="3074" max="3074" width="10.375" style="32" customWidth="1"/>
    <col min="3075" max="3076" width="11.125" style="32" customWidth="1"/>
    <col min="3077" max="3077" width="9" style="32" customWidth="1"/>
    <col min="3078" max="3078" width="9.125" style="32"/>
    <col min="3079" max="3079" width="8.75" style="32" customWidth="1"/>
    <col min="3080" max="3080" width="9.625" style="32" customWidth="1"/>
    <col min="3081" max="3081" width="9.125" style="32"/>
    <col min="3082" max="3082" width="9.25" style="32" customWidth="1"/>
    <col min="3083" max="3083" width="9.375" style="32" customWidth="1"/>
    <col min="3084" max="3084" width="9.625" style="32" customWidth="1"/>
    <col min="3085" max="3085" width="10" style="32" customWidth="1"/>
    <col min="3086" max="3086" width="9.625" style="32" customWidth="1"/>
    <col min="3087" max="3087" width="9" style="32" customWidth="1"/>
    <col min="3088" max="3088" width="9.125" style="32"/>
    <col min="3089" max="3089" width="8.375" style="32" customWidth="1"/>
    <col min="3090" max="3090" width="8.75" style="32" customWidth="1"/>
    <col min="3091" max="3091" width="9.125" style="32"/>
    <col min="3092" max="3092" width="1.375" style="32" customWidth="1"/>
    <col min="3093" max="3093" width="11.625" style="32" bestFit="1" customWidth="1"/>
    <col min="3094" max="3094" width="7.125" style="32" customWidth="1"/>
    <col min="3095" max="3099" width="6.25" style="32" customWidth="1"/>
    <col min="3100" max="3100" width="7.75" style="32" customWidth="1"/>
    <col min="3101" max="3328" width="9.125" style="32"/>
    <col min="3329" max="3329" width="8.375" style="32" customWidth="1"/>
    <col min="3330" max="3330" width="10.375" style="32" customWidth="1"/>
    <col min="3331" max="3332" width="11.125" style="32" customWidth="1"/>
    <col min="3333" max="3333" width="9" style="32" customWidth="1"/>
    <col min="3334" max="3334" width="9.125" style="32"/>
    <col min="3335" max="3335" width="8.75" style="32" customWidth="1"/>
    <col min="3336" max="3336" width="9.625" style="32" customWidth="1"/>
    <col min="3337" max="3337" width="9.125" style="32"/>
    <col min="3338" max="3338" width="9.25" style="32" customWidth="1"/>
    <col min="3339" max="3339" width="9.375" style="32" customWidth="1"/>
    <col min="3340" max="3340" width="9.625" style="32" customWidth="1"/>
    <col min="3341" max="3341" width="10" style="32" customWidth="1"/>
    <col min="3342" max="3342" width="9.625" style="32" customWidth="1"/>
    <col min="3343" max="3343" width="9" style="32" customWidth="1"/>
    <col min="3344" max="3344" width="9.125" style="32"/>
    <col min="3345" max="3345" width="8.375" style="32" customWidth="1"/>
    <col min="3346" max="3346" width="8.75" style="32" customWidth="1"/>
    <col min="3347" max="3347" width="9.125" style="32"/>
    <col min="3348" max="3348" width="1.375" style="32" customWidth="1"/>
    <col min="3349" max="3349" width="11.625" style="32" bestFit="1" customWidth="1"/>
    <col min="3350" max="3350" width="7.125" style="32" customWidth="1"/>
    <col min="3351" max="3355" width="6.25" style="32" customWidth="1"/>
    <col min="3356" max="3356" width="7.75" style="32" customWidth="1"/>
    <col min="3357" max="3584" width="9.125" style="32"/>
    <col min="3585" max="3585" width="8.375" style="32" customWidth="1"/>
    <col min="3586" max="3586" width="10.375" style="32" customWidth="1"/>
    <col min="3587" max="3588" width="11.125" style="32" customWidth="1"/>
    <col min="3589" max="3589" width="9" style="32" customWidth="1"/>
    <col min="3590" max="3590" width="9.125" style="32"/>
    <col min="3591" max="3591" width="8.75" style="32" customWidth="1"/>
    <col min="3592" max="3592" width="9.625" style="32" customWidth="1"/>
    <col min="3593" max="3593" width="9.125" style="32"/>
    <col min="3594" max="3594" width="9.25" style="32" customWidth="1"/>
    <col min="3595" max="3595" width="9.375" style="32" customWidth="1"/>
    <col min="3596" max="3596" width="9.625" style="32" customWidth="1"/>
    <col min="3597" max="3597" width="10" style="32" customWidth="1"/>
    <col min="3598" max="3598" width="9.625" style="32" customWidth="1"/>
    <col min="3599" max="3599" width="9" style="32" customWidth="1"/>
    <col min="3600" max="3600" width="9.125" style="32"/>
    <col min="3601" max="3601" width="8.375" style="32" customWidth="1"/>
    <col min="3602" max="3602" width="8.75" style="32" customWidth="1"/>
    <col min="3603" max="3603" width="9.125" style="32"/>
    <col min="3604" max="3604" width="1.375" style="32" customWidth="1"/>
    <col min="3605" max="3605" width="11.625" style="32" bestFit="1" customWidth="1"/>
    <col min="3606" max="3606" width="7.125" style="32" customWidth="1"/>
    <col min="3607" max="3611" width="6.25" style="32" customWidth="1"/>
    <col min="3612" max="3612" width="7.75" style="32" customWidth="1"/>
    <col min="3613" max="3840" width="9.125" style="32"/>
    <col min="3841" max="3841" width="8.375" style="32" customWidth="1"/>
    <col min="3842" max="3842" width="10.375" style="32" customWidth="1"/>
    <col min="3843" max="3844" width="11.125" style="32" customWidth="1"/>
    <col min="3845" max="3845" width="9" style="32" customWidth="1"/>
    <col min="3846" max="3846" width="9.125" style="32"/>
    <col min="3847" max="3847" width="8.75" style="32" customWidth="1"/>
    <col min="3848" max="3848" width="9.625" style="32" customWidth="1"/>
    <col min="3849" max="3849" width="9.125" style="32"/>
    <col min="3850" max="3850" width="9.25" style="32" customWidth="1"/>
    <col min="3851" max="3851" width="9.375" style="32" customWidth="1"/>
    <col min="3852" max="3852" width="9.625" style="32" customWidth="1"/>
    <col min="3853" max="3853" width="10" style="32" customWidth="1"/>
    <col min="3854" max="3854" width="9.625" style="32" customWidth="1"/>
    <col min="3855" max="3855" width="9" style="32" customWidth="1"/>
    <col min="3856" max="3856" width="9.125" style="32"/>
    <col min="3857" max="3857" width="8.375" style="32" customWidth="1"/>
    <col min="3858" max="3858" width="8.75" style="32" customWidth="1"/>
    <col min="3859" max="3859" width="9.125" style="32"/>
    <col min="3860" max="3860" width="1.375" style="32" customWidth="1"/>
    <col min="3861" max="3861" width="11.625" style="32" bestFit="1" customWidth="1"/>
    <col min="3862" max="3862" width="7.125" style="32" customWidth="1"/>
    <col min="3863" max="3867" width="6.25" style="32" customWidth="1"/>
    <col min="3868" max="3868" width="7.75" style="32" customWidth="1"/>
    <col min="3869" max="4096" width="9.125" style="32"/>
    <col min="4097" max="4097" width="8.375" style="32" customWidth="1"/>
    <col min="4098" max="4098" width="10.375" style="32" customWidth="1"/>
    <col min="4099" max="4100" width="11.125" style="32" customWidth="1"/>
    <col min="4101" max="4101" width="9" style="32" customWidth="1"/>
    <col min="4102" max="4102" width="9.125" style="32"/>
    <col min="4103" max="4103" width="8.75" style="32" customWidth="1"/>
    <col min="4104" max="4104" width="9.625" style="32" customWidth="1"/>
    <col min="4105" max="4105" width="9.125" style="32"/>
    <col min="4106" max="4106" width="9.25" style="32" customWidth="1"/>
    <col min="4107" max="4107" width="9.375" style="32" customWidth="1"/>
    <col min="4108" max="4108" width="9.625" style="32" customWidth="1"/>
    <col min="4109" max="4109" width="10" style="32" customWidth="1"/>
    <col min="4110" max="4110" width="9.625" style="32" customWidth="1"/>
    <col min="4111" max="4111" width="9" style="32" customWidth="1"/>
    <col min="4112" max="4112" width="9.125" style="32"/>
    <col min="4113" max="4113" width="8.375" style="32" customWidth="1"/>
    <col min="4114" max="4114" width="8.75" style="32" customWidth="1"/>
    <col min="4115" max="4115" width="9.125" style="32"/>
    <col min="4116" max="4116" width="1.375" style="32" customWidth="1"/>
    <col min="4117" max="4117" width="11.625" style="32" bestFit="1" customWidth="1"/>
    <col min="4118" max="4118" width="7.125" style="32" customWidth="1"/>
    <col min="4119" max="4123" width="6.25" style="32" customWidth="1"/>
    <col min="4124" max="4124" width="7.75" style="32" customWidth="1"/>
    <col min="4125" max="4352" width="9.125" style="32"/>
    <col min="4353" max="4353" width="8.375" style="32" customWidth="1"/>
    <col min="4354" max="4354" width="10.375" style="32" customWidth="1"/>
    <col min="4355" max="4356" width="11.125" style="32" customWidth="1"/>
    <col min="4357" max="4357" width="9" style="32" customWidth="1"/>
    <col min="4358" max="4358" width="9.125" style="32"/>
    <col min="4359" max="4359" width="8.75" style="32" customWidth="1"/>
    <col min="4360" max="4360" width="9.625" style="32" customWidth="1"/>
    <col min="4361" max="4361" width="9.125" style="32"/>
    <col min="4362" max="4362" width="9.25" style="32" customWidth="1"/>
    <col min="4363" max="4363" width="9.375" style="32" customWidth="1"/>
    <col min="4364" max="4364" width="9.625" style="32" customWidth="1"/>
    <col min="4365" max="4365" width="10" style="32" customWidth="1"/>
    <col min="4366" max="4366" width="9.625" style="32" customWidth="1"/>
    <col min="4367" max="4367" width="9" style="32" customWidth="1"/>
    <col min="4368" max="4368" width="9.125" style="32"/>
    <col min="4369" max="4369" width="8.375" style="32" customWidth="1"/>
    <col min="4370" max="4370" width="8.75" style="32" customWidth="1"/>
    <col min="4371" max="4371" width="9.125" style="32"/>
    <col min="4372" max="4372" width="1.375" style="32" customWidth="1"/>
    <col min="4373" max="4373" width="11.625" style="32" bestFit="1" customWidth="1"/>
    <col min="4374" max="4374" width="7.125" style="32" customWidth="1"/>
    <col min="4375" max="4379" width="6.25" style="32" customWidth="1"/>
    <col min="4380" max="4380" width="7.75" style="32" customWidth="1"/>
    <col min="4381" max="4608" width="9.125" style="32"/>
    <col min="4609" max="4609" width="8.375" style="32" customWidth="1"/>
    <col min="4610" max="4610" width="10.375" style="32" customWidth="1"/>
    <col min="4611" max="4612" width="11.125" style="32" customWidth="1"/>
    <col min="4613" max="4613" width="9" style="32" customWidth="1"/>
    <col min="4614" max="4614" width="9.125" style="32"/>
    <col min="4615" max="4615" width="8.75" style="32" customWidth="1"/>
    <col min="4616" max="4616" width="9.625" style="32" customWidth="1"/>
    <col min="4617" max="4617" width="9.125" style="32"/>
    <col min="4618" max="4618" width="9.25" style="32" customWidth="1"/>
    <col min="4619" max="4619" width="9.375" style="32" customWidth="1"/>
    <col min="4620" max="4620" width="9.625" style="32" customWidth="1"/>
    <col min="4621" max="4621" width="10" style="32" customWidth="1"/>
    <col min="4622" max="4622" width="9.625" style="32" customWidth="1"/>
    <col min="4623" max="4623" width="9" style="32" customWidth="1"/>
    <col min="4624" max="4624" width="9.125" style="32"/>
    <col min="4625" max="4625" width="8.375" style="32" customWidth="1"/>
    <col min="4626" max="4626" width="8.75" style="32" customWidth="1"/>
    <col min="4627" max="4627" width="9.125" style="32"/>
    <col min="4628" max="4628" width="1.375" style="32" customWidth="1"/>
    <col min="4629" max="4629" width="11.625" style="32" bestFit="1" customWidth="1"/>
    <col min="4630" max="4630" width="7.125" style="32" customWidth="1"/>
    <col min="4631" max="4635" width="6.25" style="32" customWidth="1"/>
    <col min="4636" max="4636" width="7.75" style="32" customWidth="1"/>
    <col min="4637" max="4864" width="9.125" style="32"/>
    <col min="4865" max="4865" width="8.375" style="32" customWidth="1"/>
    <col min="4866" max="4866" width="10.375" style="32" customWidth="1"/>
    <col min="4867" max="4868" width="11.125" style="32" customWidth="1"/>
    <col min="4869" max="4869" width="9" style="32" customWidth="1"/>
    <col min="4870" max="4870" width="9.125" style="32"/>
    <col min="4871" max="4871" width="8.75" style="32" customWidth="1"/>
    <col min="4872" max="4872" width="9.625" style="32" customWidth="1"/>
    <col min="4873" max="4873" width="9.125" style="32"/>
    <col min="4874" max="4874" width="9.25" style="32" customWidth="1"/>
    <col min="4875" max="4875" width="9.375" style="32" customWidth="1"/>
    <col min="4876" max="4876" width="9.625" style="32" customWidth="1"/>
    <col min="4877" max="4877" width="10" style="32" customWidth="1"/>
    <col min="4878" max="4878" width="9.625" style="32" customWidth="1"/>
    <col min="4879" max="4879" width="9" style="32" customWidth="1"/>
    <col min="4880" max="4880" width="9.125" style="32"/>
    <col min="4881" max="4881" width="8.375" style="32" customWidth="1"/>
    <col min="4882" max="4882" width="8.75" style="32" customWidth="1"/>
    <col min="4883" max="4883" width="9.125" style="32"/>
    <col min="4884" max="4884" width="1.375" style="32" customWidth="1"/>
    <col min="4885" max="4885" width="11.625" style="32" bestFit="1" customWidth="1"/>
    <col min="4886" max="4886" width="7.125" style="32" customWidth="1"/>
    <col min="4887" max="4891" width="6.25" style="32" customWidth="1"/>
    <col min="4892" max="4892" width="7.75" style="32" customWidth="1"/>
    <col min="4893" max="5120" width="9.125" style="32"/>
    <col min="5121" max="5121" width="8.375" style="32" customWidth="1"/>
    <col min="5122" max="5122" width="10.375" style="32" customWidth="1"/>
    <col min="5123" max="5124" width="11.125" style="32" customWidth="1"/>
    <col min="5125" max="5125" width="9" style="32" customWidth="1"/>
    <col min="5126" max="5126" width="9.125" style="32"/>
    <col min="5127" max="5127" width="8.75" style="32" customWidth="1"/>
    <col min="5128" max="5128" width="9.625" style="32" customWidth="1"/>
    <col min="5129" max="5129" width="9.125" style="32"/>
    <col min="5130" max="5130" width="9.25" style="32" customWidth="1"/>
    <col min="5131" max="5131" width="9.375" style="32" customWidth="1"/>
    <col min="5132" max="5132" width="9.625" style="32" customWidth="1"/>
    <col min="5133" max="5133" width="10" style="32" customWidth="1"/>
    <col min="5134" max="5134" width="9.625" style="32" customWidth="1"/>
    <col min="5135" max="5135" width="9" style="32" customWidth="1"/>
    <col min="5136" max="5136" width="9.125" style="32"/>
    <col min="5137" max="5137" width="8.375" style="32" customWidth="1"/>
    <col min="5138" max="5138" width="8.75" style="32" customWidth="1"/>
    <col min="5139" max="5139" width="9.125" style="32"/>
    <col min="5140" max="5140" width="1.375" style="32" customWidth="1"/>
    <col min="5141" max="5141" width="11.625" style="32" bestFit="1" customWidth="1"/>
    <col min="5142" max="5142" width="7.125" style="32" customWidth="1"/>
    <col min="5143" max="5147" width="6.25" style="32" customWidth="1"/>
    <col min="5148" max="5148" width="7.75" style="32" customWidth="1"/>
    <col min="5149" max="5376" width="9.125" style="32"/>
    <col min="5377" max="5377" width="8.375" style="32" customWidth="1"/>
    <col min="5378" max="5378" width="10.375" style="32" customWidth="1"/>
    <col min="5379" max="5380" width="11.125" style="32" customWidth="1"/>
    <col min="5381" max="5381" width="9" style="32" customWidth="1"/>
    <col min="5382" max="5382" width="9.125" style="32"/>
    <col min="5383" max="5383" width="8.75" style="32" customWidth="1"/>
    <col min="5384" max="5384" width="9.625" style="32" customWidth="1"/>
    <col min="5385" max="5385" width="9.125" style="32"/>
    <col min="5386" max="5386" width="9.25" style="32" customWidth="1"/>
    <col min="5387" max="5387" width="9.375" style="32" customWidth="1"/>
    <col min="5388" max="5388" width="9.625" style="32" customWidth="1"/>
    <col min="5389" max="5389" width="10" style="32" customWidth="1"/>
    <col min="5390" max="5390" width="9.625" style="32" customWidth="1"/>
    <col min="5391" max="5391" width="9" style="32" customWidth="1"/>
    <col min="5392" max="5392" width="9.125" style="32"/>
    <col min="5393" max="5393" width="8.375" style="32" customWidth="1"/>
    <col min="5394" max="5394" width="8.75" style="32" customWidth="1"/>
    <col min="5395" max="5395" width="9.125" style="32"/>
    <col min="5396" max="5396" width="1.375" style="32" customWidth="1"/>
    <col min="5397" max="5397" width="11.625" style="32" bestFit="1" customWidth="1"/>
    <col min="5398" max="5398" width="7.125" style="32" customWidth="1"/>
    <col min="5399" max="5403" width="6.25" style="32" customWidth="1"/>
    <col min="5404" max="5404" width="7.75" style="32" customWidth="1"/>
    <col min="5405" max="5632" width="9.125" style="32"/>
    <col min="5633" max="5633" width="8.375" style="32" customWidth="1"/>
    <col min="5634" max="5634" width="10.375" style="32" customWidth="1"/>
    <col min="5635" max="5636" width="11.125" style="32" customWidth="1"/>
    <col min="5637" max="5637" width="9" style="32" customWidth="1"/>
    <col min="5638" max="5638" width="9.125" style="32"/>
    <col min="5639" max="5639" width="8.75" style="32" customWidth="1"/>
    <col min="5640" max="5640" width="9.625" style="32" customWidth="1"/>
    <col min="5641" max="5641" width="9.125" style="32"/>
    <col min="5642" max="5642" width="9.25" style="32" customWidth="1"/>
    <col min="5643" max="5643" width="9.375" style="32" customWidth="1"/>
    <col min="5644" max="5644" width="9.625" style="32" customWidth="1"/>
    <col min="5645" max="5645" width="10" style="32" customWidth="1"/>
    <col min="5646" max="5646" width="9.625" style="32" customWidth="1"/>
    <col min="5647" max="5647" width="9" style="32" customWidth="1"/>
    <col min="5648" max="5648" width="9.125" style="32"/>
    <col min="5649" max="5649" width="8.375" style="32" customWidth="1"/>
    <col min="5650" max="5650" width="8.75" style="32" customWidth="1"/>
    <col min="5651" max="5651" width="9.125" style="32"/>
    <col min="5652" max="5652" width="1.375" style="32" customWidth="1"/>
    <col min="5653" max="5653" width="11.625" style="32" bestFit="1" customWidth="1"/>
    <col min="5654" max="5654" width="7.125" style="32" customWidth="1"/>
    <col min="5655" max="5659" width="6.25" style="32" customWidth="1"/>
    <col min="5660" max="5660" width="7.75" style="32" customWidth="1"/>
    <col min="5661" max="5888" width="9.125" style="32"/>
    <col min="5889" max="5889" width="8.375" style="32" customWidth="1"/>
    <col min="5890" max="5890" width="10.375" style="32" customWidth="1"/>
    <col min="5891" max="5892" width="11.125" style="32" customWidth="1"/>
    <col min="5893" max="5893" width="9" style="32" customWidth="1"/>
    <col min="5894" max="5894" width="9.125" style="32"/>
    <col min="5895" max="5895" width="8.75" style="32" customWidth="1"/>
    <col min="5896" max="5896" width="9.625" style="32" customWidth="1"/>
    <col min="5897" max="5897" width="9.125" style="32"/>
    <col min="5898" max="5898" width="9.25" style="32" customWidth="1"/>
    <col min="5899" max="5899" width="9.375" style="32" customWidth="1"/>
    <col min="5900" max="5900" width="9.625" style="32" customWidth="1"/>
    <col min="5901" max="5901" width="10" style="32" customWidth="1"/>
    <col min="5902" max="5902" width="9.625" style="32" customWidth="1"/>
    <col min="5903" max="5903" width="9" style="32" customWidth="1"/>
    <col min="5904" max="5904" width="9.125" style="32"/>
    <col min="5905" max="5905" width="8.375" style="32" customWidth="1"/>
    <col min="5906" max="5906" width="8.75" style="32" customWidth="1"/>
    <col min="5907" max="5907" width="9.125" style="32"/>
    <col min="5908" max="5908" width="1.375" style="32" customWidth="1"/>
    <col min="5909" max="5909" width="11.625" style="32" bestFit="1" customWidth="1"/>
    <col min="5910" max="5910" width="7.125" style="32" customWidth="1"/>
    <col min="5911" max="5915" width="6.25" style="32" customWidth="1"/>
    <col min="5916" max="5916" width="7.75" style="32" customWidth="1"/>
    <col min="5917" max="6144" width="9.125" style="32"/>
    <col min="6145" max="6145" width="8.375" style="32" customWidth="1"/>
    <col min="6146" max="6146" width="10.375" style="32" customWidth="1"/>
    <col min="6147" max="6148" width="11.125" style="32" customWidth="1"/>
    <col min="6149" max="6149" width="9" style="32" customWidth="1"/>
    <col min="6150" max="6150" width="9.125" style="32"/>
    <col min="6151" max="6151" width="8.75" style="32" customWidth="1"/>
    <col min="6152" max="6152" width="9.625" style="32" customWidth="1"/>
    <col min="6153" max="6153" width="9.125" style="32"/>
    <col min="6154" max="6154" width="9.25" style="32" customWidth="1"/>
    <col min="6155" max="6155" width="9.375" style="32" customWidth="1"/>
    <col min="6156" max="6156" width="9.625" style="32" customWidth="1"/>
    <col min="6157" max="6157" width="10" style="32" customWidth="1"/>
    <col min="6158" max="6158" width="9.625" style="32" customWidth="1"/>
    <col min="6159" max="6159" width="9" style="32" customWidth="1"/>
    <col min="6160" max="6160" width="9.125" style="32"/>
    <col min="6161" max="6161" width="8.375" style="32" customWidth="1"/>
    <col min="6162" max="6162" width="8.75" style="32" customWidth="1"/>
    <col min="6163" max="6163" width="9.125" style="32"/>
    <col min="6164" max="6164" width="1.375" style="32" customWidth="1"/>
    <col min="6165" max="6165" width="11.625" style="32" bestFit="1" customWidth="1"/>
    <col min="6166" max="6166" width="7.125" style="32" customWidth="1"/>
    <col min="6167" max="6171" width="6.25" style="32" customWidth="1"/>
    <col min="6172" max="6172" width="7.75" style="32" customWidth="1"/>
    <col min="6173" max="6400" width="9.125" style="32"/>
    <col min="6401" max="6401" width="8.375" style="32" customWidth="1"/>
    <col min="6402" max="6402" width="10.375" style="32" customWidth="1"/>
    <col min="6403" max="6404" width="11.125" style="32" customWidth="1"/>
    <col min="6405" max="6405" width="9" style="32" customWidth="1"/>
    <col min="6406" max="6406" width="9.125" style="32"/>
    <col min="6407" max="6407" width="8.75" style="32" customWidth="1"/>
    <col min="6408" max="6408" width="9.625" style="32" customWidth="1"/>
    <col min="6409" max="6409" width="9.125" style="32"/>
    <col min="6410" max="6410" width="9.25" style="32" customWidth="1"/>
    <col min="6411" max="6411" width="9.375" style="32" customWidth="1"/>
    <col min="6412" max="6412" width="9.625" style="32" customWidth="1"/>
    <col min="6413" max="6413" width="10" style="32" customWidth="1"/>
    <col min="6414" max="6414" width="9.625" style="32" customWidth="1"/>
    <col min="6415" max="6415" width="9" style="32" customWidth="1"/>
    <col min="6416" max="6416" width="9.125" style="32"/>
    <col min="6417" max="6417" width="8.375" style="32" customWidth="1"/>
    <col min="6418" max="6418" width="8.75" style="32" customWidth="1"/>
    <col min="6419" max="6419" width="9.125" style="32"/>
    <col min="6420" max="6420" width="1.375" style="32" customWidth="1"/>
    <col min="6421" max="6421" width="11.625" style="32" bestFit="1" customWidth="1"/>
    <col min="6422" max="6422" width="7.125" style="32" customWidth="1"/>
    <col min="6423" max="6427" width="6.25" style="32" customWidth="1"/>
    <col min="6428" max="6428" width="7.75" style="32" customWidth="1"/>
    <col min="6429" max="6656" width="9.125" style="32"/>
    <col min="6657" max="6657" width="8.375" style="32" customWidth="1"/>
    <col min="6658" max="6658" width="10.375" style="32" customWidth="1"/>
    <col min="6659" max="6660" width="11.125" style="32" customWidth="1"/>
    <col min="6661" max="6661" width="9" style="32" customWidth="1"/>
    <col min="6662" max="6662" width="9.125" style="32"/>
    <col min="6663" max="6663" width="8.75" style="32" customWidth="1"/>
    <col min="6664" max="6664" width="9.625" style="32" customWidth="1"/>
    <col min="6665" max="6665" width="9.125" style="32"/>
    <col min="6666" max="6666" width="9.25" style="32" customWidth="1"/>
    <col min="6667" max="6667" width="9.375" style="32" customWidth="1"/>
    <col min="6668" max="6668" width="9.625" style="32" customWidth="1"/>
    <col min="6669" max="6669" width="10" style="32" customWidth="1"/>
    <col min="6670" max="6670" width="9.625" style="32" customWidth="1"/>
    <col min="6671" max="6671" width="9" style="32" customWidth="1"/>
    <col min="6672" max="6672" width="9.125" style="32"/>
    <col min="6673" max="6673" width="8.375" style="32" customWidth="1"/>
    <col min="6674" max="6674" width="8.75" style="32" customWidth="1"/>
    <col min="6675" max="6675" width="9.125" style="32"/>
    <col min="6676" max="6676" width="1.375" style="32" customWidth="1"/>
    <col min="6677" max="6677" width="11.625" style="32" bestFit="1" customWidth="1"/>
    <col min="6678" max="6678" width="7.125" style="32" customWidth="1"/>
    <col min="6679" max="6683" width="6.25" style="32" customWidth="1"/>
    <col min="6684" max="6684" width="7.75" style="32" customWidth="1"/>
    <col min="6685" max="6912" width="9.125" style="32"/>
    <col min="6913" max="6913" width="8.375" style="32" customWidth="1"/>
    <col min="6914" max="6914" width="10.375" style="32" customWidth="1"/>
    <col min="6915" max="6916" width="11.125" style="32" customWidth="1"/>
    <col min="6917" max="6917" width="9" style="32" customWidth="1"/>
    <col min="6918" max="6918" width="9.125" style="32"/>
    <col min="6919" max="6919" width="8.75" style="32" customWidth="1"/>
    <col min="6920" max="6920" width="9.625" style="32" customWidth="1"/>
    <col min="6921" max="6921" width="9.125" style="32"/>
    <col min="6922" max="6922" width="9.25" style="32" customWidth="1"/>
    <col min="6923" max="6923" width="9.375" style="32" customWidth="1"/>
    <col min="6924" max="6924" width="9.625" style="32" customWidth="1"/>
    <col min="6925" max="6925" width="10" style="32" customWidth="1"/>
    <col min="6926" max="6926" width="9.625" style="32" customWidth="1"/>
    <col min="6927" max="6927" width="9" style="32" customWidth="1"/>
    <col min="6928" max="6928" width="9.125" style="32"/>
    <col min="6929" max="6929" width="8.375" style="32" customWidth="1"/>
    <col min="6930" max="6930" width="8.75" style="32" customWidth="1"/>
    <col min="6931" max="6931" width="9.125" style="32"/>
    <col min="6932" max="6932" width="1.375" style="32" customWidth="1"/>
    <col min="6933" max="6933" width="11.625" style="32" bestFit="1" customWidth="1"/>
    <col min="6934" max="6934" width="7.125" style="32" customWidth="1"/>
    <col min="6935" max="6939" width="6.25" style="32" customWidth="1"/>
    <col min="6940" max="6940" width="7.75" style="32" customWidth="1"/>
    <col min="6941" max="7168" width="9.125" style="32"/>
    <col min="7169" max="7169" width="8.375" style="32" customWidth="1"/>
    <col min="7170" max="7170" width="10.375" style="32" customWidth="1"/>
    <col min="7171" max="7172" width="11.125" style="32" customWidth="1"/>
    <col min="7173" max="7173" width="9" style="32" customWidth="1"/>
    <col min="7174" max="7174" width="9.125" style="32"/>
    <col min="7175" max="7175" width="8.75" style="32" customWidth="1"/>
    <col min="7176" max="7176" width="9.625" style="32" customWidth="1"/>
    <col min="7177" max="7177" width="9.125" style="32"/>
    <col min="7178" max="7178" width="9.25" style="32" customWidth="1"/>
    <col min="7179" max="7179" width="9.375" style="32" customWidth="1"/>
    <col min="7180" max="7180" width="9.625" style="32" customWidth="1"/>
    <col min="7181" max="7181" width="10" style="32" customWidth="1"/>
    <col min="7182" max="7182" width="9.625" style="32" customWidth="1"/>
    <col min="7183" max="7183" width="9" style="32" customWidth="1"/>
    <col min="7184" max="7184" width="9.125" style="32"/>
    <col min="7185" max="7185" width="8.375" style="32" customWidth="1"/>
    <col min="7186" max="7186" width="8.75" style="32" customWidth="1"/>
    <col min="7187" max="7187" width="9.125" style="32"/>
    <col min="7188" max="7188" width="1.375" style="32" customWidth="1"/>
    <col min="7189" max="7189" width="11.625" style="32" bestFit="1" customWidth="1"/>
    <col min="7190" max="7190" width="7.125" style="32" customWidth="1"/>
    <col min="7191" max="7195" width="6.25" style="32" customWidth="1"/>
    <col min="7196" max="7196" width="7.75" style="32" customWidth="1"/>
    <col min="7197" max="7424" width="9.125" style="32"/>
    <col min="7425" max="7425" width="8.375" style="32" customWidth="1"/>
    <col min="7426" max="7426" width="10.375" style="32" customWidth="1"/>
    <col min="7427" max="7428" width="11.125" style="32" customWidth="1"/>
    <col min="7429" max="7429" width="9" style="32" customWidth="1"/>
    <col min="7430" max="7430" width="9.125" style="32"/>
    <col min="7431" max="7431" width="8.75" style="32" customWidth="1"/>
    <col min="7432" max="7432" width="9.625" style="32" customWidth="1"/>
    <col min="7433" max="7433" width="9.125" style="32"/>
    <col min="7434" max="7434" width="9.25" style="32" customWidth="1"/>
    <col min="7435" max="7435" width="9.375" style="32" customWidth="1"/>
    <col min="7436" max="7436" width="9.625" style="32" customWidth="1"/>
    <col min="7437" max="7437" width="10" style="32" customWidth="1"/>
    <col min="7438" max="7438" width="9.625" style="32" customWidth="1"/>
    <col min="7439" max="7439" width="9" style="32" customWidth="1"/>
    <col min="7440" max="7440" width="9.125" style="32"/>
    <col min="7441" max="7441" width="8.375" style="32" customWidth="1"/>
    <col min="7442" max="7442" width="8.75" style="32" customWidth="1"/>
    <col min="7443" max="7443" width="9.125" style="32"/>
    <col min="7444" max="7444" width="1.375" style="32" customWidth="1"/>
    <col min="7445" max="7445" width="11.625" style="32" bestFit="1" customWidth="1"/>
    <col min="7446" max="7446" width="7.125" style="32" customWidth="1"/>
    <col min="7447" max="7451" width="6.25" style="32" customWidth="1"/>
    <col min="7452" max="7452" width="7.75" style="32" customWidth="1"/>
    <col min="7453" max="7680" width="9.125" style="32"/>
    <col min="7681" max="7681" width="8.375" style="32" customWidth="1"/>
    <col min="7682" max="7682" width="10.375" style="32" customWidth="1"/>
    <col min="7683" max="7684" width="11.125" style="32" customWidth="1"/>
    <col min="7685" max="7685" width="9" style="32" customWidth="1"/>
    <col min="7686" max="7686" width="9.125" style="32"/>
    <col min="7687" max="7687" width="8.75" style="32" customWidth="1"/>
    <col min="7688" max="7688" width="9.625" style="32" customWidth="1"/>
    <col min="7689" max="7689" width="9.125" style="32"/>
    <col min="7690" max="7690" width="9.25" style="32" customWidth="1"/>
    <col min="7691" max="7691" width="9.375" style="32" customWidth="1"/>
    <col min="7692" max="7692" width="9.625" style="32" customWidth="1"/>
    <col min="7693" max="7693" width="10" style="32" customWidth="1"/>
    <col min="7694" max="7694" width="9.625" style="32" customWidth="1"/>
    <col min="7695" max="7695" width="9" style="32" customWidth="1"/>
    <col min="7696" max="7696" width="9.125" style="32"/>
    <col min="7697" max="7697" width="8.375" style="32" customWidth="1"/>
    <col min="7698" max="7698" width="8.75" style="32" customWidth="1"/>
    <col min="7699" max="7699" width="9.125" style="32"/>
    <col min="7700" max="7700" width="1.375" style="32" customWidth="1"/>
    <col min="7701" max="7701" width="11.625" style="32" bestFit="1" customWidth="1"/>
    <col min="7702" max="7702" width="7.125" style="32" customWidth="1"/>
    <col min="7703" max="7707" width="6.25" style="32" customWidth="1"/>
    <col min="7708" max="7708" width="7.75" style="32" customWidth="1"/>
    <col min="7709" max="7936" width="9.125" style="32"/>
    <col min="7937" max="7937" width="8.375" style="32" customWidth="1"/>
    <col min="7938" max="7938" width="10.375" style="32" customWidth="1"/>
    <col min="7939" max="7940" width="11.125" style="32" customWidth="1"/>
    <col min="7941" max="7941" width="9" style="32" customWidth="1"/>
    <col min="7942" max="7942" width="9.125" style="32"/>
    <col min="7943" max="7943" width="8.75" style="32" customWidth="1"/>
    <col min="7944" max="7944" width="9.625" style="32" customWidth="1"/>
    <col min="7945" max="7945" width="9.125" style="32"/>
    <col min="7946" max="7946" width="9.25" style="32" customWidth="1"/>
    <col min="7947" max="7947" width="9.375" style="32" customWidth="1"/>
    <col min="7948" max="7948" width="9.625" style="32" customWidth="1"/>
    <col min="7949" max="7949" width="10" style="32" customWidth="1"/>
    <col min="7950" max="7950" width="9.625" style="32" customWidth="1"/>
    <col min="7951" max="7951" width="9" style="32" customWidth="1"/>
    <col min="7952" max="7952" width="9.125" style="32"/>
    <col min="7953" max="7953" width="8.375" style="32" customWidth="1"/>
    <col min="7954" max="7954" width="8.75" style="32" customWidth="1"/>
    <col min="7955" max="7955" width="9.125" style="32"/>
    <col min="7956" max="7956" width="1.375" style="32" customWidth="1"/>
    <col min="7957" max="7957" width="11.625" style="32" bestFit="1" customWidth="1"/>
    <col min="7958" max="7958" width="7.125" style="32" customWidth="1"/>
    <col min="7959" max="7963" width="6.25" style="32" customWidth="1"/>
    <col min="7964" max="7964" width="7.75" style="32" customWidth="1"/>
    <col min="7965" max="8192" width="9.125" style="32"/>
    <col min="8193" max="8193" width="8.375" style="32" customWidth="1"/>
    <col min="8194" max="8194" width="10.375" style="32" customWidth="1"/>
    <col min="8195" max="8196" width="11.125" style="32" customWidth="1"/>
    <col min="8197" max="8197" width="9" style="32" customWidth="1"/>
    <col min="8198" max="8198" width="9.125" style="32"/>
    <col min="8199" max="8199" width="8.75" style="32" customWidth="1"/>
    <col min="8200" max="8200" width="9.625" style="32" customWidth="1"/>
    <col min="8201" max="8201" width="9.125" style="32"/>
    <col min="8202" max="8202" width="9.25" style="32" customWidth="1"/>
    <col min="8203" max="8203" width="9.375" style="32" customWidth="1"/>
    <col min="8204" max="8204" width="9.625" style="32" customWidth="1"/>
    <col min="8205" max="8205" width="10" style="32" customWidth="1"/>
    <col min="8206" max="8206" width="9.625" style="32" customWidth="1"/>
    <col min="8207" max="8207" width="9" style="32" customWidth="1"/>
    <col min="8208" max="8208" width="9.125" style="32"/>
    <col min="8209" max="8209" width="8.375" style="32" customWidth="1"/>
    <col min="8210" max="8210" width="8.75" style="32" customWidth="1"/>
    <col min="8211" max="8211" width="9.125" style="32"/>
    <col min="8212" max="8212" width="1.375" style="32" customWidth="1"/>
    <col min="8213" max="8213" width="11.625" style="32" bestFit="1" customWidth="1"/>
    <col min="8214" max="8214" width="7.125" style="32" customWidth="1"/>
    <col min="8215" max="8219" width="6.25" style="32" customWidth="1"/>
    <col min="8220" max="8220" width="7.75" style="32" customWidth="1"/>
    <col min="8221" max="8448" width="9.125" style="32"/>
    <col min="8449" max="8449" width="8.375" style="32" customWidth="1"/>
    <col min="8450" max="8450" width="10.375" style="32" customWidth="1"/>
    <col min="8451" max="8452" width="11.125" style="32" customWidth="1"/>
    <col min="8453" max="8453" width="9" style="32" customWidth="1"/>
    <col min="8454" max="8454" width="9.125" style="32"/>
    <col min="8455" max="8455" width="8.75" style="32" customWidth="1"/>
    <col min="8456" max="8456" width="9.625" style="32" customWidth="1"/>
    <col min="8457" max="8457" width="9.125" style="32"/>
    <col min="8458" max="8458" width="9.25" style="32" customWidth="1"/>
    <col min="8459" max="8459" width="9.375" style="32" customWidth="1"/>
    <col min="8460" max="8460" width="9.625" style="32" customWidth="1"/>
    <col min="8461" max="8461" width="10" style="32" customWidth="1"/>
    <col min="8462" max="8462" width="9.625" style="32" customWidth="1"/>
    <col min="8463" max="8463" width="9" style="32" customWidth="1"/>
    <col min="8464" max="8464" width="9.125" style="32"/>
    <col min="8465" max="8465" width="8.375" style="32" customWidth="1"/>
    <col min="8466" max="8466" width="8.75" style="32" customWidth="1"/>
    <col min="8467" max="8467" width="9.125" style="32"/>
    <col min="8468" max="8468" width="1.375" style="32" customWidth="1"/>
    <col min="8469" max="8469" width="11.625" style="32" bestFit="1" customWidth="1"/>
    <col min="8470" max="8470" width="7.125" style="32" customWidth="1"/>
    <col min="8471" max="8475" width="6.25" style="32" customWidth="1"/>
    <col min="8476" max="8476" width="7.75" style="32" customWidth="1"/>
    <col min="8477" max="8704" width="9.125" style="32"/>
    <col min="8705" max="8705" width="8.375" style="32" customWidth="1"/>
    <col min="8706" max="8706" width="10.375" style="32" customWidth="1"/>
    <col min="8707" max="8708" width="11.125" style="32" customWidth="1"/>
    <col min="8709" max="8709" width="9" style="32" customWidth="1"/>
    <col min="8710" max="8710" width="9.125" style="32"/>
    <col min="8711" max="8711" width="8.75" style="32" customWidth="1"/>
    <col min="8712" max="8712" width="9.625" style="32" customWidth="1"/>
    <col min="8713" max="8713" width="9.125" style="32"/>
    <col min="8714" max="8714" width="9.25" style="32" customWidth="1"/>
    <col min="8715" max="8715" width="9.375" style="32" customWidth="1"/>
    <col min="8716" max="8716" width="9.625" style="32" customWidth="1"/>
    <col min="8717" max="8717" width="10" style="32" customWidth="1"/>
    <col min="8718" max="8718" width="9.625" style="32" customWidth="1"/>
    <col min="8719" max="8719" width="9" style="32" customWidth="1"/>
    <col min="8720" max="8720" width="9.125" style="32"/>
    <col min="8721" max="8721" width="8.375" style="32" customWidth="1"/>
    <col min="8722" max="8722" width="8.75" style="32" customWidth="1"/>
    <col min="8723" max="8723" width="9.125" style="32"/>
    <col min="8724" max="8724" width="1.375" style="32" customWidth="1"/>
    <col min="8725" max="8725" width="11.625" style="32" bestFit="1" customWidth="1"/>
    <col min="8726" max="8726" width="7.125" style="32" customWidth="1"/>
    <col min="8727" max="8731" width="6.25" style="32" customWidth="1"/>
    <col min="8732" max="8732" width="7.75" style="32" customWidth="1"/>
    <col min="8733" max="8960" width="9.125" style="32"/>
    <col min="8961" max="8961" width="8.375" style="32" customWidth="1"/>
    <col min="8962" max="8962" width="10.375" style="32" customWidth="1"/>
    <col min="8963" max="8964" width="11.125" style="32" customWidth="1"/>
    <col min="8965" max="8965" width="9" style="32" customWidth="1"/>
    <col min="8966" max="8966" width="9.125" style="32"/>
    <col min="8967" max="8967" width="8.75" style="32" customWidth="1"/>
    <col min="8968" max="8968" width="9.625" style="32" customWidth="1"/>
    <col min="8969" max="8969" width="9.125" style="32"/>
    <col min="8970" max="8970" width="9.25" style="32" customWidth="1"/>
    <col min="8971" max="8971" width="9.375" style="32" customWidth="1"/>
    <col min="8972" max="8972" width="9.625" style="32" customWidth="1"/>
    <col min="8973" max="8973" width="10" style="32" customWidth="1"/>
    <col min="8974" max="8974" width="9.625" style="32" customWidth="1"/>
    <col min="8975" max="8975" width="9" style="32" customWidth="1"/>
    <col min="8976" max="8976" width="9.125" style="32"/>
    <col min="8977" max="8977" width="8.375" style="32" customWidth="1"/>
    <col min="8978" max="8978" width="8.75" style="32" customWidth="1"/>
    <col min="8979" max="8979" width="9.125" style="32"/>
    <col min="8980" max="8980" width="1.375" style="32" customWidth="1"/>
    <col min="8981" max="8981" width="11.625" style="32" bestFit="1" customWidth="1"/>
    <col min="8982" max="8982" width="7.125" style="32" customWidth="1"/>
    <col min="8983" max="8987" width="6.25" style="32" customWidth="1"/>
    <col min="8988" max="8988" width="7.75" style="32" customWidth="1"/>
    <col min="8989" max="9216" width="9.125" style="32"/>
    <col min="9217" max="9217" width="8.375" style="32" customWidth="1"/>
    <col min="9218" max="9218" width="10.375" style="32" customWidth="1"/>
    <col min="9219" max="9220" width="11.125" style="32" customWidth="1"/>
    <col min="9221" max="9221" width="9" style="32" customWidth="1"/>
    <col min="9222" max="9222" width="9.125" style="32"/>
    <col min="9223" max="9223" width="8.75" style="32" customWidth="1"/>
    <col min="9224" max="9224" width="9.625" style="32" customWidth="1"/>
    <col min="9225" max="9225" width="9.125" style="32"/>
    <col min="9226" max="9226" width="9.25" style="32" customWidth="1"/>
    <col min="9227" max="9227" width="9.375" style="32" customWidth="1"/>
    <col min="9228" max="9228" width="9.625" style="32" customWidth="1"/>
    <col min="9229" max="9229" width="10" style="32" customWidth="1"/>
    <col min="9230" max="9230" width="9.625" style="32" customWidth="1"/>
    <col min="9231" max="9231" width="9" style="32" customWidth="1"/>
    <col min="9232" max="9232" width="9.125" style="32"/>
    <col min="9233" max="9233" width="8.375" style="32" customWidth="1"/>
    <col min="9234" max="9234" width="8.75" style="32" customWidth="1"/>
    <col min="9235" max="9235" width="9.125" style="32"/>
    <col min="9236" max="9236" width="1.375" style="32" customWidth="1"/>
    <col min="9237" max="9237" width="11.625" style="32" bestFit="1" customWidth="1"/>
    <col min="9238" max="9238" width="7.125" style="32" customWidth="1"/>
    <col min="9239" max="9243" width="6.25" style="32" customWidth="1"/>
    <col min="9244" max="9244" width="7.75" style="32" customWidth="1"/>
    <col min="9245" max="9472" width="9.125" style="32"/>
    <col min="9473" max="9473" width="8.375" style="32" customWidth="1"/>
    <col min="9474" max="9474" width="10.375" style="32" customWidth="1"/>
    <col min="9475" max="9476" width="11.125" style="32" customWidth="1"/>
    <col min="9477" max="9477" width="9" style="32" customWidth="1"/>
    <col min="9478" max="9478" width="9.125" style="32"/>
    <col min="9479" max="9479" width="8.75" style="32" customWidth="1"/>
    <col min="9480" max="9480" width="9.625" style="32" customWidth="1"/>
    <col min="9481" max="9481" width="9.125" style="32"/>
    <col min="9482" max="9482" width="9.25" style="32" customWidth="1"/>
    <col min="9483" max="9483" width="9.375" style="32" customWidth="1"/>
    <col min="9484" max="9484" width="9.625" style="32" customWidth="1"/>
    <col min="9485" max="9485" width="10" style="32" customWidth="1"/>
    <col min="9486" max="9486" width="9.625" style="32" customWidth="1"/>
    <col min="9487" max="9487" width="9" style="32" customWidth="1"/>
    <col min="9488" max="9488" width="9.125" style="32"/>
    <col min="9489" max="9489" width="8.375" style="32" customWidth="1"/>
    <col min="9490" max="9490" width="8.75" style="32" customWidth="1"/>
    <col min="9491" max="9491" width="9.125" style="32"/>
    <col min="9492" max="9492" width="1.375" style="32" customWidth="1"/>
    <col min="9493" max="9493" width="11.625" style="32" bestFit="1" customWidth="1"/>
    <col min="9494" max="9494" width="7.125" style="32" customWidth="1"/>
    <col min="9495" max="9499" width="6.25" style="32" customWidth="1"/>
    <col min="9500" max="9500" width="7.75" style="32" customWidth="1"/>
    <col min="9501" max="9728" width="9.125" style="32"/>
    <col min="9729" max="9729" width="8.375" style="32" customWidth="1"/>
    <col min="9730" max="9730" width="10.375" style="32" customWidth="1"/>
    <col min="9731" max="9732" width="11.125" style="32" customWidth="1"/>
    <col min="9733" max="9733" width="9" style="32" customWidth="1"/>
    <col min="9734" max="9734" width="9.125" style="32"/>
    <col min="9735" max="9735" width="8.75" style="32" customWidth="1"/>
    <col min="9736" max="9736" width="9.625" style="32" customWidth="1"/>
    <col min="9737" max="9737" width="9.125" style="32"/>
    <col min="9738" max="9738" width="9.25" style="32" customWidth="1"/>
    <col min="9739" max="9739" width="9.375" style="32" customWidth="1"/>
    <col min="9740" max="9740" width="9.625" style="32" customWidth="1"/>
    <col min="9741" max="9741" width="10" style="32" customWidth="1"/>
    <col min="9742" max="9742" width="9.625" style="32" customWidth="1"/>
    <col min="9743" max="9743" width="9" style="32" customWidth="1"/>
    <col min="9744" max="9744" width="9.125" style="32"/>
    <col min="9745" max="9745" width="8.375" style="32" customWidth="1"/>
    <col min="9746" max="9746" width="8.75" style="32" customWidth="1"/>
    <col min="9747" max="9747" width="9.125" style="32"/>
    <col min="9748" max="9748" width="1.375" style="32" customWidth="1"/>
    <col min="9749" max="9749" width="11.625" style="32" bestFit="1" customWidth="1"/>
    <col min="9750" max="9750" width="7.125" style="32" customWidth="1"/>
    <col min="9751" max="9755" width="6.25" style="32" customWidth="1"/>
    <col min="9756" max="9756" width="7.75" style="32" customWidth="1"/>
    <col min="9757" max="9984" width="9.125" style="32"/>
    <col min="9985" max="9985" width="8.375" style="32" customWidth="1"/>
    <col min="9986" max="9986" width="10.375" style="32" customWidth="1"/>
    <col min="9987" max="9988" width="11.125" style="32" customWidth="1"/>
    <col min="9989" max="9989" width="9" style="32" customWidth="1"/>
    <col min="9990" max="9990" width="9.125" style="32"/>
    <col min="9991" max="9991" width="8.75" style="32" customWidth="1"/>
    <col min="9992" max="9992" width="9.625" style="32" customWidth="1"/>
    <col min="9993" max="9993" width="9.125" style="32"/>
    <col min="9994" max="9994" width="9.25" style="32" customWidth="1"/>
    <col min="9995" max="9995" width="9.375" style="32" customWidth="1"/>
    <col min="9996" max="9996" width="9.625" style="32" customWidth="1"/>
    <col min="9997" max="9997" width="10" style="32" customWidth="1"/>
    <col min="9998" max="9998" width="9.625" style="32" customWidth="1"/>
    <col min="9999" max="9999" width="9" style="32" customWidth="1"/>
    <col min="10000" max="10000" width="9.125" style="32"/>
    <col min="10001" max="10001" width="8.375" style="32" customWidth="1"/>
    <col min="10002" max="10002" width="8.75" style="32" customWidth="1"/>
    <col min="10003" max="10003" width="9.125" style="32"/>
    <col min="10004" max="10004" width="1.375" style="32" customWidth="1"/>
    <col min="10005" max="10005" width="11.625" style="32" bestFit="1" customWidth="1"/>
    <col min="10006" max="10006" width="7.125" style="32" customWidth="1"/>
    <col min="10007" max="10011" width="6.25" style="32" customWidth="1"/>
    <col min="10012" max="10012" width="7.75" style="32" customWidth="1"/>
    <col min="10013" max="10240" width="9.125" style="32"/>
    <col min="10241" max="10241" width="8.375" style="32" customWidth="1"/>
    <col min="10242" max="10242" width="10.375" style="32" customWidth="1"/>
    <col min="10243" max="10244" width="11.125" style="32" customWidth="1"/>
    <col min="10245" max="10245" width="9" style="32" customWidth="1"/>
    <col min="10246" max="10246" width="9.125" style="32"/>
    <col min="10247" max="10247" width="8.75" style="32" customWidth="1"/>
    <col min="10248" max="10248" width="9.625" style="32" customWidth="1"/>
    <col min="10249" max="10249" width="9.125" style="32"/>
    <col min="10250" max="10250" width="9.25" style="32" customWidth="1"/>
    <col min="10251" max="10251" width="9.375" style="32" customWidth="1"/>
    <col min="10252" max="10252" width="9.625" style="32" customWidth="1"/>
    <col min="10253" max="10253" width="10" style="32" customWidth="1"/>
    <col min="10254" max="10254" width="9.625" style="32" customWidth="1"/>
    <col min="10255" max="10255" width="9" style="32" customWidth="1"/>
    <col min="10256" max="10256" width="9.125" style="32"/>
    <col min="10257" max="10257" width="8.375" style="32" customWidth="1"/>
    <col min="10258" max="10258" width="8.75" style="32" customWidth="1"/>
    <col min="10259" max="10259" width="9.125" style="32"/>
    <col min="10260" max="10260" width="1.375" style="32" customWidth="1"/>
    <col min="10261" max="10261" width="11.625" style="32" bestFit="1" customWidth="1"/>
    <col min="10262" max="10262" width="7.125" style="32" customWidth="1"/>
    <col min="10263" max="10267" width="6.25" style="32" customWidth="1"/>
    <col min="10268" max="10268" width="7.75" style="32" customWidth="1"/>
    <col min="10269" max="10496" width="9.125" style="32"/>
    <col min="10497" max="10497" width="8.375" style="32" customWidth="1"/>
    <col min="10498" max="10498" width="10.375" style="32" customWidth="1"/>
    <col min="10499" max="10500" width="11.125" style="32" customWidth="1"/>
    <col min="10501" max="10501" width="9" style="32" customWidth="1"/>
    <col min="10502" max="10502" width="9.125" style="32"/>
    <col min="10503" max="10503" width="8.75" style="32" customWidth="1"/>
    <col min="10504" max="10504" width="9.625" style="32" customWidth="1"/>
    <col min="10505" max="10505" width="9.125" style="32"/>
    <col min="10506" max="10506" width="9.25" style="32" customWidth="1"/>
    <col min="10507" max="10507" width="9.375" style="32" customWidth="1"/>
    <col min="10508" max="10508" width="9.625" style="32" customWidth="1"/>
    <col min="10509" max="10509" width="10" style="32" customWidth="1"/>
    <col min="10510" max="10510" width="9.625" style="32" customWidth="1"/>
    <col min="10511" max="10511" width="9" style="32" customWidth="1"/>
    <col min="10512" max="10512" width="9.125" style="32"/>
    <col min="10513" max="10513" width="8.375" style="32" customWidth="1"/>
    <col min="10514" max="10514" width="8.75" style="32" customWidth="1"/>
    <col min="10515" max="10515" width="9.125" style="32"/>
    <col min="10516" max="10516" width="1.375" style="32" customWidth="1"/>
    <col min="10517" max="10517" width="11.625" style="32" bestFit="1" customWidth="1"/>
    <col min="10518" max="10518" width="7.125" style="32" customWidth="1"/>
    <col min="10519" max="10523" width="6.25" style="32" customWidth="1"/>
    <col min="10524" max="10524" width="7.75" style="32" customWidth="1"/>
    <col min="10525" max="10752" width="9.125" style="32"/>
    <col min="10753" max="10753" width="8.375" style="32" customWidth="1"/>
    <col min="10754" max="10754" width="10.375" style="32" customWidth="1"/>
    <col min="10755" max="10756" width="11.125" style="32" customWidth="1"/>
    <col min="10757" max="10757" width="9" style="32" customWidth="1"/>
    <col min="10758" max="10758" width="9.125" style="32"/>
    <col min="10759" max="10759" width="8.75" style="32" customWidth="1"/>
    <col min="10760" max="10760" width="9.625" style="32" customWidth="1"/>
    <col min="10761" max="10761" width="9.125" style="32"/>
    <col min="10762" max="10762" width="9.25" style="32" customWidth="1"/>
    <col min="10763" max="10763" width="9.375" style="32" customWidth="1"/>
    <col min="10764" max="10764" width="9.625" style="32" customWidth="1"/>
    <col min="10765" max="10765" width="10" style="32" customWidth="1"/>
    <col min="10766" max="10766" width="9.625" style="32" customWidth="1"/>
    <col min="10767" max="10767" width="9" style="32" customWidth="1"/>
    <col min="10768" max="10768" width="9.125" style="32"/>
    <col min="10769" max="10769" width="8.375" style="32" customWidth="1"/>
    <col min="10770" max="10770" width="8.75" style="32" customWidth="1"/>
    <col min="10771" max="10771" width="9.125" style="32"/>
    <col min="10772" max="10772" width="1.375" style="32" customWidth="1"/>
    <col min="10773" max="10773" width="11.625" style="32" bestFit="1" customWidth="1"/>
    <col min="10774" max="10774" width="7.125" style="32" customWidth="1"/>
    <col min="10775" max="10779" width="6.25" style="32" customWidth="1"/>
    <col min="10780" max="10780" width="7.75" style="32" customWidth="1"/>
    <col min="10781" max="11008" width="9.125" style="32"/>
    <col min="11009" max="11009" width="8.375" style="32" customWidth="1"/>
    <col min="11010" max="11010" width="10.375" style="32" customWidth="1"/>
    <col min="11011" max="11012" width="11.125" style="32" customWidth="1"/>
    <col min="11013" max="11013" width="9" style="32" customWidth="1"/>
    <col min="11014" max="11014" width="9.125" style="32"/>
    <col min="11015" max="11015" width="8.75" style="32" customWidth="1"/>
    <col min="11016" max="11016" width="9.625" style="32" customWidth="1"/>
    <col min="11017" max="11017" width="9.125" style="32"/>
    <col min="11018" max="11018" width="9.25" style="32" customWidth="1"/>
    <col min="11019" max="11019" width="9.375" style="32" customWidth="1"/>
    <col min="11020" max="11020" width="9.625" style="32" customWidth="1"/>
    <col min="11021" max="11021" width="10" style="32" customWidth="1"/>
    <col min="11022" max="11022" width="9.625" style="32" customWidth="1"/>
    <col min="11023" max="11023" width="9" style="32" customWidth="1"/>
    <col min="11024" max="11024" width="9.125" style="32"/>
    <col min="11025" max="11025" width="8.375" style="32" customWidth="1"/>
    <col min="11026" max="11026" width="8.75" style="32" customWidth="1"/>
    <col min="11027" max="11027" width="9.125" style="32"/>
    <col min="11028" max="11028" width="1.375" style="32" customWidth="1"/>
    <col min="11029" max="11029" width="11.625" style="32" bestFit="1" customWidth="1"/>
    <col min="11030" max="11030" width="7.125" style="32" customWidth="1"/>
    <col min="11031" max="11035" width="6.25" style="32" customWidth="1"/>
    <col min="11036" max="11036" width="7.75" style="32" customWidth="1"/>
    <col min="11037" max="11264" width="9.125" style="32"/>
    <col min="11265" max="11265" width="8.375" style="32" customWidth="1"/>
    <col min="11266" max="11266" width="10.375" style="32" customWidth="1"/>
    <col min="11267" max="11268" width="11.125" style="32" customWidth="1"/>
    <col min="11269" max="11269" width="9" style="32" customWidth="1"/>
    <col min="11270" max="11270" width="9.125" style="32"/>
    <col min="11271" max="11271" width="8.75" style="32" customWidth="1"/>
    <col min="11272" max="11272" width="9.625" style="32" customWidth="1"/>
    <col min="11273" max="11273" width="9.125" style="32"/>
    <col min="11274" max="11274" width="9.25" style="32" customWidth="1"/>
    <col min="11275" max="11275" width="9.375" style="32" customWidth="1"/>
    <col min="11276" max="11276" width="9.625" style="32" customWidth="1"/>
    <col min="11277" max="11277" width="10" style="32" customWidth="1"/>
    <col min="11278" max="11278" width="9.625" style="32" customWidth="1"/>
    <col min="11279" max="11279" width="9" style="32" customWidth="1"/>
    <col min="11280" max="11280" width="9.125" style="32"/>
    <col min="11281" max="11281" width="8.375" style="32" customWidth="1"/>
    <col min="11282" max="11282" width="8.75" style="32" customWidth="1"/>
    <col min="11283" max="11283" width="9.125" style="32"/>
    <col min="11284" max="11284" width="1.375" style="32" customWidth="1"/>
    <col min="11285" max="11285" width="11.625" style="32" bestFit="1" customWidth="1"/>
    <col min="11286" max="11286" width="7.125" style="32" customWidth="1"/>
    <col min="11287" max="11291" width="6.25" style="32" customWidth="1"/>
    <col min="11292" max="11292" width="7.75" style="32" customWidth="1"/>
    <col min="11293" max="11520" width="9.125" style="32"/>
    <col min="11521" max="11521" width="8.375" style="32" customWidth="1"/>
    <col min="11522" max="11522" width="10.375" style="32" customWidth="1"/>
    <col min="11523" max="11524" width="11.125" style="32" customWidth="1"/>
    <col min="11525" max="11525" width="9" style="32" customWidth="1"/>
    <col min="11526" max="11526" width="9.125" style="32"/>
    <col min="11527" max="11527" width="8.75" style="32" customWidth="1"/>
    <col min="11528" max="11528" width="9.625" style="32" customWidth="1"/>
    <col min="11529" max="11529" width="9.125" style="32"/>
    <col min="11530" max="11530" width="9.25" style="32" customWidth="1"/>
    <col min="11531" max="11531" width="9.375" style="32" customWidth="1"/>
    <col min="11532" max="11532" width="9.625" style="32" customWidth="1"/>
    <col min="11533" max="11533" width="10" style="32" customWidth="1"/>
    <col min="11534" max="11534" width="9.625" style="32" customWidth="1"/>
    <col min="11535" max="11535" width="9" style="32" customWidth="1"/>
    <col min="11536" max="11536" width="9.125" style="32"/>
    <col min="11537" max="11537" width="8.375" style="32" customWidth="1"/>
    <col min="11538" max="11538" width="8.75" style="32" customWidth="1"/>
    <col min="11539" max="11539" width="9.125" style="32"/>
    <col min="11540" max="11540" width="1.375" style="32" customWidth="1"/>
    <col min="11541" max="11541" width="11.625" style="32" bestFit="1" customWidth="1"/>
    <col min="11542" max="11542" width="7.125" style="32" customWidth="1"/>
    <col min="11543" max="11547" width="6.25" style="32" customWidth="1"/>
    <col min="11548" max="11548" width="7.75" style="32" customWidth="1"/>
    <col min="11549" max="11776" width="9.125" style="32"/>
    <col min="11777" max="11777" width="8.375" style="32" customWidth="1"/>
    <col min="11778" max="11778" width="10.375" style="32" customWidth="1"/>
    <col min="11779" max="11780" width="11.125" style="32" customWidth="1"/>
    <col min="11781" max="11781" width="9" style="32" customWidth="1"/>
    <col min="11782" max="11782" width="9.125" style="32"/>
    <col min="11783" max="11783" width="8.75" style="32" customWidth="1"/>
    <col min="11784" max="11784" width="9.625" style="32" customWidth="1"/>
    <col min="11785" max="11785" width="9.125" style="32"/>
    <col min="11786" max="11786" width="9.25" style="32" customWidth="1"/>
    <col min="11787" max="11787" width="9.375" style="32" customWidth="1"/>
    <col min="11788" max="11788" width="9.625" style="32" customWidth="1"/>
    <col min="11789" max="11789" width="10" style="32" customWidth="1"/>
    <col min="11790" max="11790" width="9.625" style="32" customWidth="1"/>
    <col min="11791" max="11791" width="9" style="32" customWidth="1"/>
    <col min="11792" max="11792" width="9.125" style="32"/>
    <col min="11793" max="11793" width="8.375" style="32" customWidth="1"/>
    <col min="11794" max="11794" width="8.75" style="32" customWidth="1"/>
    <col min="11795" max="11795" width="9.125" style="32"/>
    <col min="11796" max="11796" width="1.375" style="32" customWidth="1"/>
    <col min="11797" max="11797" width="11.625" style="32" bestFit="1" customWidth="1"/>
    <col min="11798" max="11798" width="7.125" style="32" customWidth="1"/>
    <col min="11799" max="11803" width="6.25" style="32" customWidth="1"/>
    <col min="11804" max="11804" width="7.75" style="32" customWidth="1"/>
    <col min="11805" max="12032" width="9.125" style="32"/>
    <col min="12033" max="12033" width="8.375" style="32" customWidth="1"/>
    <col min="12034" max="12034" width="10.375" style="32" customWidth="1"/>
    <col min="12035" max="12036" width="11.125" style="32" customWidth="1"/>
    <col min="12037" max="12037" width="9" style="32" customWidth="1"/>
    <col min="12038" max="12038" width="9.125" style="32"/>
    <col min="12039" max="12039" width="8.75" style="32" customWidth="1"/>
    <col min="12040" max="12040" width="9.625" style="32" customWidth="1"/>
    <col min="12041" max="12041" width="9.125" style="32"/>
    <col min="12042" max="12042" width="9.25" style="32" customWidth="1"/>
    <col min="12043" max="12043" width="9.375" style="32" customWidth="1"/>
    <col min="12044" max="12044" width="9.625" style="32" customWidth="1"/>
    <col min="12045" max="12045" width="10" style="32" customWidth="1"/>
    <col min="12046" max="12046" width="9.625" style="32" customWidth="1"/>
    <col min="12047" max="12047" width="9" style="32" customWidth="1"/>
    <col min="12048" max="12048" width="9.125" style="32"/>
    <col min="12049" max="12049" width="8.375" style="32" customWidth="1"/>
    <col min="12050" max="12050" width="8.75" style="32" customWidth="1"/>
    <col min="12051" max="12051" width="9.125" style="32"/>
    <col min="12052" max="12052" width="1.375" style="32" customWidth="1"/>
    <col min="12053" max="12053" width="11.625" style="32" bestFit="1" customWidth="1"/>
    <col min="12054" max="12054" width="7.125" style="32" customWidth="1"/>
    <col min="12055" max="12059" width="6.25" style="32" customWidth="1"/>
    <col min="12060" max="12060" width="7.75" style="32" customWidth="1"/>
    <col min="12061" max="12288" width="9.125" style="32"/>
    <col min="12289" max="12289" width="8.375" style="32" customWidth="1"/>
    <col min="12290" max="12290" width="10.375" style="32" customWidth="1"/>
    <col min="12291" max="12292" width="11.125" style="32" customWidth="1"/>
    <col min="12293" max="12293" width="9" style="32" customWidth="1"/>
    <col min="12294" max="12294" width="9.125" style="32"/>
    <col min="12295" max="12295" width="8.75" style="32" customWidth="1"/>
    <col min="12296" max="12296" width="9.625" style="32" customWidth="1"/>
    <col min="12297" max="12297" width="9.125" style="32"/>
    <col min="12298" max="12298" width="9.25" style="32" customWidth="1"/>
    <col min="12299" max="12299" width="9.375" style="32" customWidth="1"/>
    <col min="12300" max="12300" width="9.625" style="32" customWidth="1"/>
    <col min="12301" max="12301" width="10" style="32" customWidth="1"/>
    <col min="12302" max="12302" width="9.625" style="32" customWidth="1"/>
    <col min="12303" max="12303" width="9" style="32" customWidth="1"/>
    <col min="12304" max="12304" width="9.125" style="32"/>
    <col min="12305" max="12305" width="8.375" style="32" customWidth="1"/>
    <col min="12306" max="12306" width="8.75" style="32" customWidth="1"/>
    <col min="12307" max="12307" width="9.125" style="32"/>
    <col min="12308" max="12308" width="1.375" style="32" customWidth="1"/>
    <col min="12309" max="12309" width="11.625" style="32" bestFit="1" customWidth="1"/>
    <col min="12310" max="12310" width="7.125" style="32" customWidth="1"/>
    <col min="12311" max="12315" width="6.25" style="32" customWidth="1"/>
    <col min="12316" max="12316" width="7.75" style="32" customWidth="1"/>
    <col min="12317" max="12544" width="9.125" style="32"/>
    <col min="12545" max="12545" width="8.375" style="32" customWidth="1"/>
    <col min="12546" max="12546" width="10.375" style="32" customWidth="1"/>
    <col min="12547" max="12548" width="11.125" style="32" customWidth="1"/>
    <col min="12549" max="12549" width="9" style="32" customWidth="1"/>
    <col min="12550" max="12550" width="9.125" style="32"/>
    <col min="12551" max="12551" width="8.75" style="32" customWidth="1"/>
    <col min="12552" max="12552" width="9.625" style="32" customWidth="1"/>
    <col min="12553" max="12553" width="9.125" style="32"/>
    <col min="12554" max="12554" width="9.25" style="32" customWidth="1"/>
    <col min="12555" max="12555" width="9.375" style="32" customWidth="1"/>
    <col min="12556" max="12556" width="9.625" style="32" customWidth="1"/>
    <col min="12557" max="12557" width="10" style="32" customWidth="1"/>
    <col min="12558" max="12558" width="9.625" style="32" customWidth="1"/>
    <col min="12559" max="12559" width="9" style="32" customWidth="1"/>
    <col min="12560" max="12560" width="9.125" style="32"/>
    <col min="12561" max="12561" width="8.375" style="32" customWidth="1"/>
    <col min="12562" max="12562" width="8.75" style="32" customWidth="1"/>
    <col min="12563" max="12563" width="9.125" style="32"/>
    <col min="12564" max="12564" width="1.375" style="32" customWidth="1"/>
    <col min="12565" max="12565" width="11.625" style="32" bestFit="1" customWidth="1"/>
    <col min="12566" max="12566" width="7.125" style="32" customWidth="1"/>
    <col min="12567" max="12571" width="6.25" style="32" customWidth="1"/>
    <col min="12572" max="12572" width="7.75" style="32" customWidth="1"/>
    <col min="12573" max="12800" width="9.125" style="32"/>
    <col min="12801" max="12801" width="8.375" style="32" customWidth="1"/>
    <col min="12802" max="12802" width="10.375" style="32" customWidth="1"/>
    <col min="12803" max="12804" width="11.125" style="32" customWidth="1"/>
    <col min="12805" max="12805" width="9" style="32" customWidth="1"/>
    <col min="12806" max="12806" width="9.125" style="32"/>
    <col min="12807" max="12807" width="8.75" style="32" customWidth="1"/>
    <col min="12808" max="12808" width="9.625" style="32" customWidth="1"/>
    <col min="12809" max="12809" width="9.125" style="32"/>
    <col min="12810" max="12810" width="9.25" style="32" customWidth="1"/>
    <col min="12811" max="12811" width="9.375" style="32" customWidth="1"/>
    <col min="12812" max="12812" width="9.625" style="32" customWidth="1"/>
    <col min="12813" max="12813" width="10" style="32" customWidth="1"/>
    <col min="12814" max="12814" width="9.625" style="32" customWidth="1"/>
    <col min="12815" max="12815" width="9" style="32" customWidth="1"/>
    <col min="12816" max="12816" width="9.125" style="32"/>
    <col min="12817" max="12817" width="8.375" style="32" customWidth="1"/>
    <col min="12818" max="12818" width="8.75" style="32" customWidth="1"/>
    <col min="12819" max="12819" width="9.125" style="32"/>
    <col min="12820" max="12820" width="1.375" style="32" customWidth="1"/>
    <col min="12821" max="12821" width="11.625" style="32" bestFit="1" customWidth="1"/>
    <col min="12822" max="12822" width="7.125" style="32" customWidth="1"/>
    <col min="12823" max="12827" width="6.25" style="32" customWidth="1"/>
    <col min="12828" max="12828" width="7.75" style="32" customWidth="1"/>
    <col min="12829" max="13056" width="9.125" style="32"/>
    <col min="13057" max="13057" width="8.375" style="32" customWidth="1"/>
    <col min="13058" max="13058" width="10.375" style="32" customWidth="1"/>
    <col min="13059" max="13060" width="11.125" style="32" customWidth="1"/>
    <col min="13061" max="13061" width="9" style="32" customWidth="1"/>
    <col min="13062" max="13062" width="9.125" style="32"/>
    <col min="13063" max="13063" width="8.75" style="32" customWidth="1"/>
    <col min="13064" max="13064" width="9.625" style="32" customWidth="1"/>
    <col min="13065" max="13065" width="9.125" style="32"/>
    <col min="13066" max="13066" width="9.25" style="32" customWidth="1"/>
    <col min="13067" max="13067" width="9.375" style="32" customWidth="1"/>
    <col min="13068" max="13068" width="9.625" style="32" customWidth="1"/>
    <col min="13069" max="13069" width="10" style="32" customWidth="1"/>
    <col min="13070" max="13070" width="9.625" style="32" customWidth="1"/>
    <col min="13071" max="13071" width="9" style="32" customWidth="1"/>
    <col min="13072" max="13072" width="9.125" style="32"/>
    <col min="13073" max="13073" width="8.375" style="32" customWidth="1"/>
    <col min="13074" max="13074" width="8.75" style="32" customWidth="1"/>
    <col min="13075" max="13075" width="9.125" style="32"/>
    <col min="13076" max="13076" width="1.375" style="32" customWidth="1"/>
    <col min="13077" max="13077" width="11.625" style="32" bestFit="1" customWidth="1"/>
    <col min="13078" max="13078" width="7.125" style="32" customWidth="1"/>
    <col min="13079" max="13083" width="6.25" style="32" customWidth="1"/>
    <col min="13084" max="13084" width="7.75" style="32" customWidth="1"/>
    <col min="13085" max="13312" width="9.125" style="32"/>
    <col min="13313" max="13313" width="8.375" style="32" customWidth="1"/>
    <col min="13314" max="13314" width="10.375" style="32" customWidth="1"/>
    <col min="13315" max="13316" width="11.125" style="32" customWidth="1"/>
    <col min="13317" max="13317" width="9" style="32" customWidth="1"/>
    <col min="13318" max="13318" width="9.125" style="32"/>
    <col min="13319" max="13319" width="8.75" style="32" customWidth="1"/>
    <col min="13320" max="13320" width="9.625" style="32" customWidth="1"/>
    <col min="13321" max="13321" width="9.125" style="32"/>
    <col min="13322" max="13322" width="9.25" style="32" customWidth="1"/>
    <col min="13323" max="13323" width="9.375" style="32" customWidth="1"/>
    <col min="13324" max="13324" width="9.625" style="32" customWidth="1"/>
    <col min="13325" max="13325" width="10" style="32" customWidth="1"/>
    <col min="13326" max="13326" width="9.625" style="32" customWidth="1"/>
    <col min="13327" max="13327" width="9" style="32" customWidth="1"/>
    <col min="13328" max="13328" width="9.125" style="32"/>
    <col min="13329" max="13329" width="8.375" style="32" customWidth="1"/>
    <col min="13330" max="13330" width="8.75" style="32" customWidth="1"/>
    <col min="13331" max="13331" width="9.125" style="32"/>
    <col min="13332" max="13332" width="1.375" style="32" customWidth="1"/>
    <col min="13333" max="13333" width="11.625" style="32" bestFit="1" customWidth="1"/>
    <col min="13334" max="13334" width="7.125" style="32" customWidth="1"/>
    <col min="13335" max="13339" width="6.25" style="32" customWidth="1"/>
    <col min="13340" max="13340" width="7.75" style="32" customWidth="1"/>
    <col min="13341" max="13568" width="9.125" style="32"/>
    <col min="13569" max="13569" width="8.375" style="32" customWidth="1"/>
    <col min="13570" max="13570" width="10.375" style="32" customWidth="1"/>
    <col min="13571" max="13572" width="11.125" style="32" customWidth="1"/>
    <col min="13573" max="13573" width="9" style="32" customWidth="1"/>
    <col min="13574" max="13574" width="9.125" style="32"/>
    <col min="13575" max="13575" width="8.75" style="32" customWidth="1"/>
    <col min="13576" max="13576" width="9.625" style="32" customWidth="1"/>
    <col min="13577" max="13577" width="9.125" style="32"/>
    <col min="13578" max="13578" width="9.25" style="32" customWidth="1"/>
    <col min="13579" max="13579" width="9.375" style="32" customWidth="1"/>
    <col min="13580" max="13580" width="9.625" style="32" customWidth="1"/>
    <col min="13581" max="13581" width="10" style="32" customWidth="1"/>
    <col min="13582" max="13582" width="9.625" style="32" customWidth="1"/>
    <col min="13583" max="13583" width="9" style="32" customWidth="1"/>
    <col min="13584" max="13584" width="9.125" style="32"/>
    <col min="13585" max="13585" width="8.375" style="32" customWidth="1"/>
    <col min="13586" max="13586" width="8.75" style="32" customWidth="1"/>
    <col min="13587" max="13587" width="9.125" style="32"/>
    <col min="13588" max="13588" width="1.375" style="32" customWidth="1"/>
    <col min="13589" max="13589" width="11.625" style="32" bestFit="1" customWidth="1"/>
    <col min="13590" max="13590" width="7.125" style="32" customWidth="1"/>
    <col min="13591" max="13595" width="6.25" style="32" customWidth="1"/>
    <col min="13596" max="13596" width="7.75" style="32" customWidth="1"/>
    <col min="13597" max="13824" width="9.125" style="32"/>
    <col min="13825" max="13825" width="8.375" style="32" customWidth="1"/>
    <col min="13826" max="13826" width="10.375" style="32" customWidth="1"/>
    <col min="13827" max="13828" width="11.125" style="32" customWidth="1"/>
    <col min="13829" max="13829" width="9" style="32" customWidth="1"/>
    <col min="13830" max="13830" width="9.125" style="32"/>
    <col min="13831" max="13831" width="8.75" style="32" customWidth="1"/>
    <col min="13832" max="13832" width="9.625" style="32" customWidth="1"/>
    <col min="13833" max="13833" width="9.125" style="32"/>
    <col min="13834" max="13834" width="9.25" style="32" customWidth="1"/>
    <col min="13835" max="13835" width="9.375" style="32" customWidth="1"/>
    <col min="13836" max="13836" width="9.625" style="32" customWidth="1"/>
    <col min="13837" max="13837" width="10" style="32" customWidth="1"/>
    <col min="13838" max="13838" width="9.625" style="32" customWidth="1"/>
    <col min="13839" max="13839" width="9" style="32" customWidth="1"/>
    <col min="13840" max="13840" width="9.125" style="32"/>
    <col min="13841" max="13841" width="8.375" style="32" customWidth="1"/>
    <col min="13842" max="13842" width="8.75" style="32" customWidth="1"/>
    <col min="13843" max="13843" width="9.125" style="32"/>
    <col min="13844" max="13844" width="1.375" style="32" customWidth="1"/>
    <col min="13845" max="13845" width="11.625" style="32" bestFit="1" customWidth="1"/>
    <col min="13846" max="13846" width="7.125" style="32" customWidth="1"/>
    <col min="13847" max="13851" width="6.25" style="32" customWidth="1"/>
    <col min="13852" max="13852" width="7.75" style="32" customWidth="1"/>
    <col min="13853" max="14080" width="9.125" style="32"/>
    <col min="14081" max="14081" width="8.375" style="32" customWidth="1"/>
    <col min="14082" max="14082" width="10.375" style="32" customWidth="1"/>
    <col min="14083" max="14084" width="11.125" style="32" customWidth="1"/>
    <col min="14085" max="14085" width="9" style="32" customWidth="1"/>
    <col min="14086" max="14086" width="9.125" style="32"/>
    <col min="14087" max="14087" width="8.75" style="32" customWidth="1"/>
    <col min="14088" max="14088" width="9.625" style="32" customWidth="1"/>
    <col min="14089" max="14089" width="9.125" style="32"/>
    <col min="14090" max="14090" width="9.25" style="32" customWidth="1"/>
    <col min="14091" max="14091" width="9.375" style="32" customWidth="1"/>
    <col min="14092" max="14092" width="9.625" style="32" customWidth="1"/>
    <col min="14093" max="14093" width="10" style="32" customWidth="1"/>
    <col min="14094" max="14094" width="9.625" style="32" customWidth="1"/>
    <col min="14095" max="14095" width="9" style="32" customWidth="1"/>
    <col min="14096" max="14096" width="9.125" style="32"/>
    <col min="14097" max="14097" width="8.375" style="32" customWidth="1"/>
    <col min="14098" max="14098" width="8.75" style="32" customWidth="1"/>
    <col min="14099" max="14099" width="9.125" style="32"/>
    <col min="14100" max="14100" width="1.375" style="32" customWidth="1"/>
    <col min="14101" max="14101" width="11.625" style="32" bestFit="1" customWidth="1"/>
    <col min="14102" max="14102" width="7.125" style="32" customWidth="1"/>
    <col min="14103" max="14107" width="6.25" style="32" customWidth="1"/>
    <col min="14108" max="14108" width="7.75" style="32" customWidth="1"/>
    <col min="14109" max="14336" width="9.125" style="32"/>
    <col min="14337" max="14337" width="8.375" style="32" customWidth="1"/>
    <col min="14338" max="14338" width="10.375" style="32" customWidth="1"/>
    <col min="14339" max="14340" width="11.125" style="32" customWidth="1"/>
    <col min="14341" max="14341" width="9" style="32" customWidth="1"/>
    <col min="14342" max="14342" width="9.125" style="32"/>
    <col min="14343" max="14343" width="8.75" style="32" customWidth="1"/>
    <col min="14344" max="14344" width="9.625" style="32" customWidth="1"/>
    <col min="14345" max="14345" width="9.125" style="32"/>
    <col min="14346" max="14346" width="9.25" style="32" customWidth="1"/>
    <col min="14347" max="14347" width="9.375" style="32" customWidth="1"/>
    <col min="14348" max="14348" width="9.625" style="32" customWidth="1"/>
    <col min="14349" max="14349" width="10" style="32" customWidth="1"/>
    <col min="14350" max="14350" width="9.625" style="32" customWidth="1"/>
    <col min="14351" max="14351" width="9" style="32" customWidth="1"/>
    <col min="14352" max="14352" width="9.125" style="32"/>
    <col min="14353" max="14353" width="8.375" style="32" customWidth="1"/>
    <col min="14354" max="14354" width="8.75" style="32" customWidth="1"/>
    <col min="14355" max="14355" width="9.125" style="32"/>
    <col min="14356" max="14356" width="1.375" style="32" customWidth="1"/>
    <col min="14357" max="14357" width="11.625" style="32" bestFit="1" customWidth="1"/>
    <col min="14358" max="14358" width="7.125" style="32" customWidth="1"/>
    <col min="14359" max="14363" width="6.25" style="32" customWidth="1"/>
    <col min="14364" max="14364" width="7.75" style="32" customWidth="1"/>
    <col min="14365" max="14592" width="9.125" style="32"/>
    <col min="14593" max="14593" width="8.375" style="32" customWidth="1"/>
    <col min="14594" max="14594" width="10.375" style="32" customWidth="1"/>
    <col min="14595" max="14596" width="11.125" style="32" customWidth="1"/>
    <col min="14597" max="14597" width="9" style="32" customWidth="1"/>
    <col min="14598" max="14598" width="9.125" style="32"/>
    <col min="14599" max="14599" width="8.75" style="32" customWidth="1"/>
    <col min="14600" max="14600" width="9.625" style="32" customWidth="1"/>
    <col min="14601" max="14601" width="9.125" style="32"/>
    <col min="14602" max="14602" width="9.25" style="32" customWidth="1"/>
    <col min="14603" max="14603" width="9.375" style="32" customWidth="1"/>
    <col min="14604" max="14604" width="9.625" style="32" customWidth="1"/>
    <col min="14605" max="14605" width="10" style="32" customWidth="1"/>
    <col min="14606" max="14606" width="9.625" style="32" customWidth="1"/>
    <col min="14607" max="14607" width="9" style="32" customWidth="1"/>
    <col min="14608" max="14608" width="9.125" style="32"/>
    <col min="14609" max="14609" width="8.375" style="32" customWidth="1"/>
    <col min="14610" max="14610" width="8.75" style="32" customWidth="1"/>
    <col min="14611" max="14611" width="9.125" style="32"/>
    <col min="14612" max="14612" width="1.375" style="32" customWidth="1"/>
    <col min="14613" max="14613" width="11.625" style="32" bestFit="1" customWidth="1"/>
    <col min="14614" max="14614" width="7.125" style="32" customWidth="1"/>
    <col min="14615" max="14619" width="6.25" style="32" customWidth="1"/>
    <col min="14620" max="14620" width="7.75" style="32" customWidth="1"/>
    <col min="14621" max="14848" width="9.125" style="32"/>
    <col min="14849" max="14849" width="8.375" style="32" customWidth="1"/>
    <col min="14850" max="14850" width="10.375" style="32" customWidth="1"/>
    <col min="14851" max="14852" width="11.125" style="32" customWidth="1"/>
    <col min="14853" max="14853" width="9" style="32" customWidth="1"/>
    <col min="14854" max="14854" width="9.125" style="32"/>
    <col min="14855" max="14855" width="8.75" style="32" customWidth="1"/>
    <col min="14856" max="14856" width="9.625" style="32" customWidth="1"/>
    <col min="14857" max="14857" width="9.125" style="32"/>
    <col min="14858" max="14858" width="9.25" style="32" customWidth="1"/>
    <col min="14859" max="14859" width="9.375" style="32" customWidth="1"/>
    <col min="14860" max="14860" width="9.625" style="32" customWidth="1"/>
    <col min="14861" max="14861" width="10" style="32" customWidth="1"/>
    <col min="14862" max="14862" width="9.625" style="32" customWidth="1"/>
    <col min="14863" max="14863" width="9" style="32" customWidth="1"/>
    <col min="14864" max="14864" width="9.125" style="32"/>
    <col min="14865" max="14865" width="8.375" style="32" customWidth="1"/>
    <col min="14866" max="14866" width="8.75" style="32" customWidth="1"/>
    <col min="14867" max="14867" width="9.125" style="32"/>
    <col min="14868" max="14868" width="1.375" style="32" customWidth="1"/>
    <col min="14869" max="14869" width="11.625" style="32" bestFit="1" customWidth="1"/>
    <col min="14870" max="14870" width="7.125" style="32" customWidth="1"/>
    <col min="14871" max="14875" width="6.25" style="32" customWidth="1"/>
    <col min="14876" max="14876" width="7.75" style="32" customWidth="1"/>
    <col min="14877" max="15104" width="9.125" style="32"/>
    <col min="15105" max="15105" width="8.375" style="32" customWidth="1"/>
    <col min="15106" max="15106" width="10.375" style="32" customWidth="1"/>
    <col min="15107" max="15108" width="11.125" style="32" customWidth="1"/>
    <col min="15109" max="15109" width="9" style="32" customWidth="1"/>
    <col min="15110" max="15110" width="9.125" style="32"/>
    <col min="15111" max="15111" width="8.75" style="32" customWidth="1"/>
    <col min="15112" max="15112" width="9.625" style="32" customWidth="1"/>
    <col min="15113" max="15113" width="9.125" style="32"/>
    <col min="15114" max="15114" width="9.25" style="32" customWidth="1"/>
    <col min="15115" max="15115" width="9.375" style="32" customWidth="1"/>
    <col min="15116" max="15116" width="9.625" style="32" customWidth="1"/>
    <col min="15117" max="15117" width="10" style="32" customWidth="1"/>
    <col min="15118" max="15118" width="9.625" style="32" customWidth="1"/>
    <col min="15119" max="15119" width="9" style="32" customWidth="1"/>
    <col min="15120" max="15120" width="9.125" style="32"/>
    <col min="15121" max="15121" width="8.375" style="32" customWidth="1"/>
    <col min="15122" max="15122" width="8.75" style="32" customWidth="1"/>
    <col min="15123" max="15123" width="9.125" style="32"/>
    <col min="15124" max="15124" width="1.375" style="32" customWidth="1"/>
    <col min="15125" max="15125" width="11.625" style="32" bestFit="1" customWidth="1"/>
    <col min="15126" max="15126" width="7.125" style="32" customWidth="1"/>
    <col min="15127" max="15131" width="6.25" style="32" customWidth="1"/>
    <col min="15132" max="15132" width="7.75" style="32" customWidth="1"/>
    <col min="15133" max="15360" width="9.125" style="32"/>
    <col min="15361" max="15361" width="8.375" style="32" customWidth="1"/>
    <col min="15362" max="15362" width="10.375" style="32" customWidth="1"/>
    <col min="15363" max="15364" width="11.125" style="32" customWidth="1"/>
    <col min="15365" max="15365" width="9" style="32" customWidth="1"/>
    <col min="15366" max="15366" width="9.125" style="32"/>
    <col min="15367" max="15367" width="8.75" style="32" customWidth="1"/>
    <col min="15368" max="15368" width="9.625" style="32" customWidth="1"/>
    <col min="15369" max="15369" width="9.125" style="32"/>
    <col min="15370" max="15370" width="9.25" style="32" customWidth="1"/>
    <col min="15371" max="15371" width="9.375" style="32" customWidth="1"/>
    <col min="15372" max="15372" width="9.625" style="32" customWidth="1"/>
    <col min="15373" max="15373" width="10" style="32" customWidth="1"/>
    <col min="15374" max="15374" width="9.625" style="32" customWidth="1"/>
    <col min="15375" max="15375" width="9" style="32" customWidth="1"/>
    <col min="15376" max="15376" width="9.125" style="32"/>
    <col min="15377" max="15377" width="8.375" style="32" customWidth="1"/>
    <col min="15378" max="15378" width="8.75" style="32" customWidth="1"/>
    <col min="15379" max="15379" width="9.125" style="32"/>
    <col min="15380" max="15380" width="1.375" style="32" customWidth="1"/>
    <col min="15381" max="15381" width="11.625" style="32" bestFit="1" customWidth="1"/>
    <col min="15382" max="15382" width="7.125" style="32" customWidth="1"/>
    <col min="15383" max="15387" width="6.25" style="32" customWidth="1"/>
    <col min="15388" max="15388" width="7.75" style="32" customWidth="1"/>
    <col min="15389" max="15616" width="9.125" style="32"/>
    <col min="15617" max="15617" width="8.375" style="32" customWidth="1"/>
    <col min="15618" max="15618" width="10.375" style="32" customWidth="1"/>
    <col min="15619" max="15620" width="11.125" style="32" customWidth="1"/>
    <col min="15621" max="15621" width="9" style="32" customWidth="1"/>
    <col min="15622" max="15622" width="9.125" style="32"/>
    <col min="15623" max="15623" width="8.75" style="32" customWidth="1"/>
    <col min="15624" max="15624" width="9.625" style="32" customWidth="1"/>
    <col min="15625" max="15625" width="9.125" style="32"/>
    <col min="15626" max="15626" width="9.25" style="32" customWidth="1"/>
    <col min="15627" max="15627" width="9.375" style="32" customWidth="1"/>
    <col min="15628" max="15628" width="9.625" style="32" customWidth="1"/>
    <col min="15629" max="15629" width="10" style="32" customWidth="1"/>
    <col min="15630" max="15630" width="9.625" style="32" customWidth="1"/>
    <col min="15631" max="15631" width="9" style="32" customWidth="1"/>
    <col min="15632" max="15632" width="9.125" style="32"/>
    <col min="15633" max="15633" width="8.375" style="32" customWidth="1"/>
    <col min="15634" max="15634" width="8.75" style="32" customWidth="1"/>
    <col min="15635" max="15635" width="9.125" style="32"/>
    <col min="15636" max="15636" width="1.375" style="32" customWidth="1"/>
    <col min="15637" max="15637" width="11.625" style="32" bestFit="1" customWidth="1"/>
    <col min="15638" max="15638" width="7.125" style="32" customWidth="1"/>
    <col min="15639" max="15643" width="6.25" style="32" customWidth="1"/>
    <col min="15644" max="15644" width="7.75" style="32" customWidth="1"/>
    <col min="15645" max="15872" width="9.125" style="32"/>
    <col min="15873" max="15873" width="8.375" style="32" customWidth="1"/>
    <col min="15874" max="15874" width="10.375" style="32" customWidth="1"/>
    <col min="15875" max="15876" width="11.125" style="32" customWidth="1"/>
    <col min="15877" max="15877" width="9" style="32" customWidth="1"/>
    <col min="15878" max="15878" width="9.125" style="32"/>
    <col min="15879" max="15879" width="8.75" style="32" customWidth="1"/>
    <col min="15880" max="15880" width="9.625" style="32" customWidth="1"/>
    <col min="15881" max="15881" width="9.125" style="32"/>
    <col min="15882" max="15882" width="9.25" style="32" customWidth="1"/>
    <col min="15883" max="15883" width="9.375" style="32" customWidth="1"/>
    <col min="15884" max="15884" width="9.625" style="32" customWidth="1"/>
    <col min="15885" max="15885" width="10" style="32" customWidth="1"/>
    <col min="15886" max="15886" width="9.625" style="32" customWidth="1"/>
    <col min="15887" max="15887" width="9" style="32" customWidth="1"/>
    <col min="15888" max="15888" width="9.125" style="32"/>
    <col min="15889" max="15889" width="8.375" style="32" customWidth="1"/>
    <col min="15890" max="15890" width="8.75" style="32" customWidth="1"/>
    <col min="15891" max="15891" width="9.125" style="32"/>
    <col min="15892" max="15892" width="1.375" style="32" customWidth="1"/>
    <col min="15893" max="15893" width="11.625" style="32" bestFit="1" customWidth="1"/>
    <col min="15894" max="15894" width="7.125" style="32" customWidth="1"/>
    <col min="15895" max="15899" width="6.25" style="32" customWidth="1"/>
    <col min="15900" max="15900" width="7.75" style="32" customWidth="1"/>
    <col min="15901" max="16128" width="9.125" style="32"/>
    <col min="16129" max="16129" width="8.375" style="32" customWidth="1"/>
    <col min="16130" max="16130" width="10.375" style="32" customWidth="1"/>
    <col min="16131" max="16132" width="11.125" style="32" customWidth="1"/>
    <col min="16133" max="16133" width="9" style="32" customWidth="1"/>
    <col min="16134" max="16134" width="9.125" style="32"/>
    <col min="16135" max="16135" width="8.75" style="32" customWidth="1"/>
    <col min="16136" max="16136" width="9.625" style="32" customWidth="1"/>
    <col min="16137" max="16137" width="9.125" style="32"/>
    <col min="16138" max="16138" width="9.25" style="32" customWidth="1"/>
    <col min="16139" max="16139" width="9.375" style="32" customWidth="1"/>
    <col min="16140" max="16140" width="9.625" style="32" customWidth="1"/>
    <col min="16141" max="16141" width="10" style="32" customWidth="1"/>
    <col min="16142" max="16142" width="9.625" style="32" customWidth="1"/>
    <col min="16143" max="16143" width="9" style="32" customWidth="1"/>
    <col min="16144" max="16144" width="9.125" style="32"/>
    <col min="16145" max="16145" width="8.375" style="32" customWidth="1"/>
    <col min="16146" max="16146" width="8.75" style="32" customWidth="1"/>
    <col min="16147" max="16147" width="9.125" style="32"/>
    <col min="16148" max="16148" width="1.375" style="32" customWidth="1"/>
    <col min="16149" max="16149" width="11.625" style="32" bestFit="1" customWidth="1"/>
    <col min="16150" max="16150" width="7.125" style="32" customWidth="1"/>
    <col min="16151" max="16155" width="6.25" style="32" customWidth="1"/>
    <col min="16156" max="16156" width="7.75" style="32" customWidth="1"/>
    <col min="16157" max="16384" width="9.125" style="32"/>
  </cols>
  <sheetData>
    <row r="1" spans="1:29" s="24" customFormat="1">
      <c r="A1" s="23" t="s">
        <v>793</v>
      </c>
      <c r="B1" s="24" t="s">
        <v>794</v>
      </c>
      <c r="C1" s="25">
        <f>Table!C3</f>
        <v>22</v>
      </c>
      <c r="D1" s="26" t="str">
        <f>Table!C38</f>
        <v>Avispa Fukuoka</v>
      </c>
      <c r="E1" s="26" t="str">
        <f>Table!C39</f>
        <v>Oita Trinita</v>
      </c>
      <c r="F1" s="26" t="str">
        <f>Table!C40</f>
        <v>Ehime</v>
      </c>
      <c r="G1" s="26" t="str">
        <f>Table!C41</f>
        <v>Fagiano Okayama</v>
      </c>
      <c r="H1" s="26" t="str">
        <f>Table!C42</f>
        <v>Gifu</v>
      </c>
      <c r="I1" s="26" t="str">
        <f>Table!C43</f>
        <v>Shonan Bellmare</v>
      </c>
      <c r="J1" s="26" t="str">
        <f>Table!C44</f>
        <v>JEF United</v>
      </c>
      <c r="K1" s="26" t="str">
        <f>Table!C45</f>
        <v>Kamatamare Sanuki</v>
      </c>
      <c r="L1" s="26" t="str">
        <f>Table!C46</f>
        <v>Kyoto Sanga</v>
      </c>
      <c r="M1" s="26" t="str">
        <f>Table!C47</f>
        <v>Machida Zelvia</v>
      </c>
      <c r="N1" s="26" t="str">
        <f>Table!C48</f>
        <v>Matsumoto Yamaga</v>
      </c>
      <c r="O1" s="26" t="str">
        <f>Table!C49</f>
        <v>Mito Hollyhock</v>
      </c>
      <c r="P1" s="27"/>
      <c r="Q1" s="27"/>
    </row>
    <row r="2" spans="1:29" s="24" customFormat="1">
      <c r="A2" s="26" t="str">
        <f>Table!C1</f>
        <v>J2L</v>
      </c>
      <c r="B2" s="28"/>
      <c r="C2" s="28"/>
      <c r="D2" s="26" t="str">
        <f>Table!C50</f>
        <v>Montedio Yamagata</v>
      </c>
      <c r="E2" s="26" t="str">
        <f>Table!C51</f>
        <v>Renofa Yamaguchi</v>
      </c>
      <c r="F2" s="26" t="str">
        <f>Table!C52</f>
        <v>Roasso Kumamoto</v>
      </c>
      <c r="G2" s="26" t="str">
        <f>Table!C53</f>
        <v>Nagoya Grampus</v>
      </c>
      <c r="H2" s="26" t="str">
        <f>Table!C54</f>
        <v>ThespaKusatsu Gunma</v>
      </c>
      <c r="I2" s="26" t="str">
        <f>Table!C55</f>
        <v>Tokushima Vortis</v>
      </c>
      <c r="J2" s="26" t="str">
        <f>Table!C56</f>
        <v>Tokyo Verdy</v>
      </c>
      <c r="K2" s="26" t="str">
        <f>Table!C57</f>
        <v>V-Varen Nagasaki</v>
      </c>
      <c r="L2" s="26" t="str">
        <f>Table!C58</f>
        <v>Yokohama</v>
      </c>
      <c r="M2" s="26" t="str">
        <f>Table!C59</f>
        <v>Zweigen Kanazawa</v>
      </c>
      <c r="N2" s="26">
        <f>Table!C60</f>
        <v>0</v>
      </c>
      <c r="O2" s="26">
        <f>Table!C61</f>
        <v>0</v>
      </c>
      <c r="P2" s="27"/>
      <c r="Q2" s="27"/>
    </row>
    <row r="3" spans="1:29">
      <c r="A3" s="29"/>
      <c r="B3" s="30"/>
      <c r="C3" s="31"/>
      <c r="D3" s="32"/>
      <c r="F3" s="30"/>
      <c r="H3" s="30"/>
      <c r="I3" s="30"/>
      <c r="J3" s="30"/>
      <c r="K3" s="30"/>
      <c r="L3" s="30"/>
      <c r="M3" s="30"/>
      <c r="N3" s="30"/>
      <c r="O3" s="30"/>
    </row>
    <row r="4" spans="1:29" ht="13.5" thickBot="1">
      <c r="A4" s="29"/>
      <c r="B4" s="30"/>
      <c r="C4" s="30"/>
      <c r="D4" s="33" t="s">
        <v>802</v>
      </c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>
      <c r="A5" s="35" t="s">
        <v>13</v>
      </c>
      <c r="B5" s="30"/>
      <c r="C5" s="30"/>
      <c r="D5" s="36" t="s">
        <v>0</v>
      </c>
      <c r="E5" s="37" t="s">
        <v>22</v>
      </c>
      <c r="F5" s="38"/>
      <c r="G5" s="37" t="s">
        <v>18</v>
      </c>
      <c r="H5" s="38"/>
      <c r="I5" s="37" t="s">
        <v>121</v>
      </c>
      <c r="J5" s="39"/>
      <c r="L5" s="34"/>
      <c r="M5" s="40"/>
      <c r="N5" s="41"/>
      <c r="O5" s="41"/>
      <c r="P5" s="41"/>
      <c r="Q5" s="41"/>
      <c r="R5" s="41"/>
      <c r="S5" s="42"/>
      <c r="T5" s="34"/>
      <c r="U5" s="43"/>
      <c r="V5" s="41"/>
      <c r="W5" s="41"/>
      <c r="X5" s="41"/>
      <c r="Y5" s="41"/>
      <c r="Z5" s="41"/>
      <c r="AA5" s="42"/>
      <c r="AB5" s="34"/>
      <c r="AC5" s="34"/>
    </row>
    <row r="6" spans="1:29" ht="13.5" thickBot="1">
      <c r="A6" s="44"/>
      <c r="B6" s="30"/>
      <c r="C6" s="30"/>
      <c r="D6" s="45"/>
      <c r="E6" s="46" t="s">
        <v>125</v>
      </c>
      <c r="F6" s="47" t="s">
        <v>213</v>
      </c>
      <c r="G6" s="46" t="s">
        <v>125</v>
      </c>
      <c r="H6" s="47" t="s">
        <v>213</v>
      </c>
      <c r="I6" s="48" t="s">
        <v>125</v>
      </c>
      <c r="J6" s="49" t="s">
        <v>213</v>
      </c>
      <c r="L6" s="34"/>
      <c r="M6" s="40"/>
      <c r="N6" s="50"/>
      <c r="O6" s="40"/>
      <c r="P6" s="50"/>
      <c r="Q6" s="40"/>
      <c r="R6" s="40"/>
      <c r="S6" s="40"/>
      <c r="T6" s="34"/>
      <c r="U6" s="43"/>
      <c r="V6" s="50"/>
      <c r="W6" s="40"/>
      <c r="X6" s="50"/>
      <c r="Y6" s="40"/>
      <c r="Z6" s="40"/>
      <c r="AA6" s="40"/>
      <c r="AB6" s="34"/>
      <c r="AC6" s="34"/>
    </row>
    <row r="7" spans="1:29">
      <c r="A7" s="51">
        <v>1</v>
      </c>
      <c r="B7" s="30" t="str">
        <f ca="1">IF(A7&gt;$C$1,"",VLOOKUP($A7,Table!$A$9:$C$32,3,FALSE))</f>
        <v>Shonan Bellmare</v>
      </c>
      <c r="C7" s="30"/>
      <c r="D7" s="52" t="str">
        <f ca="1">IF(A7&gt;$C$1,"",VLOOKUP($A7,Table!$A$9:$C$32,2,FALSE))</f>
        <v>Shonan Bellmare</v>
      </c>
      <c r="E7" s="53" t="e">
        <f t="shared" ref="E7:E30" ca="1" si="0">IF(D7="","",VLOOKUP($B7,$C:$J,3,FALSE))</f>
        <v>#REF!</v>
      </c>
      <c r="F7" s="54" t="e">
        <f t="shared" ref="F7:F30" ca="1" si="1">IF(D7="","",VLOOKUP($B7,$C:$J,4,FALSE))</f>
        <v>#REF!</v>
      </c>
      <c r="G7" s="55" t="e">
        <f t="shared" ref="G7:G30" ca="1" si="2">IF(D7="","",VLOOKUP($B7,$C:$J,5,FALSE))</f>
        <v>#REF!</v>
      </c>
      <c r="H7" s="56" t="e">
        <f t="shared" ref="H7:H30" ca="1" si="3">IF(D7="","",VLOOKUP($B7,$C:$J,6,FALSE))</f>
        <v>#REF!</v>
      </c>
      <c r="I7" s="57" t="e">
        <f t="shared" ref="I7:I30" ca="1" si="4">IF(D7="","",VLOOKUP($B7,$C:$J,7,FALSE))</f>
        <v>#REF!</v>
      </c>
      <c r="J7" s="58" t="e">
        <f t="shared" ref="J7:J30" ca="1" si="5">IF(D7="","",VLOOKUP($B7,$C:$J,8,FALSE))</f>
        <v>#REF!</v>
      </c>
      <c r="L7" s="34"/>
      <c r="M7" s="40"/>
      <c r="N7" s="50"/>
      <c r="O7" s="40"/>
      <c r="P7" s="50"/>
      <c r="Q7" s="40"/>
      <c r="R7" s="43"/>
      <c r="S7" s="40"/>
      <c r="T7" s="34"/>
      <c r="U7" s="59"/>
      <c r="V7" s="50"/>
      <c r="W7" s="60"/>
      <c r="X7" s="50"/>
      <c r="Y7" s="60"/>
      <c r="Z7" s="50"/>
      <c r="AA7" s="60"/>
      <c r="AB7" s="34"/>
      <c r="AC7" s="34"/>
    </row>
    <row r="8" spans="1:29">
      <c r="A8" s="61">
        <v>2</v>
      </c>
      <c r="B8" s="30" t="str">
        <f ca="1">IF(A8&gt;$C$1,"",VLOOKUP($A8,Table!$A$9:$C$32,3,FALSE))</f>
        <v>V-Varen Nagasaki</v>
      </c>
      <c r="C8" s="30"/>
      <c r="D8" s="62" t="str">
        <f ca="1">IF(A8&gt;$C$1,"",VLOOKUP($A8,Table!$A$9:$C$32,2,FALSE))</f>
        <v>V-Varen Nagasaki</v>
      </c>
      <c r="E8" s="63" t="e">
        <f t="shared" ca="1" si="0"/>
        <v>#REF!</v>
      </c>
      <c r="F8" s="64" t="e">
        <f t="shared" ca="1" si="1"/>
        <v>#REF!</v>
      </c>
      <c r="G8" s="65" t="e">
        <f t="shared" ca="1" si="2"/>
        <v>#REF!</v>
      </c>
      <c r="H8" s="66" t="e">
        <f t="shared" ca="1" si="3"/>
        <v>#REF!</v>
      </c>
      <c r="I8" s="67" t="e">
        <f t="shared" ca="1" si="4"/>
        <v>#REF!</v>
      </c>
      <c r="J8" s="68" t="e">
        <f t="shared" ca="1" si="5"/>
        <v>#REF!</v>
      </c>
      <c r="L8" s="34"/>
      <c r="M8" s="40"/>
      <c r="N8" s="50"/>
      <c r="O8" s="40"/>
      <c r="P8" s="50"/>
      <c r="Q8" s="40"/>
      <c r="R8" s="43"/>
      <c r="S8" s="40"/>
      <c r="T8" s="34"/>
      <c r="U8" s="59"/>
      <c r="V8" s="50"/>
      <c r="W8" s="60"/>
      <c r="X8" s="50"/>
      <c r="Y8" s="60"/>
      <c r="Z8" s="50"/>
      <c r="AA8" s="60"/>
      <c r="AB8" s="34"/>
      <c r="AC8" s="34"/>
    </row>
    <row r="9" spans="1:29">
      <c r="A9" s="69">
        <v>3</v>
      </c>
      <c r="B9" s="30" t="str">
        <f ca="1">IF(A9&gt;$C$1,"",VLOOKUP($A9,Table!$A$9:$C$32,3,FALSE))</f>
        <v>Nagoya Grampus</v>
      </c>
      <c r="C9" s="30"/>
      <c r="D9" s="70" t="str">
        <f ca="1">IF(A9&gt;$C$1,"",VLOOKUP($A9,Table!$A$9:$C$32,2,FALSE))</f>
        <v>Nagoya Grampus</v>
      </c>
      <c r="E9" s="71" t="e">
        <f t="shared" ca="1" si="0"/>
        <v>#REF!</v>
      </c>
      <c r="F9" s="72" t="e">
        <f t="shared" ca="1" si="1"/>
        <v>#REF!</v>
      </c>
      <c r="G9" s="73" t="e">
        <f t="shared" ca="1" si="2"/>
        <v>#REF!</v>
      </c>
      <c r="H9" s="74" t="e">
        <f t="shared" ca="1" si="3"/>
        <v>#REF!</v>
      </c>
      <c r="I9" s="75" t="e">
        <f t="shared" ca="1" si="4"/>
        <v>#REF!</v>
      </c>
      <c r="J9" s="72" t="e">
        <f t="shared" ca="1" si="5"/>
        <v>#REF!</v>
      </c>
      <c r="L9" s="34"/>
      <c r="M9" s="40"/>
      <c r="N9" s="50"/>
      <c r="O9" s="40"/>
      <c r="P9" s="50"/>
      <c r="Q9" s="40"/>
      <c r="R9" s="43"/>
      <c r="S9" s="40"/>
      <c r="T9" s="34"/>
      <c r="U9" s="59"/>
      <c r="V9" s="50"/>
      <c r="W9" s="60"/>
      <c r="X9" s="50"/>
      <c r="Y9" s="60"/>
      <c r="Z9" s="50"/>
      <c r="AA9" s="60"/>
      <c r="AB9" s="34"/>
      <c r="AC9" s="34"/>
    </row>
    <row r="10" spans="1:29">
      <c r="A10" s="69">
        <v>4</v>
      </c>
      <c r="B10" s="30" t="str">
        <f ca="1">IF(A10&gt;$C$1,"",VLOOKUP($A10,Table!$A$9:$C$32,3,FALSE))</f>
        <v>Avispa Fukuoka</v>
      </c>
      <c r="C10" s="30"/>
      <c r="D10" s="70" t="str">
        <f ca="1">IF(A10&gt;$C$1,"",VLOOKUP($A10,Table!$A$9:$C$32,2,FALSE))</f>
        <v>Avispa Fukuoka</v>
      </c>
      <c r="E10" s="71" t="e">
        <f t="shared" ca="1" si="0"/>
        <v>#REF!</v>
      </c>
      <c r="F10" s="72" t="e">
        <f t="shared" ca="1" si="1"/>
        <v>#REF!</v>
      </c>
      <c r="G10" s="73" t="e">
        <f t="shared" ca="1" si="2"/>
        <v>#REF!</v>
      </c>
      <c r="H10" s="74" t="e">
        <f t="shared" ca="1" si="3"/>
        <v>#REF!</v>
      </c>
      <c r="I10" s="75" t="e">
        <f t="shared" ca="1" si="4"/>
        <v>#REF!</v>
      </c>
      <c r="J10" s="72" t="e">
        <f t="shared" ca="1" si="5"/>
        <v>#REF!</v>
      </c>
      <c r="L10" s="34"/>
      <c r="M10" s="40"/>
      <c r="N10" s="50"/>
      <c r="O10" s="40"/>
      <c r="P10" s="50"/>
      <c r="Q10" s="40"/>
      <c r="R10" s="43"/>
      <c r="S10" s="40"/>
      <c r="T10" s="34"/>
      <c r="U10" s="59"/>
      <c r="V10" s="50"/>
      <c r="W10" s="60"/>
      <c r="X10" s="50"/>
      <c r="Y10" s="60"/>
      <c r="Z10" s="50"/>
      <c r="AA10" s="60"/>
      <c r="AB10" s="34"/>
      <c r="AC10" s="34"/>
    </row>
    <row r="11" spans="1:29">
      <c r="A11" s="61">
        <v>5</v>
      </c>
      <c r="B11" s="30" t="str">
        <f ca="1">IF(A11&gt;$C$1,"",VLOOKUP($A11,Table!$A$9:$C$32,3,FALSE))</f>
        <v>Tokyo Verdy</v>
      </c>
      <c r="C11" s="30"/>
      <c r="D11" s="62" t="str">
        <f ca="1">IF(A11&gt;$C$1,"",VLOOKUP($A11,Table!$A$9:$C$32,2,FALSE))</f>
        <v>Tokyo Verdy</v>
      </c>
      <c r="E11" s="63" t="e">
        <f t="shared" ca="1" si="0"/>
        <v>#REF!</v>
      </c>
      <c r="F11" s="64" t="e">
        <f t="shared" ca="1" si="1"/>
        <v>#REF!</v>
      </c>
      <c r="G11" s="65" t="e">
        <f t="shared" ca="1" si="2"/>
        <v>#REF!</v>
      </c>
      <c r="H11" s="66" t="e">
        <f t="shared" ca="1" si="3"/>
        <v>#REF!</v>
      </c>
      <c r="I11" s="57" t="e">
        <f t="shared" ca="1" si="4"/>
        <v>#REF!</v>
      </c>
      <c r="J11" s="58" t="e">
        <f t="shared" ca="1" si="5"/>
        <v>#REF!</v>
      </c>
      <c r="L11" s="34"/>
      <c r="M11" s="40"/>
      <c r="N11" s="50"/>
      <c r="O11" s="40"/>
      <c r="P11" s="50"/>
      <c r="Q11" s="40"/>
      <c r="R11" s="43"/>
      <c r="S11" s="40"/>
      <c r="T11" s="34"/>
      <c r="U11" s="59"/>
      <c r="V11" s="50"/>
      <c r="W11" s="60"/>
      <c r="X11" s="50"/>
      <c r="Y11" s="60"/>
      <c r="Z11" s="50"/>
      <c r="AA11" s="60"/>
      <c r="AB11" s="34"/>
      <c r="AC11" s="34"/>
    </row>
    <row r="12" spans="1:29">
      <c r="A12" s="61">
        <v>6</v>
      </c>
      <c r="B12" s="30" t="str">
        <f ca="1">IF(A12&gt;$C$1,"",VLOOKUP($A12,Table!$A$9:$C$32,3,FALSE))</f>
        <v>JEF United</v>
      </c>
      <c r="C12" s="30"/>
      <c r="D12" s="62" t="str">
        <f ca="1">IF(A12&gt;$C$1,"",VLOOKUP($A12,Table!$A$9:$C$32,2,FALSE))</f>
        <v>JEF United</v>
      </c>
      <c r="E12" s="63" t="e">
        <f t="shared" ca="1" si="0"/>
        <v>#REF!</v>
      </c>
      <c r="F12" s="64" t="e">
        <f t="shared" ca="1" si="1"/>
        <v>#REF!</v>
      </c>
      <c r="G12" s="65" t="e">
        <f t="shared" ca="1" si="2"/>
        <v>#REF!</v>
      </c>
      <c r="H12" s="66" t="e">
        <f t="shared" ca="1" si="3"/>
        <v>#REF!</v>
      </c>
      <c r="I12" s="67" t="e">
        <f t="shared" ca="1" si="4"/>
        <v>#REF!</v>
      </c>
      <c r="J12" s="68" t="e">
        <f t="shared" ca="1" si="5"/>
        <v>#REF!</v>
      </c>
      <c r="L12" s="34"/>
      <c r="M12" s="40"/>
      <c r="N12" s="50"/>
      <c r="O12" s="40"/>
      <c r="P12" s="50"/>
      <c r="Q12" s="40"/>
      <c r="R12" s="43"/>
      <c r="S12" s="40"/>
      <c r="T12" s="34"/>
      <c r="U12" s="59"/>
      <c r="V12" s="50"/>
      <c r="W12" s="60"/>
      <c r="X12" s="50"/>
      <c r="Y12" s="60"/>
      <c r="Z12" s="50"/>
      <c r="AA12" s="60"/>
      <c r="AB12" s="34"/>
      <c r="AC12" s="34"/>
    </row>
    <row r="13" spans="1:29">
      <c r="A13" s="69">
        <v>7</v>
      </c>
      <c r="B13" s="30" t="str">
        <f ca="1">IF(A13&gt;$C$1,"",VLOOKUP($A13,Table!$A$9:$C$32,3,FALSE))</f>
        <v>Tokushima Vortis</v>
      </c>
      <c r="C13" s="30"/>
      <c r="D13" s="70" t="str">
        <f ca="1">IF(A13&gt;$C$1,"",VLOOKUP($A13,Table!$A$9:$C$32,2,FALSE))</f>
        <v>Tokushima Vortis</v>
      </c>
      <c r="E13" s="71" t="e">
        <f t="shared" ca="1" si="0"/>
        <v>#REF!</v>
      </c>
      <c r="F13" s="72" t="e">
        <f t="shared" ca="1" si="1"/>
        <v>#REF!</v>
      </c>
      <c r="G13" s="73" t="e">
        <f t="shared" ca="1" si="2"/>
        <v>#REF!</v>
      </c>
      <c r="H13" s="74" t="e">
        <f t="shared" ca="1" si="3"/>
        <v>#REF!</v>
      </c>
      <c r="I13" s="75" t="e">
        <f t="shared" ca="1" si="4"/>
        <v>#REF!</v>
      </c>
      <c r="J13" s="72" t="e">
        <f t="shared" ca="1" si="5"/>
        <v>#REF!</v>
      </c>
      <c r="L13" s="34"/>
      <c r="M13" s="40"/>
      <c r="N13" s="50"/>
      <c r="O13" s="40"/>
      <c r="P13" s="50"/>
      <c r="Q13" s="40"/>
      <c r="R13" s="43"/>
      <c r="S13" s="40"/>
      <c r="T13" s="34"/>
      <c r="U13" s="59"/>
      <c r="V13" s="50"/>
      <c r="W13" s="60"/>
      <c r="X13" s="50"/>
      <c r="Y13" s="60"/>
      <c r="Z13" s="50"/>
      <c r="AA13" s="60"/>
      <c r="AB13" s="34"/>
      <c r="AC13" s="34"/>
    </row>
    <row r="14" spans="1:29">
      <c r="A14" s="69">
        <v>8</v>
      </c>
      <c r="B14" s="30" t="str">
        <f ca="1">IF(A14&gt;$C$1,"",VLOOKUP($A14,Table!$A$9:$C$32,3,FALSE))</f>
        <v>Matsumoto Yamaga</v>
      </c>
      <c r="C14" s="30"/>
      <c r="D14" s="70" t="str">
        <f ca="1">IF(A14&gt;$C$1,"",VLOOKUP($A14,Table!$A$9:$C$32,2,FALSE))</f>
        <v>Matsumoto Yamaga</v>
      </c>
      <c r="E14" s="71" t="e">
        <f t="shared" ca="1" si="0"/>
        <v>#REF!</v>
      </c>
      <c r="F14" s="72" t="e">
        <f t="shared" ca="1" si="1"/>
        <v>#REF!</v>
      </c>
      <c r="G14" s="73" t="e">
        <f t="shared" ca="1" si="2"/>
        <v>#REF!</v>
      </c>
      <c r="H14" s="74" t="e">
        <f t="shared" ca="1" si="3"/>
        <v>#REF!</v>
      </c>
      <c r="I14" s="75" t="e">
        <f t="shared" ca="1" si="4"/>
        <v>#REF!</v>
      </c>
      <c r="J14" s="72" t="e">
        <f t="shared" ca="1" si="5"/>
        <v>#REF!</v>
      </c>
      <c r="L14" s="34"/>
      <c r="M14" s="40"/>
      <c r="N14" s="50"/>
      <c r="O14" s="40"/>
      <c r="P14" s="50"/>
      <c r="Q14" s="40"/>
      <c r="R14" s="43"/>
      <c r="S14" s="40"/>
      <c r="T14" s="34"/>
      <c r="U14" s="59"/>
      <c r="V14" s="50"/>
      <c r="W14" s="60"/>
      <c r="X14" s="50"/>
      <c r="Y14" s="60"/>
      <c r="Z14" s="50"/>
      <c r="AA14" s="60"/>
      <c r="AB14" s="34"/>
      <c r="AC14" s="34"/>
    </row>
    <row r="15" spans="1:29">
      <c r="A15" s="61">
        <v>9</v>
      </c>
      <c r="B15" s="30" t="str">
        <f ca="1">IF(A15&gt;$C$1,"",VLOOKUP($A15,Table!$A$9:$C$32,3,FALSE))</f>
        <v>Oita Trinita</v>
      </c>
      <c r="C15" s="30"/>
      <c r="D15" s="62" t="str">
        <f ca="1">IF(A15&gt;$C$1,"",VLOOKUP($A15,Table!$A$9:$C$32,2,FALSE))</f>
        <v>Oita Trinita</v>
      </c>
      <c r="E15" s="63" t="e">
        <f t="shared" ca="1" si="0"/>
        <v>#REF!</v>
      </c>
      <c r="F15" s="64" t="e">
        <f t="shared" ca="1" si="1"/>
        <v>#REF!</v>
      </c>
      <c r="G15" s="65" t="e">
        <f t="shared" ca="1" si="2"/>
        <v>#REF!</v>
      </c>
      <c r="H15" s="66" t="e">
        <f t="shared" ca="1" si="3"/>
        <v>#REF!</v>
      </c>
      <c r="I15" s="57" t="e">
        <f t="shared" ca="1" si="4"/>
        <v>#REF!</v>
      </c>
      <c r="J15" s="58" t="e">
        <f t="shared" ca="1" si="5"/>
        <v>#REF!</v>
      </c>
      <c r="L15" s="34"/>
      <c r="M15" s="40"/>
      <c r="N15" s="50"/>
      <c r="O15" s="40"/>
      <c r="P15" s="50"/>
      <c r="Q15" s="40"/>
      <c r="R15" s="43"/>
      <c r="S15" s="40"/>
      <c r="T15" s="34"/>
      <c r="U15" s="59"/>
      <c r="V15" s="50"/>
      <c r="W15" s="60"/>
      <c r="X15" s="50"/>
      <c r="Y15" s="60"/>
      <c r="Z15" s="50"/>
      <c r="AA15" s="60"/>
      <c r="AB15" s="34"/>
      <c r="AC15" s="34"/>
    </row>
    <row r="16" spans="1:29">
      <c r="A16" s="61">
        <v>10</v>
      </c>
      <c r="B16" s="30" t="str">
        <f ca="1">IF(A16&gt;$C$1,"",VLOOKUP($A16,Table!$A$9:$C$32,3,FALSE))</f>
        <v>Yokohama</v>
      </c>
      <c r="C16" s="30"/>
      <c r="D16" s="62" t="str">
        <f ca="1">IF(A16&gt;$C$1,"",VLOOKUP($A16,Table!$A$9:$C$32,2,FALSE))</f>
        <v>Yokohama</v>
      </c>
      <c r="E16" s="63">
        <f t="shared" ca="1" si="0"/>
        <v>21</v>
      </c>
      <c r="F16" s="64">
        <f t="shared" ca="1" si="1"/>
        <v>22.860000000000003</v>
      </c>
      <c r="G16" s="65">
        <f t="shared" ca="1" si="2"/>
        <v>21</v>
      </c>
      <c r="H16" s="66">
        <f t="shared" ca="1" si="3"/>
        <v>26.009999999999998</v>
      </c>
      <c r="I16" s="67">
        <f t="shared" ca="1" si="4"/>
        <v>42</v>
      </c>
      <c r="J16" s="68">
        <f t="shared" ca="1" si="5"/>
        <v>48.870000000000005</v>
      </c>
      <c r="L16" s="34"/>
      <c r="M16" s="40"/>
      <c r="N16" s="50"/>
      <c r="O16" s="40"/>
      <c r="P16" s="50"/>
      <c r="Q16" s="40"/>
      <c r="R16" s="43"/>
      <c r="S16" s="40"/>
      <c r="T16" s="34"/>
      <c r="U16" s="59"/>
      <c r="V16" s="50"/>
      <c r="W16" s="60"/>
      <c r="X16" s="50"/>
      <c r="Y16" s="60"/>
      <c r="Z16" s="50"/>
      <c r="AA16" s="60"/>
      <c r="AB16" s="34"/>
      <c r="AC16" s="34"/>
    </row>
    <row r="17" spans="1:59">
      <c r="A17" s="69">
        <v>11</v>
      </c>
      <c r="B17" s="30" t="str">
        <f ca="1">IF(A17&gt;$C$1,"",VLOOKUP($A17,Table!$A$9:$C$32,3,FALSE))</f>
        <v>Montedio Yamagata</v>
      </c>
      <c r="C17" s="30"/>
      <c r="D17" s="70" t="str">
        <f ca="1">IF(A17&gt;$C$1,"",VLOOKUP($A17,Table!$A$9:$C$32,2,FALSE))</f>
        <v>Montedio Yamagata</v>
      </c>
      <c r="E17" s="71" t="e">
        <f t="shared" ca="1" si="0"/>
        <v>#REF!</v>
      </c>
      <c r="F17" s="72" t="e">
        <f t="shared" ca="1" si="1"/>
        <v>#REF!</v>
      </c>
      <c r="G17" s="73" t="e">
        <f t="shared" ca="1" si="2"/>
        <v>#REF!</v>
      </c>
      <c r="H17" s="74" t="e">
        <f t="shared" ca="1" si="3"/>
        <v>#REF!</v>
      </c>
      <c r="I17" s="75" t="e">
        <f t="shared" ca="1" si="4"/>
        <v>#REF!</v>
      </c>
      <c r="J17" s="72" t="e">
        <f t="shared" ca="1" si="5"/>
        <v>#REF!</v>
      </c>
      <c r="L17" s="34"/>
      <c r="M17" s="40"/>
      <c r="N17" s="50"/>
      <c r="O17" s="40"/>
      <c r="P17" s="50"/>
      <c r="Q17" s="40"/>
      <c r="R17" s="43"/>
      <c r="S17" s="40"/>
      <c r="T17" s="34"/>
      <c r="U17" s="59"/>
      <c r="V17" s="50"/>
      <c r="W17" s="60"/>
      <c r="X17" s="50"/>
      <c r="Y17" s="60"/>
      <c r="Z17" s="50"/>
      <c r="AA17" s="60"/>
      <c r="AB17" s="34"/>
      <c r="AC17" s="34"/>
    </row>
    <row r="18" spans="1:59">
      <c r="A18" s="69">
        <v>12</v>
      </c>
      <c r="B18" s="30" t="str">
        <f ca="1">IF(A18&gt;$C$1,"",VLOOKUP($A18,Table!$A$9:$C$32,3,FALSE))</f>
        <v>Kyoto Sanga</v>
      </c>
      <c r="C18" s="30"/>
      <c r="D18" s="70" t="str">
        <f ca="1">IF(A18&gt;$C$1,"",VLOOKUP($A18,Table!$A$9:$C$32,2,FALSE))</f>
        <v>Kyoto Sanga</v>
      </c>
      <c r="E18" s="71" t="e">
        <f t="shared" ca="1" si="0"/>
        <v>#REF!</v>
      </c>
      <c r="F18" s="72" t="e">
        <f t="shared" ca="1" si="1"/>
        <v>#REF!</v>
      </c>
      <c r="G18" s="73" t="e">
        <f t="shared" ca="1" si="2"/>
        <v>#REF!</v>
      </c>
      <c r="H18" s="74" t="e">
        <f t="shared" ca="1" si="3"/>
        <v>#REF!</v>
      </c>
      <c r="I18" s="75" t="e">
        <f t="shared" ca="1" si="4"/>
        <v>#REF!</v>
      </c>
      <c r="J18" s="72" t="e">
        <f t="shared" ca="1" si="5"/>
        <v>#REF!</v>
      </c>
      <c r="L18" s="34"/>
      <c r="M18" s="40"/>
      <c r="N18" s="50"/>
      <c r="O18" s="40"/>
      <c r="P18" s="50"/>
      <c r="Q18" s="40"/>
      <c r="R18" s="43"/>
      <c r="S18" s="40"/>
      <c r="T18" s="34"/>
      <c r="U18" s="59"/>
      <c r="V18" s="50"/>
      <c r="W18" s="60"/>
      <c r="X18" s="50"/>
      <c r="Y18" s="60"/>
      <c r="Z18" s="50"/>
      <c r="AA18" s="60"/>
      <c r="AB18" s="34"/>
      <c r="AC18" s="34"/>
    </row>
    <row r="19" spans="1:59">
      <c r="A19" s="61">
        <v>13</v>
      </c>
      <c r="B19" s="30" t="str">
        <f ca="1">IF(A19&gt;$C$1,"",VLOOKUP($A19,Table!$A$9:$C$32,3,FALSE))</f>
        <v>Fagiano Okayama</v>
      </c>
      <c r="C19" s="30"/>
      <c r="D19" s="62" t="str">
        <f ca="1">IF(A19&gt;$C$1,"",VLOOKUP($A19,Table!$A$9:$C$32,2,FALSE))</f>
        <v>Fagiano Okayama</v>
      </c>
      <c r="E19" s="63" t="e">
        <f t="shared" ca="1" si="0"/>
        <v>#REF!</v>
      </c>
      <c r="F19" s="64" t="e">
        <f t="shared" ca="1" si="1"/>
        <v>#REF!</v>
      </c>
      <c r="G19" s="65" t="e">
        <f t="shared" ca="1" si="2"/>
        <v>#REF!</v>
      </c>
      <c r="H19" s="66" t="e">
        <f t="shared" ca="1" si="3"/>
        <v>#REF!</v>
      </c>
      <c r="I19" s="57" t="e">
        <f t="shared" ca="1" si="4"/>
        <v>#REF!</v>
      </c>
      <c r="J19" s="58" t="e">
        <f t="shared" ca="1" si="5"/>
        <v>#REF!</v>
      </c>
      <c r="L19" s="34"/>
      <c r="M19" s="40"/>
      <c r="N19" s="50"/>
      <c r="O19" s="40"/>
      <c r="P19" s="50"/>
      <c r="Q19" s="40"/>
      <c r="R19" s="43"/>
      <c r="S19" s="40"/>
      <c r="T19" s="34"/>
      <c r="U19" s="59"/>
      <c r="V19" s="50"/>
      <c r="W19" s="60"/>
      <c r="X19" s="50"/>
      <c r="Y19" s="60"/>
      <c r="Z19" s="50"/>
      <c r="AA19" s="60"/>
      <c r="AB19" s="34"/>
      <c r="AC19" s="34"/>
    </row>
    <row r="20" spans="1:59">
      <c r="A20" s="61">
        <v>14</v>
      </c>
      <c r="B20" s="30" t="str">
        <f ca="1">IF(A20&gt;$C$1,"",VLOOKUP($A20,Table!$A$9:$C$32,3,FALSE))</f>
        <v>Mito Hollyhock</v>
      </c>
      <c r="C20" s="30"/>
      <c r="D20" s="62" t="str">
        <f ca="1">IF(A20&gt;$C$1,"",VLOOKUP($A20,Table!$A$9:$C$32,2,FALSE))</f>
        <v>Mito Hollyhock</v>
      </c>
      <c r="E20" s="63" t="e">
        <f t="shared" ca="1" si="0"/>
        <v>#REF!</v>
      </c>
      <c r="F20" s="64" t="e">
        <f t="shared" ca="1" si="1"/>
        <v>#REF!</v>
      </c>
      <c r="G20" s="65" t="e">
        <f t="shared" ca="1" si="2"/>
        <v>#REF!</v>
      </c>
      <c r="H20" s="66" t="e">
        <f t="shared" ca="1" si="3"/>
        <v>#REF!</v>
      </c>
      <c r="I20" s="67" t="e">
        <f t="shared" ca="1" si="4"/>
        <v>#REF!</v>
      </c>
      <c r="J20" s="68" t="e">
        <f t="shared" ca="1" si="5"/>
        <v>#REF!</v>
      </c>
      <c r="L20" s="34"/>
      <c r="M20" s="40"/>
      <c r="N20" s="50"/>
      <c r="O20" s="40"/>
      <c r="P20" s="50"/>
      <c r="Q20" s="40"/>
      <c r="R20" s="43"/>
      <c r="S20" s="40"/>
      <c r="T20" s="34"/>
      <c r="U20" s="59"/>
      <c r="V20" s="50"/>
      <c r="W20" s="60"/>
      <c r="X20" s="50"/>
      <c r="Y20" s="60"/>
      <c r="Z20" s="50"/>
      <c r="AA20" s="60"/>
      <c r="AB20" s="34"/>
      <c r="AC20" s="34"/>
    </row>
    <row r="21" spans="1:59">
      <c r="A21" s="69">
        <v>15</v>
      </c>
      <c r="B21" s="30" t="str">
        <f ca="1">IF(A21&gt;$C$1,"",VLOOKUP($A21,Table!$A$9:$C$32,3,FALSE))</f>
        <v>Ehime</v>
      </c>
      <c r="C21" s="30"/>
      <c r="D21" s="70" t="str">
        <f ca="1">IF(A21&gt;$C$1,"",VLOOKUP($A21,Table!$A$9:$C$32,2,FALSE))</f>
        <v>Ehime</v>
      </c>
      <c r="E21" s="71">
        <f t="shared" ca="1" si="0"/>
        <v>21</v>
      </c>
      <c r="F21" s="72">
        <f t="shared" ca="1" si="1"/>
        <v>25.825000000000003</v>
      </c>
      <c r="G21" s="73">
        <f t="shared" ca="1" si="2"/>
        <v>21</v>
      </c>
      <c r="H21" s="74">
        <f t="shared" ca="1" si="3"/>
        <v>28.82</v>
      </c>
      <c r="I21" s="75">
        <f t="shared" ca="1" si="4"/>
        <v>42</v>
      </c>
      <c r="J21" s="72">
        <f t="shared" ca="1" si="5"/>
        <v>54.645000000000003</v>
      </c>
      <c r="L21" s="34"/>
      <c r="M21" s="40"/>
      <c r="N21" s="50"/>
      <c r="O21" s="40"/>
      <c r="P21" s="50"/>
      <c r="Q21" s="40"/>
      <c r="R21" s="43"/>
      <c r="S21" s="40"/>
      <c r="T21" s="34"/>
      <c r="U21" s="59"/>
      <c r="V21" s="50"/>
      <c r="W21" s="60"/>
      <c r="X21" s="50"/>
      <c r="Y21" s="60"/>
      <c r="Z21" s="50"/>
      <c r="AA21" s="60"/>
      <c r="AB21" s="34"/>
      <c r="AC21" s="34"/>
    </row>
    <row r="22" spans="1:59">
      <c r="A22" s="69">
        <v>16</v>
      </c>
      <c r="B22" s="30" t="str">
        <f ca="1">IF(A22&gt;$C$1,"",VLOOKUP($A22,Table!$A$9:$C$32,3,FALSE))</f>
        <v>Machida Zelvia</v>
      </c>
      <c r="C22" s="30"/>
      <c r="D22" s="70" t="str">
        <f ca="1">IF(A22&gt;$C$1,"",VLOOKUP($A22,Table!$A$9:$C$32,2,FALSE))</f>
        <v>Machida Zelvia</v>
      </c>
      <c r="E22" s="71" t="e">
        <f t="shared" ca="1" si="0"/>
        <v>#REF!</v>
      </c>
      <c r="F22" s="72" t="e">
        <f t="shared" ca="1" si="1"/>
        <v>#REF!</v>
      </c>
      <c r="G22" s="73" t="e">
        <f t="shared" ca="1" si="2"/>
        <v>#REF!</v>
      </c>
      <c r="H22" s="74" t="e">
        <f t="shared" ca="1" si="3"/>
        <v>#REF!</v>
      </c>
      <c r="I22" s="75" t="e">
        <f t="shared" ca="1" si="4"/>
        <v>#REF!</v>
      </c>
      <c r="J22" s="72" t="e">
        <f t="shared" ca="1" si="5"/>
        <v>#REF!</v>
      </c>
      <c r="L22" s="34"/>
      <c r="M22" s="40"/>
      <c r="N22" s="50"/>
      <c r="O22" s="40"/>
      <c r="P22" s="50"/>
      <c r="Q22" s="40"/>
      <c r="R22" s="43"/>
      <c r="S22" s="40"/>
      <c r="T22" s="34"/>
      <c r="U22" s="59"/>
      <c r="V22" s="50"/>
      <c r="W22" s="60"/>
      <c r="X22" s="50"/>
      <c r="Y22" s="60"/>
      <c r="Z22" s="50"/>
      <c r="AA22" s="60"/>
      <c r="AB22" s="34"/>
      <c r="AC22" s="34"/>
    </row>
    <row r="23" spans="1:59">
      <c r="A23" s="61">
        <v>17</v>
      </c>
      <c r="B23" s="30" t="str">
        <f ca="1">IF(A23&gt;$C$1,"",VLOOKUP($A23,Table!$A$9:$C$32,3,FALSE))</f>
        <v>Zweigen Kanazawa</v>
      </c>
      <c r="C23" s="30"/>
      <c r="D23" s="62" t="str">
        <f ca="1">IF(A23&gt;$C$1,"",VLOOKUP($A23,Table!$A$9:$C$32,2,FALSE))</f>
        <v>Zweigen Kanazawa</v>
      </c>
      <c r="E23" s="63" t="e">
        <f t="shared" ca="1" si="0"/>
        <v>#REF!</v>
      </c>
      <c r="F23" s="64" t="e">
        <f t="shared" ca="1" si="1"/>
        <v>#REF!</v>
      </c>
      <c r="G23" s="65" t="e">
        <f t="shared" ca="1" si="2"/>
        <v>#REF!</v>
      </c>
      <c r="H23" s="66" t="e">
        <f t="shared" ca="1" si="3"/>
        <v>#REF!</v>
      </c>
      <c r="I23" s="57" t="e">
        <f t="shared" ca="1" si="4"/>
        <v>#REF!</v>
      </c>
      <c r="J23" s="58" t="e">
        <f t="shared" ca="1" si="5"/>
        <v>#REF!</v>
      </c>
      <c r="L23" s="34"/>
      <c r="M23" s="40"/>
      <c r="N23" s="50"/>
      <c r="O23" s="40"/>
      <c r="P23" s="50"/>
      <c r="Q23" s="40"/>
      <c r="R23" s="43"/>
      <c r="S23" s="40"/>
      <c r="T23" s="34"/>
      <c r="U23" s="59"/>
      <c r="V23" s="50"/>
      <c r="W23" s="60"/>
      <c r="X23" s="76"/>
      <c r="Y23" s="77"/>
      <c r="Z23" s="76"/>
      <c r="AA23" s="77"/>
      <c r="AB23" s="78"/>
      <c r="AC23" s="78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</row>
    <row r="24" spans="1:59">
      <c r="A24" s="61">
        <v>18</v>
      </c>
      <c r="B24" s="30" t="str">
        <f ca="1">IF(A24&gt;$C$1,"",VLOOKUP($A24,Table!$A$9:$C$32,3,FALSE))</f>
        <v>Gifu</v>
      </c>
      <c r="C24" s="30"/>
      <c r="D24" s="62" t="str">
        <f ca="1">IF(A24&gt;$C$1,"",VLOOKUP($A24,Table!$A$9:$C$32,2,FALSE))</f>
        <v>Gifu</v>
      </c>
      <c r="E24" s="63">
        <f t="shared" ca="1" si="0"/>
        <v>21</v>
      </c>
      <c r="F24" s="64">
        <f t="shared" ca="1" si="1"/>
        <v>26.524999999999999</v>
      </c>
      <c r="G24" s="65">
        <f t="shared" ca="1" si="2"/>
        <v>21</v>
      </c>
      <c r="H24" s="66">
        <f t="shared" ca="1" si="3"/>
        <v>29.994999999999997</v>
      </c>
      <c r="I24" s="67">
        <f t="shared" ca="1" si="4"/>
        <v>42</v>
      </c>
      <c r="J24" s="68">
        <f t="shared" ca="1" si="5"/>
        <v>56.519999999999996</v>
      </c>
      <c r="L24" s="34"/>
      <c r="M24" s="40"/>
      <c r="N24" s="50"/>
      <c r="O24" s="40"/>
      <c r="P24" s="50"/>
      <c r="Q24" s="40"/>
      <c r="R24" s="43"/>
      <c r="S24" s="40"/>
      <c r="T24" s="34"/>
      <c r="U24" s="59"/>
      <c r="V24" s="50"/>
      <c r="W24" s="60"/>
      <c r="X24" s="76"/>
      <c r="Y24" s="77"/>
      <c r="Z24" s="76"/>
      <c r="AA24" s="77"/>
      <c r="AB24" s="78"/>
      <c r="AC24" s="78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</row>
    <row r="25" spans="1:59">
      <c r="A25" s="69">
        <v>19</v>
      </c>
      <c r="B25" s="30" t="str">
        <f ca="1">IF(A25&gt;$C$1,"",VLOOKUP($A25,Table!$A$9:$C$32,3,FALSE))</f>
        <v>Kamatamare Sanuki</v>
      </c>
      <c r="C25" s="30"/>
      <c r="D25" s="70" t="str">
        <f ca="1">IF(A25&gt;$C$1,"",VLOOKUP($A25,Table!$A$9:$C$32,2,FALSE))</f>
        <v>Kamatamare Sanuki</v>
      </c>
      <c r="E25" s="71" t="e">
        <f t="shared" ca="1" si="0"/>
        <v>#REF!</v>
      </c>
      <c r="F25" s="72" t="e">
        <f t="shared" ca="1" si="1"/>
        <v>#REF!</v>
      </c>
      <c r="G25" s="73" t="e">
        <f t="shared" ca="1" si="2"/>
        <v>#REF!</v>
      </c>
      <c r="H25" s="74" t="e">
        <f t="shared" ca="1" si="3"/>
        <v>#REF!</v>
      </c>
      <c r="I25" s="75" t="e">
        <f t="shared" ca="1" si="4"/>
        <v>#REF!</v>
      </c>
      <c r="J25" s="72" t="e">
        <f t="shared" ca="1" si="5"/>
        <v>#REF!</v>
      </c>
      <c r="L25" s="34"/>
      <c r="M25" s="40"/>
      <c r="N25" s="50"/>
      <c r="O25" s="40"/>
      <c r="P25" s="50"/>
      <c r="Q25" s="40"/>
      <c r="R25" s="43"/>
      <c r="S25" s="40"/>
      <c r="T25" s="34"/>
      <c r="U25" s="59"/>
      <c r="V25" s="50"/>
      <c r="W25" s="60"/>
      <c r="X25" s="76"/>
      <c r="Y25" s="77"/>
      <c r="Z25" s="76"/>
      <c r="AA25" s="77"/>
      <c r="AB25" s="78"/>
      <c r="AC25" s="78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</row>
    <row r="26" spans="1:59">
      <c r="A26" s="69">
        <v>20</v>
      </c>
      <c r="B26" s="30" t="str">
        <f ca="1">IF(A26&gt;$C$1,"",VLOOKUP($A26,Table!$A$9:$C$32,3,FALSE))</f>
        <v>Renofa Yamaguchi</v>
      </c>
      <c r="C26" s="30"/>
      <c r="D26" s="70" t="str">
        <f ca="1">IF(A26&gt;$C$1,"",VLOOKUP($A26,Table!$A$9:$C$32,2,FALSE))</f>
        <v>Renofa Yamaguchi</v>
      </c>
      <c r="E26" s="71" t="e">
        <f t="shared" ca="1" si="0"/>
        <v>#REF!</v>
      </c>
      <c r="F26" s="72" t="e">
        <f t="shared" ca="1" si="1"/>
        <v>#REF!</v>
      </c>
      <c r="G26" s="73" t="e">
        <f t="shared" ca="1" si="2"/>
        <v>#REF!</v>
      </c>
      <c r="H26" s="74" t="e">
        <f t="shared" ca="1" si="3"/>
        <v>#REF!</v>
      </c>
      <c r="I26" s="75" t="e">
        <f t="shared" ca="1" si="4"/>
        <v>#REF!</v>
      </c>
      <c r="J26" s="72" t="e">
        <f t="shared" ca="1" si="5"/>
        <v>#REF!</v>
      </c>
      <c r="L26" s="34"/>
      <c r="M26" s="40"/>
      <c r="N26" s="50"/>
      <c r="O26" s="40"/>
      <c r="P26" s="50"/>
      <c r="Q26" s="40"/>
      <c r="R26" s="43"/>
      <c r="S26" s="40"/>
      <c r="T26" s="34"/>
      <c r="U26" s="59"/>
      <c r="V26" s="50"/>
      <c r="W26" s="60"/>
      <c r="X26" s="76"/>
      <c r="Y26" s="77"/>
      <c r="Z26" s="76"/>
      <c r="AA26" s="77"/>
      <c r="AB26" s="78"/>
      <c r="AC26" s="78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</row>
    <row r="27" spans="1:59">
      <c r="A27" s="80">
        <v>21</v>
      </c>
      <c r="B27" s="30" t="str">
        <f ca="1">IF(A27&gt;$C$1,"",VLOOKUP($A27,Table!$A$9:$C$32,3,FALSE))</f>
        <v>Roasso Kumamoto</v>
      </c>
      <c r="C27" s="30"/>
      <c r="D27" s="81" t="str">
        <f ca="1">IF(A27&gt;$C$1,"",VLOOKUP($A27,Table!$A$9:$C$32,2,FALSE))</f>
        <v>Roasso Kumamoto</v>
      </c>
      <c r="E27" s="82" t="e">
        <f t="shared" ca="1" si="0"/>
        <v>#REF!</v>
      </c>
      <c r="F27" s="83" t="e">
        <f t="shared" ca="1" si="1"/>
        <v>#REF!</v>
      </c>
      <c r="G27" s="84" t="e">
        <f t="shared" ca="1" si="2"/>
        <v>#REF!</v>
      </c>
      <c r="H27" s="85" t="e">
        <f t="shared" ca="1" si="3"/>
        <v>#REF!</v>
      </c>
      <c r="I27" s="57" t="e">
        <f t="shared" ca="1" si="4"/>
        <v>#REF!</v>
      </c>
      <c r="J27" s="58" t="e">
        <f t="shared" ca="1" si="5"/>
        <v>#REF!</v>
      </c>
      <c r="L27" s="34"/>
      <c r="M27" s="40"/>
      <c r="N27" s="50"/>
      <c r="O27" s="40"/>
      <c r="P27" s="50"/>
      <c r="Q27" s="40"/>
      <c r="R27" s="43"/>
      <c r="S27" s="40"/>
      <c r="T27" s="34"/>
      <c r="U27" s="40"/>
      <c r="V27" s="43"/>
      <c r="W27" s="86"/>
      <c r="X27" s="78"/>
      <c r="Y27" s="87"/>
      <c r="Z27" s="78"/>
      <c r="AA27" s="87"/>
      <c r="AB27" s="78"/>
      <c r="AC27" s="78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</row>
    <row r="28" spans="1:59">
      <c r="A28" s="61">
        <v>22</v>
      </c>
      <c r="B28" s="30" t="str">
        <f ca="1">IF(A28&gt;$C$1,"",VLOOKUP($A28,Table!$A$9:$C$32,3,FALSE))</f>
        <v>ThespaKusatsu Gunma</v>
      </c>
      <c r="C28" s="30"/>
      <c r="D28" s="62" t="str">
        <f ca="1">IF(A28&gt;$C$1,"",VLOOKUP($A28,Table!$A$9:$C$32,2,FALSE))</f>
        <v>ThespaKusatsu Gunma</v>
      </c>
      <c r="E28" s="63" t="e">
        <f t="shared" ca="1" si="0"/>
        <v>#REF!</v>
      </c>
      <c r="F28" s="64" t="e">
        <f t="shared" ca="1" si="1"/>
        <v>#REF!</v>
      </c>
      <c r="G28" s="65" t="e">
        <f t="shared" ca="1" si="2"/>
        <v>#REF!</v>
      </c>
      <c r="H28" s="66" t="e">
        <f t="shared" ca="1" si="3"/>
        <v>#REF!</v>
      </c>
      <c r="I28" s="67" t="e">
        <f t="shared" ca="1" si="4"/>
        <v>#REF!</v>
      </c>
      <c r="J28" s="68" t="e">
        <f t="shared" ca="1" si="5"/>
        <v>#REF!</v>
      </c>
      <c r="L28" s="34"/>
      <c r="M28" s="40"/>
      <c r="N28" s="50"/>
      <c r="O28" s="40"/>
      <c r="P28" s="50"/>
      <c r="Q28" s="40"/>
      <c r="R28" s="43"/>
      <c r="S28" s="40"/>
      <c r="T28" s="34"/>
      <c r="U28" s="34"/>
      <c r="V28" s="34"/>
      <c r="W28" s="34"/>
      <c r="X28" s="78"/>
      <c r="Y28" s="78"/>
      <c r="Z28" s="78"/>
      <c r="AA28" s="78"/>
      <c r="AB28" s="78"/>
      <c r="AC28" s="78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</row>
    <row r="29" spans="1:59">
      <c r="A29" s="69">
        <v>23</v>
      </c>
      <c r="B29" s="30" t="str">
        <f>IF(A29&gt;$C$1,"",VLOOKUP($A29,Table!$A$9:$C$32,3,FALSE))</f>
        <v/>
      </c>
      <c r="C29" s="30"/>
      <c r="D29" s="70" t="str">
        <f>IF(A29&gt;$C$1,"",VLOOKUP($A29,Table!$A$9:$C$32,2,FALSE))</f>
        <v/>
      </c>
      <c r="E29" s="71" t="str">
        <f t="shared" si="0"/>
        <v/>
      </c>
      <c r="F29" s="72" t="str">
        <f t="shared" si="1"/>
        <v/>
      </c>
      <c r="G29" s="73" t="str">
        <f t="shared" si="2"/>
        <v/>
      </c>
      <c r="H29" s="74" t="str">
        <f t="shared" si="3"/>
        <v/>
      </c>
      <c r="I29" s="75" t="str">
        <f t="shared" si="4"/>
        <v/>
      </c>
      <c r="J29" s="72" t="str">
        <f t="shared" si="5"/>
        <v/>
      </c>
      <c r="L29" s="34"/>
      <c r="M29" s="40"/>
      <c r="N29" s="50"/>
      <c r="O29" s="40"/>
      <c r="P29" s="50"/>
      <c r="Q29" s="40"/>
      <c r="R29" s="43"/>
      <c r="S29" s="40"/>
      <c r="T29" s="34"/>
      <c r="U29" s="34"/>
      <c r="V29" s="34"/>
      <c r="W29" s="34"/>
      <c r="X29" s="78"/>
      <c r="Y29" s="78"/>
      <c r="Z29" s="78"/>
      <c r="AA29" s="78"/>
      <c r="AB29" s="78"/>
      <c r="AC29" s="78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</row>
    <row r="30" spans="1:59" ht="13.5" thickBot="1">
      <c r="A30" s="88">
        <v>24</v>
      </c>
      <c r="B30" s="30" t="str">
        <f>IF(A30&gt;$C$1,"",VLOOKUP($A30,Table!$A$9:$C$32,3,FALSE))</f>
        <v/>
      </c>
      <c r="C30" s="30"/>
      <c r="D30" s="89" t="str">
        <f>IF(A30&gt;$C$1,"",VLOOKUP($A30,Table!$A$9:$C$32,2,FALSE))</f>
        <v/>
      </c>
      <c r="E30" s="90" t="str">
        <f t="shared" si="0"/>
        <v/>
      </c>
      <c r="F30" s="91" t="str">
        <f t="shared" si="1"/>
        <v/>
      </c>
      <c r="G30" s="92" t="str">
        <f t="shared" si="2"/>
        <v/>
      </c>
      <c r="H30" s="93" t="str">
        <f t="shared" si="3"/>
        <v/>
      </c>
      <c r="I30" s="94" t="str">
        <f t="shared" si="4"/>
        <v/>
      </c>
      <c r="J30" s="91" t="str">
        <f t="shared" si="5"/>
        <v/>
      </c>
      <c r="L30" s="34"/>
      <c r="M30" s="40"/>
      <c r="N30" s="43"/>
      <c r="O30" s="40"/>
      <c r="P30" s="43"/>
      <c r="Q30" s="40"/>
      <c r="R30" s="34"/>
      <c r="S30" s="34"/>
      <c r="T30" s="34"/>
      <c r="U30" s="34"/>
      <c r="V30" s="34"/>
      <c r="W30" s="34"/>
      <c r="X30" s="78"/>
      <c r="Y30" s="78"/>
      <c r="Z30" s="78"/>
      <c r="AA30" s="78"/>
      <c r="AB30" s="78"/>
      <c r="AC30" s="78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79"/>
      <c r="BD30" s="79"/>
      <c r="BE30" s="79"/>
      <c r="BF30" s="79"/>
      <c r="BG30" s="79"/>
    </row>
    <row r="31" spans="1:59" ht="13.5" thickBot="1">
      <c r="A31" s="29"/>
      <c r="B31" s="30"/>
      <c r="C31" s="30"/>
      <c r="D31" s="95" t="s">
        <v>19</v>
      </c>
      <c r="E31" s="96" t="e">
        <f ca="1">SUM(E7:E30)</f>
        <v>#REF!</v>
      </c>
      <c r="F31" s="97" t="e">
        <f ca="1">SUM(F7:F30)</f>
        <v>#REF!</v>
      </c>
      <c r="G31" s="96" t="e">
        <f ca="1">SUM(G7:G30)</f>
        <v>#REF!</v>
      </c>
      <c r="H31" s="97" t="e">
        <f ca="1">SUM(H7:H30)</f>
        <v>#REF!</v>
      </c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78"/>
      <c r="Y31" s="78"/>
      <c r="Z31" s="78"/>
      <c r="AA31" s="78"/>
      <c r="AB31" s="78"/>
      <c r="AC31" s="78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79"/>
      <c r="BD31" s="79"/>
      <c r="BE31" s="79"/>
      <c r="BF31" s="79"/>
      <c r="BG31" s="79"/>
    </row>
    <row r="32" spans="1:59">
      <c r="A32" s="29"/>
      <c r="B32" s="30"/>
      <c r="C32" s="30"/>
      <c r="D32" s="32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78"/>
      <c r="Y32" s="78"/>
      <c r="Z32" s="78"/>
      <c r="AA32" s="78"/>
      <c r="AB32" s="78"/>
      <c r="AC32" s="78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</row>
    <row r="33" spans="1:59">
      <c r="A33" s="29"/>
      <c r="B33" s="30"/>
      <c r="C33" s="30"/>
      <c r="D33" s="32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78"/>
      <c r="Y33" s="78"/>
      <c r="Z33" s="78"/>
      <c r="AA33" s="78"/>
      <c r="AB33" s="78"/>
      <c r="AC33" s="78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</row>
    <row r="34" spans="1:59" ht="13.5" thickBot="1">
      <c r="A34" s="29"/>
      <c r="B34" s="30"/>
      <c r="C34" s="30"/>
      <c r="D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78"/>
      <c r="Y34" s="78"/>
      <c r="Z34" s="78"/>
      <c r="AA34" s="78"/>
      <c r="AB34" s="78"/>
      <c r="AC34" s="78"/>
      <c r="AD34" s="79"/>
      <c r="AE34" s="79"/>
      <c r="AF34" s="79"/>
      <c r="AG34" s="79"/>
      <c r="AH34" s="79"/>
      <c r="AI34" s="79"/>
      <c r="AJ34" s="79"/>
      <c r="AK34" s="79"/>
      <c r="AL34" s="79"/>
      <c r="AM34" s="79"/>
      <c r="AN34" s="79"/>
      <c r="AO34" s="79"/>
      <c r="AP34" s="79"/>
      <c r="AQ34" s="79"/>
      <c r="AR34" s="79"/>
      <c r="AS34" s="79"/>
      <c r="AT34" s="79"/>
      <c r="AU34" s="79"/>
      <c r="AV34" s="79"/>
      <c r="AW34" s="79"/>
      <c r="AX34" s="79"/>
      <c r="AY34" s="79"/>
      <c r="AZ34" s="79"/>
      <c r="BA34" s="79"/>
      <c r="BB34" s="79"/>
      <c r="BC34" s="79"/>
      <c r="BD34" s="79"/>
      <c r="BE34" s="79"/>
      <c r="BF34" s="79"/>
      <c r="BG34" s="79"/>
    </row>
    <row r="35" spans="1:59">
      <c r="B35" s="30"/>
      <c r="C35" s="30"/>
      <c r="D35" s="98" t="str">
        <f>D1</f>
        <v>Avispa Fukuoka</v>
      </c>
      <c r="E35" s="99" t="s">
        <v>22</v>
      </c>
      <c r="F35" s="100"/>
      <c r="G35" s="99" t="s">
        <v>18</v>
      </c>
      <c r="H35" s="100"/>
      <c r="I35" s="99" t="s">
        <v>121</v>
      </c>
      <c r="J35" s="101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78"/>
      <c r="Y35" s="78"/>
      <c r="Z35" s="78"/>
      <c r="AA35" s="78"/>
      <c r="AB35" s="78"/>
      <c r="AC35" s="78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</row>
    <row r="36" spans="1:59" ht="13.5" thickBot="1">
      <c r="B36" s="30"/>
      <c r="C36" s="30"/>
      <c r="D36" s="102" t="s">
        <v>212</v>
      </c>
      <c r="E36" s="48" t="s">
        <v>125</v>
      </c>
      <c r="F36" s="91" t="s">
        <v>213</v>
      </c>
      <c r="G36" s="48" t="s">
        <v>125</v>
      </c>
      <c r="H36" s="91" t="s">
        <v>213</v>
      </c>
      <c r="I36" s="103" t="s">
        <v>125</v>
      </c>
      <c r="J36" s="91" t="s">
        <v>213</v>
      </c>
      <c r="K36" s="104"/>
      <c r="L36" s="104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</row>
    <row r="37" spans="1:59" ht="13.5" thickBot="1">
      <c r="B37" s="105" t="str">
        <f>IF(D35=0,"N",D35)</f>
        <v>Avispa Fukuoka</v>
      </c>
      <c r="D37" s="106"/>
      <c r="E37" s="107" t="e">
        <f ca="1">IF($B37="N","",SUM(IF((INDIRECT($B37&amp;"!I23:I200")=$A$2)*(INDIRECT($B37&amp;"!S23:S200")&lt;&gt;"")*(INDIRECT($B37&amp;"!H23:H200")=$E$5),1,0)))</f>
        <v>#REF!</v>
      </c>
      <c r="F37" s="108" t="e">
        <f t="array" aca="1" ref="F37" ca="1">IF($B37="N","",SUM(IF((INDIRECT($B37&amp;"!I23:I200")=$A$2)*(INDIRECT($B37&amp;"!S23:S200")&lt;&gt;"")*(INDIRECT($B37&amp;"!H23:H200")=$E$5),INDIRECT($B37&amp;"!V23:V200"),0)))</f>
        <v>#REF!</v>
      </c>
      <c r="G37" s="107" t="e">
        <f t="array" aca="1" ref="G37" ca="1">IF($B37="N","",SUM(IF((INDIRECT($B37&amp;"!I23:I200")=$A$2)*(INDIRECT($B37&amp;"!S23:S200")&lt;&gt;"")*(INDIRECT($B37&amp;"!H23:H200")=$G$5),1,0)))</f>
        <v>#REF!</v>
      </c>
      <c r="H37" s="108" t="e">
        <f t="array" aca="1" ref="H37" ca="1">IF($B37="N","",SUM(IF((INDIRECT($B37&amp;"!I23:I200")=$A$2)*(INDIRECT($B37&amp;"!S23:S200")&lt;&gt;"")*(INDIRECT($B37&amp;"!H23:H200")=$G$5),INDIRECT($B37&amp;"!V23:V200"),0)))</f>
        <v>#REF!</v>
      </c>
      <c r="I37" s="67" t="e">
        <f ca="1">IF(B37="N","",G37+E37)</f>
        <v>#REF!</v>
      </c>
      <c r="J37" s="72" t="e">
        <f ca="1">IF(I37="","",F37+H37)</f>
        <v>#REF!</v>
      </c>
      <c r="K37" s="104"/>
      <c r="L37" s="104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  <c r="AJ37" s="79"/>
      <c r="AK37" s="79"/>
      <c r="AL37" s="79"/>
      <c r="AM37" s="79"/>
      <c r="AN37" s="79"/>
      <c r="AO37" s="79"/>
      <c r="AP37" s="79"/>
      <c r="AQ37" s="79"/>
      <c r="AR37" s="79"/>
      <c r="AS37" s="79"/>
      <c r="AT37" s="79"/>
      <c r="AU37" s="79"/>
      <c r="AV37" s="79"/>
      <c r="AW37" s="79"/>
      <c r="AX37" s="79"/>
      <c r="AY37" s="79"/>
      <c r="AZ37" s="79"/>
      <c r="BA37" s="79"/>
      <c r="BB37" s="79"/>
      <c r="BC37" s="79"/>
      <c r="BD37" s="79"/>
      <c r="BE37" s="79"/>
      <c r="BF37" s="79"/>
      <c r="BG37" s="79"/>
    </row>
    <row r="38" spans="1:59" ht="13.5" thickBot="1">
      <c r="A38" s="109"/>
      <c r="B38" s="110"/>
      <c r="C38" s="111" t="str">
        <f>D35</f>
        <v>Avispa Fukuoka</v>
      </c>
      <c r="D38" s="112" t="s">
        <v>19</v>
      </c>
      <c r="E38" s="113" t="e">
        <f t="shared" ref="E38:J38" ca="1" si="6">SUM(E37:E37)</f>
        <v>#REF!</v>
      </c>
      <c r="F38" s="108" t="e">
        <f t="shared" ca="1" si="6"/>
        <v>#REF!</v>
      </c>
      <c r="G38" s="113" t="e">
        <f t="shared" ca="1" si="6"/>
        <v>#REF!</v>
      </c>
      <c r="H38" s="108" t="e">
        <f t="shared" ca="1" si="6"/>
        <v>#REF!</v>
      </c>
      <c r="I38" s="114" t="e">
        <f t="shared" ca="1" si="6"/>
        <v>#REF!</v>
      </c>
      <c r="J38" s="108" t="e">
        <f t="shared" ca="1" si="6"/>
        <v>#REF!</v>
      </c>
      <c r="K38" s="104"/>
      <c r="L38" s="104"/>
      <c r="M38" s="104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</row>
    <row r="39" spans="1:59" ht="13.5" thickBot="1">
      <c r="A39" s="109"/>
      <c r="B39" s="110"/>
      <c r="C39" s="111"/>
      <c r="D39" s="115"/>
      <c r="E39" s="116"/>
      <c r="F39" s="115"/>
      <c r="G39" s="116"/>
      <c r="H39" s="115"/>
      <c r="I39" s="115"/>
      <c r="J39" s="115"/>
      <c r="K39" s="104"/>
      <c r="L39" s="104"/>
      <c r="M39" s="104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</row>
    <row r="40" spans="1:59">
      <c r="A40" s="109"/>
      <c r="B40" s="30"/>
      <c r="C40" s="111"/>
      <c r="D40" s="98" t="str">
        <f>E1</f>
        <v>Oita Trinita</v>
      </c>
      <c r="E40" s="99" t="s">
        <v>22</v>
      </c>
      <c r="F40" s="100"/>
      <c r="G40" s="99" t="s">
        <v>18</v>
      </c>
      <c r="H40" s="100"/>
      <c r="I40" s="99" t="s">
        <v>121</v>
      </c>
      <c r="J40" s="101"/>
      <c r="K40" s="104"/>
      <c r="L40" s="104"/>
      <c r="M40" s="104"/>
      <c r="X40" s="79"/>
      <c r="Y40" s="79"/>
      <c r="Z40" s="79"/>
      <c r="AA40" s="79"/>
      <c r="AB40" s="79"/>
      <c r="AC40" s="79"/>
      <c r="AD40" s="79"/>
      <c r="AE40" s="79"/>
      <c r="AF40" s="79"/>
      <c r="AG40" s="79"/>
      <c r="AH40" s="79"/>
      <c r="AI40" s="79"/>
      <c r="AJ40" s="79"/>
      <c r="AK40" s="79"/>
      <c r="AL40" s="79"/>
      <c r="AM40" s="79"/>
      <c r="AN40" s="79"/>
      <c r="AO40" s="79"/>
      <c r="AP40" s="79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</row>
    <row r="41" spans="1:59" ht="13.5" thickBot="1">
      <c r="B41" s="30"/>
      <c r="C41" s="30"/>
      <c r="D41" s="102" t="s">
        <v>212</v>
      </c>
      <c r="E41" s="48" t="s">
        <v>125</v>
      </c>
      <c r="F41" s="91" t="s">
        <v>213</v>
      </c>
      <c r="G41" s="48" t="s">
        <v>125</v>
      </c>
      <c r="H41" s="91" t="s">
        <v>213</v>
      </c>
      <c r="I41" s="103" t="s">
        <v>125</v>
      </c>
      <c r="J41" s="91" t="s">
        <v>213</v>
      </c>
      <c r="K41" s="104"/>
      <c r="L41" s="104"/>
      <c r="M41" s="104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</row>
    <row r="42" spans="1:59" ht="13.5" thickBot="1">
      <c r="B42" s="105" t="str">
        <f>IF(D40=0,"N",D40)</f>
        <v>Oita Trinita</v>
      </c>
      <c r="D42" s="106"/>
      <c r="E42" s="107" t="e">
        <f t="array" aca="1" ref="E42" ca="1">IF($B42="N","",SUM(IF((INDIRECT($B42&amp;"!I23:I200")=$A$2)*(INDIRECT($B42&amp;"!S23:S200")&lt;&gt;"")*(INDIRECT($B42&amp;"!H23:H200")=$E$5),1,0)))</f>
        <v>#REF!</v>
      </c>
      <c r="F42" s="108" t="e">
        <f t="array" aca="1" ref="F42" ca="1">IF($B42="N","",SUM(IF((INDIRECT($B42&amp;"!I23:I200")=$A$2)*(INDIRECT($B42&amp;"!S23:S200")&lt;&gt;"")*(INDIRECT($B42&amp;"!H23:H200")=$E$5),INDIRECT($B42&amp;"!V23:V200"),0)))</f>
        <v>#REF!</v>
      </c>
      <c r="G42" s="107" t="e">
        <f t="array" aca="1" ref="G42" ca="1">IF($B42="N","",SUM(IF((INDIRECT($B42&amp;"!I23:I200")=$A$2)*(INDIRECT($B42&amp;"!S23:S200")&lt;&gt;"")*(INDIRECT($B42&amp;"!H23:H200")=$G$5),1,0)))</f>
        <v>#REF!</v>
      </c>
      <c r="H42" s="108" t="e">
        <f t="array" aca="1" ref="H42" ca="1">IF($B42="N","",SUM(IF((INDIRECT($B42&amp;"!I23:I200")=$A$2)*(INDIRECT($B42&amp;"!S23:S200")&lt;&gt;"")*(INDIRECT($B42&amp;"!H23:H200")=$G$5),INDIRECT($B42&amp;"!V23:V200"),0)))</f>
        <v>#REF!</v>
      </c>
      <c r="I42" s="67" t="e">
        <f ca="1">IF(B42="N","",G42+E42)</f>
        <v>#REF!</v>
      </c>
      <c r="J42" s="72" t="e">
        <f ca="1">IF(I42="","",F42+H42)</f>
        <v>#REF!</v>
      </c>
      <c r="K42" s="104"/>
      <c r="L42" s="104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</row>
    <row r="43" spans="1:59" ht="13.5" thickBot="1">
      <c r="A43" s="109"/>
      <c r="B43" s="110"/>
      <c r="C43" s="111" t="str">
        <f>D40</f>
        <v>Oita Trinita</v>
      </c>
      <c r="D43" s="112" t="s">
        <v>19</v>
      </c>
      <c r="E43" s="113" t="e">
        <f t="shared" ref="E43:J43" ca="1" si="7">SUM(E42:E42)</f>
        <v>#REF!</v>
      </c>
      <c r="F43" s="108" t="e">
        <f t="shared" ca="1" si="7"/>
        <v>#REF!</v>
      </c>
      <c r="G43" s="113" t="e">
        <f t="shared" ca="1" si="7"/>
        <v>#REF!</v>
      </c>
      <c r="H43" s="108" t="e">
        <f t="shared" ca="1" si="7"/>
        <v>#REF!</v>
      </c>
      <c r="I43" s="114" t="e">
        <f t="shared" ca="1" si="7"/>
        <v>#REF!</v>
      </c>
      <c r="J43" s="108" t="e">
        <f t="shared" ca="1" si="7"/>
        <v>#REF!</v>
      </c>
      <c r="M43" s="104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79"/>
      <c r="BA43" s="79"/>
      <c r="BB43" s="79"/>
      <c r="BC43" s="79"/>
      <c r="BD43" s="79"/>
      <c r="BE43" s="79"/>
      <c r="BF43" s="79"/>
      <c r="BG43" s="79"/>
    </row>
    <row r="44" spans="1:59" ht="13.5" thickBot="1">
      <c r="A44" s="109"/>
      <c r="C44" s="117"/>
      <c r="M44" s="104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  <c r="AJ44" s="79"/>
      <c r="AK44" s="79"/>
      <c r="AL44" s="79"/>
      <c r="AM44" s="79"/>
      <c r="AN44" s="79"/>
      <c r="AO44" s="79"/>
      <c r="AP44" s="79"/>
      <c r="AQ44" s="79"/>
      <c r="AR44" s="79"/>
      <c r="AS44" s="79"/>
      <c r="AT44" s="79"/>
      <c r="AU44" s="79"/>
      <c r="AV44" s="79"/>
      <c r="AW44" s="79"/>
      <c r="AX44" s="79"/>
      <c r="AY44" s="79"/>
      <c r="AZ44" s="79"/>
      <c r="BA44" s="79"/>
      <c r="BB44" s="79"/>
      <c r="BC44" s="79"/>
      <c r="BD44" s="79"/>
      <c r="BE44" s="79"/>
      <c r="BF44" s="79"/>
      <c r="BG44" s="79"/>
    </row>
    <row r="45" spans="1:59">
      <c r="A45" s="109"/>
      <c r="C45" s="117"/>
      <c r="D45" s="98" t="str">
        <f>F1</f>
        <v>Ehime</v>
      </c>
      <c r="E45" s="99" t="s">
        <v>22</v>
      </c>
      <c r="F45" s="100"/>
      <c r="G45" s="99" t="s">
        <v>18</v>
      </c>
      <c r="H45" s="100"/>
      <c r="I45" s="99" t="s">
        <v>121</v>
      </c>
      <c r="J45" s="101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</row>
    <row r="46" spans="1:59" ht="13.5" thickBot="1">
      <c r="B46" s="30"/>
      <c r="C46" s="30"/>
      <c r="D46" s="102" t="s">
        <v>212</v>
      </c>
      <c r="E46" s="48" t="s">
        <v>125</v>
      </c>
      <c r="F46" s="91" t="s">
        <v>213</v>
      </c>
      <c r="G46" s="48" t="s">
        <v>125</v>
      </c>
      <c r="H46" s="91" t="s">
        <v>213</v>
      </c>
      <c r="I46" s="103" t="s">
        <v>125</v>
      </c>
      <c r="J46" s="91" t="s">
        <v>213</v>
      </c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J46" s="79"/>
      <c r="AK46" s="79"/>
      <c r="AL46" s="79"/>
      <c r="AM46" s="79"/>
      <c r="AN46" s="79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79"/>
      <c r="BA46" s="79"/>
      <c r="BB46" s="79"/>
      <c r="BC46" s="79"/>
      <c r="BD46" s="79"/>
      <c r="BE46" s="79"/>
      <c r="BF46" s="79"/>
      <c r="BG46" s="79"/>
    </row>
    <row r="47" spans="1:59" ht="13.5" thickBot="1">
      <c r="B47" s="105" t="str">
        <f>IF(D45=0,"N",D45)</f>
        <v>Ehime</v>
      </c>
      <c r="D47" s="106"/>
      <c r="E47" s="107">
        <f t="array" aca="1" ref="E47" ca="1">IF($B47="N","",SUM(IF((INDIRECT($B47&amp;"!I23:I200")=$A$2)*(INDIRECT($B47&amp;"!S23:S200")&lt;&gt;"")*(INDIRECT($B47&amp;"!H23:H200")=$E$5),1,0)))</f>
        <v>21</v>
      </c>
      <c r="F47" s="108">
        <f t="array" aca="1" ref="F47" ca="1">IF($B47="N","",SUM(IF((INDIRECT($B47&amp;"!I23:I200")=$A$2)*(INDIRECT($B47&amp;"!S23:S200")&lt;&gt;"")*(INDIRECT($B47&amp;"!H23:H200")=$E$5),INDIRECT($B47&amp;"!V23:V200"),0)))</f>
        <v>25.825000000000003</v>
      </c>
      <c r="G47" s="107">
        <f t="array" aca="1" ref="G47" ca="1">IF($B47="N","",SUM(IF((INDIRECT($B47&amp;"!I23:I200")=$A$2)*(INDIRECT($B47&amp;"!S23:S200")&lt;&gt;"")*(INDIRECT($B47&amp;"!H23:H200")=$G$5),1,0)))</f>
        <v>21</v>
      </c>
      <c r="H47" s="108">
        <f t="array" aca="1" ref="H47" ca="1">IF($B47="N","",SUM(IF((INDIRECT($B47&amp;"!I23:I200")=$A$2)*(INDIRECT($B47&amp;"!S23:S200")&lt;&gt;"")*(INDIRECT($B47&amp;"!H23:H200")=$G$5),INDIRECT($B47&amp;"!V23:V200"),0)))</f>
        <v>28.82</v>
      </c>
      <c r="I47" s="67">
        <f ca="1">IF(B47="N","",G47+E47)</f>
        <v>42</v>
      </c>
      <c r="J47" s="72">
        <f ca="1">IF(I47="","",F47+H47)</f>
        <v>54.645000000000003</v>
      </c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  <c r="AK47" s="79"/>
      <c r="AL47" s="79"/>
      <c r="AM47" s="79"/>
      <c r="AN47" s="79"/>
      <c r="AO47" s="79"/>
      <c r="AP47" s="79"/>
      <c r="AQ47" s="79"/>
      <c r="AR47" s="79"/>
      <c r="AS47" s="79"/>
      <c r="AT47" s="79"/>
      <c r="AU47" s="79"/>
      <c r="AV47" s="79"/>
      <c r="AW47" s="79"/>
      <c r="AX47" s="79"/>
      <c r="AY47" s="79"/>
      <c r="AZ47" s="79"/>
      <c r="BA47" s="79"/>
      <c r="BB47" s="79"/>
      <c r="BC47" s="79"/>
      <c r="BD47" s="79"/>
      <c r="BE47" s="79"/>
      <c r="BF47" s="79"/>
      <c r="BG47" s="79"/>
    </row>
    <row r="48" spans="1:59" ht="13.5" thickBot="1">
      <c r="A48" s="109"/>
      <c r="B48" s="110"/>
      <c r="C48" s="111" t="str">
        <f>D45</f>
        <v>Ehime</v>
      </c>
      <c r="D48" s="112" t="s">
        <v>19</v>
      </c>
      <c r="E48" s="113">
        <f t="shared" ref="E48:J48" ca="1" si="8">SUM(E47:E47)</f>
        <v>21</v>
      </c>
      <c r="F48" s="108">
        <f t="shared" ca="1" si="8"/>
        <v>25.825000000000003</v>
      </c>
      <c r="G48" s="113">
        <f t="shared" ca="1" si="8"/>
        <v>21</v>
      </c>
      <c r="H48" s="108">
        <f t="shared" ca="1" si="8"/>
        <v>28.82</v>
      </c>
      <c r="I48" s="114">
        <f t="shared" ca="1" si="8"/>
        <v>42</v>
      </c>
      <c r="J48" s="108">
        <f t="shared" ca="1" si="8"/>
        <v>54.645000000000003</v>
      </c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</row>
    <row r="49" spans="1:59" ht="13.5" thickBot="1">
      <c r="A49" s="109"/>
      <c r="C49" s="117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79"/>
      <c r="AJ49" s="79"/>
      <c r="AK49" s="79"/>
      <c r="AL49" s="79"/>
      <c r="AM49" s="79"/>
      <c r="AN49" s="79"/>
      <c r="AO49" s="79"/>
      <c r="AP49" s="79"/>
      <c r="AQ49" s="79"/>
      <c r="AR49" s="79"/>
      <c r="AS49" s="79"/>
      <c r="AT49" s="79"/>
      <c r="AU49" s="79"/>
      <c r="AV49" s="79"/>
      <c r="AW49" s="79"/>
      <c r="AX49" s="79"/>
      <c r="AY49" s="79"/>
      <c r="AZ49" s="79"/>
      <c r="BA49" s="79"/>
      <c r="BB49" s="79"/>
      <c r="BC49" s="79"/>
      <c r="BD49" s="79"/>
      <c r="BE49" s="79"/>
      <c r="BF49" s="79"/>
      <c r="BG49" s="79"/>
    </row>
    <row r="50" spans="1:59">
      <c r="A50" s="109"/>
      <c r="B50" s="30"/>
      <c r="C50" s="111"/>
      <c r="D50" s="98" t="str">
        <f>G1</f>
        <v>Fagiano Okayama</v>
      </c>
      <c r="E50" s="99" t="s">
        <v>22</v>
      </c>
      <c r="F50" s="100"/>
      <c r="G50" s="99" t="s">
        <v>18</v>
      </c>
      <c r="H50" s="100"/>
      <c r="I50" s="99" t="s">
        <v>121</v>
      </c>
      <c r="J50" s="101"/>
      <c r="X50" s="79"/>
      <c r="Y50" s="79"/>
      <c r="Z50" s="79"/>
      <c r="AA50" s="79"/>
      <c r="AB50" s="79"/>
      <c r="AC50" s="79"/>
      <c r="AD50" s="79"/>
      <c r="AE50" s="79"/>
      <c r="AF50" s="79"/>
      <c r="AG50" s="79"/>
      <c r="AH50" s="79"/>
      <c r="AI50" s="79"/>
      <c r="AJ50" s="79"/>
      <c r="AK50" s="79"/>
      <c r="AL50" s="79"/>
      <c r="AM50" s="79"/>
      <c r="AN50" s="79"/>
      <c r="AO50" s="79"/>
      <c r="AP50" s="79"/>
      <c r="AQ50" s="79"/>
      <c r="AR50" s="79"/>
      <c r="AS50" s="79"/>
      <c r="AT50" s="79"/>
      <c r="AU50" s="79"/>
      <c r="AV50" s="79"/>
      <c r="AW50" s="79"/>
      <c r="AX50" s="79"/>
      <c r="AY50" s="79"/>
      <c r="AZ50" s="79"/>
      <c r="BA50" s="79"/>
      <c r="BB50" s="79"/>
      <c r="BC50" s="79"/>
      <c r="BD50" s="79"/>
      <c r="BE50" s="79"/>
      <c r="BF50" s="79"/>
      <c r="BG50" s="79"/>
    </row>
    <row r="51" spans="1:59" ht="13.5" thickBot="1">
      <c r="B51" s="30"/>
      <c r="C51" s="30"/>
      <c r="D51" s="102" t="s">
        <v>212</v>
      </c>
      <c r="E51" s="48" t="s">
        <v>125</v>
      </c>
      <c r="F51" s="91" t="s">
        <v>213</v>
      </c>
      <c r="G51" s="48" t="s">
        <v>125</v>
      </c>
      <c r="H51" s="91" t="s">
        <v>213</v>
      </c>
      <c r="I51" s="103" t="s">
        <v>125</v>
      </c>
      <c r="J51" s="91" t="s">
        <v>213</v>
      </c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</row>
    <row r="52" spans="1:59" ht="13.5" thickBot="1">
      <c r="B52" s="105" t="str">
        <f>IF(D50=0,"N",D50)</f>
        <v>Fagiano Okayama</v>
      </c>
      <c r="D52" s="106"/>
      <c r="E52" s="107" t="e">
        <f t="array" aca="1" ref="E52" ca="1">IF($B52="N","",SUM(IF((INDIRECT($B52&amp;"!I23:I200")=$A$2)*(INDIRECT($B52&amp;"!S23:S200")&lt;&gt;"")*(INDIRECT($B52&amp;"!H23:H200")=$E$5),1,0)))</f>
        <v>#REF!</v>
      </c>
      <c r="F52" s="108" t="e">
        <f t="array" aca="1" ref="F52" ca="1">IF($B52="N","",SUM(IF((INDIRECT($B52&amp;"!I23:I200")=$A$2)*(INDIRECT($B52&amp;"!S23:S200")&lt;&gt;"")*(INDIRECT($B52&amp;"!H23:H200")=$E$5),INDIRECT($B52&amp;"!V23:V200"),0)))</f>
        <v>#REF!</v>
      </c>
      <c r="G52" s="107" t="e">
        <f t="array" aca="1" ref="G52" ca="1">IF($B52="N","",SUM(IF((INDIRECT($B52&amp;"!I23:I200")=$A$2)*(INDIRECT($B52&amp;"!S23:S200")&lt;&gt;"")*(INDIRECT($B52&amp;"!H23:H200")=$G$5),1,0)))</f>
        <v>#REF!</v>
      </c>
      <c r="H52" s="108" t="e">
        <f t="array" aca="1" ref="H52" ca="1">IF($B52="N","",SUM(IF((INDIRECT($B52&amp;"!I23:I200")=$A$2)*(INDIRECT($B52&amp;"!S23:S200")&lt;&gt;"")*(INDIRECT($B52&amp;"!H23:H200")=$G$5),INDIRECT($B52&amp;"!V23:V200"),0)))</f>
        <v>#REF!</v>
      </c>
      <c r="I52" s="67" t="e">
        <f ca="1">IF(B52="N","",G52+E52)</f>
        <v>#REF!</v>
      </c>
      <c r="J52" s="72" t="e">
        <f ca="1">IF(I52="","",F52+H52)</f>
        <v>#REF!</v>
      </c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</row>
    <row r="53" spans="1:59" ht="13.5" thickBot="1">
      <c r="A53" s="109"/>
      <c r="B53" s="110"/>
      <c r="C53" s="111" t="str">
        <f>D50</f>
        <v>Fagiano Okayama</v>
      </c>
      <c r="D53" s="112" t="s">
        <v>19</v>
      </c>
      <c r="E53" s="113" t="e">
        <f t="shared" ref="E53:J53" ca="1" si="9">SUM(E52:E52)</f>
        <v>#REF!</v>
      </c>
      <c r="F53" s="108" t="e">
        <f t="shared" ca="1" si="9"/>
        <v>#REF!</v>
      </c>
      <c r="G53" s="113" t="e">
        <f t="shared" ca="1" si="9"/>
        <v>#REF!</v>
      </c>
      <c r="H53" s="108" t="e">
        <f t="shared" ca="1" si="9"/>
        <v>#REF!</v>
      </c>
      <c r="I53" s="114" t="e">
        <f t="shared" ca="1" si="9"/>
        <v>#REF!</v>
      </c>
      <c r="J53" s="108" t="e">
        <f t="shared" ca="1" si="9"/>
        <v>#REF!</v>
      </c>
      <c r="X53" s="79"/>
      <c r="Y53" s="79"/>
      <c r="Z53" s="79"/>
      <c r="AA53" s="79"/>
      <c r="AB53" s="79"/>
      <c r="AC53" s="79"/>
      <c r="AD53" s="79"/>
      <c r="AE53" s="79"/>
      <c r="AF53" s="79"/>
      <c r="AG53" s="79"/>
      <c r="AH53" s="79"/>
      <c r="AI53" s="79"/>
      <c r="AJ53" s="79"/>
      <c r="AK53" s="79"/>
      <c r="AL53" s="79"/>
      <c r="AM53" s="79"/>
      <c r="AN53" s="79"/>
      <c r="AO53" s="79"/>
      <c r="AP53" s="79"/>
      <c r="AQ53" s="79"/>
      <c r="AR53" s="79"/>
      <c r="AS53" s="79"/>
      <c r="AT53" s="79"/>
      <c r="AU53" s="79"/>
      <c r="AV53" s="79"/>
      <c r="AW53" s="79"/>
      <c r="AX53" s="79"/>
      <c r="AY53" s="79"/>
      <c r="AZ53" s="79"/>
      <c r="BA53" s="79"/>
      <c r="BB53" s="79"/>
      <c r="BC53" s="79"/>
      <c r="BD53" s="79"/>
      <c r="BE53" s="79"/>
      <c r="BF53" s="79"/>
      <c r="BG53" s="79"/>
    </row>
    <row r="54" spans="1:59" ht="13.5" thickBot="1">
      <c r="A54" s="109"/>
      <c r="C54" s="117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</row>
    <row r="55" spans="1:59">
      <c r="A55" s="109"/>
      <c r="B55" s="30"/>
      <c r="C55" s="111"/>
      <c r="D55" s="98" t="str">
        <f>H1</f>
        <v>Gifu</v>
      </c>
      <c r="E55" s="99" t="s">
        <v>22</v>
      </c>
      <c r="F55" s="100"/>
      <c r="G55" s="99" t="s">
        <v>18</v>
      </c>
      <c r="H55" s="100"/>
      <c r="I55" s="99" t="s">
        <v>121</v>
      </c>
      <c r="J55" s="101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</row>
    <row r="56" spans="1:59" ht="13.5" thickBot="1">
      <c r="B56" s="30"/>
      <c r="C56" s="30"/>
      <c r="D56" s="102" t="s">
        <v>212</v>
      </c>
      <c r="E56" s="48" t="s">
        <v>125</v>
      </c>
      <c r="F56" s="91" t="s">
        <v>213</v>
      </c>
      <c r="G56" s="48" t="s">
        <v>125</v>
      </c>
      <c r="H56" s="91" t="s">
        <v>213</v>
      </c>
      <c r="I56" s="103" t="s">
        <v>125</v>
      </c>
      <c r="J56" s="91" t="s">
        <v>213</v>
      </c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79"/>
      <c r="BA56" s="79"/>
      <c r="BB56" s="79"/>
      <c r="BC56" s="79"/>
      <c r="BD56" s="79"/>
      <c r="BE56" s="79"/>
      <c r="BF56" s="79"/>
      <c r="BG56" s="79"/>
    </row>
    <row r="57" spans="1:59" ht="13.5" thickBot="1">
      <c r="B57" s="105" t="str">
        <f>IF(D55=0,"N",D55)</f>
        <v>Gifu</v>
      </c>
      <c r="D57" s="106"/>
      <c r="E57" s="107">
        <f t="array" aca="1" ref="E57" ca="1">IF($B57="N","",SUM(IF((INDIRECT($B57&amp;"!I23:I200")=$A$2)*(INDIRECT($B57&amp;"!S23:S200")&lt;&gt;"")*(INDIRECT($B57&amp;"!H23:H200")=$E$5),1,0)))</f>
        <v>21</v>
      </c>
      <c r="F57" s="108">
        <f t="array" aca="1" ref="F57" ca="1">IF($B57="N","",SUM(IF((INDIRECT($B57&amp;"!I23:I200")=$A$2)*(INDIRECT($B57&amp;"!S23:S200")&lt;&gt;"")*(INDIRECT($B57&amp;"!H23:H200")=$E$5),INDIRECT($B57&amp;"!V23:V200"),0)))</f>
        <v>26.524999999999999</v>
      </c>
      <c r="G57" s="107">
        <f t="array" aca="1" ref="G57" ca="1">IF($B57="N","",SUM(IF((INDIRECT($B57&amp;"!I23:I200")=$A$2)*(INDIRECT($B57&amp;"!S23:S200")&lt;&gt;"")*(INDIRECT($B57&amp;"!H23:H200")=$G$5),1,0)))</f>
        <v>21</v>
      </c>
      <c r="H57" s="108">
        <f t="array" aca="1" ref="H57" ca="1">IF($B57="N","",SUM(IF((INDIRECT($B57&amp;"!I23:I200")=$A$2)*(INDIRECT($B57&amp;"!S23:S200")&lt;&gt;"")*(INDIRECT($B57&amp;"!H23:H200")=$G$5),INDIRECT($B57&amp;"!V23:V200"),0)))</f>
        <v>29.994999999999997</v>
      </c>
      <c r="I57" s="67">
        <f ca="1">IF(B57="N","",G57+E57)</f>
        <v>42</v>
      </c>
      <c r="J57" s="72">
        <f ca="1">IF(I57="","",F57+H57)</f>
        <v>56.519999999999996</v>
      </c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</row>
    <row r="58" spans="1:59" ht="13.5" thickBot="1">
      <c r="A58" s="109"/>
      <c r="B58" s="110"/>
      <c r="C58" s="111" t="str">
        <f>D55</f>
        <v>Gifu</v>
      </c>
      <c r="D58" s="112" t="s">
        <v>19</v>
      </c>
      <c r="E58" s="113">
        <f t="shared" ref="E58:J58" ca="1" si="10">SUM(E57:E57)</f>
        <v>21</v>
      </c>
      <c r="F58" s="108">
        <f t="shared" ca="1" si="10"/>
        <v>26.524999999999999</v>
      </c>
      <c r="G58" s="113">
        <f t="shared" ca="1" si="10"/>
        <v>21</v>
      </c>
      <c r="H58" s="108">
        <f t="shared" ca="1" si="10"/>
        <v>29.994999999999997</v>
      </c>
      <c r="I58" s="114">
        <f t="shared" ca="1" si="10"/>
        <v>42</v>
      </c>
      <c r="J58" s="108">
        <f t="shared" ca="1" si="10"/>
        <v>56.519999999999996</v>
      </c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</row>
    <row r="59" spans="1:59" ht="13.5" thickBot="1">
      <c r="A59" s="109"/>
      <c r="C59" s="117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</row>
    <row r="60" spans="1:59">
      <c r="A60" s="109"/>
      <c r="B60" s="30"/>
      <c r="C60" s="111"/>
      <c r="D60" s="98" t="str">
        <f>I1</f>
        <v>Shonan Bellmare</v>
      </c>
      <c r="E60" s="99" t="s">
        <v>22</v>
      </c>
      <c r="F60" s="100"/>
      <c r="G60" s="99" t="s">
        <v>18</v>
      </c>
      <c r="H60" s="100"/>
      <c r="I60" s="99" t="s">
        <v>121</v>
      </c>
      <c r="J60" s="101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</row>
    <row r="61" spans="1:59" ht="13.5" thickBot="1">
      <c r="B61" s="30"/>
      <c r="C61" s="30"/>
      <c r="D61" s="102" t="s">
        <v>212</v>
      </c>
      <c r="E61" s="48" t="s">
        <v>125</v>
      </c>
      <c r="F61" s="91" t="s">
        <v>213</v>
      </c>
      <c r="G61" s="48" t="s">
        <v>125</v>
      </c>
      <c r="H61" s="91" t="s">
        <v>213</v>
      </c>
      <c r="I61" s="103" t="s">
        <v>125</v>
      </c>
      <c r="J61" s="91" t="s">
        <v>213</v>
      </c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</row>
    <row r="62" spans="1:59" ht="13.5" thickBot="1">
      <c r="B62" s="105" t="str">
        <f>IF(D60=0,"N",D60)</f>
        <v>Shonan Bellmare</v>
      </c>
      <c r="D62" s="106"/>
      <c r="E62" s="107" t="e">
        <f t="array" aca="1" ref="E62" ca="1">IF($B62="N","",SUM(IF((INDIRECT($B62&amp;"!I23:I200")=$A$2)*(INDIRECT($B62&amp;"!S23:S200")&lt;&gt;"")*(INDIRECT($B62&amp;"!H23:H200")=$E$5),1,0)))</f>
        <v>#REF!</v>
      </c>
      <c r="F62" s="108" t="e">
        <f t="array" aca="1" ref="F62" ca="1">IF($B62="N","",SUM(IF((INDIRECT($B62&amp;"!I23:I200")=$A$2)*(INDIRECT($B62&amp;"!S23:S200")&lt;&gt;"")*(INDIRECT($B62&amp;"!H23:H200")=$E$5),INDIRECT($B62&amp;"!V23:V200"),0)))</f>
        <v>#REF!</v>
      </c>
      <c r="G62" s="107" t="e">
        <f t="array" aca="1" ref="G62" ca="1">IF($B62="N","",SUM(IF((INDIRECT($B62&amp;"!I23:I200")=$A$2)*(INDIRECT($B62&amp;"!S23:S200")&lt;&gt;"")*(INDIRECT($B62&amp;"!H23:H200")=$G$5),1,0)))</f>
        <v>#REF!</v>
      </c>
      <c r="H62" s="108" t="e">
        <f t="array" aca="1" ref="H62" ca="1">IF($B62="N","",SUM(IF((INDIRECT($B62&amp;"!I23:I200")=$A$2)*(INDIRECT($B62&amp;"!S23:S200")&lt;&gt;"")*(INDIRECT($B62&amp;"!H23:H200")=$G$5),INDIRECT($B62&amp;"!V23:V200"),0)))</f>
        <v>#REF!</v>
      </c>
      <c r="I62" s="67" t="e">
        <f ca="1">IF(B62="N","",G62+E62)</f>
        <v>#REF!</v>
      </c>
      <c r="J62" s="72" t="e">
        <f ca="1">IF(I62="","",F62+H62)</f>
        <v>#REF!</v>
      </c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</row>
    <row r="63" spans="1:59" ht="13.5" thickBot="1">
      <c r="A63" s="109"/>
      <c r="B63" s="110"/>
      <c r="C63" s="111" t="str">
        <f>D60</f>
        <v>Shonan Bellmare</v>
      </c>
      <c r="D63" s="112" t="s">
        <v>19</v>
      </c>
      <c r="E63" s="113" t="e">
        <f t="shared" ref="E63:J63" ca="1" si="11">SUM(E62:E62)</f>
        <v>#REF!</v>
      </c>
      <c r="F63" s="108" t="e">
        <f t="shared" ca="1" si="11"/>
        <v>#REF!</v>
      </c>
      <c r="G63" s="113" t="e">
        <f t="shared" ca="1" si="11"/>
        <v>#REF!</v>
      </c>
      <c r="H63" s="108" t="e">
        <f t="shared" ca="1" si="11"/>
        <v>#REF!</v>
      </c>
      <c r="I63" s="114" t="e">
        <f t="shared" ca="1" si="11"/>
        <v>#REF!</v>
      </c>
      <c r="J63" s="108" t="e">
        <f t="shared" ca="1" si="11"/>
        <v>#REF!</v>
      </c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</row>
    <row r="64" spans="1:59" ht="13.5" thickBot="1">
      <c r="A64" s="109"/>
      <c r="C64" s="117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</row>
    <row r="65" spans="1:59">
      <c r="A65" s="109"/>
      <c r="B65" s="30"/>
      <c r="C65" s="111"/>
      <c r="D65" s="98" t="str">
        <f>J1</f>
        <v>JEF United</v>
      </c>
      <c r="E65" s="99" t="s">
        <v>22</v>
      </c>
      <c r="F65" s="100"/>
      <c r="G65" s="99" t="s">
        <v>18</v>
      </c>
      <c r="H65" s="100"/>
      <c r="I65" s="99" t="s">
        <v>121</v>
      </c>
      <c r="J65" s="101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</row>
    <row r="66" spans="1:59" ht="13.5" thickBot="1">
      <c r="B66" s="30"/>
      <c r="C66" s="30"/>
      <c r="D66" s="102" t="s">
        <v>212</v>
      </c>
      <c r="E66" s="48" t="s">
        <v>125</v>
      </c>
      <c r="F66" s="91" t="s">
        <v>213</v>
      </c>
      <c r="G66" s="48" t="s">
        <v>125</v>
      </c>
      <c r="H66" s="91" t="s">
        <v>213</v>
      </c>
      <c r="I66" s="103" t="s">
        <v>125</v>
      </c>
      <c r="J66" s="91" t="s">
        <v>213</v>
      </c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  <c r="AJ66" s="79"/>
      <c r="AK66" s="79"/>
      <c r="AL66" s="79"/>
      <c r="AM66" s="79"/>
      <c r="AN66" s="79"/>
      <c r="AO66" s="79"/>
      <c r="AP66" s="79"/>
      <c r="AQ66" s="79"/>
      <c r="AR66" s="79"/>
      <c r="AS66" s="79"/>
      <c r="AT66" s="79"/>
      <c r="AU66" s="79"/>
      <c r="AV66" s="79"/>
      <c r="AW66" s="79"/>
      <c r="AX66" s="79"/>
      <c r="AY66" s="79"/>
      <c r="AZ66" s="79"/>
      <c r="BA66" s="79"/>
      <c r="BB66" s="79"/>
      <c r="BC66" s="79"/>
      <c r="BD66" s="79"/>
      <c r="BE66" s="79"/>
      <c r="BF66" s="79"/>
      <c r="BG66" s="79"/>
    </row>
    <row r="67" spans="1:59" ht="13.5" thickBot="1">
      <c r="B67" s="105" t="str">
        <f>IF(D65=0,"N",D65)</f>
        <v>JEF United</v>
      </c>
      <c r="D67" s="106"/>
      <c r="E67" s="107" t="e">
        <f t="array" aca="1" ref="E67" ca="1">IF($B67="N","",SUM(IF((INDIRECT($B67&amp;"!I23:I200")=$A$2)*(INDIRECT($B67&amp;"!S23:S200")&lt;&gt;"")*(INDIRECT($B67&amp;"!H23:H200")=$E$5),1,0)))</f>
        <v>#REF!</v>
      </c>
      <c r="F67" s="108" t="e">
        <f t="array" aca="1" ref="F67" ca="1">IF($B67="N","",SUM(IF((INDIRECT($B67&amp;"!I23:I200")=$A$2)*(INDIRECT($B67&amp;"!S23:S200")&lt;&gt;"")*(INDIRECT($B67&amp;"!H23:H200")=$E$5),INDIRECT($B67&amp;"!V23:V200"),0)))</f>
        <v>#REF!</v>
      </c>
      <c r="G67" s="107" t="e">
        <f t="array" aca="1" ref="G67" ca="1">IF($B67="N","",SUM(IF((INDIRECT($B67&amp;"!I23:I200")=$A$2)*(INDIRECT($B67&amp;"!S23:S200")&lt;&gt;"")*(INDIRECT($B67&amp;"!H23:H200")=$G$5),1,0)))</f>
        <v>#REF!</v>
      </c>
      <c r="H67" s="108" t="e">
        <f t="array" aca="1" ref="H67" ca="1">IF($B67="N","",SUM(IF((INDIRECT($B67&amp;"!I23:I200")=$A$2)*(INDIRECT($B67&amp;"!S23:S200")&lt;&gt;"")*(INDIRECT($B67&amp;"!H23:H200")=$G$5),INDIRECT($B67&amp;"!V23:V200"),0)))</f>
        <v>#REF!</v>
      </c>
      <c r="I67" s="67" t="e">
        <f ca="1">IF(B67="N","",G67+E67)</f>
        <v>#REF!</v>
      </c>
      <c r="J67" s="72" t="e">
        <f ca="1">IF(I67="","",F67+H67)</f>
        <v>#REF!</v>
      </c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</row>
    <row r="68" spans="1:59" ht="13.5" thickBot="1">
      <c r="A68" s="109"/>
      <c r="B68" s="110"/>
      <c r="C68" s="111" t="str">
        <f>D65</f>
        <v>JEF United</v>
      </c>
      <c r="D68" s="112" t="s">
        <v>19</v>
      </c>
      <c r="E68" s="113" t="e">
        <f t="shared" ref="E68:J68" ca="1" si="12">SUM(E67:E67)</f>
        <v>#REF!</v>
      </c>
      <c r="F68" s="108" t="e">
        <f t="shared" ca="1" si="12"/>
        <v>#REF!</v>
      </c>
      <c r="G68" s="113" t="e">
        <f t="shared" ca="1" si="12"/>
        <v>#REF!</v>
      </c>
      <c r="H68" s="108" t="e">
        <f t="shared" ca="1" si="12"/>
        <v>#REF!</v>
      </c>
      <c r="I68" s="114" t="e">
        <f t="shared" ca="1" si="12"/>
        <v>#REF!</v>
      </c>
      <c r="J68" s="108" t="e">
        <f t="shared" ca="1" si="12"/>
        <v>#REF!</v>
      </c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</row>
    <row r="69" spans="1:59" ht="13.5" thickBot="1">
      <c r="A69" s="109"/>
      <c r="C69" s="117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  <c r="AK69" s="79"/>
      <c r="AL69" s="79"/>
      <c r="AM69" s="79"/>
      <c r="AN69" s="79"/>
      <c r="AO69" s="79"/>
      <c r="AP69" s="79"/>
      <c r="AQ69" s="79"/>
      <c r="AR69" s="79"/>
      <c r="AS69" s="79"/>
      <c r="AT69" s="79"/>
      <c r="AU69" s="79"/>
      <c r="AV69" s="79"/>
      <c r="AW69" s="79"/>
      <c r="AX69" s="79"/>
      <c r="AY69" s="79"/>
      <c r="AZ69" s="79"/>
      <c r="BA69" s="79"/>
      <c r="BB69" s="79"/>
      <c r="BC69" s="79"/>
      <c r="BD69" s="79"/>
      <c r="BE69" s="79"/>
      <c r="BF69" s="79"/>
      <c r="BG69" s="79"/>
    </row>
    <row r="70" spans="1:59">
      <c r="A70" s="109"/>
      <c r="B70" s="30"/>
      <c r="C70" s="111"/>
      <c r="D70" s="98" t="str">
        <f>K1</f>
        <v>Kamatamare Sanuki</v>
      </c>
      <c r="E70" s="99" t="s">
        <v>22</v>
      </c>
      <c r="F70" s="100"/>
      <c r="G70" s="99" t="s">
        <v>18</v>
      </c>
      <c r="H70" s="100"/>
      <c r="I70" s="99" t="s">
        <v>121</v>
      </c>
      <c r="J70" s="101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</row>
    <row r="71" spans="1:59" ht="13.5" thickBot="1">
      <c r="B71" s="30"/>
      <c r="C71" s="30"/>
      <c r="D71" s="102" t="s">
        <v>212</v>
      </c>
      <c r="E71" s="48" t="s">
        <v>125</v>
      </c>
      <c r="F71" s="91" t="s">
        <v>213</v>
      </c>
      <c r="G71" s="48" t="s">
        <v>125</v>
      </c>
      <c r="H71" s="91" t="s">
        <v>213</v>
      </c>
      <c r="I71" s="103" t="s">
        <v>125</v>
      </c>
      <c r="J71" s="91" t="s">
        <v>213</v>
      </c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</row>
    <row r="72" spans="1:59" ht="13.5" thickBot="1">
      <c r="B72" s="105" t="str">
        <f>IF(D70=0,"N",D70)</f>
        <v>Kamatamare Sanuki</v>
      </c>
      <c r="D72" s="106"/>
      <c r="E72" s="107" t="e">
        <f t="array" aca="1" ref="E72" ca="1">IF($B72="N","",SUM(IF((INDIRECT($B72&amp;"!I23:I200")=$A$2)*(INDIRECT($B72&amp;"!S23:S200")&lt;&gt;"")*(INDIRECT($B72&amp;"!H23:H200")=$E$5),1,0)))</f>
        <v>#REF!</v>
      </c>
      <c r="F72" s="108" t="e">
        <f t="array" aca="1" ref="F72" ca="1">IF($B72="N","",SUM(IF((INDIRECT($B72&amp;"!I23:I200")=$A$2)*(INDIRECT($B72&amp;"!S23:S200")&lt;&gt;"")*(INDIRECT($B72&amp;"!H23:H200")=$E$5),INDIRECT($B72&amp;"!V23:V200"),0)))</f>
        <v>#REF!</v>
      </c>
      <c r="G72" s="107" t="e">
        <f t="array" aca="1" ref="G72" ca="1">IF($B72="N","",SUM(IF((INDIRECT($B72&amp;"!I23:I200")=$A$2)*(INDIRECT($B72&amp;"!S23:S200")&lt;&gt;"")*(INDIRECT($B72&amp;"!H23:H200")=$G$5),1,0)))</f>
        <v>#REF!</v>
      </c>
      <c r="H72" s="108" t="e">
        <f t="array" aca="1" ref="H72" ca="1">IF($B72="N","",SUM(IF((INDIRECT($B72&amp;"!I23:I200")=$A$2)*(INDIRECT($B72&amp;"!S23:S200")&lt;&gt;"")*(INDIRECT($B72&amp;"!H23:H200")=$G$5),INDIRECT($B72&amp;"!V23:V200"),0)))</f>
        <v>#REF!</v>
      </c>
      <c r="I72" s="67" t="e">
        <f ca="1">IF(B72="N","",G72+E72)</f>
        <v>#REF!</v>
      </c>
      <c r="J72" s="72" t="e">
        <f ca="1">IF(I72="","",F72+H72)</f>
        <v>#REF!</v>
      </c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  <c r="AJ72" s="79"/>
      <c r="AK72" s="79"/>
      <c r="AL72" s="79"/>
      <c r="AM72" s="79"/>
      <c r="AN72" s="79"/>
      <c r="AO72" s="79"/>
      <c r="AP72" s="79"/>
      <c r="AQ72" s="79"/>
      <c r="AR72" s="79"/>
      <c r="AS72" s="79"/>
      <c r="AT72" s="79"/>
      <c r="AU72" s="79"/>
      <c r="AV72" s="79"/>
      <c r="AW72" s="79"/>
      <c r="AX72" s="79"/>
      <c r="AY72" s="79"/>
      <c r="AZ72" s="79"/>
      <c r="BA72" s="79"/>
      <c r="BB72" s="79"/>
      <c r="BC72" s="79"/>
      <c r="BD72" s="79"/>
      <c r="BE72" s="79"/>
      <c r="BF72" s="79"/>
      <c r="BG72" s="79"/>
    </row>
    <row r="73" spans="1:59" ht="13.5" thickBot="1">
      <c r="A73" s="109"/>
      <c r="B73" s="110"/>
      <c r="C73" s="111" t="str">
        <f>D70</f>
        <v>Kamatamare Sanuki</v>
      </c>
      <c r="D73" s="112" t="s">
        <v>19</v>
      </c>
      <c r="E73" s="113" t="e">
        <f t="shared" ref="E73:J73" ca="1" si="13">SUM(E72:E72)</f>
        <v>#REF!</v>
      </c>
      <c r="F73" s="108" t="e">
        <f t="shared" ca="1" si="13"/>
        <v>#REF!</v>
      </c>
      <c r="G73" s="113" t="e">
        <f t="shared" ca="1" si="13"/>
        <v>#REF!</v>
      </c>
      <c r="H73" s="108" t="e">
        <f t="shared" ca="1" si="13"/>
        <v>#REF!</v>
      </c>
      <c r="I73" s="114" t="e">
        <f t="shared" ca="1" si="13"/>
        <v>#REF!</v>
      </c>
      <c r="J73" s="108" t="e">
        <f t="shared" ca="1" si="13"/>
        <v>#REF!</v>
      </c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</row>
    <row r="74" spans="1:59" ht="13.5" thickBot="1">
      <c r="A74" s="109"/>
      <c r="C74" s="117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</row>
    <row r="75" spans="1:59">
      <c r="A75" s="109"/>
      <c r="B75" s="30"/>
      <c r="C75" s="111"/>
      <c r="D75" s="98" t="str">
        <f>L1</f>
        <v>Kyoto Sanga</v>
      </c>
      <c r="E75" s="99" t="s">
        <v>22</v>
      </c>
      <c r="F75" s="100"/>
      <c r="G75" s="99" t="s">
        <v>18</v>
      </c>
      <c r="H75" s="100"/>
      <c r="I75" s="99" t="s">
        <v>121</v>
      </c>
      <c r="J75" s="101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  <c r="AJ75" s="79"/>
      <c r="AK75" s="79"/>
      <c r="AL75" s="79"/>
      <c r="AM75" s="79"/>
      <c r="AN75" s="79"/>
      <c r="AO75" s="79"/>
      <c r="AP75" s="79"/>
      <c r="AQ75" s="79"/>
      <c r="AR75" s="79"/>
      <c r="AS75" s="79"/>
      <c r="AT75" s="79"/>
      <c r="AU75" s="79"/>
      <c r="AV75" s="79"/>
      <c r="AW75" s="79"/>
      <c r="AX75" s="79"/>
      <c r="AY75" s="79"/>
      <c r="AZ75" s="79"/>
      <c r="BA75" s="79"/>
      <c r="BB75" s="79"/>
      <c r="BC75" s="79"/>
      <c r="BD75" s="79"/>
      <c r="BE75" s="79"/>
      <c r="BF75" s="79"/>
      <c r="BG75" s="79"/>
    </row>
    <row r="76" spans="1:59" ht="13.5" thickBot="1">
      <c r="B76" s="30"/>
      <c r="C76" s="30"/>
      <c r="D76" s="102" t="s">
        <v>212</v>
      </c>
      <c r="E76" s="48" t="s">
        <v>125</v>
      </c>
      <c r="F76" s="91" t="s">
        <v>213</v>
      </c>
      <c r="G76" s="48" t="s">
        <v>125</v>
      </c>
      <c r="H76" s="91" t="s">
        <v>213</v>
      </c>
      <c r="I76" s="103" t="s">
        <v>125</v>
      </c>
      <c r="J76" s="91" t="s">
        <v>213</v>
      </c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</row>
    <row r="77" spans="1:59" ht="13.5" thickBot="1">
      <c r="B77" s="105" t="str">
        <f>IF(D75=0,"N",D75)</f>
        <v>Kyoto Sanga</v>
      </c>
      <c r="D77" s="106"/>
      <c r="E77" s="107" t="e">
        <f t="array" aca="1" ref="E77" ca="1">IF($B77="N","",SUM(IF((INDIRECT($B77&amp;"!I23:I200")=$A$2)*(INDIRECT($B77&amp;"!S23:S200")&lt;&gt;"")*(INDIRECT($B77&amp;"!H23:H200")=$E$5),1,0)))</f>
        <v>#REF!</v>
      </c>
      <c r="F77" s="108" t="e">
        <f t="array" aca="1" ref="F77" ca="1">IF($B77="N","",SUM(IF((INDIRECT($B77&amp;"!I23:I200")=$A$2)*(INDIRECT($B77&amp;"!S23:S200")&lt;&gt;"")*(INDIRECT($B77&amp;"!H23:H200")=$E$5),INDIRECT($B77&amp;"!V23:V200"),0)))</f>
        <v>#REF!</v>
      </c>
      <c r="G77" s="107" t="e">
        <f t="array" aca="1" ref="G77" ca="1">IF($B77="N","",SUM(IF((INDIRECT($B77&amp;"!I23:I200")=$A$2)*(INDIRECT($B77&amp;"!S23:S200")&lt;&gt;"")*(INDIRECT($B77&amp;"!H23:H200")=$G$5),1,0)))</f>
        <v>#REF!</v>
      </c>
      <c r="H77" s="108" t="e">
        <f t="array" aca="1" ref="H77" ca="1">IF($B77="N","",SUM(IF((INDIRECT($B77&amp;"!I23:I200")=$A$2)*(INDIRECT($B77&amp;"!S23:S200")&lt;&gt;"")*(INDIRECT($B77&amp;"!H23:H200")=$G$5),INDIRECT($B77&amp;"!V23:V200"),0)))</f>
        <v>#REF!</v>
      </c>
      <c r="I77" s="67" t="e">
        <f ca="1">IF(B77="N","",G77+E77)</f>
        <v>#REF!</v>
      </c>
      <c r="J77" s="72" t="e">
        <f ca="1">IF(I77="","",F77+H77)</f>
        <v>#REF!</v>
      </c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</row>
    <row r="78" spans="1:59" ht="13.5" thickBot="1">
      <c r="A78" s="109"/>
      <c r="B78" s="110"/>
      <c r="C78" s="111" t="str">
        <f>D75</f>
        <v>Kyoto Sanga</v>
      </c>
      <c r="D78" s="112" t="s">
        <v>19</v>
      </c>
      <c r="E78" s="113" t="e">
        <f t="shared" ref="E78:J78" ca="1" si="14">SUM(E77:E77)</f>
        <v>#REF!</v>
      </c>
      <c r="F78" s="108" t="e">
        <f t="shared" ca="1" si="14"/>
        <v>#REF!</v>
      </c>
      <c r="G78" s="113" t="e">
        <f t="shared" ca="1" si="14"/>
        <v>#REF!</v>
      </c>
      <c r="H78" s="108" t="e">
        <f t="shared" ca="1" si="14"/>
        <v>#REF!</v>
      </c>
      <c r="I78" s="114" t="e">
        <f t="shared" ca="1" si="14"/>
        <v>#REF!</v>
      </c>
      <c r="J78" s="108" t="e">
        <f t="shared" ca="1" si="14"/>
        <v>#REF!</v>
      </c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  <c r="AJ78" s="79"/>
      <c r="AK78" s="79"/>
      <c r="AL78" s="79"/>
      <c r="AM78" s="79"/>
      <c r="AN78" s="79"/>
      <c r="AO78" s="79"/>
      <c r="AP78" s="79"/>
      <c r="AQ78" s="79"/>
      <c r="AR78" s="79"/>
      <c r="AS78" s="79"/>
      <c r="AT78" s="79"/>
      <c r="AU78" s="79"/>
      <c r="AV78" s="79"/>
      <c r="AW78" s="79"/>
      <c r="AX78" s="79"/>
      <c r="AY78" s="79"/>
      <c r="AZ78" s="79"/>
      <c r="BA78" s="79"/>
      <c r="BB78" s="79"/>
      <c r="BC78" s="79"/>
      <c r="BD78" s="79"/>
      <c r="BE78" s="79"/>
      <c r="BF78" s="79"/>
      <c r="BG78" s="79"/>
    </row>
    <row r="79" spans="1:59" ht="13.5" thickBot="1">
      <c r="A79" s="109"/>
      <c r="C79" s="117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  <c r="AJ79" s="79"/>
      <c r="AK79" s="79"/>
      <c r="AL79" s="79"/>
      <c r="AM79" s="79"/>
      <c r="AN79" s="79"/>
      <c r="AO79" s="79"/>
      <c r="AP79" s="79"/>
      <c r="AQ79" s="79"/>
      <c r="AR79" s="79"/>
      <c r="AS79" s="79"/>
      <c r="AT79" s="79"/>
      <c r="AU79" s="79"/>
      <c r="AV79" s="79"/>
      <c r="AW79" s="79"/>
      <c r="AX79" s="79"/>
      <c r="AY79" s="79"/>
      <c r="AZ79" s="79"/>
      <c r="BA79" s="79"/>
      <c r="BB79" s="79"/>
      <c r="BC79" s="79"/>
      <c r="BD79" s="79"/>
      <c r="BE79" s="79"/>
      <c r="BF79" s="79"/>
      <c r="BG79" s="79"/>
    </row>
    <row r="80" spans="1:59">
      <c r="A80" s="109"/>
      <c r="B80" s="30"/>
      <c r="C80" s="111"/>
      <c r="D80" s="98" t="str">
        <f>M1</f>
        <v>Machida Zelvia</v>
      </c>
      <c r="E80" s="99" t="s">
        <v>22</v>
      </c>
      <c r="F80" s="100"/>
      <c r="G80" s="99" t="s">
        <v>18</v>
      </c>
      <c r="H80" s="100"/>
      <c r="I80" s="99" t="s">
        <v>121</v>
      </c>
      <c r="J80" s="101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</row>
    <row r="81" spans="1:59" ht="13.5" thickBot="1">
      <c r="B81" s="30"/>
      <c r="C81" s="30"/>
      <c r="D81" s="102" t="s">
        <v>212</v>
      </c>
      <c r="E81" s="48" t="s">
        <v>125</v>
      </c>
      <c r="F81" s="91" t="s">
        <v>213</v>
      </c>
      <c r="G81" s="48" t="s">
        <v>125</v>
      </c>
      <c r="H81" s="91" t="s">
        <v>213</v>
      </c>
      <c r="I81" s="103" t="s">
        <v>125</v>
      </c>
      <c r="J81" s="91" t="s">
        <v>213</v>
      </c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  <c r="AW81" s="79"/>
      <c r="AX81" s="79"/>
      <c r="AY81" s="79"/>
      <c r="AZ81" s="79"/>
      <c r="BA81" s="79"/>
      <c r="BB81" s="79"/>
      <c r="BC81" s="79"/>
      <c r="BD81" s="79"/>
      <c r="BE81" s="79"/>
      <c r="BF81" s="79"/>
      <c r="BG81" s="79"/>
    </row>
    <row r="82" spans="1:59" ht="13.5" thickBot="1">
      <c r="B82" s="105" t="str">
        <f>IF(D80=0,"N",D80)</f>
        <v>Machida Zelvia</v>
      </c>
      <c r="D82" s="106"/>
      <c r="E82" s="107" t="e">
        <f t="array" aca="1" ref="E82" ca="1">IF($B82="N","",SUM(IF((INDIRECT($B82&amp;"!I23:I200")=$A$2)*(INDIRECT($B82&amp;"!S23:S200")&lt;&gt;"")*(INDIRECT($B82&amp;"!H23:H200")=$E$5),1,0)))</f>
        <v>#REF!</v>
      </c>
      <c r="F82" s="108" t="e">
        <f t="array" aca="1" ref="F82" ca="1">IF($B82="N","",SUM(IF((INDIRECT($B82&amp;"!I23:I200")=$A$2)*(INDIRECT($B82&amp;"!S23:S200")&lt;&gt;"")*(INDIRECT($B82&amp;"!H23:H200")=$E$5),INDIRECT($B82&amp;"!V23:V200"),0)))</f>
        <v>#REF!</v>
      </c>
      <c r="G82" s="107" t="e">
        <f t="array" aca="1" ref="G82" ca="1">IF($B82="N","",SUM(IF((INDIRECT($B82&amp;"!I23:I200")=$A$2)*(INDIRECT($B82&amp;"!S23:S200")&lt;&gt;"")*(INDIRECT($B82&amp;"!H23:H200")=$G$5),1,0)))</f>
        <v>#REF!</v>
      </c>
      <c r="H82" s="108" t="e">
        <f t="array" aca="1" ref="H82" ca="1">IF($B82="N","",SUM(IF((INDIRECT($B82&amp;"!I23:I200")=$A$2)*(INDIRECT($B82&amp;"!S23:S200")&lt;&gt;"")*(INDIRECT($B82&amp;"!H23:H200")=$G$5),INDIRECT($B82&amp;"!V23:V200"),0)))</f>
        <v>#REF!</v>
      </c>
      <c r="I82" s="67" t="e">
        <f ca="1">IF(B82="N","",G82+E82)</f>
        <v>#REF!</v>
      </c>
      <c r="J82" s="72" t="e">
        <f ca="1">IF(I82="","",F82+H82)</f>
        <v>#REF!</v>
      </c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  <c r="AJ82" s="79"/>
      <c r="AK82" s="79"/>
      <c r="AL82" s="79"/>
      <c r="AM82" s="79"/>
      <c r="AN82" s="79"/>
      <c r="AO82" s="79"/>
      <c r="AP82" s="79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</row>
    <row r="83" spans="1:59" ht="13.5" thickBot="1">
      <c r="A83" s="109"/>
      <c r="B83" s="110"/>
      <c r="C83" s="111" t="str">
        <f>D80</f>
        <v>Machida Zelvia</v>
      </c>
      <c r="D83" s="112" t="s">
        <v>19</v>
      </c>
      <c r="E83" s="113" t="e">
        <f t="shared" ref="E83:J83" ca="1" si="15">SUM(E82:E82)</f>
        <v>#REF!</v>
      </c>
      <c r="F83" s="108" t="e">
        <f t="shared" ca="1" si="15"/>
        <v>#REF!</v>
      </c>
      <c r="G83" s="113" t="e">
        <f t="shared" ca="1" si="15"/>
        <v>#REF!</v>
      </c>
      <c r="H83" s="108" t="e">
        <f t="shared" ca="1" si="15"/>
        <v>#REF!</v>
      </c>
      <c r="I83" s="114" t="e">
        <f t="shared" ca="1" si="15"/>
        <v>#REF!</v>
      </c>
      <c r="J83" s="108" t="e">
        <f t="shared" ca="1" si="15"/>
        <v>#REF!</v>
      </c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</row>
    <row r="84" spans="1:59" ht="13.5" thickBot="1">
      <c r="A84" s="109"/>
      <c r="C84" s="117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79"/>
      <c r="AY84" s="79"/>
      <c r="AZ84" s="79"/>
      <c r="BA84" s="79"/>
      <c r="BB84" s="79"/>
      <c r="BC84" s="79"/>
      <c r="BD84" s="79"/>
      <c r="BE84" s="79"/>
      <c r="BF84" s="79"/>
      <c r="BG84" s="79"/>
    </row>
    <row r="85" spans="1:59">
      <c r="A85" s="109"/>
      <c r="B85" s="30"/>
      <c r="C85" s="111"/>
      <c r="D85" s="98" t="str">
        <f>N1</f>
        <v>Matsumoto Yamaga</v>
      </c>
      <c r="E85" s="99" t="s">
        <v>22</v>
      </c>
      <c r="F85" s="100"/>
      <c r="G85" s="99" t="s">
        <v>18</v>
      </c>
      <c r="H85" s="100"/>
      <c r="I85" s="99" t="s">
        <v>121</v>
      </c>
      <c r="J85" s="101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  <c r="AJ85" s="79"/>
      <c r="AK85" s="79"/>
      <c r="AL85" s="79"/>
      <c r="AM85" s="79"/>
      <c r="AN85" s="79"/>
      <c r="AO85" s="79"/>
      <c r="AP85" s="79"/>
      <c r="AQ85" s="79"/>
      <c r="AR85" s="79"/>
      <c r="AS85" s="79"/>
      <c r="AT85" s="79"/>
      <c r="AU85" s="79"/>
      <c r="AV85" s="79"/>
      <c r="AW85" s="79"/>
      <c r="AX85" s="79"/>
      <c r="AY85" s="79"/>
      <c r="AZ85" s="79"/>
      <c r="BA85" s="79"/>
      <c r="BB85" s="79"/>
      <c r="BC85" s="79"/>
      <c r="BD85" s="79"/>
      <c r="BE85" s="79"/>
      <c r="BF85" s="79"/>
      <c r="BG85" s="79"/>
    </row>
    <row r="86" spans="1:59" ht="13.5" thickBot="1">
      <c r="B86" s="30"/>
      <c r="C86" s="30"/>
      <c r="D86" s="102" t="s">
        <v>212</v>
      </c>
      <c r="E86" s="48" t="s">
        <v>125</v>
      </c>
      <c r="F86" s="91" t="s">
        <v>213</v>
      </c>
      <c r="G86" s="48" t="s">
        <v>125</v>
      </c>
      <c r="H86" s="91" t="s">
        <v>213</v>
      </c>
      <c r="I86" s="103" t="s">
        <v>125</v>
      </c>
      <c r="J86" s="91" t="s">
        <v>213</v>
      </c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</row>
    <row r="87" spans="1:59" ht="13.5" thickBot="1">
      <c r="B87" s="105" t="str">
        <f>IF(D85=0,"N",D85)</f>
        <v>Matsumoto Yamaga</v>
      </c>
      <c r="D87" s="106"/>
      <c r="E87" s="107" t="e">
        <f t="array" aca="1" ref="E87" ca="1">IF($B87="N","",SUM(IF((INDIRECT($B87&amp;"!I23:I200")=$A$2)*(INDIRECT($B87&amp;"!S23:S200")&lt;&gt;"")*(INDIRECT($B87&amp;"!H23:H200")=$E$5),1,0)))</f>
        <v>#REF!</v>
      </c>
      <c r="F87" s="108" t="e">
        <f t="array" aca="1" ref="F87" ca="1">IF($B87="N","",SUM(IF((INDIRECT($B87&amp;"!I23:I200")=$A$2)*(INDIRECT($B87&amp;"!S23:S200")&lt;&gt;"")*(INDIRECT($B87&amp;"!H23:H200")=$E$5),INDIRECT($B87&amp;"!V23:V200"),0)))</f>
        <v>#REF!</v>
      </c>
      <c r="G87" s="107" t="e">
        <f t="array" aca="1" ref="G87" ca="1">IF($B87="N","",SUM(IF((INDIRECT($B87&amp;"!I23:I200")=$A$2)*(INDIRECT($B87&amp;"!S23:S200")&lt;&gt;"")*(INDIRECT($B87&amp;"!H23:H200")=$G$5),1,0)))</f>
        <v>#REF!</v>
      </c>
      <c r="H87" s="108" t="e">
        <f t="array" aca="1" ref="H87" ca="1">IF($B87="N","",SUM(IF((INDIRECT($B87&amp;"!I23:I200")=$A$2)*(INDIRECT($B87&amp;"!S23:S200")&lt;&gt;"")*(INDIRECT($B87&amp;"!H23:H200")=$G$5),INDIRECT($B87&amp;"!V23:V200"),0)))</f>
        <v>#REF!</v>
      </c>
      <c r="I87" s="67" t="e">
        <f ca="1">IF(B87="N","",G87+E87)</f>
        <v>#REF!</v>
      </c>
      <c r="J87" s="72" t="e">
        <f ca="1">IF(I87="","",F87+H87)</f>
        <v>#REF!</v>
      </c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</row>
    <row r="88" spans="1:59" ht="13.5" thickBot="1">
      <c r="A88" s="109"/>
      <c r="B88" s="110"/>
      <c r="C88" s="111" t="str">
        <f>D85</f>
        <v>Matsumoto Yamaga</v>
      </c>
      <c r="D88" s="112" t="s">
        <v>19</v>
      </c>
      <c r="E88" s="113" t="e">
        <f t="shared" ref="E88:J88" ca="1" si="16">SUM(E87:E87)</f>
        <v>#REF!</v>
      </c>
      <c r="F88" s="108" t="e">
        <f t="shared" ca="1" si="16"/>
        <v>#REF!</v>
      </c>
      <c r="G88" s="113" t="e">
        <f t="shared" ca="1" si="16"/>
        <v>#REF!</v>
      </c>
      <c r="H88" s="108" t="e">
        <f t="shared" ca="1" si="16"/>
        <v>#REF!</v>
      </c>
      <c r="I88" s="114" t="e">
        <f t="shared" ca="1" si="16"/>
        <v>#REF!</v>
      </c>
      <c r="J88" s="108" t="e">
        <f t="shared" ca="1" si="16"/>
        <v>#REF!</v>
      </c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  <c r="AJ88" s="79"/>
      <c r="AK88" s="79"/>
      <c r="AL88" s="79"/>
      <c r="AM88" s="79"/>
      <c r="AN88" s="79"/>
      <c r="AO88" s="79"/>
      <c r="AP88" s="79"/>
      <c r="AQ88" s="79"/>
      <c r="AR88" s="79"/>
      <c r="AS88" s="79"/>
      <c r="AT88" s="79"/>
      <c r="AU88" s="79"/>
      <c r="AV88" s="79"/>
      <c r="AW88" s="79"/>
      <c r="AX88" s="79"/>
      <c r="AY88" s="79"/>
      <c r="AZ88" s="79"/>
      <c r="BA88" s="79"/>
      <c r="BB88" s="79"/>
      <c r="BC88" s="79"/>
      <c r="BD88" s="79"/>
      <c r="BE88" s="79"/>
      <c r="BF88" s="79"/>
      <c r="BG88" s="79"/>
    </row>
    <row r="89" spans="1:59" ht="13.5" thickBot="1">
      <c r="A89" s="109"/>
      <c r="C89" s="117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</row>
    <row r="90" spans="1:59">
      <c r="A90" s="109"/>
      <c r="B90" s="30"/>
      <c r="C90" s="111"/>
      <c r="D90" s="98" t="str">
        <f>O1</f>
        <v>Mito Hollyhock</v>
      </c>
      <c r="E90" s="99" t="s">
        <v>22</v>
      </c>
      <c r="F90" s="100"/>
      <c r="G90" s="99" t="s">
        <v>18</v>
      </c>
      <c r="H90" s="100"/>
      <c r="I90" s="99" t="s">
        <v>121</v>
      </c>
      <c r="J90" s="101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79"/>
      <c r="AX90" s="79"/>
      <c r="AY90" s="79"/>
      <c r="AZ90" s="79"/>
      <c r="BA90" s="79"/>
      <c r="BB90" s="79"/>
      <c r="BC90" s="79"/>
      <c r="BD90" s="79"/>
      <c r="BE90" s="79"/>
      <c r="BF90" s="79"/>
      <c r="BG90" s="79"/>
    </row>
    <row r="91" spans="1:59" ht="13.5" thickBot="1">
      <c r="B91" s="30"/>
      <c r="C91" s="30"/>
      <c r="D91" s="102" t="s">
        <v>212</v>
      </c>
      <c r="E91" s="48" t="s">
        <v>125</v>
      </c>
      <c r="F91" s="91" t="s">
        <v>213</v>
      </c>
      <c r="G91" s="48" t="s">
        <v>125</v>
      </c>
      <c r="H91" s="91" t="s">
        <v>213</v>
      </c>
      <c r="I91" s="103" t="s">
        <v>125</v>
      </c>
      <c r="J91" s="91" t="s">
        <v>213</v>
      </c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  <c r="AK91" s="79"/>
      <c r="AL91" s="79"/>
      <c r="AM91" s="79"/>
      <c r="AN91" s="79"/>
      <c r="AO91" s="79"/>
      <c r="AP91" s="79"/>
      <c r="AQ91" s="79"/>
      <c r="AR91" s="79"/>
      <c r="AS91" s="79"/>
      <c r="AT91" s="79"/>
      <c r="AU91" s="79"/>
      <c r="AV91" s="79"/>
      <c r="AW91" s="79"/>
      <c r="AX91" s="79"/>
      <c r="AY91" s="79"/>
      <c r="AZ91" s="79"/>
      <c r="BA91" s="79"/>
      <c r="BB91" s="79"/>
      <c r="BC91" s="79"/>
      <c r="BD91" s="79"/>
      <c r="BE91" s="79"/>
      <c r="BF91" s="79"/>
      <c r="BG91" s="79"/>
    </row>
    <row r="92" spans="1:59" ht="13.5" thickBot="1">
      <c r="B92" s="105" t="str">
        <f>IF(D90=0,"N",D90)</f>
        <v>Mito Hollyhock</v>
      </c>
      <c r="D92" s="106"/>
      <c r="E92" s="107" t="e">
        <f t="array" aca="1" ref="E92" ca="1">IF($B92="N","",SUM(IF((INDIRECT($B92&amp;"!I23:I200")=$A$2)*(INDIRECT($B92&amp;"!S23:S200")&lt;&gt;"")*(INDIRECT($B92&amp;"!H23:H200")=$E$5),1,0)))</f>
        <v>#REF!</v>
      </c>
      <c r="F92" s="108" t="e">
        <f t="array" aca="1" ref="F92" ca="1">IF($B92="N","",SUM(IF((INDIRECT($B92&amp;"!I23:I200")=$A$2)*(INDIRECT($B92&amp;"!S23:S200")&lt;&gt;"")*(INDIRECT($B92&amp;"!H23:H200")=$E$5),INDIRECT($B92&amp;"!V23:V200"),0)))</f>
        <v>#REF!</v>
      </c>
      <c r="G92" s="107" t="e">
        <f t="array" aca="1" ref="G92" ca="1">IF($B92="N","",SUM(IF((INDIRECT($B92&amp;"!I23:I200")=$A$2)*(INDIRECT($B92&amp;"!S23:S200")&lt;&gt;"")*(INDIRECT($B92&amp;"!H23:H200")=$G$5),1,0)))</f>
        <v>#REF!</v>
      </c>
      <c r="H92" s="108" t="e">
        <f t="array" aca="1" ref="H92" ca="1">IF($B92="N","",SUM(IF((INDIRECT($B92&amp;"!I23:I200")=$A$2)*(INDIRECT($B92&amp;"!S23:S200")&lt;&gt;"")*(INDIRECT($B92&amp;"!H23:H200")=$G$5),INDIRECT($B92&amp;"!V23:V200"),0)))</f>
        <v>#REF!</v>
      </c>
      <c r="I92" s="67" t="e">
        <f ca="1">IF(B92="N","",G92+E92)</f>
        <v>#REF!</v>
      </c>
      <c r="J92" s="72" t="e">
        <f ca="1">IF(I92="","",F92+H92)</f>
        <v>#REF!</v>
      </c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</row>
    <row r="93" spans="1:59" ht="13.5" thickBot="1">
      <c r="A93" s="109"/>
      <c r="B93" s="110"/>
      <c r="C93" s="111" t="str">
        <f>D90</f>
        <v>Mito Hollyhock</v>
      </c>
      <c r="D93" s="112" t="s">
        <v>19</v>
      </c>
      <c r="E93" s="113" t="e">
        <f t="shared" ref="E93:J93" ca="1" si="17">SUM(E92:E92)</f>
        <v>#REF!</v>
      </c>
      <c r="F93" s="108" t="e">
        <f t="shared" ca="1" si="17"/>
        <v>#REF!</v>
      </c>
      <c r="G93" s="113" t="e">
        <f t="shared" ca="1" si="17"/>
        <v>#REF!</v>
      </c>
      <c r="H93" s="108" t="e">
        <f t="shared" ca="1" si="17"/>
        <v>#REF!</v>
      </c>
      <c r="I93" s="114" t="e">
        <f t="shared" ca="1" si="17"/>
        <v>#REF!</v>
      </c>
      <c r="J93" s="108" t="e">
        <f t="shared" ca="1" si="17"/>
        <v>#REF!</v>
      </c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  <c r="AJ93" s="79"/>
      <c r="AK93" s="79"/>
      <c r="AL93" s="79"/>
      <c r="AM93" s="79"/>
      <c r="AN93" s="79"/>
      <c r="AO93" s="79"/>
      <c r="AP93" s="79"/>
      <c r="AQ93" s="79"/>
      <c r="AR93" s="79"/>
      <c r="AS93" s="79"/>
      <c r="AT93" s="79"/>
      <c r="AU93" s="79"/>
      <c r="AV93" s="79"/>
      <c r="AW93" s="79"/>
      <c r="AX93" s="79"/>
      <c r="AY93" s="79"/>
      <c r="AZ93" s="79"/>
      <c r="BA93" s="79"/>
      <c r="BB93" s="79"/>
      <c r="BC93" s="79"/>
      <c r="BD93" s="79"/>
      <c r="BE93" s="79"/>
      <c r="BF93" s="79"/>
      <c r="BG93" s="79"/>
    </row>
    <row r="94" spans="1:59" ht="13.5" thickBot="1">
      <c r="A94" s="109"/>
      <c r="C94" s="117"/>
      <c r="X94" s="79"/>
      <c r="Y94" s="79"/>
      <c r="Z94" s="79"/>
      <c r="AA94" s="79"/>
      <c r="AB94" s="79"/>
      <c r="AC94" s="79"/>
      <c r="AD94" s="79"/>
      <c r="AE94" s="79"/>
      <c r="AF94" s="79"/>
      <c r="AG94" s="79"/>
      <c r="AH94" s="79"/>
      <c r="AI94" s="79"/>
      <c r="AJ94" s="79"/>
      <c r="AK94" s="79"/>
      <c r="AL94" s="79"/>
      <c r="AM94" s="79"/>
      <c r="AN94" s="79"/>
      <c r="AO94" s="79"/>
      <c r="AP94" s="79"/>
      <c r="AQ94" s="79"/>
      <c r="AR94" s="79"/>
      <c r="AS94" s="79"/>
      <c r="AT94" s="79"/>
      <c r="AU94" s="79"/>
      <c r="AV94" s="79"/>
      <c r="AW94" s="79"/>
      <c r="AX94" s="79"/>
      <c r="AY94" s="79"/>
      <c r="AZ94" s="79"/>
      <c r="BA94" s="79"/>
      <c r="BB94" s="79"/>
      <c r="BC94" s="79"/>
      <c r="BD94" s="79"/>
      <c r="BE94" s="79"/>
      <c r="BF94" s="79"/>
      <c r="BG94" s="79"/>
    </row>
    <row r="95" spans="1:59">
      <c r="A95" s="109"/>
      <c r="B95" s="30"/>
      <c r="C95" s="111"/>
      <c r="D95" s="98" t="str">
        <f>D2</f>
        <v>Montedio Yamagata</v>
      </c>
      <c r="E95" s="99" t="s">
        <v>22</v>
      </c>
      <c r="F95" s="100"/>
      <c r="G95" s="99" t="s">
        <v>18</v>
      </c>
      <c r="H95" s="100"/>
      <c r="I95" s="99" t="s">
        <v>121</v>
      </c>
      <c r="J95" s="101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</row>
    <row r="96" spans="1:59" ht="13.5" thickBot="1">
      <c r="B96" s="30"/>
      <c r="C96" s="30"/>
      <c r="D96" s="102" t="s">
        <v>212</v>
      </c>
      <c r="E96" s="48" t="s">
        <v>125</v>
      </c>
      <c r="F96" s="91" t="s">
        <v>213</v>
      </c>
      <c r="G96" s="48" t="s">
        <v>125</v>
      </c>
      <c r="H96" s="91" t="s">
        <v>213</v>
      </c>
      <c r="I96" s="103" t="s">
        <v>125</v>
      </c>
      <c r="J96" s="91" t="s">
        <v>213</v>
      </c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</row>
    <row r="97" spans="1:59" ht="13.5" thickBot="1">
      <c r="B97" s="105" t="str">
        <f>IF(D95=0,"N",D95)</f>
        <v>Montedio Yamagata</v>
      </c>
      <c r="D97" s="106"/>
      <c r="E97" s="107" t="e">
        <f t="array" aca="1" ref="E97" ca="1">IF($B97="N","",SUM(IF((INDIRECT($B97&amp;"!I23:I200")=$A$2)*(INDIRECT($B97&amp;"!S23:S200")&lt;&gt;"")*(INDIRECT($B97&amp;"!H23:H200")=$E$5),1,0)))</f>
        <v>#REF!</v>
      </c>
      <c r="F97" s="108" t="e">
        <f t="array" aca="1" ref="F97" ca="1">IF($B97="N","",SUM(IF((INDIRECT($B97&amp;"!I23:I200")=$A$2)*(INDIRECT($B97&amp;"!S23:S200")&lt;&gt;"")*(INDIRECT($B97&amp;"!H23:H200")=$E$5),INDIRECT($B97&amp;"!V23:V200"),0)))</f>
        <v>#REF!</v>
      </c>
      <c r="G97" s="107" t="e">
        <f t="array" aca="1" ref="G97" ca="1">IF($B97="N","",SUM(IF((INDIRECT($B97&amp;"!I23:I200")=$A$2)*(INDIRECT($B97&amp;"!S23:S200")&lt;&gt;"")*(INDIRECT($B97&amp;"!H23:H200")=$G$5),1,0)))</f>
        <v>#REF!</v>
      </c>
      <c r="H97" s="108" t="e">
        <f t="array" aca="1" ref="H97" ca="1">IF($B97="N","",SUM(IF((INDIRECT($B97&amp;"!I23:I200")=$A$2)*(INDIRECT($B97&amp;"!S23:S200")&lt;&gt;"")*(INDIRECT($B97&amp;"!H23:H200")=$G$5),INDIRECT($B97&amp;"!V23:V200"),0)))</f>
        <v>#REF!</v>
      </c>
      <c r="I97" s="67" t="e">
        <f ca="1">IF(B97="N","",G97+E97)</f>
        <v>#REF!</v>
      </c>
      <c r="J97" s="72" t="e">
        <f ca="1">IF(I97="","",F97+H97)</f>
        <v>#REF!</v>
      </c>
      <c r="X97" s="79"/>
      <c r="Y97" s="79"/>
      <c r="Z97" s="79"/>
      <c r="AA97" s="79"/>
      <c r="AB97" s="79"/>
      <c r="AC97" s="79"/>
      <c r="AD97" s="79"/>
      <c r="AE97" s="79"/>
      <c r="AF97" s="79"/>
      <c r="AG97" s="79"/>
      <c r="AH97" s="79"/>
      <c r="AI97" s="79"/>
      <c r="AJ97" s="79"/>
      <c r="AK97" s="79"/>
      <c r="AL97" s="79"/>
      <c r="AM97" s="79"/>
      <c r="AN97" s="79"/>
      <c r="AO97" s="79"/>
      <c r="AP97" s="79"/>
      <c r="AQ97" s="79"/>
      <c r="AR97" s="79"/>
      <c r="AS97" s="79"/>
      <c r="AT97" s="79"/>
      <c r="AU97" s="79"/>
      <c r="AV97" s="79"/>
      <c r="AW97" s="79"/>
      <c r="AX97" s="79"/>
      <c r="AY97" s="79"/>
      <c r="AZ97" s="79"/>
      <c r="BA97" s="79"/>
      <c r="BB97" s="79"/>
      <c r="BC97" s="79"/>
      <c r="BD97" s="79"/>
      <c r="BE97" s="79"/>
      <c r="BF97" s="79"/>
      <c r="BG97" s="79"/>
    </row>
    <row r="98" spans="1:59" ht="13.5" thickBot="1">
      <c r="A98" s="109"/>
      <c r="B98" s="110"/>
      <c r="C98" s="111" t="str">
        <f>D95</f>
        <v>Montedio Yamagata</v>
      </c>
      <c r="D98" s="112" t="s">
        <v>19</v>
      </c>
      <c r="E98" s="113" t="e">
        <f t="shared" ref="E98:J98" ca="1" si="18">SUM(E97:E97)</f>
        <v>#REF!</v>
      </c>
      <c r="F98" s="108" t="e">
        <f t="shared" ca="1" si="18"/>
        <v>#REF!</v>
      </c>
      <c r="G98" s="113" t="e">
        <f t="shared" ca="1" si="18"/>
        <v>#REF!</v>
      </c>
      <c r="H98" s="108" t="e">
        <f t="shared" ca="1" si="18"/>
        <v>#REF!</v>
      </c>
      <c r="I98" s="114" t="e">
        <f t="shared" ca="1" si="18"/>
        <v>#REF!</v>
      </c>
      <c r="J98" s="108" t="e">
        <f t="shared" ca="1" si="18"/>
        <v>#REF!</v>
      </c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79"/>
      <c r="AJ98" s="79"/>
      <c r="AK98" s="79"/>
      <c r="AL98" s="79"/>
      <c r="AM98" s="79"/>
      <c r="AN98" s="79"/>
      <c r="AO98" s="79"/>
      <c r="AP98" s="79"/>
      <c r="AQ98" s="79"/>
      <c r="AR98" s="79"/>
      <c r="AS98" s="79"/>
      <c r="AT98" s="79"/>
      <c r="AU98" s="79"/>
      <c r="AV98" s="79"/>
      <c r="AW98" s="79"/>
      <c r="AX98" s="79"/>
      <c r="AY98" s="79"/>
      <c r="AZ98" s="79"/>
      <c r="BA98" s="79"/>
      <c r="BB98" s="79"/>
      <c r="BC98" s="79"/>
      <c r="BD98" s="79"/>
      <c r="BE98" s="79"/>
      <c r="BF98" s="79"/>
      <c r="BG98" s="79"/>
    </row>
    <row r="99" spans="1:59" ht="13.5" thickBot="1">
      <c r="A99" s="109"/>
      <c r="C99" s="117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</row>
    <row r="100" spans="1:59">
      <c r="A100" s="109"/>
      <c r="B100" s="30"/>
      <c r="C100" s="111"/>
      <c r="D100" s="98" t="str">
        <f>E2</f>
        <v>Renofa Yamaguchi</v>
      </c>
      <c r="E100" s="99" t="s">
        <v>22</v>
      </c>
      <c r="F100" s="100"/>
      <c r="G100" s="99" t="s">
        <v>18</v>
      </c>
      <c r="H100" s="100"/>
      <c r="I100" s="99" t="s">
        <v>121</v>
      </c>
      <c r="J100" s="101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</row>
    <row r="101" spans="1:59" ht="13.5" thickBot="1">
      <c r="B101" s="30"/>
      <c r="C101" s="30"/>
      <c r="D101" s="102" t="s">
        <v>212</v>
      </c>
      <c r="E101" s="48" t="s">
        <v>125</v>
      </c>
      <c r="F101" s="91" t="s">
        <v>213</v>
      </c>
      <c r="G101" s="48" t="s">
        <v>125</v>
      </c>
      <c r="H101" s="91" t="s">
        <v>213</v>
      </c>
      <c r="I101" s="103" t="s">
        <v>125</v>
      </c>
      <c r="J101" s="91" t="s">
        <v>213</v>
      </c>
    </row>
    <row r="102" spans="1:59" ht="13.5" thickBot="1">
      <c r="B102" s="105" t="str">
        <f>IF(D100=0,"N",D100)</f>
        <v>Renofa Yamaguchi</v>
      </c>
      <c r="D102" s="106"/>
      <c r="E102" s="107" t="e">
        <f t="array" aca="1" ref="E102" ca="1">IF($B102="N","",SUM(IF((INDIRECT($B102&amp;"!I23:I200")=$A$2)*(INDIRECT($B102&amp;"!S23:S200")&lt;&gt;"")*(INDIRECT($B102&amp;"!H23:H200")=$E$5),1,0)))</f>
        <v>#REF!</v>
      </c>
      <c r="F102" s="108" t="e">
        <f t="array" aca="1" ref="F102" ca="1">IF($B102="N","",SUM(IF((INDIRECT($B102&amp;"!I23:I200")=$A$2)*(INDIRECT($B102&amp;"!S23:S200")&lt;&gt;"")*(INDIRECT($B102&amp;"!H23:H200")=$E$5),INDIRECT($B102&amp;"!V23:V200"),0)))</f>
        <v>#REF!</v>
      </c>
      <c r="G102" s="107" t="e">
        <f t="array" aca="1" ref="G102" ca="1">IF($B102="N","",SUM(IF((INDIRECT($B102&amp;"!I23:I200")=$A$2)*(INDIRECT($B102&amp;"!S23:S200")&lt;&gt;"")*(INDIRECT($B102&amp;"!H23:H200")=$G$5),1,0)))</f>
        <v>#REF!</v>
      </c>
      <c r="H102" s="108" t="e">
        <f t="array" aca="1" ref="H102" ca="1">IF($B102="N","",SUM(IF((INDIRECT($B102&amp;"!I23:I200")=$A$2)*(INDIRECT($B102&amp;"!S23:S200")&lt;&gt;"")*(INDIRECT($B102&amp;"!H23:H200")=$G$5),INDIRECT($B102&amp;"!V23:V200"),0)))</f>
        <v>#REF!</v>
      </c>
      <c r="I102" s="67" t="e">
        <f ca="1">IF(B102="N","",G102+E102)</f>
        <v>#REF!</v>
      </c>
      <c r="J102" s="72" t="e">
        <f ca="1">IF(I102="","",F102+H102)</f>
        <v>#REF!</v>
      </c>
    </row>
    <row r="103" spans="1:59" ht="13.5" thickBot="1">
      <c r="A103" s="109"/>
      <c r="B103" s="110"/>
      <c r="C103" s="111" t="str">
        <f>D100</f>
        <v>Renofa Yamaguchi</v>
      </c>
      <c r="D103" s="112" t="s">
        <v>19</v>
      </c>
      <c r="E103" s="113" t="e">
        <f t="shared" ref="E103:J103" ca="1" si="19">SUM(E102:E102)</f>
        <v>#REF!</v>
      </c>
      <c r="F103" s="108" t="e">
        <f t="shared" ca="1" si="19"/>
        <v>#REF!</v>
      </c>
      <c r="G103" s="113" t="e">
        <f t="shared" ca="1" si="19"/>
        <v>#REF!</v>
      </c>
      <c r="H103" s="108" t="e">
        <f t="shared" ca="1" si="19"/>
        <v>#REF!</v>
      </c>
      <c r="I103" s="114" t="e">
        <f t="shared" ca="1" si="19"/>
        <v>#REF!</v>
      </c>
      <c r="J103" s="108" t="e">
        <f t="shared" ca="1" si="19"/>
        <v>#REF!</v>
      </c>
    </row>
    <row r="104" spans="1:59" ht="13.5" thickBot="1">
      <c r="A104" s="109"/>
      <c r="C104" s="117"/>
    </row>
    <row r="105" spans="1:59">
      <c r="A105" s="109"/>
      <c r="B105" s="30"/>
      <c r="C105" s="111"/>
      <c r="D105" s="98" t="str">
        <f>F2</f>
        <v>Roasso Kumamoto</v>
      </c>
      <c r="E105" s="99" t="s">
        <v>22</v>
      </c>
      <c r="F105" s="100"/>
      <c r="G105" s="99" t="s">
        <v>18</v>
      </c>
      <c r="H105" s="100"/>
      <c r="I105" s="99" t="s">
        <v>121</v>
      </c>
      <c r="J105" s="101"/>
    </row>
    <row r="106" spans="1:59" ht="13.5" thickBot="1">
      <c r="B106" s="30"/>
      <c r="C106" s="30"/>
      <c r="D106" s="102" t="s">
        <v>212</v>
      </c>
      <c r="E106" s="48" t="s">
        <v>125</v>
      </c>
      <c r="F106" s="91" t="s">
        <v>213</v>
      </c>
      <c r="G106" s="48" t="s">
        <v>125</v>
      </c>
      <c r="H106" s="91" t="s">
        <v>213</v>
      </c>
      <c r="I106" s="103" t="s">
        <v>125</v>
      </c>
      <c r="J106" s="91" t="s">
        <v>213</v>
      </c>
    </row>
    <row r="107" spans="1:59" ht="13.5" thickBot="1">
      <c r="B107" s="105" t="str">
        <f>IF(D105=0,"N",D105)</f>
        <v>Roasso Kumamoto</v>
      </c>
      <c r="D107" s="106"/>
      <c r="E107" s="107" t="e">
        <f t="array" aca="1" ref="E107" ca="1">IF($B107="N","",SUM(IF((INDIRECT($B107&amp;"!I23:I200")=$A$2)*(INDIRECT($B107&amp;"!S23:S200")&lt;&gt;"")*(INDIRECT($B107&amp;"!H23:H200")=$E$5),1,0)))</f>
        <v>#REF!</v>
      </c>
      <c r="F107" s="108" t="e">
        <f t="array" aca="1" ref="F107" ca="1">IF($B107="N","",SUM(IF((INDIRECT($B107&amp;"!I23:I200")=$A$2)*(INDIRECT($B107&amp;"!S23:S200")&lt;&gt;"")*(INDIRECT($B107&amp;"!H23:H200")=$E$5),INDIRECT($B107&amp;"!V23:V200"),0)))</f>
        <v>#REF!</v>
      </c>
      <c r="G107" s="107" t="e">
        <f t="array" aca="1" ref="G107" ca="1">IF($B107="N","",SUM(IF((INDIRECT($B107&amp;"!I23:I200")=$A$2)*(INDIRECT($B107&amp;"!S23:S200")&lt;&gt;"")*(INDIRECT($B107&amp;"!H23:H200")=$G$5),1,0)))</f>
        <v>#REF!</v>
      </c>
      <c r="H107" s="108" t="e">
        <f t="array" aca="1" ref="H107" ca="1">IF($B107="N","",SUM(IF((INDIRECT($B107&amp;"!I23:I200")=$A$2)*(INDIRECT($B107&amp;"!S23:S200")&lt;&gt;"")*(INDIRECT($B107&amp;"!H23:H200")=$G$5),INDIRECT($B107&amp;"!V23:V200"),0)))</f>
        <v>#REF!</v>
      </c>
      <c r="I107" s="67" t="e">
        <f ca="1">IF(B107="N","",G107+E107)</f>
        <v>#REF!</v>
      </c>
      <c r="J107" s="72" t="e">
        <f ca="1">IF(I107="","",F107+H107)</f>
        <v>#REF!</v>
      </c>
    </row>
    <row r="108" spans="1:59" ht="13.5" thickBot="1">
      <c r="A108" s="109"/>
      <c r="B108" s="110"/>
      <c r="C108" s="111" t="str">
        <f>D105</f>
        <v>Roasso Kumamoto</v>
      </c>
      <c r="D108" s="112" t="s">
        <v>19</v>
      </c>
      <c r="E108" s="113" t="e">
        <f t="shared" ref="E108:J108" ca="1" si="20">SUM(E107:E107)</f>
        <v>#REF!</v>
      </c>
      <c r="F108" s="108" t="e">
        <f t="shared" ca="1" si="20"/>
        <v>#REF!</v>
      </c>
      <c r="G108" s="113" t="e">
        <f t="shared" ca="1" si="20"/>
        <v>#REF!</v>
      </c>
      <c r="H108" s="108" t="e">
        <f t="shared" ca="1" si="20"/>
        <v>#REF!</v>
      </c>
      <c r="I108" s="114" t="e">
        <f t="shared" ca="1" si="20"/>
        <v>#REF!</v>
      </c>
      <c r="J108" s="108" t="e">
        <f t="shared" ca="1" si="20"/>
        <v>#REF!</v>
      </c>
    </row>
    <row r="109" spans="1:59" ht="13.5" thickBot="1">
      <c r="A109" s="109"/>
      <c r="C109" s="117"/>
    </row>
    <row r="110" spans="1:59">
      <c r="A110" s="109"/>
      <c r="B110" s="30"/>
      <c r="C110" s="111"/>
      <c r="D110" s="98" t="str">
        <f>G2</f>
        <v>Nagoya Grampus</v>
      </c>
      <c r="E110" s="99" t="s">
        <v>22</v>
      </c>
      <c r="F110" s="100"/>
      <c r="G110" s="99" t="s">
        <v>18</v>
      </c>
      <c r="H110" s="100"/>
      <c r="I110" s="99" t="s">
        <v>121</v>
      </c>
      <c r="J110" s="101"/>
    </row>
    <row r="111" spans="1:59" ht="13.5" thickBot="1">
      <c r="B111" s="30"/>
      <c r="C111" s="30"/>
      <c r="D111" s="102" t="s">
        <v>212</v>
      </c>
      <c r="E111" s="48" t="s">
        <v>125</v>
      </c>
      <c r="F111" s="91" t="s">
        <v>213</v>
      </c>
      <c r="G111" s="48" t="s">
        <v>125</v>
      </c>
      <c r="H111" s="91" t="s">
        <v>213</v>
      </c>
      <c r="I111" s="103" t="s">
        <v>125</v>
      </c>
      <c r="J111" s="91" t="s">
        <v>213</v>
      </c>
    </row>
    <row r="112" spans="1:59" ht="13.5" thickBot="1">
      <c r="B112" s="105" t="str">
        <f>IF(D110=0,"N",D110)</f>
        <v>Nagoya Grampus</v>
      </c>
      <c r="D112" s="106"/>
      <c r="E112" s="107" t="e">
        <f t="array" aca="1" ref="E112" ca="1">IF($B112="N","",SUM(IF((INDIRECT($B112&amp;"!I23:I200")=$A$2)*(INDIRECT($B112&amp;"!S23:S200")&lt;&gt;"")*(INDIRECT($B112&amp;"!H23:H200")=$E$5),1,0)))</f>
        <v>#REF!</v>
      </c>
      <c r="F112" s="108" t="e">
        <f t="array" aca="1" ref="F112" ca="1">IF($B112="N","",SUM(IF((INDIRECT($B112&amp;"!I23:I200")=$A$2)*(INDIRECT($B112&amp;"!S23:S200")&lt;&gt;"")*(INDIRECT($B112&amp;"!H23:H200")=$E$5),INDIRECT($B112&amp;"!V23:V200"),0)))</f>
        <v>#REF!</v>
      </c>
      <c r="G112" s="107" t="e">
        <f t="array" aca="1" ref="G112" ca="1">IF($B112="N","",SUM(IF((INDIRECT($B112&amp;"!I23:I200")=$A$2)*(INDIRECT($B112&amp;"!S23:S200")&lt;&gt;"")*(INDIRECT($B112&amp;"!H23:H200")=$G$5),1,0)))</f>
        <v>#REF!</v>
      </c>
      <c r="H112" s="108" t="e">
        <f t="array" aca="1" ref="H112" ca="1">IF($B112="N","",SUM(IF((INDIRECT($B112&amp;"!I23:I200")=$A$2)*(INDIRECT($B112&amp;"!S23:S200")&lt;&gt;"")*(INDIRECT($B112&amp;"!H23:H200")=$G$5),INDIRECT($B112&amp;"!V23:V200"),0)))</f>
        <v>#REF!</v>
      </c>
      <c r="I112" s="67" t="e">
        <f ca="1">IF(B112="N","",G112+E112)</f>
        <v>#REF!</v>
      </c>
      <c r="J112" s="72" t="e">
        <f ca="1">IF(I112="","",F112+H112)</f>
        <v>#REF!</v>
      </c>
    </row>
    <row r="113" spans="1:10" ht="13.5" thickBot="1">
      <c r="A113" s="109"/>
      <c r="B113" s="110"/>
      <c r="C113" s="111" t="str">
        <f>D110</f>
        <v>Nagoya Grampus</v>
      </c>
      <c r="D113" s="112" t="s">
        <v>19</v>
      </c>
      <c r="E113" s="113" t="e">
        <f t="shared" ref="E113:J113" ca="1" si="21">SUM(E112:E112)</f>
        <v>#REF!</v>
      </c>
      <c r="F113" s="108" t="e">
        <f t="shared" ca="1" si="21"/>
        <v>#REF!</v>
      </c>
      <c r="G113" s="113" t="e">
        <f t="shared" ca="1" si="21"/>
        <v>#REF!</v>
      </c>
      <c r="H113" s="108" t="e">
        <f t="shared" ca="1" si="21"/>
        <v>#REF!</v>
      </c>
      <c r="I113" s="114" t="e">
        <f t="shared" ca="1" si="21"/>
        <v>#REF!</v>
      </c>
      <c r="J113" s="108" t="e">
        <f t="shared" ca="1" si="21"/>
        <v>#REF!</v>
      </c>
    </row>
    <row r="114" spans="1:10" ht="13.5" thickBot="1">
      <c r="A114" s="109"/>
      <c r="C114" s="117"/>
    </row>
    <row r="115" spans="1:10">
      <c r="A115" s="109"/>
      <c r="B115" s="30"/>
      <c r="C115" s="111"/>
      <c r="D115" s="98" t="str">
        <f>H2</f>
        <v>ThespaKusatsu Gunma</v>
      </c>
      <c r="E115" s="99" t="s">
        <v>22</v>
      </c>
      <c r="F115" s="100"/>
      <c r="G115" s="99" t="s">
        <v>18</v>
      </c>
      <c r="H115" s="100"/>
      <c r="I115" s="99" t="s">
        <v>121</v>
      </c>
      <c r="J115" s="101"/>
    </row>
    <row r="116" spans="1:10" ht="13.5" thickBot="1">
      <c r="B116" s="30"/>
      <c r="C116" s="30"/>
      <c r="D116" s="102" t="s">
        <v>212</v>
      </c>
      <c r="E116" s="48" t="s">
        <v>125</v>
      </c>
      <c r="F116" s="91" t="s">
        <v>213</v>
      </c>
      <c r="G116" s="48" t="s">
        <v>125</v>
      </c>
      <c r="H116" s="91" t="s">
        <v>213</v>
      </c>
      <c r="I116" s="103" t="s">
        <v>125</v>
      </c>
      <c r="J116" s="91" t="s">
        <v>213</v>
      </c>
    </row>
    <row r="117" spans="1:10" ht="13.5" thickBot="1">
      <c r="B117" s="105" t="str">
        <f>IF(D115=0,"N",D115)</f>
        <v>ThespaKusatsu Gunma</v>
      </c>
      <c r="D117" s="106"/>
      <c r="E117" s="107" t="e">
        <f t="array" aca="1" ref="E117" ca="1">IF($B117="N","",SUM(IF((INDIRECT($B117&amp;"!I23:I200")=$A$2)*(INDIRECT($B117&amp;"!S23:S200")&lt;&gt;"")*(INDIRECT($B117&amp;"!H23:H200")=$E$5),1,0)))</f>
        <v>#REF!</v>
      </c>
      <c r="F117" s="108" t="e">
        <f t="array" aca="1" ref="F117" ca="1">IF($B117="N","",SUM(IF((INDIRECT($B117&amp;"!I23:I200")=$A$2)*(INDIRECT($B117&amp;"!S23:S200")&lt;&gt;"")*(INDIRECT($B117&amp;"!H23:H200")=$E$5),INDIRECT($B117&amp;"!V23:V200"),0)))</f>
        <v>#REF!</v>
      </c>
      <c r="G117" s="107" t="e">
        <f t="array" aca="1" ref="G117" ca="1">IF($B117="N","",SUM(IF((INDIRECT($B117&amp;"!I23:I200")=$A$2)*(INDIRECT($B117&amp;"!S23:S200")&lt;&gt;"")*(INDIRECT($B117&amp;"!H23:H200")=$G$5),1,0)))</f>
        <v>#REF!</v>
      </c>
      <c r="H117" s="108" t="e">
        <f t="array" aca="1" ref="H117" ca="1">IF($B117="N","",SUM(IF((INDIRECT($B117&amp;"!I23:I200")=$A$2)*(INDIRECT($B117&amp;"!S23:S200")&lt;&gt;"")*(INDIRECT($B117&amp;"!H23:H200")=$G$5),INDIRECT($B117&amp;"!V23:V200"),0)))</f>
        <v>#REF!</v>
      </c>
      <c r="I117" s="67" t="e">
        <f ca="1">IF(B117="N","",G117+E117)</f>
        <v>#REF!</v>
      </c>
      <c r="J117" s="72" t="e">
        <f ca="1">IF(I117="","",F117+H117)</f>
        <v>#REF!</v>
      </c>
    </row>
    <row r="118" spans="1:10" ht="13.5" thickBot="1">
      <c r="A118" s="109"/>
      <c r="B118" s="110"/>
      <c r="C118" s="111" t="str">
        <f>D115</f>
        <v>ThespaKusatsu Gunma</v>
      </c>
      <c r="D118" s="112" t="s">
        <v>19</v>
      </c>
      <c r="E118" s="113" t="e">
        <f t="shared" ref="E118:J118" ca="1" si="22">SUM(E117:E117)</f>
        <v>#REF!</v>
      </c>
      <c r="F118" s="108" t="e">
        <f t="shared" ca="1" si="22"/>
        <v>#REF!</v>
      </c>
      <c r="G118" s="113" t="e">
        <f t="shared" ca="1" si="22"/>
        <v>#REF!</v>
      </c>
      <c r="H118" s="108" t="e">
        <f t="shared" ca="1" si="22"/>
        <v>#REF!</v>
      </c>
      <c r="I118" s="114" t="e">
        <f t="shared" ca="1" si="22"/>
        <v>#REF!</v>
      </c>
      <c r="J118" s="108" t="e">
        <f t="shared" ca="1" si="22"/>
        <v>#REF!</v>
      </c>
    </row>
    <row r="119" spans="1:10" ht="13.5" thickBot="1">
      <c r="A119" s="109"/>
      <c r="C119" s="117"/>
    </row>
    <row r="120" spans="1:10">
      <c r="A120" s="109"/>
      <c r="B120" s="30"/>
      <c r="C120" s="111"/>
      <c r="D120" s="98" t="str">
        <f>I2</f>
        <v>Tokushima Vortis</v>
      </c>
      <c r="E120" s="99" t="s">
        <v>22</v>
      </c>
      <c r="F120" s="100"/>
      <c r="G120" s="99" t="s">
        <v>18</v>
      </c>
      <c r="H120" s="100"/>
      <c r="I120" s="99" t="s">
        <v>121</v>
      </c>
      <c r="J120" s="101"/>
    </row>
    <row r="121" spans="1:10" ht="13.5" thickBot="1">
      <c r="B121" s="30"/>
      <c r="C121" s="30"/>
      <c r="D121" s="102" t="s">
        <v>212</v>
      </c>
      <c r="E121" s="48" t="s">
        <v>125</v>
      </c>
      <c r="F121" s="91" t="s">
        <v>213</v>
      </c>
      <c r="G121" s="48" t="s">
        <v>125</v>
      </c>
      <c r="H121" s="91" t="s">
        <v>213</v>
      </c>
      <c r="I121" s="103" t="s">
        <v>125</v>
      </c>
      <c r="J121" s="91" t="s">
        <v>213</v>
      </c>
    </row>
    <row r="122" spans="1:10" ht="13.5" thickBot="1">
      <c r="B122" s="105" t="str">
        <f>IF(D120=0,"N",D120)</f>
        <v>Tokushima Vortis</v>
      </c>
      <c r="D122" s="106"/>
      <c r="E122" s="107" t="e">
        <f t="array" aca="1" ref="E122" ca="1">IF($B122="N","",SUM(IF((INDIRECT($B122&amp;"!I23:I200")=$A$2)*(INDIRECT($B122&amp;"!S23:S200")&lt;&gt;"")*(INDIRECT($B122&amp;"!H23:H200")=$E$5),1,0)))</f>
        <v>#REF!</v>
      </c>
      <c r="F122" s="108" t="e">
        <f t="array" aca="1" ref="F122" ca="1">IF($B122="N","",SUM(IF((INDIRECT($B122&amp;"!I23:I200")=$A$2)*(INDIRECT($B122&amp;"!S23:S200")&lt;&gt;"")*(INDIRECT($B122&amp;"!H23:H200")=$E$5),INDIRECT($B122&amp;"!V23:V200"),0)))</f>
        <v>#REF!</v>
      </c>
      <c r="G122" s="107" t="e">
        <f t="array" aca="1" ref="G122" ca="1">IF($B122="N","",SUM(IF((INDIRECT($B122&amp;"!I23:I200")=$A$2)*(INDIRECT($B122&amp;"!S23:S200")&lt;&gt;"")*(INDIRECT($B122&amp;"!H23:H200")=$G$5),1,0)))</f>
        <v>#REF!</v>
      </c>
      <c r="H122" s="108" t="e">
        <f t="array" aca="1" ref="H122" ca="1">IF($B122="N","",SUM(IF((INDIRECT($B122&amp;"!I23:I200")=$A$2)*(INDIRECT($B122&amp;"!S23:S200")&lt;&gt;"")*(INDIRECT($B122&amp;"!H23:H200")=$G$5),INDIRECT($B122&amp;"!V23:V200"),0)))</f>
        <v>#REF!</v>
      </c>
      <c r="I122" s="67" t="e">
        <f ca="1">IF(B122="N","",G122+E122)</f>
        <v>#REF!</v>
      </c>
      <c r="J122" s="72" t="e">
        <f ca="1">IF(I122="","",F122+H122)</f>
        <v>#REF!</v>
      </c>
    </row>
    <row r="123" spans="1:10" ht="13.5" thickBot="1">
      <c r="A123" s="109"/>
      <c r="B123" s="110"/>
      <c r="C123" s="111" t="str">
        <f>D120</f>
        <v>Tokushima Vortis</v>
      </c>
      <c r="D123" s="112" t="s">
        <v>19</v>
      </c>
      <c r="E123" s="113" t="e">
        <f t="shared" ref="E123:J123" ca="1" si="23">SUM(E122:E122)</f>
        <v>#REF!</v>
      </c>
      <c r="F123" s="108" t="e">
        <f t="shared" ca="1" si="23"/>
        <v>#REF!</v>
      </c>
      <c r="G123" s="113" t="e">
        <f t="shared" ca="1" si="23"/>
        <v>#REF!</v>
      </c>
      <c r="H123" s="108" t="e">
        <f t="shared" ca="1" si="23"/>
        <v>#REF!</v>
      </c>
      <c r="I123" s="114" t="e">
        <f t="shared" ca="1" si="23"/>
        <v>#REF!</v>
      </c>
      <c r="J123" s="108" t="e">
        <f t="shared" ca="1" si="23"/>
        <v>#REF!</v>
      </c>
    </row>
    <row r="124" spans="1:10" ht="13.5" thickBot="1">
      <c r="A124" s="109"/>
      <c r="C124" s="117"/>
    </row>
    <row r="125" spans="1:10">
      <c r="A125" s="109"/>
      <c r="B125" s="30"/>
      <c r="C125" s="111"/>
      <c r="D125" s="98" t="str">
        <f>J2</f>
        <v>Tokyo Verdy</v>
      </c>
      <c r="E125" s="99" t="s">
        <v>22</v>
      </c>
      <c r="F125" s="100"/>
      <c r="G125" s="99" t="s">
        <v>18</v>
      </c>
      <c r="H125" s="100"/>
      <c r="I125" s="99" t="s">
        <v>121</v>
      </c>
      <c r="J125" s="101"/>
    </row>
    <row r="126" spans="1:10" ht="13.5" thickBot="1">
      <c r="B126" s="30"/>
      <c r="C126" s="30"/>
      <c r="D126" s="102" t="s">
        <v>212</v>
      </c>
      <c r="E126" s="48" t="s">
        <v>125</v>
      </c>
      <c r="F126" s="91" t="s">
        <v>213</v>
      </c>
      <c r="G126" s="48" t="s">
        <v>125</v>
      </c>
      <c r="H126" s="91" t="s">
        <v>213</v>
      </c>
      <c r="I126" s="103" t="s">
        <v>125</v>
      </c>
      <c r="J126" s="91" t="s">
        <v>213</v>
      </c>
    </row>
    <row r="127" spans="1:10" ht="13.5" thickBot="1">
      <c r="B127" s="105" t="str">
        <f>IF(D125=0,"N",D125)</f>
        <v>Tokyo Verdy</v>
      </c>
      <c r="D127" s="106"/>
      <c r="E127" s="107" t="e">
        <f t="array" aca="1" ref="E127" ca="1">IF($B127="N","",SUM(IF((INDIRECT($B127&amp;"!I23:I200")=$A$2)*(INDIRECT($B127&amp;"!S23:S200")&lt;&gt;"")*(INDIRECT($B127&amp;"!H23:H200")=$E$5),1,0)))</f>
        <v>#REF!</v>
      </c>
      <c r="F127" s="108" t="e">
        <f t="array" aca="1" ref="F127" ca="1">IF($B127="N","",SUM(IF((INDIRECT($B127&amp;"!I23:I200")=$A$2)*(INDIRECT($B127&amp;"!S23:S200")&lt;&gt;"")*(INDIRECT($B127&amp;"!H23:H200")=$E$5),INDIRECT($B127&amp;"!V23:V200"),0)))</f>
        <v>#REF!</v>
      </c>
      <c r="G127" s="107" t="e">
        <f t="array" aca="1" ref="G127" ca="1">IF($B127="N","",SUM(IF((INDIRECT($B127&amp;"!I23:I200")=$A$2)*(INDIRECT($B127&amp;"!S23:S200")&lt;&gt;"")*(INDIRECT($B127&amp;"!H23:H200")=$G$5),1,0)))</f>
        <v>#REF!</v>
      </c>
      <c r="H127" s="108" t="e">
        <f t="array" aca="1" ref="H127" ca="1">IF($B127="N","",SUM(IF((INDIRECT($B127&amp;"!I23:I200")=$A$2)*(INDIRECT($B127&amp;"!S23:S200")&lt;&gt;"")*(INDIRECT($B127&amp;"!H23:H200")=$G$5),INDIRECT($B127&amp;"!V23:V200"),0)))</f>
        <v>#REF!</v>
      </c>
      <c r="I127" s="67" t="e">
        <f ca="1">IF(B127="N","",G127+E127)</f>
        <v>#REF!</v>
      </c>
      <c r="J127" s="72" t="e">
        <f ca="1">IF(I127="","",F127+H127)</f>
        <v>#REF!</v>
      </c>
    </row>
    <row r="128" spans="1:10" ht="13.5" thickBot="1">
      <c r="A128" s="109"/>
      <c r="B128" s="110"/>
      <c r="C128" s="111" t="str">
        <f>D125</f>
        <v>Tokyo Verdy</v>
      </c>
      <c r="D128" s="112" t="s">
        <v>19</v>
      </c>
      <c r="E128" s="113" t="e">
        <f t="shared" ref="E128:J128" ca="1" si="24">SUM(E127:E127)</f>
        <v>#REF!</v>
      </c>
      <c r="F128" s="119" t="e">
        <f t="shared" ca="1" si="24"/>
        <v>#REF!</v>
      </c>
      <c r="G128" s="113" t="e">
        <f t="shared" ca="1" si="24"/>
        <v>#REF!</v>
      </c>
      <c r="H128" s="119" t="e">
        <f t="shared" ca="1" si="24"/>
        <v>#REF!</v>
      </c>
      <c r="I128" s="114" t="e">
        <f t="shared" ca="1" si="24"/>
        <v>#REF!</v>
      </c>
      <c r="J128" s="119" t="e">
        <f t="shared" ca="1" si="24"/>
        <v>#REF!</v>
      </c>
    </row>
    <row r="129" spans="1:10" ht="13.5" thickBot="1">
      <c r="A129" s="109"/>
      <c r="C129" s="117"/>
    </row>
    <row r="130" spans="1:10">
      <c r="A130" s="109"/>
      <c r="B130" s="30"/>
      <c r="C130" s="111"/>
      <c r="D130" s="98" t="str">
        <f>K2</f>
        <v>V-Varen Nagasaki</v>
      </c>
      <c r="E130" s="99" t="s">
        <v>22</v>
      </c>
      <c r="F130" s="100"/>
      <c r="G130" s="99" t="s">
        <v>18</v>
      </c>
      <c r="H130" s="100"/>
      <c r="I130" s="99" t="s">
        <v>121</v>
      </c>
      <c r="J130" s="101"/>
    </row>
    <row r="131" spans="1:10" ht="13.5" thickBot="1">
      <c r="B131" s="30"/>
      <c r="C131" s="30"/>
      <c r="D131" s="102" t="s">
        <v>212</v>
      </c>
      <c r="E131" s="48" t="s">
        <v>125</v>
      </c>
      <c r="F131" s="91" t="s">
        <v>213</v>
      </c>
      <c r="G131" s="48" t="s">
        <v>125</v>
      </c>
      <c r="H131" s="91" t="s">
        <v>213</v>
      </c>
      <c r="I131" s="103" t="s">
        <v>125</v>
      </c>
      <c r="J131" s="91" t="s">
        <v>213</v>
      </c>
    </row>
    <row r="132" spans="1:10" ht="13.5" thickBot="1">
      <c r="B132" s="105" t="str">
        <f>IF(D130=0,"N",D130)</f>
        <v>V-Varen Nagasaki</v>
      </c>
      <c r="D132" s="106"/>
      <c r="E132" s="107" t="e">
        <f t="array" aca="1" ref="E132" ca="1">IF($B132="N","",SUM(IF((INDIRECT($B132&amp;"!I23:I200")=$A$2)*(INDIRECT($B132&amp;"!S23:S200")&lt;&gt;"")*(INDIRECT($B132&amp;"!H23:H200")=$E$5),1,0)))</f>
        <v>#REF!</v>
      </c>
      <c r="F132" s="108" t="e">
        <f t="array" aca="1" ref="F132" ca="1">IF($B132="N","",SUM(IF((INDIRECT($B132&amp;"!I23:I200")=$A$2)*(INDIRECT($B132&amp;"!S23:S200")&lt;&gt;"")*(INDIRECT($B132&amp;"!H23:H200")=$E$5),INDIRECT($B132&amp;"!V23:V200"),0)))</f>
        <v>#REF!</v>
      </c>
      <c r="G132" s="107" t="e">
        <f t="array" aca="1" ref="G132" ca="1">IF($B132="N","",SUM(IF((INDIRECT($B132&amp;"!I23:I200")=$A$2)*(INDIRECT($B132&amp;"!S23:S200")&lt;&gt;"")*(INDIRECT($B132&amp;"!H23:H200")=$G$5),1,0)))</f>
        <v>#REF!</v>
      </c>
      <c r="H132" s="108" t="e">
        <f t="array" aca="1" ref="H132" ca="1">IF($B132="N","",SUM(IF((INDIRECT($B132&amp;"!I23:I200")=$A$2)*(INDIRECT($B132&amp;"!S23:S200")&lt;&gt;"")*(INDIRECT($B132&amp;"!H23:H200")=$G$5),INDIRECT($B132&amp;"!V23:V200"),0)))</f>
        <v>#REF!</v>
      </c>
      <c r="I132" s="67" t="e">
        <f ca="1">IF(B132="N","",G132+E132)</f>
        <v>#REF!</v>
      </c>
      <c r="J132" s="72" t="e">
        <f ca="1">IF(I132="","",F132+H132)</f>
        <v>#REF!</v>
      </c>
    </row>
    <row r="133" spans="1:10" ht="13.5" thickBot="1">
      <c r="A133" s="109"/>
      <c r="B133" s="110"/>
      <c r="C133" s="111" t="str">
        <f>D130</f>
        <v>V-Varen Nagasaki</v>
      </c>
      <c r="D133" s="112" t="s">
        <v>19</v>
      </c>
      <c r="E133" s="113" t="e">
        <f t="shared" ref="E133:J133" ca="1" si="25">SUM(E132:E132)</f>
        <v>#REF!</v>
      </c>
      <c r="F133" s="119" t="e">
        <f t="shared" ca="1" si="25"/>
        <v>#REF!</v>
      </c>
      <c r="G133" s="113" t="e">
        <f t="shared" ca="1" si="25"/>
        <v>#REF!</v>
      </c>
      <c r="H133" s="119" t="e">
        <f t="shared" ca="1" si="25"/>
        <v>#REF!</v>
      </c>
      <c r="I133" s="114" t="e">
        <f t="shared" ca="1" si="25"/>
        <v>#REF!</v>
      </c>
      <c r="J133" s="119" t="e">
        <f t="shared" ca="1" si="25"/>
        <v>#REF!</v>
      </c>
    </row>
    <row r="134" spans="1:10" ht="13.5" thickBot="1">
      <c r="A134" s="109"/>
      <c r="C134" s="117"/>
    </row>
    <row r="135" spans="1:10">
      <c r="A135" s="109"/>
      <c r="B135" s="30"/>
      <c r="C135" s="111"/>
      <c r="D135" s="98" t="str">
        <f>L2</f>
        <v>Yokohama</v>
      </c>
      <c r="E135" s="99" t="s">
        <v>22</v>
      </c>
      <c r="F135" s="100"/>
      <c r="G135" s="99" t="s">
        <v>18</v>
      </c>
      <c r="H135" s="100"/>
      <c r="I135" s="99" t="s">
        <v>121</v>
      </c>
      <c r="J135" s="101"/>
    </row>
    <row r="136" spans="1:10" ht="13.5" thickBot="1">
      <c r="B136" s="30"/>
      <c r="C136" s="30"/>
      <c r="D136" s="102" t="s">
        <v>212</v>
      </c>
      <c r="E136" s="48" t="s">
        <v>125</v>
      </c>
      <c r="F136" s="91" t="s">
        <v>213</v>
      </c>
      <c r="G136" s="48" t="s">
        <v>125</v>
      </c>
      <c r="H136" s="91" t="s">
        <v>213</v>
      </c>
      <c r="I136" s="103" t="s">
        <v>125</v>
      </c>
      <c r="J136" s="91" t="s">
        <v>213</v>
      </c>
    </row>
    <row r="137" spans="1:10" ht="13.5" thickBot="1">
      <c r="B137" s="105" t="str">
        <f>IF(D135=0,"N",D135)</f>
        <v>Yokohama</v>
      </c>
      <c r="D137" s="106"/>
      <c r="E137" s="107">
        <f t="array" aca="1" ref="E137" ca="1">IF($B137="N","",SUM(IF((INDIRECT($B137&amp;"!I23:I200")=$A$2)*(INDIRECT($B137&amp;"!S23:S200")&lt;&gt;"")*(INDIRECT($B137&amp;"!H23:H200")=$E$5),1,0)))</f>
        <v>21</v>
      </c>
      <c r="F137" s="108">
        <f t="array" aca="1" ref="F137" ca="1">IF($B137="N","",SUM(IF((INDIRECT($B137&amp;"!I23:I200")=$A$2)*(INDIRECT($B137&amp;"!S23:S200")&lt;&gt;"")*(INDIRECT($B137&amp;"!H23:H200")=$E$5),INDIRECT($B137&amp;"!V23:V200"),0)))</f>
        <v>22.860000000000003</v>
      </c>
      <c r="G137" s="107">
        <f t="array" aca="1" ref="G137" ca="1">IF($B137="N","",SUM(IF((INDIRECT($B137&amp;"!I23:I200")=$A$2)*(INDIRECT($B137&amp;"!S23:S200")&lt;&gt;"")*(INDIRECT($B137&amp;"!H23:H200")=$G$5),1,0)))</f>
        <v>21</v>
      </c>
      <c r="H137" s="108">
        <f t="array" aca="1" ref="H137" ca="1">IF($B137="N","",SUM(IF((INDIRECT($B137&amp;"!I23:I200")=$A$2)*(INDIRECT($B137&amp;"!S23:S200")&lt;&gt;"")*(INDIRECT($B137&amp;"!H23:H200")=$G$5),INDIRECT($B137&amp;"!V23:V200"),0)))</f>
        <v>26.009999999999998</v>
      </c>
      <c r="I137" s="67">
        <f ca="1">IF(B137="N","",G137+E137)</f>
        <v>42</v>
      </c>
      <c r="J137" s="72">
        <f ca="1">IF(I137="","",F137+H137)</f>
        <v>48.870000000000005</v>
      </c>
    </row>
    <row r="138" spans="1:10" ht="13.5" thickBot="1">
      <c r="A138" s="109"/>
      <c r="B138" s="110"/>
      <c r="C138" s="111" t="str">
        <f>D135</f>
        <v>Yokohama</v>
      </c>
      <c r="D138" s="112" t="s">
        <v>19</v>
      </c>
      <c r="E138" s="113">
        <f t="shared" ref="E138:J138" ca="1" si="26">SUM(E137:E137)</f>
        <v>21</v>
      </c>
      <c r="F138" s="119">
        <f t="shared" ca="1" si="26"/>
        <v>22.860000000000003</v>
      </c>
      <c r="G138" s="113">
        <f t="shared" ca="1" si="26"/>
        <v>21</v>
      </c>
      <c r="H138" s="119">
        <f t="shared" ca="1" si="26"/>
        <v>26.009999999999998</v>
      </c>
      <c r="I138" s="114">
        <f t="shared" ca="1" si="26"/>
        <v>42</v>
      </c>
      <c r="J138" s="119">
        <f t="shared" ca="1" si="26"/>
        <v>48.870000000000005</v>
      </c>
    </row>
    <row r="139" spans="1:10" ht="13.5" thickBot="1">
      <c r="A139" s="109"/>
      <c r="C139" s="117"/>
    </row>
    <row r="140" spans="1:10">
      <c r="A140" s="109"/>
      <c r="B140" s="30"/>
      <c r="C140" s="111"/>
      <c r="D140" s="98" t="str">
        <f>M2</f>
        <v>Zweigen Kanazawa</v>
      </c>
      <c r="E140" s="99" t="s">
        <v>22</v>
      </c>
      <c r="F140" s="100"/>
      <c r="G140" s="99" t="s">
        <v>18</v>
      </c>
      <c r="H140" s="100"/>
      <c r="I140" s="99" t="s">
        <v>121</v>
      </c>
      <c r="J140" s="101"/>
    </row>
    <row r="141" spans="1:10" ht="13.5" thickBot="1">
      <c r="B141" s="30"/>
      <c r="C141" s="30"/>
      <c r="D141" s="102" t="s">
        <v>212</v>
      </c>
      <c r="E141" s="48" t="s">
        <v>125</v>
      </c>
      <c r="F141" s="91" t="s">
        <v>213</v>
      </c>
      <c r="G141" s="48" t="s">
        <v>125</v>
      </c>
      <c r="H141" s="91" t="s">
        <v>213</v>
      </c>
      <c r="I141" s="103" t="s">
        <v>125</v>
      </c>
      <c r="J141" s="91" t="s">
        <v>213</v>
      </c>
    </row>
    <row r="142" spans="1:10" ht="13.5" thickBot="1">
      <c r="B142" s="105" t="str">
        <f>IF(D140=0,"N",D140)</f>
        <v>Zweigen Kanazawa</v>
      </c>
      <c r="D142" s="106"/>
      <c r="E142" s="107" t="e">
        <f t="array" aca="1" ref="E142" ca="1">IF($B142="N","",SUM(IF((INDIRECT($B142&amp;"!I23:I200")=$A$2)*(INDIRECT($B142&amp;"!S23:S200")&lt;&gt;"")*(INDIRECT($B142&amp;"!H23:H200")=$E$5),1,0)))</f>
        <v>#REF!</v>
      </c>
      <c r="F142" s="108" t="e">
        <f t="array" aca="1" ref="F142" ca="1">IF($B142="N","",SUM(IF((INDIRECT($B142&amp;"!I23:I200")=$A$2)*(INDIRECT($B142&amp;"!S23:S200")&lt;&gt;"")*(INDIRECT($B142&amp;"!H23:H200")=$E$5),INDIRECT($B142&amp;"!V23:V200"),0)))</f>
        <v>#REF!</v>
      </c>
      <c r="G142" s="107" t="e">
        <f t="array" aca="1" ref="G142" ca="1">IF($B142="N","",SUM(IF((INDIRECT($B142&amp;"!I23:I200")=$A$2)*(INDIRECT($B142&amp;"!S23:S200")&lt;&gt;"")*(INDIRECT($B142&amp;"!H23:H200")=$G$5),1,0)))</f>
        <v>#REF!</v>
      </c>
      <c r="H142" s="108" t="e">
        <f t="array" aca="1" ref="H142" ca="1">IF($B142="N","",SUM(IF((INDIRECT($B142&amp;"!I23:I200")=$A$2)*(INDIRECT($B142&amp;"!S23:S200")&lt;&gt;"")*(INDIRECT($B142&amp;"!H23:H200")=$G$5),INDIRECT($B142&amp;"!V23:V200"),0)))</f>
        <v>#REF!</v>
      </c>
      <c r="I142" s="67" t="e">
        <f ca="1">IF(B142="N","",G142+E142)</f>
        <v>#REF!</v>
      </c>
      <c r="J142" s="72" t="e">
        <f ca="1">IF(I142="","",F142+H142)</f>
        <v>#REF!</v>
      </c>
    </row>
    <row r="143" spans="1:10" ht="13.5" thickBot="1">
      <c r="A143" s="109"/>
      <c r="B143" s="110"/>
      <c r="C143" s="111" t="str">
        <f>D140</f>
        <v>Zweigen Kanazawa</v>
      </c>
      <c r="D143" s="112" t="s">
        <v>19</v>
      </c>
      <c r="E143" s="113" t="e">
        <f t="shared" ref="E143:J143" ca="1" si="27">SUM(E142:E142)</f>
        <v>#REF!</v>
      </c>
      <c r="F143" s="119" t="e">
        <f t="shared" ca="1" si="27"/>
        <v>#REF!</v>
      </c>
      <c r="G143" s="113" t="e">
        <f t="shared" ca="1" si="27"/>
        <v>#REF!</v>
      </c>
      <c r="H143" s="119" t="e">
        <f t="shared" ca="1" si="27"/>
        <v>#REF!</v>
      </c>
      <c r="I143" s="114" t="e">
        <f t="shared" ca="1" si="27"/>
        <v>#REF!</v>
      </c>
      <c r="J143" s="119" t="e">
        <f t="shared" ca="1" si="27"/>
        <v>#REF!</v>
      </c>
    </row>
    <row r="144" spans="1:10" ht="13.5" thickBot="1">
      <c r="A144" s="109"/>
      <c r="C144" s="117"/>
    </row>
    <row r="145" spans="1:10">
      <c r="A145" s="109"/>
      <c r="B145" s="30"/>
      <c r="C145" s="111"/>
      <c r="D145" s="98">
        <f>N2</f>
        <v>0</v>
      </c>
      <c r="E145" s="99" t="s">
        <v>22</v>
      </c>
      <c r="F145" s="100"/>
      <c r="G145" s="99" t="s">
        <v>18</v>
      </c>
      <c r="H145" s="100"/>
      <c r="I145" s="99" t="s">
        <v>121</v>
      </c>
      <c r="J145" s="101"/>
    </row>
    <row r="146" spans="1:10" ht="13.5" thickBot="1">
      <c r="B146" s="30"/>
      <c r="C146" s="30"/>
      <c r="D146" s="102" t="s">
        <v>212</v>
      </c>
      <c r="E146" s="48" t="s">
        <v>125</v>
      </c>
      <c r="F146" s="91" t="s">
        <v>213</v>
      </c>
      <c r="G146" s="48" t="s">
        <v>125</v>
      </c>
      <c r="H146" s="91" t="s">
        <v>213</v>
      </c>
      <c r="I146" s="103" t="s">
        <v>125</v>
      </c>
      <c r="J146" s="91" t="s">
        <v>213</v>
      </c>
    </row>
    <row r="147" spans="1:10" ht="13.5" thickBot="1">
      <c r="B147" s="105" t="str">
        <f>IF(D145=0,"N",D145)</f>
        <v>N</v>
      </c>
      <c r="D147" s="106"/>
      <c r="E147" s="107" t="str">
        <f t="array" aca="1" ref="E147" ca="1">IF($B147="N","",SUM(IF((INDIRECT($B147&amp;"!I23:I200")=$A$2)*(INDIRECT($B147&amp;"!S23:S200")&lt;&gt;"")*(INDIRECT($B147&amp;"!H23:H200")=$E$5),1,0)))</f>
        <v/>
      </c>
      <c r="F147" s="108" t="str">
        <f t="array" aca="1" ref="F147" ca="1">IF($B147="N","",SUM(IF((INDIRECT($B147&amp;"!I23:I200")=$A$2)*(INDIRECT($B147&amp;"!S23:S200")&lt;&gt;"")*(INDIRECT($B147&amp;"!H23:H200")=$E$5),INDIRECT($B147&amp;"!V23:V200"),0)))</f>
        <v/>
      </c>
      <c r="G147" s="107" t="str">
        <f t="array" aca="1" ref="G147" ca="1">IF($B147="N","",SUM(IF((INDIRECT($B147&amp;"!I23:I200")=$A$2)*(INDIRECT($B147&amp;"!S23:S200")&lt;&gt;"")*(INDIRECT($B147&amp;"!H23:H200")=$G$5),1,0)))</f>
        <v/>
      </c>
      <c r="H147" s="108" t="str">
        <f t="array" aca="1" ref="H147" ca="1">IF($B147="N","",SUM(IF((INDIRECT($B147&amp;"!I23:I200")=$A$2)*(INDIRECT($B147&amp;"!S23:S200")&lt;&gt;"")*(INDIRECT($B147&amp;"!H23:H200")=$G$5),INDIRECT($B147&amp;"!V23:V200"),0)))</f>
        <v/>
      </c>
      <c r="I147" s="67" t="str">
        <f>IF(B147="N","",G147+E147)</f>
        <v/>
      </c>
      <c r="J147" s="72" t="str">
        <f>IF(I147="","",F147+H147)</f>
        <v/>
      </c>
    </row>
    <row r="148" spans="1:10" ht="13.5" thickBot="1">
      <c r="A148" s="109"/>
      <c r="B148" s="110"/>
      <c r="C148" s="111">
        <f>D145</f>
        <v>0</v>
      </c>
      <c r="D148" s="112" t="s">
        <v>19</v>
      </c>
      <c r="E148" s="113">
        <f t="shared" ref="E148:J148" ca="1" si="28">SUM(E147:E147)</f>
        <v>0</v>
      </c>
      <c r="F148" s="119">
        <f t="shared" ca="1" si="28"/>
        <v>0</v>
      </c>
      <c r="G148" s="113">
        <f t="shared" ca="1" si="28"/>
        <v>0</v>
      </c>
      <c r="H148" s="119">
        <f t="shared" ca="1" si="28"/>
        <v>0</v>
      </c>
      <c r="I148" s="114">
        <f t="shared" si="28"/>
        <v>0</v>
      </c>
      <c r="J148" s="119">
        <f t="shared" si="28"/>
        <v>0</v>
      </c>
    </row>
    <row r="149" spans="1:10" ht="13.5" thickBot="1">
      <c r="A149" s="109"/>
      <c r="C149" s="117"/>
    </row>
    <row r="150" spans="1:10">
      <c r="A150" s="109"/>
      <c r="B150" s="30"/>
      <c r="C150" s="111"/>
      <c r="D150" s="98">
        <f>O2</f>
        <v>0</v>
      </c>
      <c r="E150" s="99" t="s">
        <v>22</v>
      </c>
      <c r="F150" s="100"/>
      <c r="G150" s="99" t="s">
        <v>18</v>
      </c>
      <c r="H150" s="100"/>
      <c r="I150" s="99" t="s">
        <v>121</v>
      </c>
      <c r="J150" s="101"/>
    </row>
    <row r="151" spans="1:10" ht="13.5" thickBot="1">
      <c r="B151" s="30"/>
      <c r="C151" s="30"/>
      <c r="D151" s="102" t="s">
        <v>212</v>
      </c>
      <c r="E151" s="48" t="s">
        <v>125</v>
      </c>
      <c r="F151" s="91" t="s">
        <v>213</v>
      </c>
      <c r="G151" s="48" t="s">
        <v>125</v>
      </c>
      <c r="H151" s="91" t="s">
        <v>213</v>
      </c>
      <c r="I151" s="103" t="s">
        <v>125</v>
      </c>
      <c r="J151" s="91" t="s">
        <v>213</v>
      </c>
    </row>
    <row r="152" spans="1:10" ht="13.5" thickBot="1">
      <c r="B152" s="105" t="str">
        <f>IF(D150=0,"N",D150)</f>
        <v>N</v>
      </c>
      <c r="D152" s="106"/>
      <c r="E152" s="107" t="str">
        <f t="array" aca="1" ref="E152" ca="1">IF($B152="N","",SUM(IF((INDIRECT($B152&amp;"!I23:I200")=$A$2)*(INDIRECT($B152&amp;"!S23:S200")&lt;&gt;"")*(INDIRECT($B152&amp;"!H23:H200")=$E$5),1,0)))</f>
        <v/>
      </c>
      <c r="F152" s="108" t="str">
        <f t="array" aca="1" ref="F152" ca="1">IF($B152="N","",SUM(IF((INDIRECT($B152&amp;"!I23:I200")=$A$2)*(INDIRECT($B152&amp;"!S23:S200")&lt;&gt;"")*(INDIRECT($B152&amp;"!H23:H200")=$E$5),INDIRECT($B152&amp;"!V23:V200"),0)))</f>
        <v/>
      </c>
      <c r="G152" s="107" t="str">
        <f t="array" aca="1" ref="G152" ca="1">IF($B152="N","",SUM(IF((INDIRECT($B152&amp;"!I23:I200")=$A$2)*(INDIRECT($B152&amp;"!S23:S200")&lt;&gt;"")*(INDIRECT($B152&amp;"!H23:H200")=$G$5),1,0)))</f>
        <v/>
      </c>
      <c r="H152" s="108" t="str">
        <f t="array" aca="1" ref="H152" ca="1">IF($B152="N","",SUM(IF((INDIRECT($B152&amp;"!I23:I200")=$A$2)*(INDIRECT($B152&amp;"!S23:S200")&lt;&gt;"")*(INDIRECT($B152&amp;"!H23:H200")=$G$5),INDIRECT($B152&amp;"!V23:V200"),0)))</f>
        <v/>
      </c>
      <c r="I152" s="67" t="str">
        <f>IF(B152="N","",G152+E152)</f>
        <v/>
      </c>
      <c r="J152" s="72" t="str">
        <f>IF(I152="","",F152+H152)</f>
        <v/>
      </c>
    </row>
    <row r="153" spans="1:10" ht="13.5" thickBot="1">
      <c r="A153" s="109"/>
      <c r="B153" s="110"/>
      <c r="C153" s="111">
        <f>D150</f>
        <v>0</v>
      </c>
      <c r="D153" s="112" t="s">
        <v>19</v>
      </c>
      <c r="E153" s="113">
        <f t="shared" ref="E153:J153" ca="1" si="29">SUM(E152:E152)</f>
        <v>0</v>
      </c>
      <c r="F153" s="119">
        <f t="shared" ca="1" si="29"/>
        <v>0</v>
      </c>
      <c r="G153" s="113">
        <f t="shared" ca="1" si="29"/>
        <v>0</v>
      </c>
      <c r="H153" s="119">
        <f t="shared" ca="1" si="29"/>
        <v>0</v>
      </c>
      <c r="I153" s="114">
        <f t="shared" si="29"/>
        <v>0</v>
      </c>
      <c r="J153" s="119">
        <f t="shared" si="29"/>
        <v>0</v>
      </c>
    </row>
    <row r="154" spans="1:10">
      <c r="A154" s="109"/>
      <c r="C154" s="117"/>
    </row>
    <row r="155" spans="1:10">
      <c r="A155" s="109"/>
      <c r="C155" s="117"/>
    </row>
    <row r="156" spans="1:10">
      <c r="A156" s="109"/>
      <c r="C156" s="117"/>
    </row>
    <row r="157" spans="1:10">
      <c r="A157" s="109"/>
      <c r="C157" s="117"/>
    </row>
    <row r="158" spans="1:10">
      <c r="A158" s="109"/>
      <c r="C158" s="117"/>
    </row>
    <row r="159" spans="1:10">
      <c r="A159" s="109"/>
      <c r="C159" s="117"/>
    </row>
    <row r="160" spans="1:10">
      <c r="A160" s="109"/>
      <c r="C160" s="117"/>
    </row>
    <row r="161" spans="1:3">
      <c r="A161" s="109"/>
      <c r="C161" s="117"/>
    </row>
    <row r="162" spans="1:3">
      <c r="A162" s="109"/>
      <c r="C162" s="117"/>
    </row>
    <row r="163" spans="1:3">
      <c r="A163" s="109"/>
      <c r="C163" s="117"/>
    </row>
    <row r="164" spans="1:3">
      <c r="C164" s="117"/>
    </row>
    <row r="165" spans="1:3">
      <c r="C165" s="117"/>
    </row>
    <row r="166" spans="1:3">
      <c r="C166" s="117"/>
    </row>
    <row r="167" spans="1:3">
      <c r="C167" s="117"/>
    </row>
    <row r="168" spans="1:3">
      <c r="C168" s="117"/>
    </row>
    <row r="169" spans="1:3">
      <c r="C169" s="117"/>
    </row>
    <row r="170" spans="1:3">
      <c r="C170" s="117"/>
    </row>
    <row r="171" spans="1:3">
      <c r="C171" s="117"/>
    </row>
    <row r="172" spans="1:3">
      <c r="C172" s="117"/>
    </row>
    <row r="173" spans="1:3">
      <c r="C173" s="117"/>
    </row>
    <row r="174" spans="1:3">
      <c r="C174" s="117"/>
    </row>
    <row r="175" spans="1:3">
      <c r="C175" s="117"/>
    </row>
    <row r="176" spans="1:3">
      <c r="C176" s="117"/>
    </row>
    <row r="177" spans="3:3">
      <c r="C177" s="117"/>
    </row>
    <row r="178" spans="3:3">
      <c r="C178" s="117"/>
    </row>
    <row r="179" spans="3:3">
      <c r="C179" s="117"/>
    </row>
    <row r="180" spans="3:3">
      <c r="C180" s="117"/>
    </row>
    <row r="181" spans="3:3">
      <c r="C181" s="117"/>
    </row>
    <row r="182" spans="3:3">
      <c r="C182" s="117"/>
    </row>
    <row r="183" spans="3:3">
      <c r="C183" s="117"/>
    </row>
    <row r="184" spans="3:3">
      <c r="C184" s="117"/>
    </row>
    <row r="185" spans="3:3">
      <c r="C185" s="117"/>
    </row>
    <row r="186" spans="3:3">
      <c r="C186" s="117"/>
    </row>
    <row r="187" spans="3:3">
      <c r="C187" s="117"/>
    </row>
    <row r="188" spans="3:3">
      <c r="C188" s="117"/>
    </row>
    <row r="189" spans="3:3">
      <c r="C189" s="117"/>
    </row>
    <row r="190" spans="3:3">
      <c r="C190" s="117"/>
    </row>
    <row r="191" spans="3:3">
      <c r="C191" s="117"/>
    </row>
    <row r="192" spans="3:3">
      <c r="C192" s="117"/>
    </row>
    <row r="193" spans="3:3">
      <c r="C193" s="117"/>
    </row>
    <row r="194" spans="3:3">
      <c r="C194" s="117"/>
    </row>
    <row r="195" spans="3:3">
      <c r="C195" s="117"/>
    </row>
    <row r="196" spans="3:3">
      <c r="C196" s="117"/>
    </row>
    <row r="197" spans="3:3">
      <c r="C197" s="117"/>
    </row>
    <row r="198" spans="3:3">
      <c r="C198" s="117"/>
    </row>
    <row r="199" spans="3:3">
      <c r="C199" s="117"/>
    </row>
    <row r="200" spans="3:3">
      <c r="C200" s="117"/>
    </row>
    <row r="201" spans="3:3">
      <c r="C201" s="117"/>
    </row>
    <row r="202" spans="3:3">
      <c r="C202" s="117"/>
    </row>
    <row r="203" spans="3:3">
      <c r="C203" s="117"/>
    </row>
    <row r="204" spans="3:3">
      <c r="C204" s="117"/>
    </row>
    <row r="205" spans="3:3">
      <c r="C205" s="117"/>
    </row>
    <row r="206" spans="3:3">
      <c r="C206" s="117"/>
    </row>
    <row r="207" spans="3:3">
      <c r="C207" s="117"/>
    </row>
    <row r="208" spans="3:3">
      <c r="C208" s="117"/>
    </row>
    <row r="209" spans="3:3">
      <c r="C209" s="117"/>
    </row>
    <row r="210" spans="3:3">
      <c r="C210" s="117"/>
    </row>
    <row r="211" spans="3:3">
      <c r="C211" s="117"/>
    </row>
    <row r="212" spans="3:3">
      <c r="C212" s="117"/>
    </row>
    <row r="213" spans="3:3">
      <c r="C213" s="117"/>
    </row>
    <row r="214" spans="3:3">
      <c r="C214" s="117"/>
    </row>
    <row r="215" spans="3:3">
      <c r="C215" s="117"/>
    </row>
    <row r="216" spans="3:3">
      <c r="C216" s="117"/>
    </row>
    <row r="217" spans="3:3">
      <c r="C217" s="117"/>
    </row>
    <row r="218" spans="3:3">
      <c r="C218" s="117"/>
    </row>
    <row r="219" spans="3:3">
      <c r="C219" s="117"/>
    </row>
    <row r="220" spans="3:3">
      <c r="C220" s="117"/>
    </row>
    <row r="221" spans="3:3">
      <c r="C221" s="117"/>
    </row>
    <row r="222" spans="3:3">
      <c r="C222" s="117"/>
    </row>
    <row r="223" spans="3:3">
      <c r="C223" s="117"/>
    </row>
    <row r="224" spans="3:3">
      <c r="C224" s="117"/>
    </row>
    <row r="225" spans="3:3">
      <c r="C225" s="117"/>
    </row>
    <row r="226" spans="3:3">
      <c r="C226" s="117"/>
    </row>
    <row r="227" spans="3:3">
      <c r="C227" s="117"/>
    </row>
    <row r="228" spans="3:3">
      <c r="C228" s="117"/>
    </row>
    <row r="229" spans="3:3">
      <c r="C229" s="117"/>
    </row>
    <row r="230" spans="3:3">
      <c r="C230" s="117"/>
    </row>
    <row r="231" spans="3:3">
      <c r="C231" s="117"/>
    </row>
    <row r="232" spans="3:3">
      <c r="C232" s="117"/>
    </row>
    <row r="233" spans="3:3">
      <c r="C233" s="117"/>
    </row>
    <row r="234" spans="3:3">
      <c r="C234" s="117"/>
    </row>
    <row r="235" spans="3:3">
      <c r="C235" s="117"/>
    </row>
    <row r="236" spans="3:3">
      <c r="C236" s="117"/>
    </row>
    <row r="237" spans="3:3">
      <c r="C237" s="117"/>
    </row>
    <row r="238" spans="3:3">
      <c r="C238" s="117"/>
    </row>
    <row r="239" spans="3:3">
      <c r="C239" s="117"/>
    </row>
    <row r="240" spans="3:3">
      <c r="C240" s="117"/>
    </row>
    <row r="241" spans="3:3">
      <c r="C241" s="117"/>
    </row>
    <row r="242" spans="3:3">
      <c r="C242" s="117"/>
    </row>
    <row r="243" spans="3:3">
      <c r="C243" s="117"/>
    </row>
    <row r="244" spans="3:3">
      <c r="C244" s="117"/>
    </row>
    <row r="245" spans="3:3">
      <c r="C245" s="117"/>
    </row>
    <row r="246" spans="3:3">
      <c r="C246" s="117"/>
    </row>
    <row r="247" spans="3:3">
      <c r="C247" s="117"/>
    </row>
    <row r="248" spans="3:3">
      <c r="C248" s="117"/>
    </row>
    <row r="249" spans="3:3">
      <c r="C249" s="117"/>
    </row>
    <row r="250" spans="3:3">
      <c r="C250" s="117"/>
    </row>
    <row r="251" spans="3:3">
      <c r="C251" s="117"/>
    </row>
    <row r="252" spans="3:3">
      <c r="C252" s="117"/>
    </row>
    <row r="253" spans="3:3">
      <c r="C253" s="117"/>
    </row>
    <row r="254" spans="3:3">
      <c r="C254" s="117"/>
    </row>
    <row r="255" spans="3:3">
      <c r="C255" s="117"/>
    </row>
    <row r="256" spans="3:3">
      <c r="C256" s="117"/>
    </row>
    <row r="257" spans="3:3">
      <c r="C257" s="117"/>
    </row>
    <row r="258" spans="3:3">
      <c r="C258" s="117"/>
    </row>
    <row r="259" spans="3:3">
      <c r="C259" s="117"/>
    </row>
    <row r="260" spans="3:3">
      <c r="C260" s="117"/>
    </row>
    <row r="261" spans="3:3">
      <c r="C261" s="117"/>
    </row>
    <row r="262" spans="3:3">
      <c r="C262" s="117"/>
    </row>
    <row r="263" spans="3:3">
      <c r="C263" s="117"/>
    </row>
    <row r="264" spans="3:3">
      <c r="C264" s="117"/>
    </row>
    <row r="265" spans="3:3">
      <c r="C265" s="117"/>
    </row>
    <row r="266" spans="3:3">
      <c r="C266" s="117"/>
    </row>
    <row r="267" spans="3:3">
      <c r="C267" s="117"/>
    </row>
    <row r="268" spans="3:3">
      <c r="C268" s="117"/>
    </row>
    <row r="269" spans="3:3">
      <c r="C269" s="117"/>
    </row>
    <row r="270" spans="3:3">
      <c r="C270" s="117"/>
    </row>
    <row r="271" spans="3:3">
      <c r="C271" s="117"/>
    </row>
    <row r="272" spans="3:3">
      <c r="C272" s="117"/>
    </row>
    <row r="273" spans="3:3">
      <c r="C273" s="117"/>
    </row>
    <row r="274" spans="3:3">
      <c r="C274" s="117"/>
    </row>
    <row r="275" spans="3:3">
      <c r="C275" s="117"/>
    </row>
    <row r="276" spans="3:3">
      <c r="C276" s="117"/>
    </row>
    <row r="277" spans="3:3">
      <c r="C277" s="117"/>
    </row>
    <row r="278" spans="3:3">
      <c r="C278" s="117"/>
    </row>
    <row r="279" spans="3:3">
      <c r="C279" s="117"/>
    </row>
    <row r="280" spans="3:3">
      <c r="C280" s="117"/>
    </row>
    <row r="281" spans="3:3">
      <c r="C281" s="117"/>
    </row>
    <row r="282" spans="3:3">
      <c r="C282" s="117"/>
    </row>
    <row r="283" spans="3:3">
      <c r="C283" s="117"/>
    </row>
    <row r="284" spans="3:3">
      <c r="C284" s="117"/>
    </row>
    <row r="285" spans="3:3">
      <c r="C285" s="117"/>
    </row>
    <row r="286" spans="3:3">
      <c r="C286" s="117"/>
    </row>
    <row r="287" spans="3:3">
      <c r="C287" s="117"/>
    </row>
    <row r="288" spans="3:3">
      <c r="C288" s="117"/>
    </row>
    <row r="289" spans="3:3">
      <c r="C289" s="117"/>
    </row>
    <row r="290" spans="3:3">
      <c r="C290" s="117"/>
    </row>
    <row r="291" spans="3:3">
      <c r="C291" s="117"/>
    </row>
    <row r="292" spans="3:3">
      <c r="C292" s="117"/>
    </row>
    <row r="293" spans="3:3">
      <c r="C293" s="117"/>
    </row>
    <row r="294" spans="3:3">
      <c r="C294" s="117"/>
    </row>
    <row r="295" spans="3:3">
      <c r="C295" s="117"/>
    </row>
    <row r="296" spans="3:3">
      <c r="C296" s="117"/>
    </row>
    <row r="297" spans="3:3">
      <c r="C297" s="117"/>
    </row>
    <row r="298" spans="3:3">
      <c r="C298" s="117"/>
    </row>
    <row r="299" spans="3:3">
      <c r="C299" s="117"/>
    </row>
    <row r="300" spans="3:3">
      <c r="C300" s="117"/>
    </row>
    <row r="301" spans="3:3">
      <c r="C301" s="117"/>
    </row>
    <row r="302" spans="3:3">
      <c r="C302" s="117"/>
    </row>
    <row r="303" spans="3:3">
      <c r="C303" s="117"/>
    </row>
    <row r="304" spans="3:3">
      <c r="C304" s="117"/>
    </row>
    <row r="305" spans="3:3">
      <c r="C305" s="117"/>
    </row>
    <row r="306" spans="3:3">
      <c r="C306" s="117"/>
    </row>
    <row r="307" spans="3:3">
      <c r="C307" s="117"/>
    </row>
    <row r="308" spans="3:3">
      <c r="C308" s="117"/>
    </row>
    <row r="309" spans="3:3">
      <c r="C309" s="117"/>
    </row>
    <row r="310" spans="3:3">
      <c r="C310" s="117"/>
    </row>
    <row r="311" spans="3:3">
      <c r="C311" s="117"/>
    </row>
    <row r="312" spans="3:3">
      <c r="C312" s="117"/>
    </row>
    <row r="313" spans="3:3">
      <c r="C313" s="117"/>
    </row>
    <row r="314" spans="3:3">
      <c r="C314" s="117"/>
    </row>
    <row r="315" spans="3:3">
      <c r="C315" s="117"/>
    </row>
    <row r="316" spans="3:3">
      <c r="C316" s="117"/>
    </row>
    <row r="317" spans="3:3">
      <c r="C317" s="117"/>
    </row>
    <row r="318" spans="3:3">
      <c r="C318" s="117"/>
    </row>
    <row r="319" spans="3:3">
      <c r="C319" s="117"/>
    </row>
    <row r="320" spans="3:3">
      <c r="C320" s="117"/>
    </row>
    <row r="321" spans="3:3">
      <c r="C321" s="117"/>
    </row>
    <row r="322" spans="3:3">
      <c r="C322" s="117"/>
    </row>
    <row r="323" spans="3:3">
      <c r="C323" s="117"/>
    </row>
    <row r="324" spans="3:3">
      <c r="C324" s="117"/>
    </row>
    <row r="325" spans="3:3">
      <c r="C325" s="117"/>
    </row>
    <row r="326" spans="3:3">
      <c r="C326" s="117"/>
    </row>
    <row r="327" spans="3:3">
      <c r="C327" s="117"/>
    </row>
    <row r="328" spans="3:3">
      <c r="C328" s="117"/>
    </row>
    <row r="329" spans="3:3">
      <c r="C329" s="117"/>
    </row>
    <row r="330" spans="3:3">
      <c r="C330" s="117"/>
    </row>
    <row r="331" spans="3:3">
      <c r="C331" s="117"/>
    </row>
    <row r="332" spans="3:3">
      <c r="C332" s="117"/>
    </row>
    <row r="333" spans="3:3">
      <c r="C333" s="117"/>
    </row>
    <row r="334" spans="3:3">
      <c r="C334" s="117"/>
    </row>
    <row r="335" spans="3:3">
      <c r="C335" s="117"/>
    </row>
    <row r="336" spans="3:3">
      <c r="C336" s="117"/>
    </row>
    <row r="337" spans="3:3">
      <c r="C337" s="117"/>
    </row>
    <row r="338" spans="3:3">
      <c r="C338" s="117"/>
    </row>
    <row r="339" spans="3:3">
      <c r="C339" s="117"/>
    </row>
    <row r="340" spans="3:3">
      <c r="C340" s="117"/>
    </row>
    <row r="341" spans="3:3">
      <c r="C341" s="117"/>
    </row>
    <row r="342" spans="3:3">
      <c r="C342" s="117"/>
    </row>
    <row r="343" spans="3:3">
      <c r="C343" s="117"/>
    </row>
    <row r="344" spans="3:3">
      <c r="C344" s="117"/>
    </row>
    <row r="345" spans="3:3">
      <c r="C345" s="117"/>
    </row>
    <row r="346" spans="3:3">
      <c r="C346" s="117"/>
    </row>
    <row r="347" spans="3:3">
      <c r="C347" s="117"/>
    </row>
    <row r="348" spans="3:3">
      <c r="C348" s="117"/>
    </row>
    <row r="349" spans="3:3">
      <c r="C349" s="117"/>
    </row>
    <row r="350" spans="3:3">
      <c r="C350" s="117"/>
    </row>
    <row r="351" spans="3:3">
      <c r="C351" s="117"/>
    </row>
    <row r="352" spans="3:3">
      <c r="C352" s="117"/>
    </row>
    <row r="353" spans="3:3">
      <c r="C353" s="117"/>
    </row>
    <row r="354" spans="3:3">
      <c r="C354" s="117"/>
    </row>
    <row r="355" spans="3:3">
      <c r="C355" s="117"/>
    </row>
    <row r="356" spans="3:3">
      <c r="C356" s="117"/>
    </row>
    <row r="357" spans="3:3">
      <c r="C357" s="117"/>
    </row>
    <row r="358" spans="3:3">
      <c r="C358" s="117"/>
    </row>
    <row r="359" spans="3:3">
      <c r="C359" s="117"/>
    </row>
    <row r="360" spans="3:3">
      <c r="C360" s="117"/>
    </row>
    <row r="361" spans="3:3">
      <c r="C361" s="117"/>
    </row>
    <row r="362" spans="3:3">
      <c r="C362" s="117"/>
    </row>
    <row r="363" spans="3:3">
      <c r="C363" s="117"/>
    </row>
    <row r="364" spans="3:3">
      <c r="C364" s="117"/>
    </row>
    <row r="365" spans="3:3">
      <c r="C365" s="117"/>
    </row>
    <row r="366" spans="3:3">
      <c r="C366" s="117"/>
    </row>
    <row r="367" spans="3:3">
      <c r="C367" s="117"/>
    </row>
    <row r="368" spans="3:3">
      <c r="C368" s="117"/>
    </row>
    <row r="369" spans="3:3">
      <c r="C369" s="117"/>
    </row>
    <row r="370" spans="3:3">
      <c r="C370" s="117"/>
    </row>
    <row r="371" spans="3:3">
      <c r="C371" s="117"/>
    </row>
    <row r="372" spans="3:3">
      <c r="C372" s="117"/>
    </row>
    <row r="373" spans="3:3">
      <c r="C373" s="117"/>
    </row>
    <row r="374" spans="3:3">
      <c r="C374" s="117"/>
    </row>
    <row r="375" spans="3:3">
      <c r="C375" s="117"/>
    </row>
    <row r="376" spans="3:3">
      <c r="C376" s="117"/>
    </row>
    <row r="377" spans="3:3">
      <c r="C377" s="117"/>
    </row>
    <row r="378" spans="3:3">
      <c r="C378" s="117"/>
    </row>
    <row r="379" spans="3:3">
      <c r="C379" s="117"/>
    </row>
    <row r="380" spans="3:3">
      <c r="C380" s="117"/>
    </row>
    <row r="381" spans="3:3">
      <c r="C381" s="117"/>
    </row>
    <row r="382" spans="3:3">
      <c r="C382" s="117"/>
    </row>
    <row r="383" spans="3:3">
      <c r="C383" s="117"/>
    </row>
    <row r="384" spans="3:3">
      <c r="C384" s="117"/>
    </row>
    <row r="385" spans="3:3">
      <c r="C385" s="117"/>
    </row>
    <row r="386" spans="3:3">
      <c r="C386" s="117"/>
    </row>
    <row r="387" spans="3:3">
      <c r="C387" s="117"/>
    </row>
    <row r="388" spans="3:3">
      <c r="C388" s="117"/>
    </row>
    <row r="389" spans="3:3">
      <c r="C389" s="117"/>
    </row>
    <row r="390" spans="3:3">
      <c r="C390" s="117"/>
    </row>
    <row r="391" spans="3:3">
      <c r="C391" s="117"/>
    </row>
    <row r="392" spans="3:3">
      <c r="C392" s="117"/>
    </row>
    <row r="393" spans="3:3">
      <c r="C393" s="117"/>
    </row>
    <row r="394" spans="3:3">
      <c r="C394" s="117"/>
    </row>
    <row r="395" spans="3:3">
      <c r="C395" s="117"/>
    </row>
    <row r="396" spans="3:3">
      <c r="C396" s="117"/>
    </row>
    <row r="397" spans="3:3">
      <c r="C397" s="117"/>
    </row>
    <row r="398" spans="3:3">
      <c r="C398" s="117"/>
    </row>
    <row r="399" spans="3:3">
      <c r="C399" s="117"/>
    </row>
    <row r="400" spans="3:3">
      <c r="C400" s="117"/>
    </row>
    <row r="401" spans="3:3">
      <c r="C401" s="117"/>
    </row>
    <row r="402" spans="3:3">
      <c r="C402" s="117"/>
    </row>
    <row r="403" spans="3:3">
      <c r="C403" s="117"/>
    </row>
    <row r="404" spans="3:3">
      <c r="C404" s="117"/>
    </row>
    <row r="405" spans="3:3">
      <c r="C405" s="117"/>
    </row>
    <row r="406" spans="3:3">
      <c r="C406" s="117"/>
    </row>
    <row r="407" spans="3:3">
      <c r="C407" s="117"/>
    </row>
    <row r="408" spans="3:3">
      <c r="C408" s="117"/>
    </row>
    <row r="409" spans="3:3">
      <c r="C409" s="117"/>
    </row>
    <row r="410" spans="3:3">
      <c r="C410" s="117"/>
    </row>
    <row r="411" spans="3:3">
      <c r="C411" s="117"/>
    </row>
    <row r="412" spans="3:3">
      <c r="C412" s="117"/>
    </row>
    <row r="413" spans="3:3">
      <c r="C413" s="117"/>
    </row>
    <row r="414" spans="3:3">
      <c r="C414" s="117"/>
    </row>
    <row r="415" spans="3:3">
      <c r="C415" s="117"/>
    </row>
    <row r="416" spans="3:3">
      <c r="C416" s="117"/>
    </row>
    <row r="417" spans="3:3">
      <c r="C417" s="117"/>
    </row>
    <row r="418" spans="3:3">
      <c r="C418" s="117"/>
    </row>
    <row r="419" spans="3:3">
      <c r="C419" s="117"/>
    </row>
    <row r="420" spans="3:3">
      <c r="C420" s="117"/>
    </row>
    <row r="421" spans="3:3">
      <c r="C421" s="117"/>
    </row>
    <row r="422" spans="3:3">
      <c r="C422" s="117"/>
    </row>
    <row r="423" spans="3:3">
      <c r="C423" s="117"/>
    </row>
    <row r="424" spans="3:3">
      <c r="C424" s="117"/>
    </row>
    <row r="425" spans="3:3">
      <c r="C425" s="117"/>
    </row>
    <row r="426" spans="3:3">
      <c r="C426" s="117"/>
    </row>
    <row r="427" spans="3:3">
      <c r="C427" s="117"/>
    </row>
    <row r="428" spans="3:3">
      <c r="C428" s="117"/>
    </row>
    <row r="429" spans="3:3">
      <c r="C429" s="117"/>
    </row>
    <row r="430" spans="3:3">
      <c r="C430" s="117"/>
    </row>
    <row r="431" spans="3:3">
      <c r="C431" s="117"/>
    </row>
    <row r="432" spans="3:3">
      <c r="C432" s="117"/>
    </row>
    <row r="433" spans="3:3">
      <c r="C433" s="117"/>
    </row>
    <row r="434" spans="3:3">
      <c r="C434" s="117"/>
    </row>
    <row r="435" spans="3:3">
      <c r="C435" s="117"/>
    </row>
    <row r="436" spans="3:3">
      <c r="C436" s="117"/>
    </row>
    <row r="437" spans="3:3">
      <c r="C437" s="117"/>
    </row>
    <row r="438" spans="3:3">
      <c r="C438" s="117"/>
    </row>
    <row r="439" spans="3:3">
      <c r="C439" s="117"/>
    </row>
    <row r="440" spans="3:3">
      <c r="C440" s="117"/>
    </row>
    <row r="441" spans="3:3">
      <c r="C441" s="117"/>
    </row>
    <row r="442" spans="3:3">
      <c r="C442" s="117"/>
    </row>
    <row r="443" spans="3:3">
      <c r="C443" s="117"/>
    </row>
    <row r="444" spans="3:3">
      <c r="C444" s="117"/>
    </row>
    <row r="445" spans="3:3">
      <c r="C445" s="117"/>
    </row>
    <row r="446" spans="3:3">
      <c r="C446" s="117"/>
    </row>
    <row r="447" spans="3:3">
      <c r="C447" s="117"/>
    </row>
    <row r="448" spans="3:3">
      <c r="C448" s="117"/>
    </row>
    <row r="449" spans="3:3">
      <c r="C449" s="117"/>
    </row>
    <row r="450" spans="3:3">
      <c r="C450" s="117"/>
    </row>
    <row r="451" spans="3:3">
      <c r="C451" s="117"/>
    </row>
    <row r="452" spans="3:3">
      <c r="C452" s="117"/>
    </row>
    <row r="453" spans="3:3">
      <c r="C453" s="117"/>
    </row>
    <row r="454" spans="3:3">
      <c r="C454" s="117"/>
    </row>
    <row r="455" spans="3:3">
      <c r="C455" s="117"/>
    </row>
    <row r="456" spans="3:3">
      <c r="C456" s="117"/>
    </row>
    <row r="457" spans="3:3">
      <c r="C457" s="117"/>
    </row>
    <row r="458" spans="3:3">
      <c r="C458" s="117"/>
    </row>
    <row r="459" spans="3:3">
      <c r="C459" s="117"/>
    </row>
    <row r="460" spans="3:3">
      <c r="C460" s="117"/>
    </row>
    <row r="461" spans="3:3">
      <c r="C461" s="117"/>
    </row>
    <row r="462" spans="3:3">
      <c r="C462" s="117"/>
    </row>
    <row r="463" spans="3:3">
      <c r="C463" s="117"/>
    </row>
    <row r="464" spans="3:3">
      <c r="C464" s="117"/>
    </row>
    <row r="465" spans="3:3">
      <c r="C465" s="117"/>
    </row>
    <row r="466" spans="3:3">
      <c r="C466" s="117"/>
    </row>
    <row r="467" spans="3:3">
      <c r="C467" s="117"/>
    </row>
    <row r="468" spans="3:3">
      <c r="C468" s="117"/>
    </row>
    <row r="469" spans="3:3">
      <c r="C469" s="117"/>
    </row>
    <row r="470" spans="3:3">
      <c r="C470" s="117"/>
    </row>
    <row r="471" spans="3:3">
      <c r="C471" s="117"/>
    </row>
    <row r="472" spans="3:3">
      <c r="C472" s="117"/>
    </row>
    <row r="473" spans="3:3">
      <c r="C473" s="117"/>
    </row>
    <row r="474" spans="3:3">
      <c r="C474" s="117"/>
    </row>
    <row r="475" spans="3:3">
      <c r="C475" s="117"/>
    </row>
    <row r="476" spans="3:3">
      <c r="C476" s="117"/>
    </row>
    <row r="477" spans="3:3">
      <c r="C477" s="117"/>
    </row>
    <row r="478" spans="3:3">
      <c r="C478" s="117"/>
    </row>
    <row r="479" spans="3:3">
      <c r="C479" s="117"/>
    </row>
    <row r="480" spans="3:3">
      <c r="C480" s="117"/>
    </row>
    <row r="481" spans="3:3">
      <c r="C481" s="117"/>
    </row>
    <row r="482" spans="3:3">
      <c r="C482" s="117"/>
    </row>
    <row r="483" spans="3:3">
      <c r="C483" s="117"/>
    </row>
    <row r="484" spans="3:3">
      <c r="C484" s="117"/>
    </row>
    <row r="485" spans="3:3">
      <c r="C485" s="117"/>
    </row>
    <row r="486" spans="3:3">
      <c r="C486" s="117"/>
    </row>
    <row r="487" spans="3:3">
      <c r="C487" s="117"/>
    </row>
    <row r="488" spans="3:3">
      <c r="C488" s="117"/>
    </row>
    <row r="489" spans="3:3">
      <c r="C489" s="117"/>
    </row>
    <row r="490" spans="3:3">
      <c r="C490" s="117"/>
    </row>
    <row r="491" spans="3:3">
      <c r="C491" s="117"/>
    </row>
    <row r="492" spans="3:3">
      <c r="C492" s="117"/>
    </row>
    <row r="493" spans="3:3">
      <c r="C493" s="117"/>
    </row>
    <row r="494" spans="3:3">
      <c r="C494" s="117"/>
    </row>
    <row r="495" spans="3:3">
      <c r="C495" s="117"/>
    </row>
    <row r="496" spans="3:3">
      <c r="C496" s="117"/>
    </row>
    <row r="497" spans="3:3">
      <c r="C497" s="117"/>
    </row>
    <row r="498" spans="3:3">
      <c r="C498" s="117"/>
    </row>
    <row r="499" spans="3:3">
      <c r="C499" s="117"/>
    </row>
    <row r="500" spans="3:3">
      <c r="C500" s="117"/>
    </row>
    <row r="501" spans="3:3">
      <c r="C501" s="117"/>
    </row>
    <row r="502" spans="3:3">
      <c r="C502" s="117"/>
    </row>
    <row r="503" spans="3:3">
      <c r="C503" s="117"/>
    </row>
    <row r="504" spans="3:3">
      <c r="C504" s="117"/>
    </row>
    <row r="505" spans="3:3">
      <c r="C505" s="117"/>
    </row>
    <row r="506" spans="3:3">
      <c r="C506" s="117"/>
    </row>
    <row r="507" spans="3:3">
      <c r="C507" s="117"/>
    </row>
    <row r="508" spans="3:3">
      <c r="C508" s="117"/>
    </row>
    <row r="509" spans="3:3">
      <c r="C509" s="117"/>
    </row>
    <row r="510" spans="3:3">
      <c r="C510" s="117"/>
    </row>
    <row r="511" spans="3:3">
      <c r="C511" s="117"/>
    </row>
    <row r="512" spans="3:3">
      <c r="C512" s="117"/>
    </row>
    <row r="513" spans="3:3">
      <c r="C513" s="117"/>
    </row>
    <row r="514" spans="3:3">
      <c r="C514" s="117"/>
    </row>
    <row r="515" spans="3:3">
      <c r="C515" s="117"/>
    </row>
    <row r="516" spans="3:3">
      <c r="C516" s="117"/>
    </row>
    <row r="517" spans="3:3">
      <c r="C517" s="117"/>
    </row>
    <row r="518" spans="3:3">
      <c r="C518" s="117"/>
    </row>
    <row r="519" spans="3:3">
      <c r="C519" s="117"/>
    </row>
    <row r="520" spans="3:3">
      <c r="C520" s="117"/>
    </row>
    <row r="521" spans="3:3">
      <c r="C521" s="117"/>
    </row>
    <row r="522" spans="3:3">
      <c r="C522" s="117"/>
    </row>
    <row r="523" spans="3:3">
      <c r="C523" s="117"/>
    </row>
    <row r="524" spans="3:3">
      <c r="C524" s="117"/>
    </row>
    <row r="525" spans="3:3">
      <c r="C525" s="117"/>
    </row>
    <row r="526" spans="3:3">
      <c r="C526" s="117"/>
    </row>
    <row r="527" spans="3:3">
      <c r="C527" s="117"/>
    </row>
    <row r="528" spans="3:3">
      <c r="C528" s="117"/>
    </row>
    <row r="529" spans="3:3">
      <c r="C529" s="117"/>
    </row>
    <row r="530" spans="3:3">
      <c r="C530" s="117"/>
    </row>
    <row r="531" spans="3:3">
      <c r="C531" s="117"/>
    </row>
    <row r="532" spans="3:3">
      <c r="C532" s="117"/>
    </row>
    <row r="533" spans="3:3">
      <c r="C533" s="117"/>
    </row>
    <row r="534" spans="3:3">
      <c r="C534" s="117"/>
    </row>
    <row r="535" spans="3:3">
      <c r="C535" s="117"/>
    </row>
    <row r="536" spans="3:3">
      <c r="C536" s="117"/>
    </row>
    <row r="537" spans="3:3">
      <c r="C537" s="117"/>
    </row>
    <row r="538" spans="3:3">
      <c r="C538" s="117"/>
    </row>
    <row r="539" spans="3:3">
      <c r="C539" s="117"/>
    </row>
    <row r="540" spans="3:3">
      <c r="C540" s="117"/>
    </row>
    <row r="541" spans="3:3">
      <c r="C541" s="117"/>
    </row>
    <row r="542" spans="3:3">
      <c r="C542" s="117"/>
    </row>
    <row r="543" spans="3:3">
      <c r="C543" s="117"/>
    </row>
    <row r="544" spans="3:3">
      <c r="C544" s="117"/>
    </row>
    <row r="545" spans="3:3">
      <c r="C545" s="117"/>
    </row>
    <row r="546" spans="3:3">
      <c r="C546" s="117"/>
    </row>
    <row r="547" spans="3:3">
      <c r="C547" s="117"/>
    </row>
    <row r="548" spans="3:3">
      <c r="C548" s="117"/>
    </row>
    <row r="549" spans="3:3">
      <c r="C549" s="117"/>
    </row>
    <row r="550" spans="3:3">
      <c r="C550" s="117"/>
    </row>
    <row r="551" spans="3:3">
      <c r="C551" s="117"/>
    </row>
    <row r="552" spans="3:3">
      <c r="C552" s="117"/>
    </row>
    <row r="553" spans="3:3">
      <c r="C553" s="117"/>
    </row>
    <row r="554" spans="3:3">
      <c r="C554" s="117"/>
    </row>
    <row r="555" spans="3:3">
      <c r="C555" s="117"/>
    </row>
    <row r="556" spans="3:3">
      <c r="C556" s="117"/>
    </row>
    <row r="557" spans="3:3">
      <c r="C557" s="117"/>
    </row>
    <row r="558" spans="3:3">
      <c r="C558" s="117"/>
    </row>
    <row r="559" spans="3:3">
      <c r="C559" s="117"/>
    </row>
    <row r="560" spans="3:3">
      <c r="C560" s="117"/>
    </row>
    <row r="561" spans="3:3">
      <c r="C561" s="117"/>
    </row>
    <row r="562" spans="3:3">
      <c r="C562" s="117"/>
    </row>
    <row r="563" spans="3:3">
      <c r="C563" s="117"/>
    </row>
    <row r="564" spans="3:3">
      <c r="C564" s="117"/>
    </row>
    <row r="565" spans="3:3">
      <c r="C565" s="117"/>
    </row>
    <row r="566" spans="3:3">
      <c r="C566" s="117"/>
    </row>
    <row r="567" spans="3:3">
      <c r="C567" s="117"/>
    </row>
    <row r="568" spans="3:3">
      <c r="C568" s="117"/>
    </row>
    <row r="569" spans="3:3">
      <c r="C569" s="117"/>
    </row>
    <row r="570" spans="3:3">
      <c r="C570" s="117"/>
    </row>
    <row r="571" spans="3:3">
      <c r="C571" s="117"/>
    </row>
    <row r="572" spans="3:3">
      <c r="C572" s="117"/>
    </row>
    <row r="573" spans="3:3">
      <c r="C573" s="117"/>
    </row>
    <row r="574" spans="3:3">
      <c r="C574" s="117"/>
    </row>
    <row r="575" spans="3:3">
      <c r="C575" s="117"/>
    </row>
    <row r="576" spans="3:3">
      <c r="C576" s="117"/>
    </row>
    <row r="577" spans="3:3">
      <c r="C577" s="117"/>
    </row>
    <row r="578" spans="3:3">
      <c r="C578" s="117"/>
    </row>
    <row r="579" spans="3:3">
      <c r="C579" s="117"/>
    </row>
    <row r="580" spans="3:3">
      <c r="C580" s="117"/>
    </row>
    <row r="581" spans="3:3">
      <c r="C581" s="117"/>
    </row>
    <row r="582" spans="3:3">
      <c r="C582" s="117"/>
    </row>
    <row r="583" spans="3:3">
      <c r="C583" s="117"/>
    </row>
    <row r="584" spans="3:3">
      <c r="C584" s="117"/>
    </row>
    <row r="585" spans="3:3">
      <c r="C585" s="117"/>
    </row>
    <row r="586" spans="3:3">
      <c r="C586" s="117"/>
    </row>
    <row r="587" spans="3:3">
      <c r="C587" s="117"/>
    </row>
    <row r="588" spans="3:3">
      <c r="C588" s="117"/>
    </row>
    <row r="589" spans="3:3">
      <c r="C589" s="117"/>
    </row>
    <row r="590" spans="3:3">
      <c r="C590" s="117"/>
    </row>
    <row r="591" spans="3:3">
      <c r="C591" s="117"/>
    </row>
    <row r="592" spans="3:3">
      <c r="C592" s="117"/>
    </row>
    <row r="593" spans="3:3">
      <c r="C593" s="117"/>
    </row>
    <row r="594" spans="3:3">
      <c r="C594" s="117"/>
    </row>
    <row r="595" spans="3:3">
      <c r="C595" s="117"/>
    </row>
    <row r="596" spans="3:3">
      <c r="C596" s="117"/>
    </row>
    <row r="597" spans="3:3">
      <c r="C597" s="117"/>
    </row>
    <row r="598" spans="3:3">
      <c r="C598" s="117"/>
    </row>
    <row r="599" spans="3:3">
      <c r="C599" s="117"/>
    </row>
    <row r="600" spans="3:3">
      <c r="C600" s="117"/>
    </row>
    <row r="601" spans="3:3">
      <c r="C601" s="117"/>
    </row>
    <row r="602" spans="3:3">
      <c r="C602" s="117"/>
    </row>
    <row r="603" spans="3:3">
      <c r="C603" s="117"/>
    </row>
    <row r="604" spans="3:3">
      <c r="C604" s="117"/>
    </row>
    <row r="605" spans="3:3">
      <c r="C605" s="117"/>
    </row>
    <row r="606" spans="3:3">
      <c r="C606" s="117"/>
    </row>
    <row r="607" spans="3:3">
      <c r="C607" s="117"/>
    </row>
    <row r="608" spans="3:3">
      <c r="C608" s="117"/>
    </row>
    <row r="609" spans="3:3">
      <c r="C609" s="117"/>
    </row>
    <row r="610" spans="3:3">
      <c r="C610" s="117"/>
    </row>
    <row r="611" spans="3:3">
      <c r="C611" s="117"/>
    </row>
    <row r="612" spans="3:3">
      <c r="C612" s="117"/>
    </row>
    <row r="613" spans="3:3">
      <c r="C613" s="117"/>
    </row>
    <row r="614" spans="3:3">
      <c r="C614" s="117"/>
    </row>
    <row r="615" spans="3:3">
      <c r="C615" s="117"/>
    </row>
    <row r="616" spans="3:3">
      <c r="C616" s="117"/>
    </row>
    <row r="617" spans="3:3">
      <c r="C617" s="117"/>
    </row>
    <row r="618" spans="3:3">
      <c r="C618" s="117"/>
    </row>
    <row r="619" spans="3:3">
      <c r="C619" s="117"/>
    </row>
    <row r="620" spans="3:3">
      <c r="C620" s="117"/>
    </row>
    <row r="621" spans="3:3">
      <c r="C621" s="117"/>
    </row>
    <row r="622" spans="3:3">
      <c r="C622" s="117"/>
    </row>
    <row r="623" spans="3:3">
      <c r="C623" s="117"/>
    </row>
    <row r="624" spans="3:3">
      <c r="C624" s="117"/>
    </row>
    <row r="625" spans="3:3">
      <c r="C625" s="117"/>
    </row>
    <row r="626" spans="3:3">
      <c r="C626" s="117"/>
    </row>
    <row r="627" spans="3:3">
      <c r="C627" s="117"/>
    </row>
    <row r="628" spans="3:3">
      <c r="C628" s="117"/>
    </row>
    <row r="629" spans="3:3">
      <c r="C629" s="117"/>
    </row>
    <row r="630" spans="3:3">
      <c r="C630" s="117"/>
    </row>
    <row r="631" spans="3:3">
      <c r="C631" s="117"/>
    </row>
    <row r="632" spans="3:3">
      <c r="C632" s="117"/>
    </row>
    <row r="633" spans="3:3">
      <c r="C633" s="117"/>
    </row>
    <row r="634" spans="3:3">
      <c r="C634" s="117"/>
    </row>
    <row r="635" spans="3:3">
      <c r="C635" s="117"/>
    </row>
    <row r="636" spans="3:3">
      <c r="C636" s="117"/>
    </row>
    <row r="637" spans="3:3">
      <c r="C637" s="117"/>
    </row>
    <row r="638" spans="3:3">
      <c r="C638" s="117"/>
    </row>
    <row r="639" spans="3:3">
      <c r="C639" s="117"/>
    </row>
    <row r="640" spans="3:3">
      <c r="C640" s="117"/>
    </row>
    <row r="641" spans="3:3">
      <c r="C641" s="117"/>
    </row>
    <row r="642" spans="3:3">
      <c r="C642" s="117"/>
    </row>
    <row r="643" spans="3:3">
      <c r="C643" s="117"/>
    </row>
    <row r="644" spans="3:3">
      <c r="C644" s="117"/>
    </row>
    <row r="645" spans="3:3">
      <c r="C645" s="117"/>
    </row>
    <row r="646" spans="3:3">
      <c r="C646" s="117"/>
    </row>
    <row r="647" spans="3:3">
      <c r="C647" s="117"/>
    </row>
    <row r="648" spans="3:3">
      <c r="C648" s="117"/>
    </row>
    <row r="649" spans="3:3">
      <c r="C649" s="117"/>
    </row>
    <row r="650" spans="3:3">
      <c r="C650" s="117"/>
    </row>
    <row r="651" spans="3:3">
      <c r="C651" s="117"/>
    </row>
    <row r="652" spans="3:3">
      <c r="C652" s="117"/>
    </row>
    <row r="653" spans="3:3">
      <c r="C653" s="117"/>
    </row>
    <row r="654" spans="3:3">
      <c r="C654" s="117"/>
    </row>
    <row r="655" spans="3:3">
      <c r="C655" s="117"/>
    </row>
    <row r="656" spans="3:3">
      <c r="C656" s="117"/>
    </row>
    <row r="657" spans="3:3">
      <c r="C657" s="117"/>
    </row>
    <row r="658" spans="3:3">
      <c r="C658" s="117"/>
    </row>
    <row r="659" spans="3:3">
      <c r="C659" s="117"/>
    </row>
    <row r="660" spans="3:3">
      <c r="C660" s="117"/>
    </row>
    <row r="661" spans="3:3">
      <c r="C661" s="117"/>
    </row>
    <row r="662" spans="3:3">
      <c r="C662" s="117"/>
    </row>
    <row r="663" spans="3:3">
      <c r="C663" s="117"/>
    </row>
    <row r="664" spans="3:3">
      <c r="C664" s="117"/>
    </row>
    <row r="665" spans="3:3">
      <c r="C665" s="117"/>
    </row>
    <row r="666" spans="3:3">
      <c r="C666" s="117"/>
    </row>
    <row r="667" spans="3:3">
      <c r="C667" s="117"/>
    </row>
    <row r="668" spans="3:3">
      <c r="C668" s="117"/>
    </row>
    <row r="669" spans="3:3">
      <c r="C669" s="117"/>
    </row>
    <row r="670" spans="3:3">
      <c r="C670" s="117"/>
    </row>
    <row r="671" spans="3:3">
      <c r="C671" s="117"/>
    </row>
    <row r="672" spans="3:3">
      <c r="C672" s="117"/>
    </row>
    <row r="673" spans="3:3">
      <c r="C673" s="117"/>
    </row>
    <row r="674" spans="3:3">
      <c r="C674" s="117"/>
    </row>
    <row r="675" spans="3:3">
      <c r="C675" s="117"/>
    </row>
    <row r="676" spans="3:3">
      <c r="C676" s="117"/>
    </row>
    <row r="677" spans="3:3">
      <c r="C677" s="117"/>
    </row>
    <row r="678" spans="3:3">
      <c r="C678" s="117"/>
    </row>
    <row r="679" spans="3:3">
      <c r="C679" s="117"/>
    </row>
    <row r="680" spans="3:3">
      <c r="C680" s="117"/>
    </row>
    <row r="681" spans="3:3">
      <c r="C681" s="117"/>
    </row>
    <row r="682" spans="3:3">
      <c r="C682" s="117"/>
    </row>
    <row r="683" spans="3:3">
      <c r="C683" s="117"/>
    </row>
    <row r="684" spans="3:3">
      <c r="C684" s="117"/>
    </row>
    <row r="685" spans="3:3">
      <c r="C685" s="117"/>
    </row>
    <row r="686" spans="3:3">
      <c r="C686" s="117"/>
    </row>
    <row r="687" spans="3:3">
      <c r="C687" s="117"/>
    </row>
    <row r="688" spans="3:3">
      <c r="C688" s="117"/>
    </row>
    <row r="689" spans="3:3">
      <c r="C689" s="117"/>
    </row>
    <row r="690" spans="3:3">
      <c r="C690" s="117"/>
    </row>
    <row r="691" spans="3:3">
      <c r="C691" s="117"/>
    </row>
    <row r="692" spans="3:3">
      <c r="C692" s="117"/>
    </row>
    <row r="693" spans="3:3">
      <c r="C693" s="117"/>
    </row>
    <row r="694" spans="3:3">
      <c r="C694" s="117"/>
    </row>
    <row r="695" spans="3:3">
      <c r="C695" s="117"/>
    </row>
    <row r="696" spans="3:3">
      <c r="C696" s="117"/>
    </row>
    <row r="697" spans="3:3">
      <c r="C697" s="117"/>
    </row>
    <row r="698" spans="3:3">
      <c r="C698" s="117"/>
    </row>
    <row r="699" spans="3:3">
      <c r="C699" s="117"/>
    </row>
    <row r="700" spans="3:3">
      <c r="C700" s="117"/>
    </row>
    <row r="701" spans="3:3">
      <c r="C701" s="117"/>
    </row>
    <row r="702" spans="3:3">
      <c r="C702" s="117"/>
    </row>
    <row r="703" spans="3:3">
      <c r="C703" s="117"/>
    </row>
    <row r="704" spans="3:3">
      <c r="C704" s="117"/>
    </row>
    <row r="705" spans="3:3">
      <c r="C705" s="117"/>
    </row>
    <row r="706" spans="3:3">
      <c r="C706" s="117"/>
    </row>
    <row r="707" spans="3:3">
      <c r="C707" s="117"/>
    </row>
    <row r="708" spans="3:3">
      <c r="C708" s="117"/>
    </row>
    <row r="709" spans="3:3">
      <c r="C709" s="117"/>
    </row>
    <row r="710" spans="3:3">
      <c r="C710" s="117"/>
    </row>
    <row r="711" spans="3:3">
      <c r="C711" s="117"/>
    </row>
    <row r="712" spans="3:3">
      <c r="C712" s="117"/>
    </row>
    <row r="713" spans="3:3">
      <c r="C713" s="117"/>
    </row>
    <row r="714" spans="3:3">
      <c r="C714" s="117"/>
    </row>
    <row r="715" spans="3:3">
      <c r="C715" s="117"/>
    </row>
    <row r="716" spans="3:3">
      <c r="C716" s="117"/>
    </row>
    <row r="717" spans="3:3">
      <c r="C717" s="117"/>
    </row>
    <row r="718" spans="3:3">
      <c r="C718" s="117"/>
    </row>
    <row r="719" spans="3:3">
      <c r="C719" s="117"/>
    </row>
    <row r="720" spans="3:3">
      <c r="C720" s="117"/>
    </row>
    <row r="721" spans="3:3">
      <c r="C721" s="117"/>
    </row>
    <row r="722" spans="3:3">
      <c r="C722" s="117"/>
    </row>
    <row r="723" spans="3:3">
      <c r="C723" s="117"/>
    </row>
    <row r="724" spans="3:3">
      <c r="C724" s="117"/>
    </row>
    <row r="725" spans="3:3">
      <c r="C725" s="117"/>
    </row>
    <row r="726" spans="3:3">
      <c r="C726" s="117"/>
    </row>
    <row r="727" spans="3:3">
      <c r="C727" s="117"/>
    </row>
    <row r="728" spans="3:3">
      <c r="C728" s="117"/>
    </row>
    <row r="729" spans="3:3">
      <c r="C729" s="117"/>
    </row>
    <row r="730" spans="3:3">
      <c r="C730" s="117"/>
    </row>
    <row r="731" spans="3:3">
      <c r="C731" s="117"/>
    </row>
    <row r="732" spans="3:3">
      <c r="C732" s="117"/>
    </row>
    <row r="733" spans="3:3">
      <c r="C733" s="117"/>
    </row>
    <row r="734" spans="3:3">
      <c r="C734" s="117"/>
    </row>
    <row r="735" spans="3:3">
      <c r="C735" s="117"/>
    </row>
    <row r="736" spans="3:3">
      <c r="C736" s="117"/>
    </row>
    <row r="737" spans="3:3">
      <c r="C737" s="117"/>
    </row>
    <row r="738" spans="3:3">
      <c r="C738" s="117"/>
    </row>
    <row r="739" spans="3:3">
      <c r="C739" s="117"/>
    </row>
    <row r="740" spans="3:3">
      <c r="C740" s="117"/>
    </row>
    <row r="741" spans="3:3">
      <c r="C741" s="117"/>
    </row>
    <row r="742" spans="3:3">
      <c r="C742" s="117"/>
    </row>
    <row r="743" spans="3:3">
      <c r="C743" s="117"/>
    </row>
    <row r="744" spans="3:3">
      <c r="C744" s="117"/>
    </row>
    <row r="745" spans="3:3">
      <c r="C745" s="117"/>
    </row>
    <row r="746" spans="3:3">
      <c r="C746" s="117"/>
    </row>
    <row r="747" spans="3:3">
      <c r="C747" s="117"/>
    </row>
    <row r="748" spans="3:3">
      <c r="C748" s="117"/>
    </row>
    <row r="749" spans="3:3">
      <c r="C749" s="117"/>
    </row>
    <row r="750" spans="3:3">
      <c r="C750" s="117"/>
    </row>
    <row r="751" spans="3:3">
      <c r="C751" s="117"/>
    </row>
    <row r="752" spans="3:3">
      <c r="C752" s="117"/>
    </row>
    <row r="753" spans="3:3">
      <c r="C753" s="117"/>
    </row>
    <row r="754" spans="3:3">
      <c r="C754" s="117"/>
    </row>
    <row r="755" spans="3:3">
      <c r="C755" s="117"/>
    </row>
    <row r="756" spans="3:3">
      <c r="C756" s="117"/>
    </row>
    <row r="757" spans="3:3">
      <c r="C757" s="117"/>
    </row>
    <row r="758" spans="3:3">
      <c r="C758" s="117"/>
    </row>
    <row r="759" spans="3:3">
      <c r="C759" s="117"/>
    </row>
    <row r="760" spans="3:3">
      <c r="C760" s="117"/>
    </row>
    <row r="761" spans="3:3">
      <c r="C761" s="117"/>
    </row>
    <row r="762" spans="3:3">
      <c r="C762" s="117"/>
    </row>
    <row r="763" spans="3:3">
      <c r="C763" s="117"/>
    </row>
    <row r="764" spans="3:3">
      <c r="C764" s="117"/>
    </row>
    <row r="765" spans="3:3">
      <c r="C765" s="117"/>
    </row>
    <row r="766" spans="3:3">
      <c r="C766" s="117"/>
    </row>
    <row r="767" spans="3:3">
      <c r="C767" s="117"/>
    </row>
    <row r="768" spans="3:3">
      <c r="C768" s="117"/>
    </row>
    <row r="769" spans="3:3">
      <c r="C769" s="117"/>
    </row>
    <row r="770" spans="3:3">
      <c r="C770" s="117"/>
    </row>
    <row r="771" spans="3:3">
      <c r="C771" s="117"/>
    </row>
    <row r="772" spans="3:3">
      <c r="C772" s="117"/>
    </row>
    <row r="773" spans="3:3">
      <c r="C773" s="117"/>
    </row>
    <row r="774" spans="3:3">
      <c r="C774" s="117"/>
    </row>
    <row r="775" spans="3:3">
      <c r="C775" s="117"/>
    </row>
    <row r="776" spans="3:3">
      <c r="C776" s="117"/>
    </row>
    <row r="777" spans="3:3">
      <c r="C777" s="117"/>
    </row>
    <row r="778" spans="3:3">
      <c r="C778" s="117"/>
    </row>
    <row r="779" spans="3:3">
      <c r="C779" s="117"/>
    </row>
    <row r="780" spans="3:3">
      <c r="C780" s="117"/>
    </row>
    <row r="781" spans="3:3">
      <c r="C781" s="117"/>
    </row>
    <row r="782" spans="3:3">
      <c r="C782" s="117"/>
    </row>
    <row r="783" spans="3:3">
      <c r="C783" s="117"/>
    </row>
    <row r="784" spans="3:3">
      <c r="C784" s="117"/>
    </row>
    <row r="785" spans="3:3">
      <c r="C785" s="117"/>
    </row>
    <row r="786" spans="3:3">
      <c r="C786" s="117"/>
    </row>
    <row r="787" spans="3:3">
      <c r="C787" s="117"/>
    </row>
    <row r="788" spans="3:3">
      <c r="C788" s="117"/>
    </row>
    <row r="789" spans="3:3">
      <c r="C789" s="117"/>
    </row>
    <row r="790" spans="3:3">
      <c r="C790" s="117"/>
    </row>
    <row r="791" spans="3:3">
      <c r="C791" s="117"/>
    </row>
    <row r="792" spans="3:3">
      <c r="C792" s="117"/>
    </row>
    <row r="793" spans="3:3">
      <c r="C793" s="117"/>
    </row>
    <row r="794" spans="3:3">
      <c r="C794" s="117"/>
    </row>
    <row r="795" spans="3:3">
      <c r="C795" s="117"/>
    </row>
    <row r="796" spans="3:3">
      <c r="C796" s="117"/>
    </row>
    <row r="797" spans="3:3">
      <c r="C797" s="117"/>
    </row>
    <row r="798" spans="3:3">
      <c r="C798" s="117"/>
    </row>
    <row r="799" spans="3:3">
      <c r="C799" s="117"/>
    </row>
    <row r="800" spans="3:3">
      <c r="C800" s="117"/>
    </row>
    <row r="801" spans="3:3">
      <c r="C801" s="117"/>
    </row>
    <row r="802" spans="3:3">
      <c r="C802" s="117"/>
    </row>
    <row r="803" spans="3:3">
      <c r="C803" s="117"/>
    </row>
    <row r="804" spans="3:3">
      <c r="C804" s="117"/>
    </row>
    <row r="805" spans="3:3">
      <c r="C805" s="117"/>
    </row>
    <row r="806" spans="3:3">
      <c r="C806" s="117"/>
    </row>
    <row r="807" spans="3:3">
      <c r="C807" s="117"/>
    </row>
    <row r="808" spans="3:3">
      <c r="C808" s="117"/>
    </row>
    <row r="809" spans="3:3">
      <c r="C809" s="117"/>
    </row>
    <row r="810" spans="3:3">
      <c r="C810" s="117"/>
    </row>
    <row r="811" spans="3:3">
      <c r="C811" s="117"/>
    </row>
    <row r="812" spans="3:3">
      <c r="C812" s="117"/>
    </row>
    <row r="813" spans="3:3">
      <c r="C813" s="117"/>
    </row>
    <row r="814" spans="3:3">
      <c r="C814" s="117"/>
    </row>
    <row r="815" spans="3:3">
      <c r="C815" s="117"/>
    </row>
    <row r="816" spans="3:3">
      <c r="C816" s="117"/>
    </row>
    <row r="817" spans="3:3">
      <c r="C817" s="117"/>
    </row>
    <row r="818" spans="3:3">
      <c r="C818" s="117"/>
    </row>
    <row r="819" spans="3:3">
      <c r="C819" s="117"/>
    </row>
    <row r="820" spans="3:3">
      <c r="C820" s="117"/>
    </row>
    <row r="821" spans="3:3">
      <c r="C821" s="117"/>
    </row>
    <row r="822" spans="3:3">
      <c r="C822" s="117"/>
    </row>
    <row r="823" spans="3:3">
      <c r="C823" s="117"/>
    </row>
    <row r="824" spans="3:3">
      <c r="C824" s="117"/>
    </row>
    <row r="825" spans="3:3">
      <c r="C825" s="117"/>
    </row>
    <row r="826" spans="3:3">
      <c r="C826" s="117"/>
    </row>
    <row r="827" spans="3:3">
      <c r="C827" s="117"/>
    </row>
    <row r="828" spans="3:3">
      <c r="C828" s="117"/>
    </row>
    <row r="829" spans="3:3">
      <c r="C829" s="117"/>
    </row>
    <row r="830" spans="3:3">
      <c r="C830" s="117"/>
    </row>
    <row r="831" spans="3:3">
      <c r="C831" s="117"/>
    </row>
    <row r="832" spans="3:3">
      <c r="C832" s="117"/>
    </row>
    <row r="833" spans="3:3">
      <c r="C833" s="117"/>
    </row>
    <row r="834" spans="3:3">
      <c r="C834" s="117"/>
    </row>
    <row r="835" spans="3:3">
      <c r="C835" s="117"/>
    </row>
    <row r="836" spans="3:3">
      <c r="C836" s="117"/>
    </row>
    <row r="837" spans="3:3">
      <c r="C837" s="117"/>
    </row>
    <row r="838" spans="3:3">
      <c r="C838" s="117"/>
    </row>
    <row r="839" spans="3:3">
      <c r="C839" s="117"/>
    </row>
    <row r="840" spans="3:3">
      <c r="C840" s="117"/>
    </row>
    <row r="841" spans="3:3">
      <c r="C841" s="117"/>
    </row>
    <row r="842" spans="3:3">
      <c r="C842" s="117"/>
    </row>
    <row r="843" spans="3:3">
      <c r="C843" s="117"/>
    </row>
    <row r="844" spans="3:3">
      <c r="C844" s="117"/>
    </row>
    <row r="845" spans="3:3">
      <c r="C845" s="117"/>
    </row>
    <row r="846" spans="3:3">
      <c r="C846" s="117"/>
    </row>
    <row r="847" spans="3:3">
      <c r="C847" s="117"/>
    </row>
    <row r="848" spans="3:3">
      <c r="C848" s="117"/>
    </row>
    <row r="849" spans="3:3">
      <c r="C849" s="117"/>
    </row>
    <row r="850" spans="3:3">
      <c r="C850" s="117"/>
    </row>
    <row r="851" spans="3:3">
      <c r="C851" s="117"/>
    </row>
    <row r="852" spans="3:3">
      <c r="C852" s="117"/>
    </row>
    <row r="853" spans="3:3">
      <c r="C853" s="117"/>
    </row>
    <row r="854" spans="3:3">
      <c r="C854" s="117"/>
    </row>
    <row r="855" spans="3:3">
      <c r="C855" s="117"/>
    </row>
    <row r="856" spans="3:3">
      <c r="C856" s="117"/>
    </row>
    <row r="857" spans="3:3">
      <c r="C857" s="117"/>
    </row>
    <row r="858" spans="3:3">
      <c r="C858" s="117"/>
    </row>
    <row r="859" spans="3:3">
      <c r="C859" s="117"/>
    </row>
    <row r="860" spans="3:3">
      <c r="C860" s="117"/>
    </row>
    <row r="861" spans="3:3">
      <c r="C861" s="117"/>
    </row>
    <row r="862" spans="3:3">
      <c r="C862" s="117"/>
    </row>
    <row r="863" spans="3:3">
      <c r="C863" s="117"/>
    </row>
    <row r="864" spans="3:3">
      <c r="C864" s="117"/>
    </row>
    <row r="865" spans="3:3">
      <c r="C865" s="117"/>
    </row>
    <row r="866" spans="3:3">
      <c r="C866" s="117"/>
    </row>
    <row r="867" spans="3:3">
      <c r="C867" s="117"/>
    </row>
    <row r="868" spans="3:3">
      <c r="C868" s="117"/>
    </row>
    <row r="869" spans="3:3">
      <c r="C869" s="117"/>
    </row>
    <row r="870" spans="3:3">
      <c r="C870" s="117"/>
    </row>
    <row r="871" spans="3:3">
      <c r="C871" s="117"/>
    </row>
    <row r="872" spans="3:3">
      <c r="C872" s="117"/>
    </row>
    <row r="873" spans="3:3">
      <c r="C873" s="117"/>
    </row>
    <row r="874" spans="3:3">
      <c r="C874" s="117"/>
    </row>
    <row r="875" spans="3:3">
      <c r="C875" s="117"/>
    </row>
    <row r="876" spans="3:3">
      <c r="C876" s="117"/>
    </row>
    <row r="877" spans="3:3">
      <c r="C877" s="117"/>
    </row>
    <row r="878" spans="3:3">
      <c r="C878" s="117"/>
    </row>
    <row r="879" spans="3:3">
      <c r="C879" s="117"/>
    </row>
    <row r="880" spans="3:3">
      <c r="C880" s="117"/>
    </row>
    <row r="881" spans="3:3">
      <c r="C881" s="117"/>
    </row>
    <row r="882" spans="3:3">
      <c r="C882" s="117"/>
    </row>
    <row r="883" spans="3:3">
      <c r="C883" s="117"/>
    </row>
    <row r="884" spans="3:3">
      <c r="C884" s="117"/>
    </row>
    <row r="885" spans="3:3">
      <c r="C885" s="117"/>
    </row>
    <row r="886" spans="3:3">
      <c r="C886" s="117"/>
    </row>
    <row r="887" spans="3:3">
      <c r="C887" s="117"/>
    </row>
    <row r="888" spans="3:3">
      <c r="C888" s="117"/>
    </row>
    <row r="889" spans="3:3">
      <c r="C889" s="117"/>
    </row>
    <row r="890" spans="3:3">
      <c r="C890" s="117"/>
    </row>
    <row r="891" spans="3:3">
      <c r="C891" s="117"/>
    </row>
    <row r="892" spans="3:3">
      <c r="C892" s="117"/>
    </row>
    <row r="893" spans="3:3">
      <c r="C893" s="117"/>
    </row>
    <row r="894" spans="3:3">
      <c r="C894" s="117"/>
    </row>
    <row r="895" spans="3:3">
      <c r="C895" s="117"/>
    </row>
    <row r="896" spans="3:3">
      <c r="C896" s="117"/>
    </row>
    <row r="897" spans="3:3">
      <c r="C897" s="117"/>
    </row>
    <row r="898" spans="3:3">
      <c r="C898" s="117"/>
    </row>
    <row r="899" spans="3:3">
      <c r="C899" s="117"/>
    </row>
    <row r="900" spans="3:3">
      <c r="C900" s="117"/>
    </row>
    <row r="901" spans="3:3">
      <c r="C901" s="117"/>
    </row>
    <row r="902" spans="3:3">
      <c r="C902" s="117"/>
    </row>
    <row r="903" spans="3:3">
      <c r="C903" s="117"/>
    </row>
    <row r="904" spans="3:3">
      <c r="C904" s="117"/>
    </row>
    <row r="905" spans="3:3">
      <c r="C905" s="117"/>
    </row>
    <row r="906" spans="3:3">
      <c r="C906" s="117"/>
    </row>
    <row r="907" spans="3:3">
      <c r="C907" s="117"/>
    </row>
    <row r="908" spans="3:3">
      <c r="C908" s="117"/>
    </row>
    <row r="909" spans="3:3">
      <c r="C909" s="117"/>
    </row>
    <row r="910" spans="3:3">
      <c r="C910" s="117"/>
    </row>
    <row r="911" spans="3:3">
      <c r="C911" s="117"/>
    </row>
    <row r="912" spans="3:3">
      <c r="C912" s="117"/>
    </row>
    <row r="913" spans="3:3">
      <c r="C913" s="117"/>
    </row>
    <row r="914" spans="3:3">
      <c r="C914" s="117"/>
    </row>
    <row r="915" spans="3:3">
      <c r="C915" s="117"/>
    </row>
    <row r="916" spans="3:3">
      <c r="C916" s="117"/>
    </row>
    <row r="917" spans="3:3">
      <c r="C917" s="117"/>
    </row>
    <row r="918" spans="3:3">
      <c r="C918" s="117"/>
    </row>
    <row r="919" spans="3:3">
      <c r="C919" s="117"/>
    </row>
    <row r="920" spans="3:3">
      <c r="C920" s="117"/>
    </row>
    <row r="921" spans="3:3">
      <c r="C921" s="117"/>
    </row>
    <row r="922" spans="3:3">
      <c r="C922" s="117"/>
    </row>
    <row r="923" spans="3:3">
      <c r="C923" s="117"/>
    </row>
    <row r="924" spans="3:3">
      <c r="C924" s="117"/>
    </row>
    <row r="925" spans="3:3">
      <c r="C925" s="117"/>
    </row>
    <row r="926" spans="3:3">
      <c r="C926" s="117"/>
    </row>
    <row r="927" spans="3:3">
      <c r="C927" s="117"/>
    </row>
    <row r="928" spans="3:3">
      <c r="C928" s="117"/>
    </row>
    <row r="929" spans="3:3">
      <c r="C929" s="117"/>
    </row>
    <row r="930" spans="3:3">
      <c r="C930" s="117"/>
    </row>
    <row r="931" spans="3:3">
      <c r="C931" s="117"/>
    </row>
    <row r="932" spans="3:3">
      <c r="C932" s="117"/>
    </row>
    <row r="933" spans="3:3">
      <c r="C933" s="117"/>
    </row>
    <row r="934" spans="3:3">
      <c r="C934" s="117"/>
    </row>
    <row r="935" spans="3:3">
      <c r="C935" s="117"/>
    </row>
    <row r="936" spans="3:3">
      <c r="C936" s="117"/>
    </row>
    <row r="937" spans="3:3">
      <c r="C937" s="117"/>
    </row>
    <row r="938" spans="3:3">
      <c r="C938" s="117"/>
    </row>
    <row r="939" spans="3:3">
      <c r="C939" s="117"/>
    </row>
    <row r="940" spans="3:3">
      <c r="C940" s="117"/>
    </row>
    <row r="941" spans="3:3">
      <c r="C941" s="117"/>
    </row>
    <row r="942" spans="3:3">
      <c r="C942" s="117"/>
    </row>
    <row r="943" spans="3:3">
      <c r="C943" s="117"/>
    </row>
    <row r="944" spans="3:3">
      <c r="C944" s="117"/>
    </row>
    <row r="945" spans="3:3">
      <c r="C945" s="117"/>
    </row>
    <row r="946" spans="3:3">
      <c r="C946" s="117"/>
    </row>
    <row r="947" spans="3:3">
      <c r="C947" s="117"/>
    </row>
    <row r="948" spans="3:3">
      <c r="C948" s="117"/>
    </row>
    <row r="949" spans="3:3">
      <c r="C949" s="117"/>
    </row>
    <row r="950" spans="3:3">
      <c r="C950" s="117"/>
    </row>
    <row r="951" spans="3:3">
      <c r="C951" s="117"/>
    </row>
    <row r="952" spans="3:3">
      <c r="C952" s="117"/>
    </row>
    <row r="953" spans="3:3">
      <c r="C953" s="117"/>
    </row>
    <row r="954" spans="3:3">
      <c r="C954" s="117"/>
    </row>
    <row r="955" spans="3:3">
      <c r="C955" s="117"/>
    </row>
    <row r="956" spans="3:3">
      <c r="C956" s="117"/>
    </row>
    <row r="957" spans="3:3">
      <c r="C957" s="117"/>
    </row>
    <row r="958" spans="3:3">
      <c r="C958" s="117"/>
    </row>
    <row r="959" spans="3:3">
      <c r="C959" s="117"/>
    </row>
    <row r="960" spans="3:3">
      <c r="C960" s="117"/>
    </row>
    <row r="961" spans="3:3">
      <c r="C961" s="117"/>
    </row>
    <row r="962" spans="3:3">
      <c r="C962" s="117"/>
    </row>
    <row r="963" spans="3:3">
      <c r="C963" s="117"/>
    </row>
    <row r="964" spans="3:3">
      <c r="C964" s="117"/>
    </row>
    <row r="965" spans="3:3">
      <c r="C965" s="117"/>
    </row>
    <row r="966" spans="3:3">
      <c r="C966" s="117"/>
    </row>
    <row r="967" spans="3:3">
      <c r="C967" s="117"/>
    </row>
    <row r="968" spans="3:3">
      <c r="C968" s="117"/>
    </row>
    <row r="969" spans="3:3">
      <c r="C969" s="117"/>
    </row>
    <row r="970" spans="3:3">
      <c r="C970" s="117"/>
    </row>
    <row r="971" spans="3:3">
      <c r="C971" s="117"/>
    </row>
    <row r="972" spans="3:3">
      <c r="C972" s="117"/>
    </row>
    <row r="973" spans="3:3">
      <c r="C973" s="117"/>
    </row>
    <row r="974" spans="3:3">
      <c r="C974" s="117"/>
    </row>
    <row r="975" spans="3:3">
      <c r="C975" s="117"/>
    </row>
    <row r="976" spans="3:3">
      <c r="C976" s="117"/>
    </row>
    <row r="977" spans="3:3">
      <c r="C977" s="117"/>
    </row>
    <row r="978" spans="3:3">
      <c r="C978" s="117"/>
    </row>
    <row r="979" spans="3:3">
      <c r="C979" s="117"/>
    </row>
    <row r="980" spans="3:3">
      <c r="C980" s="117"/>
    </row>
    <row r="981" spans="3:3">
      <c r="C981" s="117"/>
    </row>
    <row r="982" spans="3:3">
      <c r="C982" s="117"/>
    </row>
    <row r="983" spans="3:3">
      <c r="C983" s="117"/>
    </row>
    <row r="984" spans="3:3">
      <c r="C984" s="117"/>
    </row>
    <row r="985" spans="3:3">
      <c r="C985" s="117"/>
    </row>
    <row r="986" spans="3:3">
      <c r="C986" s="117"/>
    </row>
    <row r="987" spans="3:3">
      <c r="C987" s="117"/>
    </row>
    <row r="988" spans="3:3">
      <c r="C988" s="117"/>
    </row>
    <row r="989" spans="3:3">
      <c r="C989" s="117"/>
    </row>
    <row r="990" spans="3:3">
      <c r="C990" s="117"/>
    </row>
    <row r="991" spans="3:3">
      <c r="C991" s="117"/>
    </row>
    <row r="992" spans="3:3">
      <c r="C992" s="117"/>
    </row>
    <row r="993" spans="3:3">
      <c r="C993" s="117"/>
    </row>
    <row r="994" spans="3:3">
      <c r="C994" s="117"/>
    </row>
    <row r="995" spans="3:3">
      <c r="C995" s="117"/>
    </row>
    <row r="996" spans="3:3">
      <c r="C996" s="117"/>
    </row>
    <row r="997" spans="3:3">
      <c r="C997" s="117"/>
    </row>
    <row r="998" spans="3:3">
      <c r="C998" s="117"/>
    </row>
    <row r="999" spans="3:3">
      <c r="C999" s="117"/>
    </row>
    <row r="1000" spans="3:3">
      <c r="C1000" s="117"/>
    </row>
    <row r="1001" spans="3:3">
      <c r="C1001" s="117"/>
    </row>
    <row r="1002" spans="3:3">
      <c r="C1002" s="117"/>
    </row>
    <row r="1003" spans="3:3">
      <c r="C1003" s="117"/>
    </row>
    <row r="1004" spans="3:3">
      <c r="C1004" s="117"/>
    </row>
    <row r="1005" spans="3:3">
      <c r="C1005" s="117"/>
    </row>
    <row r="1006" spans="3:3">
      <c r="C1006" s="117"/>
    </row>
    <row r="1007" spans="3:3">
      <c r="C1007" s="117"/>
    </row>
    <row r="1008" spans="3:3">
      <c r="C1008" s="117"/>
    </row>
    <row r="1009" spans="3:3">
      <c r="C1009" s="117"/>
    </row>
    <row r="1010" spans="3:3">
      <c r="C1010" s="117"/>
    </row>
    <row r="1011" spans="3:3">
      <c r="C1011" s="117"/>
    </row>
    <row r="1012" spans="3:3">
      <c r="C1012" s="117"/>
    </row>
    <row r="1013" spans="3:3">
      <c r="C1013" s="117"/>
    </row>
    <row r="1014" spans="3:3">
      <c r="C1014" s="117"/>
    </row>
    <row r="1015" spans="3:3">
      <c r="C1015" s="117"/>
    </row>
    <row r="1016" spans="3:3">
      <c r="C1016" s="117"/>
    </row>
    <row r="1017" spans="3:3">
      <c r="C1017" s="117"/>
    </row>
    <row r="1018" spans="3:3">
      <c r="C1018" s="117"/>
    </row>
    <row r="1019" spans="3:3">
      <c r="C1019" s="117"/>
    </row>
    <row r="1020" spans="3:3">
      <c r="C1020" s="117"/>
    </row>
    <row r="1021" spans="3:3">
      <c r="C1021" s="117"/>
    </row>
    <row r="1022" spans="3:3">
      <c r="C1022" s="117"/>
    </row>
    <row r="1023" spans="3:3">
      <c r="C1023" s="117"/>
    </row>
    <row r="1024" spans="3:3">
      <c r="C1024" s="117"/>
    </row>
    <row r="1025" spans="3:3">
      <c r="C1025" s="117"/>
    </row>
    <row r="1026" spans="3:3">
      <c r="C1026" s="117"/>
    </row>
    <row r="1027" spans="3:3">
      <c r="C1027" s="117"/>
    </row>
    <row r="1028" spans="3:3">
      <c r="C1028" s="117"/>
    </row>
    <row r="1029" spans="3:3">
      <c r="C1029" s="117"/>
    </row>
    <row r="1030" spans="3:3">
      <c r="C1030" s="117"/>
    </row>
    <row r="1031" spans="3:3">
      <c r="C1031" s="117"/>
    </row>
    <row r="1032" spans="3:3">
      <c r="C1032" s="117"/>
    </row>
    <row r="1033" spans="3:3">
      <c r="C1033" s="117"/>
    </row>
    <row r="1034" spans="3:3">
      <c r="C1034" s="117"/>
    </row>
    <row r="1035" spans="3:3">
      <c r="C1035" s="117"/>
    </row>
    <row r="1036" spans="3:3">
      <c r="C1036" s="117"/>
    </row>
    <row r="1037" spans="3:3">
      <c r="C1037" s="117"/>
    </row>
    <row r="1038" spans="3:3">
      <c r="C1038" s="117"/>
    </row>
    <row r="1039" spans="3:3">
      <c r="C1039" s="117"/>
    </row>
    <row r="1040" spans="3:3">
      <c r="C1040" s="117"/>
    </row>
    <row r="1041" spans="3:3">
      <c r="C1041" s="117"/>
    </row>
    <row r="1042" spans="3:3">
      <c r="C1042" s="117"/>
    </row>
    <row r="1043" spans="3:3">
      <c r="C1043" s="117"/>
    </row>
    <row r="1044" spans="3:3">
      <c r="C1044" s="117"/>
    </row>
    <row r="1045" spans="3:3">
      <c r="C1045" s="117"/>
    </row>
    <row r="1046" spans="3:3">
      <c r="C1046" s="117"/>
    </row>
    <row r="1047" spans="3:3">
      <c r="C1047" s="117"/>
    </row>
    <row r="1048" spans="3:3">
      <c r="C1048" s="117"/>
    </row>
    <row r="1049" spans="3:3">
      <c r="C1049" s="117"/>
    </row>
    <row r="1050" spans="3:3">
      <c r="C1050" s="117"/>
    </row>
    <row r="1051" spans="3:3">
      <c r="C1051" s="117"/>
    </row>
    <row r="1052" spans="3:3">
      <c r="C1052" s="117"/>
    </row>
    <row r="1053" spans="3:3">
      <c r="C1053" s="117"/>
    </row>
    <row r="1054" spans="3:3">
      <c r="C1054" s="117"/>
    </row>
    <row r="1055" spans="3:3">
      <c r="C1055" s="117"/>
    </row>
    <row r="1056" spans="3:3">
      <c r="C1056" s="117"/>
    </row>
    <row r="1057" spans="3:3">
      <c r="C1057" s="117"/>
    </row>
    <row r="1058" spans="3:3">
      <c r="C1058" s="117"/>
    </row>
    <row r="1059" spans="3:3">
      <c r="C1059" s="117"/>
    </row>
    <row r="1060" spans="3:3">
      <c r="C1060" s="117"/>
    </row>
    <row r="1061" spans="3:3">
      <c r="C1061" s="117"/>
    </row>
    <row r="1062" spans="3:3">
      <c r="C1062" s="117"/>
    </row>
    <row r="1063" spans="3:3">
      <c r="C1063" s="117"/>
    </row>
    <row r="1064" spans="3:3">
      <c r="C1064" s="117"/>
    </row>
    <row r="1065" spans="3:3">
      <c r="C1065" s="117"/>
    </row>
    <row r="1066" spans="3:3">
      <c r="C1066" s="117"/>
    </row>
    <row r="1067" spans="3:3">
      <c r="C1067" s="117"/>
    </row>
    <row r="1068" spans="3:3">
      <c r="C1068" s="117"/>
    </row>
    <row r="1069" spans="3:3">
      <c r="C1069" s="117"/>
    </row>
    <row r="1070" spans="3:3">
      <c r="C1070" s="117"/>
    </row>
    <row r="1071" spans="3:3">
      <c r="C1071" s="117"/>
    </row>
    <row r="1072" spans="3:3">
      <c r="C1072" s="117"/>
    </row>
    <row r="1073" spans="3:3">
      <c r="C1073" s="117"/>
    </row>
    <row r="1074" spans="3:3">
      <c r="C1074" s="117"/>
    </row>
    <row r="1075" spans="3:3">
      <c r="C1075" s="117"/>
    </row>
    <row r="1076" spans="3:3">
      <c r="C1076" s="117"/>
    </row>
    <row r="1077" spans="3:3">
      <c r="C1077" s="117"/>
    </row>
    <row r="1078" spans="3:3">
      <c r="C1078" s="117"/>
    </row>
    <row r="1079" spans="3:3">
      <c r="C1079" s="117"/>
    </row>
    <row r="1080" spans="3:3">
      <c r="C1080" s="117"/>
    </row>
    <row r="1081" spans="3:3">
      <c r="C1081" s="117"/>
    </row>
    <row r="1082" spans="3:3">
      <c r="C1082" s="117"/>
    </row>
    <row r="1083" spans="3:3">
      <c r="C1083" s="117"/>
    </row>
    <row r="1084" spans="3:3">
      <c r="C1084" s="117"/>
    </row>
    <row r="1085" spans="3:3">
      <c r="C1085" s="117"/>
    </row>
    <row r="1086" spans="3:3">
      <c r="C1086" s="117"/>
    </row>
    <row r="1087" spans="3:3">
      <c r="C1087" s="117"/>
    </row>
    <row r="1088" spans="3:3">
      <c r="C1088" s="117"/>
    </row>
    <row r="1089" spans="3:3">
      <c r="C1089" s="117"/>
    </row>
    <row r="1090" spans="3:3">
      <c r="C1090" s="117"/>
    </row>
    <row r="1091" spans="3:3">
      <c r="C1091" s="117"/>
    </row>
    <row r="1092" spans="3:3">
      <c r="C1092" s="117"/>
    </row>
    <row r="1093" spans="3:3">
      <c r="C1093" s="117"/>
    </row>
    <row r="1094" spans="3:3">
      <c r="C1094" s="117"/>
    </row>
    <row r="1095" spans="3:3">
      <c r="C1095" s="117"/>
    </row>
    <row r="1096" spans="3:3">
      <c r="C1096" s="117"/>
    </row>
    <row r="1097" spans="3:3">
      <c r="C1097" s="117"/>
    </row>
    <row r="1098" spans="3:3">
      <c r="C1098" s="117"/>
    </row>
    <row r="1099" spans="3:3">
      <c r="C1099" s="117"/>
    </row>
    <row r="1100" spans="3:3">
      <c r="C1100" s="117"/>
    </row>
    <row r="1101" spans="3:3">
      <c r="C1101" s="117"/>
    </row>
    <row r="1102" spans="3:3">
      <c r="C1102" s="117"/>
    </row>
    <row r="1103" spans="3:3">
      <c r="C1103" s="117"/>
    </row>
    <row r="1104" spans="3:3">
      <c r="C1104" s="117"/>
    </row>
    <row r="1105" spans="3:3">
      <c r="C1105" s="117"/>
    </row>
    <row r="1106" spans="3:3">
      <c r="C1106" s="117"/>
    </row>
    <row r="1107" spans="3:3">
      <c r="C1107" s="117"/>
    </row>
    <row r="1108" spans="3:3">
      <c r="C1108" s="117"/>
    </row>
    <row r="1109" spans="3:3">
      <c r="C1109" s="117"/>
    </row>
    <row r="1110" spans="3:3">
      <c r="C1110" s="117"/>
    </row>
    <row r="1111" spans="3:3">
      <c r="C1111" s="117"/>
    </row>
    <row r="1112" spans="3:3">
      <c r="C1112" s="117"/>
    </row>
    <row r="1113" spans="3:3">
      <c r="C1113" s="117"/>
    </row>
    <row r="1114" spans="3:3">
      <c r="C1114" s="117"/>
    </row>
    <row r="1115" spans="3:3">
      <c r="C1115" s="117"/>
    </row>
    <row r="1116" spans="3:3">
      <c r="C1116" s="117"/>
    </row>
    <row r="1117" spans="3:3">
      <c r="C1117" s="117"/>
    </row>
    <row r="1118" spans="3:3">
      <c r="C1118" s="117"/>
    </row>
    <row r="1119" spans="3:3">
      <c r="C1119" s="117"/>
    </row>
    <row r="1120" spans="3:3">
      <c r="C1120" s="117"/>
    </row>
    <row r="1121" spans="3:3">
      <c r="C1121" s="117"/>
    </row>
    <row r="1122" spans="3:3">
      <c r="C1122" s="117"/>
    </row>
    <row r="1123" spans="3:3">
      <c r="C1123" s="117"/>
    </row>
    <row r="1124" spans="3:3">
      <c r="C1124" s="117"/>
    </row>
    <row r="1125" spans="3:3">
      <c r="C1125" s="117"/>
    </row>
    <row r="1126" spans="3:3">
      <c r="C1126" s="117"/>
    </row>
    <row r="1127" spans="3:3">
      <c r="C1127" s="117"/>
    </row>
    <row r="1128" spans="3:3">
      <c r="C1128" s="117"/>
    </row>
    <row r="1129" spans="3:3">
      <c r="C1129" s="117"/>
    </row>
    <row r="1130" spans="3:3">
      <c r="C1130" s="117"/>
    </row>
    <row r="1131" spans="3:3">
      <c r="C1131" s="117"/>
    </row>
    <row r="1132" spans="3:3">
      <c r="C1132" s="117"/>
    </row>
    <row r="1133" spans="3:3">
      <c r="C1133" s="117"/>
    </row>
    <row r="1134" spans="3:3">
      <c r="C1134" s="117"/>
    </row>
    <row r="1135" spans="3:3">
      <c r="C1135" s="117"/>
    </row>
    <row r="1136" spans="3:3">
      <c r="C1136" s="117"/>
    </row>
    <row r="1137" spans="3:3">
      <c r="C1137" s="117"/>
    </row>
    <row r="1138" spans="3:3">
      <c r="C1138" s="117"/>
    </row>
    <row r="1139" spans="3:3">
      <c r="C1139" s="117"/>
    </row>
    <row r="1140" spans="3:3">
      <c r="C1140" s="117"/>
    </row>
    <row r="1141" spans="3:3">
      <c r="C1141" s="117"/>
    </row>
    <row r="1142" spans="3:3">
      <c r="C1142" s="117"/>
    </row>
    <row r="1143" spans="3:3">
      <c r="C1143" s="117"/>
    </row>
    <row r="1144" spans="3:3">
      <c r="C1144" s="117"/>
    </row>
    <row r="1145" spans="3:3">
      <c r="C1145" s="117"/>
    </row>
    <row r="1146" spans="3:3">
      <c r="C1146" s="117"/>
    </row>
    <row r="1147" spans="3:3">
      <c r="C1147" s="117"/>
    </row>
    <row r="1148" spans="3:3">
      <c r="C1148" s="117"/>
    </row>
    <row r="1149" spans="3:3">
      <c r="C1149" s="117"/>
    </row>
    <row r="1150" spans="3:3">
      <c r="C1150" s="117"/>
    </row>
    <row r="1151" spans="3:3">
      <c r="C1151" s="117"/>
    </row>
    <row r="1152" spans="3:3">
      <c r="C1152" s="117"/>
    </row>
    <row r="1153" spans="3:3">
      <c r="C1153" s="117"/>
    </row>
    <row r="1154" spans="3:3">
      <c r="C1154" s="117"/>
    </row>
    <row r="1155" spans="3:3">
      <c r="C1155" s="117"/>
    </row>
    <row r="1156" spans="3:3">
      <c r="C1156" s="117"/>
    </row>
    <row r="1157" spans="3:3">
      <c r="C1157" s="117"/>
    </row>
    <row r="1158" spans="3:3">
      <c r="C1158" s="117"/>
    </row>
    <row r="1159" spans="3:3">
      <c r="C1159" s="117"/>
    </row>
    <row r="1160" spans="3:3">
      <c r="C1160" s="117"/>
    </row>
    <row r="1161" spans="3:3">
      <c r="C1161" s="117"/>
    </row>
    <row r="1162" spans="3:3">
      <c r="C1162" s="117"/>
    </row>
    <row r="1163" spans="3:3">
      <c r="C1163" s="117"/>
    </row>
    <row r="1164" spans="3:3">
      <c r="C1164" s="117"/>
    </row>
    <row r="1165" spans="3:3">
      <c r="C1165" s="117"/>
    </row>
    <row r="1166" spans="3:3">
      <c r="C1166" s="117"/>
    </row>
    <row r="1167" spans="3:3">
      <c r="C1167" s="117"/>
    </row>
    <row r="1168" spans="3:3">
      <c r="C1168" s="117"/>
    </row>
    <row r="1169" spans="3:3">
      <c r="C1169" s="117"/>
    </row>
    <row r="1170" spans="3:3">
      <c r="C1170" s="117"/>
    </row>
    <row r="1171" spans="3:3">
      <c r="C1171" s="117"/>
    </row>
    <row r="1172" spans="3:3">
      <c r="C1172" s="117"/>
    </row>
    <row r="1173" spans="3:3">
      <c r="C1173" s="117"/>
    </row>
    <row r="1174" spans="3:3">
      <c r="C1174" s="117"/>
    </row>
    <row r="1175" spans="3:3">
      <c r="C1175" s="117"/>
    </row>
    <row r="1176" spans="3:3">
      <c r="C1176" s="117"/>
    </row>
    <row r="1177" spans="3:3">
      <c r="C1177" s="117"/>
    </row>
    <row r="1178" spans="3:3">
      <c r="C1178" s="117"/>
    </row>
    <row r="1179" spans="3:3">
      <c r="C1179" s="117"/>
    </row>
    <row r="1180" spans="3:3">
      <c r="C1180" s="117"/>
    </row>
    <row r="1181" spans="3:3">
      <c r="C1181" s="117"/>
    </row>
    <row r="1182" spans="3:3">
      <c r="C1182" s="117"/>
    </row>
    <row r="1183" spans="3:3">
      <c r="C1183" s="117"/>
    </row>
    <row r="1184" spans="3:3">
      <c r="C1184" s="117"/>
    </row>
    <row r="1185" spans="3:3">
      <c r="C1185" s="117"/>
    </row>
    <row r="1186" spans="3:3">
      <c r="C1186" s="117"/>
    </row>
    <row r="1187" spans="3:3">
      <c r="C1187" s="117"/>
    </row>
    <row r="1188" spans="3:3">
      <c r="C1188" s="117"/>
    </row>
    <row r="1189" spans="3:3">
      <c r="C1189" s="117"/>
    </row>
    <row r="1190" spans="3:3">
      <c r="C1190" s="117"/>
    </row>
    <row r="1191" spans="3:3">
      <c r="C1191" s="117"/>
    </row>
    <row r="1192" spans="3:3">
      <c r="C1192" s="117"/>
    </row>
    <row r="1193" spans="3:3">
      <c r="C1193" s="117"/>
    </row>
    <row r="1194" spans="3:3">
      <c r="C1194" s="117"/>
    </row>
    <row r="1195" spans="3:3">
      <c r="C1195" s="117"/>
    </row>
    <row r="1196" spans="3:3">
      <c r="C1196" s="117"/>
    </row>
    <row r="1197" spans="3:3">
      <c r="C1197" s="117"/>
    </row>
    <row r="1198" spans="3:3">
      <c r="C1198" s="117"/>
    </row>
    <row r="1199" spans="3:3">
      <c r="C1199" s="117"/>
    </row>
    <row r="1200" spans="3:3">
      <c r="C1200" s="117"/>
    </row>
    <row r="1201" spans="3:3">
      <c r="C1201" s="117"/>
    </row>
    <row r="1202" spans="3:3">
      <c r="C1202" s="117"/>
    </row>
    <row r="1203" spans="3:3">
      <c r="C1203" s="117"/>
    </row>
    <row r="1204" spans="3:3">
      <c r="C1204" s="117"/>
    </row>
    <row r="1205" spans="3:3">
      <c r="C1205" s="117"/>
    </row>
    <row r="1206" spans="3:3">
      <c r="C1206" s="117"/>
    </row>
    <row r="1207" spans="3:3">
      <c r="C1207" s="117"/>
    </row>
    <row r="1208" spans="3:3">
      <c r="C1208" s="117"/>
    </row>
    <row r="1209" spans="3:3">
      <c r="C1209" s="117"/>
    </row>
    <row r="1210" spans="3:3">
      <c r="C1210" s="117"/>
    </row>
    <row r="1211" spans="3:3">
      <c r="C1211" s="117"/>
    </row>
    <row r="1212" spans="3:3">
      <c r="C1212" s="117"/>
    </row>
    <row r="1213" spans="3:3">
      <c r="C1213" s="117"/>
    </row>
    <row r="1214" spans="3:3">
      <c r="C1214" s="117"/>
    </row>
    <row r="1215" spans="3:3">
      <c r="C1215" s="117"/>
    </row>
    <row r="1216" spans="3:3">
      <c r="C1216" s="117"/>
    </row>
    <row r="1217" spans="3:3">
      <c r="C1217" s="117"/>
    </row>
    <row r="1218" spans="3:3">
      <c r="C1218" s="117"/>
    </row>
    <row r="1219" spans="3:3">
      <c r="C1219" s="117"/>
    </row>
    <row r="1220" spans="3:3">
      <c r="C1220" s="117"/>
    </row>
    <row r="1221" spans="3:3">
      <c r="C1221" s="117"/>
    </row>
    <row r="1222" spans="3:3">
      <c r="C1222" s="117"/>
    </row>
    <row r="1223" spans="3:3">
      <c r="C1223" s="117"/>
    </row>
    <row r="1224" spans="3:3">
      <c r="C1224" s="117"/>
    </row>
    <row r="1225" spans="3:3">
      <c r="C1225" s="117"/>
    </row>
    <row r="1226" spans="3:3">
      <c r="C1226" s="117"/>
    </row>
    <row r="1227" spans="3:3">
      <c r="C1227" s="117"/>
    </row>
    <row r="1228" spans="3:3">
      <c r="C1228" s="117"/>
    </row>
    <row r="1229" spans="3:3">
      <c r="C1229" s="117"/>
    </row>
    <row r="1230" spans="3:3">
      <c r="C1230" s="117"/>
    </row>
    <row r="1231" spans="3:3">
      <c r="C1231" s="117"/>
    </row>
    <row r="1232" spans="3:3">
      <c r="C1232" s="117"/>
    </row>
    <row r="1233" spans="3:3">
      <c r="C1233" s="117"/>
    </row>
    <row r="1234" spans="3:3">
      <c r="C1234" s="117"/>
    </row>
    <row r="1235" spans="3:3">
      <c r="C1235" s="117"/>
    </row>
    <row r="1236" spans="3:3">
      <c r="C1236" s="117"/>
    </row>
    <row r="1237" spans="3:3">
      <c r="C1237" s="117"/>
    </row>
    <row r="1238" spans="3:3">
      <c r="C1238" s="117"/>
    </row>
    <row r="1239" spans="3:3">
      <c r="C1239" s="117"/>
    </row>
    <row r="1240" spans="3:3">
      <c r="C1240" s="117"/>
    </row>
    <row r="1241" spans="3:3">
      <c r="C1241" s="117"/>
    </row>
    <row r="1242" spans="3:3">
      <c r="C1242" s="117"/>
    </row>
    <row r="1243" spans="3:3">
      <c r="C1243" s="117"/>
    </row>
    <row r="1244" spans="3:3">
      <c r="C1244" s="117"/>
    </row>
    <row r="1245" spans="3:3">
      <c r="C1245" s="117"/>
    </row>
    <row r="1246" spans="3:3">
      <c r="C1246" s="117"/>
    </row>
    <row r="1247" spans="3:3">
      <c r="C1247" s="117"/>
    </row>
    <row r="1248" spans="3:3">
      <c r="C1248" s="117"/>
    </row>
    <row r="1249" spans="3:3">
      <c r="C1249" s="117"/>
    </row>
    <row r="1250" spans="3:3">
      <c r="C1250" s="117"/>
    </row>
    <row r="1251" spans="3:3">
      <c r="C1251" s="117"/>
    </row>
    <row r="1252" spans="3:3">
      <c r="C1252" s="117"/>
    </row>
    <row r="1253" spans="3:3">
      <c r="C1253" s="117"/>
    </row>
    <row r="1254" spans="3:3">
      <c r="C1254" s="117"/>
    </row>
    <row r="1255" spans="3:3">
      <c r="C1255" s="117"/>
    </row>
    <row r="1256" spans="3:3">
      <c r="C1256" s="117"/>
    </row>
    <row r="1257" spans="3:3">
      <c r="C1257" s="117"/>
    </row>
    <row r="1258" spans="3:3">
      <c r="C1258" s="117"/>
    </row>
    <row r="1259" spans="3:3">
      <c r="C1259" s="117"/>
    </row>
    <row r="1260" spans="3:3">
      <c r="C1260" s="117"/>
    </row>
    <row r="1261" spans="3:3">
      <c r="C1261" s="117"/>
    </row>
    <row r="1262" spans="3:3">
      <c r="C1262" s="117"/>
    </row>
    <row r="1263" spans="3:3">
      <c r="C1263" s="117"/>
    </row>
    <row r="1264" spans="3:3">
      <c r="C1264" s="117"/>
    </row>
    <row r="1265" spans="3:3">
      <c r="C1265" s="117"/>
    </row>
    <row r="1266" spans="3:3">
      <c r="C1266" s="117"/>
    </row>
    <row r="1267" spans="3:3">
      <c r="C1267" s="117"/>
    </row>
    <row r="1268" spans="3:3">
      <c r="C1268" s="117"/>
    </row>
    <row r="1269" spans="3:3">
      <c r="C1269" s="117"/>
    </row>
    <row r="1270" spans="3:3">
      <c r="C1270" s="117"/>
    </row>
    <row r="1271" spans="3:3">
      <c r="C1271" s="117"/>
    </row>
    <row r="1272" spans="3:3">
      <c r="C1272" s="117"/>
    </row>
    <row r="1273" spans="3:3">
      <c r="C1273" s="117"/>
    </row>
    <row r="1274" spans="3:3">
      <c r="C1274" s="117"/>
    </row>
    <row r="1275" spans="3:3">
      <c r="C1275" s="117"/>
    </row>
    <row r="1276" spans="3:3">
      <c r="C1276" s="117"/>
    </row>
    <row r="1277" spans="3:3">
      <c r="C1277" s="117"/>
    </row>
    <row r="1278" spans="3:3">
      <c r="C1278" s="117"/>
    </row>
    <row r="1279" spans="3:3">
      <c r="C1279" s="117"/>
    </row>
    <row r="1280" spans="3:3">
      <c r="C1280" s="117"/>
    </row>
    <row r="1281" spans="3:3">
      <c r="C1281" s="117"/>
    </row>
    <row r="1282" spans="3:3">
      <c r="C1282" s="117"/>
    </row>
    <row r="1283" spans="3:3">
      <c r="C1283" s="117"/>
    </row>
    <row r="1284" spans="3:3">
      <c r="C1284" s="117"/>
    </row>
    <row r="1285" spans="3:3">
      <c r="C1285" s="117"/>
    </row>
    <row r="1286" spans="3:3">
      <c r="C1286" s="117"/>
    </row>
    <row r="1287" spans="3:3">
      <c r="C1287" s="117"/>
    </row>
    <row r="1288" spans="3:3">
      <c r="C1288" s="117"/>
    </row>
    <row r="1289" spans="3:3">
      <c r="C1289" s="117"/>
    </row>
    <row r="1290" spans="3:3">
      <c r="C1290" s="117"/>
    </row>
    <row r="1291" spans="3:3">
      <c r="C1291" s="117"/>
    </row>
    <row r="1292" spans="3:3">
      <c r="C1292" s="117"/>
    </row>
    <row r="1293" spans="3:3">
      <c r="C1293" s="117"/>
    </row>
    <row r="1294" spans="3:3">
      <c r="C1294" s="117"/>
    </row>
    <row r="1295" spans="3:3">
      <c r="C1295" s="117"/>
    </row>
    <row r="1296" spans="3:3">
      <c r="C1296" s="117"/>
    </row>
    <row r="1297" spans="3:3">
      <c r="C1297" s="117"/>
    </row>
    <row r="1298" spans="3:3">
      <c r="C1298" s="117"/>
    </row>
    <row r="1299" spans="3:3">
      <c r="C1299" s="117"/>
    </row>
    <row r="1300" spans="3:3">
      <c r="C1300" s="117"/>
    </row>
    <row r="1301" spans="3:3">
      <c r="C1301" s="117"/>
    </row>
    <row r="1302" spans="3:3">
      <c r="C1302" s="117"/>
    </row>
    <row r="1303" spans="3:3">
      <c r="C1303" s="117"/>
    </row>
    <row r="1304" spans="3:3">
      <c r="C1304" s="117"/>
    </row>
    <row r="1305" spans="3:3">
      <c r="C1305" s="117"/>
    </row>
    <row r="1306" spans="3:3">
      <c r="C1306" s="117"/>
    </row>
    <row r="1307" spans="3:3">
      <c r="C1307" s="117"/>
    </row>
    <row r="1308" spans="3:3">
      <c r="C1308" s="117"/>
    </row>
    <row r="1309" spans="3:3">
      <c r="C1309" s="117"/>
    </row>
    <row r="1310" spans="3:3">
      <c r="C1310" s="117"/>
    </row>
    <row r="1311" spans="3:3">
      <c r="C1311" s="117"/>
    </row>
    <row r="1312" spans="3:3">
      <c r="C1312" s="117"/>
    </row>
    <row r="1313" spans="3:3">
      <c r="C1313" s="117"/>
    </row>
    <row r="1314" spans="3:3">
      <c r="C1314" s="117"/>
    </row>
    <row r="1315" spans="3:3">
      <c r="C1315" s="117"/>
    </row>
    <row r="1316" spans="3:3">
      <c r="C1316" s="117"/>
    </row>
    <row r="1317" spans="3:3">
      <c r="C1317" s="117"/>
    </row>
    <row r="1318" spans="3:3">
      <c r="C1318" s="117"/>
    </row>
    <row r="1319" spans="3:3">
      <c r="C1319" s="117"/>
    </row>
    <row r="1320" spans="3:3">
      <c r="C1320" s="117"/>
    </row>
    <row r="1321" spans="3:3">
      <c r="C1321" s="117"/>
    </row>
    <row r="1322" spans="3:3">
      <c r="C1322" s="117"/>
    </row>
    <row r="1323" spans="3:3">
      <c r="C1323" s="117"/>
    </row>
    <row r="1324" spans="3:3">
      <c r="C1324" s="117"/>
    </row>
    <row r="1325" spans="3:3">
      <c r="C1325" s="117"/>
    </row>
    <row r="1326" spans="3:3">
      <c r="C1326" s="117"/>
    </row>
    <row r="1327" spans="3:3">
      <c r="C1327" s="117"/>
    </row>
    <row r="1328" spans="3:3">
      <c r="C1328" s="117"/>
    </row>
    <row r="1329" spans="3:3">
      <c r="C1329" s="117"/>
    </row>
    <row r="1330" spans="3:3">
      <c r="C1330" s="117"/>
    </row>
    <row r="1331" spans="3:3">
      <c r="C1331" s="117"/>
    </row>
    <row r="1332" spans="3:3">
      <c r="C1332" s="117"/>
    </row>
    <row r="1333" spans="3:3">
      <c r="C1333" s="117"/>
    </row>
    <row r="1334" spans="3:3">
      <c r="C1334" s="117"/>
    </row>
    <row r="1335" spans="3:3">
      <c r="C1335" s="117"/>
    </row>
    <row r="1336" spans="3:3">
      <c r="C1336" s="117"/>
    </row>
    <row r="1337" spans="3:3">
      <c r="C1337" s="117"/>
    </row>
    <row r="1338" spans="3:3">
      <c r="C1338" s="117"/>
    </row>
    <row r="1339" spans="3:3">
      <c r="C1339" s="117"/>
    </row>
    <row r="1340" spans="3:3">
      <c r="C1340" s="117"/>
    </row>
    <row r="1341" spans="3:3">
      <c r="C1341" s="117"/>
    </row>
    <row r="1342" spans="3:3">
      <c r="C1342" s="117"/>
    </row>
    <row r="1343" spans="3:3">
      <c r="C1343" s="117"/>
    </row>
    <row r="1344" spans="3:3">
      <c r="C1344" s="117"/>
    </row>
    <row r="1345" spans="3:3">
      <c r="C1345" s="117"/>
    </row>
    <row r="1346" spans="3:3">
      <c r="C1346" s="117"/>
    </row>
    <row r="1347" spans="3:3">
      <c r="C1347" s="117"/>
    </row>
    <row r="1348" spans="3:3">
      <c r="C1348" s="117"/>
    </row>
    <row r="1349" spans="3:3">
      <c r="C1349" s="117"/>
    </row>
    <row r="1350" spans="3:3">
      <c r="C1350" s="117"/>
    </row>
    <row r="1351" spans="3:3">
      <c r="C1351" s="117"/>
    </row>
    <row r="1352" spans="3:3">
      <c r="C1352" s="117"/>
    </row>
    <row r="1353" spans="3:3">
      <c r="C1353" s="117"/>
    </row>
    <row r="1354" spans="3:3">
      <c r="C1354" s="117"/>
    </row>
    <row r="1355" spans="3:3">
      <c r="C1355" s="117"/>
    </row>
    <row r="1356" spans="3:3">
      <c r="C1356" s="117"/>
    </row>
    <row r="1357" spans="3:3">
      <c r="C1357" s="117"/>
    </row>
    <row r="1358" spans="3:3">
      <c r="C1358" s="117"/>
    </row>
    <row r="1359" spans="3:3">
      <c r="C1359" s="117"/>
    </row>
    <row r="1360" spans="3:3">
      <c r="C1360" s="117"/>
    </row>
    <row r="1361" spans="3:3">
      <c r="C1361" s="117"/>
    </row>
    <row r="1362" spans="3:3">
      <c r="C1362" s="117"/>
    </row>
    <row r="1363" spans="3:3">
      <c r="C1363" s="117"/>
    </row>
    <row r="1364" spans="3:3">
      <c r="C1364" s="117"/>
    </row>
    <row r="1365" spans="3:3">
      <c r="C1365" s="117"/>
    </row>
    <row r="1366" spans="3:3">
      <c r="C1366" s="117"/>
    </row>
    <row r="1367" spans="3:3">
      <c r="C1367" s="117"/>
    </row>
    <row r="1368" spans="3:3">
      <c r="C1368" s="117"/>
    </row>
    <row r="1369" spans="3:3">
      <c r="C1369" s="117"/>
    </row>
    <row r="1370" spans="3:3">
      <c r="C1370" s="117"/>
    </row>
    <row r="1371" spans="3:3">
      <c r="C1371" s="117"/>
    </row>
    <row r="1372" spans="3:3">
      <c r="C1372" s="117"/>
    </row>
    <row r="1373" spans="3:3">
      <c r="C1373" s="117"/>
    </row>
    <row r="1374" spans="3:3">
      <c r="C1374" s="117"/>
    </row>
    <row r="1375" spans="3:3">
      <c r="C1375" s="117"/>
    </row>
    <row r="1376" spans="3:3">
      <c r="C1376" s="117"/>
    </row>
    <row r="1377" spans="3:3">
      <c r="C1377" s="117"/>
    </row>
    <row r="1378" spans="3:3">
      <c r="C1378" s="117"/>
    </row>
    <row r="1379" spans="3:3">
      <c r="C1379" s="117"/>
    </row>
    <row r="1380" spans="3:3">
      <c r="C1380" s="117"/>
    </row>
    <row r="1381" spans="3:3">
      <c r="C1381" s="117"/>
    </row>
    <row r="1382" spans="3:3">
      <c r="C1382" s="117"/>
    </row>
    <row r="1383" spans="3:3">
      <c r="C1383" s="117"/>
    </row>
    <row r="1384" spans="3:3">
      <c r="C1384" s="117"/>
    </row>
    <row r="1385" spans="3:3">
      <c r="C1385" s="117"/>
    </row>
    <row r="1386" spans="3:3">
      <c r="C1386" s="117"/>
    </row>
    <row r="1387" spans="3:3">
      <c r="C1387" s="117"/>
    </row>
    <row r="1388" spans="3:3">
      <c r="C1388" s="117"/>
    </row>
    <row r="1389" spans="3:3">
      <c r="C1389" s="117"/>
    </row>
    <row r="1390" spans="3:3">
      <c r="C1390" s="117"/>
    </row>
    <row r="1391" spans="3:3">
      <c r="C1391" s="117"/>
    </row>
    <row r="1392" spans="3:3">
      <c r="C1392" s="117"/>
    </row>
    <row r="1393" spans="3:3">
      <c r="C1393" s="117"/>
    </row>
    <row r="1394" spans="3:3">
      <c r="C1394" s="117"/>
    </row>
    <row r="1395" spans="3:3">
      <c r="C1395" s="117"/>
    </row>
    <row r="1396" spans="3:3">
      <c r="C1396" s="117"/>
    </row>
    <row r="1397" spans="3:3">
      <c r="C1397" s="117"/>
    </row>
    <row r="1398" spans="3:3">
      <c r="C1398" s="117"/>
    </row>
    <row r="1399" spans="3:3">
      <c r="C1399" s="117"/>
    </row>
    <row r="1400" spans="3:3">
      <c r="C1400" s="117"/>
    </row>
    <row r="1401" spans="3:3">
      <c r="C1401" s="117"/>
    </row>
    <row r="1402" spans="3:3">
      <c r="C1402" s="117"/>
    </row>
    <row r="1403" spans="3:3">
      <c r="C1403" s="117"/>
    </row>
    <row r="1404" spans="3:3">
      <c r="C1404" s="117"/>
    </row>
    <row r="1405" spans="3:3">
      <c r="C1405" s="117"/>
    </row>
    <row r="1406" spans="3:3">
      <c r="C1406" s="117"/>
    </row>
    <row r="1407" spans="3:3">
      <c r="C1407" s="117"/>
    </row>
    <row r="1408" spans="3:3">
      <c r="C1408" s="117"/>
    </row>
    <row r="1409" spans="3:3">
      <c r="C1409" s="117"/>
    </row>
    <row r="1410" spans="3:3">
      <c r="C1410" s="117"/>
    </row>
    <row r="1411" spans="3:3">
      <c r="C1411" s="117"/>
    </row>
    <row r="1412" spans="3:3">
      <c r="C1412" s="117"/>
    </row>
    <row r="1413" spans="3:3">
      <c r="C1413" s="117"/>
    </row>
    <row r="1414" spans="3:3">
      <c r="C1414" s="117"/>
    </row>
    <row r="1415" spans="3:3">
      <c r="C1415" s="117"/>
    </row>
    <row r="1416" spans="3:3">
      <c r="C1416" s="117"/>
    </row>
    <row r="1417" spans="3:3">
      <c r="C1417" s="117"/>
    </row>
    <row r="1418" spans="3:3">
      <c r="C1418" s="117"/>
    </row>
    <row r="1419" spans="3:3">
      <c r="C1419" s="117"/>
    </row>
    <row r="1420" spans="3:3">
      <c r="C1420" s="117"/>
    </row>
    <row r="1421" spans="3:3">
      <c r="C1421" s="117"/>
    </row>
    <row r="1422" spans="3:3">
      <c r="C1422" s="117"/>
    </row>
    <row r="1423" spans="3:3">
      <c r="C1423" s="117"/>
    </row>
    <row r="1424" spans="3:3">
      <c r="C1424" s="117"/>
    </row>
    <row r="1425" spans="3:3">
      <c r="C1425" s="117"/>
    </row>
    <row r="1426" spans="3:3">
      <c r="C1426" s="117"/>
    </row>
    <row r="1427" spans="3:3">
      <c r="C1427" s="117"/>
    </row>
    <row r="1428" spans="3:3">
      <c r="C1428" s="117"/>
    </row>
    <row r="1429" spans="3:3">
      <c r="C1429" s="117"/>
    </row>
    <row r="1430" spans="3:3">
      <c r="C1430" s="117"/>
    </row>
    <row r="1431" spans="3:3">
      <c r="C1431" s="117"/>
    </row>
    <row r="1432" spans="3:3">
      <c r="C1432" s="117"/>
    </row>
    <row r="1433" spans="3:3">
      <c r="C1433" s="117"/>
    </row>
    <row r="1434" spans="3:3">
      <c r="C1434" s="117"/>
    </row>
    <row r="1435" spans="3:3">
      <c r="C1435" s="117"/>
    </row>
    <row r="1436" spans="3:3">
      <c r="C1436" s="117"/>
    </row>
    <row r="1437" spans="3:3">
      <c r="C1437" s="117"/>
    </row>
    <row r="1438" spans="3:3">
      <c r="C1438" s="117"/>
    </row>
    <row r="1439" spans="3:3">
      <c r="C1439" s="117"/>
    </row>
    <row r="1440" spans="3:3">
      <c r="C1440" s="117"/>
    </row>
    <row r="1441" spans="3:3">
      <c r="C1441" s="117"/>
    </row>
    <row r="1442" spans="3:3">
      <c r="C1442" s="117"/>
    </row>
    <row r="1443" spans="3:3">
      <c r="C1443" s="117"/>
    </row>
    <row r="1444" spans="3:3">
      <c r="C1444" s="117"/>
    </row>
    <row r="1445" spans="3:3">
      <c r="C1445" s="117"/>
    </row>
    <row r="1446" spans="3:3">
      <c r="C1446" s="117"/>
    </row>
    <row r="1447" spans="3:3">
      <c r="C1447" s="117"/>
    </row>
    <row r="1448" spans="3:3">
      <c r="C1448" s="117"/>
    </row>
    <row r="1449" spans="3:3">
      <c r="C1449" s="117"/>
    </row>
    <row r="1450" spans="3:3">
      <c r="C1450" s="117"/>
    </row>
    <row r="1451" spans="3:3">
      <c r="C1451" s="117"/>
    </row>
    <row r="1452" spans="3:3">
      <c r="C1452" s="117"/>
    </row>
    <row r="1453" spans="3:3">
      <c r="C1453" s="117"/>
    </row>
    <row r="1454" spans="3:3">
      <c r="C1454" s="117"/>
    </row>
    <row r="1455" spans="3:3">
      <c r="C1455" s="117"/>
    </row>
    <row r="1456" spans="3:3">
      <c r="C1456" s="117"/>
    </row>
    <row r="1457" spans="3:3">
      <c r="C1457" s="117"/>
    </row>
    <row r="1458" spans="3:3">
      <c r="C1458" s="117"/>
    </row>
    <row r="1459" spans="3:3">
      <c r="C1459" s="117"/>
    </row>
    <row r="1460" spans="3:3">
      <c r="C1460" s="117"/>
    </row>
    <row r="1461" spans="3:3">
      <c r="C1461" s="117"/>
    </row>
    <row r="1462" spans="3:3">
      <c r="C1462" s="117"/>
    </row>
    <row r="1463" spans="3:3">
      <c r="C1463" s="117"/>
    </row>
    <row r="1464" spans="3:3">
      <c r="C1464" s="117"/>
    </row>
    <row r="1465" spans="3:3">
      <c r="C1465" s="117"/>
    </row>
    <row r="1466" spans="3:3">
      <c r="C1466" s="117"/>
    </row>
    <row r="1467" spans="3:3">
      <c r="C1467" s="117"/>
    </row>
    <row r="1468" spans="3:3">
      <c r="C1468" s="117"/>
    </row>
    <row r="1469" spans="3:3">
      <c r="C1469" s="117"/>
    </row>
    <row r="1470" spans="3:3">
      <c r="C1470" s="117"/>
    </row>
    <row r="1471" spans="3:3">
      <c r="C1471" s="117"/>
    </row>
    <row r="1472" spans="3:3">
      <c r="C1472" s="117"/>
    </row>
    <row r="1473" spans="3:3">
      <c r="C1473" s="117"/>
    </row>
    <row r="1474" spans="3:3">
      <c r="C1474" s="117"/>
    </row>
    <row r="1475" spans="3:3">
      <c r="C1475" s="117"/>
    </row>
    <row r="1476" spans="3:3">
      <c r="C1476" s="117"/>
    </row>
    <row r="1477" spans="3:3">
      <c r="C1477" s="117"/>
    </row>
    <row r="1478" spans="3:3">
      <c r="C1478" s="117"/>
    </row>
    <row r="1479" spans="3:3">
      <c r="C1479" s="117"/>
    </row>
    <row r="1480" spans="3:3">
      <c r="C1480" s="117"/>
    </row>
    <row r="1481" spans="3:3">
      <c r="C1481" s="117"/>
    </row>
    <row r="1482" spans="3:3">
      <c r="C1482" s="117"/>
    </row>
    <row r="1483" spans="3:3">
      <c r="C1483" s="117"/>
    </row>
    <row r="1484" spans="3:3">
      <c r="C1484" s="117"/>
    </row>
    <row r="1485" spans="3:3">
      <c r="C1485" s="117"/>
    </row>
    <row r="1486" spans="3:3">
      <c r="C1486" s="117"/>
    </row>
    <row r="1487" spans="3:3">
      <c r="C1487" s="117"/>
    </row>
    <row r="1488" spans="3:3">
      <c r="C1488" s="117"/>
    </row>
    <row r="1489" spans="3:3">
      <c r="C1489" s="117"/>
    </row>
    <row r="1490" spans="3:3">
      <c r="C1490" s="117"/>
    </row>
    <row r="1491" spans="3:3">
      <c r="C1491" s="117"/>
    </row>
    <row r="1492" spans="3:3">
      <c r="C1492" s="117"/>
    </row>
    <row r="1493" spans="3:3">
      <c r="C1493" s="117"/>
    </row>
    <row r="1494" spans="3:3">
      <c r="C1494" s="117"/>
    </row>
    <row r="1495" spans="3:3">
      <c r="C1495" s="117"/>
    </row>
    <row r="1496" spans="3:3">
      <c r="C1496" s="117"/>
    </row>
    <row r="1497" spans="3:3">
      <c r="C1497" s="117"/>
    </row>
    <row r="1498" spans="3:3">
      <c r="C1498" s="117"/>
    </row>
    <row r="1499" spans="3:3">
      <c r="C1499" s="117"/>
    </row>
    <row r="1500" spans="3:3">
      <c r="C1500" s="117"/>
    </row>
    <row r="1501" spans="3:3">
      <c r="C1501" s="117"/>
    </row>
    <row r="1502" spans="3:3">
      <c r="C1502" s="117"/>
    </row>
    <row r="1503" spans="3:3">
      <c r="C1503" s="117"/>
    </row>
    <row r="1504" spans="3:3">
      <c r="C1504" s="117"/>
    </row>
    <row r="1505" spans="3:3">
      <c r="C1505" s="117"/>
    </row>
    <row r="1506" spans="3:3">
      <c r="C1506" s="117"/>
    </row>
    <row r="1507" spans="3:3">
      <c r="C1507" s="117"/>
    </row>
    <row r="1508" spans="3:3">
      <c r="C1508" s="117"/>
    </row>
    <row r="1509" spans="3:3">
      <c r="C1509" s="117"/>
    </row>
    <row r="1510" spans="3:3">
      <c r="C1510" s="117"/>
    </row>
    <row r="1511" spans="3:3">
      <c r="C1511" s="117"/>
    </row>
    <row r="1512" spans="3:3">
      <c r="C1512" s="117"/>
    </row>
    <row r="1513" spans="3:3">
      <c r="C1513" s="117"/>
    </row>
    <row r="1514" spans="3:3">
      <c r="C1514" s="117"/>
    </row>
    <row r="1515" spans="3:3">
      <c r="C1515" s="117"/>
    </row>
    <row r="1516" spans="3:3">
      <c r="C1516" s="117"/>
    </row>
    <row r="1517" spans="3:3">
      <c r="C1517" s="117"/>
    </row>
    <row r="1518" spans="3:3">
      <c r="C1518" s="117"/>
    </row>
    <row r="1519" spans="3:3">
      <c r="C1519" s="117"/>
    </row>
    <row r="1520" spans="3:3">
      <c r="C1520" s="117"/>
    </row>
    <row r="1521" spans="3:3">
      <c r="C1521" s="117"/>
    </row>
    <row r="1522" spans="3:3">
      <c r="C1522" s="117"/>
    </row>
    <row r="1523" spans="3:3">
      <c r="C1523" s="117"/>
    </row>
    <row r="1524" spans="3:3">
      <c r="C1524" s="117"/>
    </row>
    <row r="1525" spans="3:3">
      <c r="C1525" s="117"/>
    </row>
    <row r="1526" spans="3:3">
      <c r="C1526" s="117"/>
    </row>
    <row r="1527" spans="3:3">
      <c r="C1527" s="117"/>
    </row>
    <row r="1528" spans="3:3">
      <c r="C1528" s="117"/>
    </row>
    <row r="1529" spans="3:3">
      <c r="C1529" s="117"/>
    </row>
  </sheetData>
  <phoneticPr fontId="21" type="noConversion"/>
  <conditionalFormatting sqref="G31 P30 P18">
    <cfRule type="cellIs" dxfId="95" priority="96" stopIfTrue="1" operator="notEqual">
      <formula>E18</formula>
    </cfRule>
  </conditionalFormatting>
  <conditionalFormatting sqref="Q30">
    <cfRule type="expression" dxfId="94" priority="95" stopIfTrue="1">
      <formula>(Q30+O30)&lt;&gt;0</formula>
    </cfRule>
  </conditionalFormatting>
  <conditionalFormatting sqref="P29">
    <cfRule type="cellIs" dxfId="93" priority="94" stopIfTrue="1" operator="notEqual">
      <formula>N7</formula>
    </cfRule>
  </conditionalFormatting>
  <conditionalFormatting sqref="N7">
    <cfRule type="cellIs" dxfId="92" priority="93" stopIfTrue="1" operator="notEqual">
      <formula>P29</formula>
    </cfRule>
  </conditionalFormatting>
  <conditionalFormatting sqref="N8">
    <cfRule type="cellIs" dxfId="91" priority="92" stopIfTrue="1" operator="notEqual">
      <formula>P28</formula>
    </cfRule>
  </conditionalFormatting>
  <conditionalFormatting sqref="N9">
    <cfRule type="cellIs" dxfId="90" priority="91" stopIfTrue="1" operator="notEqual">
      <formula>P27</formula>
    </cfRule>
  </conditionalFormatting>
  <conditionalFormatting sqref="N10">
    <cfRule type="cellIs" dxfId="89" priority="90" stopIfTrue="1" operator="notEqual">
      <formula>P26</formula>
    </cfRule>
  </conditionalFormatting>
  <conditionalFormatting sqref="N11">
    <cfRule type="cellIs" dxfId="88" priority="89" stopIfTrue="1" operator="notEqual">
      <formula>P25</formula>
    </cfRule>
  </conditionalFormatting>
  <conditionalFormatting sqref="N12">
    <cfRule type="cellIs" dxfId="87" priority="88" stopIfTrue="1" operator="notEqual">
      <formula>P24</formula>
    </cfRule>
  </conditionalFormatting>
  <conditionalFormatting sqref="N13">
    <cfRule type="cellIs" dxfId="86" priority="87" stopIfTrue="1" operator="notEqual">
      <formula>P23</formula>
    </cfRule>
  </conditionalFormatting>
  <conditionalFormatting sqref="N14">
    <cfRule type="cellIs" dxfId="85" priority="86" stopIfTrue="1" operator="notEqual">
      <formula>P22</formula>
    </cfRule>
  </conditionalFormatting>
  <conditionalFormatting sqref="N15">
    <cfRule type="cellIs" dxfId="84" priority="85" stopIfTrue="1" operator="notEqual">
      <formula>P21</formula>
    </cfRule>
  </conditionalFormatting>
  <conditionalFormatting sqref="N16">
    <cfRule type="cellIs" dxfId="83" priority="84" stopIfTrue="1" operator="notEqual">
      <formula>P20</formula>
    </cfRule>
  </conditionalFormatting>
  <conditionalFormatting sqref="N17">
    <cfRule type="cellIs" dxfId="82" priority="83" stopIfTrue="1" operator="notEqual">
      <formula>P19</formula>
    </cfRule>
  </conditionalFormatting>
  <conditionalFormatting sqref="N18">
    <cfRule type="cellIs" dxfId="81" priority="82" stopIfTrue="1" operator="notEqual">
      <formula>P18</formula>
    </cfRule>
  </conditionalFormatting>
  <conditionalFormatting sqref="N19">
    <cfRule type="cellIs" dxfId="80" priority="81" stopIfTrue="1" operator="notEqual">
      <formula>P17</formula>
    </cfRule>
  </conditionalFormatting>
  <conditionalFormatting sqref="N20">
    <cfRule type="cellIs" dxfId="79" priority="80" stopIfTrue="1" operator="notEqual">
      <formula>P16</formula>
    </cfRule>
  </conditionalFormatting>
  <conditionalFormatting sqref="N21">
    <cfRule type="cellIs" dxfId="78" priority="79" stopIfTrue="1" operator="notEqual">
      <formula>P15</formula>
    </cfRule>
  </conditionalFormatting>
  <conditionalFormatting sqref="N22">
    <cfRule type="cellIs" dxfId="77" priority="78" stopIfTrue="1" operator="notEqual">
      <formula>P14</formula>
    </cfRule>
  </conditionalFormatting>
  <conditionalFormatting sqref="N23">
    <cfRule type="cellIs" dxfId="76" priority="77" stopIfTrue="1" operator="notEqual">
      <formula>P13</formula>
    </cfRule>
  </conditionalFormatting>
  <conditionalFormatting sqref="N24">
    <cfRule type="cellIs" dxfId="75" priority="76" stopIfTrue="1" operator="notEqual">
      <formula>P12</formula>
    </cfRule>
  </conditionalFormatting>
  <conditionalFormatting sqref="N25">
    <cfRule type="cellIs" dxfId="74" priority="75" stopIfTrue="1" operator="notEqual">
      <formula>P11</formula>
    </cfRule>
  </conditionalFormatting>
  <conditionalFormatting sqref="N26">
    <cfRule type="cellIs" dxfId="73" priority="74" stopIfTrue="1" operator="notEqual">
      <formula>P10</formula>
    </cfRule>
  </conditionalFormatting>
  <conditionalFormatting sqref="N27">
    <cfRule type="cellIs" dxfId="72" priority="73" stopIfTrue="1" operator="notEqual">
      <formula>P9</formula>
    </cfRule>
  </conditionalFormatting>
  <conditionalFormatting sqref="N28">
    <cfRule type="cellIs" dxfId="71" priority="72" stopIfTrue="1" operator="notEqual">
      <formula>P8</formula>
    </cfRule>
  </conditionalFormatting>
  <conditionalFormatting sqref="N29">
    <cfRule type="cellIs" dxfId="70" priority="71" stopIfTrue="1" operator="notEqual">
      <formula>P7</formula>
    </cfRule>
  </conditionalFormatting>
  <conditionalFormatting sqref="P7">
    <cfRule type="cellIs" dxfId="69" priority="70" stopIfTrue="1" operator="notEqual">
      <formula>N29</formula>
    </cfRule>
  </conditionalFormatting>
  <conditionalFormatting sqref="P8">
    <cfRule type="cellIs" dxfId="68" priority="69" stopIfTrue="1" operator="notEqual">
      <formula>N28</formula>
    </cfRule>
  </conditionalFormatting>
  <conditionalFormatting sqref="P9">
    <cfRule type="cellIs" dxfId="67" priority="68" stopIfTrue="1" operator="notEqual">
      <formula>N27</formula>
    </cfRule>
  </conditionalFormatting>
  <conditionalFormatting sqref="P10">
    <cfRule type="cellIs" dxfId="66" priority="67" stopIfTrue="1" operator="notEqual">
      <formula>N26</formula>
    </cfRule>
  </conditionalFormatting>
  <conditionalFormatting sqref="P11">
    <cfRule type="cellIs" dxfId="65" priority="66" stopIfTrue="1" operator="notEqual">
      <formula>N25</formula>
    </cfRule>
  </conditionalFormatting>
  <conditionalFormatting sqref="P12">
    <cfRule type="cellIs" dxfId="64" priority="65" stopIfTrue="1" operator="notEqual">
      <formula>N24</formula>
    </cfRule>
  </conditionalFormatting>
  <conditionalFormatting sqref="P13">
    <cfRule type="cellIs" dxfId="63" priority="64" stopIfTrue="1" operator="notEqual">
      <formula>N23</formula>
    </cfRule>
  </conditionalFormatting>
  <conditionalFormatting sqref="P14">
    <cfRule type="cellIs" dxfId="62" priority="63" stopIfTrue="1" operator="notEqual">
      <formula>N22</formula>
    </cfRule>
  </conditionalFormatting>
  <conditionalFormatting sqref="P15">
    <cfRule type="cellIs" dxfId="61" priority="62" stopIfTrue="1" operator="notEqual">
      <formula>N21</formula>
    </cfRule>
  </conditionalFormatting>
  <conditionalFormatting sqref="P16">
    <cfRule type="cellIs" dxfId="60" priority="61" stopIfTrue="1" operator="notEqual">
      <formula>N20</formula>
    </cfRule>
  </conditionalFormatting>
  <conditionalFormatting sqref="P17">
    <cfRule type="cellIs" dxfId="59" priority="60" stopIfTrue="1" operator="notEqual">
      <formula>N19</formula>
    </cfRule>
  </conditionalFormatting>
  <conditionalFormatting sqref="P19">
    <cfRule type="cellIs" dxfId="58" priority="59" stopIfTrue="1" operator="notEqual">
      <formula>N17</formula>
    </cfRule>
  </conditionalFormatting>
  <conditionalFormatting sqref="P20">
    <cfRule type="cellIs" dxfId="57" priority="58" stopIfTrue="1" operator="notEqual">
      <formula>N16</formula>
    </cfRule>
  </conditionalFormatting>
  <conditionalFormatting sqref="P21">
    <cfRule type="cellIs" dxfId="56" priority="57" stopIfTrue="1" operator="notEqual">
      <formula>N15</formula>
    </cfRule>
  </conditionalFormatting>
  <conditionalFormatting sqref="P22">
    <cfRule type="cellIs" dxfId="55" priority="56" stopIfTrue="1" operator="notEqual">
      <formula>N14</formula>
    </cfRule>
  </conditionalFormatting>
  <conditionalFormatting sqref="P23">
    <cfRule type="cellIs" dxfId="54" priority="55" stopIfTrue="1" operator="notEqual">
      <formula>N13</formula>
    </cfRule>
  </conditionalFormatting>
  <conditionalFormatting sqref="P24">
    <cfRule type="cellIs" dxfId="53" priority="54" stopIfTrue="1" operator="notEqual">
      <formula>N12</formula>
    </cfRule>
  </conditionalFormatting>
  <conditionalFormatting sqref="P25">
    <cfRule type="cellIs" dxfId="52" priority="53" stopIfTrue="1" operator="notEqual">
      <formula>N11</formula>
    </cfRule>
  </conditionalFormatting>
  <conditionalFormatting sqref="P26">
    <cfRule type="cellIs" dxfId="51" priority="52" stopIfTrue="1" operator="notEqual">
      <formula>N10</formula>
    </cfRule>
  </conditionalFormatting>
  <conditionalFormatting sqref="P27">
    <cfRule type="cellIs" dxfId="50" priority="51" stopIfTrue="1" operator="notEqual">
      <formula>N9</formula>
    </cfRule>
  </conditionalFormatting>
  <conditionalFormatting sqref="P28">
    <cfRule type="cellIs" dxfId="49" priority="50" stopIfTrue="1" operator="notEqual">
      <formula>N8</formula>
    </cfRule>
  </conditionalFormatting>
  <conditionalFormatting sqref="O7">
    <cfRule type="cellIs" dxfId="48" priority="49" stopIfTrue="1" operator="notEqual">
      <formula>Q29*-1</formula>
    </cfRule>
  </conditionalFormatting>
  <conditionalFormatting sqref="O8">
    <cfRule type="cellIs" dxfId="47" priority="48" stopIfTrue="1" operator="notEqual">
      <formula>Q28*-1</formula>
    </cfRule>
  </conditionalFormatting>
  <conditionalFormatting sqref="O9">
    <cfRule type="cellIs" dxfId="46" priority="47" stopIfTrue="1" operator="notEqual">
      <formula>Q27*-1</formula>
    </cfRule>
  </conditionalFormatting>
  <conditionalFormatting sqref="O10">
    <cfRule type="cellIs" dxfId="45" priority="46" stopIfTrue="1" operator="notEqual">
      <formula>Q26*-1</formula>
    </cfRule>
  </conditionalFormatting>
  <conditionalFormatting sqref="O11">
    <cfRule type="cellIs" dxfId="44" priority="45" stopIfTrue="1" operator="notEqual">
      <formula>Q25*-1</formula>
    </cfRule>
  </conditionalFormatting>
  <conditionalFormatting sqref="O12">
    <cfRule type="cellIs" dxfId="43" priority="44" stopIfTrue="1" operator="notEqual">
      <formula>Q24*-1</formula>
    </cfRule>
  </conditionalFormatting>
  <conditionalFormatting sqref="O13">
    <cfRule type="cellIs" dxfId="42" priority="43" stopIfTrue="1" operator="notEqual">
      <formula>Q23*-1</formula>
    </cfRule>
  </conditionalFormatting>
  <conditionalFormatting sqref="O14">
    <cfRule type="cellIs" dxfId="41" priority="42" stopIfTrue="1" operator="notEqual">
      <formula>Q22*-1</formula>
    </cfRule>
  </conditionalFormatting>
  <conditionalFormatting sqref="O15">
    <cfRule type="cellIs" dxfId="40" priority="41" stopIfTrue="1" operator="notEqual">
      <formula>Q21*-1</formula>
    </cfRule>
  </conditionalFormatting>
  <conditionalFormatting sqref="O16">
    <cfRule type="cellIs" dxfId="39" priority="40" stopIfTrue="1" operator="notEqual">
      <formula>Q20*-1</formula>
    </cfRule>
  </conditionalFormatting>
  <conditionalFormatting sqref="O17">
    <cfRule type="cellIs" dxfId="38" priority="39" stopIfTrue="1" operator="notEqual">
      <formula>Q19*-1</formula>
    </cfRule>
  </conditionalFormatting>
  <conditionalFormatting sqref="O18">
    <cfRule type="cellIs" dxfId="37" priority="38" stopIfTrue="1" operator="notEqual">
      <formula>Q18*-1</formula>
    </cfRule>
  </conditionalFormatting>
  <conditionalFormatting sqref="O19">
    <cfRule type="cellIs" dxfId="36" priority="37" stopIfTrue="1" operator="notEqual">
      <formula>Q17*-1</formula>
    </cfRule>
  </conditionalFormatting>
  <conditionalFormatting sqref="O20">
    <cfRule type="cellIs" dxfId="35" priority="36" stopIfTrue="1" operator="notEqual">
      <formula>Q16*-1</formula>
    </cfRule>
  </conditionalFormatting>
  <conditionalFormatting sqref="O21">
    <cfRule type="cellIs" dxfId="34" priority="35" stopIfTrue="1" operator="notEqual">
      <formula>Q15*-1</formula>
    </cfRule>
  </conditionalFormatting>
  <conditionalFormatting sqref="O22">
    <cfRule type="cellIs" dxfId="33" priority="34" stopIfTrue="1" operator="notEqual">
      <formula>Q14*-1</formula>
    </cfRule>
  </conditionalFormatting>
  <conditionalFormatting sqref="O23">
    <cfRule type="cellIs" dxfId="32" priority="33" stopIfTrue="1" operator="notEqual">
      <formula>Q13*-1</formula>
    </cfRule>
  </conditionalFormatting>
  <conditionalFormatting sqref="O24">
    <cfRule type="cellIs" dxfId="31" priority="32" stopIfTrue="1" operator="notEqual">
      <formula>Q12*-1</formula>
    </cfRule>
  </conditionalFormatting>
  <conditionalFormatting sqref="O25">
    <cfRule type="cellIs" dxfId="30" priority="31" stopIfTrue="1" operator="notEqual">
      <formula>Q11*-1</formula>
    </cfRule>
  </conditionalFormatting>
  <conditionalFormatting sqref="O26">
    <cfRule type="cellIs" dxfId="29" priority="30" stopIfTrue="1" operator="notEqual">
      <formula>Q10*-1</formula>
    </cfRule>
  </conditionalFormatting>
  <conditionalFormatting sqref="O27">
    <cfRule type="cellIs" dxfId="28" priority="29" stopIfTrue="1" operator="notEqual">
      <formula>Q9*-1</formula>
    </cfRule>
  </conditionalFormatting>
  <conditionalFormatting sqref="O28">
    <cfRule type="cellIs" dxfId="27" priority="28" stopIfTrue="1" operator="notEqual">
      <formula>Q8*-1</formula>
    </cfRule>
  </conditionalFormatting>
  <conditionalFormatting sqref="O29">
    <cfRule type="cellIs" dxfId="26" priority="27" stopIfTrue="1" operator="notEqual">
      <formula>Q7*-1</formula>
    </cfRule>
  </conditionalFormatting>
  <conditionalFormatting sqref="Q7">
    <cfRule type="cellIs" dxfId="25" priority="26" stopIfTrue="1" operator="notEqual">
      <formula>O29*-1</formula>
    </cfRule>
  </conditionalFormatting>
  <conditionalFormatting sqref="Q8">
    <cfRule type="cellIs" dxfId="24" priority="25" stopIfTrue="1" operator="notEqual">
      <formula>O28*-1</formula>
    </cfRule>
  </conditionalFormatting>
  <conditionalFormatting sqref="Q9">
    <cfRule type="cellIs" dxfId="23" priority="24" stopIfTrue="1" operator="notEqual">
      <formula>O27*-1</formula>
    </cfRule>
  </conditionalFormatting>
  <conditionalFormatting sqref="Q10">
    <cfRule type="cellIs" dxfId="22" priority="23" stopIfTrue="1" operator="notEqual">
      <formula>O26*-1</formula>
    </cfRule>
  </conditionalFormatting>
  <conditionalFormatting sqref="Q11">
    <cfRule type="cellIs" dxfId="21" priority="22" stopIfTrue="1" operator="notEqual">
      <formula>O25*-1</formula>
    </cfRule>
  </conditionalFormatting>
  <conditionalFormatting sqref="Q12">
    <cfRule type="cellIs" dxfId="20" priority="21" stopIfTrue="1" operator="notEqual">
      <formula>O24*-1</formula>
    </cfRule>
  </conditionalFormatting>
  <conditionalFormatting sqref="Q13">
    <cfRule type="cellIs" dxfId="19" priority="20" stopIfTrue="1" operator="notEqual">
      <formula>O23*-1</formula>
    </cfRule>
  </conditionalFormatting>
  <conditionalFormatting sqref="Q14">
    <cfRule type="cellIs" dxfId="18" priority="19" stopIfTrue="1" operator="notEqual">
      <formula>O22*-1</formula>
    </cfRule>
  </conditionalFormatting>
  <conditionalFormatting sqref="Q15">
    <cfRule type="cellIs" dxfId="17" priority="18" stopIfTrue="1" operator="notEqual">
      <formula>O21*-1</formula>
    </cfRule>
  </conditionalFormatting>
  <conditionalFormatting sqref="Q16">
    <cfRule type="cellIs" dxfId="16" priority="17" stopIfTrue="1" operator="notEqual">
      <formula>O20*-1</formula>
    </cfRule>
  </conditionalFormatting>
  <conditionalFormatting sqref="Q17">
    <cfRule type="cellIs" dxfId="15" priority="16" stopIfTrue="1" operator="notEqual">
      <formula>O19*-1</formula>
    </cfRule>
  </conditionalFormatting>
  <conditionalFormatting sqref="Q18">
    <cfRule type="cellIs" dxfId="14" priority="15" stopIfTrue="1" operator="notEqual">
      <formula>O18*-1</formula>
    </cfRule>
  </conditionalFormatting>
  <conditionalFormatting sqref="Q19">
    <cfRule type="cellIs" dxfId="13" priority="14" stopIfTrue="1" operator="notEqual">
      <formula>O17*-1</formula>
    </cfRule>
  </conditionalFormatting>
  <conditionalFormatting sqref="Q20">
    <cfRule type="cellIs" dxfId="12" priority="13" stopIfTrue="1" operator="notEqual">
      <formula>O16*-1</formula>
    </cfRule>
  </conditionalFormatting>
  <conditionalFormatting sqref="Q21">
    <cfRule type="cellIs" dxfId="11" priority="12" stopIfTrue="1" operator="notEqual">
      <formula>O15*-1</formula>
    </cfRule>
  </conditionalFormatting>
  <conditionalFormatting sqref="Q22">
    <cfRule type="cellIs" dxfId="10" priority="11" stopIfTrue="1" operator="notEqual">
      <formula>O14*-1</formula>
    </cfRule>
  </conditionalFormatting>
  <conditionalFormatting sqref="Q23">
    <cfRule type="cellIs" dxfId="9" priority="10" stopIfTrue="1" operator="notEqual">
      <formula>O13*-1</formula>
    </cfRule>
  </conditionalFormatting>
  <conditionalFormatting sqref="Q24">
    <cfRule type="cellIs" dxfId="8" priority="9" stopIfTrue="1" operator="notEqual">
      <formula>O12*-1</formula>
    </cfRule>
  </conditionalFormatting>
  <conditionalFormatting sqref="Q25">
    <cfRule type="cellIs" dxfId="7" priority="8" stopIfTrue="1" operator="notEqual">
      <formula>O11*-1</formula>
    </cfRule>
  </conditionalFormatting>
  <conditionalFormatting sqref="Q26">
    <cfRule type="cellIs" dxfId="6" priority="7" stopIfTrue="1" operator="notEqual">
      <formula>O10*-1</formula>
    </cfRule>
  </conditionalFormatting>
  <conditionalFormatting sqref="Q27">
    <cfRule type="cellIs" dxfId="5" priority="6" stopIfTrue="1" operator="notEqual">
      <formula>O9*-1</formula>
    </cfRule>
  </conditionalFormatting>
  <conditionalFormatting sqref="Q28">
    <cfRule type="cellIs" dxfId="4" priority="5" stopIfTrue="1" operator="notEqual">
      <formula>O8*-1</formula>
    </cfRule>
  </conditionalFormatting>
  <conditionalFormatting sqref="Q29">
    <cfRule type="cellIs" dxfId="3" priority="4" stopIfTrue="1" operator="notEqual">
      <formula>O7*-1</formula>
    </cfRule>
  </conditionalFormatting>
  <conditionalFormatting sqref="R7:S29 I7:J30">
    <cfRule type="cellIs" dxfId="2" priority="3" stopIfTrue="1" operator="notEqual">
      <formula>E7+G7</formula>
    </cfRule>
  </conditionalFormatting>
  <conditionalFormatting sqref="K36:K42">
    <cfRule type="cellIs" dxfId="1" priority="1" stopIfTrue="1" operator="equal">
      <formula>"U"</formula>
    </cfRule>
    <cfRule type="cellIs" dxfId="0" priority="2" stopIfTrue="1" operator="equal">
      <formula>"O"</formula>
    </cfRule>
  </conditionalFormatting>
  <printOptions horizontalCentered="1"/>
  <pageMargins left="0.74803149606299213" right="0.74803149606299213" top="0.74" bottom="0.47244094488188981" header="0.51181102362204722" footer="0.27559055118110237"/>
  <pageSetup paperSize="9" orientation="portrait" r:id="rId1"/>
  <headerFooter alignWithMargins="0">
    <oddHeader>&amp;LFFL 2004-05</oddHeader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4</vt:i4>
      </vt:variant>
    </vt:vector>
  </HeadingPairs>
  <TitlesOfParts>
    <vt:vector size="39" baseType="lpstr">
      <vt:lpstr>Avispa Fukuoka</vt:lpstr>
      <vt:lpstr>Ehime</vt:lpstr>
      <vt:lpstr>Fagiano Okayama</vt:lpstr>
      <vt:lpstr>Gifu</vt:lpstr>
      <vt:lpstr>JEF United</vt:lpstr>
      <vt:lpstr>Kamatamare Sanuki</vt:lpstr>
      <vt:lpstr>Kyoto Sanga</vt:lpstr>
      <vt:lpstr>Machida Zelvia</vt:lpstr>
      <vt:lpstr>Matsumoto Yamaga</vt:lpstr>
      <vt:lpstr>Mito Hollyhock</vt:lpstr>
      <vt:lpstr>Montedio Yamagata</vt:lpstr>
      <vt:lpstr>Tips</vt:lpstr>
      <vt:lpstr>Fixture tool</vt:lpstr>
      <vt:lpstr>Squad</vt:lpstr>
      <vt:lpstr>Nagoya Grampus</vt:lpstr>
      <vt:lpstr>Oita Trinita</vt:lpstr>
      <vt:lpstr>Renofa Yamaguchi</vt:lpstr>
      <vt:lpstr>Roasso Kumamoto</vt:lpstr>
      <vt:lpstr>Shonan Bellmare</vt:lpstr>
      <vt:lpstr>Tokushima Vortis</vt:lpstr>
      <vt:lpstr>ThespaKusatsu Gunma</vt:lpstr>
      <vt:lpstr>Tokyo Verdy</vt:lpstr>
      <vt:lpstr>V-Varen Nagasaki</vt:lpstr>
      <vt:lpstr>Yokohama</vt:lpstr>
      <vt:lpstr>Zweigen Kanazawa</vt:lpstr>
      <vt:lpstr>Helper</vt:lpstr>
      <vt:lpstr>Table</vt:lpstr>
      <vt:lpstr>HAD</vt:lpstr>
      <vt:lpstr>HHAD</vt:lpstr>
      <vt:lpstr>HD</vt:lpstr>
      <vt:lpstr>HiLo</vt:lpstr>
      <vt:lpstr>Matrix</vt:lpstr>
      <vt:lpstr>CRS</vt:lpstr>
      <vt:lpstr>SUP</vt:lpstr>
      <vt:lpstr>TTG</vt:lpstr>
      <vt:lpstr>SUP!Print_Area</vt:lpstr>
      <vt:lpstr>TTG!Print_Area</vt:lpstr>
      <vt:lpstr>TTG!SUP_HDC</vt:lpstr>
      <vt:lpstr>SUP_HDC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yuanyue</dc:creator>
  <cp:lastModifiedBy>wutieyun</cp:lastModifiedBy>
  <dcterms:created xsi:type="dcterms:W3CDTF">2010-08-14T02:25:38Z</dcterms:created>
  <dcterms:modified xsi:type="dcterms:W3CDTF">2018-07-07T15:59:05Z</dcterms:modified>
</cp:coreProperties>
</file>